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ml.chartshapes+xml"/>
  <Override PartName="/xl/charts/chart9.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0.xml" ContentType="application/vnd.openxmlformats-officedocument.drawingml.chart+xml"/>
  <Override PartName="/xl/drawings/drawing5.xml" ContentType="application/vnd.openxmlformats-officedocument.drawingml.chartshapes+xml"/>
  <Override PartName="/xl/charts/chart11.xml" ContentType="application/vnd.openxmlformats-officedocument.drawingml.chart+xml"/>
  <Override PartName="/xl/drawings/drawing6.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0080" yWindow="555" windowWidth="7665" windowHeight="9750" tabRatio="840" activeTab="6"/>
  </bookViews>
  <sheets>
    <sheet name="Terms of Use" sheetId="36" r:id="rId1"/>
    <sheet name="Input" sheetId="37" r:id="rId2"/>
    <sheet name="Output annual" sheetId="32" r:id="rId3"/>
    <sheet name="Output hourly" sheetId="28" r:id="rId4"/>
    <sheet name="Output other" sheetId="39" r:id="rId5"/>
    <sheet name="EPlus Table Results" sheetId="26" r:id="rId6"/>
    <sheet name="imf input text" sheetId="12" r:id="rId7"/>
    <sheet name="graph data" sheetId="30" r:id="rId8"/>
    <sheet name="Eplus results" sheetId="25" r:id="rId9"/>
    <sheet name="lists" sheetId="18" r:id="rId10"/>
    <sheet name="EPlus Meter Results" sheetId="31" r:id="rId11"/>
  </sheets>
  <functionGroups builtInGroupCount="17"/>
  <externalReferences>
    <externalReference r:id="rId12"/>
  </externalReferences>
  <definedNames>
    <definedName name="_xlnm._FilterDatabase" localSheetId="6" hidden="1">'imf input text'!$Q$37:$Q$38</definedName>
    <definedName name="AHU_DesignStaticPressure">'imf input text'!$J$40</definedName>
    <definedName name="AHU_SAT">'imf input text'!$J$39</definedName>
    <definedName name="Another_Kwang_Sizing">'imf input text'!$J$37</definedName>
    <definedName name="Average_East_VAVSize">'imf input text'!$M$61</definedName>
    <definedName name="Average_Interior_VAVSize">'imf input text'!$M$82</definedName>
    <definedName name="Average_North_VAVSize">'imf input text'!$M$64</definedName>
    <definedName name="Average_South_VAVSize">'imf input text'!$M$63</definedName>
    <definedName name="Average_West_VAVSize">'imf input text'!$M$62</definedName>
    <definedName name="bin_width">#REF!</definedName>
    <definedName name="Bldg_Length">'imf input text'!$N$12</definedName>
    <definedName name="Bldg_Width">'imf input text'!$N$13</definedName>
    <definedName name="Boiler_Capacity">'imf input text'!$E$160</definedName>
    <definedName name="Boiler_Staging">Input!$D$60</definedName>
    <definedName name="Boiler2_Capacity">'imf input text'!$E$161</definedName>
    <definedName name="BoilerFirstStageRatio">'imf input text'!$E$159</definedName>
    <definedName name="Ceiling_Height">'imf input text'!$J$103</definedName>
    <definedName name="CeilingHeight">'graph data'!$D$163</definedName>
    <definedName name="Central_ReturnFan_MaxFlow">'imf input text'!$E$165</definedName>
    <definedName name="Central_SupplyFan_MaxFlow">'imf input text'!$E$164</definedName>
    <definedName name="Chiller_Capacity">'imf input text'!$E$162</definedName>
    <definedName name="Chiller_Model_Type">'imf input text'!$Q$35</definedName>
    <definedName name="Chiller_SizingFactor">'imf input text'!$E$78</definedName>
    <definedName name="Chiller_Staging">Input!$D$58</definedName>
    <definedName name="ChillerPeak_Report">'Output other'!$J$5</definedName>
    <definedName name="ChW_Pump_MaxFlow">'imf input text'!$E$168</definedName>
    <definedName name="CndW_Control">'imf input text'!$J$117</definedName>
    <definedName name="CndW_Radiant_Temp">'imf input text'!$J$118</definedName>
    <definedName name="Condenser_Pump_MaxFlow">'imf input text'!$E$169</definedName>
    <definedName name="Cooling_Setpoint">'imf input text'!$J$45</definedName>
    <definedName name="Core_Area">'imf input text'!$N$20</definedName>
    <definedName name="CParametric_Chart">#REF!</definedName>
    <definedName name="current_version">'imf input text'!$J$2</definedName>
    <definedName name="DesignDay_Run">'imf input text'!$J$10</definedName>
    <definedName name="Detailed_Report">'imf input text'!$Q$29</definedName>
    <definedName name="Diffuser_Sizing">'imf input text'!$J$11</definedName>
    <definedName name="Diffuser_Type">lists!$B$14:$B$18</definedName>
    <definedName name="end_day">'imf input text'!$J$37</definedName>
    <definedName name="End_Month">'imf input text'!$E$12</definedName>
    <definedName name="EndDay">'imf input text'!$E$13</definedName>
    <definedName name="EnergyPlus_path">'imf input text'!$J$6</definedName>
    <definedName name="eplus_pausing">'imf input text'!$Q$39</definedName>
    <definedName name="EW_Area">'imf input text'!$N$18</definedName>
    <definedName name="filename_parametric">#REF!</definedName>
    <definedName name="fill_1">'imf input text'!$D$1</definedName>
    <definedName name="fill_2">'imf input text'!$E$1</definedName>
    <definedName name="FirstMinFrac">'imf input text'!$J$62</definedName>
    <definedName name="floor">'Output hourly'!$D$3</definedName>
    <definedName name="Floor_Multiplier">'imf input text'!$E$68</definedName>
    <definedName name="FloorHeight">'graph data'!$D$164</definedName>
    <definedName name="floors_list">lists!$D$6:$D$8</definedName>
    <definedName name="FSFan_Max_CoolingAir_GFEast">'imf input text'!$E$126</definedName>
    <definedName name="FSFan_Max_HeatingAir_GFEast">'imf input text'!$E$145</definedName>
    <definedName name="FSFan_UFAD_Min_Frac_GFCore">'imf input text'!$E$117</definedName>
    <definedName name="FSFan_UFAD_Min_Frac_GFEast">'imf input text'!$E$105</definedName>
    <definedName name="FSFan_UFAD_Min_Frac_GFNorth">'imf input text'!$E$108</definedName>
    <definedName name="FSFan_UFAD_Min_Frac_GFSouth">'imf input text'!$E$107</definedName>
    <definedName name="FSFan_UFAD_Min_Frac_GFWest">'imf input text'!$E$106</definedName>
    <definedName name="FSFan_UFAD_Min_Frac_MFCore">'imf input text'!$E$118</definedName>
    <definedName name="FSFan_UFAD_Min_Frac_MFEast">'imf input text'!$E$109</definedName>
    <definedName name="FSFan_UFAD_Min_Frac_MFNorth">'imf input text'!$E$112</definedName>
    <definedName name="FSFan_UFAD_Min_Frac_MFSouth">'imf input text'!$E$111</definedName>
    <definedName name="FSFan_UFAD_Min_Frac_MFWest">'imf input text'!$E$110</definedName>
    <definedName name="FSFan_UFAD_Min_Frac_TFCore">'imf input text'!$E$119</definedName>
    <definedName name="FSFan_UFAD_Min_Frac_TFEast">'imf input text'!$E$113</definedName>
    <definedName name="FSFan_UFAD_Min_Frac_TFNorth">'imf input text'!$E$116</definedName>
    <definedName name="FSFan_UFAD_Min_Frac_TFSouth">'imf input text'!$E$115</definedName>
    <definedName name="FSFan_UFAD_Min_Frac_TFWest">'imf input text'!$E$114</definedName>
    <definedName name="GFCore_Peak_Split">'Output other'!$I$36</definedName>
    <definedName name="Heat_Recovery">'imf input text'!$J$44</definedName>
    <definedName name="Heating_Setpoint">'imf input text'!$J$47</definedName>
    <definedName name="HW_Pump_MaxFlow">'imf input text'!$E$167</definedName>
    <definedName name="InputAHUStaticReset">Input!$D$53</definedName>
    <definedName name="InputSystemType">Input!$D$6</definedName>
    <definedName name="InputUFADInteriorDiffuser">Input!$D$40</definedName>
    <definedName name="Int_cfm_per_diff">'imf input text'!$J$85</definedName>
    <definedName name="int_constant_phi">'imf input text'!$J$98</definedName>
    <definedName name="Int_DesignPhi">'imf input text'!$J$87</definedName>
    <definedName name="int_diff_sf">'imf input text'!$J$86</definedName>
    <definedName name="Int_DiffAngle">'imf input text'!$J$91</definedName>
    <definedName name="Int_DiffArea">'imf input text'!$J$90</definedName>
    <definedName name="Int_DiffCoeff_A">'imf input text'!$J$96</definedName>
    <definedName name="Int_DiffType">'imf input text'!$J$88</definedName>
    <definedName name="Int_NumDiffus_Method">'imf input text'!#REF!</definedName>
    <definedName name="Int_zone">'Output hourly'!$D$4</definedName>
    <definedName name="interior_zones_list">lists!$F$6:$F$7</definedName>
    <definedName name="Internal_Load_Option">lists!$E$17:$E$19</definedName>
    <definedName name="Internal_Mass">'imf input text'!$J$31</definedName>
    <definedName name="Julian_day">'graph data'!$D$396:$E$409</definedName>
    <definedName name="jump_to">'imf input text'!$Q$37</definedName>
    <definedName name="ListAnnual">lists!$M$7</definedName>
    <definedName name="ListDesignDay">lists!$M$5</definedName>
    <definedName name="ListOH">lists!$N$5</definedName>
    <definedName name="ListPerArea">lists!$O$5</definedName>
    <definedName name="ListUFAD">lists!$N$6:$N$7</definedName>
    <definedName name="ListUFADFCU">lists!$N$6</definedName>
    <definedName name="ListUFADYork">lists!$N$7</definedName>
    <definedName name="ListUserSpecified">lists!$M$6</definedName>
    <definedName name="Message_box_popup">'imf input text'!$J$13</definedName>
    <definedName name="No_DiffuserPerPerson_Core">'imf input text'!#REF!</definedName>
    <definedName name="Open_All_Sheets">#REF!</definedName>
    <definedName name="OpenAllForChart">#REF!</definedName>
    <definedName name="OpenForCharts">#REF!</definedName>
    <definedName name="output_filename">Input!$K$6</definedName>
    <definedName name="output_path">Input!$K$5</definedName>
    <definedName name="output_path_parametric">#REF!</definedName>
    <definedName name="Param1Run2">#REF!</definedName>
    <definedName name="parameters_general_end">'imf input text'!$B$278</definedName>
    <definedName name="parameters_general_start">'imf input text'!$B$8</definedName>
    <definedName name="Parametric_NoOfParams">#REF!</definedName>
    <definedName name="Parametric_NoOfRuns">#REF!</definedName>
    <definedName name="Parametric_Variables">#REF!</definedName>
    <definedName name="params_path">'imf input text'!$J$5</definedName>
    <definedName name="pause">'imf input text'!$Q$38</definedName>
    <definedName name="Per_cfm_per_diff">'imf input text'!$J$67</definedName>
    <definedName name="per_constant_phi">'imf input text'!$J$80</definedName>
    <definedName name="per_diff_sf">'imf input text'!$J$68</definedName>
    <definedName name="Perim_DesignPhi">'imf input text'!$J$69</definedName>
    <definedName name="Perim_DiffAngle">'imf input text'!$J$73</definedName>
    <definedName name="Perim_DiffArea">'imf input text'!$J$72</definedName>
    <definedName name="Perim_DiffCoeff_A">'imf input text'!$J$78</definedName>
    <definedName name="Perim_DiffType">'imf input text'!$J$70</definedName>
    <definedName name="Perim_NumDiffus_Method">'imf input text'!#REF!</definedName>
    <definedName name="perim_zone">'Output hourly'!$D$5</definedName>
    <definedName name="Perimeter_Depth">'imf input text'!$N$14</definedName>
    <definedName name="perimeter_zones_list">lists!$E$6:$E$9</definedName>
    <definedName name="PMV_Threshold">'Output other'!$D$32</definedName>
    <definedName name="Radiant_Simulation">'imf input text'!$Q$31</definedName>
    <definedName name="RadiantCore_CoolingSP">'imf input text'!$J$121</definedName>
    <definedName name="RadiantCore_NightCoolingSP">'imf input text'!$J$122</definedName>
    <definedName name="RadiantPerim_CoolingSP">'imf input text'!$J$119</definedName>
    <definedName name="RadiantPerim_NightCoolingSP">'imf input text'!$J$120</definedName>
    <definedName name="Recirculation">'imf input text'!$J$38</definedName>
    <definedName name="Return_Plenum">'imf input text'!$Q$32</definedName>
    <definedName name="RowAHUShutoffPressure">Input!$53:$53</definedName>
    <definedName name="RowOnlyOH">Input!$36:$36</definedName>
    <definedName name="RowOnlyUFAD">Input!$37:$46</definedName>
    <definedName name="RowSimulationPeriod">Input!$8:$11</definedName>
    <definedName name="RowUFADInteriorDiffuserPerArea">Input!$41:$41</definedName>
    <definedName name="RowUFADInteriorDiffuserPerPerson">Input!$40:$40</definedName>
    <definedName name="RowUFADInteriorDiffuserPerPerson1">Input!$40:$40</definedName>
    <definedName name="RunType">'imf input text'!$Q$40</definedName>
    <definedName name="RunType_Two">'imf input text'!$J$35</definedName>
    <definedName name="SAT_Reset">'imf input text'!$J$49</definedName>
    <definedName name="save_output">Input!$K$4</definedName>
    <definedName name="SecondMinFrac">'imf input text'!$J$63</definedName>
    <definedName name="Service_Area">'imf input text'!$N$15</definedName>
    <definedName name="Service_Length">'imf input text'!$N$16</definedName>
    <definedName name="Service_Width">'imf input text'!$N$17</definedName>
    <definedName name="Setpoint_Threshold">'Output other'!$D$7</definedName>
    <definedName name="sheet_list">lists!$B$2:$B$2</definedName>
    <definedName name="Simulation_Type">Input!$D$7</definedName>
    <definedName name="SimulationInput">lists!$M$5:$M$7</definedName>
    <definedName name="Sizing_Factor">Input!$D$12</definedName>
    <definedName name="Sizing_Flag">'imf input text'!$Q$33</definedName>
    <definedName name="SN_Area">'imf input text'!$N$19</definedName>
    <definedName name="Start_Day">'imf input text'!$E$10</definedName>
    <definedName name="Start_Month">'imf input text'!$E$9</definedName>
    <definedName name="Supply_Plenum">'imf input text'!$J$102</definedName>
    <definedName name="Swing_Season_Operation">'imf input text'!$J$123</definedName>
    <definedName name="SystemType">lists!$N$5:$N$7</definedName>
    <definedName name="Test_run">#REF!</definedName>
    <definedName name="Thermal_Decay_Sizing">'imf input text'!$J$12</definedName>
    <definedName name="UFAD_Chiller_Sizing_Factor">'imf input text'!$Q$34</definedName>
    <definedName name="UFAD_Int_NumDiffs_GF">'imf input text'!$E$45</definedName>
    <definedName name="UFAD_NumDiffs_GFE">'imf input text'!$E$18</definedName>
    <definedName name="UFAD_SystemType">'imf input text'!$J$57</definedName>
    <definedName name="UFADInteriorDiffuser">lists!$O$5:$O$6</definedName>
    <definedName name="version">'imf input text'!$J$4</definedName>
    <definedName name="Weather_List">lists!$E$13:$E$15</definedName>
    <definedName name="Weather_location">'imf input text'!$J$9</definedName>
    <definedName name="Whole_Floor_Breakdown">'imf input text'!$Q$30</definedName>
    <definedName name="WWR_option">lists!$G$17:$G$19</definedName>
    <definedName name="WWR_value">'imf input text'!$J$19</definedName>
    <definedName name="Zone_Cool_SAT_Core">'imf input text'!$E$89</definedName>
    <definedName name="Zone_Cool_SAT_Perim">'imf input text'!$E$87</definedName>
  </definedNames>
  <calcPr calcId="144525"/>
</workbook>
</file>

<file path=xl/calcChain.xml><?xml version="1.0" encoding="utf-8"?>
<calcChain xmlns="http://schemas.openxmlformats.org/spreadsheetml/2006/main">
  <c r="E274" i="12" l="1"/>
  <c r="E273" i="12"/>
  <c r="B274" i="12"/>
  <c r="G39" i="12" l="1"/>
  <c r="E32" i="12" l="1"/>
  <c r="E31" i="12"/>
  <c r="E50" i="12"/>
  <c r="E49" i="12"/>
  <c r="B29" i="12" l="1"/>
  <c r="J85" i="12" l="1"/>
  <c r="J67" i="12"/>
  <c r="E81" i="12" l="1"/>
  <c r="E82" i="12" s="1"/>
  <c r="E36" i="12"/>
  <c r="E267" i="12" l="1"/>
  <c r="Q40" i="12"/>
  <c r="E15" i="12" l="1"/>
  <c r="T13" i="12"/>
  <c r="B273" i="12"/>
  <c r="E272" i="12" l="1"/>
  <c r="B272" i="12" s="1"/>
  <c r="E268" i="12" l="1"/>
  <c r="B268" i="12" s="1"/>
  <c r="E265" i="12" l="1"/>
  <c r="E266" i="12"/>
  <c r="E257" i="12" l="1"/>
  <c r="B257" i="12" s="1"/>
  <c r="B267" i="12"/>
  <c r="B266" i="12"/>
  <c r="B265" i="12"/>
  <c r="B264" i="12"/>
  <c r="E263" i="12"/>
  <c r="B263" i="12" s="1"/>
  <c r="E262" i="12"/>
  <c r="B262" i="12" s="1"/>
  <c r="E261" i="12"/>
  <c r="B261" i="12" s="1"/>
  <c r="B259" i="12"/>
  <c r="B260" i="12"/>
  <c r="B258" i="12"/>
  <c r="J24" i="12"/>
  <c r="B9" i="12"/>
  <c r="B78" i="12" l="1"/>
  <c r="E255" i="12"/>
  <c r="B255" i="12" s="1"/>
  <c r="B195" i="12"/>
  <c r="B194" i="12"/>
  <c r="B193" i="12"/>
  <c r="B192" i="12"/>
  <c r="E92" i="12" l="1"/>
  <c r="E76" i="12"/>
  <c r="B76" i="12" s="1"/>
  <c r="E71" i="12"/>
  <c r="B71" i="12" s="1"/>
  <c r="E66" i="12"/>
  <c r="B66" i="12" s="1"/>
  <c r="E16" i="12"/>
  <c r="N7" i="30"/>
  <c r="O7" i="30"/>
  <c r="P7" i="30"/>
  <c r="Q7" i="30"/>
  <c r="R7" i="30"/>
  <c r="S7" i="30"/>
  <c r="T7" i="30"/>
  <c r="U7" i="30"/>
  <c r="V7" i="30"/>
  <c r="W7" i="30"/>
  <c r="X7" i="30"/>
  <c r="N8" i="30"/>
  <c r="O8" i="30"/>
  <c r="P8" i="30"/>
  <c r="Q8" i="30"/>
  <c r="R8" i="30"/>
  <c r="S8" i="30"/>
  <c r="T8" i="30"/>
  <c r="U8" i="30"/>
  <c r="V8" i="30"/>
  <c r="W8" i="30"/>
  <c r="X8" i="30"/>
  <c r="N9" i="30"/>
  <c r="O9" i="30"/>
  <c r="P9" i="30"/>
  <c r="Q9" i="30"/>
  <c r="R9" i="30"/>
  <c r="S9" i="30"/>
  <c r="T9" i="30"/>
  <c r="U9" i="30"/>
  <c r="V9" i="30"/>
  <c r="W9" i="30"/>
  <c r="X9" i="30"/>
  <c r="N10" i="30"/>
  <c r="O10" i="30"/>
  <c r="P10" i="30"/>
  <c r="Q10" i="30"/>
  <c r="R10" i="30"/>
  <c r="S10" i="30"/>
  <c r="T10" i="30"/>
  <c r="U10" i="30"/>
  <c r="V10" i="30"/>
  <c r="W10" i="30"/>
  <c r="X10" i="30"/>
  <c r="N11" i="30"/>
  <c r="O11" i="30"/>
  <c r="P11" i="30"/>
  <c r="Q11" i="30"/>
  <c r="R11" i="30"/>
  <c r="S11" i="30"/>
  <c r="T11" i="30"/>
  <c r="U11" i="30"/>
  <c r="V11" i="30"/>
  <c r="W11" i="30"/>
  <c r="X11" i="30"/>
  <c r="N12" i="30"/>
  <c r="O12" i="30"/>
  <c r="P12" i="30"/>
  <c r="Q12" i="30"/>
  <c r="R12" i="30"/>
  <c r="S12" i="30"/>
  <c r="T12" i="30"/>
  <c r="U12" i="30"/>
  <c r="V12" i="30"/>
  <c r="W12" i="30"/>
  <c r="X12" i="30"/>
  <c r="N13" i="30"/>
  <c r="O13" i="30"/>
  <c r="P13" i="30"/>
  <c r="Q13" i="30"/>
  <c r="R13" i="30"/>
  <c r="S13" i="30"/>
  <c r="T13" i="30"/>
  <c r="U13" i="30"/>
  <c r="V13" i="30"/>
  <c r="W13" i="30"/>
  <c r="X13" i="30"/>
  <c r="N14" i="30"/>
  <c r="O14" i="30"/>
  <c r="P14" i="30"/>
  <c r="Q14" i="30"/>
  <c r="R14" i="30"/>
  <c r="S14" i="30"/>
  <c r="T14" i="30"/>
  <c r="U14" i="30"/>
  <c r="V14" i="30"/>
  <c r="W14" i="30"/>
  <c r="X14" i="30"/>
  <c r="N15" i="30"/>
  <c r="O15" i="30"/>
  <c r="P15" i="30"/>
  <c r="Q15" i="30"/>
  <c r="R15" i="30"/>
  <c r="S15" i="30"/>
  <c r="T15" i="30"/>
  <c r="U15" i="30"/>
  <c r="V15" i="30"/>
  <c r="W15" i="30"/>
  <c r="X15" i="30"/>
  <c r="N16" i="30"/>
  <c r="O16" i="30"/>
  <c r="P16" i="30"/>
  <c r="Q16" i="30"/>
  <c r="R16" i="30"/>
  <c r="S16" i="30"/>
  <c r="T16" i="30"/>
  <c r="U16" i="30"/>
  <c r="V16" i="30"/>
  <c r="W16" i="30"/>
  <c r="X16" i="30"/>
  <c r="N17" i="30"/>
  <c r="O17" i="30"/>
  <c r="P17" i="30"/>
  <c r="Q17" i="30"/>
  <c r="R17" i="30"/>
  <c r="S17" i="30"/>
  <c r="T17" i="30"/>
  <c r="U17" i="30"/>
  <c r="V17" i="30"/>
  <c r="W17" i="30"/>
  <c r="X17" i="30"/>
  <c r="M8" i="30"/>
  <c r="M9" i="30"/>
  <c r="M10" i="30"/>
  <c r="M11" i="30"/>
  <c r="M12" i="30"/>
  <c r="M13" i="30"/>
  <c r="M14" i="30"/>
  <c r="M15" i="30"/>
  <c r="M16" i="30"/>
  <c r="M17" i="30"/>
  <c r="N3" i="30"/>
  <c r="O3" i="30"/>
  <c r="P3" i="30"/>
  <c r="Q3" i="30"/>
  <c r="R3" i="30"/>
  <c r="S3" i="30"/>
  <c r="T3" i="30"/>
  <c r="U3" i="30"/>
  <c r="V3" i="30"/>
  <c r="W3" i="30"/>
  <c r="X3" i="30"/>
  <c r="N4" i="30"/>
  <c r="O4" i="30"/>
  <c r="P4" i="30"/>
  <c r="Q4" i="30"/>
  <c r="R4" i="30"/>
  <c r="S4" i="30"/>
  <c r="T4" i="30"/>
  <c r="U4" i="30"/>
  <c r="V4" i="30"/>
  <c r="W4" i="30"/>
  <c r="X4" i="30"/>
  <c r="N5" i="30"/>
  <c r="O5" i="30"/>
  <c r="P5" i="30"/>
  <c r="Q5" i="30"/>
  <c r="R5" i="30"/>
  <c r="S5" i="30"/>
  <c r="T5" i="30"/>
  <c r="U5" i="30"/>
  <c r="V5" i="30"/>
  <c r="W5" i="30"/>
  <c r="X5" i="30"/>
  <c r="N6" i="30"/>
  <c r="O6" i="30"/>
  <c r="P6" i="30"/>
  <c r="Q6" i="30"/>
  <c r="R6" i="30"/>
  <c r="S6" i="30"/>
  <c r="T6" i="30"/>
  <c r="U6" i="30"/>
  <c r="V6" i="30"/>
  <c r="W6" i="30"/>
  <c r="X6" i="30"/>
  <c r="M4" i="30"/>
  <c r="M5" i="30"/>
  <c r="M6" i="30"/>
  <c r="M7" i="30"/>
  <c r="M3" i="30"/>
  <c r="AC2" i="30"/>
  <c r="AD2" i="30" s="1"/>
  <c r="AE2" i="30" s="1"/>
  <c r="AB10" i="30"/>
  <c r="AC3" i="30"/>
  <c r="AD3" i="30" s="1"/>
  <c r="AC4" i="30"/>
  <c r="AD4" i="30" s="1"/>
  <c r="AC5" i="30"/>
  <c r="AD5" i="30" s="1"/>
  <c r="AC6" i="30"/>
  <c r="AD6" i="30" s="1"/>
  <c r="AC7" i="30"/>
  <c r="AD7" i="30" s="1"/>
  <c r="AC8" i="30"/>
  <c r="AD8" i="30" s="1"/>
  <c r="AC9" i="30"/>
  <c r="AD9" i="30" s="1"/>
  <c r="AC10" i="30"/>
  <c r="AD10" i="30" s="1"/>
  <c r="AC11" i="30"/>
  <c r="AD11" i="30" s="1"/>
  <c r="AC12" i="30"/>
  <c r="AD12" i="30" s="1"/>
  <c r="AC13" i="30"/>
  <c r="AD13" i="30" s="1"/>
  <c r="AC14" i="30"/>
  <c r="AD14" i="30" s="1"/>
  <c r="AC15" i="30"/>
  <c r="AD15" i="30" s="1"/>
  <c r="AC16" i="30"/>
  <c r="AD16" i="30" s="1"/>
  <c r="AC17" i="30"/>
  <c r="AD17" i="30" s="1"/>
  <c r="AC18" i="30"/>
  <c r="AD18" i="30" s="1"/>
  <c r="AC19" i="30"/>
  <c r="AD19" i="30" s="1"/>
  <c r="AC20" i="30"/>
  <c r="AD20" i="30" s="1"/>
  <c r="AC21" i="30"/>
  <c r="AD21" i="30" s="1"/>
  <c r="AC22" i="30"/>
  <c r="AD22" i="30" s="1"/>
  <c r="AC23" i="30"/>
  <c r="AD23" i="30" s="1"/>
  <c r="AC24" i="30"/>
  <c r="AD24" i="30" s="1"/>
  <c r="AC25" i="30"/>
  <c r="AD25" i="30" s="1"/>
  <c r="AC26" i="30"/>
  <c r="AD26" i="30" s="1"/>
  <c r="AC27" i="30"/>
  <c r="AD27" i="30" s="1"/>
  <c r="AC28" i="30"/>
  <c r="AD28" i="30" s="1"/>
  <c r="AC29" i="30"/>
  <c r="AD29" i="30" s="1"/>
  <c r="AC30" i="30"/>
  <c r="AD30" i="30" s="1"/>
  <c r="AC31" i="30"/>
  <c r="AD31" i="30" s="1"/>
  <c r="AC32" i="30"/>
  <c r="AD32" i="30" s="1"/>
  <c r="AC33" i="30"/>
  <c r="AD33" i="30" s="1"/>
  <c r="AC34" i="30"/>
  <c r="AD34" i="30" s="1"/>
  <c r="AC35" i="30"/>
  <c r="AD35" i="30" s="1"/>
  <c r="AC36" i="30"/>
  <c r="AD36" i="30" s="1"/>
  <c r="AC37" i="30"/>
  <c r="AD37" i="30" s="1"/>
  <c r="AC38" i="30"/>
  <c r="AD38" i="30" s="1"/>
  <c r="AC39" i="30"/>
  <c r="AD39" i="30" s="1"/>
  <c r="AC40" i="30"/>
  <c r="AD40" i="30" s="1"/>
  <c r="AC41" i="30"/>
  <c r="AD41" i="30" s="1"/>
  <c r="AC42" i="30"/>
  <c r="AD42" i="30" s="1"/>
  <c r="AC43" i="30"/>
  <c r="AD43" i="30" s="1"/>
  <c r="AC44" i="30"/>
  <c r="AD44" i="30" s="1"/>
  <c r="AC45" i="30"/>
  <c r="AD45" i="30" s="1"/>
  <c r="AC46" i="30"/>
  <c r="AD46" i="30" s="1"/>
  <c r="AC47" i="30"/>
  <c r="AD47" i="30" s="1"/>
  <c r="AC48" i="30"/>
  <c r="AD48" i="30" s="1"/>
  <c r="AC49" i="30"/>
  <c r="AD49" i="30" s="1"/>
  <c r="AC50" i="30"/>
  <c r="AD50" i="30" s="1"/>
  <c r="AC51" i="30"/>
  <c r="AD51" i="30" s="1"/>
  <c r="AC52" i="30"/>
  <c r="AD52" i="30" s="1"/>
  <c r="AC53" i="30"/>
  <c r="AD53" i="30" s="1"/>
  <c r="AC54" i="30"/>
  <c r="AD54" i="30" s="1"/>
  <c r="AC55" i="30"/>
  <c r="AD55" i="30" s="1"/>
  <c r="AC56" i="30"/>
  <c r="AD56" i="30" s="1"/>
  <c r="AC57" i="30"/>
  <c r="AD57" i="30" s="1"/>
  <c r="AC58" i="30"/>
  <c r="AD58" i="30" s="1"/>
  <c r="AC59" i="30"/>
  <c r="AD59" i="30" s="1"/>
  <c r="AC60" i="30"/>
  <c r="AD60" i="30" s="1"/>
  <c r="AC61" i="30"/>
  <c r="AD61" i="30" s="1"/>
  <c r="AC62" i="30"/>
  <c r="AD62" i="30" s="1"/>
  <c r="AC63" i="30"/>
  <c r="AD63" i="30" s="1"/>
  <c r="AC64" i="30"/>
  <c r="AD64" i="30" s="1"/>
  <c r="AC65" i="30"/>
  <c r="AD65" i="30" s="1"/>
  <c r="AC66" i="30"/>
  <c r="AD66" i="30" s="1"/>
  <c r="AC67" i="30"/>
  <c r="AD67" i="30" s="1"/>
  <c r="AC68" i="30"/>
  <c r="AD68" i="30" s="1"/>
  <c r="AC69" i="30"/>
  <c r="AD69" i="30" s="1"/>
  <c r="AC70" i="30"/>
  <c r="AD70" i="30" s="1"/>
  <c r="AC71" i="30"/>
  <c r="AD71" i="30" s="1"/>
  <c r="AC72" i="30"/>
  <c r="AD72" i="30" s="1"/>
  <c r="AC73" i="30"/>
  <c r="AD73" i="30" s="1"/>
  <c r="AC74" i="30"/>
  <c r="AD74" i="30" s="1"/>
  <c r="AC75" i="30"/>
  <c r="AD75" i="30" s="1"/>
  <c r="AC76" i="30"/>
  <c r="AD76" i="30" s="1"/>
  <c r="AC77" i="30"/>
  <c r="AD77" i="30" s="1"/>
  <c r="AC78" i="30"/>
  <c r="AD78" i="30" s="1"/>
  <c r="AC79" i="30"/>
  <c r="AD79" i="30" s="1"/>
  <c r="AC80" i="30"/>
  <c r="AD80" i="30" s="1"/>
  <c r="AC81" i="30"/>
  <c r="AD81" i="30" s="1"/>
  <c r="AC82" i="30"/>
  <c r="AD82" i="30" s="1"/>
  <c r="AC83" i="30"/>
  <c r="AD83" i="30" s="1"/>
  <c r="AC84" i="30"/>
  <c r="AD84" i="30" s="1"/>
  <c r="AC85" i="30"/>
  <c r="AD85" i="30" s="1"/>
  <c r="AC86" i="30"/>
  <c r="AD86" i="30" s="1"/>
  <c r="AC87" i="30"/>
  <c r="AD87" i="30" s="1"/>
  <c r="AC88" i="30"/>
  <c r="AD88" i="30" s="1"/>
  <c r="AC89" i="30"/>
  <c r="AD89" i="30" s="1"/>
  <c r="AC90" i="30"/>
  <c r="AD90" i="30" s="1"/>
  <c r="AC91" i="30"/>
  <c r="AD91" i="30" s="1"/>
  <c r="AC92" i="30"/>
  <c r="AD92" i="30" s="1"/>
  <c r="AC93" i="30"/>
  <c r="AD93" i="30" s="1"/>
  <c r="AC94" i="30"/>
  <c r="AD94" i="30" s="1"/>
  <c r="AC95" i="30"/>
  <c r="AD95" i="30" s="1"/>
  <c r="AC96" i="30"/>
  <c r="AD96" i="30" s="1"/>
  <c r="AC97" i="30"/>
  <c r="AD97" i="30" s="1"/>
  <c r="AC98" i="30"/>
  <c r="AD98" i="30" s="1"/>
  <c r="AC99" i="30"/>
  <c r="AD99" i="30" s="1"/>
  <c r="AC100" i="30"/>
  <c r="AD100" i="30" s="1"/>
  <c r="AC101" i="30"/>
  <c r="AD101" i="30" s="1"/>
  <c r="AC102" i="30"/>
  <c r="AD102" i="30" s="1"/>
  <c r="AC103" i="30"/>
  <c r="AD103" i="30" s="1"/>
  <c r="AC104" i="30"/>
  <c r="AD104" i="30" s="1"/>
  <c r="AC105" i="30"/>
  <c r="AD105" i="30" s="1"/>
  <c r="AC106" i="30"/>
  <c r="AD106" i="30" s="1"/>
  <c r="AC107" i="30"/>
  <c r="AD107" i="30" s="1"/>
  <c r="AC108" i="30"/>
  <c r="AD108" i="30" s="1"/>
  <c r="AC109" i="30"/>
  <c r="AD109" i="30" s="1"/>
  <c r="AC110" i="30"/>
  <c r="AD110" i="30" s="1"/>
  <c r="AC111" i="30"/>
  <c r="AD111" i="30" s="1"/>
  <c r="AC112" i="30"/>
  <c r="AD112" i="30" s="1"/>
  <c r="AC113" i="30"/>
  <c r="AD113" i="30" s="1"/>
  <c r="AC114" i="30"/>
  <c r="AD114" i="30" s="1"/>
  <c r="AC115" i="30"/>
  <c r="AD115" i="30" s="1"/>
  <c r="AC116" i="30"/>
  <c r="AD116" i="30" s="1"/>
  <c r="AC117" i="30"/>
  <c r="AD117" i="30" s="1"/>
  <c r="AC118" i="30"/>
  <c r="AD118" i="30" s="1"/>
  <c r="AC119" i="30"/>
  <c r="AD119" i="30" s="1"/>
  <c r="AC120" i="30"/>
  <c r="AD120" i="30" s="1"/>
  <c r="AC121" i="30"/>
  <c r="AD121" i="30" s="1"/>
  <c r="AC122" i="30"/>
  <c r="AD122" i="30" s="1"/>
  <c r="AC123" i="30"/>
  <c r="AD123" i="30" s="1"/>
  <c r="AC124" i="30"/>
  <c r="AD124" i="30" s="1"/>
  <c r="AC125" i="30"/>
  <c r="AD125" i="30" s="1"/>
  <c r="AC126" i="30"/>
  <c r="AD126" i="30" s="1"/>
  <c r="AC127" i="30"/>
  <c r="AD127" i="30" s="1"/>
  <c r="AC128" i="30"/>
  <c r="AD128" i="30" s="1"/>
  <c r="AC129" i="30"/>
  <c r="AD129" i="30" s="1"/>
  <c r="AC130" i="30"/>
  <c r="AD130" i="30" s="1"/>
  <c r="AC131" i="30"/>
  <c r="AD131" i="30" s="1"/>
  <c r="AC132" i="30"/>
  <c r="AD132" i="30" s="1"/>
  <c r="AC133" i="30"/>
  <c r="AD133" i="30" s="1"/>
  <c r="AC134" i="30"/>
  <c r="AD134" i="30" s="1"/>
  <c r="AC135" i="30"/>
  <c r="AD135" i="30" s="1"/>
  <c r="AC136" i="30"/>
  <c r="AD136" i="30" s="1"/>
  <c r="AC137" i="30"/>
  <c r="AD137" i="30" s="1"/>
  <c r="AC138" i="30"/>
  <c r="AD138" i="30" s="1"/>
  <c r="AC139" i="30"/>
  <c r="AD139" i="30" s="1"/>
  <c r="AC140" i="30"/>
  <c r="AD140" i="30" s="1"/>
  <c r="AC141" i="30"/>
  <c r="AD141" i="30" s="1"/>
  <c r="AC142" i="30"/>
  <c r="AD142" i="30" s="1"/>
  <c r="AC143" i="30"/>
  <c r="AD143" i="30" s="1"/>
  <c r="AC144" i="30"/>
  <c r="AD144" i="30" s="1"/>
  <c r="AC145" i="30"/>
  <c r="AD145" i="30" s="1"/>
  <c r="AC146" i="30"/>
  <c r="AD146" i="30" s="1"/>
  <c r="AC147" i="30"/>
  <c r="AD147" i="30" s="1"/>
  <c r="AC148" i="30"/>
  <c r="AD148" i="30" s="1"/>
  <c r="AC149" i="30"/>
  <c r="AD149" i="30" s="1"/>
  <c r="AC150" i="30"/>
  <c r="AD150" i="30" s="1"/>
  <c r="AC151" i="30"/>
  <c r="AD151" i="30" s="1"/>
  <c r="AC152" i="30"/>
  <c r="AD152" i="30" s="1"/>
  <c r="AC153" i="30"/>
  <c r="AD153" i="30" s="1"/>
  <c r="AC154" i="30"/>
  <c r="AD154" i="30" s="1"/>
  <c r="AC155" i="30"/>
  <c r="AD155" i="30" s="1"/>
  <c r="AC156" i="30"/>
  <c r="AD156" i="30" s="1"/>
  <c r="AC157" i="30"/>
  <c r="AD157" i="30" s="1"/>
  <c r="AC158" i="30"/>
  <c r="AD158" i="30" s="1"/>
  <c r="AC159" i="30"/>
  <c r="AD159" i="30" s="1"/>
  <c r="AC160" i="30"/>
  <c r="AD160" i="30" s="1"/>
  <c r="AC161" i="30"/>
  <c r="AD161" i="30" s="1"/>
  <c r="AC162" i="30"/>
  <c r="AD162" i="30" s="1"/>
  <c r="AC163" i="30"/>
  <c r="AD163" i="30" s="1"/>
  <c r="AC164" i="30"/>
  <c r="AD164" i="30" s="1"/>
  <c r="AC165" i="30"/>
  <c r="AD165" i="30" s="1"/>
  <c r="AC166" i="30"/>
  <c r="AD166" i="30" s="1"/>
  <c r="AC167" i="30"/>
  <c r="AD167" i="30" s="1"/>
  <c r="AC168" i="30"/>
  <c r="AD168" i="30" s="1"/>
  <c r="AC169" i="30"/>
  <c r="AD169" i="30" s="1"/>
  <c r="AC170" i="30"/>
  <c r="AD170" i="30" s="1"/>
  <c r="AC171" i="30"/>
  <c r="AD171" i="30" s="1"/>
  <c r="AC172" i="30"/>
  <c r="AD172" i="30" s="1"/>
  <c r="AC173" i="30"/>
  <c r="AD173" i="30" s="1"/>
  <c r="AC174" i="30"/>
  <c r="AD174" i="30" s="1"/>
  <c r="AC175" i="30"/>
  <c r="AD175" i="30" s="1"/>
  <c r="AC176" i="30"/>
  <c r="AD176" i="30" s="1"/>
  <c r="AC177" i="30"/>
  <c r="AD177" i="30" s="1"/>
  <c r="AC178" i="30"/>
  <c r="AD178" i="30" s="1"/>
  <c r="AC179" i="30"/>
  <c r="AD179" i="30" s="1"/>
  <c r="AC180" i="30"/>
  <c r="AD180" i="30" s="1"/>
  <c r="AC181" i="30"/>
  <c r="AD181" i="30" s="1"/>
  <c r="AC182" i="30"/>
  <c r="AD182" i="30" s="1"/>
  <c r="AC183" i="30"/>
  <c r="AD183" i="30" s="1"/>
  <c r="AC184" i="30"/>
  <c r="AD184" i="30" s="1"/>
  <c r="AC185" i="30"/>
  <c r="AD185" i="30" s="1"/>
  <c r="AC186" i="30"/>
  <c r="AD186" i="30" s="1"/>
  <c r="AC187" i="30"/>
  <c r="AD187" i="30" s="1"/>
  <c r="AC188" i="30"/>
  <c r="AD188" i="30" s="1"/>
  <c r="AC189" i="30"/>
  <c r="AD189" i="30" s="1"/>
  <c r="AC190" i="30"/>
  <c r="AD190" i="30" s="1"/>
  <c r="AC191" i="30"/>
  <c r="AD191" i="30" s="1"/>
  <c r="AC192" i="30"/>
  <c r="AD192" i="30" s="1"/>
  <c r="AC193" i="30"/>
  <c r="AD193" i="30" s="1"/>
  <c r="AC194" i="30"/>
  <c r="AD194" i="30" s="1"/>
  <c r="AC195" i="30"/>
  <c r="AD195" i="30" s="1"/>
  <c r="AC196" i="30"/>
  <c r="AD196" i="30" s="1"/>
  <c r="AC197" i="30"/>
  <c r="AD197" i="30" s="1"/>
  <c r="AC198" i="30"/>
  <c r="AD198" i="30" s="1"/>
  <c r="AC199" i="30"/>
  <c r="AD199" i="30" s="1"/>
  <c r="AC200" i="30"/>
  <c r="AD200" i="30" s="1"/>
  <c r="AC201" i="30"/>
  <c r="AD201" i="30" s="1"/>
  <c r="AC202" i="30"/>
  <c r="AD202" i="30" s="1"/>
  <c r="AC203" i="30"/>
  <c r="AD203" i="30" s="1"/>
  <c r="AC204" i="30"/>
  <c r="AD204" i="30" s="1"/>
  <c r="AC205" i="30"/>
  <c r="AD205" i="30" s="1"/>
  <c r="AC206" i="30"/>
  <c r="AD206" i="30" s="1"/>
  <c r="AC207" i="30"/>
  <c r="AD207" i="30" s="1"/>
  <c r="AC208" i="30"/>
  <c r="AD208" i="30" s="1"/>
  <c r="AC209" i="30"/>
  <c r="AD209" i="30" s="1"/>
  <c r="AC210" i="30"/>
  <c r="AD210" i="30" s="1"/>
  <c r="AC211" i="30"/>
  <c r="AD211" i="30" s="1"/>
  <c r="AC212" i="30"/>
  <c r="AD212" i="30" s="1"/>
  <c r="AC213" i="30"/>
  <c r="AD213" i="30" s="1"/>
  <c r="AC214" i="30"/>
  <c r="AD214" i="30" s="1"/>
  <c r="AC215" i="30"/>
  <c r="AD215" i="30" s="1"/>
  <c r="AC216" i="30"/>
  <c r="AD216" i="30" s="1"/>
  <c r="AC217" i="30"/>
  <c r="AD217" i="30" s="1"/>
  <c r="AC218" i="30"/>
  <c r="AD218" i="30" s="1"/>
  <c r="AC219" i="30"/>
  <c r="AD219" i="30" s="1"/>
  <c r="AC220" i="30"/>
  <c r="AD220" i="30" s="1"/>
  <c r="AC221" i="30"/>
  <c r="AD221" i="30" s="1"/>
  <c r="AC222" i="30"/>
  <c r="AD222" i="30" s="1"/>
  <c r="AC223" i="30"/>
  <c r="AD223" i="30" s="1"/>
  <c r="AC224" i="30"/>
  <c r="AD224" i="30" s="1"/>
  <c r="AC225" i="30"/>
  <c r="AD225" i="30" s="1"/>
  <c r="AC226" i="30"/>
  <c r="AD226" i="30" s="1"/>
  <c r="AC227" i="30"/>
  <c r="AD227" i="30" s="1"/>
  <c r="AC228" i="30"/>
  <c r="AD228" i="30" s="1"/>
  <c r="AC229" i="30"/>
  <c r="AD229" i="30" s="1"/>
  <c r="AC230" i="30"/>
  <c r="AD230" i="30" s="1"/>
  <c r="AC231" i="30"/>
  <c r="AD231" i="30" s="1"/>
  <c r="AC232" i="30"/>
  <c r="AD232" i="30" s="1"/>
  <c r="AC233" i="30"/>
  <c r="AD233" i="30" s="1"/>
  <c r="AC234" i="30"/>
  <c r="AD234" i="30" s="1"/>
  <c r="AC235" i="30"/>
  <c r="AD235" i="30" s="1"/>
  <c r="AC236" i="30"/>
  <c r="AD236" i="30" s="1"/>
  <c r="AC237" i="30"/>
  <c r="AD237" i="30" s="1"/>
  <c r="AC238" i="30"/>
  <c r="AD238" i="30" s="1"/>
  <c r="AC239" i="30"/>
  <c r="AD239" i="30" s="1"/>
  <c r="AC240" i="30"/>
  <c r="AD240" i="30" s="1"/>
  <c r="AC241" i="30"/>
  <c r="AD241" i="30" s="1"/>
  <c r="AC242" i="30"/>
  <c r="AD242" i="30" s="1"/>
  <c r="AC243" i="30"/>
  <c r="AD243" i="30" s="1"/>
  <c r="AC244" i="30"/>
  <c r="AD244" i="30" s="1"/>
  <c r="AC245" i="30"/>
  <c r="AD245" i="30" s="1"/>
  <c r="AC246" i="30"/>
  <c r="AD246" i="30" s="1"/>
  <c r="AC247" i="30"/>
  <c r="AD247" i="30" s="1"/>
  <c r="AC248" i="30"/>
  <c r="AD248" i="30" s="1"/>
  <c r="AC249" i="30"/>
  <c r="AD249" i="30" s="1"/>
  <c r="AC250" i="30"/>
  <c r="AD250" i="30" s="1"/>
  <c r="AC251" i="30"/>
  <c r="AD251" i="30" s="1"/>
  <c r="AC252" i="30"/>
  <c r="AD252" i="30" s="1"/>
  <c r="AC253" i="30"/>
  <c r="AD253" i="30" s="1"/>
  <c r="AC254" i="30"/>
  <c r="AD254" i="30" s="1"/>
  <c r="AC255" i="30"/>
  <c r="AD255" i="30" s="1"/>
  <c r="AC256" i="30"/>
  <c r="AD256" i="30" s="1"/>
  <c r="AC257" i="30"/>
  <c r="AD257" i="30" s="1"/>
  <c r="AC258" i="30"/>
  <c r="AD258" i="30" s="1"/>
  <c r="AC259" i="30"/>
  <c r="AD259" i="30" s="1"/>
  <c r="AC260" i="30"/>
  <c r="AD260" i="30" s="1"/>
  <c r="AC261" i="30"/>
  <c r="AD261" i="30" s="1"/>
  <c r="AC262" i="30"/>
  <c r="AD262" i="30" s="1"/>
  <c r="AC263" i="30"/>
  <c r="AD263" i="30" s="1"/>
  <c r="AC264" i="30"/>
  <c r="AD264" i="30" s="1"/>
  <c r="AC265" i="30"/>
  <c r="AD265" i="30" s="1"/>
  <c r="AC266" i="30"/>
  <c r="AD266" i="30" s="1"/>
  <c r="AC267" i="30"/>
  <c r="AD267" i="30" s="1"/>
  <c r="AC268" i="30"/>
  <c r="AD268" i="30" s="1"/>
  <c r="AC269" i="30"/>
  <c r="AD269" i="30" s="1"/>
  <c r="AC270" i="30"/>
  <c r="AD270" i="30" s="1"/>
  <c r="AC271" i="30"/>
  <c r="AD271" i="30" s="1"/>
  <c r="AC272" i="30"/>
  <c r="AD272" i="30" s="1"/>
  <c r="AC273" i="30"/>
  <c r="AD273" i="30" s="1"/>
  <c r="AC274" i="30"/>
  <c r="AD274" i="30" s="1"/>
  <c r="AC275" i="30"/>
  <c r="AD275" i="30" s="1"/>
  <c r="AC276" i="30"/>
  <c r="AD276" i="30" s="1"/>
  <c r="AC277" i="30"/>
  <c r="AD277" i="30" s="1"/>
  <c r="AC278" i="30"/>
  <c r="AD278" i="30" s="1"/>
  <c r="AC279" i="30"/>
  <c r="AD279" i="30" s="1"/>
  <c r="AC280" i="30"/>
  <c r="AD280" i="30" s="1"/>
  <c r="AC281" i="30"/>
  <c r="AD281" i="30" s="1"/>
  <c r="AC282" i="30"/>
  <c r="AD282" i="30" s="1"/>
  <c r="AC283" i="30"/>
  <c r="AD283" i="30" s="1"/>
  <c r="AC284" i="30"/>
  <c r="AD284" i="30" s="1"/>
  <c r="AC285" i="30"/>
  <c r="AD285" i="30" s="1"/>
  <c r="AC286" i="30"/>
  <c r="AD286" i="30" s="1"/>
  <c r="AC287" i="30"/>
  <c r="AD287" i="30" s="1"/>
  <c r="AC288" i="30"/>
  <c r="AD288" i="30" s="1"/>
  <c r="AC289" i="30"/>
  <c r="AD289" i="30" s="1"/>
  <c r="AC290" i="30"/>
  <c r="AD290" i="30" s="1"/>
  <c r="AC291" i="30"/>
  <c r="AD291" i="30" s="1"/>
  <c r="AC292" i="30"/>
  <c r="AD292" i="30" s="1"/>
  <c r="AC293" i="30"/>
  <c r="AD293" i="30" s="1"/>
  <c r="AC294" i="30"/>
  <c r="AD294" i="30" s="1"/>
  <c r="AC295" i="30"/>
  <c r="AD295" i="30" s="1"/>
  <c r="AC296" i="30"/>
  <c r="AD296" i="30" s="1"/>
  <c r="AC297" i="30"/>
  <c r="AD297" i="30" s="1"/>
  <c r="AC298" i="30"/>
  <c r="AD298" i="30" s="1"/>
  <c r="AC299" i="30"/>
  <c r="AD299" i="30" s="1"/>
  <c r="AC300" i="30"/>
  <c r="AD300" i="30" s="1"/>
  <c r="AC301" i="30"/>
  <c r="AD301" i="30" s="1"/>
  <c r="AC302" i="30"/>
  <c r="AD302" i="30" s="1"/>
  <c r="AC303" i="30"/>
  <c r="AD303" i="30" s="1"/>
  <c r="AC304" i="30"/>
  <c r="AD304" i="30" s="1"/>
  <c r="AC305" i="30"/>
  <c r="AD305" i="30" s="1"/>
  <c r="AC306" i="30"/>
  <c r="AD306" i="30" s="1"/>
  <c r="AC307" i="30"/>
  <c r="AD307" i="30" s="1"/>
  <c r="AC308" i="30"/>
  <c r="AD308" i="30" s="1"/>
  <c r="AC309" i="30"/>
  <c r="AD309" i="30" s="1"/>
  <c r="AC310" i="30"/>
  <c r="AD310" i="30" s="1"/>
  <c r="AC311" i="30"/>
  <c r="AD311" i="30" s="1"/>
  <c r="AC312" i="30"/>
  <c r="AD312" i="30" s="1"/>
  <c r="AC313" i="30"/>
  <c r="AD313" i="30" s="1"/>
  <c r="AC314" i="30"/>
  <c r="AD314" i="30" s="1"/>
  <c r="AC315" i="30"/>
  <c r="AD315" i="30" s="1"/>
  <c r="AC316" i="30"/>
  <c r="AD316" i="30" s="1"/>
  <c r="AC317" i="30"/>
  <c r="AD317" i="30" s="1"/>
  <c r="AC318" i="30"/>
  <c r="AD318" i="30" s="1"/>
  <c r="AC319" i="30"/>
  <c r="AD319" i="30" s="1"/>
  <c r="AC320" i="30"/>
  <c r="AD320" i="30" s="1"/>
  <c r="AC321" i="30"/>
  <c r="AD321" i="30" s="1"/>
  <c r="AC322" i="30"/>
  <c r="AD322" i="30" s="1"/>
  <c r="AC323" i="30"/>
  <c r="AD323" i="30" s="1"/>
  <c r="AC324" i="30"/>
  <c r="AD324" i="30" s="1"/>
  <c r="AC325" i="30"/>
  <c r="AD325" i="30" s="1"/>
  <c r="AC326" i="30"/>
  <c r="AD326" i="30" s="1"/>
  <c r="AC327" i="30"/>
  <c r="AD327" i="30" s="1"/>
  <c r="AC328" i="30"/>
  <c r="AD328" i="30" s="1"/>
  <c r="AC329" i="30"/>
  <c r="AD329" i="30" s="1"/>
  <c r="AC330" i="30"/>
  <c r="AD330" i="30" s="1"/>
  <c r="AC331" i="30"/>
  <c r="AD331" i="30" s="1"/>
  <c r="AC332" i="30"/>
  <c r="AD332" i="30" s="1"/>
  <c r="AC333" i="30"/>
  <c r="AD333" i="30" s="1"/>
  <c r="AC334" i="30"/>
  <c r="AD334" i="30" s="1"/>
  <c r="AC335" i="30"/>
  <c r="AD335" i="30" s="1"/>
  <c r="AC336" i="30"/>
  <c r="AD336" i="30" s="1"/>
  <c r="AC337" i="30"/>
  <c r="AD337" i="30" s="1"/>
  <c r="AC338" i="30"/>
  <c r="AD338" i="30" s="1"/>
  <c r="AC339" i="30"/>
  <c r="AD339" i="30" s="1"/>
  <c r="AC340" i="30"/>
  <c r="AD340" i="30" s="1"/>
  <c r="AC341" i="30"/>
  <c r="AD341" i="30" s="1"/>
  <c r="AC342" i="30"/>
  <c r="AD342" i="30" s="1"/>
  <c r="AC343" i="30"/>
  <c r="AD343" i="30" s="1"/>
  <c r="AC344" i="30"/>
  <c r="AD344" i="30" s="1"/>
  <c r="AC345" i="30"/>
  <c r="AD345" i="30" s="1"/>
  <c r="AC346" i="30"/>
  <c r="AD346" i="30" s="1"/>
  <c r="AC347" i="30"/>
  <c r="AD347" i="30" s="1"/>
  <c r="AC348" i="30"/>
  <c r="AD348" i="30" s="1"/>
  <c r="AC349" i="30"/>
  <c r="AD349" i="30" s="1"/>
  <c r="AC350" i="30"/>
  <c r="AD350" i="30" s="1"/>
  <c r="AC351" i="30"/>
  <c r="AD351" i="30" s="1"/>
  <c r="AC352" i="30"/>
  <c r="AD352" i="30" s="1"/>
  <c r="AC353" i="30"/>
  <c r="AD353" i="30" s="1"/>
  <c r="AC354" i="30"/>
  <c r="AD354" i="30" s="1"/>
  <c r="AC355" i="30"/>
  <c r="AD355" i="30" s="1"/>
  <c r="AC356" i="30"/>
  <c r="AD356" i="30" s="1"/>
  <c r="AC357" i="30"/>
  <c r="AD357" i="30" s="1"/>
  <c r="AC358" i="30"/>
  <c r="AD358" i="30" s="1"/>
  <c r="AC359" i="30"/>
  <c r="AD359" i="30" s="1"/>
  <c r="AC360" i="30"/>
  <c r="AD360" i="30" s="1"/>
  <c r="AC361" i="30"/>
  <c r="AD361" i="30" s="1"/>
  <c r="AC362" i="30"/>
  <c r="AD362" i="30" s="1"/>
  <c r="AC363" i="30"/>
  <c r="AD363" i="30" s="1"/>
  <c r="AC364" i="30"/>
  <c r="AD364" i="30" s="1"/>
  <c r="AC365" i="30"/>
  <c r="AD365" i="30" s="1"/>
  <c r="AC366" i="30"/>
  <c r="AD366" i="30" s="1"/>
  <c r="AC367" i="30"/>
  <c r="AD367" i="30" s="1"/>
  <c r="AC368" i="30"/>
  <c r="AD368" i="30" s="1"/>
  <c r="AC369" i="30"/>
  <c r="AD369" i="30" s="1"/>
  <c r="AC370" i="30"/>
  <c r="AD370" i="30" s="1"/>
  <c r="AC371" i="30"/>
  <c r="AD371" i="30" s="1"/>
  <c r="AC372" i="30"/>
  <c r="AD372" i="30" s="1"/>
  <c r="AC373" i="30"/>
  <c r="AD373" i="30" s="1"/>
  <c r="AC374" i="30"/>
  <c r="AD374" i="30" s="1"/>
  <c r="AC375" i="30"/>
  <c r="AD375" i="30" s="1"/>
  <c r="AC376" i="30"/>
  <c r="AD376" i="30" s="1"/>
  <c r="AC377" i="30"/>
  <c r="AD377" i="30" s="1"/>
  <c r="AC378" i="30"/>
  <c r="AD378" i="30" s="1"/>
  <c r="AC379" i="30"/>
  <c r="AD379" i="30" s="1"/>
  <c r="AC380" i="30"/>
  <c r="AD380" i="30" s="1"/>
  <c r="AC381" i="30"/>
  <c r="AD381" i="30" s="1"/>
  <c r="AC382" i="30"/>
  <c r="AD382" i="30" s="1"/>
  <c r="AC383" i="30"/>
  <c r="AD383" i="30" s="1"/>
  <c r="AC384" i="30"/>
  <c r="AD384" i="30" s="1"/>
  <c r="AC385" i="30"/>
  <c r="AD385" i="30" s="1"/>
  <c r="AC386" i="30"/>
  <c r="AD386" i="30" s="1"/>
  <c r="AC387" i="30"/>
  <c r="AD387" i="30" s="1"/>
  <c r="AC388" i="30"/>
  <c r="AD388" i="30" s="1"/>
  <c r="AC389" i="30"/>
  <c r="AD389" i="30" s="1"/>
  <c r="AC390" i="30"/>
  <c r="AD390" i="30" s="1"/>
  <c r="AC391" i="30"/>
  <c r="AD391" i="30" s="1"/>
  <c r="AC392" i="30"/>
  <c r="AD392" i="30" s="1"/>
  <c r="AC393" i="30"/>
  <c r="AD393" i="30" s="1"/>
  <c r="AC394" i="30"/>
  <c r="AD394" i="30" s="1"/>
  <c r="AC395" i="30"/>
  <c r="AD395" i="30" s="1"/>
  <c r="AC396" i="30"/>
  <c r="AD396" i="30" s="1"/>
  <c r="AC397" i="30"/>
  <c r="AD397" i="30" s="1"/>
  <c r="AC398" i="30"/>
  <c r="AD398" i="30" s="1"/>
  <c r="AC399" i="30"/>
  <c r="AD399" i="30" s="1"/>
  <c r="AC400" i="30"/>
  <c r="AD400" i="30" s="1"/>
  <c r="AC401" i="30"/>
  <c r="AD401" i="30" s="1"/>
  <c r="AC402" i="30"/>
  <c r="AD402" i="30" s="1"/>
  <c r="AC403" i="30"/>
  <c r="AD403" i="30" s="1"/>
  <c r="AC404" i="30"/>
  <c r="AD404" i="30" s="1"/>
  <c r="AC405" i="30"/>
  <c r="AD405" i="30" s="1"/>
  <c r="AC406" i="30"/>
  <c r="AD406" i="30" s="1"/>
  <c r="AC407" i="30"/>
  <c r="AD407" i="30" s="1"/>
  <c r="AC408" i="30"/>
  <c r="AD408" i="30" s="1"/>
  <c r="AC409" i="30"/>
  <c r="AD409" i="30" s="1"/>
  <c r="AC410" i="30"/>
  <c r="AD410" i="30" s="1"/>
  <c r="AC411" i="30"/>
  <c r="AD411" i="30" s="1"/>
  <c r="AC412" i="30"/>
  <c r="AD412" i="30" s="1"/>
  <c r="AC413" i="30"/>
  <c r="AD413" i="30" s="1"/>
  <c r="AC414" i="30"/>
  <c r="AD414" i="30" s="1"/>
  <c r="AC415" i="30"/>
  <c r="AD415" i="30" s="1"/>
  <c r="AC416" i="30"/>
  <c r="AD416" i="30" s="1"/>
  <c r="AC417" i="30"/>
  <c r="AD417" i="30" s="1"/>
  <c r="AC418" i="30"/>
  <c r="AD418" i="30" s="1"/>
  <c r="AC419" i="30"/>
  <c r="AD419" i="30" s="1"/>
  <c r="AC420" i="30"/>
  <c r="AD420" i="30" s="1"/>
  <c r="AC421" i="30"/>
  <c r="AD421" i="30" s="1"/>
  <c r="AC422" i="30"/>
  <c r="AD422" i="30" s="1"/>
  <c r="AC423" i="30"/>
  <c r="AD423" i="30" s="1"/>
  <c r="AC424" i="30"/>
  <c r="AD424" i="30" s="1"/>
  <c r="AC425" i="30"/>
  <c r="AD425" i="30" s="1"/>
  <c r="AC426" i="30"/>
  <c r="AD426" i="30" s="1"/>
  <c r="AC427" i="30"/>
  <c r="AD427" i="30" s="1"/>
  <c r="AC428" i="30"/>
  <c r="AD428" i="30" s="1"/>
  <c r="AC429" i="30"/>
  <c r="AD429" i="30" s="1"/>
  <c r="AC430" i="30"/>
  <c r="AD430" i="30" s="1"/>
  <c r="AC431" i="30"/>
  <c r="AD431" i="30" s="1"/>
  <c r="AC432" i="30"/>
  <c r="AD432" i="30" s="1"/>
  <c r="AC433" i="30"/>
  <c r="AD433" i="30" s="1"/>
  <c r="AC434" i="30"/>
  <c r="AD434" i="30" s="1"/>
  <c r="AC435" i="30"/>
  <c r="AD435" i="30" s="1"/>
  <c r="AC436" i="30"/>
  <c r="AD436" i="30" s="1"/>
  <c r="AC437" i="30"/>
  <c r="AD437" i="30" s="1"/>
  <c r="AC438" i="30"/>
  <c r="AD438" i="30" s="1"/>
  <c r="AC439" i="30"/>
  <c r="AD439" i="30" s="1"/>
  <c r="AC440" i="30"/>
  <c r="AD440" i="30" s="1"/>
  <c r="AC441" i="30"/>
  <c r="AD441" i="30" s="1"/>
  <c r="AC442" i="30"/>
  <c r="AD442" i="30" s="1"/>
  <c r="AC443" i="30"/>
  <c r="AD443" i="30" s="1"/>
  <c r="AC444" i="30"/>
  <c r="AD444" i="30" s="1"/>
  <c r="AC445" i="30"/>
  <c r="AD445" i="30" s="1"/>
  <c r="AC446" i="30"/>
  <c r="AD446" i="30" s="1"/>
  <c r="AC447" i="30"/>
  <c r="AD447" i="30" s="1"/>
  <c r="AC448" i="30"/>
  <c r="AD448" i="30" s="1"/>
  <c r="AC449" i="30"/>
  <c r="AD449" i="30" s="1"/>
  <c r="AC450" i="30"/>
  <c r="AD450" i="30" s="1"/>
  <c r="AC451" i="30"/>
  <c r="AD451" i="30" s="1"/>
  <c r="AC452" i="30"/>
  <c r="AD452" i="30" s="1"/>
  <c r="AC453" i="30"/>
  <c r="AD453" i="30" s="1"/>
  <c r="AC454" i="30"/>
  <c r="AD454" i="30" s="1"/>
  <c r="AC455" i="30"/>
  <c r="AD455" i="30" s="1"/>
  <c r="AC456" i="30"/>
  <c r="AD456" i="30" s="1"/>
  <c r="AC457" i="30"/>
  <c r="AD457" i="30" s="1"/>
  <c r="AC458" i="30"/>
  <c r="AD458" i="30" s="1"/>
  <c r="AC459" i="30"/>
  <c r="AD459" i="30" s="1"/>
  <c r="AC460" i="30"/>
  <c r="AD460" i="30" s="1"/>
  <c r="AC461" i="30"/>
  <c r="AD461" i="30" s="1"/>
  <c r="AC462" i="30"/>
  <c r="AD462" i="30" s="1"/>
  <c r="AC463" i="30"/>
  <c r="AD463" i="30" s="1"/>
  <c r="AC464" i="30"/>
  <c r="AD464" i="30" s="1"/>
  <c r="AC465" i="30"/>
  <c r="AD465" i="30" s="1"/>
  <c r="AC466" i="30"/>
  <c r="AD466" i="30" s="1"/>
  <c r="AC467" i="30"/>
  <c r="AD467" i="30" s="1"/>
  <c r="AC468" i="30"/>
  <c r="AD468" i="30" s="1"/>
  <c r="AC469" i="30"/>
  <c r="AD469" i="30" s="1"/>
  <c r="AC470" i="30"/>
  <c r="AD470" i="30" s="1"/>
  <c r="AC471" i="30"/>
  <c r="AD471" i="30" s="1"/>
  <c r="AC472" i="30"/>
  <c r="AD472" i="30" s="1"/>
  <c r="AC473" i="30"/>
  <c r="AD473" i="30" s="1"/>
  <c r="AC474" i="30"/>
  <c r="AD474" i="30" s="1"/>
  <c r="AC475" i="30"/>
  <c r="AD475" i="30" s="1"/>
  <c r="AC476" i="30"/>
  <c r="AD476" i="30" s="1"/>
  <c r="AC477" i="30"/>
  <c r="AD477" i="30" s="1"/>
  <c r="AC478" i="30"/>
  <c r="AD478" i="30" s="1"/>
  <c r="AC479" i="30"/>
  <c r="AD479" i="30" s="1"/>
  <c r="AC480" i="30"/>
  <c r="AD480" i="30" s="1"/>
  <c r="AC481" i="30"/>
  <c r="AD481" i="30" s="1"/>
  <c r="AC482" i="30"/>
  <c r="AD482" i="30" s="1"/>
  <c r="AC483" i="30"/>
  <c r="AD483" i="30" s="1"/>
  <c r="AC484" i="30"/>
  <c r="AD484" i="30" s="1"/>
  <c r="AC485" i="30"/>
  <c r="AD485" i="30" s="1"/>
  <c r="AC486" i="30"/>
  <c r="AD486" i="30" s="1"/>
  <c r="AC487" i="30"/>
  <c r="AD487" i="30" s="1"/>
  <c r="AC488" i="30"/>
  <c r="AD488" i="30" s="1"/>
  <c r="AC489" i="30"/>
  <c r="AD489" i="30" s="1"/>
  <c r="AC490" i="30"/>
  <c r="AD490" i="30" s="1"/>
  <c r="AC491" i="30"/>
  <c r="AD491" i="30" s="1"/>
  <c r="AC492" i="30"/>
  <c r="AD492" i="30" s="1"/>
  <c r="AC493" i="30"/>
  <c r="AD493" i="30" s="1"/>
  <c r="AC494" i="30"/>
  <c r="AD494" i="30" s="1"/>
  <c r="AC495" i="30"/>
  <c r="AD495" i="30" s="1"/>
  <c r="AC496" i="30"/>
  <c r="AD496" i="30" s="1"/>
  <c r="AC497" i="30"/>
  <c r="AD497" i="30" s="1"/>
  <c r="AC498" i="30"/>
  <c r="AD498" i="30" s="1"/>
  <c r="AC499" i="30"/>
  <c r="AD499" i="30" s="1"/>
  <c r="AC500" i="30"/>
  <c r="AD500" i="30" s="1"/>
  <c r="AC501" i="30"/>
  <c r="AD501" i="30" s="1"/>
  <c r="AC502" i="30"/>
  <c r="AD502" i="30" s="1"/>
  <c r="AC503" i="30"/>
  <c r="AD503" i="30" s="1"/>
  <c r="AC504" i="30"/>
  <c r="AD504" i="30" s="1"/>
  <c r="AC505" i="30"/>
  <c r="AD505" i="30" s="1"/>
  <c r="AC506" i="30"/>
  <c r="AD506" i="30" s="1"/>
  <c r="AC507" i="30"/>
  <c r="AD507" i="30" s="1"/>
  <c r="AC508" i="30"/>
  <c r="AD508" i="30" s="1"/>
  <c r="AC509" i="30"/>
  <c r="AD509" i="30" s="1"/>
  <c r="AC510" i="30"/>
  <c r="AD510" i="30" s="1"/>
  <c r="AC511" i="30"/>
  <c r="AD511" i="30" s="1"/>
  <c r="AC512" i="30"/>
  <c r="AD512" i="30" s="1"/>
  <c r="AC513" i="30"/>
  <c r="AD513" i="30" s="1"/>
  <c r="AC514" i="30"/>
  <c r="AD514" i="30" s="1"/>
  <c r="AC515" i="30"/>
  <c r="AD515" i="30" s="1"/>
  <c r="AC516" i="30"/>
  <c r="AD516" i="30" s="1"/>
  <c r="AC517" i="30"/>
  <c r="AD517" i="30" s="1"/>
  <c r="AC518" i="30"/>
  <c r="AD518" i="30" s="1"/>
  <c r="AC519" i="30"/>
  <c r="AD519" i="30" s="1"/>
  <c r="AC520" i="30"/>
  <c r="AD520" i="30" s="1"/>
  <c r="AC521" i="30"/>
  <c r="AD521" i="30" s="1"/>
  <c r="AC522" i="30"/>
  <c r="AD522" i="30" s="1"/>
  <c r="AC523" i="30"/>
  <c r="AD523" i="30" s="1"/>
  <c r="AC524" i="30"/>
  <c r="AD524" i="30" s="1"/>
  <c r="AC525" i="30"/>
  <c r="AD525" i="30" s="1"/>
  <c r="AC526" i="30"/>
  <c r="AD526" i="30" s="1"/>
  <c r="AC527" i="30"/>
  <c r="AD527" i="30" s="1"/>
  <c r="AC528" i="30"/>
  <c r="AD528" i="30" s="1"/>
  <c r="AC529" i="30"/>
  <c r="AD529" i="30" s="1"/>
  <c r="AC530" i="30"/>
  <c r="AD530" i="30" s="1"/>
  <c r="AC531" i="30"/>
  <c r="AD531" i="30" s="1"/>
  <c r="AC532" i="30"/>
  <c r="AD532" i="30" s="1"/>
  <c r="AC533" i="30"/>
  <c r="AD533" i="30" s="1"/>
  <c r="AC534" i="30"/>
  <c r="AD534" i="30" s="1"/>
  <c r="AC535" i="30"/>
  <c r="AD535" i="30" s="1"/>
  <c r="AC536" i="30"/>
  <c r="AD536" i="30" s="1"/>
  <c r="AC537" i="30"/>
  <c r="AD537" i="30" s="1"/>
  <c r="AC538" i="30"/>
  <c r="AD538" i="30" s="1"/>
  <c r="AC539" i="30"/>
  <c r="AD539" i="30" s="1"/>
  <c r="AC540" i="30"/>
  <c r="AD540" i="30" s="1"/>
  <c r="AC541" i="30"/>
  <c r="AD541" i="30" s="1"/>
  <c r="AC542" i="30"/>
  <c r="AD542" i="30" s="1"/>
  <c r="AC543" i="30"/>
  <c r="AD543" i="30" s="1"/>
  <c r="AC544" i="30"/>
  <c r="AD544" i="30" s="1"/>
  <c r="AC545" i="30"/>
  <c r="AD545" i="30" s="1"/>
  <c r="AC546" i="30"/>
  <c r="AD546" i="30" s="1"/>
  <c r="AC547" i="30"/>
  <c r="AD547" i="30" s="1"/>
  <c r="AC548" i="30"/>
  <c r="AD548" i="30" s="1"/>
  <c r="AC549" i="30"/>
  <c r="AD549" i="30" s="1"/>
  <c r="AC550" i="30"/>
  <c r="AD550" i="30" s="1"/>
  <c r="AC551" i="30"/>
  <c r="AD551" i="30" s="1"/>
  <c r="AC552" i="30"/>
  <c r="AD552" i="30" s="1"/>
  <c r="AC553" i="30"/>
  <c r="AD553" i="30" s="1"/>
  <c r="AC554" i="30"/>
  <c r="AD554" i="30" s="1"/>
  <c r="AC555" i="30"/>
  <c r="AD555" i="30" s="1"/>
  <c r="AC556" i="30"/>
  <c r="AD556" i="30" s="1"/>
  <c r="AC557" i="30"/>
  <c r="AD557" i="30" s="1"/>
  <c r="AC558" i="30"/>
  <c r="AD558" i="30" s="1"/>
  <c r="AC559" i="30"/>
  <c r="AD559" i="30" s="1"/>
  <c r="AC560" i="30"/>
  <c r="AD560" i="30" s="1"/>
  <c r="AC561" i="30"/>
  <c r="AD561" i="30" s="1"/>
  <c r="AC562" i="30"/>
  <c r="AD562" i="30" s="1"/>
  <c r="AC563" i="30"/>
  <c r="AD563" i="30" s="1"/>
  <c r="AC564" i="30"/>
  <c r="AD564" i="30" s="1"/>
  <c r="AC565" i="30"/>
  <c r="AD565" i="30" s="1"/>
  <c r="AC566" i="30"/>
  <c r="AD566" i="30" s="1"/>
  <c r="AC567" i="30"/>
  <c r="AD567" i="30" s="1"/>
  <c r="AC568" i="30"/>
  <c r="AD568" i="30" s="1"/>
  <c r="AC569" i="30"/>
  <c r="AD569" i="30" s="1"/>
  <c r="AC570" i="30"/>
  <c r="AD570" i="30" s="1"/>
  <c r="AC571" i="30"/>
  <c r="AD571" i="30" s="1"/>
  <c r="AC572" i="30"/>
  <c r="AD572" i="30" s="1"/>
  <c r="AC573" i="30"/>
  <c r="AD573" i="30" s="1"/>
  <c r="AC574" i="30"/>
  <c r="AD574" i="30" s="1"/>
  <c r="AC575" i="30"/>
  <c r="AD575" i="30" s="1"/>
  <c r="AC576" i="30"/>
  <c r="AD576" i="30" s="1"/>
  <c r="AC577" i="30"/>
  <c r="AD577" i="30" s="1"/>
  <c r="AC578" i="30"/>
  <c r="AD578" i="30" s="1"/>
  <c r="AC579" i="30"/>
  <c r="AD579" i="30" s="1"/>
  <c r="AC580" i="30"/>
  <c r="AD580" i="30" s="1"/>
  <c r="AC581" i="30"/>
  <c r="AD581" i="30" s="1"/>
  <c r="AC582" i="30"/>
  <c r="AD582" i="30" s="1"/>
  <c r="AC583" i="30"/>
  <c r="AD583" i="30" s="1"/>
  <c r="AC584" i="30"/>
  <c r="AD584" i="30" s="1"/>
  <c r="AC585" i="30"/>
  <c r="AD585" i="30" s="1"/>
  <c r="AC586" i="30"/>
  <c r="AD586" i="30" s="1"/>
  <c r="AC587" i="30"/>
  <c r="AD587" i="30" s="1"/>
  <c r="AC588" i="30"/>
  <c r="AD588" i="30" s="1"/>
  <c r="AC589" i="30"/>
  <c r="AD589" i="30" s="1"/>
  <c r="AC590" i="30"/>
  <c r="AD590" i="30" s="1"/>
  <c r="AC591" i="30"/>
  <c r="AD591" i="30" s="1"/>
  <c r="AC592" i="30"/>
  <c r="AD592" i="30" s="1"/>
  <c r="AC593" i="30"/>
  <c r="AD593" i="30" s="1"/>
  <c r="AC594" i="30"/>
  <c r="AD594" i="30" s="1"/>
  <c r="AC595" i="30"/>
  <c r="AD595" i="30" s="1"/>
  <c r="AC596" i="30"/>
  <c r="AD596" i="30" s="1"/>
  <c r="AC597" i="30"/>
  <c r="AD597" i="30" s="1"/>
  <c r="AC598" i="30"/>
  <c r="AD598" i="30" s="1"/>
  <c r="AC599" i="30"/>
  <c r="AD599" i="30" s="1"/>
  <c r="AC600" i="30"/>
  <c r="AD600" i="30" s="1"/>
  <c r="AC601" i="30"/>
  <c r="AD601" i="30" s="1"/>
  <c r="AC602" i="30"/>
  <c r="AD602" i="30" s="1"/>
  <c r="AC603" i="30"/>
  <c r="AD603" i="30" s="1"/>
  <c r="AC604" i="30"/>
  <c r="AD604" i="30" s="1"/>
  <c r="AC605" i="30"/>
  <c r="AD605" i="30" s="1"/>
  <c r="AC606" i="30"/>
  <c r="AD606" i="30" s="1"/>
  <c r="AC607" i="30"/>
  <c r="AD607" i="30" s="1"/>
  <c r="AC608" i="30"/>
  <c r="AD608" i="30" s="1"/>
  <c r="AC609" i="30"/>
  <c r="AD609" i="30" s="1"/>
  <c r="AC610" i="30"/>
  <c r="AD610" i="30" s="1"/>
  <c r="AC611" i="30"/>
  <c r="AD611" i="30" s="1"/>
  <c r="AC612" i="30"/>
  <c r="AD612" i="30" s="1"/>
  <c r="AC613" i="30"/>
  <c r="AD613" i="30" s="1"/>
  <c r="AC614" i="30"/>
  <c r="AD614" i="30" s="1"/>
  <c r="AC615" i="30"/>
  <c r="AD615" i="30" s="1"/>
  <c r="AC616" i="30"/>
  <c r="AD616" i="30" s="1"/>
  <c r="AC617" i="30"/>
  <c r="AD617" i="30" s="1"/>
  <c r="AC618" i="30"/>
  <c r="AD618" i="30" s="1"/>
  <c r="AC619" i="30"/>
  <c r="AD619" i="30" s="1"/>
  <c r="AC620" i="30"/>
  <c r="AD620" i="30" s="1"/>
  <c r="AC621" i="30"/>
  <c r="AD621" i="30" s="1"/>
  <c r="AC622" i="30"/>
  <c r="AD622" i="30" s="1"/>
  <c r="AC623" i="30"/>
  <c r="AD623" i="30" s="1"/>
  <c r="AC624" i="30"/>
  <c r="AD624" i="30" s="1"/>
  <c r="AC625" i="30"/>
  <c r="AD625" i="30" s="1"/>
  <c r="AC626" i="30"/>
  <c r="AD626" i="30" s="1"/>
  <c r="AC627" i="30"/>
  <c r="AD627" i="30" s="1"/>
  <c r="AC628" i="30"/>
  <c r="AD628" i="30" s="1"/>
  <c r="AC629" i="30"/>
  <c r="AD629" i="30" s="1"/>
  <c r="AC630" i="30"/>
  <c r="AD630" i="30" s="1"/>
  <c r="AC631" i="30"/>
  <c r="AD631" i="30" s="1"/>
  <c r="AC632" i="30"/>
  <c r="AD632" i="30" s="1"/>
  <c r="AC633" i="30"/>
  <c r="AD633" i="30" s="1"/>
  <c r="AC634" i="30"/>
  <c r="AD634" i="30" s="1"/>
  <c r="AC635" i="30"/>
  <c r="AD635" i="30" s="1"/>
  <c r="AC636" i="30"/>
  <c r="AD636" i="30" s="1"/>
  <c r="AC637" i="30"/>
  <c r="AD637" i="30" s="1"/>
  <c r="AC638" i="30"/>
  <c r="AD638" i="30" s="1"/>
  <c r="AC639" i="30"/>
  <c r="AD639" i="30" s="1"/>
  <c r="AC640" i="30"/>
  <c r="AD640" i="30" s="1"/>
  <c r="AC641" i="30"/>
  <c r="AD641" i="30" s="1"/>
  <c r="AC642" i="30"/>
  <c r="AD642" i="30" s="1"/>
  <c r="AC643" i="30"/>
  <c r="AD643" i="30" s="1"/>
  <c r="AC644" i="30"/>
  <c r="AD644" i="30" s="1"/>
  <c r="AC645" i="30"/>
  <c r="AD645" i="30" s="1"/>
  <c r="AC646" i="30"/>
  <c r="AD646" i="30" s="1"/>
  <c r="AC647" i="30"/>
  <c r="AD647" i="30" s="1"/>
  <c r="AC648" i="30"/>
  <c r="AD648" i="30" s="1"/>
  <c r="AC649" i="30"/>
  <c r="AD649" i="30" s="1"/>
  <c r="AC650" i="30"/>
  <c r="AD650" i="30" s="1"/>
  <c r="AC651" i="30"/>
  <c r="AD651" i="30" s="1"/>
  <c r="AC652" i="30"/>
  <c r="AD652" i="30" s="1"/>
  <c r="AC653" i="30"/>
  <c r="AD653" i="30" s="1"/>
  <c r="AC654" i="30"/>
  <c r="AD654" i="30" s="1"/>
  <c r="AC655" i="30"/>
  <c r="AD655" i="30" s="1"/>
  <c r="AC656" i="30"/>
  <c r="AD656" i="30" s="1"/>
  <c r="AC657" i="30"/>
  <c r="AD657" i="30" s="1"/>
  <c r="AC658" i="30"/>
  <c r="AD658" i="30" s="1"/>
  <c r="AC659" i="30"/>
  <c r="AD659" i="30" s="1"/>
  <c r="AC660" i="30"/>
  <c r="AD660" i="30" s="1"/>
  <c r="AC661" i="30"/>
  <c r="AD661" i="30" s="1"/>
  <c r="AC662" i="30"/>
  <c r="AD662" i="30" s="1"/>
  <c r="AC663" i="30"/>
  <c r="AD663" i="30" s="1"/>
  <c r="AC664" i="30"/>
  <c r="AD664" i="30" s="1"/>
  <c r="AC665" i="30"/>
  <c r="AD665" i="30" s="1"/>
  <c r="AC666" i="30"/>
  <c r="AD666" i="30" s="1"/>
  <c r="AC667" i="30"/>
  <c r="AD667" i="30" s="1"/>
  <c r="AC668" i="30"/>
  <c r="AD668" i="30" s="1"/>
  <c r="AC669" i="30"/>
  <c r="AD669" i="30" s="1"/>
  <c r="AC670" i="30"/>
  <c r="AD670" i="30" s="1"/>
  <c r="AC671" i="30"/>
  <c r="AD671" i="30" s="1"/>
  <c r="AC672" i="30"/>
  <c r="AD672" i="30" s="1"/>
  <c r="AC673" i="30"/>
  <c r="AD673" i="30" s="1"/>
  <c r="AC674" i="30"/>
  <c r="AD674" i="30" s="1"/>
  <c r="AC675" i="30"/>
  <c r="AD675" i="30" s="1"/>
  <c r="AC676" i="30"/>
  <c r="AD676" i="30" s="1"/>
  <c r="AC677" i="30"/>
  <c r="AD677" i="30" s="1"/>
  <c r="AC678" i="30"/>
  <c r="AD678" i="30" s="1"/>
  <c r="AC679" i="30"/>
  <c r="AD679" i="30" s="1"/>
  <c r="AC680" i="30"/>
  <c r="AD680" i="30" s="1"/>
  <c r="AC681" i="30"/>
  <c r="AD681" i="30" s="1"/>
  <c r="AC682" i="30"/>
  <c r="AD682" i="30" s="1"/>
  <c r="AC683" i="30"/>
  <c r="AD683" i="30" s="1"/>
  <c r="AC684" i="30"/>
  <c r="AD684" i="30" s="1"/>
  <c r="AC685" i="30"/>
  <c r="AD685" i="30" s="1"/>
  <c r="AC686" i="30"/>
  <c r="AD686" i="30" s="1"/>
  <c r="AC687" i="30"/>
  <c r="AD687" i="30" s="1"/>
  <c r="AC688" i="30"/>
  <c r="AD688" i="30" s="1"/>
  <c r="AC689" i="30"/>
  <c r="AD689" i="30" s="1"/>
  <c r="AC690" i="30"/>
  <c r="AD690" i="30" s="1"/>
  <c r="AC691" i="30"/>
  <c r="AD691" i="30" s="1"/>
  <c r="AC692" i="30"/>
  <c r="AD692" i="30" s="1"/>
  <c r="AC693" i="30"/>
  <c r="AD693" i="30" s="1"/>
  <c r="AC694" i="30"/>
  <c r="AD694" i="30" s="1"/>
  <c r="AC695" i="30"/>
  <c r="AD695" i="30" s="1"/>
  <c r="AC696" i="30"/>
  <c r="AD696" i="30" s="1"/>
  <c r="AC697" i="30"/>
  <c r="AD697" i="30" s="1"/>
  <c r="AC698" i="30"/>
  <c r="AD698" i="30" s="1"/>
  <c r="AC699" i="30"/>
  <c r="AD699" i="30" s="1"/>
  <c r="AC700" i="30"/>
  <c r="AD700" i="30" s="1"/>
  <c r="AC701" i="30"/>
  <c r="AD701" i="30" s="1"/>
  <c r="AC702" i="30"/>
  <c r="AD702" i="30" s="1"/>
  <c r="AC703" i="30"/>
  <c r="AD703" i="30" s="1"/>
  <c r="AC704" i="30"/>
  <c r="AD704" i="30" s="1"/>
  <c r="AC705" i="30"/>
  <c r="AD705" i="30" s="1"/>
  <c r="AC706" i="30"/>
  <c r="AD706" i="30" s="1"/>
  <c r="AC707" i="30"/>
  <c r="AD707" i="30" s="1"/>
  <c r="AC708" i="30"/>
  <c r="AD708" i="30" s="1"/>
  <c r="AC709" i="30"/>
  <c r="AD709" i="30" s="1"/>
  <c r="AC710" i="30"/>
  <c r="AD710" i="30" s="1"/>
  <c r="AC711" i="30"/>
  <c r="AD711" i="30" s="1"/>
  <c r="AC712" i="30"/>
  <c r="AD712" i="30" s="1"/>
  <c r="AC713" i="30"/>
  <c r="AD713" i="30" s="1"/>
  <c r="AC714" i="30"/>
  <c r="AD714" i="30" s="1"/>
  <c r="AC715" i="30"/>
  <c r="AD715" i="30" s="1"/>
  <c r="AC716" i="30"/>
  <c r="AD716" i="30" s="1"/>
  <c r="AC717" i="30"/>
  <c r="AD717" i="30" s="1"/>
  <c r="AC718" i="30"/>
  <c r="AD718" i="30" s="1"/>
  <c r="AC719" i="30"/>
  <c r="AD719" i="30" s="1"/>
  <c r="AC720" i="30"/>
  <c r="AD720" i="30" s="1"/>
  <c r="AC721" i="30"/>
  <c r="AD721" i="30" s="1"/>
  <c r="AC722" i="30"/>
  <c r="AD722" i="30" s="1"/>
  <c r="AC723" i="30"/>
  <c r="AD723" i="30" s="1"/>
  <c r="AC724" i="30"/>
  <c r="AD724" i="30" s="1"/>
  <c r="AC725" i="30"/>
  <c r="AD725" i="30" s="1"/>
  <c r="AC726" i="30"/>
  <c r="AD726" i="30" s="1"/>
  <c r="AC727" i="30"/>
  <c r="AD727" i="30" s="1"/>
  <c r="AC728" i="30"/>
  <c r="AD728" i="30" s="1"/>
  <c r="AC729" i="30"/>
  <c r="AD729" i="30" s="1"/>
  <c r="AC730" i="30"/>
  <c r="AD730" i="30" s="1"/>
  <c r="AC731" i="30"/>
  <c r="AD731" i="30" s="1"/>
  <c r="AC732" i="30"/>
  <c r="AD732" i="30" s="1"/>
  <c r="AC733" i="30"/>
  <c r="AD733" i="30" s="1"/>
  <c r="AC734" i="30"/>
  <c r="AD734" i="30" s="1"/>
  <c r="AC735" i="30"/>
  <c r="AD735" i="30" s="1"/>
  <c r="AC736" i="30"/>
  <c r="AD736" i="30" s="1"/>
  <c r="AC737" i="30"/>
  <c r="AD737" i="30" s="1"/>
  <c r="AC738" i="30"/>
  <c r="AD738" i="30" s="1"/>
  <c r="AC739" i="30"/>
  <c r="AD739" i="30" s="1"/>
  <c r="AC740" i="30"/>
  <c r="AD740" i="30" s="1"/>
  <c r="AC741" i="30"/>
  <c r="AD741" i="30" s="1"/>
  <c r="AC742" i="30"/>
  <c r="AD742" i="30" s="1"/>
  <c r="AC743" i="30"/>
  <c r="AD743" i="30" s="1"/>
  <c r="AC744" i="30"/>
  <c r="AD744" i="30" s="1"/>
  <c r="AC745" i="30"/>
  <c r="AD745" i="30" s="1"/>
  <c r="AC746" i="30"/>
  <c r="AD746" i="30" s="1"/>
  <c r="AC747" i="30"/>
  <c r="AD747" i="30" s="1"/>
  <c r="AC748" i="30"/>
  <c r="AD748" i="30" s="1"/>
  <c r="AC749" i="30"/>
  <c r="AD749" i="30" s="1"/>
  <c r="AC750" i="30"/>
  <c r="AD750" i="30" s="1"/>
  <c r="AC751" i="30"/>
  <c r="AD751" i="30" s="1"/>
  <c r="AC752" i="30"/>
  <c r="AD752" i="30" s="1"/>
  <c r="AC753" i="30"/>
  <c r="AD753" i="30" s="1"/>
  <c r="AC754" i="30"/>
  <c r="AD754" i="30" s="1"/>
  <c r="AC755" i="30"/>
  <c r="AD755" i="30" s="1"/>
  <c r="AC756" i="30"/>
  <c r="AD756" i="30" s="1"/>
  <c r="AC757" i="30"/>
  <c r="AD757" i="30" s="1"/>
  <c r="AC758" i="30"/>
  <c r="AD758" i="30" s="1"/>
  <c r="AC759" i="30"/>
  <c r="AD759" i="30" s="1"/>
  <c r="AC760" i="30"/>
  <c r="AD760" i="30" s="1"/>
  <c r="AC761" i="30"/>
  <c r="AD761" i="30" s="1"/>
  <c r="AC762" i="30"/>
  <c r="AD762" i="30" s="1"/>
  <c r="AC763" i="30"/>
  <c r="AD763" i="30" s="1"/>
  <c r="AC764" i="30"/>
  <c r="AD764" i="30" s="1"/>
  <c r="AC765" i="30"/>
  <c r="AD765" i="30" s="1"/>
  <c r="AC766" i="30"/>
  <c r="AD766" i="30" s="1"/>
  <c r="AC767" i="30"/>
  <c r="AD767" i="30" s="1"/>
  <c r="AC768" i="30"/>
  <c r="AD768" i="30" s="1"/>
  <c r="AC769" i="30"/>
  <c r="AD769" i="30" s="1"/>
  <c r="AC770" i="30"/>
  <c r="AD770" i="30" s="1"/>
  <c r="AC771" i="30"/>
  <c r="AD771" i="30" s="1"/>
  <c r="AC772" i="30"/>
  <c r="AD772" i="30" s="1"/>
  <c r="AC773" i="30"/>
  <c r="AD773" i="30" s="1"/>
  <c r="AC774" i="30"/>
  <c r="AD774" i="30" s="1"/>
  <c r="AC775" i="30"/>
  <c r="AD775" i="30" s="1"/>
  <c r="AC776" i="30"/>
  <c r="AD776" i="30" s="1"/>
  <c r="AC777" i="30"/>
  <c r="AD777" i="30" s="1"/>
  <c r="AC778" i="30"/>
  <c r="AD778" i="30" s="1"/>
  <c r="AC779" i="30"/>
  <c r="AD779" i="30" s="1"/>
  <c r="AC780" i="30"/>
  <c r="AD780" i="30" s="1"/>
  <c r="AC781" i="30"/>
  <c r="AD781" i="30" s="1"/>
  <c r="AC782" i="30"/>
  <c r="AD782" i="30" s="1"/>
  <c r="AC783" i="30"/>
  <c r="AD783" i="30" s="1"/>
  <c r="AC784" i="30"/>
  <c r="AD784" i="30" s="1"/>
  <c r="AC785" i="30"/>
  <c r="AD785" i="30" s="1"/>
  <c r="AC786" i="30"/>
  <c r="AD786" i="30" s="1"/>
  <c r="AC787" i="30"/>
  <c r="AD787" i="30" s="1"/>
  <c r="AC788" i="30"/>
  <c r="AD788" i="30" s="1"/>
  <c r="AC789" i="30"/>
  <c r="AD789" i="30" s="1"/>
  <c r="AC790" i="30"/>
  <c r="AD790" i="30" s="1"/>
  <c r="AC791" i="30"/>
  <c r="AD791" i="30" s="1"/>
  <c r="AC792" i="30"/>
  <c r="AD792" i="30" s="1"/>
  <c r="AC793" i="30"/>
  <c r="AD793" i="30" s="1"/>
  <c r="AC794" i="30"/>
  <c r="AD794" i="30" s="1"/>
  <c r="AC795" i="30"/>
  <c r="AD795" i="30" s="1"/>
  <c r="AC796" i="30"/>
  <c r="AD796" i="30" s="1"/>
  <c r="AC797" i="30"/>
  <c r="AD797" i="30" s="1"/>
  <c r="AC798" i="30"/>
  <c r="AD798" i="30" s="1"/>
  <c r="AC799" i="30"/>
  <c r="AD799" i="30" s="1"/>
  <c r="AC800" i="30"/>
  <c r="AD800" i="30" s="1"/>
  <c r="AC801" i="30"/>
  <c r="AD801" i="30" s="1"/>
  <c r="AC802" i="30"/>
  <c r="AD802" i="30" s="1"/>
  <c r="AC803" i="30"/>
  <c r="AD803" i="30" s="1"/>
  <c r="AC804" i="30"/>
  <c r="AD804" i="30" s="1"/>
  <c r="AC805" i="30"/>
  <c r="AD805" i="30" s="1"/>
  <c r="AC806" i="30"/>
  <c r="AD806" i="30" s="1"/>
  <c r="AC807" i="30"/>
  <c r="AD807" i="30" s="1"/>
  <c r="AC808" i="30"/>
  <c r="AD808" i="30" s="1"/>
  <c r="AC809" i="30"/>
  <c r="AD809" i="30" s="1"/>
  <c r="AC810" i="30"/>
  <c r="AD810" i="30" s="1"/>
  <c r="AC811" i="30"/>
  <c r="AD811" i="30" s="1"/>
  <c r="AC812" i="30"/>
  <c r="AD812" i="30" s="1"/>
  <c r="AC813" i="30"/>
  <c r="AD813" i="30" s="1"/>
  <c r="AC814" i="30"/>
  <c r="AD814" i="30" s="1"/>
  <c r="AC815" i="30"/>
  <c r="AD815" i="30" s="1"/>
  <c r="AC816" i="30"/>
  <c r="AD816" i="30" s="1"/>
  <c r="AC817" i="30"/>
  <c r="AD817" i="30" s="1"/>
  <c r="AC818" i="30"/>
  <c r="AD818" i="30" s="1"/>
  <c r="AC819" i="30"/>
  <c r="AD819" i="30" s="1"/>
  <c r="AC820" i="30"/>
  <c r="AD820" i="30" s="1"/>
  <c r="AC821" i="30"/>
  <c r="AD821" i="30" s="1"/>
  <c r="AC822" i="30"/>
  <c r="AD822" i="30" s="1"/>
  <c r="AC823" i="30"/>
  <c r="AD823" i="30" s="1"/>
  <c r="AC824" i="30"/>
  <c r="AD824" i="30" s="1"/>
  <c r="AC825" i="30"/>
  <c r="AD825" i="30" s="1"/>
  <c r="AC826" i="30"/>
  <c r="AD826" i="30" s="1"/>
  <c r="AC827" i="30"/>
  <c r="AD827" i="30" s="1"/>
  <c r="AC828" i="30"/>
  <c r="AD828" i="30" s="1"/>
  <c r="AC829" i="30"/>
  <c r="AD829" i="30" s="1"/>
  <c r="AC830" i="30"/>
  <c r="AD830" i="30" s="1"/>
  <c r="AC831" i="30"/>
  <c r="AD831" i="30" s="1"/>
  <c r="AC832" i="30"/>
  <c r="AD832" i="30" s="1"/>
  <c r="AC833" i="30"/>
  <c r="AD833" i="30" s="1"/>
  <c r="AC834" i="30"/>
  <c r="AD834" i="30" s="1"/>
  <c r="AC835" i="30"/>
  <c r="AD835" i="30" s="1"/>
  <c r="AC836" i="30"/>
  <c r="AD836" i="30" s="1"/>
  <c r="AC837" i="30"/>
  <c r="AD837" i="30" s="1"/>
  <c r="AC838" i="30"/>
  <c r="AD838" i="30" s="1"/>
  <c r="AC839" i="30"/>
  <c r="AD839" i="30" s="1"/>
  <c r="AC840" i="30"/>
  <c r="AD840" i="30" s="1"/>
  <c r="AC841" i="30"/>
  <c r="AD841" i="30" s="1"/>
  <c r="AC842" i="30"/>
  <c r="AD842" i="30" s="1"/>
  <c r="AC843" i="30"/>
  <c r="AD843" i="30" s="1"/>
  <c r="AC844" i="30"/>
  <c r="AD844" i="30" s="1"/>
  <c r="AC845" i="30"/>
  <c r="AD845" i="30" s="1"/>
  <c r="AC846" i="30"/>
  <c r="AD846" i="30" s="1"/>
  <c r="AC847" i="30"/>
  <c r="AD847" i="30" s="1"/>
  <c r="AC848" i="30"/>
  <c r="AD848" i="30" s="1"/>
  <c r="AC849" i="30"/>
  <c r="AD849" i="30" s="1"/>
  <c r="AC850" i="30"/>
  <c r="AD850" i="30" s="1"/>
  <c r="AC851" i="30"/>
  <c r="AD851" i="30" s="1"/>
  <c r="AC852" i="30"/>
  <c r="AD852" i="30" s="1"/>
  <c r="AC853" i="30"/>
  <c r="AD853" i="30" s="1"/>
  <c r="AC854" i="30"/>
  <c r="AD854" i="30" s="1"/>
  <c r="AC855" i="30"/>
  <c r="AD855" i="30" s="1"/>
  <c r="AC856" i="30"/>
  <c r="AD856" i="30" s="1"/>
  <c r="AC857" i="30"/>
  <c r="AD857" i="30" s="1"/>
  <c r="AC858" i="30"/>
  <c r="AD858" i="30" s="1"/>
  <c r="AC859" i="30"/>
  <c r="AD859" i="30" s="1"/>
  <c r="AC860" i="30"/>
  <c r="AD860" i="30" s="1"/>
  <c r="AC861" i="30"/>
  <c r="AD861" i="30" s="1"/>
  <c r="AC862" i="30"/>
  <c r="AD862" i="30" s="1"/>
  <c r="AC863" i="30"/>
  <c r="AD863" i="30" s="1"/>
  <c r="AC864" i="30"/>
  <c r="AD864" i="30" s="1"/>
  <c r="AC865" i="30"/>
  <c r="AD865" i="30" s="1"/>
  <c r="AC866" i="30"/>
  <c r="AD866" i="30" s="1"/>
  <c r="AC867" i="30"/>
  <c r="AD867" i="30" s="1"/>
  <c r="AC868" i="30"/>
  <c r="AD868" i="30" s="1"/>
  <c r="AC869" i="30"/>
  <c r="AD869" i="30" s="1"/>
  <c r="AC870" i="30"/>
  <c r="AD870" i="30" s="1"/>
  <c r="AC871" i="30"/>
  <c r="AD871" i="30" s="1"/>
  <c r="AC872" i="30"/>
  <c r="AD872" i="30" s="1"/>
  <c r="AC873" i="30"/>
  <c r="AD873" i="30" s="1"/>
  <c r="AC874" i="30"/>
  <c r="AD874" i="30" s="1"/>
  <c r="AC875" i="30"/>
  <c r="AD875" i="30" s="1"/>
  <c r="AC876" i="30"/>
  <c r="AD876" i="30" s="1"/>
  <c r="AC877" i="30"/>
  <c r="AD877" i="30" s="1"/>
  <c r="AC878" i="30"/>
  <c r="AD878" i="30" s="1"/>
  <c r="AC879" i="30"/>
  <c r="AD879" i="30" s="1"/>
  <c r="AC880" i="30"/>
  <c r="AD880" i="30" s="1"/>
  <c r="AC881" i="30"/>
  <c r="AD881" i="30" s="1"/>
  <c r="AC882" i="30"/>
  <c r="AD882" i="30" s="1"/>
  <c r="AC883" i="30"/>
  <c r="AD883" i="30" s="1"/>
  <c r="AC884" i="30"/>
  <c r="AD884" i="30" s="1"/>
  <c r="AC885" i="30"/>
  <c r="AD885" i="30" s="1"/>
  <c r="AC886" i="30"/>
  <c r="AD886" i="30" s="1"/>
  <c r="AC887" i="30"/>
  <c r="AD887" i="30" s="1"/>
  <c r="AC888" i="30"/>
  <c r="AD888" i="30" s="1"/>
  <c r="AC889" i="30"/>
  <c r="AD889" i="30" s="1"/>
  <c r="AC890" i="30"/>
  <c r="AD890" i="30" s="1"/>
  <c r="AC891" i="30"/>
  <c r="AD891" i="30" s="1"/>
  <c r="AC892" i="30"/>
  <c r="AD892" i="30" s="1"/>
  <c r="AC893" i="30"/>
  <c r="AD893" i="30" s="1"/>
  <c r="AC894" i="30"/>
  <c r="AD894" i="30" s="1"/>
  <c r="AC895" i="30"/>
  <c r="AD895" i="30" s="1"/>
  <c r="AC896" i="30"/>
  <c r="AD896" i="30" s="1"/>
  <c r="AC897" i="30"/>
  <c r="AD897" i="30" s="1"/>
  <c r="AC898" i="30"/>
  <c r="AD898" i="30" s="1"/>
  <c r="AC899" i="30"/>
  <c r="AD899" i="30" s="1"/>
  <c r="AC900" i="30"/>
  <c r="AD900" i="30" s="1"/>
  <c r="AC901" i="30"/>
  <c r="AD901" i="30" s="1"/>
  <c r="AC902" i="30"/>
  <c r="AD902" i="30" s="1"/>
  <c r="AC903" i="30"/>
  <c r="AD903" i="30" s="1"/>
  <c r="AC904" i="30"/>
  <c r="AD904" i="30" s="1"/>
  <c r="AC905" i="30"/>
  <c r="AD905" i="30" s="1"/>
  <c r="AC906" i="30"/>
  <c r="AD906" i="30" s="1"/>
  <c r="AC907" i="30"/>
  <c r="AD907" i="30" s="1"/>
  <c r="AC908" i="30"/>
  <c r="AD908" i="30" s="1"/>
  <c r="AC909" i="30"/>
  <c r="AD909" i="30" s="1"/>
  <c r="AC910" i="30"/>
  <c r="AD910" i="30" s="1"/>
  <c r="AC911" i="30"/>
  <c r="AD911" i="30" s="1"/>
  <c r="AC912" i="30"/>
  <c r="AD912" i="30" s="1"/>
  <c r="AC913" i="30"/>
  <c r="AD913" i="30" s="1"/>
  <c r="AC914" i="30"/>
  <c r="AD914" i="30" s="1"/>
  <c r="AC915" i="30"/>
  <c r="AD915" i="30" s="1"/>
  <c r="AC916" i="30"/>
  <c r="AD916" i="30" s="1"/>
  <c r="AC917" i="30"/>
  <c r="AD917" i="30" s="1"/>
  <c r="AC918" i="30"/>
  <c r="AD918" i="30" s="1"/>
  <c r="AC919" i="30"/>
  <c r="AD919" i="30" s="1"/>
  <c r="AC920" i="30"/>
  <c r="AD920" i="30" s="1"/>
  <c r="AC921" i="30"/>
  <c r="AD921" i="30" s="1"/>
  <c r="AC922" i="30"/>
  <c r="AD922" i="30" s="1"/>
  <c r="AC923" i="30"/>
  <c r="AD923" i="30" s="1"/>
  <c r="AC924" i="30"/>
  <c r="AD924" i="30" s="1"/>
  <c r="AC925" i="30"/>
  <c r="AD925" i="30" s="1"/>
  <c r="AC926" i="30"/>
  <c r="AD926" i="30" s="1"/>
  <c r="AC927" i="30"/>
  <c r="AD927" i="30" s="1"/>
  <c r="AC928" i="30"/>
  <c r="AD928" i="30" s="1"/>
  <c r="AC929" i="30"/>
  <c r="AD929" i="30" s="1"/>
  <c r="AC930" i="30"/>
  <c r="AD930" i="30" s="1"/>
  <c r="AC931" i="30"/>
  <c r="AD931" i="30" s="1"/>
  <c r="AC932" i="30"/>
  <c r="AD932" i="30" s="1"/>
  <c r="AC933" i="30"/>
  <c r="AD933" i="30" s="1"/>
  <c r="AC934" i="30"/>
  <c r="AD934" i="30" s="1"/>
  <c r="AC935" i="30"/>
  <c r="AD935" i="30" s="1"/>
  <c r="AC936" i="30"/>
  <c r="AD936" i="30" s="1"/>
  <c r="AC937" i="30"/>
  <c r="AD937" i="30" s="1"/>
  <c r="AC938" i="30"/>
  <c r="AD938" i="30" s="1"/>
  <c r="AC939" i="30"/>
  <c r="AD939" i="30" s="1"/>
  <c r="AC940" i="30"/>
  <c r="AD940" i="30" s="1"/>
  <c r="AC941" i="30"/>
  <c r="AD941" i="30" s="1"/>
  <c r="AC942" i="30"/>
  <c r="AD942" i="30" s="1"/>
  <c r="AC943" i="30"/>
  <c r="AD943" i="30" s="1"/>
  <c r="AC944" i="30"/>
  <c r="AD944" i="30" s="1"/>
  <c r="AC945" i="30"/>
  <c r="AD945" i="30" s="1"/>
  <c r="AC946" i="30"/>
  <c r="AD946" i="30" s="1"/>
  <c r="AC947" i="30"/>
  <c r="AD947" i="30" s="1"/>
  <c r="AC948" i="30"/>
  <c r="AD948" i="30" s="1"/>
  <c r="AC949" i="30"/>
  <c r="AD949" i="30" s="1"/>
  <c r="AC950" i="30"/>
  <c r="AD950" i="30" s="1"/>
  <c r="AC951" i="30"/>
  <c r="AD951" i="30" s="1"/>
  <c r="AC952" i="30"/>
  <c r="AD952" i="30" s="1"/>
  <c r="AC953" i="30"/>
  <c r="AD953" i="30" s="1"/>
  <c r="AC954" i="30"/>
  <c r="AD954" i="30" s="1"/>
  <c r="AC955" i="30"/>
  <c r="AD955" i="30" s="1"/>
  <c r="AC956" i="30"/>
  <c r="AD956" i="30" s="1"/>
  <c r="AC957" i="30"/>
  <c r="AD957" i="30" s="1"/>
  <c r="AC958" i="30"/>
  <c r="AD958" i="30" s="1"/>
  <c r="AC959" i="30"/>
  <c r="AD959" i="30" s="1"/>
  <c r="AC960" i="30"/>
  <c r="AD960" i="30" s="1"/>
  <c r="AC961" i="30"/>
  <c r="AD961" i="30" s="1"/>
  <c r="AC962" i="30"/>
  <c r="AD962" i="30" s="1"/>
  <c r="AC963" i="30"/>
  <c r="AD963" i="30" s="1"/>
  <c r="AC964" i="30"/>
  <c r="AD964" i="30" s="1"/>
  <c r="AC965" i="30"/>
  <c r="AD965" i="30" s="1"/>
  <c r="AC966" i="30"/>
  <c r="AD966" i="30" s="1"/>
  <c r="AC967" i="30"/>
  <c r="AD967" i="30" s="1"/>
  <c r="AC968" i="30"/>
  <c r="AD968" i="30" s="1"/>
  <c r="AC969" i="30"/>
  <c r="AD969" i="30" s="1"/>
  <c r="AC970" i="30"/>
  <c r="AD970" i="30" s="1"/>
  <c r="AC971" i="30"/>
  <c r="AD971" i="30" s="1"/>
  <c r="AC972" i="30"/>
  <c r="AD972" i="30" s="1"/>
  <c r="AC973" i="30"/>
  <c r="AD973" i="30" s="1"/>
  <c r="AC974" i="30"/>
  <c r="AD974" i="30" s="1"/>
  <c r="AC975" i="30"/>
  <c r="AD975" i="30" s="1"/>
  <c r="AC976" i="30"/>
  <c r="AD976" i="30" s="1"/>
  <c r="AC977" i="30"/>
  <c r="AD977" i="30" s="1"/>
  <c r="AC978" i="30"/>
  <c r="AD978" i="30" s="1"/>
  <c r="AC979" i="30"/>
  <c r="AD979" i="30" s="1"/>
  <c r="AC980" i="30"/>
  <c r="AD980" i="30" s="1"/>
  <c r="AC981" i="30"/>
  <c r="AD981" i="30" s="1"/>
  <c r="AC982" i="30"/>
  <c r="AD982" i="30" s="1"/>
  <c r="AC983" i="30"/>
  <c r="AD983" i="30" s="1"/>
  <c r="AC984" i="30"/>
  <c r="AD984" i="30" s="1"/>
  <c r="AC985" i="30"/>
  <c r="AD985" i="30" s="1"/>
  <c r="AC986" i="30"/>
  <c r="AD986" i="30" s="1"/>
  <c r="AC987" i="30"/>
  <c r="AD987" i="30" s="1"/>
  <c r="AC988" i="30"/>
  <c r="AD988" i="30" s="1"/>
  <c r="AC989" i="30"/>
  <c r="AD989" i="30" s="1"/>
  <c r="AC990" i="30"/>
  <c r="AD990" i="30" s="1"/>
  <c r="AC991" i="30"/>
  <c r="AD991" i="30" s="1"/>
  <c r="AC992" i="30"/>
  <c r="AD992" i="30" s="1"/>
  <c r="AC993" i="30"/>
  <c r="AD993" i="30" s="1"/>
  <c r="AC994" i="30"/>
  <c r="AD994" i="30" s="1"/>
  <c r="AC995" i="30"/>
  <c r="AD995" i="30" s="1"/>
  <c r="AC996" i="30"/>
  <c r="AD996" i="30" s="1"/>
  <c r="AC997" i="30"/>
  <c r="AD997" i="30" s="1"/>
  <c r="AC998" i="30"/>
  <c r="AD998" i="30" s="1"/>
  <c r="AC999" i="30"/>
  <c r="AD999" i="30" s="1"/>
  <c r="AC1000" i="30"/>
  <c r="AD1000" i="30" s="1"/>
  <c r="AC1001" i="30"/>
  <c r="AD1001" i="30" s="1"/>
  <c r="AC1002" i="30"/>
  <c r="AD1002" i="30" s="1"/>
  <c r="AC1003" i="30"/>
  <c r="AD1003" i="30" s="1"/>
  <c r="AC1004" i="30"/>
  <c r="AD1004" i="30" s="1"/>
  <c r="AC1005" i="30"/>
  <c r="AD1005" i="30" s="1"/>
  <c r="AC1006" i="30"/>
  <c r="AD1006" i="30" s="1"/>
  <c r="AC1007" i="30"/>
  <c r="AD1007" i="30" s="1"/>
  <c r="AC1008" i="30"/>
  <c r="AD1008" i="30" s="1"/>
  <c r="AC1009" i="30"/>
  <c r="AD1009" i="30" s="1"/>
  <c r="AC1010" i="30"/>
  <c r="AD1010" i="30" s="1"/>
  <c r="AC1011" i="30"/>
  <c r="AD1011" i="30" s="1"/>
  <c r="AC1012" i="30"/>
  <c r="AD1012" i="30" s="1"/>
  <c r="AC1013" i="30"/>
  <c r="AD1013" i="30" s="1"/>
  <c r="AC1014" i="30"/>
  <c r="AD1014" i="30" s="1"/>
  <c r="AC1015" i="30"/>
  <c r="AD1015" i="30" s="1"/>
  <c r="AC1016" i="30"/>
  <c r="AD1016" i="30" s="1"/>
  <c r="AC1017" i="30"/>
  <c r="AD1017" i="30" s="1"/>
  <c r="AC1018" i="30"/>
  <c r="AD1018" i="30" s="1"/>
  <c r="AC1019" i="30"/>
  <c r="AD1019" i="30" s="1"/>
  <c r="AC1020" i="30"/>
  <c r="AD1020" i="30" s="1"/>
  <c r="AC1021" i="30"/>
  <c r="AD1021" i="30" s="1"/>
  <c r="AC1022" i="30"/>
  <c r="AD1022" i="30" s="1"/>
  <c r="AC1023" i="30"/>
  <c r="AD1023" i="30" s="1"/>
  <c r="AC1024" i="30"/>
  <c r="AD1024" i="30" s="1"/>
  <c r="AC1025" i="30"/>
  <c r="AD1025" i="30" s="1"/>
  <c r="AC1026" i="30"/>
  <c r="AD1026" i="30" s="1"/>
  <c r="AC1027" i="30"/>
  <c r="AD1027" i="30" s="1"/>
  <c r="AC1028" i="30"/>
  <c r="AD1028" i="30" s="1"/>
  <c r="AC1029" i="30"/>
  <c r="AD1029" i="30" s="1"/>
  <c r="AC1030" i="30"/>
  <c r="AD1030" i="30" s="1"/>
  <c r="AC1031" i="30"/>
  <c r="AD1031" i="30" s="1"/>
  <c r="AC1032" i="30"/>
  <c r="AD1032" i="30" s="1"/>
  <c r="AC1033" i="30"/>
  <c r="AD1033" i="30" s="1"/>
  <c r="AC1034" i="30"/>
  <c r="AD1034" i="30" s="1"/>
  <c r="AC1035" i="30"/>
  <c r="AD1035" i="30" s="1"/>
  <c r="AC1036" i="30"/>
  <c r="AD1036" i="30" s="1"/>
  <c r="AC1037" i="30"/>
  <c r="AD1037" i="30" s="1"/>
  <c r="AC1038" i="30"/>
  <c r="AD1038" i="30" s="1"/>
  <c r="AC1039" i="30"/>
  <c r="AD1039" i="30" s="1"/>
  <c r="AC1040" i="30"/>
  <c r="AD1040" i="30" s="1"/>
  <c r="AC1041" i="30"/>
  <c r="AD1041" i="30" s="1"/>
  <c r="AC1042" i="30"/>
  <c r="AD1042" i="30" s="1"/>
  <c r="AC1043" i="30"/>
  <c r="AD1043" i="30" s="1"/>
  <c r="AC1044" i="30"/>
  <c r="AD1044" i="30" s="1"/>
  <c r="AC1045" i="30"/>
  <c r="AD1045" i="30" s="1"/>
  <c r="AC1046" i="30"/>
  <c r="AD1046" i="30" s="1"/>
  <c r="AC1047" i="30"/>
  <c r="AD1047" i="30" s="1"/>
  <c r="AC1048" i="30"/>
  <c r="AD1048" i="30" s="1"/>
  <c r="AC1049" i="30"/>
  <c r="AD1049" i="30" s="1"/>
  <c r="AC1050" i="30"/>
  <c r="AD1050" i="30" s="1"/>
  <c r="AC1051" i="30"/>
  <c r="AD1051" i="30" s="1"/>
  <c r="AC1052" i="30"/>
  <c r="AD1052" i="30" s="1"/>
  <c r="AC1053" i="30"/>
  <c r="AD1053" i="30" s="1"/>
  <c r="AC1054" i="30"/>
  <c r="AD1054" i="30" s="1"/>
  <c r="AC1055" i="30"/>
  <c r="AD1055" i="30" s="1"/>
  <c r="AC1056" i="30"/>
  <c r="AD1056" i="30" s="1"/>
  <c r="AC1057" i="30"/>
  <c r="AD1057" i="30" s="1"/>
  <c r="AC1058" i="30"/>
  <c r="AD1058" i="30" s="1"/>
  <c r="AC1059" i="30"/>
  <c r="AD1059" i="30" s="1"/>
  <c r="AC1060" i="30"/>
  <c r="AD1060" i="30" s="1"/>
  <c r="AC1061" i="30"/>
  <c r="AD1061" i="30" s="1"/>
  <c r="AC1062" i="30"/>
  <c r="AD1062" i="30" s="1"/>
  <c r="AC1063" i="30"/>
  <c r="AD1063" i="30" s="1"/>
  <c r="AC1064" i="30"/>
  <c r="AD1064" i="30" s="1"/>
  <c r="AC1065" i="30"/>
  <c r="AD1065" i="30" s="1"/>
  <c r="AC1066" i="30"/>
  <c r="AD1066" i="30" s="1"/>
  <c r="AC1067" i="30"/>
  <c r="AD1067" i="30" s="1"/>
  <c r="AC1068" i="30"/>
  <c r="AD1068" i="30" s="1"/>
  <c r="AC1069" i="30"/>
  <c r="AD1069" i="30" s="1"/>
  <c r="AC1070" i="30"/>
  <c r="AD1070" i="30" s="1"/>
  <c r="AC1071" i="30"/>
  <c r="AD1071" i="30" s="1"/>
  <c r="AC1072" i="30"/>
  <c r="AD1072" i="30" s="1"/>
  <c r="AC1073" i="30"/>
  <c r="AD1073" i="30" s="1"/>
  <c r="AC1074" i="30"/>
  <c r="AD1074" i="30" s="1"/>
  <c r="AC1075" i="30"/>
  <c r="AD1075" i="30" s="1"/>
  <c r="AC1076" i="30"/>
  <c r="AD1076" i="30" s="1"/>
  <c r="AC1077" i="30"/>
  <c r="AD1077" i="30" s="1"/>
  <c r="AC1078" i="30"/>
  <c r="AD1078" i="30" s="1"/>
  <c r="AC1079" i="30"/>
  <c r="AD1079" i="30" s="1"/>
  <c r="AC1080" i="30"/>
  <c r="AD1080" i="30" s="1"/>
  <c r="AC1081" i="30"/>
  <c r="AD1081" i="30" s="1"/>
  <c r="AC1082" i="30"/>
  <c r="AD1082" i="30" s="1"/>
  <c r="AC1083" i="30"/>
  <c r="AD1083" i="30" s="1"/>
  <c r="AC1084" i="30"/>
  <c r="AD1084" i="30" s="1"/>
  <c r="AC1085" i="30"/>
  <c r="AD1085" i="30" s="1"/>
  <c r="AC1086" i="30"/>
  <c r="AD1086" i="30" s="1"/>
  <c r="AC1087" i="30"/>
  <c r="AD1087" i="30" s="1"/>
  <c r="AC1088" i="30"/>
  <c r="AD1088" i="30" s="1"/>
  <c r="AC1089" i="30"/>
  <c r="AD1089" i="30" s="1"/>
  <c r="AC1090" i="30"/>
  <c r="AD1090" i="30" s="1"/>
  <c r="AC1091" i="30"/>
  <c r="AD1091" i="30" s="1"/>
  <c r="AC1092" i="30"/>
  <c r="AD1092" i="30" s="1"/>
  <c r="AC1093" i="30"/>
  <c r="AD1093" i="30" s="1"/>
  <c r="AC1094" i="30"/>
  <c r="AD1094" i="30" s="1"/>
  <c r="AC1095" i="30"/>
  <c r="AD1095" i="30" s="1"/>
  <c r="AC1096" i="30"/>
  <c r="AD1096" i="30" s="1"/>
  <c r="AC1097" i="30"/>
  <c r="AD1097" i="30" s="1"/>
  <c r="AC1098" i="30"/>
  <c r="AD1098" i="30" s="1"/>
  <c r="AC1099" i="30"/>
  <c r="AD1099" i="30" s="1"/>
  <c r="AC1100" i="30"/>
  <c r="AD1100" i="30" s="1"/>
  <c r="AC1101" i="30"/>
  <c r="AD1101" i="30" s="1"/>
  <c r="AC1102" i="30"/>
  <c r="AD1102" i="30" s="1"/>
  <c r="AC1103" i="30"/>
  <c r="AD1103" i="30" s="1"/>
  <c r="AC1104" i="30"/>
  <c r="AD1104" i="30" s="1"/>
  <c r="AC1105" i="30"/>
  <c r="AD1105" i="30" s="1"/>
  <c r="AC1106" i="30"/>
  <c r="AD1106" i="30" s="1"/>
  <c r="AC1107" i="30"/>
  <c r="AD1107" i="30" s="1"/>
  <c r="AC1108" i="30"/>
  <c r="AD1108" i="30" s="1"/>
  <c r="AC1109" i="30"/>
  <c r="AD1109" i="30" s="1"/>
  <c r="AC1110" i="30"/>
  <c r="AD1110" i="30" s="1"/>
  <c r="AC1111" i="30"/>
  <c r="AD1111" i="30" s="1"/>
  <c r="AC1112" i="30"/>
  <c r="AD1112" i="30" s="1"/>
  <c r="AC1113" i="30"/>
  <c r="AD1113" i="30" s="1"/>
  <c r="AC1114" i="30"/>
  <c r="AD1114" i="30" s="1"/>
  <c r="AC1115" i="30"/>
  <c r="AD1115" i="30" s="1"/>
  <c r="AC1116" i="30"/>
  <c r="AD1116" i="30" s="1"/>
  <c r="AC1117" i="30"/>
  <c r="AD1117" i="30" s="1"/>
  <c r="AC1118" i="30"/>
  <c r="AD1118" i="30" s="1"/>
  <c r="AC1119" i="30"/>
  <c r="AD1119" i="30" s="1"/>
  <c r="AC1120" i="30"/>
  <c r="AD1120" i="30" s="1"/>
  <c r="AC1121" i="30"/>
  <c r="AD1121" i="30" s="1"/>
  <c r="AC1122" i="30"/>
  <c r="AD1122" i="30" s="1"/>
  <c r="AC1123" i="30"/>
  <c r="AD1123" i="30" s="1"/>
  <c r="AC1124" i="30"/>
  <c r="AD1124" i="30" s="1"/>
  <c r="AC1125" i="30"/>
  <c r="AD1125" i="30" s="1"/>
  <c r="AC1126" i="30"/>
  <c r="AD1126" i="30" s="1"/>
  <c r="AC1127" i="30"/>
  <c r="AD1127" i="30" s="1"/>
  <c r="AC1128" i="30"/>
  <c r="AD1128" i="30" s="1"/>
  <c r="AC1129" i="30"/>
  <c r="AD1129" i="30" s="1"/>
  <c r="AC1130" i="30"/>
  <c r="AD1130" i="30" s="1"/>
  <c r="AC1131" i="30"/>
  <c r="AD1131" i="30" s="1"/>
  <c r="AC1132" i="30"/>
  <c r="AD1132" i="30" s="1"/>
  <c r="AC1133" i="30"/>
  <c r="AD1133" i="30" s="1"/>
  <c r="AC1134" i="30"/>
  <c r="AD1134" i="30" s="1"/>
  <c r="AC1135" i="30"/>
  <c r="AD1135" i="30" s="1"/>
  <c r="AC1136" i="30"/>
  <c r="AD1136" i="30" s="1"/>
  <c r="AC1137" i="30"/>
  <c r="AD1137" i="30" s="1"/>
  <c r="AC1138" i="30"/>
  <c r="AD1138" i="30" s="1"/>
  <c r="AC1139" i="30"/>
  <c r="AD1139" i="30" s="1"/>
  <c r="AC1140" i="30"/>
  <c r="AD1140" i="30" s="1"/>
  <c r="AC1141" i="30"/>
  <c r="AD1141" i="30" s="1"/>
  <c r="AC1142" i="30"/>
  <c r="AD1142" i="30" s="1"/>
  <c r="AC1143" i="30"/>
  <c r="AD1143" i="30" s="1"/>
  <c r="AC1144" i="30"/>
  <c r="AD1144" i="30" s="1"/>
  <c r="AC1145" i="30"/>
  <c r="AD1145" i="30" s="1"/>
  <c r="AC1146" i="30"/>
  <c r="AD1146" i="30" s="1"/>
  <c r="AC1147" i="30"/>
  <c r="AD1147" i="30" s="1"/>
  <c r="AC1148" i="30"/>
  <c r="AD1148" i="30" s="1"/>
  <c r="AC1149" i="30"/>
  <c r="AD1149" i="30" s="1"/>
  <c r="AC1150" i="30"/>
  <c r="AD1150" i="30" s="1"/>
  <c r="AC1151" i="30"/>
  <c r="AD1151" i="30" s="1"/>
  <c r="AC1152" i="30"/>
  <c r="AD1152" i="30" s="1"/>
  <c r="AC1153" i="30"/>
  <c r="AD1153" i="30" s="1"/>
  <c r="AC1154" i="30"/>
  <c r="AD1154" i="30" s="1"/>
  <c r="AC1155" i="30"/>
  <c r="AD1155" i="30" s="1"/>
  <c r="AC1156" i="30"/>
  <c r="AD1156" i="30" s="1"/>
  <c r="AC1157" i="30"/>
  <c r="AD1157" i="30" s="1"/>
  <c r="AC1158" i="30"/>
  <c r="AD1158" i="30" s="1"/>
  <c r="AC1159" i="30"/>
  <c r="AD1159" i="30" s="1"/>
  <c r="AC1160" i="30"/>
  <c r="AD1160" i="30" s="1"/>
  <c r="AC1161" i="30"/>
  <c r="AD1161" i="30" s="1"/>
  <c r="AC1162" i="30"/>
  <c r="AD1162" i="30" s="1"/>
  <c r="AC1163" i="30"/>
  <c r="AD1163" i="30" s="1"/>
  <c r="AC1164" i="30"/>
  <c r="AD1164" i="30" s="1"/>
  <c r="AC1165" i="30"/>
  <c r="AD1165" i="30" s="1"/>
  <c r="AC1166" i="30"/>
  <c r="AD1166" i="30" s="1"/>
  <c r="AC1167" i="30"/>
  <c r="AD1167" i="30" s="1"/>
  <c r="AC1168" i="30"/>
  <c r="AD1168" i="30" s="1"/>
  <c r="AC1169" i="30"/>
  <c r="AD1169" i="30" s="1"/>
  <c r="AC1170" i="30"/>
  <c r="AD1170" i="30" s="1"/>
  <c r="AC1171" i="30"/>
  <c r="AD1171" i="30" s="1"/>
  <c r="AC1172" i="30"/>
  <c r="AD1172" i="30" s="1"/>
  <c r="AC1173" i="30"/>
  <c r="AD1173" i="30" s="1"/>
  <c r="AC1174" i="30"/>
  <c r="AD1174" i="30" s="1"/>
  <c r="AC1175" i="30"/>
  <c r="AD1175" i="30" s="1"/>
  <c r="AC1176" i="30"/>
  <c r="AD1176" i="30" s="1"/>
  <c r="AC1177" i="30"/>
  <c r="AD1177" i="30" s="1"/>
  <c r="AC1178" i="30"/>
  <c r="AD1178" i="30" s="1"/>
  <c r="AC1179" i="30"/>
  <c r="AD1179" i="30" s="1"/>
  <c r="AC1180" i="30"/>
  <c r="AD1180" i="30" s="1"/>
  <c r="AC1181" i="30"/>
  <c r="AD1181" i="30" s="1"/>
  <c r="AC1182" i="30"/>
  <c r="AD1182" i="30" s="1"/>
  <c r="AC1183" i="30"/>
  <c r="AD1183" i="30" s="1"/>
  <c r="AC1184" i="30"/>
  <c r="AD1184" i="30" s="1"/>
  <c r="AC1185" i="30"/>
  <c r="AD1185" i="30" s="1"/>
  <c r="AC1186" i="30"/>
  <c r="AD1186" i="30" s="1"/>
  <c r="AC1187" i="30"/>
  <c r="AD1187" i="30" s="1"/>
  <c r="AC1188" i="30"/>
  <c r="AD1188" i="30" s="1"/>
  <c r="AC1189" i="30"/>
  <c r="AD1189" i="30" s="1"/>
  <c r="AC1190" i="30"/>
  <c r="AD1190" i="30" s="1"/>
  <c r="AC1191" i="30"/>
  <c r="AD1191" i="30" s="1"/>
  <c r="AC1192" i="30"/>
  <c r="AD1192" i="30" s="1"/>
  <c r="AC1193" i="30"/>
  <c r="AD1193" i="30" s="1"/>
  <c r="AC1194" i="30"/>
  <c r="AD1194" i="30" s="1"/>
  <c r="AC1195" i="30"/>
  <c r="AD1195" i="30" s="1"/>
  <c r="AC1196" i="30"/>
  <c r="AD1196" i="30" s="1"/>
  <c r="AC1197" i="30"/>
  <c r="AD1197" i="30" s="1"/>
  <c r="AC1198" i="30"/>
  <c r="AD1198" i="30" s="1"/>
  <c r="AC1199" i="30"/>
  <c r="AD1199" i="30" s="1"/>
  <c r="AC1200" i="30"/>
  <c r="AD1200" i="30" s="1"/>
  <c r="AC1201" i="30"/>
  <c r="AD1201" i="30" s="1"/>
  <c r="AC1202" i="30"/>
  <c r="AD1202" i="30" s="1"/>
  <c r="AC1203" i="30"/>
  <c r="AD1203" i="30" s="1"/>
  <c r="AC1204" i="30"/>
  <c r="AD1204" i="30" s="1"/>
  <c r="AC1205" i="30"/>
  <c r="AD1205" i="30" s="1"/>
  <c r="AC1206" i="30"/>
  <c r="AD1206" i="30" s="1"/>
  <c r="AC1207" i="30"/>
  <c r="AD1207" i="30" s="1"/>
  <c r="AC1208" i="30"/>
  <c r="AD1208" i="30" s="1"/>
  <c r="AC1209" i="30"/>
  <c r="AD1209" i="30" s="1"/>
  <c r="AC1210" i="30"/>
  <c r="AD1210" i="30" s="1"/>
  <c r="AC1211" i="30"/>
  <c r="AD1211" i="30" s="1"/>
  <c r="AC1212" i="30"/>
  <c r="AD1212" i="30" s="1"/>
  <c r="AC1213" i="30"/>
  <c r="AD1213" i="30" s="1"/>
  <c r="AC1214" i="30"/>
  <c r="AD1214" i="30" s="1"/>
  <c r="AC1215" i="30"/>
  <c r="AD1215" i="30" s="1"/>
  <c r="AC1216" i="30"/>
  <c r="AD1216" i="30" s="1"/>
  <c r="AC1217" i="30"/>
  <c r="AD1217" i="30" s="1"/>
  <c r="AC1218" i="30"/>
  <c r="AD1218" i="30" s="1"/>
  <c r="AC1219" i="30"/>
  <c r="AD1219" i="30" s="1"/>
  <c r="AC1220" i="30"/>
  <c r="AD1220" i="30" s="1"/>
  <c r="AC1221" i="30"/>
  <c r="AD1221" i="30" s="1"/>
  <c r="AC1222" i="30"/>
  <c r="AD1222" i="30" s="1"/>
  <c r="AC1223" i="30"/>
  <c r="AD1223" i="30" s="1"/>
  <c r="AC1224" i="30"/>
  <c r="AD1224" i="30" s="1"/>
  <c r="AC1225" i="30"/>
  <c r="AD1225" i="30" s="1"/>
  <c r="AC1226" i="30"/>
  <c r="AD1226" i="30" s="1"/>
  <c r="AC1227" i="30"/>
  <c r="AD1227" i="30" s="1"/>
  <c r="AC1228" i="30"/>
  <c r="AD1228" i="30" s="1"/>
  <c r="AC1229" i="30"/>
  <c r="AD1229" i="30" s="1"/>
  <c r="AC1230" i="30"/>
  <c r="AD1230" i="30" s="1"/>
  <c r="AC1231" i="30"/>
  <c r="AD1231" i="30" s="1"/>
  <c r="AC1232" i="30"/>
  <c r="AD1232" i="30" s="1"/>
  <c r="AC1233" i="30"/>
  <c r="AD1233" i="30" s="1"/>
  <c r="AC1234" i="30"/>
  <c r="AD1234" i="30" s="1"/>
  <c r="AC1235" i="30"/>
  <c r="AD1235" i="30" s="1"/>
  <c r="AC1236" i="30"/>
  <c r="AD1236" i="30" s="1"/>
  <c r="AC1237" i="30"/>
  <c r="AD1237" i="30" s="1"/>
  <c r="AC1238" i="30"/>
  <c r="AD1238" i="30" s="1"/>
  <c r="AC1239" i="30"/>
  <c r="AD1239" i="30" s="1"/>
  <c r="AC1240" i="30"/>
  <c r="AD1240" i="30" s="1"/>
  <c r="AC1241" i="30"/>
  <c r="AD1241" i="30" s="1"/>
  <c r="AC1242" i="30"/>
  <c r="AD1242" i="30" s="1"/>
  <c r="AC1243" i="30"/>
  <c r="AD1243" i="30" s="1"/>
  <c r="AC1244" i="30"/>
  <c r="AD1244" i="30" s="1"/>
  <c r="AC1245" i="30"/>
  <c r="AD1245" i="30" s="1"/>
  <c r="AC1246" i="30"/>
  <c r="AD1246" i="30" s="1"/>
  <c r="AC1247" i="30"/>
  <c r="AD1247" i="30" s="1"/>
  <c r="AC1248" i="30"/>
  <c r="AD1248" i="30" s="1"/>
  <c r="AC1249" i="30"/>
  <c r="AD1249" i="30" s="1"/>
  <c r="AC1250" i="30"/>
  <c r="AD1250" i="30" s="1"/>
  <c r="AC1251" i="30"/>
  <c r="AD1251" i="30" s="1"/>
  <c r="AC1252" i="30"/>
  <c r="AD1252" i="30" s="1"/>
  <c r="AC1253" i="30"/>
  <c r="AD1253" i="30" s="1"/>
  <c r="AC1254" i="30"/>
  <c r="AD1254" i="30" s="1"/>
  <c r="AC1255" i="30"/>
  <c r="AD1255" i="30" s="1"/>
  <c r="AC1256" i="30"/>
  <c r="AD1256" i="30" s="1"/>
  <c r="AC1257" i="30"/>
  <c r="AD1257" i="30" s="1"/>
  <c r="AC1258" i="30"/>
  <c r="AD1258" i="30" s="1"/>
  <c r="AC1259" i="30"/>
  <c r="AD1259" i="30" s="1"/>
  <c r="AC1260" i="30"/>
  <c r="AD1260" i="30" s="1"/>
  <c r="AC1261" i="30"/>
  <c r="AD1261" i="30" s="1"/>
  <c r="AC1262" i="30"/>
  <c r="AD1262" i="30" s="1"/>
  <c r="AC1263" i="30"/>
  <c r="AD1263" i="30" s="1"/>
  <c r="AC1264" i="30"/>
  <c r="AD1264" i="30" s="1"/>
  <c r="AC1265" i="30"/>
  <c r="AD1265" i="30" s="1"/>
  <c r="AC1266" i="30"/>
  <c r="AD1266" i="30" s="1"/>
  <c r="AC1267" i="30"/>
  <c r="AD1267" i="30" s="1"/>
  <c r="AC1268" i="30"/>
  <c r="AD1268" i="30" s="1"/>
  <c r="AC1269" i="30"/>
  <c r="AD1269" i="30" s="1"/>
  <c r="AC1270" i="30"/>
  <c r="AD1270" i="30" s="1"/>
  <c r="AC1271" i="30"/>
  <c r="AD1271" i="30" s="1"/>
  <c r="AC1272" i="30"/>
  <c r="AD1272" i="30" s="1"/>
  <c r="AC1273" i="30"/>
  <c r="AD1273" i="30" s="1"/>
  <c r="AC1274" i="30"/>
  <c r="AD1274" i="30" s="1"/>
  <c r="AC1275" i="30"/>
  <c r="AD1275" i="30" s="1"/>
  <c r="AC1276" i="30"/>
  <c r="AD1276" i="30" s="1"/>
  <c r="AC1277" i="30"/>
  <c r="AD1277" i="30" s="1"/>
  <c r="AC1278" i="30"/>
  <c r="AD1278" i="30" s="1"/>
  <c r="AC1279" i="30"/>
  <c r="AD1279" i="30" s="1"/>
  <c r="AC1280" i="30"/>
  <c r="AD1280" i="30" s="1"/>
  <c r="AC1281" i="30"/>
  <c r="AD1281" i="30" s="1"/>
  <c r="AC1282" i="30"/>
  <c r="AD1282" i="30" s="1"/>
  <c r="AC1283" i="30"/>
  <c r="AD1283" i="30" s="1"/>
  <c r="AC1284" i="30"/>
  <c r="AD1284" i="30" s="1"/>
  <c r="AC1285" i="30"/>
  <c r="AD1285" i="30" s="1"/>
  <c r="AC1286" i="30"/>
  <c r="AD1286" i="30" s="1"/>
  <c r="AC1287" i="30"/>
  <c r="AD1287" i="30" s="1"/>
  <c r="AC1288" i="30"/>
  <c r="AD1288" i="30" s="1"/>
  <c r="AC1289" i="30"/>
  <c r="AD1289" i="30" s="1"/>
  <c r="AC1290" i="30"/>
  <c r="AD1290" i="30" s="1"/>
  <c r="AC1291" i="30"/>
  <c r="AD1291" i="30" s="1"/>
  <c r="AC1292" i="30"/>
  <c r="AD1292" i="30" s="1"/>
  <c r="AC1293" i="30"/>
  <c r="AD1293" i="30" s="1"/>
  <c r="AC1294" i="30"/>
  <c r="AD1294" i="30" s="1"/>
  <c r="AC1295" i="30"/>
  <c r="AD1295" i="30" s="1"/>
  <c r="AC1296" i="30"/>
  <c r="AD1296" i="30" s="1"/>
  <c r="AC1297" i="30"/>
  <c r="AD1297" i="30" s="1"/>
  <c r="AC1298" i="30"/>
  <c r="AD1298" i="30" s="1"/>
  <c r="AC1299" i="30"/>
  <c r="AD1299" i="30" s="1"/>
  <c r="AC1300" i="30"/>
  <c r="AD1300" i="30" s="1"/>
  <c r="AC1301" i="30"/>
  <c r="AD1301" i="30" s="1"/>
  <c r="AC1302" i="30"/>
  <c r="AD1302" i="30" s="1"/>
  <c r="AC1303" i="30"/>
  <c r="AD1303" i="30" s="1"/>
  <c r="AC1304" i="30"/>
  <c r="AD1304" i="30" s="1"/>
  <c r="AC1305" i="30"/>
  <c r="AD1305" i="30" s="1"/>
  <c r="AC1306" i="30"/>
  <c r="AD1306" i="30" s="1"/>
  <c r="AC1307" i="30"/>
  <c r="AD1307" i="30" s="1"/>
  <c r="AC1308" i="30"/>
  <c r="AD1308" i="30" s="1"/>
  <c r="AC1309" i="30"/>
  <c r="AD1309" i="30" s="1"/>
  <c r="AC1310" i="30"/>
  <c r="AD1310" i="30" s="1"/>
  <c r="AC1311" i="30"/>
  <c r="AD1311" i="30" s="1"/>
  <c r="AC1312" i="30"/>
  <c r="AD1312" i="30" s="1"/>
  <c r="AC1313" i="30"/>
  <c r="AD1313" i="30" s="1"/>
  <c r="AC1314" i="30"/>
  <c r="AD1314" i="30" s="1"/>
  <c r="AC1315" i="30"/>
  <c r="AD1315" i="30" s="1"/>
  <c r="AC1316" i="30"/>
  <c r="AD1316" i="30" s="1"/>
  <c r="AC1317" i="30"/>
  <c r="AD1317" i="30" s="1"/>
  <c r="AC1318" i="30"/>
  <c r="AD1318" i="30" s="1"/>
  <c r="AC1319" i="30"/>
  <c r="AD1319" i="30" s="1"/>
  <c r="AC1320" i="30"/>
  <c r="AD1320" i="30" s="1"/>
  <c r="AC1321" i="30"/>
  <c r="AD1321" i="30" s="1"/>
  <c r="AC1322" i="30"/>
  <c r="AD1322" i="30" s="1"/>
  <c r="AC1323" i="30"/>
  <c r="AD1323" i="30" s="1"/>
  <c r="AC1324" i="30"/>
  <c r="AD1324" i="30" s="1"/>
  <c r="AC1325" i="30"/>
  <c r="AD1325" i="30" s="1"/>
  <c r="AC1326" i="30"/>
  <c r="AD1326" i="30" s="1"/>
  <c r="AC1327" i="30"/>
  <c r="AD1327" i="30" s="1"/>
  <c r="AC1328" i="30"/>
  <c r="AD1328" i="30" s="1"/>
  <c r="AC1329" i="30"/>
  <c r="AD1329" i="30" s="1"/>
  <c r="AC1330" i="30"/>
  <c r="AD1330" i="30" s="1"/>
  <c r="AC1331" i="30"/>
  <c r="AD1331" i="30" s="1"/>
  <c r="AC1332" i="30"/>
  <c r="AD1332" i="30" s="1"/>
  <c r="AC1333" i="30"/>
  <c r="AD1333" i="30" s="1"/>
  <c r="AC1334" i="30"/>
  <c r="AD1334" i="30" s="1"/>
  <c r="AC1335" i="30"/>
  <c r="AD1335" i="30" s="1"/>
  <c r="AC1336" i="30"/>
  <c r="AD1336" i="30" s="1"/>
  <c r="AC1337" i="30"/>
  <c r="AD1337" i="30" s="1"/>
  <c r="AC1338" i="30"/>
  <c r="AD1338" i="30" s="1"/>
  <c r="AC1339" i="30"/>
  <c r="AD1339" i="30" s="1"/>
  <c r="AC1340" i="30"/>
  <c r="AD1340" i="30" s="1"/>
  <c r="AC1341" i="30"/>
  <c r="AD1341" i="30" s="1"/>
  <c r="AC1342" i="30"/>
  <c r="AD1342" i="30" s="1"/>
  <c r="AC1343" i="30"/>
  <c r="AD1343" i="30" s="1"/>
  <c r="AC1344" i="30"/>
  <c r="AD1344" i="30" s="1"/>
  <c r="AC1345" i="30"/>
  <c r="AD1345" i="30" s="1"/>
  <c r="AC1346" i="30"/>
  <c r="AD1346" i="30" s="1"/>
  <c r="AC1347" i="30"/>
  <c r="AD1347" i="30" s="1"/>
  <c r="AC1348" i="30"/>
  <c r="AD1348" i="30" s="1"/>
  <c r="AC1349" i="30"/>
  <c r="AD1349" i="30" s="1"/>
  <c r="AC1350" i="30"/>
  <c r="AD1350" i="30" s="1"/>
  <c r="AC1351" i="30"/>
  <c r="AD1351" i="30" s="1"/>
  <c r="AC1352" i="30"/>
  <c r="AD1352" i="30" s="1"/>
  <c r="AC1353" i="30"/>
  <c r="AD1353" i="30" s="1"/>
  <c r="AC1354" i="30"/>
  <c r="AD1354" i="30" s="1"/>
  <c r="AC1355" i="30"/>
  <c r="AD1355" i="30" s="1"/>
  <c r="AC1356" i="30"/>
  <c r="AD1356" i="30" s="1"/>
  <c r="AC1357" i="30"/>
  <c r="AD1357" i="30" s="1"/>
  <c r="AC1358" i="30"/>
  <c r="AD1358" i="30" s="1"/>
  <c r="AC1359" i="30"/>
  <c r="AD1359" i="30" s="1"/>
  <c r="AC1360" i="30"/>
  <c r="AD1360" i="30" s="1"/>
  <c r="AC1361" i="30"/>
  <c r="AD1361" i="30" s="1"/>
  <c r="AC1362" i="30"/>
  <c r="AD1362" i="30" s="1"/>
  <c r="AC1363" i="30"/>
  <c r="AD1363" i="30" s="1"/>
  <c r="AC1364" i="30"/>
  <c r="AD1364" i="30" s="1"/>
  <c r="AC1365" i="30"/>
  <c r="AD1365" i="30" s="1"/>
  <c r="AC1366" i="30"/>
  <c r="AD1366" i="30" s="1"/>
  <c r="AC1367" i="30"/>
  <c r="AD1367" i="30" s="1"/>
  <c r="AC1368" i="30"/>
  <c r="AD1368" i="30" s="1"/>
  <c r="AC1369" i="30"/>
  <c r="AD1369" i="30" s="1"/>
  <c r="AC1370" i="30"/>
  <c r="AD1370" i="30" s="1"/>
  <c r="AC1371" i="30"/>
  <c r="AD1371" i="30" s="1"/>
  <c r="AC1372" i="30"/>
  <c r="AD1372" i="30" s="1"/>
  <c r="AC1373" i="30"/>
  <c r="AD1373" i="30" s="1"/>
  <c r="AC1374" i="30"/>
  <c r="AD1374" i="30" s="1"/>
  <c r="AC1375" i="30"/>
  <c r="AD1375" i="30" s="1"/>
  <c r="AC1376" i="30"/>
  <c r="AD1376" i="30" s="1"/>
  <c r="AC1377" i="30"/>
  <c r="AD1377" i="30" s="1"/>
  <c r="AC1378" i="30"/>
  <c r="AD1378" i="30" s="1"/>
  <c r="AC1379" i="30"/>
  <c r="AD1379" i="30" s="1"/>
  <c r="AC1380" i="30"/>
  <c r="AD1380" i="30" s="1"/>
  <c r="AC1381" i="30"/>
  <c r="AD1381" i="30" s="1"/>
  <c r="AC1382" i="30"/>
  <c r="AD1382" i="30" s="1"/>
  <c r="AC1383" i="30"/>
  <c r="AD1383" i="30" s="1"/>
  <c r="AC1384" i="30"/>
  <c r="AD1384" i="30" s="1"/>
  <c r="AC1385" i="30"/>
  <c r="AD1385" i="30" s="1"/>
  <c r="AC1386" i="30"/>
  <c r="AD1386" i="30" s="1"/>
  <c r="AC1387" i="30"/>
  <c r="AD1387" i="30" s="1"/>
  <c r="AC1388" i="30"/>
  <c r="AD1388" i="30" s="1"/>
  <c r="AC1389" i="30"/>
  <c r="AD1389" i="30" s="1"/>
  <c r="AC1390" i="30"/>
  <c r="AD1390" i="30" s="1"/>
  <c r="AC1391" i="30"/>
  <c r="AD1391" i="30" s="1"/>
  <c r="AC1392" i="30"/>
  <c r="AD1392" i="30" s="1"/>
  <c r="AC1393" i="30"/>
  <c r="AD1393" i="30" s="1"/>
  <c r="AC1394" i="30"/>
  <c r="AD1394" i="30" s="1"/>
  <c r="AC1395" i="30"/>
  <c r="AD1395" i="30" s="1"/>
  <c r="AC1396" i="30"/>
  <c r="AD1396" i="30" s="1"/>
  <c r="AC1397" i="30"/>
  <c r="AD1397" i="30" s="1"/>
  <c r="AC1398" i="30"/>
  <c r="AD1398" i="30" s="1"/>
  <c r="AC1399" i="30"/>
  <c r="AD1399" i="30" s="1"/>
  <c r="AC1400" i="30"/>
  <c r="AD1400" i="30" s="1"/>
  <c r="AC1401" i="30"/>
  <c r="AD1401" i="30" s="1"/>
  <c r="AC1402" i="30"/>
  <c r="AD1402" i="30" s="1"/>
  <c r="AC1403" i="30"/>
  <c r="AD1403" i="30" s="1"/>
  <c r="AC1404" i="30"/>
  <c r="AD1404" i="30" s="1"/>
  <c r="AC1405" i="30"/>
  <c r="AD1405" i="30" s="1"/>
  <c r="AC1406" i="30"/>
  <c r="AD1406" i="30" s="1"/>
  <c r="AC1407" i="30"/>
  <c r="AD1407" i="30" s="1"/>
  <c r="AC1408" i="30"/>
  <c r="AD1408" i="30" s="1"/>
  <c r="AC1409" i="30"/>
  <c r="AD1409" i="30" s="1"/>
  <c r="AC1410" i="30"/>
  <c r="AD1410" i="30" s="1"/>
  <c r="AC1411" i="30"/>
  <c r="AD1411" i="30" s="1"/>
  <c r="AC1412" i="30"/>
  <c r="AD1412" i="30" s="1"/>
  <c r="AC1413" i="30"/>
  <c r="AD1413" i="30" s="1"/>
  <c r="AC1414" i="30"/>
  <c r="AD1414" i="30" s="1"/>
  <c r="AC1415" i="30"/>
  <c r="AD1415" i="30" s="1"/>
  <c r="AC1416" i="30"/>
  <c r="AD1416" i="30" s="1"/>
  <c r="AC1417" i="30"/>
  <c r="AD1417" i="30" s="1"/>
  <c r="AC1418" i="30"/>
  <c r="AD1418" i="30" s="1"/>
  <c r="AC1419" i="30"/>
  <c r="AD1419" i="30" s="1"/>
  <c r="AC1420" i="30"/>
  <c r="AD1420" i="30" s="1"/>
  <c r="AC1421" i="30"/>
  <c r="AD1421" i="30" s="1"/>
  <c r="AC1422" i="30"/>
  <c r="AD1422" i="30" s="1"/>
  <c r="AC1423" i="30"/>
  <c r="AD1423" i="30" s="1"/>
  <c r="AC1424" i="30"/>
  <c r="AD1424" i="30" s="1"/>
  <c r="AC1425" i="30"/>
  <c r="AD1425" i="30" s="1"/>
  <c r="AC1426" i="30"/>
  <c r="AD1426" i="30" s="1"/>
  <c r="AC1427" i="30"/>
  <c r="AD1427" i="30" s="1"/>
  <c r="AC1428" i="30"/>
  <c r="AD1428" i="30" s="1"/>
  <c r="AC1429" i="30"/>
  <c r="AD1429" i="30" s="1"/>
  <c r="AC1430" i="30"/>
  <c r="AD1430" i="30" s="1"/>
  <c r="AC1431" i="30"/>
  <c r="AD1431" i="30" s="1"/>
  <c r="AC1432" i="30"/>
  <c r="AD1432" i="30" s="1"/>
  <c r="AC1433" i="30"/>
  <c r="AD1433" i="30" s="1"/>
  <c r="AC1434" i="30"/>
  <c r="AD1434" i="30" s="1"/>
  <c r="AC1435" i="30"/>
  <c r="AD1435" i="30" s="1"/>
  <c r="AC1436" i="30"/>
  <c r="AD1436" i="30" s="1"/>
  <c r="AC1437" i="30"/>
  <c r="AD1437" i="30" s="1"/>
  <c r="AC1438" i="30"/>
  <c r="AD1438" i="30" s="1"/>
  <c r="AC1439" i="30"/>
  <c r="AD1439" i="30" s="1"/>
  <c r="AC1440" i="30"/>
  <c r="AD1440" i="30" s="1"/>
  <c r="AC1441" i="30"/>
  <c r="AD1441" i="30" s="1"/>
  <c r="AC1442" i="30"/>
  <c r="AD1442" i="30" s="1"/>
  <c r="AC1443" i="30"/>
  <c r="AD1443" i="30" s="1"/>
  <c r="AC1444" i="30"/>
  <c r="AD1444" i="30" s="1"/>
  <c r="AC1445" i="30"/>
  <c r="AD1445" i="30" s="1"/>
  <c r="AC1446" i="30"/>
  <c r="AD1446" i="30" s="1"/>
  <c r="AC1447" i="30"/>
  <c r="AD1447" i="30" s="1"/>
  <c r="AC1448" i="30"/>
  <c r="AD1448" i="30" s="1"/>
  <c r="AC1449" i="30"/>
  <c r="AD1449" i="30" s="1"/>
  <c r="AC1450" i="30"/>
  <c r="AD1450" i="30" s="1"/>
  <c r="AC1451" i="30"/>
  <c r="AD1451" i="30" s="1"/>
  <c r="AC1452" i="30"/>
  <c r="AD1452" i="30" s="1"/>
  <c r="AC1453" i="30"/>
  <c r="AD1453" i="30" s="1"/>
  <c r="AC1454" i="30"/>
  <c r="AD1454" i="30" s="1"/>
  <c r="AC1455" i="30"/>
  <c r="AD1455" i="30" s="1"/>
  <c r="AC1456" i="30"/>
  <c r="AD1456" i="30" s="1"/>
  <c r="AC1457" i="30"/>
  <c r="AD1457" i="30" s="1"/>
  <c r="AC1458" i="30"/>
  <c r="AD1458" i="30" s="1"/>
  <c r="AC1459" i="30"/>
  <c r="AD1459" i="30" s="1"/>
  <c r="AC1460" i="30"/>
  <c r="AD1460" i="30" s="1"/>
  <c r="AC1461" i="30"/>
  <c r="AD1461" i="30" s="1"/>
  <c r="AC1462" i="30"/>
  <c r="AD1462" i="30" s="1"/>
  <c r="AC1463" i="30"/>
  <c r="AD1463" i="30" s="1"/>
  <c r="AC1464" i="30"/>
  <c r="AD1464" i="30" s="1"/>
  <c r="AC1465" i="30"/>
  <c r="AD1465" i="30" s="1"/>
  <c r="AC1466" i="30"/>
  <c r="AD1466" i="30" s="1"/>
  <c r="AC1467" i="30"/>
  <c r="AD1467" i="30" s="1"/>
  <c r="AC1468" i="30"/>
  <c r="AD1468" i="30" s="1"/>
  <c r="AC1469" i="30"/>
  <c r="AD1469" i="30" s="1"/>
  <c r="AC1470" i="30"/>
  <c r="AD1470" i="30" s="1"/>
  <c r="AC1471" i="30"/>
  <c r="AD1471" i="30" s="1"/>
  <c r="AC1472" i="30"/>
  <c r="AD1472" i="30" s="1"/>
  <c r="AC1473" i="30"/>
  <c r="AD1473" i="30" s="1"/>
  <c r="AC1474" i="30"/>
  <c r="AD1474" i="30" s="1"/>
  <c r="AC1475" i="30"/>
  <c r="AD1475" i="30" s="1"/>
  <c r="AC1476" i="30"/>
  <c r="AD1476" i="30" s="1"/>
  <c r="AC1477" i="30"/>
  <c r="AD1477" i="30" s="1"/>
  <c r="AC1478" i="30"/>
  <c r="AD1478" i="30" s="1"/>
  <c r="AC1479" i="30"/>
  <c r="AD1479" i="30" s="1"/>
  <c r="AC1480" i="30"/>
  <c r="AD1480" i="30" s="1"/>
  <c r="AC1481" i="30"/>
  <c r="AD1481" i="30" s="1"/>
  <c r="AC1482" i="30"/>
  <c r="AD1482" i="30" s="1"/>
  <c r="AC1483" i="30"/>
  <c r="AD1483" i="30" s="1"/>
  <c r="AC1484" i="30"/>
  <c r="AD1484" i="30" s="1"/>
  <c r="AC1485" i="30"/>
  <c r="AD1485" i="30" s="1"/>
  <c r="AC1486" i="30"/>
  <c r="AD1486" i="30" s="1"/>
  <c r="AC1487" i="30"/>
  <c r="AD1487" i="30" s="1"/>
  <c r="AC1488" i="30"/>
  <c r="AD1488" i="30" s="1"/>
  <c r="AC1489" i="30"/>
  <c r="AD1489" i="30" s="1"/>
  <c r="AC1490" i="30"/>
  <c r="AD1490" i="30" s="1"/>
  <c r="AC1491" i="30"/>
  <c r="AD1491" i="30" s="1"/>
  <c r="AC1492" i="30"/>
  <c r="AD1492" i="30" s="1"/>
  <c r="AC1493" i="30"/>
  <c r="AD1493" i="30" s="1"/>
  <c r="AC1494" i="30"/>
  <c r="AD1494" i="30" s="1"/>
  <c r="AC1495" i="30"/>
  <c r="AD1495" i="30" s="1"/>
  <c r="AC1496" i="30"/>
  <c r="AD1496" i="30" s="1"/>
  <c r="AC1497" i="30"/>
  <c r="AD1497" i="30" s="1"/>
  <c r="AC1498" i="30"/>
  <c r="AD1498" i="30" s="1"/>
  <c r="AC1499" i="30"/>
  <c r="AD1499" i="30" s="1"/>
  <c r="AC1500" i="30"/>
  <c r="AD1500" i="30" s="1"/>
  <c r="AC1501" i="30"/>
  <c r="AD1501" i="30" s="1"/>
  <c r="AC1502" i="30"/>
  <c r="AD1502" i="30" s="1"/>
  <c r="AC1503" i="30"/>
  <c r="AD1503" i="30" s="1"/>
  <c r="AC1504" i="30"/>
  <c r="AD1504" i="30" s="1"/>
  <c r="AC1505" i="30"/>
  <c r="AD1505" i="30" s="1"/>
  <c r="AC1506" i="30"/>
  <c r="AD1506" i="30" s="1"/>
  <c r="AC1507" i="30"/>
  <c r="AD1507" i="30" s="1"/>
  <c r="AC1508" i="30"/>
  <c r="AD1508" i="30" s="1"/>
  <c r="AC1509" i="30"/>
  <c r="AD1509" i="30" s="1"/>
  <c r="AC1510" i="30"/>
  <c r="AD1510" i="30" s="1"/>
  <c r="AC1511" i="30"/>
  <c r="AD1511" i="30" s="1"/>
  <c r="AC1512" i="30"/>
  <c r="AD1512" i="30" s="1"/>
  <c r="AC1513" i="30"/>
  <c r="AD1513" i="30" s="1"/>
  <c r="AC1514" i="30"/>
  <c r="AD1514" i="30" s="1"/>
  <c r="AC1515" i="30"/>
  <c r="AD1515" i="30" s="1"/>
  <c r="AC1516" i="30"/>
  <c r="AD1516" i="30" s="1"/>
  <c r="AC1517" i="30"/>
  <c r="AD1517" i="30" s="1"/>
  <c r="AC1518" i="30"/>
  <c r="AD1518" i="30" s="1"/>
  <c r="AC1519" i="30"/>
  <c r="AD1519" i="30" s="1"/>
  <c r="AC1520" i="30"/>
  <c r="AD1520" i="30" s="1"/>
  <c r="AC1521" i="30"/>
  <c r="AD1521" i="30" s="1"/>
  <c r="AC1522" i="30"/>
  <c r="AD1522" i="30" s="1"/>
  <c r="AC1523" i="30"/>
  <c r="AD1523" i="30" s="1"/>
  <c r="AC1524" i="30"/>
  <c r="AD1524" i="30" s="1"/>
  <c r="AC1525" i="30"/>
  <c r="AD1525" i="30" s="1"/>
  <c r="AC1526" i="30"/>
  <c r="AD1526" i="30" s="1"/>
  <c r="AC1527" i="30"/>
  <c r="AD1527" i="30" s="1"/>
  <c r="AC1528" i="30"/>
  <c r="AD1528" i="30" s="1"/>
  <c r="AC1529" i="30"/>
  <c r="AD1529" i="30" s="1"/>
  <c r="AC1530" i="30"/>
  <c r="AD1530" i="30" s="1"/>
  <c r="AC1531" i="30"/>
  <c r="AD1531" i="30" s="1"/>
  <c r="AC1532" i="30"/>
  <c r="AD1532" i="30" s="1"/>
  <c r="AC1533" i="30"/>
  <c r="AD1533" i="30" s="1"/>
  <c r="AC1534" i="30"/>
  <c r="AD1534" i="30" s="1"/>
  <c r="AC1535" i="30"/>
  <c r="AD1535" i="30" s="1"/>
  <c r="AC1536" i="30"/>
  <c r="AD1536" i="30" s="1"/>
  <c r="AC1537" i="30"/>
  <c r="AD1537" i="30" s="1"/>
  <c r="AC1538" i="30"/>
  <c r="AD1538" i="30" s="1"/>
  <c r="AC1539" i="30"/>
  <c r="AD1539" i="30" s="1"/>
  <c r="AC1540" i="30"/>
  <c r="AD1540" i="30" s="1"/>
  <c r="AC1541" i="30"/>
  <c r="AD1541" i="30" s="1"/>
  <c r="AC1542" i="30"/>
  <c r="AD1542" i="30" s="1"/>
  <c r="AC1543" i="30"/>
  <c r="AD1543" i="30" s="1"/>
  <c r="AC1544" i="30"/>
  <c r="AD1544" i="30" s="1"/>
  <c r="AC1545" i="30"/>
  <c r="AD1545" i="30" s="1"/>
  <c r="AC1546" i="30"/>
  <c r="AD1546" i="30" s="1"/>
  <c r="AC1547" i="30"/>
  <c r="AD1547" i="30" s="1"/>
  <c r="AC1548" i="30"/>
  <c r="AD1548" i="30" s="1"/>
  <c r="AC1549" i="30"/>
  <c r="AD1549" i="30" s="1"/>
  <c r="AC1550" i="30"/>
  <c r="AD1550" i="30" s="1"/>
  <c r="AC1551" i="30"/>
  <c r="AD1551" i="30" s="1"/>
  <c r="AC1552" i="30"/>
  <c r="AD1552" i="30" s="1"/>
  <c r="AC1553" i="30"/>
  <c r="AD1553" i="30" s="1"/>
  <c r="AC1554" i="30"/>
  <c r="AD1554" i="30" s="1"/>
  <c r="AC1555" i="30"/>
  <c r="AD1555" i="30" s="1"/>
  <c r="AC1556" i="30"/>
  <c r="AD1556" i="30" s="1"/>
  <c r="AC1557" i="30"/>
  <c r="AD1557" i="30" s="1"/>
  <c r="AC1558" i="30"/>
  <c r="AD1558" i="30" s="1"/>
  <c r="AC1559" i="30"/>
  <c r="AD1559" i="30" s="1"/>
  <c r="AC1560" i="30"/>
  <c r="AD1560" i="30" s="1"/>
  <c r="AC1561" i="30"/>
  <c r="AD1561" i="30" s="1"/>
  <c r="AC1562" i="30"/>
  <c r="AD1562" i="30" s="1"/>
  <c r="AC1563" i="30"/>
  <c r="AD1563" i="30" s="1"/>
  <c r="AC1564" i="30"/>
  <c r="AD1564" i="30" s="1"/>
  <c r="AC1565" i="30"/>
  <c r="AD1565" i="30" s="1"/>
  <c r="AC1566" i="30"/>
  <c r="AD1566" i="30" s="1"/>
  <c r="AC1567" i="30"/>
  <c r="AD1567" i="30" s="1"/>
  <c r="AC1568" i="30"/>
  <c r="AD1568" i="30" s="1"/>
  <c r="AC1569" i="30"/>
  <c r="AD1569" i="30" s="1"/>
  <c r="AC1570" i="30"/>
  <c r="AD1570" i="30" s="1"/>
  <c r="AC1571" i="30"/>
  <c r="AD1571" i="30" s="1"/>
  <c r="AC1572" i="30"/>
  <c r="AD1572" i="30" s="1"/>
  <c r="AC1573" i="30"/>
  <c r="AD1573" i="30" s="1"/>
  <c r="AC1574" i="30"/>
  <c r="AD1574" i="30" s="1"/>
  <c r="AC1575" i="30"/>
  <c r="AD1575" i="30" s="1"/>
  <c r="AC1576" i="30"/>
  <c r="AD1576" i="30" s="1"/>
  <c r="AC1577" i="30"/>
  <c r="AD1577" i="30" s="1"/>
  <c r="AC1578" i="30"/>
  <c r="AD1578" i="30" s="1"/>
  <c r="AC1579" i="30"/>
  <c r="AD1579" i="30" s="1"/>
  <c r="AC1580" i="30"/>
  <c r="AD1580" i="30" s="1"/>
  <c r="AC1581" i="30"/>
  <c r="AD1581" i="30" s="1"/>
  <c r="AC1582" i="30"/>
  <c r="AD1582" i="30" s="1"/>
  <c r="AC1583" i="30"/>
  <c r="AD1583" i="30" s="1"/>
  <c r="AC1584" i="30"/>
  <c r="AD1584" i="30" s="1"/>
  <c r="AC1585" i="30"/>
  <c r="AD1585" i="30" s="1"/>
  <c r="AC1586" i="30"/>
  <c r="AD1586" i="30" s="1"/>
  <c r="AC1587" i="30"/>
  <c r="AD1587" i="30" s="1"/>
  <c r="AC1588" i="30"/>
  <c r="AD1588" i="30" s="1"/>
  <c r="AC1589" i="30"/>
  <c r="AD1589" i="30" s="1"/>
  <c r="AC1590" i="30"/>
  <c r="AD1590" i="30" s="1"/>
  <c r="AC1591" i="30"/>
  <c r="AD1591" i="30" s="1"/>
  <c r="AC1592" i="30"/>
  <c r="AD1592" i="30" s="1"/>
  <c r="AC1593" i="30"/>
  <c r="AD1593" i="30" s="1"/>
  <c r="AC1594" i="30"/>
  <c r="AD1594" i="30" s="1"/>
  <c r="AC1595" i="30"/>
  <c r="AD1595" i="30" s="1"/>
  <c r="AC1596" i="30"/>
  <c r="AD1596" i="30" s="1"/>
  <c r="AC1597" i="30"/>
  <c r="AD1597" i="30" s="1"/>
  <c r="AC1598" i="30"/>
  <c r="AD1598" i="30" s="1"/>
  <c r="AC1599" i="30"/>
  <c r="AD1599" i="30" s="1"/>
  <c r="AC1600" i="30"/>
  <c r="AD1600" i="30" s="1"/>
  <c r="AC1601" i="30"/>
  <c r="AD1601" i="30" s="1"/>
  <c r="AC1602" i="30"/>
  <c r="AD1602" i="30" s="1"/>
  <c r="AC1603" i="30"/>
  <c r="AD1603" i="30" s="1"/>
  <c r="AC1604" i="30"/>
  <c r="AD1604" i="30" s="1"/>
  <c r="AC1605" i="30"/>
  <c r="AD1605" i="30" s="1"/>
  <c r="AC1606" i="30"/>
  <c r="AD1606" i="30" s="1"/>
  <c r="AC1607" i="30"/>
  <c r="AD1607" i="30" s="1"/>
  <c r="AC1608" i="30"/>
  <c r="AD1608" i="30" s="1"/>
  <c r="AC1609" i="30"/>
  <c r="AD1609" i="30" s="1"/>
  <c r="AC1610" i="30"/>
  <c r="AD1610" i="30" s="1"/>
  <c r="AC1611" i="30"/>
  <c r="AD1611" i="30" s="1"/>
  <c r="AC1612" i="30"/>
  <c r="AD1612" i="30" s="1"/>
  <c r="AC1613" i="30"/>
  <c r="AD1613" i="30" s="1"/>
  <c r="AC1614" i="30"/>
  <c r="AD1614" i="30" s="1"/>
  <c r="AC1615" i="30"/>
  <c r="AD1615" i="30" s="1"/>
  <c r="AC1616" i="30"/>
  <c r="AD1616" i="30" s="1"/>
  <c r="AC1617" i="30"/>
  <c r="AD1617" i="30" s="1"/>
  <c r="AC1618" i="30"/>
  <c r="AD1618" i="30" s="1"/>
  <c r="AC1619" i="30"/>
  <c r="AD1619" i="30" s="1"/>
  <c r="AC1620" i="30"/>
  <c r="AD1620" i="30" s="1"/>
  <c r="AC1621" i="30"/>
  <c r="AD1621" i="30" s="1"/>
  <c r="AC1622" i="30"/>
  <c r="AD1622" i="30" s="1"/>
  <c r="AC1623" i="30"/>
  <c r="AD1623" i="30" s="1"/>
  <c r="AC1624" i="30"/>
  <c r="AD1624" i="30" s="1"/>
  <c r="AC1625" i="30"/>
  <c r="AD1625" i="30" s="1"/>
  <c r="AC1626" i="30"/>
  <c r="AD1626" i="30" s="1"/>
  <c r="AC1627" i="30"/>
  <c r="AD1627" i="30" s="1"/>
  <c r="AC1628" i="30"/>
  <c r="AD1628" i="30" s="1"/>
  <c r="AC1629" i="30"/>
  <c r="AD1629" i="30" s="1"/>
  <c r="AC1630" i="30"/>
  <c r="AD1630" i="30" s="1"/>
  <c r="AC1631" i="30"/>
  <c r="AD1631" i="30" s="1"/>
  <c r="AC1632" i="30"/>
  <c r="AD1632" i="30" s="1"/>
  <c r="AC1633" i="30"/>
  <c r="AD1633" i="30" s="1"/>
  <c r="AC1634" i="30"/>
  <c r="AD1634" i="30" s="1"/>
  <c r="AC1635" i="30"/>
  <c r="AD1635" i="30" s="1"/>
  <c r="AC1636" i="30"/>
  <c r="AD1636" i="30" s="1"/>
  <c r="AC1637" i="30"/>
  <c r="AD1637" i="30" s="1"/>
  <c r="AC1638" i="30"/>
  <c r="AD1638" i="30" s="1"/>
  <c r="AC1639" i="30"/>
  <c r="AD1639" i="30" s="1"/>
  <c r="AC1640" i="30"/>
  <c r="AD1640" i="30" s="1"/>
  <c r="AC1641" i="30"/>
  <c r="AD1641" i="30" s="1"/>
  <c r="AC1642" i="30"/>
  <c r="AD1642" i="30" s="1"/>
  <c r="AC1643" i="30"/>
  <c r="AD1643" i="30" s="1"/>
  <c r="AC1644" i="30"/>
  <c r="AD1644" i="30" s="1"/>
  <c r="AC1645" i="30"/>
  <c r="AD1645" i="30" s="1"/>
  <c r="AC1646" i="30"/>
  <c r="AD1646" i="30" s="1"/>
  <c r="AC1647" i="30"/>
  <c r="AD1647" i="30" s="1"/>
  <c r="AC1648" i="30"/>
  <c r="AD1648" i="30" s="1"/>
  <c r="AC1649" i="30"/>
  <c r="AD1649" i="30" s="1"/>
  <c r="AC1650" i="30"/>
  <c r="AD1650" i="30" s="1"/>
  <c r="AC1651" i="30"/>
  <c r="AD1651" i="30" s="1"/>
  <c r="AC1652" i="30"/>
  <c r="AD1652" i="30" s="1"/>
  <c r="AC1653" i="30"/>
  <c r="AD1653" i="30" s="1"/>
  <c r="AC1654" i="30"/>
  <c r="AD1654" i="30" s="1"/>
  <c r="AC1655" i="30"/>
  <c r="AD1655" i="30" s="1"/>
  <c r="AC1656" i="30"/>
  <c r="AD1656" i="30" s="1"/>
  <c r="AC1657" i="30"/>
  <c r="AD1657" i="30" s="1"/>
  <c r="AC1658" i="30"/>
  <c r="AD1658" i="30" s="1"/>
  <c r="AC1659" i="30"/>
  <c r="AD1659" i="30" s="1"/>
  <c r="AC1660" i="30"/>
  <c r="AD1660" i="30" s="1"/>
  <c r="AC1661" i="30"/>
  <c r="AD1661" i="30" s="1"/>
  <c r="AC1662" i="30"/>
  <c r="AD1662" i="30" s="1"/>
  <c r="AC1663" i="30"/>
  <c r="AD1663" i="30" s="1"/>
  <c r="AC1664" i="30"/>
  <c r="AD1664" i="30" s="1"/>
  <c r="AC1665" i="30"/>
  <c r="AD1665" i="30" s="1"/>
  <c r="AC1666" i="30"/>
  <c r="AD1666" i="30" s="1"/>
  <c r="AC1667" i="30"/>
  <c r="AD1667" i="30" s="1"/>
  <c r="AC1668" i="30"/>
  <c r="AD1668" i="30" s="1"/>
  <c r="AC1669" i="30"/>
  <c r="AD1669" i="30" s="1"/>
  <c r="AC1670" i="30"/>
  <c r="AD1670" i="30" s="1"/>
  <c r="AC1671" i="30"/>
  <c r="AD1671" i="30" s="1"/>
  <c r="AC1672" i="30"/>
  <c r="AD1672" i="30" s="1"/>
  <c r="AC1673" i="30"/>
  <c r="AD1673" i="30" s="1"/>
  <c r="AC1674" i="30"/>
  <c r="AD1674" i="30" s="1"/>
  <c r="AC1675" i="30"/>
  <c r="AD1675" i="30" s="1"/>
  <c r="AC1676" i="30"/>
  <c r="AD1676" i="30" s="1"/>
  <c r="AC1677" i="30"/>
  <c r="AD1677" i="30" s="1"/>
  <c r="AC1678" i="30"/>
  <c r="AD1678" i="30" s="1"/>
  <c r="AC1679" i="30"/>
  <c r="AD1679" i="30" s="1"/>
  <c r="AC1680" i="30"/>
  <c r="AD1680" i="30" s="1"/>
  <c r="AC1681" i="30"/>
  <c r="AD1681" i="30" s="1"/>
  <c r="AC1682" i="30"/>
  <c r="AD1682" i="30" s="1"/>
  <c r="AC1683" i="30"/>
  <c r="AD1683" i="30" s="1"/>
  <c r="AC1684" i="30"/>
  <c r="AD1684" i="30" s="1"/>
  <c r="AC1685" i="30"/>
  <c r="AD1685" i="30" s="1"/>
  <c r="AC1686" i="30"/>
  <c r="AD1686" i="30" s="1"/>
  <c r="AC1687" i="30"/>
  <c r="AD1687" i="30" s="1"/>
  <c r="AC1688" i="30"/>
  <c r="AD1688" i="30" s="1"/>
  <c r="AC1689" i="30"/>
  <c r="AD1689" i="30" s="1"/>
  <c r="AC1690" i="30"/>
  <c r="AD1690" i="30" s="1"/>
  <c r="AC1691" i="30"/>
  <c r="AD1691" i="30" s="1"/>
  <c r="AC1692" i="30"/>
  <c r="AD1692" i="30" s="1"/>
  <c r="AC1693" i="30"/>
  <c r="AD1693" i="30" s="1"/>
  <c r="AC1694" i="30"/>
  <c r="AD1694" i="30" s="1"/>
  <c r="AC1695" i="30"/>
  <c r="AD1695" i="30" s="1"/>
  <c r="AC1696" i="30"/>
  <c r="AD1696" i="30" s="1"/>
  <c r="AC1697" i="30"/>
  <c r="AD1697" i="30" s="1"/>
  <c r="AC1698" i="30"/>
  <c r="AD1698" i="30" s="1"/>
  <c r="AC1699" i="30"/>
  <c r="AD1699" i="30" s="1"/>
  <c r="AC1700" i="30"/>
  <c r="AD1700" i="30" s="1"/>
  <c r="AC1701" i="30"/>
  <c r="AD1701" i="30" s="1"/>
  <c r="AC1702" i="30"/>
  <c r="AD1702" i="30" s="1"/>
  <c r="AC1703" i="30"/>
  <c r="AD1703" i="30" s="1"/>
  <c r="AC1704" i="30"/>
  <c r="AD1704" i="30" s="1"/>
  <c r="AC1705" i="30"/>
  <c r="AD1705" i="30" s="1"/>
  <c r="AC1706" i="30"/>
  <c r="AD1706" i="30" s="1"/>
  <c r="AC1707" i="30"/>
  <c r="AD1707" i="30" s="1"/>
  <c r="AC1708" i="30"/>
  <c r="AD1708" i="30" s="1"/>
  <c r="AC1709" i="30"/>
  <c r="AD1709" i="30" s="1"/>
  <c r="AC1710" i="30"/>
  <c r="AD1710" i="30" s="1"/>
  <c r="AC1711" i="30"/>
  <c r="AD1711" i="30" s="1"/>
  <c r="AC1712" i="30"/>
  <c r="AD1712" i="30" s="1"/>
  <c r="AC1713" i="30"/>
  <c r="AD1713" i="30" s="1"/>
  <c r="AC1714" i="30"/>
  <c r="AD1714" i="30" s="1"/>
  <c r="AC1715" i="30"/>
  <c r="AD1715" i="30" s="1"/>
  <c r="AC1716" i="30"/>
  <c r="AD1716" i="30" s="1"/>
  <c r="AC1717" i="30"/>
  <c r="AD1717" i="30" s="1"/>
  <c r="AC1718" i="30"/>
  <c r="AD1718" i="30" s="1"/>
  <c r="AC1719" i="30"/>
  <c r="AD1719" i="30" s="1"/>
  <c r="AC1720" i="30"/>
  <c r="AD1720" i="30" s="1"/>
  <c r="AC1721" i="30"/>
  <c r="AD1721" i="30" s="1"/>
  <c r="AC1722" i="30"/>
  <c r="AD1722" i="30" s="1"/>
  <c r="AC1723" i="30"/>
  <c r="AD1723" i="30" s="1"/>
  <c r="AC1724" i="30"/>
  <c r="AD1724" i="30" s="1"/>
  <c r="AC1725" i="30"/>
  <c r="AD1725" i="30" s="1"/>
  <c r="AC1726" i="30"/>
  <c r="AD1726" i="30" s="1"/>
  <c r="AC1727" i="30"/>
  <c r="AD1727" i="30" s="1"/>
  <c r="AC1728" i="30"/>
  <c r="AD1728" i="30" s="1"/>
  <c r="AC1729" i="30"/>
  <c r="AD1729" i="30" s="1"/>
  <c r="AC1730" i="30"/>
  <c r="AD1730" i="30" s="1"/>
  <c r="AC1731" i="30"/>
  <c r="AD1731" i="30" s="1"/>
  <c r="AC1732" i="30"/>
  <c r="AD1732" i="30" s="1"/>
  <c r="AC1733" i="30"/>
  <c r="AD1733" i="30" s="1"/>
  <c r="AC1734" i="30"/>
  <c r="AD1734" i="30" s="1"/>
  <c r="AC1735" i="30"/>
  <c r="AD1735" i="30" s="1"/>
  <c r="AC1736" i="30"/>
  <c r="AD1736" i="30" s="1"/>
  <c r="AC1737" i="30"/>
  <c r="AD1737" i="30" s="1"/>
  <c r="AC1738" i="30"/>
  <c r="AD1738" i="30" s="1"/>
  <c r="AC1739" i="30"/>
  <c r="AD1739" i="30" s="1"/>
  <c r="AC1740" i="30"/>
  <c r="AD1740" i="30" s="1"/>
  <c r="AC1741" i="30"/>
  <c r="AD1741" i="30" s="1"/>
  <c r="AC1742" i="30"/>
  <c r="AD1742" i="30" s="1"/>
  <c r="AC1743" i="30"/>
  <c r="AD1743" i="30" s="1"/>
  <c r="AC1744" i="30"/>
  <c r="AD1744" i="30" s="1"/>
  <c r="AC1745" i="30"/>
  <c r="AD1745" i="30" s="1"/>
  <c r="AC1746" i="30"/>
  <c r="AD1746" i="30" s="1"/>
  <c r="AC1747" i="30"/>
  <c r="AD1747" i="30" s="1"/>
  <c r="AC1748" i="30"/>
  <c r="AD1748" i="30" s="1"/>
  <c r="AC1749" i="30"/>
  <c r="AD1749" i="30" s="1"/>
  <c r="AC1750" i="30"/>
  <c r="AD1750" i="30" s="1"/>
  <c r="AC1751" i="30"/>
  <c r="AD1751" i="30" s="1"/>
  <c r="AC1752" i="30"/>
  <c r="AD1752" i="30" s="1"/>
  <c r="AC1753" i="30"/>
  <c r="AD1753" i="30" s="1"/>
  <c r="AC1754" i="30"/>
  <c r="AD1754" i="30" s="1"/>
  <c r="AC1755" i="30"/>
  <c r="AD1755" i="30" s="1"/>
  <c r="AC1756" i="30"/>
  <c r="AD1756" i="30" s="1"/>
  <c r="AC1757" i="30"/>
  <c r="AD1757" i="30" s="1"/>
  <c r="AC1758" i="30"/>
  <c r="AD1758" i="30" s="1"/>
  <c r="AC1759" i="30"/>
  <c r="AD1759" i="30" s="1"/>
  <c r="AC1760" i="30"/>
  <c r="AD1760" i="30" s="1"/>
  <c r="AC1761" i="30"/>
  <c r="AD1761" i="30" s="1"/>
  <c r="AC1762" i="30"/>
  <c r="AD1762" i="30" s="1"/>
  <c r="AC1763" i="30"/>
  <c r="AD1763" i="30" s="1"/>
  <c r="AC1764" i="30"/>
  <c r="AD1764" i="30" s="1"/>
  <c r="AC1765" i="30"/>
  <c r="AD1765" i="30" s="1"/>
  <c r="AC1766" i="30"/>
  <c r="AD1766" i="30" s="1"/>
  <c r="AC1767" i="30"/>
  <c r="AD1767" i="30" s="1"/>
  <c r="AC1768" i="30"/>
  <c r="AD1768" i="30" s="1"/>
  <c r="AC1769" i="30"/>
  <c r="AD1769" i="30" s="1"/>
  <c r="AC1770" i="30"/>
  <c r="AD1770" i="30" s="1"/>
  <c r="AC1771" i="30"/>
  <c r="AD1771" i="30" s="1"/>
  <c r="AC1772" i="30"/>
  <c r="AD1772" i="30" s="1"/>
  <c r="AC1773" i="30"/>
  <c r="AD1773" i="30" s="1"/>
  <c r="AC1774" i="30"/>
  <c r="AD1774" i="30" s="1"/>
  <c r="AC1775" i="30"/>
  <c r="AD1775" i="30" s="1"/>
  <c r="AC1776" i="30"/>
  <c r="AD1776" i="30" s="1"/>
  <c r="AC1777" i="30"/>
  <c r="AD1777" i="30" s="1"/>
  <c r="AC1778" i="30"/>
  <c r="AD1778" i="30" s="1"/>
  <c r="AC1779" i="30"/>
  <c r="AD1779" i="30" s="1"/>
  <c r="AC1780" i="30"/>
  <c r="AD1780" i="30" s="1"/>
  <c r="AC1781" i="30"/>
  <c r="AD1781" i="30" s="1"/>
  <c r="AC1782" i="30"/>
  <c r="AD1782" i="30" s="1"/>
  <c r="AC1783" i="30"/>
  <c r="AD1783" i="30" s="1"/>
  <c r="AC1784" i="30"/>
  <c r="AD1784" i="30" s="1"/>
  <c r="AC1785" i="30"/>
  <c r="AD1785" i="30" s="1"/>
  <c r="AC1786" i="30"/>
  <c r="AD1786" i="30" s="1"/>
  <c r="AC1787" i="30"/>
  <c r="AD1787" i="30" s="1"/>
  <c r="AC1788" i="30"/>
  <c r="AD1788" i="30" s="1"/>
  <c r="AC1789" i="30"/>
  <c r="AD1789" i="30" s="1"/>
  <c r="AC1790" i="30"/>
  <c r="AD1790" i="30" s="1"/>
  <c r="AC1791" i="30"/>
  <c r="AD1791" i="30" s="1"/>
  <c r="AC1792" i="30"/>
  <c r="AD1792" i="30" s="1"/>
  <c r="AC1793" i="30"/>
  <c r="AD1793" i="30" s="1"/>
  <c r="AC1794" i="30"/>
  <c r="AD1794" i="30" s="1"/>
  <c r="AC1795" i="30"/>
  <c r="AD1795" i="30" s="1"/>
  <c r="AC1796" i="30"/>
  <c r="AD1796" i="30" s="1"/>
  <c r="AC1797" i="30"/>
  <c r="AD1797" i="30" s="1"/>
  <c r="AC1798" i="30"/>
  <c r="AD1798" i="30" s="1"/>
  <c r="AC1799" i="30"/>
  <c r="AD1799" i="30" s="1"/>
  <c r="AC1800" i="30"/>
  <c r="AD1800" i="30" s="1"/>
  <c r="AC1801" i="30"/>
  <c r="AD1801" i="30" s="1"/>
  <c r="AC1802" i="30"/>
  <c r="AD1802" i="30" s="1"/>
  <c r="AC1803" i="30"/>
  <c r="AD1803" i="30" s="1"/>
  <c r="AC1804" i="30"/>
  <c r="AD1804" i="30" s="1"/>
  <c r="AC1805" i="30"/>
  <c r="AD1805" i="30" s="1"/>
  <c r="AC1806" i="30"/>
  <c r="AD1806" i="30" s="1"/>
  <c r="AC1807" i="30"/>
  <c r="AD1807" i="30" s="1"/>
  <c r="AC1808" i="30"/>
  <c r="AD1808" i="30" s="1"/>
  <c r="AC1809" i="30"/>
  <c r="AD1809" i="30" s="1"/>
  <c r="AC1810" i="30"/>
  <c r="AD1810" i="30" s="1"/>
  <c r="AC1811" i="30"/>
  <c r="AD1811" i="30" s="1"/>
  <c r="AC1812" i="30"/>
  <c r="AD1812" i="30" s="1"/>
  <c r="AC1813" i="30"/>
  <c r="AD1813" i="30" s="1"/>
  <c r="AC1814" i="30"/>
  <c r="AD1814" i="30" s="1"/>
  <c r="AC1815" i="30"/>
  <c r="AD1815" i="30" s="1"/>
  <c r="AC1816" i="30"/>
  <c r="AD1816" i="30" s="1"/>
  <c r="AC1817" i="30"/>
  <c r="AD1817" i="30" s="1"/>
  <c r="AC1818" i="30"/>
  <c r="AD1818" i="30" s="1"/>
  <c r="AC1819" i="30"/>
  <c r="AD1819" i="30" s="1"/>
  <c r="AC1820" i="30"/>
  <c r="AD1820" i="30" s="1"/>
  <c r="AC1821" i="30"/>
  <c r="AD1821" i="30" s="1"/>
  <c r="AC1822" i="30"/>
  <c r="AD1822" i="30" s="1"/>
  <c r="AC1823" i="30"/>
  <c r="AD1823" i="30" s="1"/>
  <c r="AC1824" i="30"/>
  <c r="AD1824" i="30" s="1"/>
  <c r="AC1825" i="30"/>
  <c r="AD1825" i="30" s="1"/>
  <c r="AC1826" i="30"/>
  <c r="AD1826" i="30" s="1"/>
  <c r="AC1827" i="30"/>
  <c r="AD1827" i="30" s="1"/>
  <c r="AC1828" i="30"/>
  <c r="AD1828" i="30" s="1"/>
  <c r="AC1829" i="30"/>
  <c r="AD1829" i="30" s="1"/>
  <c r="AC1830" i="30"/>
  <c r="AD1830" i="30" s="1"/>
  <c r="AC1831" i="30"/>
  <c r="AD1831" i="30" s="1"/>
  <c r="AC1832" i="30"/>
  <c r="AD1832" i="30" s="1"/>
  <c r="AC1833" i="30"/>
  <c r="AD1833" i="30" s="1"/>
  <c r="AC1834" i="30"/>
  <c r="AD1834" i="30" s="1"/>
  <c r="AC1835" i="30"/>
  <c r="AD1835" i="30" s="1"/>
  <c r="AC1836" i="30"/>
  <c r="AD1836" i="30" s="1"/>
  <c r="AC1837" i="30"/>
  <c r="AD1837" i="30" s="1"/>
  <c r="AC1838" i="30"/>
  <c r="AD1838" i="30" s="1"/>
  <c r="AC1839" i="30"/>
  <c r="AD1839" i="30" s="1"/>
  <c r="AC1840" i="30"/>
  <c r="AD1840" i="30" s="1"/>
  <c r="AC1841" i="30"/>
  <c r="AD1841" i="30" s="1"/>
  <c r="AC1842" i="30"/>
  <c r="AD1842" i="30" s="1"/>
  <c r="AC1843" i="30"/>
  <c r="AD1843" i="30" s="1"/>
  <c r="AC1844" i="30"/>
  <c r="AD1844" i="30" s="1"/>
  <c r="AC1845" i="30"/>
  <c r="AD1845" i="30" s="1"/>
  <c r="AC1846" i="30"/>
  <c r="AD1846" i="30" s="1"/>
  <c r="AC1847" i="30"/>
  <c r="AD1847" i="30" s="1"/>
  <c r="AC1848" i="30"/>
  <c r="AD1848" i="30" s="1"/>
  <c r="AC1849" i="30"/>
  <c r="AD1849" i="30" s="1"/>
  <c r="AC1850" i="30"/>
  <c r="AD1850" i="30" s="1"/>
  <c r="AC1851" i="30"/>
  <c r="AD1851" i="30" s="1"/>
  <c r="AC1852" i="30"/>
  <c r="AD1852" i="30" s="1"/>
  <c r="AC1853" i="30"/>
  <c r="AD1853" i="30" s="1"/>
  <c r="AC1854" i="30"/>
  <c r="AD1854" i="30" s="1"/>
  <c r="AC1855" i="30"/>
  <c r="AD1855" i="30" s="1"/>
  <c r="AC1856" i="30"/>
  <c r="AD1856" i="30" s="1"/>
  <c r="AC1857" i="30"/>
  <c r="AD1857" i="30" s="1"/>
  <c r="AC1858" i="30"/>
  <c r="AD1858" i="30" s="1"/>
  <c r="AC1859" i="30"/>
  <c r="AD1859" i="30" s="1"/>
  <c r="AC1860" i="30"/>
  <c r="AD1860" i="30" s="1"/>
  <c r="AC1861" i="30"/>
  <c r="AD1861" i="30" s="1"/>
  <c r="AC1862" i="30"/>
  <c r="AD1862" i="30" s="1"/>
  <c r="AC1863" i="30"/>
  <c r="AD1863" i="30" s="1"/>
  <c r="AC1864" i="30"/>
  <c r="AD1864" i="30" s="1"/>
  <c r="AC1865" i="30"/>
  <c r="AD1865" i="30" s="1"/>
  <c r="AC1866" i="30"/>
  <c r="AD1866" i="30" s="1"/>
  <c r="AC1867" i="30"/>
  <c r="AD1867" i="30" s="1"/>
  <c r="AC1868" i="30"/>
  <c r="AD1868" i="30" s="1"/>
  <c r="AC1869" i="30"/>
  <c r="AD1869" i="30" s="1"/>
  <c r="AC1870" i="30"/>
  <c r="AD1870" i="30" s="1"/>
  <c r="AC1871" i="30"/>
  <c r="AD1871" i="30" s="1"/>
  <c r="AC1872" i="30"/>
  <c r="AD1872" i="30" s="1"/>
  <c r="AC1873" i="30"/>
  <c r="AD1873" i="30" s="1"/>
  <c r="AC1874" i="30"/>
  <c r="AD1874" i="30" s="1"/>
  <c r="AC1875" i="30"/>
  <c r="AD1875" i="30" s="1"/>
  <c r="AC1876" i="30"/>
  <c r="AD1876" i="30" s="1"/>
  <c r="AC1877" i="30"/>
  <c r="AD1877" i="30" s="1"/>
  <c r="AC1878" i="30"/>
  <c r="AD1878" i="30" s="1"/>
  <c r="AC1879" i="30"/>
  <c r="AD1879" i="30" s="1"/>
  <c r="AC1880" i="30"/>
  <c r="AD1880" i="30" s="1"/>
  <c r="AC1881" i="30"/>
  <c r="AD1881" i="30" s="1"/>
  <c r="AC1882" i="30"/>
  <c r="AD1882" i="30" s="1"/>
  <c r="AC1883" i="30"/>
  <c r="AD1883" i="30" s="1"/>
  <c r="AC1884" i="30"/>
  <c r="AD1884" i="30" s="1"/>
  <c r="AC1885" i="30"/>
  <c r="AD1885" i="30" s="1"/>
  <c r="AC1886" i="30"/>
  <c r="AD1886" i="30" s="1"/>
  <c r="AC1887" i="30"/>
  <c r="AD1887" i="30" s="1"/>
  <c r="AC1888" i="30"/>
  <c r="AD1888" i="30" s="1"/>
  <c r="AC1889" i="30"/>
  <c r="AD1889" i="30" s="1"/>
  <c r="AC1890" i="30"/>
  <c r="AD1890" i="30" s="1"/>
  <c r="AC1891" i="30"/>
  <c r="AD1891" i="30" s="1"/>
  <c r="AC1892" i="30"/>
  <c r="AD1892" i="30" s="1"/>
  <c r="AC1893" i="30"/>
  <c r="AD1893" i="30" s="1"/>
  <c r="AC1894" i="30"/>
  <c r="AD1894" i="30" s="1"/>
  <c r="AC1895" i="30"/>
  <c r="AD1895" i="30" s="1"/>
  <c r="AC1896" i="30"/>
  <c r="AD1896" i="30" s="1"/>
  <c r="AC1897" i="30"/>
  <c r="AD1897" i="30" s="1"/>
  <c r="AC1898" i="30"/>
  <c r="AD1898" i="30" s="1"/>
  <c r="AC1899" i="30"/>
  <c r="AD1899" i="30" s="1"/>
  <c r="AC1900" i="30"/>
  <c r="AD1900" i="30" s="1"/>
  <c r="AC1901" i="30"/>
  <c r="AD1901" i="30" s="1"/>
  <c r="AC1902" i="30"/>
  <c r="AD1902" i="30" s="1"/>
  <c r="AC1903" i="30"/>
  <c r="AD1903" i="30" s="1"/>
  <c r="AC1904" i="30"/>
  <c r="AD1904" i="30" s="1"/>
  <c r="AC1905" i="30"/>
  <c r="AD1905" i="30" s="1"/>
  <c r="AC1906" i="30"/>
  <c r="AD1906" i="30" s="1"/>
  <c r="AC1907" i="30"/>
  <c r="AD1907" i="30" s="1"/>
  <c r="AC1908" i="30"/>
  <c r="AD1908" i="30" s="1"/>
  <c r="AC1909" i="30"/>
  <c r="AD1909" i="30" s="1"/>
  <c r="AC1910" i="30"/>
  <c r="AD1910" i="30" s="1"/>
  <c r="AC1911" i="30"/>
  <c r="AD1911" i="30" s="1"/>
  <c r="AC1912" i="30"/>
  <c r="AD1912" i="30" s="1"/>
  <c r="AC1913" i="30"/>
  <c r="AD1913" i="30" s="1"/>
  <c r="AC1914" i="30"/>
  <c r="AD1914" i="30" s="1"/>
  <c r="AC1915" i="30"/>
  <c r="AD1915" i="30" s="1"/>
  <c r="AC1916" i="30"/>
  <c r="AD1916" i="30" s="1"/>
  <c r="AC1917" i="30"/>
  <c r="AD1917" i="30" s="1"/>
  <c r="AC1918" i="30"/>
  <c r="AD1918" i="30" s="1"/>
  <c r="AC1919" i="30"/>
  <c r="AD1919" i="30" s="1"/>
  <c r="AC1920" i="30"/>
  <c r="AD1920" i="30" s="1"/>
  <c r="AC1921" i="30"/>
  <c r="AD1921" i="30" s="1"/>
  <c r="AC1922" i="30"/>
  <c r="AD1922" i="30" s="1"/>
  <c r="AC1923" i="30"/>
  <c r="AD1923" i="30" s="1"/>
  <c r="AC1924" i="30"/>
  <c r="AD1924" i="30" s="1"/>
  <c r="AC1925" i="30"/>
  <c r="AD1925" i="30" s="1"/>
  <c r="AC1926" i="30"/>
  <c r="AD1926" i="30" s="1"/>
  <c r="AC1927" i="30"/>
  <c r="AD1927" i="30" s="1"/>
  <c r="AC1928" i="30"/>
  <c r="AD1928" i="30" s="1"/>
  <c r="AC1929" i="30"/>
  <c r="AD1929" i="30" s="1"/>
  <c r="AC1930" i="30"/>
  <c r="AD1930" i="30" s="1"/>
  <c r="AC1931" i="30"/>
  <c r="AD1931" i="30" s="1"/>
  <c r="AC1932" i="30"/>
  <c r="AD1932" i="30" s="1"/>
  <c r="AC1933" i="30"/>
  <c r="AD1933" i="30" s="1"/>
  <c r="AC1934" i="30"/>
  <c r="AD1934" i="30" s="1"/>
  <c r="AC1935" i="30"/>
  <c r="AD1935" i="30" s="1"/>
  <c r="AC1936" i="30"/>
  <c r="AD1936" i="30" s="1"/>
  <c r="AC1937" i="30"/>
  <c r="AD1937" i="30" s="1"/>
  <c r="AC1938" i="30"/>
  <c r="AD1938" i="30" s="1"/>
  <c r="AC1939" i="30"/>
  <c r="AD1939" i="30" s="1"/>
  <c r="AC1940" i="30"/>
  <c r="AD1940" i="30" s="1"/>
  <c r="AC1941" i="30"/>
  <c r="AD1941" i="30" s="1"/>
  <c r="AC1942" i="30"/>
  <c r="AD1942" i="30" s="1"/>
  <c r="AC1943" i="30"/>
  <c r="AD1943" i="30" s="1"/>
  <c r="AC1944" i="30"/>
  <c r="AD1944" i="30" s="1"/>
  <c r="AC1945" i="30"/>
  <c r="AD1945" i="30" s="1"/>
  <c r="AC1946" i="30"/>
  <c r="AD1946" i="30" s="1"/>
  <c r="AC1947" i="30"/>
  <c r="AD1947" i="30" s="1"/>
  <c r="AC1948" i="30"/>
  <c r="AD1948" i="30" s="1"/>
  <c r="AC1949" i="30"/>
  <c r="AD1949" i="30" s="1"/>
  <c r="AC1950" i="30"/>
  <c r="AD1950" i="30" s="1"/>
  <c r="AC1951" i="30"/>
  <c r="AD1951" i="30" s="1"/>
  <c r="AC1952" i="30"/>
  <c r="AD1952" i="30" s="1"/>
  <c r="AC1953" i="30"/>
  <c r="AD1953" i="30" s="1"/>
  <c r="AC1954" i="30"/>
  <c r="AD1954" i="30" s="1"/>
  <c r="AC1955" i="30"/>
  <c r="AD1955" i="30" s="1"/>
  <c r="AC1956" i="30"/>
  <c r="AD1956" i="30" s="1"/>
  <c r="AC1957" i="30"/>
  <c r="AD1957" i="30" s="1"/>
  <c r="AC1958" i="30"/>
  <c r="AD1958" i="30" s="1"/>
  <c r="AC1959" i="30"/>
  <c r="AD1959" i="30" s="1"/>
  <c r="AC1960" i="30"/>
  <c r="AD1960" i="30" s="1"/>
  <c r="AC1961" i="30"/>
  <c r="AD1961" i="30" s="1"/>
  <c r="AC1962" i="30"/>
  <c r="AD1962" i="30" s="1"/>
  <c r="AC1963" i="30"/>
  <c r="AD1963" i="30" s="1"/>
  <c r="AC1964" i="30"/>
  <c r="AD1964" i="30" s="1"/>
  <c r="AC1965" i="30"/>
  <c r="AD1965" i="30" s="1"/>
  <c r="AC1966" i="30"/>
  <c r="AD1966" i="30" s="1"/>
  <c r="AC1967" i="30"/>
  <c r="AD1967" i="30" s="1"/>
  <c r="AC1968" i="30"/>
  <c r="AD1968" i="30" s="1"/>
  <c r="AC1969" i="30"/>
  <c r="AD1969" i="30" s="1"/>
  <c r="AC1970" i="30"/>
  <c r="AD1970" i="30" s="1"/>
  <c r="AC1971" i="30"/>
  <c r="AD1971" i="30" s="1"/>
  <c r="AC1972" i="30"/>
  <c r="AD1972" i="30" s="1"/>
  <c r="AC1973" i="30"/>
  <c r="AD1973" i="30" s="1"/>
  <c r="AC1974" i="30"/>
  <c r="AD1974" i="30" s="1"/>
  <c r="AC1975" i="30"/>
  <c r="AD1975" i="30" s="1"/>
  <c r="AC1976" i="30"/>
  <c r="AD1976" i="30" s="1"/>
  <c r="AC1977" i="30"/>
  <c r="AD1977" i="30" s="1"/>
  <c r="AC1978" i="30"/>
  <c r="AD1978" i="30" s="1"/>
  <c r="AC1979" i="30"/>
  <c r="AD1979" i="30" s="1"/>
  <c r="AC1980" i="30"/>
  <c r="AD1980" i="30" s="1"/>
  <c r="AC1981" i="30"/>
  <c r="AD1981" i="30" s="1"/>
  <c r="AC1982" i="30"/>
  <c r="AD1982" i="30" s="1"/>
  <c r="AC1983" i="30"/>
  <c r="AD1983" i="30" s="1"/>
  <c r="AC1984" i="30"/>
  <c r="AD1984" i="30" s="1"/>
  <c r="AC1985" i="30"/>
  <c r="AD1985" i="30" s="1"/>
  <c r="AC1986" i="30"/>
  <c r="AD1986" i="30" s="1"/>
  <c r="AC1987" i="30"/>
  <c r="AD1987" i="30" s="1"/>
  <c r="AC1988" i="30"/>
  <c r="AD1988" i="30" s="1"/>
  <c r="AC1989" i="30"/>
  <c r="AD1989" i="30" s="1"/>
  <c r="AC1990" i="30"/>
  <c r="AD1990" i="30" s="1"/>
  <c r="AC1991" i="30"/>
  <c r="AD1991" i="30" s="1"/>
  <c r="AC1992" i="30"/>
  <c r="AD1992" i="30" s="1"/>
  <c r="AC1993" i="30"/>
  <c r="AD1993" i="30" s="1"/>
  <c r="AC1994" i="30"/>
  <c r="AD1994" i="30" s="1"/>
  <c r="AC1995" i="30"/>
  <c r="AD1995" i="30" s="1"/>
  <c r="AC1996" i="30"/>
  <c r="AD1996" i="30" s="1"/>
  <c r="AC1997" i="30"/>
  <c r="AD1997" i="30" s="1"/>
  <c r="AC1998" i="30"/>
  <c r="AD1998" i="30" s="1"/>
  <c r="AC1999" i="30"/>
  <c r="AD1999" i="30" s="1"/>
  <c r="AC2000" i="30"/>
  <c r="AD2000" i="30" s="1"/>
  <c r="AC2001" i="30"/>
  <c r="AD2001" i="30" s="1"/>
  <c r="AC2002" i="30"/>
  <c r="AD2002" i="30" s="1"/>
  <c r="AC2003" i="30"/>
  <c r="AD2003" i="30" s="1"/>
  <c r="AC2004" i="30"/>
  <c r="AD2004" i="30" s="1"/>
  <c r="AC2005" i="30"/>
  <c r="AD2005" i="30" s="1"/>
  <c r="AC2006" i="30"/>
  <c r="AD2006" i="30" s="1"/>
  <c r="AC2007" i="30"/>
  <c r="AD2007" i="30" s="1"/>
  <c r="AC2008" i="30"/>
  <c r="AD2008" i="30" s="1"/>
  <c r="AC2009" i="30"/>
  <c r="AD2009" i="30" s="1"/>
  <c r="AC2010" i="30"/>
  <c r="AD2010" i="30" s="1"/>
  <c r="AC2011" i="30"/>
  <c r="AD2011" i="30" s="1"/>
  <c r="AC2012" i="30"/>
  <c r="AD2012" i="30" s="1"/>
  <c r="AC2013" i="30"/>
  <c r="AD2013" i="30" s="1"/>
  <c r="AC2014" i="30"/>
  <c r="AD2014" i="30" s="1"/>
  <c r="AC2015" i="30"/>
  <c r="AD2015" i="30" s="1"/>
  <c r="AC2016" i="30"/>
  <c r="AD2016" i="30" s="1"/>
  <c r="AC2017" i="30"/>
  <c r="AD2017" i="30" s="1"/>
  <c r="AC2018" i="30"/>
  <c r="AD2018" i="30" s="1"/>
  <c r="AC2019" i="30"/>
  <c r="AD2019" i="30" s="1"/>
  <c r="AC2020" i="30"/>
  <c r="AD2020" i="30" s="1"/>
  <c r="AC2021" i="30"/>
  <c r="AD2021" i="30" s="1"/>
  <c r="AC2022" i="30"/>
  <c r="AD2022" i="30" s="1"/>
  <c r="AC2023" i="30"/>
  <c r="AD2023" i="30" s="1"/>
  <c r="AC2024" i="30"/>
  <c r="AD2024" i="30" s="1"/>
  <c r="AC2025" i="30"/>
  <c r="AD2025" i="30" s="1"/>
  <c r="AC2026" i="30"/>
  <c r="AD2026" i="30" s="1"/>
  <c r="AC2027" i="30"/>
  <c r="AD2027" i="30" s="1"/>
  <c r="AC2028" i="30"/>
  <c r="AD2028" i="30" s="1"/>
  <c r="AC2029" i="30"/>
  <c r="AD2029" i="30" s="1"/>
  <c r="AC2030" i="30"/>
  <c r="AD2030" i="30" s="1"/>
  <c r="AC2031" i="30"/>
  <c r="AD2031" i="30" s="1"/>
  <c r="AC2032" i="30"/>
  <c r="AD2032" i="30" s="1"/>
  <c r="AC2033" i="30"/>
  <c r="AD2033" i="30" s="1"/>
  <c r="AC2034" i="30"/>
  <c r="AD2034" i="30" s="1"/>
  <c r="AC2035" i="30"/>
  <c r="AD2035" i="30" s="1"/>
  <c r="AC2036" i="30"/>
  <c r="AD2036" i="30" s="1"/>
  <c r="AC2037" i="30"/>
  <c r="AD2037" i="30" s="1"/>
  <c r="AC2038" i="30"/>
  <c r="AD2038" i="30" s="1"/>
  <c r="AC2039" i="30"/>
  <c r="AD2039" i="30" s="1"/>
  <c r="AC2040" i="30"/>
  <c r="AD2040" i="30" s="1"/>
  <c r="AC2041" i="30"/>
  <c r="AD2041" i="30" s="1"/>
  <c r="AC2042" i="30"/>
  <c r="AD2042" i="30" s="1"/>
  <c r="AC2043" i="30"/>
  <c r="AD2043" i="30" s="1"/>
  <c r="AC2044" i="30"/>
  <c r="AD2044" i="30" s="1"/>
  <c r="AC2045" i="30"/>
  <c r="AD2045" i="30" s="1"/>
  <c r="AC2046" i="30"/>
  <c r="AD2046" i="30" s="1"/>
  <c r="AC2047" i="30"/>
  <c r="AD2047" i="30" s="1"/>
  <c r="AC2048" i="30"/>
  <c r="AD2048" i="30" s="1"/>
  <c r="AC2049" i="30"/>
  <c r="AD2049" i="30" s="1"/>
  <c r="AC2050" i="30"/>
  <c r="AD2050" i="30" s="1"/>
  <c r="AC2051" i="30"/>
  <c r="AD2051" i="30" s="1"/>
  <c r="AC2052" i="30"/>
  <c r="AD2052" i="30" s="1"/>
  <c r="AC2053" i="30"/>
  <c r="AD2053" i="30" s="1"/>
  <c r="AC2054" i="30"/>
  <c r="AD2054" i="30" s="1"/>
  <c r="AC2055" i="30"/>
  <c r="AD2055" i="30" s="1"/>
  <c r="AC2056" i="30"/>
  <c r="AD2056" i="30" s="1"/>
  <c r="AC2057" i="30"/>
  <c r="AD2057" i="30" s="1"/>
  <c r="AC2058" i="30"/>
  <c r="AD2058" i="30" s="1"/>
  <c r="AC2059" i="30"/>
  <c r="AD2059" i="30" s="1"/>
  <c r="AC2060" i="30"/>
  <c r="AD2060" i="30" s="1"/>
  <c r="AC2061" i="30"/>
  <c r="AD2061" i="30" s="1"/>
  <c r="AC2062" i="30"/>
  <c r="AD2062" i="30" s="1"/>
  <c r="AC2063" i="30"/>
  <c r="AD2063" i="30" s="1"/>
  <c r="AC2064" i="30"/>
  <c r="AD2064" i="30" s="1"/>
  <c r="AC2065" i="30"/>
  <c r="AD2065" i="30" s="1"/>
  <c r="AC2066" i="30"/>
  <c r="AD2066" i="30" s="1"/>
  <c r="AC2067" i="30"/>
  <c r="AD2067" i="30" s="1"/>
  <c r="AC2068" i="30"/>
  <c r="AD2068" i="30" s="1"/>
  <c r="AC2069" i="30"/>
  <c r="AD2069" i="30" s="1"/>
  <c r="AC2070" i="30"/>
  <c r="AD2070" i="30" s="1"/>
  <c r="AC2071" i="30"/>
  <c r="AD2071" i="30" s="1"/>
  <c r="AC2072" i="30"/>
  <c r="AD2072" i="30" s="1"/>
  <c r="AC2073" i="30"/>
  <c r="AD2073" i="30" s="1"/>
  <c r="AC2074" i="30"/>
  <c r="AD2074" i="30" s="1"/>
  <c r="AC2075" i="30"/>
  <c r="AD2075" i="30" s="1"/>
  <c r="AC2076" i="30"/>
  <c r="AD2076" i="30" s="1"/>
  <c r="AC2077" i="30"/>
  <c r="AD2077" i="30" s="1"/>
  <c r="AC2078" i="30"/>
  <c r="AD2078" i="30" s="1"/>
  <c r="AC2079" i="30"/>
  <c r="AD2079" i="30" s="1"/>
  <c r="AC2080" i="30"/>
  <c r="AD2080" i="30" s="1"/>
  <c r="AC2081" i="30"/>
  <c r="AD2081" i="30" s="1"/>
  <c r="AC2082" i="30"/>
  <c r="AD2082" i="30" s="1"/>
  <c r="AC2083" i="30"/>
  <c r="AD2083" i="30" s="1"/>
  <c r="AC2084" i="30"/>
  <c r="AD2084" i="30" s="1"/>
  <c r="AC2085" i="30"/>
  <c r="AD2085" i="30" s="1"/>
  <c r="AC2086" i="30"/>
  <c r="AD2086" i="30" s="1"/>
  <c r="AC2087" i="30"/>
  <c r="AD2087" i="30" s="1"/>
  <c r="AC2088" i="30"/>
  <c r="AD2088" i="30" s="1"/>
  <c r="AC2089" i="30"/>
  <c r="AD2089" i="30" s="1"/>
  <c r="AC2090" i="30"/>
  <c r="AD2090" i="30" s="1"/>
  <c r="AC2091" i="30"/>
  <c r="AD2091" i="30" s="1"/>
  <c r="AC2092" i="30"/>
  <c r="AD2092" i="30" s="1"/>
  <c r="AC2093" i="30"/>
  <c r="AD2093" i="30" s="1"/>
  <c r="AC2094" i="30"/>
  <c r="AD2094" i="30" s="1"/>
  <c r="AC2095" i="30"/>
  <c r="AD2095" i="30" s="1"/>
  <c r="AC2096" i="30"/>
  <c r="AD2096" i="30" s="1"/>
  <c r="AC2097" i="30"/>
  <c r="AD2097" i="30" s="1"/>
  <c r="AC2098" i="30"/>
  <c r="AD2098" i="30" s="1"/>
  <c r="AC2099" i="30"/>
  <c r="AD2099" i="30" s="1"/>
  <c r="AC2100" i="30"/>
  <c r="AD2100" i="30" s="1"/>
  <c r="AC2101" i="30"/>
  <c r="AD2101" i="30" s="1"/>
  <c r="AC2102" i="30"/>
  <c r="AD2102" i="30" s="1"/>
  <c r="AC2103" i="30"/>
  <c r="AD2103" i="30" s="1"/>
  <c r="AC2104" i="30"/>
  <c r="AD2104" i="30" s="1"/>
  <c r="AC2105" i="30"/>
  <c r="AD2105" i="30" s="1"/>
  <c r="AC2106" i="30"/>
  <c r="AD2106" i="30" s="1"/>
  <c r="AC2107" i="30"/>
  <c r="AD2107" i="30" s="1"/>
  <c r="AC2108" i="30"/>
  <c r="AD2108" i="30" s="1"/>
  <c r="AC2109" i="30"/>
  <c r="AD2109" i="30" s="1"/>
  <c r="AC2110" i="30"/>
  <c r="AD2110" i="30" s="1"/>
  <c r="AC2111" i="30"/>
  <c r="AD2111" i="30" s="1"/>
  <c r="AC2112" i="30"/>
  <c r="AD2112" i="30" s="1"/>
  <c r="AC2113" i="30"/>
  <c r="AD2113" i="30" s="1"/>
  <c r="AC2114" i="30"/>
  <c r="AD2114" i="30" s="1"/>
  <c r="AC2115" i="30"/>
  <c r="AD2115" i="30" s="1"/>
  <c r="AC2116" i="30"/>
  <c r="AD2116" i="30" s="1"/>
  <c r="AC2117" i="30"/>
  <c r="AD2117" i="30" s="1"/>
  <c r="AC2118" i="30"/>
  <c r="AD2118" i="30" s="1"/>
  <c r="AC2119" i="30"/>
  <c r="AD2119" i="30" s="1"/>
  <c r="AC2120" i="30"/>
  <c r="AD2120" i="30" s="1"/>
  <c r="AC2121" i="30"/>
  <c r="AD2121" i="30" s="1"/>
  <c r="AC2122" i="30"/>
  <c r="AD2122" i="30" s="1"/>
  <c r="AC2123" i="30"/>
  <c r="AD2123" i="30" s="1"/>
  <c r="AC2124" i="30"/>
  <c r="AD2124" i="30" s="1"/>
  <c r="AC2125" i="30"/>
  <c r="AD2125" i="30" s="1"/>
  <c r="AC2126" i="30"/>
  <c r="AD2126" i="30" s="1"/>
  <c r="AC2127" i="30"/>
  <c r="AD2127" i="30" s="1"/>
  <c r="AC2128" i="30"/>
  <c r="AD2128" i="30" s="1"/>
  <c r="AC2129" i="30"/>
  <c r="AD2129" i="30" s="1"/>
  <c r="AC2130" i="30"/>
  <c r="AD2130" i="30" s="1"/>
  <c r="AC2131" i="30"/>
  <c r="AD2131" i="30" s="1"/>
  <c r="AC2132" i="30"/>
  <c r="AD2132" i="30" s="1"/>
  <c r="AC2133" i="30"/>
  <c r="AD2133" i="30" s="1"/>
  <c r="AC2134" i="30"/>
  <c r="AD2134" i="30" s="1"/>
  <c r="AC2135" i="30"/>
  <c r="AD2135" i="30" s="1"/>
  <c r="AC2136" i="30"/>
  <c r="AD2136" i="30" s="1"/>
  <c r="AC2137" i="30"/>
  <c r="AD2137" i="30" s="1"/>
  <c r="AC2138" i="30"/>
  <c r="AD2138" i="30" s="1"/>
  <c r="AC2139" i="30"/>
  <c r="AD2139" i="30" s="1"/>
  <c r="AC2140" i="30"/>
  <c r="AD2140" i="30" s="1"/>
  <c r="AC2141" i="30"/>
  <c r="AD2141" i="30" s="1"/>
  <c r="AC2142" i="30"/>
  <c r="AD2142" i="30" s="1"/>
  <c r="AC2143" i="30"/>
  <c r="AD2143" i="30" s="1"/>
  <c r="AC2144" i="30"/>
  <c r="AD2144" i="30" s="1"/>
  <c r="AC2145" i="30"/>
  <c r="AD2145" i="30" s="1"/>
  <c r="AC2146" i="30"/>
  <c r="AD2146" i="30" s="1"/>
  <c r="AC2147" i="30"/>
  <c r="AD2147" i="30" s="1"/>
  <c r="AC2148" i="30"/>
  <c r="AD2148" i="30" s="1"/>
  <c r="AC2149" i="30"/>
  <c r="AD2149" i="30" s="1"/>
  <c r="AC2150" i="30"/>
  <c r="AD2150" i="30" s="1"/>
  <c r="AC2151" i="30"/>
  <c r="AD2151" i="30" s="1"/>
  <c r="AC2152" i="30"/>
  <c r="AD2152" i="30" s="1"/>
  <c r="AC2153" i="30"/>
  <c r="AD2153" i="30" s="1"/>
  <c r="AC2154" i="30"/>
  <c r="AD2154" i="30" s="1"/>
  <c r="AC2155" i="30"/>
  <c r="AD2155" i="30" s="1"/>
  <c r="AC2156" i="30"/>
  <c r="AD2156" i="30" s="1"/>
  <c r="AC2157" i="30"/>
  <c r="AD2157" i="30" s="1"/>
  <c r="AC2158" i="30"/>
  <c r="AD2158" i="30" s="1"/>
  <c r="AC2159" i="30"/>
  <c r="AD2159" i="30" s="1"/>
  <c r="AC2160" i="30"/>
  <c r="AD2160" i="30" s="1"/>
  <c r="AC2161" i="30"/>
  <c r="AD2161" i="30" s="1"/>
  <c r="AC2162" i="30"/>
  <c r="AD2162" i="30" s="1"/>
  <c r="AC2163" i="30"/>
  <c r="AD2163" i="30" s="1"/>
  <c r="AC2164" i="30"/>
  <c r="AD2164" i="30" s="1"/>
  <c r="AC2165" i="30"/>
  <c r="AD2165" i="30" s="1"/>
  <c r="AC2166" i="30"/>
  <c r="AD2166" i="30" s="1"/>
  <c r="AC2167" i="30"/>
  <c r="AD2167" i="30" s="1"/>
  <c r="AC2168" i="30"/>
  <c r="AD2168" i="30" s="1"/>
  <c r="AC2169" i="30"/>
  <c r="AD2169" i="30" s="1"/>
  <c r="AC2170" i="30"/>
  <c r="AD2170" i="30" s="1"/>
  <c r="AC2171" i="30"/>
  <c r="AD2171" i="30" s="1"/>
  <c r="AC2172" i="30"/>
  <c r="AD2172" i="30" s="1"/>
  <c r="AC2173" i="30"/>
  <c r="AD2173" i="30" s="1"/>
  <c r="AC2174" i="30"/>
  <c r="AD2174" i="30" s="1"/>
  <c r="AC2175" i="30"/>
  <c r="AD2175" i="30" s="1"/>
  <c r="AC2176" i="30"/>
  <c r="AD2176" i="30" s="1"/>
  <c r="AC2177" i="30"/>
  <c r="AD2177" i="30" s="1"/>
  <c r="AC2178" i="30"/>
  <c r="AD2178" i="30" s="1"/>
  <c r="AC2179" i="30"/>
  <c r="AD2179" i="30" s="1"/>
  <c r="AC2180" i="30"/>
  <c r="AD2180" i="30" s="1"/>
  <c r="AC2181" i="30"/>
  <c r="AD2181" i="30" s="1"/>
  <c r="AC2182" i="30"/>
  <c r="AD2182" i="30" s="1"/>
  <c r="AC2183" i="30"/>
  <c r="AD2183" i="30" s="1"/>
  <c r="AC2184" i="30"/>
  <c r="AD2184" i="30" s="1"/>
  <c r="AC2185" i="30"/>
  <c r="AD2185" i="30" s="1"/>
  <c r="AC2186" i="30"/>
  <c r="AD2186" i="30" s="1"/>
  <c r="AC2187" i="30"/>
  <c r="AD2187" i="30" s="1"/>
  <c r="AC2188" i="30"/>
  <c r="AD2188" i="30" s="1"/>
  <c r="AC2189" i="30"/>
  <c r="AD2189" i="30" s="1"/>
  <c r="AC2190" i="30"/>
  <c r="AD2190" i="30" s="1"/>
  <c r="AC2191" i="30"/>
  <c r="AD2191" i="30" s="1"/>
  <c r="AC2192" i="30"/>
  <c r="AD2192" i="30" s="1"/>
  <c r="AC2193" i="30"/>
  <c r="AD2193" i="30" s="1"/>
  <c r="AC2194" i="30"/>
  <c r="AD2194" i="30" s="1"/>
  <c r="AC2195" i="30"/>
  <c r="AD2195" i="30" s="1"/>
  <c r="AC2196" i="30"/>
  <c r="AD2196" i="30" s="1"/>
  <c r="AC2197" i="30"/>
  <c r="AD2197" i="30" s="1"/>
  <c r="AC2198" i="30"/>
  <c r="AD2198" i="30" s="1"/>
  <c r="AC2199" i="30"/>
  <c r="AD2199" i="30" s="1"/>
  <c r="AC2200" i="30"/>
  <c r="AD2200" i="30" s="1"/>
  <c r="AC2201" i="30"/>
  <c r="AD2201" i="30" s="1"/>
  <c r="AC2202" i="30"/>
  <c r="AD2202" i="30" s="1"/>
  <c r="AC2203" i="30"/>
  <c r="AD2203" i="30" s="1"/>
  <c r="AC2204" i="30"/>
  <c r="AD2204" i="30" s="1"/>
  <c r="AC2205" i="30"/>
  <c r="AD2205" i="30" s="1"/>
  <c r="AC2206" i="30"/>
  <c r="AD2206" i="30" s="1"/>
  <c r="AC2207" i="30"/>
  <c r="AD2207" i="30" s="1"/>
  <c r="AC2208" i="30"/>
  <c r="AD2208" i="30" s="1"/>
  <c r="AC2209" i="30"/>
  <c r="AD2209" i="30" s="1"/>
  <c r="AC2210" i="30"/>
  <c r="AD2210" i="30" s="1"/>
  <c r="AC2211" i="30"/>
  <c r="AD2211" i="30" s="1"/>
  <c r="AC2212" i="30"/>
  <c r="AD2212" i="30" s="1"/>
  <c r="AC2213" i="30"/>
  <c r="AD2213" i="30" s="1"/>
  <c r="AC2214" i="30"/>
  <c r="AD2214" i="30" s="1"/>
  <c r="AC2215" i="30"/>
  <c r="AD2215" i="30" s="1"/>
  <c r="AC2216" i="30"/>
  <c r="AD2216" i="30" s="1"/>
  <c r="AC2217" i="30"/>
  <c r="AD2217" i="30" s="1"/>
  <c r="AC2218" i="30"/>
  <c r="AD2218" i="30" s="1"/>
  <c r="AC2219" i="30"/>
  <c r="AD2219" i="30" s="1"/>
  <c r="AC2220" i="30"/>
  <c r="AD2220" i="30" s="1"/>
  <c r="AC2221" i="30"/>
  <c r="AD2221" i="30" s="1"/>
  <c r="AC2222" i="30"/>
  <c r="AD2222" i="30" s="1"/>
  <c r="AC2223" i="30"/>
  <c r="AD2223" i="30" s="1"/>
  <c r="AC2224" i="30"/>
  <c r="AD2224" i="30" s="1"/>
  <c r="AC2225" i="30"/>
  <c r="AD2225" i="30" s="1"/>
  <c r="AC2226" i="30"/>
  <c r="AD2226" i="30" s="1"/>
  <c r="AC2227" i="30"/>
  <c r="AD2227" i="30" s="1"/>
  <c r="AC2228" i="30"/>
  <c r="AD2228" i="30" s="1"/>
  <c r="AC2229" i="30"/>
  <c r="AD2229" i="30" s="1"/>
  <c r="AC2230" i="30"/>
  <c r="AD2230" i="30" s="1"/>
  <c r="AC2231" i="30"/>
  <c r="AD2231" i="30" s="1"/>
  <c r="AC2232" i="30"/>
  <c r="AD2232" i="30" s="1"/>
  <c r="AC2233" i="30"/>
  <c r="AD2233" i="30" s="1"/>
  <c r="AC2234" i="30"/>
  <c r="AD2234" i="30" s="1"/>
  <c r="AC2235" i="30"/>
  <c r="AD2235" i="30" s="1"/>
  <c r="AC2236" i="30"/>
  <c r="AD2236" i="30" s="1"/>
  <c r="AC2237" i="30"/>
  <c r="AD2237" i="30" s="1"/>
  <c r="AC2238" i="30"/>
  <c r="AD2238" i="30" s="1"/>
  <c r="AC2239" i="30"/>
  <c r="AD2239" i="30" s="1"/>
  <c r="AC2240" i="30"/>
  <c r="AD2240" i="30" s="1"/>
  <c r="AC2241" i="30"/>
  <c r="AD2241" i="30" s="1"/>
  <c r="AC2242" i="30"/>
  <c r="AD2242" i="30" s="1"/>
  <c r="AC2243" i="30"/>
  <c r="AD2243" i="30" s="1"/>
  <c r="AC2244" i="30"/>
  <c r="AD2244" i="30" s="1"/>
  <c r="AC2245" i="30"/>
  <c r="AD2245" i="30" s="1"/>
  <c r="AC2246" i="30"/>
  <c r="AD2246" i="30" s="1"/>
  <c r="AC2247" i="30"/>
  <c r="AD2247" i="30" s="1"/>
  <c r="AC2248" i="30"/>
  <c r="AD2248" i="30" s="1"/>
  <c r="AC2249" i="30"/>
  <c r="AD2249" i="30" s="1"/>
  <c r="AC2250" i="30"/>
  <c r="AD2250" i="30" s="1"/>
  <c r="AC2251" i="30"/>
  <c r="AD2251" i="30" s="1"/>
  <c r="AC2252" i="30"/>
  <c r="AD2252" i="30" s="1"/>
  <c r="AC2253" i="30"/>
  <c r="AD2253" i="30" s="1"/>
  <c r="AC2254" i="30"/>
  <c r="AD2254" i="30" s="1"/>
  <c r="AC2255" i="30"/>
  <c r="AD2255" i="30" s="1"/>
  <c r="AC2256" i="30"/>
  <c r="AD2256" i="30" s="1"/>
  <c r="AC2257" i="30"/>
  <c r="AD2257" i="30" s="1"/>
  <c r="AC2258" i="30"/>
  <c r="AD2258" i="30" s="1"/>
  <c r="AC2259" i="30"/>
  <c r="AD2259" i="30" s="1"/>
  <c r="AC2260" i="30"/>
  <c r="AD2260" i="30" s="1"/>
  <c r="AC2261" i="30"/>
  <c r="AD2261" i="30" s="1"/>
  <c r="AC2262" i="30"/>
  <c r="AD2262" i="30" s="1"/>
  <c r="AC2263" i="30"/>
  <c r="AD2263" i="30" s="1"/>
  <c r="AC2264" i="30"/>
  <c r="AD2264" i="30" s="1"/>
  <c r="AC2265" i="30"/>
  <c r="AD2265" i="30" s="1"/>
  <c r="AC2266" i="30"/>
  <c r="AD2266" i="30" s="1"/>
  <c r="AC2267" i="30"/>
  <c r="AD2267" i="30" s="1"/>
  <c r="AC2268" i="30"/>
  <c r="AD2268" i="30" s="1"/>
  <c r="AC2269" i="30"/>
  <c r="AD2269" i="30" s="1"/>
  <c r="AC2270" i="30"/>
  <c r="AD2270" i="30" s="1"/>
  <c r="AC2271" i="30"/>
  <c r="AD2271" i="30" s="1"/>
  <c r="AC2272" i="30"/>
  <c r="AD2272" i="30" s="1"/>
  <c r="AC2273" i="30"/>
  <c r="AD2273" i="30" s="1"/>
  <c r="AC2274" i="30"/>
  <c r="AD2274" i="30" s="1"/>
  <c r="AC2275" i="30"/>
  <c r="AD2275" i="30" s="1"/>
  <c r="AC2276" i="30"/>
  <c r="AD2276" i="30" s="1"/>
  <c r="AC2277" i="30"/>
  <c r="AD2277" i="30" s="1"/>
  <c r="AC2278" i="30"/>
  <c r="AD2278" i="30" s="1"/>
  <c r="AC2279" i="30"/>
  <c r="AD2279" i="30" s="1"/>
  <c r="AC2280" i="30"/>
  <c r="AD2280" i="30" s="1"/>
  <c r="AC2281" i="30"/>
  <c r="AD2281" i="30" s="1"/>
  <c r="AC2282" i="30"/>
  <c r="AD2282" i="30" s="1"/>
  <c r="AC2283" i="30"/>
  <c r="AD2283" i="30" s="1"/>
  <c r="AC2284" i="30"/>
  <c r="AD2284" i="30" s="1"/>
  <c r="AC2285" i="30"/>
  <c r="AD2285" i="30" s="1"/>
  <c r="AC2286" i="30"/>
  <c r="AD2286" i="30" s="1"/>
  <c r="AC2287" i="30"/>
  <c r="AD2287" i="30" s="1"/>
  <c r="AC2288" i="30"/>
  <c r="AD2288" i="30" s="1"/>
  <c r="AC2289" i="30"/>
  <c r="AD2289" i="30" s="1"/>
  <c r="AC2290" i="30"/>
  <c r="AD2290" i="30" s="1"/>
  <c r="AC2291" i="30"/>
  <c r="AD2291" i="30" s="1"/>
  <c r="AC2292" i="30"/>
  <c r="AD2292" i="30" s="1"/>
  <c r="AC2293" i="30"/>
  <c r="AD2293" i="30" s="1"/>
  <c r="AC2294" i="30"/>
  <c r="AD2294" i="30" s="1"/>
  <c r="AC2295" i="30"/>
  <c r="AD2295" i="30" s="1"/>
  <c r="AC2296" i="30"/>
  <c r="AD2296" i="30" s="1"/>
  <c r="AC2297" i="30"/>
  <c r="AD2297" i="30" s="1"/>
  <c r="AC2298" i="30"/>
  <c r="AD2298" i="30" s="1"/>
  <c r="AC2299" i="30"/>
  <c r="AD2299" i="30" s="1"/>
  <c r="AC2300" i="30"/>
  <c r="AD2300" i="30" s="1"/>
  <c r="AC2301" i="30"/>
  <c r="AD2301" i="30" s="1"/>
  <c r="AC2302" i="30"/>
  <c r="AD2302" i="30" s="1"/>
  <c r="AC2303" i="30"/>
  <c r="AD2303" i="30" s="1"/>
  <c r="AC2304" i="30"/>
  <c r="AD2304" i="30" s="1"/>
  <c r="AC2305" i="30"/>
  <c r="AD2305" i="30" s="1"/>
  <c r="AC2306" i="30"/>
  <c r="AD2306" i="30" s="1"/>
  <c r="AC2307" i="30"/>
  <c r="AD2307" i="30" s="1"/>
  <c r="AC2308" i="30"/>
  <c r="AD2308" i="30" s="1"/>
  <c r="AC2309" i="30"/>
  <c r="AD2309" i="30" s="1"/>
  <c r="AC2310" i="30"/>
  <c r="AD2310" i="30" s="1"/>
  <c r="AC2311" i="30"/>
  <c r="AD2311" i="30" s="1"/>
  <c r="AC2312" i="30"/>
  <c r="AD2312" i="30" s="1"/>
  <c r="AC2313" i="30"/>
  <c r="AD2313" i="30" s="1"/>
  <c r="AC2314" i="30"/>
  <c r="AD2314" i="30" s="1"/>
  <c r="AC2315" i="30"/>
  <c r="AD2315" i="30" s="1"/>
  <c r="AC2316" i="30"/>
  <c r="AD2316" i="30" s="1"/>
  <c r="AC2317" i="30"/>
  <c r="AD2317" i="30" s="1"/>
  <c r="AC2318" i="30"/>
  <c r="AD2318" i="30" s="1"/>
  <c r="AC2319" i="30"/>
  <c r="AD2319" i="30" s="1"/>
  <c r="AC2320" i="30"/>
  <c r="AD2320" i="30" s="1"/>
  <c r="AC2321" i="30"/>
  <c r="AD2321" i="30" s="1"/>
  <c r="AC2322" i="30"/>
  <c r="AD2322" i="30" s="1"/>
  <c r="AC2323" i="30"/>
  <c r="AD2323" i="30" s="1"/>
  <c r="AC2324" i="30"/>
  <c r="AD2324" i="30" s="1"/>
  <c r="AC2325" i="30"/>
  <c r="AD2325" i="30" s="1"/>
  <c r="AC2326" i="30"/>
  <c r="AD2326" i="30" s="1"/>
  <c r="AC2327" i="30"/>
  <c r="AD2327" i="30" s="1"/>
  <c r="AC2328" i="30"/>
  <c r="AD2328" i="30" s="1"/>
  <c r="AC2329" i="30"/>
  <c r="AD2329" i="30" s="1"/>
  <c r="AC2330" i="30"/>
  <c r="AD2330" i="30" s="1"/>
  <c r="AC2331" i="30"/>
  <c r="AD2331" i="30" s="1"/>
  <c r="AC2332" i="30"/>
  <c r="AD2332" i="30" s="1"/>
  <c r="AC2333" i="30"/>
  <c r="AD2333" i="30" s="1"/>
  <c r="AC2334" i="30"/>
  <c r="AD2334" i="30" s="1"/>
  <c r="AC2335" i="30"/>
  <c r="AD2335" i="30" s="1"/>
  <c r="AC2336" i="30"/>
  <c r="AD2336" i="30" s="1"/>
  <c r="AC2337" i="30"/>
  <c r="AD2337" i="30" s="1"/>
  <c r="AC2338" i="30"/>
  <c r="AD2338" i="30" s="1"/>
  <c r="AC2339" i="30"/>
  <c r="AD2339" i="30" s="1"/>
  <c r="AC2340" i="30"/>
  <c r="AD2340" i="30" s="1"/>
  <c r="AC2341" i="30"/>
  <c r="AD2341" i="30" s="1"/>
  <c r="AC2342" i="30"/>
  <c r="AD2342" i="30" s="1"/>
  <c r="AC2343" i="30"/>
  <c r="AD2343" i="30" s="1"/>
  <c r="AC2344" i="30"/>
  <c r="AD2344" i="30" s="1"/>
  <c r="AC2345" i="30"/>
  <c r="AD2345" i="30" s="1"/>
  <c r="AC2346" i="30"/>
  <c r="AD2346" i="30" s="1"/>
  <c r="AC2347" i="30"/>
  <c r="AD2347" i="30" s="1"/>
  <c r="AC2348" i="30"/>
  <c r="AD2348" i="30" s="1"/>
  <c r="AC2349" i="30"/>
  <c r="AD2349" i="30" s="1"/>
  <c r="AC2350" i="30"/>
  <c r="AD2350" i="30" s="1"/>
  <c r="AC2351" i="30"/>
  <c r="AD2351" i="30" s="1"/>
  <c r="AC2352" i="30"/>
  <c r="AD2352" i="30" s="1"/>
  <c r="AC2353" i="30"/>
  <c r="AD2353" i="30" s="1"/>
  <c r="AC2354" i="30"/>
  <c r="AD2354" i="30" s="1"/>
  <c r="AC2355" i="30"/>
  <c r="AD2355" i="30" s="1"/>
  <c r="AC2356" i="30"/>
  <c r="AD2356" i="30" s="1"/>
  <c r="AC2357" i="30"/>
  <c r="AD2357" i="30" s="1"/>
  <c r="AC2358" i="30"/>
  <c r="AD2358" i="30" s="1"/>
  <c r="AC2359" i="30"/>
  <c r="AD2359" i="30" s="1"/>
  <c r="AC2360" i="30"/>
  <c r="AD2360" i="30" s="1"/>
  <c r="AC2361" i="30"/>
  <c r="AD2361" i="30" s="1"/>
  <c r="AC2362" i="30"/>
  <c r="AD2362" i="30" s="1"/>
  <c r="AC2363" i="30"/>
  <c r="AD2363" i="30" s="1"/>
  <c r="AC2364" i="30"/>
  <c r="AD2364" i="30" s="1"/>
  <c r="AC2365" i="30"/>
  <c r="AD2365" i="30" s="1"/>
  <c r="AC2366" i="30"/>
  <c r="AD2366" i="30" s="1"/>
  <c r="AC2367" i="30"/>
  <c r="AD2367" i="30" s="1"/>
  <c r="AC2368" i="30"/>
  <c r="AD2368" i="30" s="1"/>
  <c r="AC2369" i="30"/>
  <c r="AD2369" i="30" s="1"/>
  <c r="AC2370" i="30"/>
  <c r="AD2370" i="30" s="1"/>
  <c r="AC2371" i="30"/>
  <c r="AD2371" i="30" s="1"/>
  <c r="AC2372" i="30"/>
  <c r="AD2372" i="30" s="1"/>
  <c r="AC2373" i="30"/>
  <c r="AD2373" i="30" s="1"/>
  <c r="AC2374" i="30"/>
  <c r="AD2374" i="30" s="1"/>
  <c r="AC2375" i="30"/>
  <c r="AD2375" i="30" s="1"/>
  <c r="AC2376" i="30"/>
  <c r="AD2376" i="30" s="1"/>
  <c r="AC2377" i="30"/>
  <c r="AD2377" i="30" s="1"/>
  <c r="AC2378" i="30"/>
  <c r="AD2378" i="30" s="1"/>
  <c r="AC2379" i="30"/>
  <c r="AD2379" i="30" s="1"/>
  <c r="AC2380" i="30"/>
  <c r="AD2380" i="30" s="1"/>
  <c r="AC2381" i="30"/>
  <c r="AD2381" i="30" s="1"/>
  <c r="AC2382" i="30"/>
  <c r="AD2382" i="30" s="1"/>
  <c r="AC2383" i="30"/>
  <c r="AD2383" i="30" s="1"/>
  <c r="AC2384" i="30"/>
  <c r="AD2384" i="30" s="1"/>
  <c r="AC2385" i="30"/>
  <c r="AD2385" i="30" s="1"/>
  <c r="AC2386" i="30"/>
  <c r="AD2386" i="30" s="1"/>
  <c r="AC2387" i="30"/>
  <c r="AD2387" i="30" s="1"/>
  <c r="AC2388" i="30"/>
  <c r="AD2388" i="30" s="1"/>
  <c r="AC2389" i="30"/>
  <c r="AD2389" i="30" s="1"/>
  <c r="AC2390" i="30"/>
  <c r="AD2390" i="30" s="1"/>
  <c r="AC2391" i="30"/>
  <c r="AD2391" i="30" s="1"/>
  <c r="AC2392" i="30"/>
  <c r="AD2392" i="30" s="1"/>
  <c r="AC2393" i="30"/>
  <c r="AD2393" i="30" s="1"/>
  <c r="AC2394" i="30"/>
  <c r="AD2394" i="30" s="1"/>
  <c r="AC2395" i="30"/>
  <c r="AD2395" i="30" s="1"/>
  <c r="AC2396" i="30"/>
  <c r="AD2396" i="30" s="1"/>
  <c r="AC2397" i="30"/>
  <c r="AD2397" i="30" s="1"/>
  <c r="AC2398" i="30"/>
  <c r="AD2398" i="30" s="1"/>
  <c r="AC2399" i="30"/>
  <c r="AD2399" i="30" s="1"/>
  <c r="AC2400" i="30"/>
  <c r="AD2400" i="30" s="1"/>
  <c r="AC2401" i="30"/>
  <c r="AD2401" i="30" s="1"/>
  <c r="AC2402" i="30"/>
  <c r="AD2402" i="30" s="1"/>
  <c r="AC2403" i="30"/>
  <c r="AD2403" i="30" s="1"/>
  <c r="AC2404" i="30"/>
  <c r="AD2404" i="30" s="1"/>
  <c r="AC2405" i="30"/>
  <c r="AD2405" i="30" s="1"/>
  <c r="AC2406" i="30"/>
  <c r="AD2406" i="30" s="1"/>
  <c r="AC2407" i="30"/>
  <c r="AD2407" i="30" s="1"/>
  <c r="AC2408" i="30"/>
  <c r="AD2408" i="30" s="1"/>
  <c r="AC2409" i="30"/>
  <c r="AD2409" i="30" s="1"/>
  <c r="AC2410" i="30"/>
  <c r="AD2410" i="30" s="1"/>
  <c r="AC2411" i="30"/>
  <c r="AD2411" i="30" s="1"/>
  <c r="AC2412" i="30"/>
  <c r="AD2412" i="30" s="1"/>
  <c r="AC2413" i="30"/>
  <c r="AD2413" i="30" s="1"/>
  <c r="AC2414" i="30"/>
  <c r="AD2414" i="30" s="1"/>
  <c r="AC2415" i="30"/>
  <c r="AD2415" i="30" s="1"/>
  <c r="AC2416" i="30"/>
  <c r="AD2416" i="30" s="1"/>
  <c r="AC2417" i="30"/>
  <c r="AD2417" i="30" s="1"/>
  <c r="AC2418" i="30"/>
  <c r="AD2418" i="30" s="1"/>
  <c r="AC2419" i="30"/>
  <c r="AD2419" i="30" s="1"/>
  <c r="AC2420" i="30"/>
  <c r="AD2420" i="30" s="1"/>
  <c r="AC2421" i="30"/>
  <c r="AD2421" i="30" s="1"/>
  <c r="AC2422" i="30"/>
  <c r="AD2422" i="30" s="1"/>
  <c r="AC2423" i="30"/>
  <c r="AD2423" i="30" s="1"/>
  <c r="AC2424" i="30"/>
  <c r="AD2424" i="30" s="1"/>
  <c r="AC2425" i="30"/>
  <c r="AD2425" i="30" s="1"/>
  <c r="AC2426" i="30"/>
  <c r="AD2426" i="30" s="1"/>
  <c r="AC2427" i="30"/>
  <c r="AD2427" i="30" s="1"/>
  <c r="AC2428" i="30"/>
  <c r="AD2428" i="30" s="1"/>
  <c r="AC2429" i="30"/>
  <c r="AD2429" i="30" s="1"/>
  <c r="AC2430" i="30"/>
  <c r="AD2430" i="30" s="1"/>
  <c r="AC2431" i="30"/>
  <c r="AD2431" i="30" s="1"/>
  <c r="AC2432" i="30"/>
  <c r="AD2432" i="30" s="1"/>
  <c r="AC2433" i="30"/>
  <c r="AD2433" i="30" s="1"/>
  <c r="AC2434" i="30"/>
  <c r="AD2434" i="30" s="1"/>
  <c r="AC2435" i="30"/>
  <c r="AD2435" i="30" s="1"/>
  <c r="AC2436" i="30"/>
  <c r="AD2436" i="30" s="1"/>
  <c r="AC2437" i="30"/>
  <c r="AD2437" i="30" s="1"/>
  <c r="AC2438" i="30"/>
  <c r="AD2438" i="30" s="1"/>
  <c r="AC2439" i="30"/>
  <c r="AD2439" i="30" s="1"/>
  <c r="AC2440" i="30"/>
  <c r="AD2440" i="30" s="1"/>
  <c r="AC2441" i="30"/>
  <c r="AD2441" i="30" s="1"/>
  <c r="AC2442" i="30"/>
  <c r="AD2442" i="30" s="1"/>
  <c r="AC2443" i="30"/>
  <c r="AD2443" i="30" s="1"/>
  <c r="AC2444" i="30"/>
  <c r="AD2444" i="30" s="1"/>
  <c r="AC2445" i="30"/>
  <c r="AD2445" i="30" s="1"/>
  <c r="AC2446" i="30"/>
  <c r="AD2446" i="30" s="1"/>
  <c r="AC2447" i="30"/>
  <c r="AD2447" i="30" s="1"/>
  <c r="AC2448" i="30"/>
  <c r="AD2448" i="30" s="1"/>
  <c r="AC2449" i="30"/>
  <c r="AD2449" i="30" s="1"/>
  <c r="AC2450" i="30"/>
  <c r="AD2450" i="30" s="1"/>
  <c r="AC2451" i="30"/>
  <c r="AD2451" i="30" s="1"/>
  <c r="AC2452" i="30"/>
  <c r="AD2452" i="30" s="1"/>
  <c r="AC2453" i="30"/>
  <c r="AD2453" i="30" s="1"/>
  <c r="AC2454" i="30"/>
  <c r="AD2454" i="30" s="1"/>
  <c r="AC2455" i="30"/>
  <c r="AD2455" i="30" s="1"/>
  <c r="AC2456" i="30"/>
  <c r="AD2456" i="30" s="1"/>
  <c r="AC2457" i="30"/>
  <c r="AD2457" i="30" s="1"/>
  <c r="AC2458" i="30"/>
  <c r="AD2458" i="30" s="1"/>
  <c r="AC2459" i="30"/>
  <c r="AD2459" i="30" s="1"/>
  <c r="AC2460" i="30"/>
  <c r="AD2460" i="30" s="1"/>
  <c r="AC2461" i="30"/>
  <c r="AD2461" i="30" s="1"/>
  <c r="AC2462" i="30"/>
  <c r="AD2462" i="30" s="1"/>
  <c r="AC2463" i="30"/>
  <c r="AD2463" i="30" s="1"/>
  <c r="AC2464" i="30"/>
  <c r="AD2464" i="30" s="1"/>
  <c r="AC2465" i="30"/>
  <c r="AD2465" i="30" s="1"/>
  <c r="AC2466" i="30"/>
  <c r="AD2466" i="30" s="1"/>
  <c r="AC2467" i="30"/>
  <c r="AD2467" i="30" s="1"/>
  <c r="AC2468" i="30"/>
  <c r="AD2468" i="30" s="1"/>
  <c r="AC2469" i="30"/>
  <c r="AD2469" i="30" s="1"/>
  <c r="AC2470" i="30"/>
  <c r="AD2470" i="30" s="1"/>
  <c r="AC2471" i="30"/>
  <c r="AD2471" i="30" s="1"/>
  <c r="AC2472" i="30"/>
  <c r="AD2472" i="30" s="1"/>
  <c r="AC2473" i="30"/>
  <c r="AD2473" i="30" s="1"/>
  <c r="AC2474" i="30"/>
  <c r="AD2474" i="30" s="1"/>
  <c r="AC2475" i="30"/>
  <c r="AD2475" i="30" s="1"/>
  <c r="AC2476" i="30"/>
  <c r="AD2476" i="30" s="1"/>
  <c r="AC2477" i="30"/>
  <c r="AD2477" i="30" s="1"/>
  <c r="AC2478" i="30"/>
  <c r="AD2478" i="30" s="1"/>
  <c r="AC2479" i="30"/>
  <c r="AD2479" i="30" s="1"/>
  <c r="AC2480" i="30"/>
  <c r="AD2480" i="30" s="1"/>
  <c r="AC2481" i="30"/>
  <c r="AD2481" i="30" s="1"/>
  <c r="AC2482" i="30"/>
  <c r="AD2482" i="30" s="1"/>
  <c r="AC2483" i="30"/>
  <c r="AD2483" i="30" s="1"/>
  <c r="AC2484" i="30"/>
  <c r="AD2484" i="30" s="1"/>
  <c r="AC2485" i="30"/>
  <c r="AD2485" i="30" s="1"/>
  <c r="AC2486" i="30"/>
  <c r="AD2486" i="30" s="1"/>
  <c r="AC2487" i="30"/>
  <c r="AD2487" i="30" s="1"/>
  <c r="AC2488" i="30"/>
  <c r="AD2488" i="30" s="1"/>
  <c r="AC2489" i="30"/>
  <c r="AD2489" i="30" s="1"/>
  <c r="AC2490" i="30"/>
  <c r="AD2490" i="30" s="1"/>
  <c r="AC2491" i="30"/>
  <c r="AD2491" i="30" s="1"/>
  <c r="AC2492" i="30"/>
  <c r="AD2492" i="30" s="1"/>
  <c r="AC2493" i="30"/>
  <c r="AD2493" i="30" s="1"/>
  <c r="AC2494" i="30"/>
  <c r="AD2494" i="30" s="1"/>
  <c r="AC2495" i="30"/>
  <c r="AD2495" i="30" s="1"/>
  <c r="AC2496" i="30"/>
  <c r="AD2496" i="30" s="1"/>
  <c r="AC2497" i="30"/>
  <c r="AD2497" i="30" s="1"/>
  <c r="AC2498" i="30"/>
  <c r="AD2498" i="30" s="1"/>
  <c r="AC2499" i="30"/>
  <c r="AD2499" i="30" s="1"/>
  <c r="AC2500" i="30"/>
  <c r="AD2500" i="30" s="1"/>
  <c r="AC2501" i="30"/>
  <c r="AD2501" i="30" s="1"/>
  <c r="AC2502" i="30"/>
  <c r="AD2502" i="30" s="1"/>
  <c r="AC2503" i="30"/>
  <c r="AD2503" i="30" s="1"/>
  <c r="AC2504" i="30"/>
  <c r="AD2504" i="30" s="1"/>
  <c r="AC2505" i="30"/>
  <c r="AD2505" i="30" s="1"/>
  <c r="AC2506" i="30"/>
  <c r="AD2506" i="30" s="1"/>
  <c r="AC2507" i="30"/>
  <c r="AD2507" i="30" s="1"/>
  <c r="AC2508" i="30"/>
  <c r="AD2508" i="30" s="1"/>
  <c r="AC2509" i="30"/>
  <c r="AD2509" i="30" s="1"/>
  <c r="AC2510" i="30"/>
  <c r="AD2510" i="30" s="1"/>
  <c r="AC2511" i="30"/>
  <c r="AD2511" i="30" s="1"/>
  <c r="AC2512" i="30"/>
  <c r="AD2512" i="30" s="1"/>
  <c r="AC2513" i="30"/>
  <c r="AD2513" i="30" s="1"/>
  <c r="AC2514" i="30"/>
  <c r="AD2514" i="30" s="1"/>
  <c r="AC2515" i="30"/>
  <c r="AD2515" i="30" s="1"/>
  <c r="AC2516" i="30"/>
  <c r="AD2516" i="30" s="1"/>
  <c r="AC2517" i="30"/>
  <c r="AD2517" i="30" s="1"/>
  <c r="AC2518" i="30"/>
  <c r="AD2518" i="30" s="1"/>
  <c r="AC2519" i="30"/>
  <c r="AD2519" i="30" s="1"/>
  <c r="AC2520" i="30"/>
  <c r="AD2520" i="30" s="1"/>
  <c r="AC2521" i="30"/>
  <c r="AD2521" i="30" s="1"/>
  <c r="AC2522" i="30"/>
  <c r="AD2522" i="30" s="1"/>
  <c r="AC2523" i="30"/>
  <c r="AD2523" i="30" s="1"/>
  <c r="AC2524" i="30"/>
  <c r="AD2524" i="30" s="1"/>
  <c r="AC2525" i="30"/>
  <c r="AD2525" i="30" s="1"/>
  <c r="AC2526" i="30"/>
  <c r="AD2526" i="30" s="1"/>
  <c r="AC2527" i="30"/>
  <c r="AD2527" i="30" s="1"/>
  <c r="AC2528" i="30"/>
  <c r="AD2528" i="30" s="1"/>
  <c r="AC2529" i="30"/>
  <c r="AD2529" i="30" s="1"/>
  <c r="AC2530" i="30"/>
  <c r="AD2530" i="30" s="1"/>
  <c r="AC2531" i="30"/>
  <c r="AD2531" i="30" s="1"/>
  <c r="AC2532" i="30"/>
  <c r="AD2532" i="30" s="1"/>
  <c r="AC2533" i="30"/>
  <c r="AD2533" i="30" s="1"/>
  <c r="AC2534" i="30"/>
  <c r="AD2534" i="30" s="1"/>
  <c r="AC2535" i="30"/>
  <c r="AD2535" i="30" s="1"/>
  <c r="AC2536" i="30"/>
  <c r="AD2536" i="30" s="1"/>
  <c r="AC2537" i="30"/>
  <c r="AD2537" i="30" s="1"/>
  <c r="AC2538" i="30"/>
  <c r="AD2538" i="30" s="1"/>
  <c r="AC2539" i="30"/>
  <c r="AD2539" i="30" s="1"/>
  <c r="AC2540" i="30"/>
  <c r="AD2540" i="30" s="1"/>
  <c r="AC2541" i="30"/>
  <c r="AD2541" i="30" s="1"/>
  <c r="AC2542" i="30"/>
  <c r="AD2542" i="30" s="1"/>
  <c r="AC2543" i="30"/>
  <c r="AD2543" i="30" s="1"/>
  <c r="AC2544" i="30"/>
  <c r="AD2544" i="30" s="1"/>
  <c r="AC2545" i="30"/>
  <c r="AD2545" i="30" s="1"/>
  <c r="AC2546" i="30"/>
  <c r="AD2546" i="30" s="1"/>
  <c r="AC2547" i="30"/>
  <c r="AD2547" i="30" s="1"/>
  <c r="AC2548" i="30"/>
  <c r="AD2548" i="30" s="1"/>
  <c r="AC2549" i="30"/>
  <c r="AD2549" i="30" s="1"/>
  <c r="AC2550" i="30"/>
  <c r="AD2550" i="30" s="1"/>
  <c r="AC2551" i="30"/>
  <c r="AD2551" i="30" s="1"/>
  <c r="AC2552" i="30"/>
  <c r="AD2552" i="30" s="1"/>
  <c r="AC2553" i="30"/>
  <c r="AD2553" i="30" s="1"/>
  <c r="AC2554" i="30"/>
  <c r="AD2554" i="30" s="1"/>
  <c r="AC2555" i="30"/>
  <c r="AD2555" i="30" s="1"/>
  <c r="AC2556" i="30"/>
  <c r="AD2556" i="30" s="1"/>
  <c r="AC2557" i="30"/>
  <c r="AD2557" i="30" s="1"/>
  <c r="AC2558" i="30"/>
  <c r="AD2558" i="30" s="1"/>
  <c r="AC2559" i="30"/>
  <c r="AD2559" i="30" s="1"/>
  <c r="AC2560" i="30"/>
  <c r="AD2560" i="30" s="1"/>
  <c r="AC2561" i="30"/>
  <c r="AD2561" i="30" s="1"/>
  <c r="AC2562" i="30"/>
  <c r="AD2562" i="30" s="1"/>
  <c r="AC2563" i="30"/>
  <c r="AD2563" i="30" s="1"/>
  <c r="AC2564" i="30"/>
  <c r="AD2564" i="30" s="1"/>
  <c r="AC2565" i="30"/>
  <c r="AD2565" i="30" s="1"/>
  <c r="AC2566" i="30"/>
  <c r="AD2566" i="30" s="1"/>
  <c r="AC2567" i="30"/>
  <c r="AD2567" i="30" s="1"/>
  <c r="AC2568" i="30"/>
  <c r="AD2568" i="30" s="1"/>
  <c r="AC2569" i="30"/>
  <c r="AD2569" i="30" s="1"/>
  <c r="AC2570" i="30"/>
  <c r="AD2570" i="30" s="1"/>
  <c r="AC2571" i="30"/>
  <c r="AD2571" i="30" s="1"/>
  <c r="AC2572" i="30"/>
  <c r="AD2572" i="30" s="1"/>
  <c r="AC2573" i="30"/>
  <c r="AD2573" i="30" s="1"/>
  <c r="AC2574" i="30"/>
  <c r="AD2574" i="30" s="1"/>
  <c r="AC2575" i="30"/>
  <c r="AD2575" i="30" s="1"/>
  <c r="AC2576" i="30"/>
  <c r="AD2576" i="30" s="1"/>
  <c r="AC2577" i="30"/>
  <c r="AD2577" i="30" s="1"/>
  <c r="AC2578" i="30"/>
  <c r="AD2578" i="30" s="1"/>
  <c r="AC2579" i="30"/>
  <c r="AD2579" i="30" s="1"/>
  <c r="AC2580" i="30"/>
  <c r="AD2580" i="30" s="1"/>
  <c r="AC2581" i="30"/>
  <c r="AD2581" i="30" s="1"/>
  <c r="AC2582" i="30"/>
  <c r="AD2582" i="30" s="1"/>
  <c r="AC2583" i="30"/>
  <c r="AD2583" i="30" s="1"/>
  <c r="AC2584" i="30"/>
  <c r="AD2584" i="30" s="1"/>
  <c r="AC2585" i="30"/>
  <c r="AD2585" i="30" s="1"/>
  <c r="AC2586" i="30"/>
  <c r="AD2586" i="30" s="1"/>
  <c r="AC2587" i="30"/>
  <c r="AD2587" i="30" s="1"/>
  <c r="AC2588" i="30"/>
  <c r="AD2588" i="30" s="1"/>
  <c r="AC2589" i="30"/>
  <c r="AD2589" i="30" s="1"/>
  <c r="AC2590" i="30"/>
  <c r="AD2590" i="30" s="1"/>
  <c r="AC2591" i="30"/>
  <c r="AD2591" i="30" s="1"/>
  <c r="AC2592" i="30"/>
  <c r="AD2592" i="30" s="1"/>
  <c r="AC2593" i="30"/>
  <c r="AD2593" i="30" s="1"/>
  <c r="AC2594" i="30"/>
  <c r="AD2594" i="30" s="1"/>
  <c r="AC2595" i="30"/>
  <c r="AD2595" i="30" s="1"/>
  <c r="AC2596" i="30"/>
  <c r="AD2596" i="30" s="1"/>
  <c r="AC2597" i="30"/>
  <c r="AD2597" i="30" s="1"/>
  <c r="AC2598" i="30"/>
  <c r="AD2598" i="30" s="1"/>
  <c r="AC2599" i="30"/>
  <c r="AD2599" i="30" s="1"/>
  <c r="AC2600" i="30"/>
  <c r="AD2600" i="30" s="1"/>
  <c r="AC2601" i="30"/>
  <c r="AD2601" i="30" s="1"/>
  <c r="AC2602" i="30"/>
  <c r="AD2602" i="30" s="1"/>
  <c r="AC2603" i="30"/>
  <c r="AD2603" i="30" s="1"/>
  <c r="AC2604" i="30"/>
  <c r="AD2604" i="30" s="1"/>
  <c r="AC2605" i="30"/>
  <c r="AD2605" i="30" s="1"/>
  <c r="AC2606" i="30"/>
  <c r="AD2606" i="30" s="1"/>
  <c r="AC2607" i="30"/>
  <c r="AD2607" i="30" s="1"/>
  <c r="AC2608" i="30"/>
  <c r="AD2608" i="30" s="1"/>
  <c r="AC2609" i="30"/>
  <c r="AD2609" i="30" s="1"/>
  <c r="AC2610" i="30"/>
  <c r="AD2610" i="30" s="1"/>
  <c r="AC2611" i="30"/>
  <c r="AD2611" i="30" s="1"/>
  <c r="AC2612" i="30"/>
  <c r="AD2612" i="30" s="1"/>
  <c r="AC2613" i="30"/>
  <c r="AD2613" i="30" s="1"/>
  <c r="AC2614" i="30"/>
  <c r="AD2614" i="30" s="1"/>
  <c r="AC2615" i="30"/>
  <c r="AD2615" i="30" s="1"/>
  <c r="AC2616" i="30"/>
  <c r="AD2616" i="30" s="1"/>
  <c r="AC2617" i="30"/>
  <c r="AD2617" i="30" s="1"/>
  <c r="AC2618" i="30"/>
  <c r="AD2618" i="30" s="1"/>
  <c r="AC2619" i="30"/>
  <c r="AD2619" i="30" s="1"/>
  <c r="AC2620" i="30"/>
  <c r="AD2620" i="30" s="1"/>
  <c r="AC2621" i="30"/>
  <c r="AD2621" i="30" s="1"/>
  <c r="AC2622" i="30"/>
  <c r="AD2622" i="30" s="1"/>
  <c r="AC2623" i="30"/>
  <c r="AD2623" i="30" s="1"/>
  <c r="AC2624" i="30"/>
  <c r="AD2624" i="30" s="1"/>
  <c r="AC2625" i="30"/>
  <c r="AD2625" i="30" s="1"/>
  <c r="AC2626" i="30"/>
  <c r="AD2626" i="30" s="1"/>
  <c r="AC2627" i="30"/>
  <c r="AD2627" i="30" s="1"/>
  <c r="AC2628" i="30"/>
  <c r="AD2628" i="30" s="1"/>
  <c r="AC2629" i="30"/>
  <c r="AD2629" i="30" s="1"/>
  <c r="AC2630" i="30"/>
  <c r="AD2630" i="30" s="1"/>
  <c r="AC2631" i="30"/>
  <c r="AD2631" i="30" s="1"/>
  <c r="AC2632" i="30"/>
  <c r="AD2632" i="30" s="1"/>
  <c r="AC2633" i="30"/>
  <c r="AD2633" i="30" s="1"/>
  <c r="AC2634" i="30"/>
  <c r="AD2634" i="30" s="1"/>
  <c r="AC2635" i="30"/>
  <c r="AD2635" i="30" s="1"/>
  <c r="AC2636" i="30"/>
  <c r="AD2636" i="30" s="1"/>
  <c r="AC2637" i="30"/>
  <c r="AD2637" i="30" s="1"/>
  <c r="AC2638" i="30"/>
  <c r="AD2638" i="30" s="1"/>
  <c r="AC2639" i="30"/>
  <c r="AD2639" i="30" s="1"/>
  <c r="AC2640" i="30"/>
  <c r="AD2640" i="30" s="1"/>
  <c r="AC2641" i="30"/>
  <c r="AD2641" i="30" s="1"/>
  <c r="AC2642" i="30"/>
  <c r="AD2642" i="30" s="1"/>
  <c r="AC2643" i="30"/>
  <c r="AD2643" i="30" s="1"/>
  <c r="AC2644" i="30"/>
  <c r="AD2644" i="30" s="1"/>
  <c r="AC2645" i="30"/>
  <c r="AD2645" i="30" s="1"/>
  <c r="AC2646" i="30"/>
  <c r="AD2646" i="30" s="1"/>
  <c r="AC2647" i="30"/>
  <c r="AD2647" i="30" s="1"/>
  <c r="AC2648" i="30"/>
  <c r="AD2648" i="30" s="1"/>
  <c r="AC2649" i="30"/>
  <c r="AD2649" i="30" s="1"/>
  <c r="AC2650" i="30"/>
  <c r="AD2650" i="30" s="1"/>
  <c r="AC2651" i="30"/>
  <c r="AD2651" i="30" s="1"/>
  <c r="AC2652" i="30"/>
  <c r="AD2652" i="30" s="1"/>
  <c r="AC2653" i="30"/>
  <c r="AD2653" i="30" s="1"/>
  <c r="AC2654" i="30"/>
  <c r="AD2654" i="30" s="1"/>
  <c r="AC2655" i="30"/>
  <c r="AD2655" i="30" s="1"/>
  <c r="AC2656" i="30"/>
  <c r="AD2656" i="30" s="1"/>
  <c r="AC2657" i="30"/>
  <c r="AD2657" i="30" s="1"/>
  <c r="AC2658" i="30"/>
  <c r="AD2658" i="30" s="1"/>
  <c r="AC2659" i="30"/>
  <c r="AD2659" i="30" s="1"/>
  <c r="AC2660" i="30"/>
  <c r="AD2660" i="30" s="1"/>
  <c r="AC2661" i="30"/>
  <c r="AD2661" i="30" s="1"/>
  <c r="AC2662" i="30"/>
  <c r="AD2662" i="30" s="1"/>
  <c r="AC2663" i="30"/>
  <c r="AD2663" i="30" s="1"/>
  <c r="AC2664" i="30"/>
  <c r="AD2664" i="30" s="1"/>
  <c r="AC2665" i="30"/>
  <c r="AD2665" i="30" s="1"/>
  <c r="AC2666" i="30"/>
  <c r="AD2666" i="30" s="1"/>
  <c r="AC2667" i="30"/>
  <c r="AD2667" i="30" s="1"/>
  <c r="AC2668" i="30"/>
  <c r="AD2668" i="30" s="1"/>
  <c r="AC2669" i="30"/>
  <c r="AD2669" i="30" s="1"/>
  <c r="AC2670" i="30"/>
  <c r="AD2670" i="30" s="1"/>
  <c r="AC2671" i="30"/>
  <c r="AD2671" i="30" s="1"/>
  <c r="AC2672" i="30"/>
  <c r="AD2672" i="30" s="1"/>
  <c r="AC2673" i="30"/>
  <c r="AD2673" i="30" s="1"/>
  <c r="AC2674" i="30"/>
  <c r="AD2674" i="30" s="1"/>
  <c r="AC2675" i="30"/>
  <c r="AD2675" i="30" s="1"/>
  <c r="AC2676" i="30"/>
  <c r="AD2676" i="30" s="1"/>
  <c r="AC2677" i="30"/>
  <c r="AD2677" i="30" s="1"/>
  <c r="AC2678" i="30"/>
  <c r="AD2678" i="30" s="1"/>
  <c r="AC2679" i="30"/>
  <c r="AD2679" i="30" s="1"/>
  <c r="AC2680" i="30"/>
  <c r="AD2680" i="30" s="1"/>
  <c r="AC2681" i="30"/>
  <c r="AD2681" i="30" s="1"/>
  <c r="AC2682" i="30"/>
  <c r="AD2682" i="30" s="1"/>
  <c r="AC2683" i="30"/>
  <c r="AD2683" i="30" s="1"/>
  <c r="AC2684" i="30"/>
  <c r="AD2684" i="30" s="1"/>
  <c r="AC2685" i="30"/>
  <c r="AD2685" i="30" s="1"/>
  <c r="AC2686" i="30"/>
  <c r="AD2686" i="30" s="1"/>
  <c r="AC2687" i="30"/>
  <c r="AD2687" i="30" s="1"/>
  <c r="AC2688" i="30"/>
  <c r="AD2688" i="30" s="1"/>
  <c r="AC2689" i="30"/>
  <c r="AD2689" i="30" s="1"/>
  <c r="AC2690" i="30"/>
  <c r="AD2690" i="30" s="1"/>
  <c r="AC2691" i="30"/>
  <c r="AD2691" i="30" s="1"/>
  <c r="AC2692" i="30"/>
  <c r="AD2692" i="30" s="1"/>
  <c r="AC2693" i="30"/>
  <c r="AD2693" i="30" s="1"/>
  <c r="AC2694" i="30"/>
  <c r="AD2694" i="30" s="1"/>
  <c r="AC2695" i="30"/>
  <c r="AD2695" i="30" s="1"/>
  <c r="AC2696" i="30"/>
  <c r="AD2696" i="30" s="1"/>
  <c r="AC2697" i="30"/>
  <c r="AD2697" i="30" s="1"/>
  <c r="AC2698" i="30"/>
  <c r="AD2698" i="30" s="1"/>
  <c r="AC2699" i="30"/>
  <c r="AD2699" i="30" s="1"/>
  <c r="AC2700" i="30"/>
  <c r="AD2700" i="30" s="1"/>
  <c r="AC2701" i="30"/>
  <c r="AD2701" i="30" s="1"/>
  <c r="AC2702" i="30"/>
  <c r="AD2702" i="30" s="1"/>
  <c r="AC2703" i="30"/>
  <c r="AD2703" i="30" s="1"/>
  <c r="AC2704" i="30"/>
  <c r="AD2704" i="30" s="1"/>
  <c r="AC2705" i="30"/>
  <c r="AD2705" i="30" s="1"/>
  <c r="AC2706" i="30"/>
  <c r="AD2706" i="30" s="1"/>
  <c r="AC2707" i="30"/>
  <c r="AD2707" i="30" s="1"/>
  <c r="AC2708" i="30"/>
  <c r="AD2708" i="30" s="1"/>
  <c r="AC2709" i="30"/>
  <c r="AD2709" i="30" s="1"/>
  <c r="AC2710" i="30"/>
  <c r="AD2710" i="30" s="1"/>
  <c r="AC2711" i="30"/>
  <c r="AD2711" i="30" s="1"/>
  <c r="AC2712" i="30"/>
  <c r="AD2712" i="30" s="1"/>
  <c r="AC2713" i="30"/>
  <c r="AD2713" i="30" s="1"/>
  <c r="AC2714" i="30"/>
  <c r="AD2714" i="30" s="1"/>
  <c r="AC2715" i="30"/>
  <c r="AD2715" i="30" s="1"/>
  <c r="AC2716" i="30"/>
  <c r="AD2716" i="30" s="1"/>
  <c r="AC2717" i="30"/>
  <c r="AD2717" i="30" s="1"/>
  <c r="AC2718" i="30"/>
  <c r="AD2718" i="30" s="1"/>
  <c r="AC2719" i="30"/>
  <c r="AD2719" i="30" s="1"/>
  <c r="AC2720" i="30"/>
  <c r="AD2720" i="30" s="1"/>
  <c r="AC2721" i="30"/>
  <c r="AD2721" i="30" s="1"/>
  <c r="AC2722" i="30"/>
  <c r="AD2722" i="30" s="1"/>
  <c r="AC2723" i="30"/>
  <c r="AD2723" i="30" s="1"/>
  <c r="AC2724" i="30"/>
  <c r="AD2724" i="30" s="1"/>
  <c r="AC2725" i="30"/>
  <c r="AD2725" i="30" s="1"/>
  <c r="AC2726" i="30"/>
  <c r="AD2726" i="30" s="1"/>
  <c r="AC2727" i="30"/>
  <c r="AD2727" i="30" s="1"/>
  <c r="AC2728" i="30"/>
  <c r="AD2728" i="30" s="1"/>
  <c r="AC2729" i="30"/>
  <c r="AD2729" i="30" s="1"/>
  <c r="AC2730" i="30"/>
  <c r="AD2730" i="30" s="1"/>
  <c r="AC2731" i="30"/>
  <c r="AD2731" i="30" s="1"/>
  <c r="AC2732" i="30"/>
  <c r="AD2732" i="30" s="1"/>
  <c r="AC2733" i="30"/>
  <c r="AD2733" i="30" s="1"/>
  <c r="AC2734" i="30"/>
  <c r="AD2734" i="30" s="1"/>
  <c r="AC2735" i="30"/>
  <c r="AD2735" i="30" s="1"/>
  <c r="AC2736" i="30"/>
  <c r="AD2736" i="30" s="1"/>
  <c r="AC2737" i="30"/>
  <c r="AD2737" i="30" s="1"/>
  <c r="AC2738" i="30"/>
  <c r="AD2738" i="30" s="1"/>
  <c r="AC2739" i="30"/>
  <c r="AD2739" i="30" s="1"/>
  <c r="AC2740" i="30"/>
  <c r="AD2740" i="30" s="1"/>
  <c r="AC2741" i="30"/>
  <c r="AD2741" i="30" s="1"/>
  <c r="AC2742" i="30"/>
  <c r="AD2742" i="30" s="1"/>
  <c r="AC2743" i="30"/>
  <c r="AD2743" i="30" s="1"/>
  <c r="AC2744" i="30"/>
  <c r="AD2744" i="30" s="1"/>
  <c r="AC2745" i="30"/>
  <c r="AD2745" i="30" s="1"/>
  <c r="AC2746" i="30"/>
  <c r="AD2746" i="30" s="1"/>
  <c r="AC2747" i="30"/>
  <c r="AD2747" i="30" s="1"/>
  <c r="AC2748" i="30"/>
  <c r="AD2748" i="30" s="1"/>
  <c r="AC2749" i="30"/>
  <c r="AD2749" i="30" s="1"/>
  <c r="AC2750" i="30"/>
  <c r="AD2750" i="30" s="1"/>
  <c r="AC2751" i="30"/>
  <c r="AD2751" i="30" s="1"/>
  <c r="AC2752" i="30"/>
  <c r="AD2752" i="30" s="1"/>
  <c r="AC2753" i="30"/>
  <c r="AD2753" i="30" s="1"/>
  <c r="AC2754" i="30"/>
  <c r="AD2754" i="30" s="1"/>
  <c r="AC2755" i="30"/>
  <c r="AD2755" i="30" s="1"/>
  <c r="AC2756" i="30"/>
  <c r="AD2756" i="30" s="1"/>
  <c r="AC2757" i="30"/>
  <c r="AD2757" i="30" s="1"/>
  <c r="AC2758" i="30"/>
  <c r="AD2758" i="30" s="1"/>
  <c r="AC2759" i="30"/>
  <c r="AD2759" i="30" s="1"/>
  <c r="AC2760" i="30"/>
  <c r="AD2760" i="30" s="1"/>
  <c r="AC2761" i="30"/>
  <c r="AD2761" i="30" s="1"/>
  <c r="AC2762" i="30"/>
  <c r="AD2762" i="30" s="1"/>
  <c r="AC2763" i="30"/>
  <c r="AD2763" i="30" s="1"/>
  <c r="AC2764" i="30"/>
  <c r="AD2764" i="30" s="1"/>
  <c r="AC2765" i="30"/>
  <c r="AD2765" i="30" s="1"/>
  <c r="AC2766" i="30"/>
  <c r="AD2766" i="30" s="1"/>
  <c r="AC2767" i="30"/>
  <c r="AD2767" i="30" s="1"/>
  <c r="AC2768" i="30"/>
  <c r="AD2768" i="30" s="1"/>
  <c r="AC2769" i="30"/>
  <c r="AD2769" i="30" s="1"/>
  <c r="AC2770" i="30"/>
  <c r="AD2770" i="30" s="1"/>
  <c r="AC2771" i="30"/>
  <c r="AD2771" i="30" s="1"/>
  <c r="AC2772" i="30"/>
  <c r="AD2772" i="30" s="1"/>
  <c r="AC2773" i="30"/>
  <c r="AD2773" i="30" s="1"/>
  <c r="AC2774" i="30"/>
  <c r="AD2774" i="30" s="1"/>
  <c r="AC2775" i="30"/>
  <c r="AD2775" i="30" s="1"/>
  <c r="AC2776" i="30"/>
  <c r="AD2776" i="30" s="1"/>
  <c r="AC2777" i="30"/>
  <c r="AD2777" i="30" s="1"/>
  <c r="AC2778" i="30"/>
  <c r="AD2778" i="30" s="1"/>
  <c r="AC2779" i="30"/>
  <c r="AD2779" i="30" s="1"/>
  <c r="AC2780" i="30"/>
  <c r="AD2780" i="30" s="1"/>
  <c r="AC2781" i="30"/>
  <c r="AD2781" i="30" s="1"/>
  <c r="AC2782" i="30"/>
  <c r="AD2782" i="30" s="1"/>
  <c r="AC2783" i="30"/>
  <c r="AD2783" i="30" s="1"/>
  <c r="AC2784" i="30"/>
  <c r="AD2784" i="30" s="1"/>
  <c r="AC2785" i="30"/>
  <c r="AD2785" i="30" s="1"/>
  <c r="AC2786" i="30"/>
  <c r="AD2786" i="30" s="1"/>
  <c r="AC2787" i="30"/>
  <c r="AD2787" i="30" s="1"/>
  <c r="AC2788" i="30"/>
  <c r="AD2788" i="30" s="1"/>
  <c r="AC2789" i="30"/>
  <c r="AD2789" i="30" s="1"/>
  <c r="AC2790" i="30"/>
  <c r="AD2790" i="30" s="1"/>
  <c r="AC2791" i="30"/>
  <c r="AD2791" i="30" s="1"/>
  <c r="AC2792" i="30"/>
  <c r="AD2792" i="30" s="1"/>
  <c r="AC2793" i="30"/>
  <c r="AD2793" i="30" s="1"/>
  <c r="AC2794" i="30"/>
  <c r="AD2794" i="30" s="1"/>
  <c r="AC2795" i="30"/>
  <c r="AD2795" i="30" s="1"/>
  <c r="AC2796" i="30"/>
  <c r="AD2796" i="30" s="1"/>
  <c r="AC2797" i="30"/>
  <c r="AD2797" i="30" s="1"/>
  <c r="AC2798" i="30"/>
  <c r="AD2798" i="30" s="1"/>
  <c r="AC2799" i="30"/>
  <c r="AD2799" i="30" s="1"/>
  <c r="AC2800" i="30"/>
  <c r="AD2800" i="30" s="1"/>
  <c r="AC2801" i="30"/>
  <c r="AD2801" i="30" s="1"/>
  <c r="AC2802" i="30"/>
  <c r="AD2802" i="30" s="1"/>
  <c r="AC2803" i="30"/>
  <c r="AD2803" i="30" s="1"/>
  <c r="AC2804" i="30"/>
  <c r="AD2804" i="30" s="1"/>
  <c r="AC2805" i="30"/>
  <c r="AD2805" i="30" s="1"/>
  <c r="AC2806" i="30"/>
  <c r="AD2806" i="30" s="1"/>
  <c r="AC2807" i="30"/>
  <c r="AD2807" i="30" s="1"/>
  <c r="AC2808" i="30"/>
  <c r="AD2808" i="30" s="1"/>
  <c r="AC2809" i="30"/>
  <c r="AD2809" i="30" s="1"/>
  <c r="AC2810" i="30"/>
  <c r="AD2810" i="30" s="1"/>
  <c r="AC2811" i="30"/>
  <c r="AD2811" i="30" s="1"/>
  <c r="AC2812" i="30"/>
  <c r="AD2812" i="30" s="1"/>
  <c r="AC2813" i="30"/>
  <c r="AD2813" i="30" s="1"/>
  <c r="AC2814" i="30"/>
  <c r="AD2814" i="30" s="1"/>
  <c r="AC2815" i="30"/>
  <c r="AD2815" i="30" s="1"/>
  <c r="AC2816" i="30"/>
  <c r="AD2816" i="30" s="1"/>
  <c r="AC2817" i="30"/>
  <c r="AD2817" i="30" s="1"/>
  <c r="AC2818" i="30"/>
  <c r="AD2818" i="30" s="1"/>
  <c r="AC2819" i="30"/>
  <c r="AD2819" i="30" s="1"/>
  <c r="AC2820" i="30"/>
  <c r="AD2820" i="30" s="1"/>
  <c r="AC2821" i="30"/>
  <c r="AD2821" i="30" s="1"/>
  <c r="AC2822" i="30"/>
  <c r="AD2822" i="30" s="1"/>
  <c r="AC2823" i="30"/>
  <c r="AD2823" i="30" s="1"/>
  <c r="AC2824" i="30"/>
  <c r="AD2824" i="30" s="1"/>
  <c r="AC2825" i="30"/>
  <c r="AD2825" i="30" s="1"/>
  <c r="AC2826" i="30"/>
  <c r="AD2826" i="30" s="1"/>
  <c r="AC2827" i="30"/>
  <c r="AD2827" i="30" s="1"/>
  <c r="AC2828" i="30"/>
  <c r="AD2828" i="30" s="1"/>
  <c r="AC2829" i="30"/>
  <c r="AD2829" i="30" s="1"/>
  <c r="AC2830" i="30"/>
  <c r="AD2830" i="30" s="1"/>
  <c r="AC2831" i="30"/>
  <c r="AD2831" i="30" s="1"/>
  <c r="AC2832" i="30"/>
  <c r="AD2832" i="30" s="1"/>
  <c r="AC2833" i="30"/>
  <c r="AD2833" i="30" s="1"/>
  <c r="AC2834" i="30"/>
  <c r="AD2834" i="30" s="1"/>
  <c r="AC2835" i="30"/>
  <c r="AD2835" i="30" s="1"/>
  <c r="AC2836" i="30"/>
  <c r="AD2836" i="30" s="1"/>
  <c r="AC2837" i="30"/>
  <c r="AD2837" i="30" s="1"/>
  <c r="AC2838" i="30"/>
  <c r="AD2838" i="30" s="1"/>
  <c r="AC2839" i="30"/>
  <c r="AD2839" i="30" s="1"/>
  <c r="AC2840" i="30"/>
  <c r="AD2840" i="30" s="1"/>
  <c r="AC2841" i="30"/>
  <c r="AD2841" i="30" s="1"/>
  <c r="AC2842" i="30"/>
  <c r="AD2842" i="30" s="1"/>
  <c r="AC2843" i="30"/>
  <c r="AD2843" i="30" s="1"/>
  <c r="AC2844" i="30"/>
  <c r="AD2844" i="30" s="1"/>
  <c r="AC2845" i="30"/>
  <c r="AD2845" i="30" s="1"/>
  <c r="AC2846" i="30"/>
  <c r="AD2846" i="30" s="1"/>
  <c r="AC2847" i="30"/>
  <c r="AD2847" i="30" s="1"/>
  <c r="AC2848" i="30"/>
  <c r="AD2848" i="30" s="1"/>
  <c r="AC2849" i="30"/>
  <c r="AD2849" i="30" s="1"/>
  <c r="AC2850" i="30"/>
  <c r="AD2850" i="30" s="1"/>
  <c r="AC2851" i="30"/>
  <c r="AD2851" i="30" s="1"/>
  <c r="AC2852" i="30"/>
  <c r="AD2852" i="30" s="1"/>
  <c r="AC2853" i="30"/>
  <c r="AD2853" i="30" s="1"/>
  <c r="AC2854" i="30"/>
  <c r="AD2854" i="30" s="1"/>
  <c r="AC2855" i="30"/>
  <c r="AD2855" i="30" s="1"/>
  <c r="AC2856" i="30"/>
  <c r="AD2856" i="30" s="1"/>
  <c r="AC2857" i="30"/>
  <c r="AD2857" i="30" s="1"/>
  <c r="AC2858" i="30"/>
  <c r="AD2858" i="30" s="1"/>
  <c r="AC2859" i="30"/>
  <c r="AD2859" i="30" s="1"/>
  <c r="AC2860" i="30"/>
  <c r="AD2860" i="30" s="1"/>
  <c r="AC2861" i="30"/>
  <c r="AD2861" i="30" s="1"/>
  <c r="AC2862" i="30"/>
  <c r="AD2862" i="30" s="1"/>
  <c r="AC2863" i="30"/>
  <c r="AD2863" i="30" s="1"/>
  <c r="AC2864" i="30"/>
  <c r="AD2864" i="30" s="1"/>
  <c r="AC2865" i="30"/>
  <c r="AD2865" i="30" s="1"/>
  <c r="AC2866" i="30"/>
  <c r="AD2866" i="30" s="1"/>
  <c r="AC2867" i="30"/>
  <c r="AD2867" i="30" s="1"/>
  <c r="AC2868" i="30"/>
  <c r="AD2868" i="30" s="1"/>
  <c r="AC2869" i="30"/>
  <c r="AD2869" i="30" s="1"/>
  <c r="AC2870" i="30"/>
  <c r="AD2870" i="30" s="1"/>
  <c r="AC2871" i="30"/>
  <c r="AD2871" i="30" s="1"/>
  <c r="AC2872" i="30"/>
  <c r="AD2872" i="30" s="1"/>
  <c r="AC2873" i="30"/>
  <c r="AD2873" i="30" s="1"/>
  <c r="AC2874" i="30"/>
  <c r="AD2874" i="30" s="1"/>
  <c r="AC2875" i="30"/>
  <c r="AD2875" i="30" s="1"/>
  <c r="AC2876" i="30"/>
  <c r="AD2876" i="30" s="1"/>
  <c r="AC2877" i="30"/>
  <c r="AD2877" i="30" s="1"/>
  <c r="AC2878" i="30"/>
  <c r="AD2878" i="30" s="1"/>
  <c r="AC2879" i="30"/>
  <c r="AD2879" i="30" s="1"/>
  <c r="AC2880" i="30"/>
  <c r="AD2880" i="30" s="1"/>
  <c r="AC2881" i="30"/>
  <c r="AD2881" i="30" s="1"/>
  <c r="AC2882" i="30"/>
  <c r="AD2882" i="30" s="1"/>
  <c r="AC2883" i="30"/>
  <c r="AD2883" i="30" s="1"/>
  <c r="AC2884" i="30"/>
  <c r="AD2884" i="30" s="1"/>
  <c r="AC2885" i="30"/>
  <c r="AD2885" i="30" s="1"/>
  <c r="AC2886" i="30"/>
  <c r="AD2886" i="30" s="1"/>
  <c r="AC2887" i="30"/>
  <c r="AD2887" i="30" s="1"/>
  <c r="AC2888" i="30"/>
  <c r="AD2888" i="30" s="1"/>
  <c r="AC2889" i="30"/>
  <c r="AD2889" i="30" s="1"/>
  <c r="AC2890" i="30"/>
  <c r="AD2890" i="30" s="1"/>
  <c r="AC2891" i="30"/>
  <c r="AD2891" i="30" s="1"/>
  <c r="AC2892" i="30"/>
  <c r="AD2892" i="30" s="1"/>
  <c r="AC2893" i="30"/>
  <c r="AD2893" i="30" s="1"/>
  <c r="AC2894" i="30"/>
  <c r="AD2894" i="30" s="1"/>
  <c r="AC2895" i="30"/>
  <c r="AD2895" i="30" s="1"/>
  <c r="AC2896" i="30"/>
  <c r="AD2896" i="30" s="1"/>
  <c r="AC2897" i="30"/>
  <c r="AD2897" i="30" s="1"/>
  <c r="AC2898" i="30"/>
  <c r="AD2898" i="30" s="1"/>
  <c r="AC2899" i="30"/>
  <c r="AD2899" i="30" s="1"/>
  <c r="AC2900" i="30"/>
  <c r="AD2900" i="30" s="1"/>
  <c r="AC2901" i="30"/>
  <c r="AD2901" i="30" s="1"/>
  <c r="AC2902" i="30"/>
  <c r="AD2902" i="30" s="1"/>
  <c r="AC2903" i="30"/>
  <c r="AD2903" i="30" s="1"/>
  <c r="AC2904" i="30"/>
  <c r="AD2904" i="30" s="1"/>
  <c r="AC2905" i="30"/>
  <c r="AD2905" i="30" s="1"/>
  <c r="AC2906" i="30"/>
  <c r="AD2906" i="30" s="1"/>
  <c r="AC2907" i="30"/>
  <c r="AD2907" i="30" s="1"/>
  <c r="AC2908" i="30"/>
  <c r="AD2908" i="30" s="1"/>
  <c r="AC2909" i="30"/>
  <c r="AD2909" i="30" s="1"/>
  <c r="AC2910" i="30"/>
  <c r="AD2910" i="30" s="1"/>
  <c r="AC2911" i="30"/>
  <c r="AD2911" i="30" s="1"/>
  <c r="AC2912" i="30"/>
  <c r="AD2912" i="30" s="1"/>
  <c r="AC2913" i="30"/>
  <c r="AD2913" i="30" s="1"/>
  <c r="AC2914" i="30"/>
  <c r="AD2914" i="30" s="1"/>
  <c r="AC2915" i="30"/>
  <c r="AD2915" i="30" s="1"/>
  <c r="AC2916" i="30"/>
  <c r="AD2916" i="30" s="1"/>
  <c r="AC2917" i="30"/>
  <c r="AD2917" i="30" s="1"/>
  <c r="AC2918" i="30"/>
  <c r="AD2918" i="30" s="1"/>
  <c r="AC2919" i="30"/>
  <c r="AD2919" i="30" s="1"/>
  <c r="AC2920" i="30"/>
  <c r="AD2920" i="30" s="1"/>
  <c r="AC2921" i="30"/>
  <c r="AD2921" i="30" s="1"/>
  <c r="AC2922" i="30"/>
  <c r="AD2922" i="30" s="1"/>
  <c r="AC2923" i="30"/>
  <c r="AD2923" i="30" s="1"/>
  <c r="AC2924" i="30"/>
  <c r="AD2924" i="30" s="1"/>
  <c r="AC2925" i="30"/>
  <c r="AD2925" i="30" s="1"/>
  <c r="AC2926" i="30"/>
  <c r="AD2926" i="30" s="1"/>
  <c r="AC2927" i="30"/>
  <c r="AD2927" i="30" s="1"/>
  <c r="AC2928" i="30"/>
  <c r="AD2928" i="30" s="1"/>
  <c r="AC2929" i="30"/>
  <c r="AD2929" i="30" s="1"/>
  <c r="AC2930" i="30"/>
  <c r="AD2930" i="30" s="1"/>
  <c r="AC2931" i="30"/>
  <c r="AD2931" i="30" s="1"/>
  <c r="AC2932" i="30"/>
  <c r="AD2932" i="30" s="1"/>
  <c r="AC2933" i="30"/>
  <c r="AD2933" i="30" s="1"/>
  <c r="AC2934" i="30"/>
  <c r="AD2934" i="30" s="1"/>
  <c r="AC2935" i="30"/>
  <c r="AD2935" i="30" s="1"/>
  <c r="AC2936" i="30"/>
  <c r="AD2936" i="30" s="1"/>
  <c r="AC2937" i="30"/>
  <c r="AD2937" i="30" s="1"/>
  <c r="AC2938" i="30"/>
  <c r="AD2938" i="30" s="1"/>
  <c r="AC2939" i="30"/>
  <c r="AD2939" i="30" s="1"/>
  <c r="AC2940" i="30"/>
  <c r="AD2940" i="30" s="1"/>
  <c r="AC2941" i="30"/>
  <c r="AD2941" i="30" s="1"/>
  <c r="AC2942" i="30"/>
  <c r="AD2942" i="30" s="1"/>
  <c r="AC2943" i="30"/>
  <c r="AD2943" i="30" s="1"/>
  <c r="AC2944" i="30"/>
  <c r="AD2944" i="30" s="1"/>
  <c r="AC2945" i="30"/>
  <c r="AD2945" i="30" s="1"/>
  <c r="AC2946" i="30"/>
  <c r="AD2946" i="30" s="1"/>
  <c r="AC2947" i="30"/>
  <c r="AD2947" i="30" s="1"/>
  <c r="AC2948" i="30"/>
  <c r="AD2948" i="30" s="1"/>
  <c r="AC2949" i="30"/>
  <c r="AD2949" i="30" s="1"/>
  <c r="AC2950" i="30"/>
  <c r="AD2950" i="30" s="1"/>
  <c r="AC2951" i="30"/>
  <c r="AD2951" i="30" s="1"/>
  <c r="AC2952" i="30"/>
  <c r="AD2952" i="30" s="1"/>
  <c r="AC2953" i="30"/>
  <c r="AD2953" i="30" s="1"/>
  <c r="AC2954" i="30"/>
  <c r="AD2954" i="30" s="1"/>
  <c r="AC2955" i="30"/>
  <c r="AD2955" i="30" s="1"/>
  <c r="AC2956" i="30"/>
  <c r="AD2956" i="30" s="1"/>
  <c r="AC2957" i="30"/>
  <c r="AD2957" i="30" s="1"/>
  <c r="AC2958" i="30"/>
  <c r="AD2958" i="30" s="1"/>
  <c r="AC2959" i="30"/>
  <c r="AD2959" i="30" s="1"/>
  <c r="AC2960" i="30"/>
  <c r="AD2960" i="30" s="1"/>
  <c r="AC2961" i="30"/>
  <c r="AD2961" i="30" s="1"/>
  <c r="AC2962" i="30"/>
  <c r="AD2962" i="30" s="1"/>
  <c r="AC2963" i="30"/>
  <c r="AD2963" i="30" s="1"/>
  <c r="AC2964" i="30"/>
  <c r="AD2964" i="30" s="1"/>
  <c r="AC2965" i="30"/>
  <c r="AD2965" i="30" s="1"/>
  <c r="AC2966" i="30"/>
  <c r="AD2966" i="30" s="1"/>
  <c r="AC2967" i="30"/>
  <c r="AD2967" i="30" s="1"/>
  <c r="AC2968" i="30"/>
  <c r="AD2968" i="30" s="1"/>
  <c r="AC2969" i="30"/>
  <c r="AD2969" i="30" s="1"/>
  <c r="AC2970" i="30"/>
  <c r="AD2970" i="30" s="1"/>
  <c r="AC2971" i="30"/>
  <c r="AD2971" i="30" s="1"/>
  <c r="AC2972" i="30"/>
  <c r="AD2972" i="30" s="1"/>
  <c r="AC2973" i="30"/>
  <c r="AD2973" i="30" s="1"/>
  <c r="AC2974" i="30"/>
  <c r="AD2974" i="30" s="1"/>
  <c r="AC2975" i="30"/>
  <c r="AD2975" i="30" s="1"/>
  <c r="AC2976" i="30"/>
  <c r="AD2976" i="30" s="1"/>
  <c r="AC2977" i="30"/>
  <c r="AD2977" i="30" s="1"/>
  <c r="AC2978" i="30"/>
  <c r="AD2978" i="30" s="1"/>
  <c r="AC2979" i="30"/>
  <c r="AD2979" i="30" s="1"/>
  <c r="AC2980" i="30"/>
  <c r="AD2980" i="30" s="1"/>
  <c r="AC2981" i="30"/>
  <c r="AD2981" i="30" s="1"/>
  <c r="AC2982" i="30"/>
  <c r="AD2982" i="30" s="1"/>
  <c r="AC2983" i="30"/>
  <c r="AD2983" i="30" s="1"/>
  <c r="AC2984" i="30"/>
  <c r="AD2984" i="30" s="1"/>
  <c r="AC2985" i="30"/>
  <c r="AD2985" i="30" s="1"/>
  <c r="AC2986" i="30"/>
  <c r="AD2986" i="30" s="1"/>
  <c r="AC2987" i="30"/>
  <c r="AD2987" i="30" s="1"/>
  <c r="AC2988" i="30"/>
  <c r="AD2988" i="30" s="1"/>
  <c r="AC2989" i="30"/>
  <c r="AD2989" i="30" s="1"/>
  <c r="AC2990" i="30"/>
  <c r="AD2990" i="30" s="1"/>
  <c r="AC2991" i="30"/>
  <c r="AD2991" i="30" s="1"/>
  <c r="AC2992" i="30"/>
  <c r="AD2992" i="30" s="1"/>
  <c r="AC2993" i="30"/>
  <c r="AD2993" i="30" s="1"/>
  <c r="AC2994" i="30"/>
  <c r="AD2994" i="30" s="1"/>
  <c r="AC2995" i="30"/>
  <c r="AD2995" i="30" s="1"/>
  <c r="AC2996" i="30"/>
  <c r="AD2996" i="30" s="1"/>
  <c r="AC2997" i="30"/>
  <c r="AD2997" i="30" s="1"/>
  <c r="AC2998" i="30"/>
  <c r="AD2998" i="30" s="1"/>
  <c r="AC2999" i="30"/>
  <c r="AD2999" i="30" s="1"/>
  <c r="AC3000" i="30"/>
  <c r="AD3000" i="30" s="1"/>
  <c r="AC3001" i="30"/>
  <c r="AD3001" i="30" s="1"/>
  <c r="AC3002" i="30"/>
  <c r="AD3002" i="30" s="1"/>
  <c r="AC3003" i="30"/>
  <c r="AD3003" i="30" s="1"/>
  <c r="AC3004" i="30"/>
  <c r="AD3004" i="30" s="1"/>
  <c r="AC3005" i="30"/>
  <c r="AD3005" i="30" s="1"/>
  <c r="AC3006" i="30"/>
  <c r="AD3006" i="30" s="1"/>
  <c r="AC3007" i="30"/>
  <c r="AD3007" i="30" s="1"/>
  <c r="AC3008" i="30"/>
  <c r="AD3008" i="30" s="1"/>
  <c r="AC3009" i="30"/>
  <c r="AD3009" i="30" s="1"/>
  <c r="AC3010" i="30"/>
  <c r="AD3010" i="30" s="1"/>
  <c r="AC3011" i="30"/>
  <c r="AD3011" i="30" s="1"/>
  <c r="AC3012" i="30"/>
  <c r="AD3012" i="30" s="1"/>
  <c r="AC3013" i="30"/>
  <c r="AD3013" i="30" s="1"/>
  <c r="AC3014" i="30"/>
  <c r="AD3014" i="30" s="1"/>
  <c r="AC3015" i="30"/>
  <c r="AD3015" i="30" s="1"/>
  <c r="AC3016" i="30"/>
  <c r="AD3016" i="30" s="1"/>
  <c r="AC3017" i="30"/>
  <c r="AD3017" i="30" s="1"/>
  <c r="AC3018" i="30"/>
  <c r="AD3018" i="30" s="1"/>
  <c r="AC3019" i="30"/>
  <c r="AD3019" i="30" s="1"/>
  <c r="AC3020" i="30"/>
  <c r="AD3020" i="30" s="1"/>
  <c r="AC3021" i="30"/>
  <c r="AD3021" i="30" s="1"/>
  <c r="AC3022" i="30"/>
  <c r="AD3022" i="30" s="1"/>
  <c r="AC3023" i="30"/>
  <c r="AD3023" i="30" s="1"/>
  <c r="AC3024" i="30"/>
  <c r="AD3024" i="30" s="1"/>
  <c r="AC3025" i="30"/>
  <c r="AD3025" i="30" s="1"/>
  <c r="AC3026" i="30"/>
  <c r="AD3026" i="30" s="1"/>
  <c r="AC3027" i="30"/>
  <c r="AD3027" i="30" s="1"/>
  <c r="AC3028" i="30"/>
  <c r="AD3028" i="30" s="1"/>
  <c r="AC3029" i="30"/>
  <c r="AD3029" i="30" s="1"/>
  <c r="AC3030" i="30"/>
  <c r="AD3030" i="30" s="1"/>
  <c r="AC3031" i="30"/>
  <c r="AD3031" i="30" s="1"/>
  <c r="AC3032" i="30"/>
  <c r="AD3032" i="30" s="1"/>
  <c r="AC3033" i="30"/>
  <c r="AD3033" i="30" s="1"/>
  <c r="AC3034" i="30"/>
  <c r="AD3034" i="30" s="1"/>
  <c r="AC3035" i="30"/>
  <c r="AD3035" i="30" s="1"/>
  <c r="AC3036" i="30"/>
  <c r="AD3036" i="30" s="1"/>
  <c r="AC3037" i="30"/>
  <c r="AD3037" i="30" s="1"/>
  <c r="AC3038" i="30"/>
  <c r="AD3038" i="30" s="1"/>
  <c r="AC3039" i="30"/>
  <c r="AD3039" i="30" s="1"/>
  <c r="AC3040" i="30"/>
  <c r="AD3040" i="30" s="1"/>
  <c r="AC3041" i="30"/>
  <c r="AD3041" i="30" s="1"/>
  <c r="AC3042" i="30"/>
  <c r="AD3042" i="30" s="1"/>
  <c r="AC3043" i="30"/>
  <c r="AD3043" i="30" s="1"/>
  <c r="AC3044" i="30"/>
  <c r="AD3044" i="30" s="1"/>
  <c r="AC3045" i="30"/>
  <c r="AD3045" i="30" s="1"/>
  <c r="AC3046" i="30"/>
  <c r="AD3046" i="30" s="1"/>
  <c r="AC3047" i="30"/>
  <c r="AD3047" i="30" s="1"/>
  <c r="AC3048" i="30"/>
  <c r="AD3048" i="30" s="1"/>
  <c r="AC3049" i="30"/>
  <c r="AD3049" i="30" s="1"/>
  <c r="AC3050" i="30"/>
  <c r="AD3050" i="30" s="1"/>
  <c r="AC3051" i="30"/>
  <c r="AD3051" i="30" s="1"/>
  <c r="AC3052" i="30"/>
  <c r="AD3052" i="30" s="1"/>
  <c r="AC3053" i="30"/>
  <c r="AD3053" i="30" s="1"/>
  <c r="AC3054" i="30"/>
  <c r="AD3054" i="30" s="1"/>
  <c r="AC3055" i="30"/>
  <c r="AD3055" i="30" s="1"/>
  <c r="AC3056" i="30"/>
  <c r="AD3056" i="30" s="1"/>
  <c r="AC3057" i="30"/>
  <c r="AD3057" i="30" s="1"/>
  <c r="AC3058" i="30"/>
  <c r="AD3058" i="30" s="1"/>
  <c r="AC3059" i="30"/>
  <c r="AD3059" i="30" s="1"/>
  <c r="AC3060" i="30"/>
  <c r="AD3060" i="30" s="1"/>
  <c r="AC3061" i="30"/>
  <c r="AD3061" i="30" s="1"/>
  <c r="AC3062" i="30"/>
  <c r="AD3062" i="30" s="1"/>
  <c r="AC3063" i="30"/>
  <c r="AD3063" i="30" s="1"/>
  <c r="AC3064" i="30"/>
  <c r="AD3064" i="30" s="1"/>
  <c r="AC3065" i="30"/>
  <c r="AD3065" i="30" s="1"/>
  <c r="AC3066" i="30"/>
  <c r="AD3066" i="30" s="1"/>
  <c r="AC3067" i="30"/>
  <c r="AD3067" i="30" s="1"/>
  <c r="AC3068" i="30"/>
  <c r="AD3068" i="30" s="1"/>
  <c r="AC3069" i="30"/>
  <c r="AD3069" i="30" s="1"/>
  <c r="AC3070" i="30"/>
  <c r="AD3070" i="30" s="1"/>
  <c r="AC3071" i="30"/>
  <c r="AD3071" i="30" s="1"/>
  <c r="AC3072" i="30"/>
  <c r="AD3072" i="30" s="1"/>
  <c r="AC3073" i="30"/>
  <c r="AD3073" i="30" s="1"/>
  <c r="AC3074" i="30"/>
  <c r="AD3074" i="30" s="1"/>
  <c r="AC3075" i="30"/>
  <c r="AD3075" i="30" s="1"/>
  <c r="AC3076" i="30"/>
  <c r="AD3076" i="30" s="1"/>
  <c r="AC3077" i="30"/>
  <c r="AD3077" i="30" s="1"/>
  <c r="AC3078" i="30"/>
  <c r="AD3078" i="30" s="1"/>
  <c r="AC3079" i="30"/>
  <c r="AD3079" i="30" s="1"/>
  <c r="AC3080" i="30"/>
  <c r="AD3080" i="30" s="1"/>
  <c r="AC3081" i="30"/>
  <c r="AD3081" i="30" s="1"/>
  <c r="AC3082" i="30"/>
  <c r="AD3082" i="30" s="1"/>
  <c r="AC3083" i="30"/>
  <c r="AD3083" i="30" s="1"/>
  <c r="AC3084" i="30"/>
  <c r="AD3084" i="30" s="1"/>
  <c r="AC3085" i="30"/>
  <c r="AD3085" i="30" s="1"/>
  <c r="AC3086" i="30"/>
  <c r="AD3086" i="30" s="1"/>
  <c r="AC3087" i="30"/>
  <c r="AD3087" i="30" s="1"/>
  <c r="AC3088" i="30"/>
  <c r="AD3088" i="30" s="1"/>
  <c r="AC3089" i="30"/>
  <c r="AD3089" i="30" s="1"/>
  <c r="AC3090" i="30"/>
  <c r="AD3090" i="30" s="1"/>
  <c r="AC3091" i="30"/>
  <c r="AD3091" i="30" s="1"/>
  <c r="AC3092" i="30"/>
  <c r="AD3092" i="30" s="1"/>
  <c r="AC3093" i="30"/>
  <c r="AD3093" i="30" s="1"/>
  <c r="AC3094" i="30"/>
  <c r="AD3094" i="30" s="1"/>
  <c r="AC3095" i="30"/>
  <c r="AD3095" i="30" s="1"/>
  <c r="AC3096" i="30"/>
  <c r="AD3096" i="30" s="1"/>
  <c r="AC3097" i="30"/>
  <c r="AD3097" i="30" s="1"/>
  <c r="AC3098" i="30"/>
  <c r="AD3098" i="30" s="1"/>
  <c r="AC3099" i="30"/>
  <c r="AD3099" i="30" s="1"/>
  <c r="AC3100" i="30"/>
  <c r="AD3100" i="30" s="1"/>
  <c r="AC3101" i="30"/>
  <c r="AD3101" i="30" s="1"/>
  <c r="AC3102" i="30"/>
  <c r="AD3102" i="30" s="1"/>
  <c r="AC3103" i="30"/>
  <c r="AD3103" i="30" s="1"/>
  <c r="AC3104" i="30"/>
  <c r="AD3104" i="30" s="1"/>
  <c r="AC3105" i="30"/>
  <c r="AD3105" i="30" s="1"/>
  <c r="AC3106" i="30"/>
  <c r="AD3106" i="30" s="1"/>
  <c r="AC3107" i="30"/>
  <c r="AD3107" i="30" s="1"/>
  <c r="AC3108" i="30"/>
  <c r="AD3108" i="30" s="1"/>
  <c r="AC3109" i="30"/>
  <c r="AD3109" i="30" s="1"/>
  <c r="AC3110" i="30"/>
  <c r="AD3110" i="30" s="1"/>
  <c r="AC3111" i="30"/>
  <c r="AD3111" i="30" s="1"/>
  <c r="AC3112" i="30"/>
  <c r="AD3112" i="30" s="1"/>
  <c r="AC3113" i="30"/>
  <c r="AD3113" i="30" s="1"/>
  <c r="AC3114" i="30"/>
  <c r="AD3114" i="30" s="1"/>
  <c r="AC3115" i="30"/>
  <c r="AD3115" i="30" s="1"/>
  <c r="AC3116" i="30"/>
  <c r="AD3116" i="30" s="1"/>
  <c r="AC3117" i="30"/>
  <c r="AD3117" i="30" s="1"/>
  <c r="AC3118" i="30"/>
  <c r="AD3118" i="30" s="1"/>
  <c r="AC3119" i="30"/>
  <c r="AD3119" i="30" s="1"/>
  <c r="AC3120" i="30"/>
  <c r="AD3120" i="30" s="1"/>
  <c r="AC3121" i="30"/>
  <c r="AD3121" i="30" s="1"/>
  <c r="AC3122" i="30"/>
  <c r="AD3122" i="30" s="1"/>
  <c r="AC3123" i="30"/>
  <c r="AD3123" i="30" s="1"/>
  <c r="AC3124" i="30"/>
  <c r="AD3124" i="30" s="1"/>
  <c r="AC3125" i="30"/>
  <c r="AD3125" i="30" s="1"/>
  <c r="AC3126" i="30"/>
  <c r="AD3126" i="30" s="1"/>
  <c r="AC3127" i="30"/>
  <c r="AD3127" i="30" s="1"/>
  <c r="AC3128" i="30"/>
  <c r="AD3128" i="30" s="1"/>
  <c r="AC3129" i="30"/>
  <c r="AD3129" i="30" s="1"/>
  <c r="AC3130" i="30"/>
  <c r="AD3130" i="30" s="1"/>
  <c r="AC3131" i="30"/>
  <c r="AD3131" i="30" s="1"/>
  <c r="AC3132" i="30"/>
  <c r="AD3132" i="30" s="1"/>
  <c r="AC3133" i="30"/>
  <c r="AD3133" i="30" s="1"/>
  <c r="AC3134" i="30"/>
  <c r="AD3134" i="30" s="1"/>
  <c r="AC3135" i="30"/>
  <c r="AD3135" i="30" s="1"/>
  <c r="AC3136" i="30"/>
  <c r="AD3136" i="30" s="1"/>
  <c r="AC3137" i="30"/>
  <c r="AD3137" i="30" s="1"/>
  <c r="AC3138" i="30"/>
  <c r="AD3138" i="30" s="1"/>
  <c r="AC3139" i="30"/>
  <c r="AD3139" i="30" s="1"/>
  <c r="AC3140" i="30"/>
  <c r="AD3140" i="30" s="1"/>
  <c r="AC3141" i="30"/>
  <c r="AD3141" i="30" s="1"/>
  <c r="AC3142" i="30"/>
  <c r="AD3142" i="30" s="1"/>
  <c r="AC3143" i="30"/>
  <c r="AD3143" i="30" s="1"/>
  <c r="AC3144" i="30"/>
  <c r="AD3144" i="30" s="1"/>
  <c r="AC3145" i="30"/>
  <c r="AD3145" i="30" s="1"/>
  <c r="AC3146" i="30"/>
  <c r="AD3146" i="30" s="1"/>
  <c r="AC3147" i="30"/>
  <c r="AD3147" i="30" s="1"/>
  <c r="AC3148" i="30"/>
  <c r="AD3148" i="30" s="1"/>
  <c r="AC3149" i="30"/>
  <c r="AD3149" i="30" s="1"/>
  <c r="AC3150" i="30"/>
  <c r="AD3150" i="30" s="1"/>
  <c r="AC3151" i="30"/>
  <c r="AD3151" i="30" s="1"/>
  <c r="AC3152" i="30"/>
  <c r="AD3152" i="30" s="1"/>
  <c r="AC3153" i="30"/>
  <c r="AD3153" i="30" s="1"/>
  <c r="AC3154" i="30"/>
  <c r="AD3154" i="30" s="1"/>
  <c r="AC3155" i="30"/>
  <c r="AD3155" i="30" s="1"/>
  <c r="AC3156" i="30"/>
  <c r="AD3156" i="30" s="1"/>
  <c r="AC3157" i="30"/>
  <c r="AD3157" i="30" s="1"/>
  <c r="AC3158" i="30"/>
  <c r="AD3158" i="30" s="1"/>
  <c r="AC3159" i="30"/>
  <c r="AD3159" i="30" s="1"/>
  <c r="AC3160" i="30"/>
  <c r="AD3160" i="30" s="1"/>
  <c r="AC3161" i="30"/>
  <c r="AD3161" i="30" s="1"/>
  <c r="AC3162" i="30"/>
  <c r="AD3162" i="30" s="1"/>
  <c r="AC3163" i="30"/>
  <c r="AD3163" i="30" s="1"/>
  <c r="AC3164" i="30"/>
  <c r="AD3164" i="30" s="1"/>
  <c r="AC3165" i="30"/>
  <c r="AD3165" i="30" s="1"/>
  <c r="AC3166" i="30"/>
  <c r="AD3166" i="30" s="1"/>
  <c r="AC3167" i="30"/>
  <c r="AD3167" i="30" s="1"/>
  <c r="AC3168" i="30"/>
  <c r="AD3168" i="30" s="1"/>
  <c r="AC3169" i="30"/>
  <c r="AD3169" i="30" s="1"/>
  <c r="AC3170" i="30"/>
  <c r="AD3170" i="30" s="1"/>
  <c r="AC3171" i="30"/>
  <c r="AD3171" i="30" s="1"/>
  <c r="AC3172" i="30"/>
  <c r="AD3172" i="30" s="1"/>
  <c r="AC3173" i="30"/>
  <c r="AD3173" i="30" s="1"/>
  <c r="AC3174" i="30"/>
  <c r="AD3174" i="30" s="1"/>
  <c r="AC3175" i="30"/>
  <c r="AD3175" i="30" s="1"/>
  <c r="AC3176" i="30"/>
  <c r="AD3176" i="30" s="1"/>
  <c r="AC3177" i="30"/>
  <c r="AD3177" i="30" s="1"/>
  <c r="AC3178" i="30"/>
  <c r="AD3178" i="30" s="1"/>
  <c r="AC3179" i="30"/>
  <c r="AD3179" i="30" s="1"/>
  <c r="AC3180" i="30"/>
  <c r="AD3180" i="30" s="1"/>
  <c r="AC3181" i="30"/>
  <c r="AD3181" i="30" s="1"/>
  <c r="AC3182" i="30"/>
  <c r="AD3182" i="30" s="1"/>
  <c r="AC3183" i="30"/>
  <c r="AD3183" i="30" s="1"/>
  <c r="AC3184" i="30"/>
  <c r="AD3184" i="30" s="1"/>
  <c r="AC3185" i="30"/>
  <c r="AD3185" i="30" s="1"/>
  <c r="AC3186" i="30"/>
  <c r="AD3186" i="30" s="1"/>
  <c r="AC3187" i="30"/>
  <c r="AD3187" i="30" s="1"/>
  <c r="AC3188" i="30"/>
  <c r="AD3188" i="30" s="1"/>
  <c r="AC3189" i="30"/>
  <c r="AD3189" i="30" s="1"/>
  <c r="AC3190" i="30"/>
  <c r="AD3190" i="30" s="1"/>
  <c r="AC3191" i="30"/>
  <c r="AD3191" i="30" s="1"/>
  <c r="AC3192" i="30"/>
  <c r="AD3192" i="30" s="1"/>
  <c r="AC3193" i="30"/>
  <c r="AD3193" i="30" s="1"/>
  <c r="AC3194" i="30"/>
  <c r="AD3194" i="30" s="1"/>
  <c r="AC3195" i="30"/>
  <c r="AD3195" i="30" s="1"/>
  <c r="AC3196" i="30"/>
  <c r="AD3196" i="30" s="1"/>
  <c r="AC3197" i="30"/>
  <c r="AD3197" i="30" s="1"/>
  <c r="AC3198" i="30"/>
  <c r="AD3198" i="30" s="1"/>
  <c r="AC3199" i="30"/>
  <c r="AD3199" i="30" s="1"/>
  <c r="AC3200" i="30"/>
  <c r="AD3200" i="30" s="1"/>
  <c r="AC3201" i="30"/>
  <c r="AD3201" i="30" s="1"/>
  <c r="AC3202" i="30"/>
  <c r="AD3202" i="30" s="1"/>
  <c r="AC3203" i="30"/>
  <c r="AD3203" i="30" s="1"/>
  <c r="AC3204" i="30"/>
  <c r="AD3204" i="30" s="1"/>
  <c r="AC3205" i="30"/>
  <c r="AD3205" i="30" s="1"/>
  <c r="AC3206" i="30"/>
  <c r="AD3206" i="30" s="1"/>
  <c r="AC3207" i="30"/>
  <c r="AD3207" i="30" s="1"/>
  <c r="AC3208" i="30"/>
  <c r="AD3208" i="30" s="1"/>
  <c r="AC3209" i="30"/>
  <c r="AD3209" i="30" s="1"/>
  <c r="AC3210" i="30"/>
  <c r="AD3210" i="30" s="1"/>
  <c r="AC3211" i="30"/>
  <c r="AD3211" i="30" s="1"/>
  <c r="AC3212" i="30"/>
  <c r="AD3212" i="30" s="1"/>
  <c r="AC3213" i="30"/>
  <c r="AD3213" i="30" s="1"/>
  <c r="AC3214" i="30"/>
  <c r="AD3214" i="30" s="1"/>
  <c r="AC3215" i="30"/>
  <c r="AD3215" i="30" s="1"/>
  <c r="AC3216" i="30"/>
  <c r="AD3216" i="30" s="1"/>
  <c r="AC3217" i="30"/>
  <c r="AD3217" i="30" s="1"/>
  <c r="AC3218" i="30"/>
  <c r="AD3218" i="30" s="1"/>
  <c r="AC3219" i="30"/>
  <c r="AD3219" i="30" s="1"/>
  <c r="AC3220" i="30"/>
  <c r="AD3220" i="30" s="1"/>
  <c r="AC3221" i="30"/>
  <c r="AD3221" i="30" s="1"/>
  <c r="AC3222" i="30"/>
  <c r="AD3222" i="30" s="1"/>
  <c r="AC3223" i="30"/>
  <c r="AD3223" i="30" s="1"/>
  <c r="AC3224" i="30"/>
  <c r="AD3224" i="30" s="1"/>
  <c r="AC3225" i="30"/>
  <c r="AD3225" i="30" s="1"/>
  <c r="AC3226" i="30"/>
  <c r="AD3226" i="30" s="1"/>
  <c r="AC3227" i="30"/>
  <c r="AD3227" i="30" s="1"/>
  <c r="AC3228" i="30"/>
  <c r="AD3228" i="30" s="1"/>
  <c r="AC3229" i="30"/>
  <c r="AD3229" i="30" s="1"/>
  <c r="AC3230" i="30"/>
  <c r="AD3230" i="30" s="1"/>
  <c r="AC3231" i="30"/>
  <c r="AD3231" i="30" s="1"/>
  <c r="AC3232" i="30"/>
  <c r="AD3232" i="30" s="1"/>
  <c r="AC3233" i="30"/>
  <c r="AD3233" i="30" s="1"/>
  <c r="AC3234" i="30"/>
  <c r="AD3234" i="30" s="1"/>
  <c r="AC3235" i="30"/>
  <c r="AD3235" i="30" s="1"/>
  <c r="AC3236" i="30"/>
  <c r="AD3236" i="30" s="1"/>
  <c r="AC3237" i="30"/>
  <c r="AD3237" i="30" s="1"/>
  <c r="AC3238" i="30"/>
  <c r="AD3238" i="30" s="1"/>
  <c r="AC3239" i="30"/>
  <c r="AD3239" i="30" s="1"/>
  <c r="AC3240" i="30"/>
  <c r="AD3240" i="30" s="1"/>
  <c r="AC3241" i="30"/>
  <c r="AD3241" i="30" s="1"/>
  <c r="AC3242" i="30"/>
  <c r="AD3242" i="30" s="1"/>
  <c r="AC3243" i="30"/>
  <c r="AD3243" i="30" s="1"/>
  <c r="AC3244" i="30"/>
  <c r="AD3244" i="30" s="1"/>
  <c r="AC3245" i="30"/>
  <c r="AD3245" i="30" s="1"/>
  <c r="AC3246" i="30"/>
  <c r="AD3246" i="30" s="1"/>
  <c r="AC3247" i="30"/>
  <c r="AD3247" i="30" s="1"/>
  <c r="AC3248" i="30"/>
  <c r="AD3248" i="30" s="1"/>
  <c r="AC3249" i="30"/>
  <c r="AD3249" i="30" s="1"/>
  <c r="AC3250" i="30"/>
  <c r="AD3250" i="30" s="1"/>
  <c r="AC3251" i="30"/>
  <c r="AD3251" i="30" s="1"/>
  <c r="AC3252" i="30"/>
  <c r="AD3252" i="30" s="1"/>
  <c r="AC3253" i="30"/>
  <c r="AD3253" i="30" s="1"/>
  <c r="AC3254" i="30"/>
  <c r="AD3254" i="30" s="1"/>
  <c r="AC3255" i="30"/>
  <c r="AD3255" i="30" s="1"/>
  <c r="AC3256" i="30"/>
  <c r="AD3256" i="30" s="1"/>
  <c r="AC3257" i="30"/>
  <c r="AD3257" i="30" s="1"/>
  <c r="AC3258" i="30"/>
  <c r="AD3258" i="30" s="1"/>
  <c r="AC3259" i="30"/>
  <c r="AD3259" i="30" s="1"/>
  <c r="AC3260" i="30"/>
  <c r="AD3260" i="30" s="1"/>
  <c r="AC3261" i="30"/>
  <c r="AD3261" i="30" s="1"/>
  <c r="AC3262" i="30"/>
  <c r="AD3262" i="30" s="1"/>
  <c r="AC3263" i="30"/>
  <c r="AD3263" i="30" s="1"/>
  <c r="AC3264" i="30"/>
  <c r="AD3264" i="30" s="1"/>
  <c r="AC3265" i="30"/>
  <c r="AD3265" i="30" s="1"/>
  <c r="AC3266" i="30"/>
  <c r="AD3266" i="30" s="1"/>
  <c r="AC3267" i="30"/>
  <c r="AD3267" i="30" s="1"/>
  <c r="AC3268" i="30"/>
  <c r="AD3268" i="30" s="1"/>
  <c r="AC3269" i="30"/>
  <c r="AD3269" i="30" s="1"/>
  <c r="AC3270" i="30"/>
  <c r="AD3270" i="30" s="1"/>
  <c r="AC3271" i="30"/>
  <c r="AD3271" i="30" s="1"/>
  <c r="AC3272" i="30"/>
  <c r="AD3272" i="30" s="1"/>
  <c r="AC3273" i="30"/>
  <c r="AD3273" i="30" s="1"/>
  <c r="AC3274" i="30"/>
  <c r="AD3274" i="30" s="1"/>
  <c r="AC3275" i="30"/>
  <c r="AD3275" i="30" s="1"/>
  <c r="AC3276" i="30"/>
  <c r="AD3276" i="30" s="1"/>
  <c r="AC3277" i="30"/>
  <c r="AD3277" i="30" s="1"/>
  <c r="AC3278" i="30"/>
  <c r="AD3278" i="30" s="1"/>
  <c r="AC3279" i="30"/>
  <c r="AD3279" i="30" s="1"/>
  <c r="AC3280" i="30"/>
  <c r="AD3280" i="30" s="1"/>
  <c r="AC3281" i="30"/>
  <c r="AD3281" i="30" s="1"/>
  <c r="AC3282" i="30"/>
  <c r="AD3282" i="30" s="1"/>
  <c r="AC3283" i="30"/>
  <c r="AD3283" i="30" s="1"/>
  <c r="AC3284" i="30"/>
  <c r="AD3284" i="30" s="1"/>
  <c r="AC3285" i="30"/>
  <c r="AD3285" i="30" s="1"/>
  <c r="AC3286" i="30"/>
  <c r="AD3286" i="30" s="1"/>
  <c r="AC3287" i="30"/>
  <c r="AD3287" i="30" s="1"/>
  <c r="AC3288" i="30"/>
  <c r="AD3288" i="30" s="1"/>
  <c r="AC3289" i="30"/>
  <c r="AD3289" i="30" s="1"/>
  <c r="AC3290" i="30"/>
  <c r="AD3290" i="30" s="1"/>
  <c r="AC3291" i="30"/>
  <c r="AD3291" i="30" s="1"/>
  <c r="AC3292" i="30"/>
  <c r="AD3292" i="30" s="1"/>
  <c r="AC3293" i="30"/>
  <c r="AD3293" i="30" s="1"/>
  <c r="AC3294" i="30"/>
  <c r="AD3294" i="30" s="1"/>
  <c r="AC3295" i="30"/>
  <c r="AD3295" i="30" s="1"/>
  <c r="AC3296" i="30"/>
  <c r="AD3296" i="30" s="1"/>
  <c r="AC3297" i="30"/>
  <c r="AD3297" i="30" s="1"/>
  <c r="AC3298" i="30"/>
  <c r="AD3298" i="30" s="1"/>
  <c r="AC3299" i="30"/>
  <c r="AD3299" i="30" s="1"/>
  <c r="AC3300" i="30"/>
  <c r="AD3300" i="30" s="1"/>
  <c r="AC3301" i="30"/>
  <c r="AD3301" i="30" s="1"/>
  <c r="AC3302" i="30"/>
  <c r="AD3302" i="30" s="1"/>
  <c r="AC3303" i="30"/>
  <c r="AD3303" i="30" s="1"/>
  <c r="AC3304" i="30"/>
  <c r="AD3304" i="30" s="1"/>
  <c r="AC3305" i="30"/>
  <c r="AD3305" i="30" s="1"/>
  <c r="AC3306" i="30"/>
  <c r="AD3306" i="30" s="1"/>
  <c r="AC3307" i="30"/>
  <c r="AD3307" i="30" s="1"/>
  <c r="AC3308" i="30"/>
  <c r="AD3308" i="30" s="1"/>
  <c r="AC3309" i="30"/>
  <c r="AD3309" i="30" s="1"/>
  <c r="AC3310" i="30"/>
  <c r="AD3310" i="30" s="1"/>
  <c r="AC3311" i="30"/>
  <c r="AD3311" i="30" s="1"/>
  <c r="AC3312" i="30"/>
  <c r="AD3312" i="30" s="1"/>
  <c r="AC3313" i="30"/>
  <c r="AD3313" i="30" s="1"/>
  <c r="AC3314" i="30"/>
  <c r="AD3314" i="30" s="1"/>
  <c r="AC3315" i="30"/>
  <c r="AD3315" i="30" s="1"/>
  <c r="AC3316" i="30"/>
  <c r="AD3316" i="30" s="1"/>
  <c r="AC3317" i="30"/>
  <c r="AD3317" i="30" s="1"/>
  <c r="AC3318" i="30"/>
  <c r="AD3318" i="30" s="1"/>
  <c r="AC3319" i="30"/>
  <c r="AD3319" i="30" s="1"/>
  <c r="AC3320" i="30"/>
  <c r="AD3320" i="30" s="1"/>
  <c r="AC3321" i="30"/>
  <c r="AD3321" i="30" s="1"/>
  <c r="AC3322" i="30"/>
  <c r="AD3322" i="30" s="1"/>
  <c r="AC3323" i="30"/>
  <c r="AD3323" i="30" s="1"/>
  <c r="AC3324" i="30"/>
  <c r="AD3324" i="30" s="1"/>
  <c r="AC3325" i="30"/>
  <c r="AD3325" i="30" s="1"/>
  <c r="AC3326" i="30"/>
  <c r="AD3326" i="30" s="1"/>
  <c r="AC3327" i="30"/>
  <c r="AD3327" i="30" s="1"/>
  <c r="AC3328" i="30"/>
  <c r="AD3328" i="30" s="1"/>
  <c r="AC3329" i="30"/>
  <c r="AD3329" i="30" s="1"/>
  <c r="AC3330" i="30"/>
  <c r="AD3330" i="30" s="1"/>
  <c r="AC3331" i="30"/>
  <c r="AD3331" i="30" s="1"/>
  <c r="AC3332" i="30"/>
  <c r="AD3332" i="30" s="1"/>
  <c r="AC3333" i="30"/>
  <c r="AD3333" i="30" s="1"/>
  <c r="AC3334" i="30"/>
  <c r="AD3334" i="30" s="1"/>
  <c r="AC3335" i="30"/>
  <c r="AD3335" i="30" s="1"/>
  <c r="AC3336" i="30"/>
  <c r="AD3336" i="30" s="1"/>
  <c r="AC3337" i="30"/>
  <c r="AD3337" i="30" s="1"/>
  <c r="AC3338" i="30"/>
  <c r="AD3338" i="30" s="1"/>
  <c r="AC3339" i="30"/>
  <c r="AD3339" i="30" s="1"/>
  <c r="AC3340" i="30"/>
  <c r="AD3340" i="30" s="1"/>
  <c r="AC3341" i="30"/>
  <c r="AD3341" i="30" s="1"/>
  <c r="AC3342" i="30"/>
  <c r="AD3342" i="30" s="1"/>
  <c r="AC3343" i="30"/>
  <c r="AD3343" i="30" s="1"/>
  <c r="AC3344" i="30"/>
  <c r="AD3344" i="30" s="1"/>
  <c r="AC3345" i="30"/>
  <c r="AD3345" i="30" s="1"/>
  <c r="AC3346" i="30"/>
  <c r="AD3346" i="30" s="1"/>
  <c r="AC3347" i="30"/>
  <c r="AD3347" i="30" s="1"/>
  <c r="AC3348" i="30"/>
  <c r="AD3348" i="30" s="1"/>
  <c r="AC3349" i="30"/>
  <c r="AD3349" i="30" s="1"/>
  <c r="AC3350" i="30"/>
  <c r="AD3350" i="30" s="1"/>
  <c r="AC3351" i="30"/>
  <c r="AD3351" i="30" s="1"/>
  <c r="AC3352" i="30"/>
  <c r="AD3352" i="30" s="1"/>
  <c r="AC3353" i="30"/>
  <c r="AD3353" i="30" s="1"/>
  <c r="AC3354" i="30"/>
  <c r="AD3354" i="30" s="1"/>
  <c r="AC3355" i="30"/>
  <c r="AD3355" i="30" s="1"/>
  <c r="AC3356" i="30"/>
  <c r="AD3356" i="30" s="1"/>
  <c r="AC3357" i="30"/>
  <c r="AD3357" i="30" s="1"/>
  <c r="AC3358" i="30"/>
  <c r="AD3358" i="30" s="1"/>
  <c r="AC3359" i="30"/>
  <c r="AD3359" i="30" s="1"/>
  <c r="AC3360" i="30"/>
  <c r="AD3360" i="30" s="1"/>
  <c r="AC3361" i="30"/>
  <c r="AD3361" i="30" s="1"/>
  <c r="AC3362" i="30"/>
  <c r="AD3362" i="30" s="1"/>
  <c r="AC3363" i="30"/>
  <c r="AD3363" i="30" s="1"/>
  <c r="AC3364" i="30"/>
  <c r="AD3364" i="30" s="1"/>
  <c r="AC3365" i="30"/>
  <c r="AD3365" i="30" s="1"/>
  <c r="AC3366" i="30"/>
  <c r="AD3366" i="30" s="1"/>
  <c r="AC3367" i="30"/>
  <c r="AD3367" i="30" s="1"/>
  <c r="AC3368" i="30"/>
  <c r="AD3368" i="30" s="1"/>
  <c r="AC3369" i="30"/>
  <c r="AD3369" i="30" s="1"/>
  <c r="AC3370" i="30"/>
  <c r="AD3370" i="30" s="1"/>
  <c r="AC3371" i="30"/>
  <c r="AD3371" i="30" s="1"/>
  <c r="AC3372" i="30"/>
  <c r="AD3372" i="30" s="1"/>
  <c r="AC3373" i="30"/>
  <c r="AD3373" i="30" s="1"/>
  <c r="AC3374" i="30"/>
  <c r="AD3374" i="30" s="1"/>
  <c r="AC3375" i="30"/>
  <c r="AD3375" i="30" s="1"/>
  <c r="AC3376" i="30"/>
  <c r="AD3376" i="30" s="1"/>
  <c r="AC3377" i="30"/>
  <c r="AD3377" i="30" s="1"/>
  <c r="AC3378" i="30"/>
  <c r="AD3378" i="30" s="1"/>
  <c r="AC3379" i="30"/>
  <c r="AD3379" i="30" s="1"/>
  <c r="AC3380" i="30"/>
  <c r="AD3380" i="30" s="1"/>
  <c r="AC3381" i="30"/>
  <c r="AD3381" i="30" s="1"/>
  <c r="AC3382" i="30"/>
  <c r="AD3382" i="30" s="1"/>
  <c r="AC3383" i="30"/>
  <c r="AD3383" i="30" s="1"/>
  <c r="AC3384" i="30"/>
  <c r="AD3384" i="30" s="1"/>
  <c r="AC3385" i="30"/>
  <c r="AD3385" i="30" s="1"/>
  <c r="AC3386" i="30"/>
  <c r="AD3386" i="30" s="1"/>
  <c r="AC3387" i="30"/>
  <c r="AD3387" i="30" s="1"/>
  <c r="AC3388" i="30"/>
  <c r="AD3388" i="30" s="1"/>
  <c r="AC3389" i="30"/>
  <c r="AD3389" i="30" s="1"/>
  <c r="AC3390" i="30"/>
  <c r="AD3390" i="30" s="1"/>
  <c r="AC3391" i="30"/>
  <c r="AD3391" i="30" s="1"/>
  <c r="AC3392" i="30"/>
  <c r="AD3392" i="30" s="1"/>
  <c r="AC3393" i="30"/>
  <c r="AD3393" i="30" s="1"/>
  <c r="AC3394" i="30"/>
  <c r="AD3394" i="30" s="1"/>
  <c r="AC3395" i="30"/>
  <c r="AD3395" i="30" s="1"/>
  <c r="AC3396" i="30"/>
  <c r="AD3396" i="30" s="1"/>
  <c r="AC3397" i="30"/>
  <c r="AD3397" i="30" s="1"/>
  <c r="AC3398" i="30"/>
  <c r="AD3398" i="30" s="1"/>
  <c r="AC3399" i="30"/>
  <c r="AD3399" i="30" s="1"/>
  <c r="AC3400" i="30"/>
  <c r="AD3400" i="30" s="1"/>
  <c r="AC3401" i="30"/>
  <c r="AD3401" i="30" s="1"/>
  <c r="AC3402" i="30"/>
  <c r="AD3402" i="30" s="1"/>
  <c r="AC3403" i="30"/>
  <c r="AD3403" i="30" s="1"/>
  <c r="AC3404" i="30"/>
  <c r="AD3404" i="30" s="1"/>
  <c r="AC3405" i="30"/>
  <c r="AD3405" i="30" s="1"/>
  <c r="AC3406" i="30"/>
  <c r="AD3406" i="30" s="1"/>
  <c r="AC3407" i="30"/>
  <c r="AD3407" i="30" s="1"/>
  <c r="AC3408" i="30"/>
  <c r="AD3408" i="30" s="1"/>
  <c r="AC3409" i="30"/>
  <c r="AD3409" i="30" s="1"/>
  <c r="AC3410" i="30"/>
  <c r="AD3410" i="30" s="1"/>
  <c r="AC3411" i="30"/>
  <c r="AD3411" i="30" s="1"/>
  <c r="AC3412" i="30"/>
  <c r="AD3412" i="30" s="1"/>
  <c r="AC3413" i="30"/>
  <c r="AD3413" i="30" s="1"/>
  <c r="AC3414" i="30"/>
  <c r="AD3414" i="30" s="1"/>
  <c r="AC3415" i="30"/>
  <c r="AD3415" i="30" s="1"/>
  <c r="AC3416" i="30"/>
  <c r="AD3416" i="30" s="1"/>
  <c r="AC3417" i="30"/>
  <c r="AD3417" i="30" s="1"/>
  <c r="AC3418" i="30"/>
  <c r="AD3418" i="30" s="1"/>
  <c r="AC3419" i="30"/>
  <c r="AD3419" i="30" s="1"/>
  <c r="AC3420" i="30"/>
  <c r="AD3420" i="30" s="1"/>
  <c r="AC3421" i="30"/>
  <c r="AD3421" i="30" s="1"/>
  <c r="AC3422" i="30"/>
  <c r="AD3422" i="30" s="1"/>
  <c r="AC3423" i="30"/>
  <c r="AD3423" i="30" s="1"/>
  <c r="AC3424" i="30"/>
  <c r="AD3424" i="30" s="1"/>
  <c r="AC3425" i="30"/>
  <c r="AD3425" i="30" s="1"/>
  <c r="AC3426" i="30"/>
  <c r="AD3426" i="30" s="1"/>
  <c r="AC3427" i="30"/>
  <c r="AD3427" i="30" s="1"/>
  <c r="AC3428" i="30"/>
  <c r="AD3428" i="30" s="1"/>
  <c r="AC3429" i="30"/>
  <c r="AD3429" i="30" s="1"/>
  <c r="AC3430" i="30"/>
  <c r="AD3430" i="30" s="1"/>
  <c r="AC3431" i="30"/>
  <c r="AD3431" i="30" s="1"/>
  <c r="AC3432" i="30"/>
  <c r="AD3432" i="30" s="1"/>
  <c r="AC3433" i="30"/>
  <c r="AD3433" i="30" s="1"/>
  <c r="AC3434" i="30"/>
  <c r="AD3434" i="30" s="1"/>
  <c r="AC3435" i="30"/>
  <c r="AD3435" i="30" s="1"/>
  <c r="AC3436" i="30"/>
  <c r="AD3436" i="30" s="1"/>
  <c r="AC3437" i="30"/>
  <c r="AD3437" i="30" s="1"/>
  <c r="AC3438" i="30"/>
  <c r="AD3438" i="30" s="1"/>
  <c r="AC3439" i="30"/>
  <c r="AD3439" i="30" s="1"/>
  <c r="AC3440" i="30"/>
  <c r="AD3440" i="30" s="1"/>
  <c r="AC3441" i="30"/>
  <c r="AD3441" i="30" s="1"/>
  <c r="AC3442" i="30"/>
  <c r="AD3442" i="30" s="1"/>
  <c r="AC3443" i="30"/>
  <c r="AD3443" i="30" s="1"/>
  <c r="AC3444" i="30"/>
  <c r="AD3444" i="30" s="1"/>
  <c r="AC3445" i="30"/>
  <c r="AD3445" i="30" s="1"/>
  <c r="AC3446" i="30"/>
  <c r="AD3446" i="30" s="1"/>
  <c r="AC3447" i="30"/>
  <c r="AD3447" i="30" s="1"/>
  <c r="AC3448" i="30"/>
  <c r="AD3448" i="30" s="1"/>
  <c r="AC3449" i="30"/>
  <c r="AD3449" i="30" s="1"/>
  <c r="AC3450" i="30"/>
  <c r="AD3450" i="30" s="1"/>
  <c r="AC3451" i="30"/>
  <c r="AD3451" i="30" s="1"/>
  <c r="AC3452" i="30"/>
  <c r="AD3452" i="30" s="1"/>
  <c r="AC3453" i="30"/>
  <c r="AD3453" i="30" s="1"/>
  <c r="AC3454" i="30"/>
  <c r="AD3454" i="30" s="1"/>
  <c r="AC3455" i="30"/>
  <c r="AD3455" i="30" s="1"/>
  <c r="AC3456" i="30"/>
  <c r="AD3456" i="30" s="1"/>
  <c r="AC3457" i="30"/>
  <c r="AD3457" i="30" s="1"/>
  <c r="AC3458" i="30"/>
  <c r="AD3458" i="30" s="1"/>
  <c r="AC3459" i="30"/>
  <c r="AD3459" i="30" s="1"/>
  <c r="AC3460" i="30"/>
  <c r="AD3460" i="30" s="1"/>
  <c r="AC3461" i="30"/>
  <c r="AD3461" i="30" s="1"/>
  <c r="AC3462" i="30"/>
  <c r="AD3462" i="30" s="1"/>
  <c r="AC3463" i="30"/>
  <c r="AD3463" i="30" s="1"/>
  <c r="AC3464" i="30"/>
  <c r="AD3464" i="30" s="1"/>
  <c r="AC3465" i="30"/>
  <c r="AD3465" i="30" s="1"/>
  <c r="AC3466" i="30"/>
  <c r="AD3466" i="30" s="1"/>
  <c r="AC3467" i="30"/>
  <c r="AD3467" i="30" s="1"/>
  <c r="AC3468" i="30"/>
  <c r="AD3468" i="30" s="1"/>
  <c r="AC3469" i="30"/>
  <c r="AD3469" i="30" s="1"/>
  <c r="AC3470" i="30"/>
  <c r="AD3470" i="30" s="1"/>
  <c r="AC3471" i="30"/>
  <c r="AD3471" i="30" s="1"/>
  <c r="AC3472" i="30"/>
  <c r="AD3472" i="30" s="1"/>
  <c r="AC3473" i="30"/>
  <c r="AD3473" i="30" s="1"/>
  <c r="AC3474" i="30"/>
  <c r="AD3474" i="30" s="1"/>
  <c r="AC3475" i="30"/>
  <c r="AD3475" i="30" s="1"/>
  <c r="AC3476" i="30"/>
  <c r="AD3476" i="30" s="1"/>
  <c r="AC3477" i="30"/>
  <c r="AD3477" i="30" s="1"/>
  <c r="AC3478" i="30"/>
  <c r="AD3478" i="30" s="1"/>
  <c r="AC3479" i="30"/>
  <c r="AD3479" i="30" s="1"/>
  <c r="AC3480" i="30"/>
  <c r="AD3480" i="30" s="1"/>
  <c r="AC3481" i="30"/>
  <c r="AD3481" i="30" s="1"/>
  <c r="AC3482" i="30"/>
  <c r="AD3482" i="30" s="1"/>
  <c r="AC3483" i="30"/>
  <c r="AD3483" i="30" s="1"/>
  <c r="AC3484" i="30"/>
  <c r="AD3484" i="30" s="1"/>
  <c r="AC3485" i="30"/>
  <c r="AD3485" i="30" s="1"/>
  <c r="AC3486" i="30"/>
  <c r="AD3486" i="30" s="1"/>
  <c r="AC3487" i="30"/>
  <c r="AD3487" i="30" s="1"/>
  <c r="AC3488" i="30"/>
  <c r="AD3488" i="30" s="1"/>
  <c r="AC3489" i="30"/>
  <c r="AD3489" i="30" s="1"/>
  <c r="AC3490" i="30"/>
  <c r="AD3490" i="30" s="1"/>
  <c r="AC3491" i="30"/>
  <c r="AD3491" i="30" s="1"/>
  <c r="AC3492" i="30"/>
  <c r="AD3492" i="30" s="1"/>
  <c r="AC3493" i="30"/>
  <c r="AD3493" i="30" s="1"/>
  <c r="AC3494" i="30"/>
  <c r="AD3494" i="30" s="1"/>
  <c r="AC3495" i="30"/>
  <c r="AD3495" i="30" s="1"/>
  <c r="AC3496" i="30"/>
  <c r="AD3496" i="30" s="1"/>
  <c r="AC3497" i="30"/>
  <c r="AD3497" i="30" s="1"/>
  <c r="AC3498" i="30"/>
  <c r="AD3498" i="30" s="1"/>
  <c r="AC3499" i="30"/>
  <c r="AD3499" i="30" s="1"/>
  <c r="AC3500" i="30"/>
  <c r="AD3500" i="30" s="1"/>
  <c r="AC3501" i="30"/>
  <c r="AD3501" i="30" s="1"/>
  <c r="AC3502" i="30"/>
  <c r="AD3502" i="30" s="1"/>
  <c r="AC3503" i="30"/>
  <c r="AD3503" i="30" s="1"/>
  <c r="AC3504" i="30"/>
  <c r="AD3504" i="30" s="1"/>
  <c r="AC3505" i="30"/>
  <c r="AD3505" i="30" s="1"/>
  <c r="AC3506" i="30"/>
  <c r="AD3506" i="30" s="1"/>
  <c r="AC3507" i="30"/>
  <c r="AD3507" i="30" s="1"/>
  <c r="AC3508" i="30"/>
  <c r="AD3508" i="30" s="1"/>
  <c r="AC3509" i="30"/>
  <c r="AD3509" i="30" s="1"/>
  <c r="AC3510" i="30"/>
  <c r="AD3510" i="30" s="1"/>
  <c r="AC3511" i="30"/>
  <c r="AD3511" i="30" s="1"/>
  <c r="AC3512" i="30"/>
  <c r="AD3512" i="30" s="1"/>
  <c r="AC3513" i="30"/>
  <c r="AD3513" i="30" s="1"/>
  <c r="AC3514" i="30"/>
  <c r="AD3514" i="30" s="1"/>
  <c r="AC3515" i="30"/>
  <c r="AD3515" i="30" s="1"/>
  <c r="AC3516" i="30"/>
  <c r="AD3516" i="30" s="1"/>
  <c r="AC3517" i="30"/>
  <c r="AD3517" i="30" s="1"/>
  <c r="AC3518" i="30"/>
  <c r="AD3518" i="30" s="1"/>
  <c r="AC3519" i="30"/>
  <c r="AD3519" i="30" s="1"/>
  <c r="AC3520" i="30"/>
  <c r="AD3520" i="30" s="1"/>
  <c r="AC3521" i="30"/>
  <c r="AD3521" i="30" s="1"/>
  <c r="AC3522" i="30"/>
  <c r="AD3522" i="30" s="1"/>
  <c r="AC3523" i="30"/>
  <c r="AD3523" i="30" s="1"/>
  <c r="AC3524" i="30"/>
  <c r="AD3524" i="30" s="1"/>
  <c r="AC3525" i="30"/>
  <c r="AD3525" i="30" s="1"/>
  <c r="AC3526" i="30"/>
  <c r="AD3526" i="30" s="1"/>
  <c r="AC3527" i="30"/>
  <c r="AD3527" i="30" s="1"/>
  <c r="AC3528" i="30"/>
  <c r="AD3528" i="30" s="1"/>
  <c r="AC3529" i="30"/>
  <c r="AD3529" i="30" s="1"/>
  <c r="AC3530" i="30"/>
  <c r="AD3530" i="30" s="1"/>
  <c r="AC3531" i="30"/>
  <c r="AD3531" i="30" s="1"/>
  <c r="AC3532" i="30"/>
  <c r="AD3532" i="30" s="1"/>
  <c r="AC3533" i="30"/>
  <c r="AD3533" i="30" s="1"/>
  <c r="AC3534" i="30"/>
  <c r="AD3534" i="30" s="1"/>
  <c r="AC3535" i="30"/>
  <c r="AD3535" i="30" s="1"/>
  <c r="AC3536" i="30"/>
  <c r="AD3536" i="30" s="1"/>
  <c r="AC3537" i="30"/>
  <c r="AD3537" i="30" s="1"/>
  <c r="AC3538" i="30"/>
  <c r="AD3538" i="30" s="1"/>
  <c r="AC3539" i="30"/>
  <c r="AD3539" i="30" s="1"/>
  <c r="AC3540" i="30"/>
  <c r="AD3540" i="30" s="1"/>
  <c r="AC3541" i="30"/>
  <c r="AD3541" i="30" s="1"/>
  <c r="AC3542" i="30"/>
  <c r="AD3542" i="30" s="1"/>
  <c r="AC3543" i="30"/>
  <c r="AD3543" i="30" s="1"/>
  <c r="AC3544" i="30"/>
  <c r="AD3544" i="30" s="1"/>
  <c r="AC3545" i="30"/>
  <c r="AD3545" i="30" s="1"/>
  <c r="AC3546" i="30"/>
  <c r="AD3546" i="30" s="1"/>
  <c r="AC3547" i="30"/>
  <c r="AD3547" i="30" s="1"/>
  <c r="AC3548" i="30"/>
  <c r="AD3548" i="30" s="1"/>
  <c r="AC3549" i="30"/>
  <c r="AD3549" i="30" s="1"/>
  <c r="AC3550" i="30"/>
  <c r="AD3550" i="30" s="1"/>
  <c r="AC3551" i="30"/>
  <c r="AD3551" i="30" s="1"/>
  <c r="AC3552" i="30"/>
  <c r="AD3552" i="30" s="1"/>
  <c r="AC3553" i="30"/>
  <c r="AD3553" i="30" s="1"/>
  <c r="AC3554" i="30"/>
  <c r="AD3554" i="30" s="1"/>
  <c r="AC3555" i="30"/>
  <c r="AD3555" i="30" s="1"/>
  <c r="AC3556" i="30"/>
  <c r="AD3556" i="30" s="1"/>
  <c r="AC3557" i="30"/>
  <c r="AD3557" i="30" s="1"/>
  <c r="AC3558" i="30"/>
  <c r="AD3558" i="30" s="1"/>
  <c r="AC3559" i="30"/>
  <c r="AD3559" i="30" s="1"/>
  <c r="AC3560" i="30"/>
  <c r="AD3560" i="30" s="1"/>
  <c r="AC3561" i="30"/>
  <c r="AD3561" i="30" s="1"/>
  <c r="AC3562" i="30"/>
  <c r="AD3562" i="30" s="1"/>
  <c r="AC3563" i="30"/>
  <c r="AD3563" i="30" s="1"/>
  <c r="AC3564" i="30"/>
  <c r="AD3564" i="30" s="1"/>
  <c r="AC3565" i="30"/>
  <c r="AD3565" i="30" s="1"/>
  <c r="AC3566" i="30"/>
  <c r="AD3566" i="30" s="1"/>
  <c r="AC3567" i="30"/>
  <c r="AD3567" i="30" s="1"/>
  <c r="AC3568" i="30"/>
  <c r="AD3568" i="30" s="1"/>
  <c r="AC3569" i="30"/>
  <c r="AD3569" i="30" s="1"/>
  <c r="AC3570" i="30"/>
  <c r="AD3570" i="30" s="1"/>
  <c r="AC3571" i="30"/>
  <c r="AD3571" i="30" s="1"/>
  <c r="AC3572" i="30"/>
  <c r="AD3572" i="30" s="1"/>
  <c r="AC3573" i="30"/>
  <c r="AD3573" i="30" s="1"/>
  <c r="AC3574" i="30"/>
  <c r="AD3574" i="30" s="1"/>
  <c r="AC3575" i="30"/>
  <c r="AD3575" i="30" s="1"/>
  <c r="AC3576" i="30"/>
  <c r="AD3576" i="30" s="1"/>
  <c r="AC3577" i="30"/>
  <c r="AD3577" i="30" s="1"/>
  <c r="AC3578" i="30"/>
  <c r="AD3578" i="30" s="1"/>
  <c r="AC3579" i="30"/>
  <c r="AD3579" i="30" s="1"/>
  <c r="AC3580" i="30"/>
  <c r="AD3580" i="30" s="1"/>
  <c r="AC3581" i="30"/>
  <c r="AD3581" i="30" s="1"/>
  <c r="AC3582" i="30"/>
  <c r="AD3582" i="30" s="1"/>
  <c r="AC3583" i="30"/>
  <c r="AD3583" i="30" s="1"/>
  <c r="AC3584" i="30"/>
  <c r="AD3584" i="30" s="1"/>
  <c r="AC3585" i="30"/>
  <c r="AD3585" i="30" s="1"/>
  <c r="AC3586" i="30"/>
  <c r="AD3586" i="30" s="1"/>
  <c r="AC3587" i="30"/>
  <c r="AD3587" i="30" s="1"/>
  <c r="AC3588" i="30"/>
  <c r="AD3588" i="30" s="1"/>
  <c r="AC3589" i="30"/>
  <c r="AD3589" i="30" s="1"/>
  <c r="AC3590" i="30"/>
  <c r="AD3590" i="30" s="1"/>
  <c r="AC3591" i="30"/>
  <c r="AD3591" i="30" s="1"/>
  <c r="AC3592" i="30"/>
  <c r="AD3592" i="30" s="1"/>
  <c r="AC3593" i="30"/>
  <c r="AD3593" i="30" s="1"/>
  <c r="AC3594" i="30"/>
  <c r="AD3594" i="30" s="1"/>
  <c r="AC3595" i="30"/>
  <c r="AD3595" i="30" s="1"/>
  <c r="AC3596" i="30"/>
  <c r="AD3596" i="30" s="1"/>
  <c r="AC3597" i="30"/>
  <c r="AD3597" i="30" s="1"/>
  <c r="AC3598" i="30"/>
  <c r="AD3598" i="30" s="1"/>
  <c r="AC3599" i="30"/>
  <c r="AD3599" i="30" s="1"/>
  <c r="AC3600" i="30"/>
  <c r="AD3600" i="30" s="1"/>
  <c r="AC3601" i="30"/>
  <c r="AD3601" i="30" s="1"/>
  <c r="AC3602" i="30"/>
  <c r="AD3602" i="30" s="1"/>
  <c r="AC3603" i="30"/>
  <c r="AD3603" i="30" s="1"/>
  <c r="AC3604" i="30"/>
  <c r="AD3604" i="30" s="1"/>
  <c r="AC3605" i="30"/>
  <c r="AD3605" i="30" s="1"/>
  <c r="AC3606" i="30"/>
  <c r="AD3606" i="30" s="1"/>
  <c r="AC3607" i="30"/>
  <c r="AD3607" i="30" s="1"/>
  <c r="AC3608" i="30"/>
  <c r="AD3608" i="30" s="1"/>
  <c r="AC3609" i="30"/>
  <c r="AD3609" i="30" s="1"/>
  <c r="AC3610" i="30"/>
  <c r="AD3610" i="30" s="1"/>
  <c r="AC3611" i="30"/>
  <c r="AD3611" i="30" s="1"/>
  <c r="AC3612" i="30"/>
  <c r="AD3612" i="30" s="1"/>
  <c r="AC3613" i="30"/>
  <c r="AD3613" i="30" s="1"/>
  <c r="AC3614" i="30"/>
  <c r="AD3614" i="30" s="1"/>
  <c r="AC3615" i="30"/>
  <c r="AD3615" i="30" s="1"/>
  <c r="AC3616" i="30"/>
  <c r="AD3616" i="30" s="1"/>
  <c r="AC3617" i="30"/>
  <c r="AD3617" i="30" s="1"/>
  <c r="AC3618" i="30"/>
  <c r="AD3618" i="30" s="1"/>
  <c r="AC3619" i="30"/>
  <c r="AD3619" i="30" s="1"/>
  <c r="AC3620" i="30"/>
  <c r="AD3620" i="30" s="1"/>
  <c r="AC3621" i="30"/>
  <c r="AD3621" i="30" s="1"/>
  <c r="AC3622" i="30"/>
  <c r="AD3622" i="30" s="1"/>
  <c r="AC3623" i="30"/>
  <c r="AD3623" i="30" s="1"/>
  <c r="AC3624" i="30"/>
  <c r="AD3624" i="30" s="1"/>
  <c r="AC3625" i="30"/>
  <c r="AD3625" i="30" s="1"/>
  <c r="AC3626" i="30"/>
  <c r="AD3626" i="30" s="1"/>
  <c r="AC3627" i="30"/>
  <c r="AD3627" i="30" s="1"/>
  <c r="AC3628" i="30"/>
  <c r="AD3628" i="30" s="1"/>
  <c r="AC3629" i="30"/>
  <c r="AD3629" i="30" s="1"/>
  <c r="AC3630" i="30"/>
  <c r="AD3630" i="30" s="1"/>
  <c r="AC3631" i="30"/>
  <c r="AD3631" i="30" s="1"/>
  <c r="AC3632" i="30"/>
  <c r="AD3632" i="30" s="1"/>
  <c r="AC3633" i="30"/>
  <c r="AD3633" i="30" s="1"/>
  <c r="AC3634" i="30"/>
  <c r="AD3634" i="30" s="1"/>
  <c r="AC3635" i="30"/>
  <c r="AD3635" i="30" s="1"/>
  <c r="AC3636" i="30"/>
  <c r="AD3636" i="30" s="1"/>
  <c r="AC3637" i="30"/>
  <c r="AD3637" i="30" s="1"/>
  <c r="AC3638" i="30"/>
  <c r="AD3638" i="30" s="1"/>
  <c r="AC3639" i="30"/>
  <c r="AD3639" i="30" s="1"/>
  <c r="AC3640" i="30"/>
  <c r="AD3640" i="30" s="1"/>
  <c r="AC3641" i="30"/>
  <c r="AD3641" i="30" s="1"/>
  <c r="AC3642" i="30"/>
  <c r="AD3642" i="30" s="1"/>
  <c r="AC3643" i="30"/>
  <c r="AD3643" i="30" s="1"/>
  <c r="AC3644" i="30"/>
  <c r="AD3644" i="30" s="1"/>
  <c r="AC3645" i="30"/>
  <c r="AD3645" i="30" s="1"/>
  <c r="AC3646" i="30"/>
  <c r="AD3646" i="30" s="1"/>
  <c r="AC3647" i="30"/>
  <c r="AD3647" i="30" s="1"/>
  <c r="AC3648" i="30"/>
  <c r="AD3648" i="30" s="1"/>
  <c r="AC3649" i="30"/>
  <c r="AD3649" i="30" s="1"/>
  <c r="AC3650" i="30"/>
  <c r="AD3650" i="30" s="1"/>
  <c r="AC3651" i="30"/>
  <c r="AD3651" i="30" s="1"/>
  <c r="AC3652" i="30"/>
  <c r="AD3652" i="30" s="1"/>
  <c r="AC3653" i="30"/>
  <c r="AD3653" i="30" s="1"/>
  <c r="AC3654" i="30"/>
  <c r="AD3654" i="30" s="1"/>
  <c r="AC3655" i="30"/>
  <c r="AD3655" i="30" s="1"/>
  <c r="AC3656" i="30"/>
  <c r="AD3656" i="30" s="1"/>
  <c r="AC3657" i="30"/>
  <c r="AD3657" i="30" s="1"/>
  <c r="AC3658" i="30"/>
  <c r="AD3658" i="30" s="1"/>
  <c r="AC3659" i="30"/>
  <c r="AD3659" i="30" s="1"/>
  <c r="AC3660" i="30"/>
  <c r="AD3660" i="30" s="1"/>
  <c r="AC3661" i="30"/>
  <c r="AD3661" i="30" s="1"/>
  <c r="AC3662" i="30"/>
  <c r="AD3662" i="30" s="1"/>
  <c r="AC3663" i="30"/>
  <c r="AD3663" i="30" s="1"/>
  <c r="AC3664" i="30"/>
  <c r="AD3664" i="30" s="1"/>
  <c r="AC3665" i="30"/>
  <c r="AD3665" i="30" s="1"/>
  <c r="AC3666" i="30"/>
  <c r="AD3666" i="30" s="1"/>
  <c r="AC3667" i="30"/>
  <c r="AD3667" i="30" s="1"/>
  <c r="AC3668" i="30"/>
  <c r="AD3668" i="30" s="1"/>
  <c r="AC3669" i="30"/>
  <c r="AD3669" i="30" s="1"/>
  <c r="AC3670" i="30"/>
  <c r="AD3670" i="30" s="1"/>
  <c r="AC3671" i="30"/>
  <c r="AD3671" i="30" s="1"/>
  <c r="AC3672" i="30"/>
  <c r="AD3672" i="30" s="1"/>
  <c r="AC3673" i="30"/>
  <c r="AD3673" i="30" s="1"/>
  <c r="AC3674" i="30"/>
  <c r="AD3674" i="30" s="1"/>
  <c r="AC3675" i="30"/>
  <c r="AD3675" i="30" s="1"/>
  <c r="AC3676" i="30"/>
  <c r="AD3676" i="30" s="1"/>
  <c r="AC3677" i="30"/>
  <c r="AD3677" i="30" s="1"/>
  <c r="AC3678" i="30"/>
  <c r="AD3678" i="30" s="1"/>
  <c r="AC3679" i="30"/>
  <c r="AD3679" i="30" s="1"/>
  <c r="AC3680" i="30"/>
  <c r="AD3680" i="30" s="1"/>
  <c r="AC3681" i="30"/>
  <c r="AD3681" i="30" s="1"/>
  <c r="AC3682" i="30"/>
  <c r="AD3682" i="30" s="1"/>
  <c r="AC3683" i="30"/>
  <c r="AD3683" i="30" s="1"/>
  <c r="AC3684" i="30"/>
  <c r="AD3684" i="30" s="1"/>
  <c r="AC3685" i="30"/>
  <c r="AD3685" i="30" s="1"/>
  <c r="AC3686" i="30"/>
  <c r="AD3686" i="30" s="1"/>
  <c r="AC3687" i="30"/>
  <c r="AD3687" i="30" s="1"/>
  <c r="AC3688" i="30"/>
  <c r="AD3688" i="30" s="1"/>
  <c r="AC3689" i="30"/>
  <c r="AD3689" i="30" s="1"/>
  <c r="AC3690" i="30"/>
  <c r="AD3690" i="30" s="1"/>
  <c r="AC3691" i="30"/>
  <c r="AD3691" i="30" s="1"/>
  <c r="AC3692" i="30"/>
  <c r="AD3692" i="30" s="1"/>
  <c r="AC3693" i="30"/>
  <c r="AD3693" i="30" s="1"/>
  <c r="AC3694" i="30"/>
  <c r="AD3694" i="30" s="1"/>
  <c r="AC3695" i="30"/>
  <c r="AD3695" i="30" s="1"/>
  <c r="AC3696" i="30"/>
  <c r="AD3696" i="30" s="1"/>
  <c r="AC3697" i="30"/>
  <c r="AD3697" i="30" s="1"/>
  <c r="AC3698" i="30"/>
  <c r="AD3698" i="30" s="1"/>
  <c r="AC3699" i="30"/>
  <c r="AD3699" i="30" s="1"/>
  <c r="AC3700" i="30"/>
  <c r="AD3700" i="30" s="1"/>
  <c r="AC3701" i="30"/>
  <c r="AD3701" i="30" s="1"/>
  <c r="AC3702" i="30"/>
  <c r="AD3702" i="30" s="1"/>
  <c r="AC3703" i="30"/>
  <c r="AD3703" i="30" s="1"/>
  <c r="AC3704" i="30"/>
  <c r="AD3704" i="30" s="1"/>
  <c r="AC3705" i="30"/>
  <c r="AD3705" i="30" s="1"/>
  <c r="AC3706" i="30"/>
  <c r="AD3706" i="30" s="1"/>
  <c r="AC3707" i="30"/>
  <c r="AD3707" i="30" s="1"/>
  <c r="AC3708" i="30"/>
  <c r="AD3708" i="30" s="1"/>
  <c r="AC3709" i="30"/>
  <c r="AD3709" i="30" s="1"/>
  <c r="AC3710" i="30"/>
  <c r="AD3710" i="30" s="1"/>
  <c r="AC3711" i="30"/>
  <c r="AD3711" i="30" s="1"/>
  <c r="AC3712" i="30"/>
  <c r="AD3712" i="30" s="1"/>
  <c r="AC3713" i="30"/>
  <c r="AD3713" i="30" s="1"/>
  <c r="AC3714" i="30"/>
  <c r="AD3714" i="30" s="1"/>
  <c r="AC3715" i="30"/>
  <c r="AD3715" i="30" s="1"/>
  <c r="AC3716" i="30"/>
  <c r="AD3716" i="30" s="1"/>
  <c r="AC3717" i="30"/>
  <c r="AD3717" i="30" s="1"/>
  <c r="AC3718" i="30"/>
  <c r="AD3718" i="30" s="1"/>
  <c r="AC3719" i="30"/>
  <c r="AD3719" i="30" s="1"/>
  <c r="AC3720" i="30"/>
  <c r="AD3720" i="30" s="1"/>
  <c r="AC3721" i="30"/>
  <c r="AD3721" i="30" s="1"/>
  <c r="AC3722" i="30"/>
  <c r="AD3722" i="30" s="1"/>
  <c r="AC3723" i="30"/>
  <c r="AD3723" i="30" s="1"/>
  <c r="AC3724" i="30"/>
  <c r="AD3724" i="30" s="1"/>
  <c r="AC3725" i="30"/>
  <c r="AD3725" i="30" s="1"/>
  <c r="AC3726" i="30"/>
  <c r="AD3726" i="30" s="1"/>
  <c r="AC3727" i="30"/>
  <c r="AD3727" i="30" s="1"/>
  <c r="AC3728" i="30"/>
  <c r="AD3728" i="30" s="1"/>
  <c r="AC3729" i="30"/>
  <c r="AD3729" i="30" s="1"/>
  <c r="AC3730" i="30"/>
  <c r="AD3730" i="30" s="1"/>
  <c r="AC3731" i="30"/>
  <c r="AD3731" i="30" s="1"/>
  <c r="AC3732" i="30"/>
  <c r="AD3732" i="30" s="1"/>
  <c r="AC3733" i="30"/>
  <c r="AD3733" i="30" s="1"/>
  <c r="AC3734" i="30"/>
  <c r="AD3734" i="30" s="1"/>
  <c r="AC3735" i="30"/>
  <c r="AD3735" i="30" s="1"/>
  <c r="AC3736" i="30"/>
  <c r="AD3736" i="30" s="1"/>
  <c r="AC3737" i="30"/>
  <c r="AD3737" i="30" s="1"/>
  <c r="AC3738" i="30"/>
  <c r="AD3738" i="30" s="1"/>
  <c r="AC3739" i="30"/>
  <c r="AD3739" i="30" s="1"/>
  <c r="AC3740" i="30"/>
  <c r="AD3740" i="30" s="1"/>
  <c r="AC3741" i="30"/>
  <c r="AD3741" i="30" s="1"/>
  <c r="AC3742" i="30"/>
  <c r="AD3742" i="30" s="1"/>
  <c r="AC3743" i="30"/>
  <c r="AD3743" i="30" s="1"/>
  <c r="AC3744" i="30"/>
  <c r="AD3744" i="30" s="1"/>
  <c r="AC3745" i="30"/>
  <c r="AD3745" i="30" s="1"/>
  <c r="AC3746" i="30"/>
  <c r="AD3746" i="30" s="1"/>
  <c r="AC3747" i="30"/>
  <c r="AD3747" i="30" s="1"/>
  <c r="AC3748" i="30"/>
  <c r="AD3748" i="30" s="1"/>
  <c r="AC3749" i="30"/>
  <c r="AD3749" i="30" s="1"/>
  <c r="AC3750" i="30"/>
  <c r="AD3750" i="30" s="1"/>
  <c r="AC3751" i="30"/>
  <c r="AD3751" i="30" s="1"/>
  <c r="AC3752" i="30"/>
  <c r="AD3752" i="30" s="1"/>
  <c r="AC3753" i="30"/>
  <c r="AD3753" i="30" s="1"/>
  <c r="AC3754" i="30"/>
  <c r="AD3754" i="30" s="1"/>
  <c r="AC3755" i="30"/>
  <c r="AD3755" i="30" s="1"/>
  <c r="AC3756" i="30"/>
  <c r="AD3756" i="30" s="1"/>
  <c r="AC3757" i="30"/>
  <c r="AD3757" i="30" s="1"/>
  <c r="AC3758" i="30"/>
  <c r="AD3758" i="30" s="1"/>
  <c r="AC3759" i="30"/>
  <c r="AD3759" i="30" s="1"/>
  <c r="AC3760" i="30"/>
  <c r="AD3760" i="30" s="1"/>
  <c r="AC3761" i="30"/>
  <c r="AD3761" i="30" s="1"/>
  <c r="AC3762" i="30"/>
  <c r="AD3762" i="30" s="1"/>
  <c r="AC3763" i="30"/>
  <c r="AD3763" i="30" s="1"/>
  <c r="AC3764" i="30"/>
  <c r="AD3764" i="30" s="1"/>
  <c r="AC3765" i="30"/>
  <c r="AD3765" i="30" s="1"/>
  <c r="AC3766" i="30"/>
  <c r="AD3766" i="30" s="1"/>
  <c r="AC3767" i="30"/>
  <c r="AD3767" i="30" s="1"/>
  <c r="AC3768" i="30"/>
  <c r="AD3768" i="30" s="1"/>
  <c r="AC3769" i="30"/>
  <c r="AD3769" i="30" s="1"/>
  <c r="AC3770" i="30"/>
  <c r="AD3770" i="30" s="1"/>
  <c r="AC3771" i="30"/>
  <c r="AD3771" i="30" s="1"/>
  <c r="AC3772" i="30"/>
  <c r="AD3772" i="30" s="1"/>
  <c r="AC3773" i="30"/>
  <c r="AD3773" i="30" s="1"/>
  <c r="AC3774" i="30"/>
  <c r="AD3774" i="30" s="1"/>
  <c r="AC3775" i="30"/>
  <c r="AD3775" i="30" s="1"/>
  <c r="AC3776" i="30"/>
  <c r="AD3776" i="30" s="1"/>
  <c r="AC3777" i="30"/>
  <c r="AD3777" i="30" s="1"/>
  <c r="AC3778" i="30"/>
  <c r="AD3778" i="30" s="1"/>
  <c r="AC3779" i="30"/>
  <c r="AD3779" i="30" s="1"/>
  <c r="AC3780" i="30"/>
  <c r="AD3780" i="30" s="1"/>
  <c r="AC3781" i="30"/>
  <c r="AD3781" i="30" s="1"/>
  <c r="AC3782" i="30"/>
  <c r="AD3782" i="30" s="1"/>
  <c r="AC3783" i="30"/>
  <c r="AD3783" i="30" s="1"/>
  <c r="AC3784" i="30"/>
  <c r="AD3784" i="30" s="1"/>
  <c r="AC3785" i="30"/>
  <c r="AD3785" i="30" s="1"/>
  <c r="AC3786" i="30"/>
  <c r="AD3786" i="30" s="1"/>
  <c r="AC3787" i="30"/>
  <c r="AD3787" i="30" s="1"/>
  <c r="AC3788" i="30"/>
  <c r="AD3788" i="30" s="1"/>
  <c r="AC3789" i="30"/>
  <c r="AD3789" i="30" s="1"/>
  <c r="AC3790" i="30"/>
  <c r="AD3790" i="30" s="1"/>
  <c r="AC3791" i="30"/>
  <c r="AD3791" i="30" s="1"/>
  <c r="AC3792" i="30"/>
  <c r="AD3792" i="30" s="1"/>
  <c r="AC3793" i="30"/>
  <c r="AD3793" i="30" s="1"/>
  <c r="AC3794" i="30"/>
  <c r="AD3794" i="30" s="1"/>
  <c r="AC3795" i="30"/>
  <c r="AD3795" i="30" s="1"/>
  <c r="AC3796" i="30"/>
  <c r="AD3796" i="30" s="1"/>
  <c r="AC3797" i="30"/>
  <c r="AD3797" i="30" s="1"/>
  <c r="AC3798" i="30"/>
  <c r="AD3798" i="30" s="1"/>
  <c r="AC3799" i="30"/>
  <c r="AD3799" i="30" s="1"/>
  <c r="AC3800" i="30"/>
  <c r="AD3800" i="30" s="1"/>
  <c r="AC3801" i="30"/>
  <c r="AD3801" i="30" s="1"/>
  <c r="AC3802" i="30"/>
  <c r="AD3802" i="30" s="1"/>
  <c r="AC3803" i="30"/>
  <c r="AD3803" i="30" s="1"/>
  <c r="AC3804" i="30"/>
  <c r="AD3804" i="30" s="1"/>
  <c r="AC3805" i="30"/>
  <c r="AD3805" i="30" s="1"/>
  <c r="AC3806" i="30"/>
  <c r="AD3806" i="30" s="1"/>
  <c r="AC3807" i="30"/>
  <c r="AD3807" i="30" s="1"/>
  <c r="AC3808" i="30"/>
  <c r="AD3808" i="30" s="1"/>
  <c r="AC3809" i="30"/>
  <c r="AD3809" i="30" s="1"/>
  <c r="AC3810" i="30"/>
  <c r="AD3810" i="30" s="1"/>
  <c r="AC3811" i="30"/>
  <c r="AD3811" i="30" s="1"/>
  <c r="AC3812" i="30"/>
  <c r="AD3812" i="30" s="1"/>
  <c r="AC3813" i="30"/>
  <c r="AD3813" i="30" s="1"/>
  <c r="AC3814" i="30"/>
  <c r="AD3814" i="30" s="1"/>
  <c r="AC3815" i="30"/>
  <c r="AD3815" i="30" s="1"/>
  <c r="AC3816" i="30"/>
  <c r="AD3816" i="30" s="1"/>
  <c r="AC3817" i="30"/>
  <c r="AD3817" i="30" s="1"/>
  <c r="AC3818" i="30"/>
  <c r="AD3818" i="30" s="1"/>
  <c r="AC3819" i="30"/>
  <c r="AD3819" i="30" s="1"/>
  <c r="AC3820" i="30"/>
  <c r="AD3820" i="30" s="1"/>
  <c r="AC3821" i="30"/>
  <c r="AD3821" i="30" s="1"/>
  <c r="AC3822" i="30"/>
  <c r="AD3822" i="30" s="1"/>
  <c r="AC3823" i="30"/>
  <c r="AD3823" i="30" s="1"/>
  <c r="AC3824" i="30"/>
  <c r="AD3824" i="30" s="1"/>
  <c r="AC3825" i="30"/>
  <c r="AD3825" i="30" s="1"/>
  <c r="AC3826" i="30"/>
  <c r="AD3826" i="30" s="1"/>
  <c r="AC3827" i="30"/>
  <c r="AD3827" i="30" s="1"/>
  <c r="AC3828" i="30"/>
  <c r="AD3828" i="30" s="1"/>
  <c r="AC3829" i="30"/>
  <c r="AD3829" i="30" s="1"/>
  <c r="AC3830" i="30"/>
  <c r="AD3830" i="30" s="1"/>
  <c r="AC3831" i="30"/>
  <c r="AD3831" i="30" s="1"/>
  <c r="AC3832" i="30"/>
  <c r="AD3832" i="30" s="1"/>
  <c r="AC3833" i="30"/>
  <c r="AD3833" i="30" s="1"/>
  <c r="AC3834" i="30"/>
  <c r="AD3834" i="30" s="1"/>
  <c r="AC3835" i="30"/>
  <c r="AD3835" i="30" s="1"/>
  <c r="AC3836" i="30"/>
  <c r="AD3836" i="30" s="1"/>
  <c r="AC3837" i="30"/>
  <c r="AD3837" i="30" s="1"/>
  <c r="AC3838" i="30"/>
  <c r="AD3838" i="30" s="1"/>
  <c r="AC3839" i="30"/>
  <c r="AD3839" i="30" s="1"/>
  <c r="AC3840" i="30"/>
  <c r="AD3840" i="30" s="1"/>
  <c r="AC3841" i="30"/>
  <c r="AD3841" i="30" s="1"/>
  <c r="AC3842" i="30"/>
  <c r="AD3842" i="30" s="1"/>
  <c r="AC3843" i="30"/>
  <c r="AD3843" i="30" s="1"/>
  <c r="AC3844" i="30"/>
  <c r="AD3844" i="30" s="1"/>
  <c r="AC3845" i="30"/>
  <c r="AD3845" i="30" s="1"/>
  <c r="AC3846" i="30"/>
  <c r="AD3846" i="30" s="1"/>
  <c r="AC3847" i="30"/>
  <c r="AD3847" i="30" s="1"/>
  <c r="AC3848" i="30"/>
  <c r="AD3848" i="30" s="1"/>
  <c r="AC3849" i="30"/>
  <c r="AD3849" i="30" s="1"/>
  <c r="AC3850" i="30"/>
  <c r="AD3850" i="30" s="1"/>
  <c r="AC3851" i="30"/>
  <c r="AD3851" i="30" s="1"/>
  <c r="AC3852" i="30"/>
  <c r="AD3852" i="30" s="1"/>
  <c r="AC3853" i="30"/>
  <c r="AD3853" i="30" s="1"/>
  <c r="AC3854" i="30"/>
  <c r="AD3854" i="30" s="1"/>
  <c r="AC3855" i="30"/>
  <c r="AD3855" i="30" s="1"/>
  <c r="AC3856" i="30"/>
  <c r="AD3856" i="30" s="1"/>
  <c r="AC3857" i="30"/>
  <c r="AD3857" i="30" s="1"/>
  <c r="AC3858" i="30"/>
  <c r="AD3858" i="30" s="1"/>
  <c r="AC3859" i="30"/>
  <c r="AD3859" i="30" s="1"/>
  <c r="AC3860" i="30"/>
  <c r="AD3860" i="30" s="1"/>
  <c r="AC3861" i="30"/>
  <c r="AD3861" i="30" s="1"/>
  <c r="AC3862" i="30"/>
  <c r="AD3862" i="30" s="1"/>
  <c r="AC3863" i="30"/>
  <c r="AD3863" i="30" s="1"/>
  <c r="AC3864" i="30"/>
  <c r="AD3864" i="30" s="1"/>
  <c r="AC3865" i="30"/>
  <c r="AD3865" i="30" s="1"/>
  <c r="AC3866" i="30"/>
  <c r="AD3866" i="30" s="1"/>
  <c r="AC3867" i="30"/>
  <c r="AD3867" i="30" s="1"/>
  <c r="AC3868" i="30"/>
  <c r="AD3868" i="30" s="1"/>
  <c r="AC3869" i="30"/>
  <c r="AD3869" i="30" s="1"/>
  <c r="AC3870" i="30"/>
  <c r="AD3870" i="30" s="1"/>
  <c r="AC3871" i="30"/>
  <c r="AD3871" i="30" s="1"/>
  <c r="AC3872" i="30"/>
  <c r="AD3872" i="30" s="1"/>
  <c r="AC3873" i="30"/>
  <c r="AD3873" i="30" s="1"/>
  <c r="AC3874" i="30"/>
  <c r="AD3874" i="30" s="1"/>
  <c r="AC3875" i="30"/>
  <c r="AD3875" i="30" s="1"/>
  <c r="AC3876" i="30"/>
  <c r="AD3876" i="30" s="1"/>
  <c r="AC3877" i="30"/>
  <c r="AD3877" i="30" s="1"/>
  <c r="AC3878" i="30"/>
  <c r="AD3878" i="30" s="1"/>
  <c r="AC3879" i="30"/>
  <c r="AD3879" i="30" s="1"/>
  <c r="AC3880" i="30"/>
  <c r="AD3880" i="30" s="1"/>
  <c r="AC3881" i="30"/>
  <c r="AD3881" i="30" s="1"/>
  <c r="AC3882" i="30"/>
  <c r="AD3882" i="30" s="1"/>
  <c r="AC3883" i="30"/>
  <c r="AD3883" i="30" s="1"/>
  <c r="AC3884" i="30"/>
  <c r="AD3884" i="30" s="1"/>
  <c r="AC3885" i="30"/>
  <c r="AD3885" i="30" s="1"/>
  <c r="AC3886" i="30"/>
  <c r="AD3886" i="30" s="1"/>
  <c r="AC3887" i="30"/>
  <c r="AD3887" i="30" s="1"/>
  <c r="AC3888" i="30"/>
  <c r="AD3888" i="30" s="1"/>
  <c r="AC3889" i="30"/>
  <c r="AD3889" i="30" s="1"/>
  <c r="AC3890" i="30"/>
  <c r="AD3890" i="30" s="1"/>
  <c r="AC3891" i="30"/>
  <c r="AD3891" i="30" s="1"/>
  <c r="AC3892" i="30"/>
  <c r="AD3892" i="30" s="1"/>
  <c r="AC3893" i="30"/>
  <c r="AD3893" i="30" s="1"/>
  <c r="AC3894" i="30"/>
  <c r="AD3894" i="30" s="1"/>
  <c r="AC3895" i="30"/>
  <c r="AD3895" i="30" s="1"/>
  <c r="AC3896" i="30"/>
  <c r="AD3896" i="30" s="1"/>
  <c r="AC3897" i="30"/>
  <c r="AD3897" i="30" s="1"/>
  <c r="AC3898" i="30"/>
  <c r="AD3898" i="30" s="1"/>
  <c r="AC3899" i="30"/>
  <c r="AD3899" i="30" s="1"/>
  <c r="AC3900" i="30"/>
  <c r="AD3900" i="30" s="1"/>
  <c r="AC3901" i="30"/>
  <c r="AD3901" i="30" s="1"/>
  <c r="AC3902" i="30"/>
  <c r="AD3902" i="30" s="1"/>
  <c r="AC3903" i="30"/>
  <c r="AD3903" i="30" s="1"/>
  <c r="AC3904" i="30"/>
  <c r="AD3904" i="30" s="1"/>
  <c r="AC3905" i="30"/>
  <c r="AD3905" i="30" s="1"/>
  <c r="AC3906" i="30"/>
  <c r="AD3906" i="30" s="1"/>
  <c r="AC3907" i="30"/>
  <c r="AD3907" i="30" s="1"/>
  <c r="AC3908" i="30"/>
  <c r="AD3908" i="30" s="1"/>
  <c r="AC3909" i="30"/>
  <c r="AD3909" i="30" s="1"/>
  <c r="AC3910" i="30"/>
  <c r="AD3910" i="30" s="1"/>
  <c r="AC3911" i="30"/>
  <c r="AD3911" i="30" s="1"/>
  <c r="AC3912" i="30"/>
  <c r="AD3912" i="30" s="1"/>
  <c r="AC3913" i="30"/>
  <c r="AD3913" i="30" s="1"/>
  <c r="AC3914" i="30"/>
  <c r="AD3914" i="30" s="1"/>
  <c r="AC3915" i="30"/>
  <c r="AD3915" i="30" s="1"/>
  <c r="AC3916" i="30"/>
  <c r="AD3916" i="30" s="1"/>
  <c r="AC3917" i="30"/>
  <c r="AD3917" i="30" s="1"/>
  <c r="AC3918" i="30"/>
  <c r="AD3918" i="30" s="1"/>
  <c r="AC3919" i="30"/>
  <c r="AD3919" i="30" s="1"/>
  <c r="AC3920" i="30"/>
  <c r="AD3920" i="30" s="1"/>
  <c r="AC3921" i="30"/>
  <c r="AD3921" i="30" s="1"/>
  <c r="AC3922" i="30"/>
  <c r="AD3922" i="30" s="1"/>
  <c r="AC3923" i="30"/>
  <c r="AD3923" i="30" s="1"/>
  <c r="AC3924" i="30"/>
  <c r="AD3924" i="30" s="1"/>
  <c r="AC3925" i="30"/>
  <c r="AD3925" i="30" s="1"/>
  <c r="AC3926" i="30"/>
  <c r="AD3926" i="30" s="1"/>
  <c r="AC3927" i="30"/>
  <c r="AD3927" i="30" s="1"/>
  <c r="AC3928" i="30"/>
  <c r="AD3928" i="30" s="1"/>
  <c r="AC3929" i="30"/>
  <c r="AD3929" i="30" s="1"/>
  <c r="AC3930" i="30"/>
  <c r="AD3930" i="30" s="1"/>
  <c r="AC3931" i="30"/>
  <c r="AD3931" i="30" s="1"/>
  <c r="AC3932" i="30"/>
  <c r="AD3932" i="30" s="1"/>
  <c r="AC3933" i="30"/>
  <c r="AD3933" i="30" s="1"/>
  <c r="AC3934" i="30"/>
  <c r="AD3934" i="30" s="1"/>
  <c r="AC3935" i="30"/>
  <c r="AD3935" i="30" s="1"/>
  <c r="AC3936" i="30"/>
  <c r="AD3936" i="30" s="1"/>
  <c r="AC3937" i="30"/>
  <c r="AD3937" i="30" s="1"/>
  <c r="AC3938" i="30"/>
  <c r="AD3938" i="30" s="1"/>
  <c r="AC3939" i="30"/>
  <c r="AD3939" i="30" s="1"/>
  <c r="AC3940" i="30"/>
  <c r="AD3940" i="30" s="1"/>
  <c r="AC3941" i="30"/>
  <c r="AD3941" i="30" s="1"/>
  <c r="AC3942" i="30"/>
  <c r="AD3942" i="30" s="1"/>
  <c r="AC3943" i="30"/>
  <c r="AD3943" i="30" s="1"/>
  <c r="AC3944" i="30"/>
  <c r="AD3944" i="30" s="1"/>
  <c r="AC3945" i="30"/>
  <c r="AD3945" i="30" s="1"/>
  <c r="AC3946" i="30"/>
  <c r="AD3946" i="30" s="1"/>
  <c r="AC3947" i="30"/>
  <c r="AD3947" i="30" s="1"/>
  <c r="AC3948" i="30"/>
  <c r="AD3948" i="30" s="1"/>
  <c r="AC3949" i="30"/>
  <c r="AD3949" i="30" s="1"/>
  <c r="AC3950" i="30"/>
  <c r="AD3950" i="30" s="1"/>
  <c r="AC3951" i="30"/>
  <c r="AD3951" i="30" s="1"/>
  <c r="AC3952" i="30"/>
  <c r="AD3952" i="30" s="1"/>
  <c r="AC3953" i="30"/>
  <c r="AD3953" i="30" s="1"/>
  <c r="AC3954" i="30"/>
  <c r="AD3954" i="30" s="1"/>
  <c r="AC3955" i="30"/>
  <c r="AD3955" i="30" s="1"/>
  <c r="AC3956" i="30"/>
  <c r="AD3956" i="30" s="1"/>
  <c r="AC3957" i="30"/>
  <c r="AD3957" i="30" s="1"/>
  <c r="AC3958" i="30"/>
  <c r="AD3958" i="30" s="1"/>
  <c r="AC3959" i="30"/>
  <c r="AD3959" i="30" s="1"/>
  <c r="AC3960" i="30"/>
  <c r="AD3960" i="30" s="1"/>
  <c r="AC3961" i="30"/>
  <c r="AD3961" i="30" s="1"/>
  <c r="AC3962" i="30"/>
  <c r="AD3962" i="30" s="1"/>
  <c r="AC3963" i="30"/>
  <c r="AD3963" i="30" s="1"/>
  <c r="AC3964" i="30"/>
  <c r="AD3964" i="30" s="1"/>
  <c r="AC3965" i="30"/>
  <c r="AD3965" i="30" s="1"/>
  <c r="AC3966" i="30"/>
  <c r="AD3966" i="30" s="1"/>
  <c r="AC3967" i="30"/>
  <c r="AD3967" i="30" s="1"/>
  <c r="AC3968" i="30"/>
  <c r="AD3968" i="30" s="1"/>
  <c r="AC3969" i="30"/>
  <c r="AD3969" i="30" s="1"/>
  <c r="AC3970" i="30"/>
  <c r="AD3970" i="30" s="1"/>
  <c r="AC3971" i="30"/>
  <c r="AD3971" i="30" s="1"/>
  <c r="AC3972" i="30"/>
  <c r="AD3972" i="30" s="1"/>
  <c r="AC3973" i="30"/>
  <c r="AD3973" i="30" s="1"/>
  <c r="AC3974" i="30"/>
  <c r="AD3974" i="30" s="1"/>
  <c r="AC3975" i="30"/>
  <c r="AD3975" i="30" s="1"/>
  <c r="AC3976" i="30"/>
  <c r="AD3976" i="30" s="1"/>
  <c r="AC3977" i="30"/>
  <c r="AD3977" i="30" s="1"/>
  <c r="AC3978" i="30"/>
  <c r="AD3978" i="30" s="1"/>
  <c r="AC3979" i="30"/>
  <c r="AD3979" i="30" s="1"/>
  <c r="AC3980" i="30"/>
  <c r="AD3980" i="30" s="1"/>
  <c r="AC3981" i="30"/>
  <c r="AD3981" i="30" s="1"/>
  <c r="AC3982" i="30"/>
  <c r="AD3982" i="30" s="1"/>
  <c r="AC3983" i="30"/>
  <c r="AD3983" i="30" s="1"/>
  <c r="AC3984" i="30"/>
  <c r="AD3984" i="30" s="1"/>
  <c r="AC3985" i="30"/>
  <c r="AD3985" i="30" s="1"/>
  <c r="AC3986" i="30"/>
  <c r="AD3986" i="30" s="1"/>
  <c r="AC3987" i="30"/>
  <c r="AD3987" i="30" s="1"/>
  <c r="AC3988" i="30"/>
  <c r="AD3988" i="30" s="1"/>
  <c r="AC3989" i="30"/>
  <c r="AD3989" i="30" s="1"/>
  <c r="AC3990" i="30"/>
  <c r="AD3990" i="30" s="1"/>
  <c r="AC3991" i="30"/>
  <c r="AD3991" i="30" s="1"/>
  <c r="AC3992" i="30"/>
  <c r="AD3992" i="30" s="1"/>
  <c r="AC3993" i="30"/>
  <c r="AD3993" i="30" s="1"/>
  <c r="AC3994" i="30"/>
  <c r="AD3994" i="30" s="1"/>
  <c r="AC3995" i="30"/>
  <c r="AD3995" i="30" s="1"/>
  <c r="AC3996" i="30"/>
  <c r="AD3996" i="30" s="1"/>
  <c r="AC3997" i="30"/>
  <c r="AD3997" i="30" s="1"/>
  <c r="AC3998" i="30"/>
  <c r="AD3998" i="30" s="1"/>
  <c r="AC3999" i="30"/>
  <c r="AD3999" i="30" s="1"/>
  <c r="AC4000" i="30"/>
  <c r="AD4000" i="30" s="1"/>
  <c r="AC4001" i="30"/>
  <c r="AD4001" i="30" s="1"/>
  <c r="AC4002" i="30"/>
  <c r="AD4002" i="30" s="1"/>
  <c r="AC4003" i="30"/>
  <c r="AD4003" i="30" s="1"/>
  <c r="AC4004" i="30"/>
  <c r="AD4004" i="30" s="1"/>
  <c r="AC4005" i="30"/>
  <c r="AD4005" i="30" s="1"/>
  <c r="AC4006" i="30"/>
  <c r="AD4006" i="30" s="1"/>
  <c r="AC4007" i="30"/>
  <c r="AD4007" i="30" s="1"/>
  <c r="AC4008" i="30"/>
  <c r="AD4008" i="30" s="1"/>
  <c r="AC4009" i="30"/>
  <c r="AD4009" i="30" s="1"/>
  <c r="AC4010" i="30"/>
  <c r="AD4010" i="30" s="1"/>
  <c r="AC4011" i="30"/>
  <c r="AD4011" i="30" s="1"/>
  <c r="AC4012" i="30"/>
  <c r="AD4012" i="30" s="1"/>
  <c r="AC4013" i="30"/>
  <c r="AD4013" i="30" s="1"/>
  <c r="AC4014" i="30"/>
  <c r="AD4014" i="30" s="1"/>
  <c r="AC4015" i="30"/>
  <c r="AD4015" i="30" s="1"/>
  <c r="AC4016" i="30"/>
  <c r="AD4016" i="30" s="1"/>
  <c r="AC4017" i="30"/>
  <c r="AD4017" i="30" s="1"/>
  <c r="AC4018" i="30"/>
  <c r="AD4018" i="30" s="1"/>
  <c r="AC4019" i="30"/>
  <c r="AD4019" i="30" s="1"/>
  <c r="AC4020" i="30"/>
  <c r="AD4020" i="30" s="1"/>
  <c r="AC4021" i="30"/>
  <c r="AD4021" i="30" s="1"/>
  <c r="AC4022" i="30"/>
  <c r="AD4022" i="30" s="1"/>
  <c r="AC4023" i="30"/>
  <c r="AD4023" i="30" s="1"/>
  <c r="AC4024" i="30"/>
  <c r="AD4024" i="30" s="1"/>
  <c r="AC4025" i="30"/>
  <c r="AD4025" i="30" s="1"/>
  <c r="AC4026" i="30"/>
  <c r="AD4026" i="30" s="1"/>
  <c r="AC4027" i="30"/>
  <c r="AD4027" i="30" s="1"/>
  <c r="AC4028" i="30"/>
  <c r="AD4028" i="30" s="1"/>
  <c r="AC4029" i="30"/>
  <c r="AD4029" i="30" s="1"/>
  <c r="AC4030" i="30"/>
  <c r="AD4030" i="30" s="1"/>
  <c r="AC4031" i="30"/>
  <c r="AD4031" i="30" s="1"/>
  <c r="AC4032" i="30"/>
  <c r="AD4032" i="30" s="1"/>
  <c r="AC4033" i="30"/>
  <c r="AD4033" i="30" s="1"/>
  <c r="AC4034" i="30"/>
  <c r="AD4034" i="30" s="1"/>
  <c r="AC4035" i="30"/>
  <c r="AD4035" i="30" s="1"/>
  <c r="AC4036" i="30"/>
  <c r="AD4036" i="30" s="1"/>
  <c r="AC4037" i="30"/>
  <c r="AD4037" i="30" s="1"/>
  <c r="AC4038" i="30"/>
  <c r="AD4038" i="30" s="1"/>
  <c r="AC4039" i="30"/>
  <c r="AD4039" i="30" s="1"/>
  <c r="AC4040" i="30"/>
  <c r="AD4040" i="30" s="1"/>
  <c r="AC4041" i="30"/>
  <c r="AD4041" i="30" s="1"/>
  <c r="AC4042" i="30"/>
  <c r="AD4042" i="30" s="1"/>
  <c r="AC4043" i="30"/>
  <c r="AD4043" i="30" s="1"/>
  <c r="AC4044" i="30"/>
  <c r="AD4044" i="30" s="1"/>
  <c r="AC4045" i="30"/>
  <c r="AD4045" i="30" s="1"/>
  <c r="AC4046" i="30"/>
  <c r="AD4046" i="30" s="1"/>
  <c r="AC4047" i="30"/>
  <c r="AD4047" i="30" s="1"/>
  <c r="AC4048" i="30"/>
  <c r="AD4048" i="30" s="1"/>
  <c r="AC4049" i="30"/>
  <c r="AD4049" i="30" s="1"/>
  <c r="AC4050" i="30"/>
  <c r="AD4050" i="30" s="1"/>
  <c r="AC4051" i="30"/>
  <c r="AD4051" i="30" s="1"/>
  <c r="AC4052" i="30"/>
  <c r="AD4052" i="30" s="1"/>
  <c r="AC4053" i="30"/>
  <c r="AD4053" i="30" s="1"/>
  <c r="AC4054" i="30"/>
  <c r="AD4054" i="30" s="1"/>
  <c r="AC4055" i="30"/>
  <c r="AD4055" i="30" s="1"/>
  <c r="AC4056" i="30"/>
  <c r="AD4056" i="30" s="1"/>
  <c r="AC4057" i="30"/>
  <c r="AD4057" i="30" s="1"/>
  <c r="AC4058" i="30"/>
  <c r="AD4058" i="30" s="1"/>
  <c r="AC4059" i="30"/>
  <c r="AD4059" i="30" s="1"/>
  <c r="AC4060" i="30"/>
  <c r="AD4060" i="30" s="1"/>
  <c r="AC4061" i="30"/>
  <c r="AD4061" i="30" s="1"/>
  <c r="AC4062" i="30"/>
  <c r="AD4062" i="30" s="1"/>
  <c r="AC4063" i="30"/>
  <c r="AD4063" i="30" s="1"/>
  <c r="AC4064" i="30"/>
  <c r="AD4064" i="30" s="1"/>
  <c r="AC4065" i="30"/>
  <c r="AD4065" i="30" s="1"/>
  <c r="AC4066" i="30"/>
  <c r="AD4066" i="30" s="1"/>
  <c r="AC4067" i="30"/>
  <c r="AD4067" i="30" s="1"/>
  <c r="AC4068" i="30"/>
  <c r="AD4068" i="30" s="1"/>
  <c r="AC4069" i="30"/>
  <c r="AD4069" i="30" s="1"/>
  <c r="AC4070" i="30"/>
  <c r="AD4070" i="30" s="1"/>
  <c r="AC4071" i="30"/>
  <c r="AD4071" i="30" s="1"/>
  <c r="AC4072" i="30"/>
  <c r="AD4072" i="30" s="1"/>
  <c r="AC4073" i="30"/>
  <c r="AD4073" i="30" s="1"/>
  <c r="AC4074" i="30"/>
  <c r="AD4074" i="30" s="1"/>
  <c r="AC4075" i="30"/>
  <c r="AD4075" i="30" s="1"/>
  <c r="AC4076" i="30"/>
  <c r="AD4076" i="30" s="1"/>
  <c r="AC4077" i="30"/>
  <c r="AD4077" i="30" s="1"/>
  <c r="AC4078" i="30"/>
  <c r="AD4078" i="30" s="1"/>
  <c r="AC4079" i="30"/>
  <c r="AD4079" i="30" s="1"/>
  <c r="AC4080" i="30"/>
  <c r="AD4080" i="30" s="1"/>
  <c r="AC4081" i="30"/>
  <c r="AD4081" i="30" s="1"/>
  <c r="AC4082" i="30"/>
  <c r="AD4082" i="30" s="1"/>
  <c r="AC4083" i="30"/>
  <c r="AD4083" i="30" s="1"/>
  <c r="AC4084" i="30"/>
  <c r="AD4084" i="30" s="1"/>
  <c r="AC4085" i="30"/>
  <c r="AD4085" i="30" s="1"/>
  <c r="AC4086" i="30"/>
  <c r="AD4086" i="30" s="1"/>
  <c r="AC4087" i="30"/>
  <c r="AD4087" i="30" s="1"/>
  <c r="AC4088" i="30"/>
  <c r="AD4088" i="30" s="1"/>
  <c r="AC4089" i="30"/>
  <c r="AD4089" i="30" s="1"/>
  <c r="AC4090" i="30"/>
  <c r="AD4090" i="30" s="1"/>
  <c r="AC4091" i="30"/>
  <c r="AD4091" i="30" s="1"/>
  <c r="AC4092" i="30"/>
  <c r="AD4092" i="30" s="1"/>
  <c r="AC4093" i="30"/>
  <c r="AD4093" i="30" s="1"/>
  <c r="AC4094" i="30"/>
  <c r="AD4094" i="30" s="1"/>
  <c r="AC4095" i="30"/>
  <c r="AD4095" i="30" s="1"/>
  <c r="AC4096" i="30"/>
  <c r="AD4096" i="30" s="1"/>
  <c r="AC4097" i="30"/>
  <c r="AD4097" i="30" s="1"/>
  <c r="AC4098" i="30"/>
  <c r="AD4098" i="30" s="1"/>
  <c r="AC4099" i="30"/>
  <c r="AD4099" i="30" s="1"/>
  <c r="AC4100" i="30"/>
  <c r="AD4100" i="30" s="1"/>
  <c r="AC4101" i="30"/>
  <c r="AD4101" i="30" s="1"/>
  <c r="AC4102" i="30"/>
  <c r="AD4102" i="30" s="1"/>
  <c r="AC4103" i="30"/>
  <c r="AD4103" i="30" s="1"/>
  <c r="AC4104" i="30"/>
  <c r="AD4104" i="30" s="1"/>
  <c r="AC4105" i="30"/>
  <c r="AD4105" i="30" s="1"/>
  <c r="AC4106" i="30"/>
  <c r="AD4106" i="30" s="1"/>
  <c r="AC4107" i="30"/>
  <c r="AD4107" i="30" s="1"/>
  <c r="AC4108" i="30"/>
  <c r="AD4108" i="30" s="1"/>
  <c r="AC4109" i="30"/>
  <c r="AD4109" i="30" s="1"/>
  <c r="AC4110" i="30"/>
  <c r="AD4110" i="30" s="1"/>
  <c r="AC4111" i="30"/>
  <c r="AD4111" i="30" s="1"/>
  <c r="AC4112" i="30"/>
  <c r="AD4112" i="30" s="1"/>
  <c r="AC4113" i="30"/>
  <c r="AD4113" i="30" s="1"/>
  <c r="AC4114" i="30"/>
  <c r="AD4114" i="30" s="1"/>
  <c r="AC4115" i="30"/>
  <c r="AD4115" i="30" s="1"/>
  <c r="AC4116" i="30"/>
  <c r="AD4116" i="30" s="1"/>
  <c r="AC4117" i="30"/>
  <c r="AD4117" i="30" s="1"/>
  <c r="AC4118" i="30"/>
  <c r="AD4118" i="30" s="1"/>
  <c r="AC4119" i="30"/>
  <c r="AD4119" i="30" s="1"/>
  <c r="AC4120" i="30"/>
  <c r="AD4120" i="30" s="1"/>
  <c r="AC4121" i="30"/>
  <c r="AD4121" i="30" s="1"/>
  <c r="AC4122" i="30"/>
  <c r="AD4122" i="30" s="1"/>
  <c r="AC4123" i="30"/>
  <c r="AD4123" i="30" s="1"/>
  <c r="AC4124" i="30"/>
  <c r="AD4124" i="30" s="1"/>
  <c r="AC4125" i="30"/>
  <c r="AD4125" i="30" s="1"/>
  <c r="AC4126" i="30"/>
  <c r="AD4126" i="30" s="1"/>
  <c r="AC4127" i="30"/>
  <c r="AD4127" i="30" s="1"/>
  <c r="AC4128" i="30"/>
  <c r="AD4128" i="30" s="1"/>
  <c r="AC4129" i="30"/>
  <c r="AD4129" i="30" s="1"/>
  <c r="AC4130" i="30"/>
  <c r="AD4130" i="30" s="1"/>
  <c r="AC4131" i="30"/>
  <c r="AD4131" i="30" s="1"/>
  <c r="AC4132" i="30"/>
  <c r="AD4132" i="30" s="1"/>
  <c r="AC4133" i="30"/>
  <c r="AD4133" i="30" s="1"/>
  <c r="AC4134" i="30"/>
  <c r="AD4134" i="30" s="1"/>
  <c r="AC4135" i="30"/>
  <c r="AD4135" i="30" s="1"/>
  <c r="AC4136" i="30"/>
  <c r="AD4136" i="30" s="1"/>
  <c r="AC4137" i="30"/>
  <c r="AD4137" i="30" s="1"/>
  <c r="AC4138" i="30"/>
  <c r="AD4138" i="30" s="1"/>
  <c r="AC4139" i="30"/>
  <c r="AD4139" i="30" s="1"/>
  <c r="AC4140" i="30"/>
  <c r="AD4140" i="30" s="1"/>
  <c r="AC4141" i="30"/>
  <c r="AD4141" i="30" s="1"/>
  <c r="AC4142" i="30"/>
  <c r="AD4142" i="30" s="1"/>
  <c r="AC4143" i="30"/>
  <c r="AD4143" i="30" s="1"/>
  <c r="AC4144" i="30"/>
  <c r="AD4144" i="30" s="1"/>
  <c r="AC4145" i="30"/>
  <c r="AD4145" i="30" s="1"/>
  <c r="AC4146" i="30"/>
  <c r="AD4146" i="30" s="1"/>
  <c r="AC4147" i="30"/>
  <c r="AD4147" i="30" s="1"/>
  <c r="AC4148" i="30"/>
  <c r="AD4148" i="30" s="1"/>
  <c r="AC4149" i="30"/>
  <c r="AD4149" i="30" s="1"/>
  <c r="AC4150" i="30"/>
  <c r="AD4150" i="30" s="1"/>
  <c r="AC4151" i="30"/>
  <c r="AD4151" i="30" s="1"/>
  <c r="AC4152" i="30"/>
  <c r="AD4152" i="30" s="1"/>
  <c r="AC4153" i="30"/>
  <c r="AD4153" i="30" s="1"/>
  <c r="AC4154" i="30"/>
  <c r="AD4154" i="30" s="1"/>
  <c r="AC4155" i="30"/>
  <c r="AD4155" i="30" s="1"/>
  <c r="AC4156" i="30"/>
  <c r="AD4156" i="30" s="1"/>
  <c r="AC4157" i="30"/>
  <c r="AD4157" i="30" s="1"/>
  <c r="AC4158" i="30"/>
  <c r="AD4158" i="30" s="1"/>
  <c r="AC4159" i="30"/>
  <c r="AD4159" i="30" s="1"/>
  <c r="AC4160" i="30"/>
  <c r="AD4160" i="30" s="1"/>
  <c r="AC4161" i="30"/>
  <c r="AD4161" i="30" s="1"/>
  <c r="AC4162" i="30"/>
  <c r="AD4162" i="30" s="1"/>
  <c r="AC4163" i="30"/>
  <c r="AD4163" i="30" s="1"/>
  <c r="AC4164" i="30"/>
  <c r="AD4164" i="30" s="1"/>
  <c r="AC4165" i="30"/>
  <c r="AD4165" i="30" s="1"/>
  <c r="AC4166" i="30"/>
  <c r="AD4166" i="30" s="1"/>
  <c r="AC4167" i="30"/>
  <c r="AD4167" i="30" s="1"/>
  <c r="AC4168" i="30"/>
  <c r="AD4168" i="30" s="1"/>
  <c r="AC4169" i="30"/>
  <c r="AD4169" i="30" s="1"/>
  <c r="AC4170" i="30"/>
  <c r="AD4170" i="30" s="1"/>
  <c r="AC4171" i="30"/>
  <c r="AD4171" i="30" s="1"/>
  <c r="AC4172" i="30"/>
  <c r="AD4172" i="30" s="1"/>
  <c r="AC4173" i="30"/>
  <c r="AD4173" i="30" s="1"/>
  <c r="AC4174" i="30"/>
  <c r="AD4174" i="30" s="1"/>
  <c r="AC4175" i="30"/>
  <c r="AD4175" i="30" s="1"/>
  <c r="AC4176" i="30"/>
  <c r="AD4176" i="30" s="1"/>
  <c r="AC4177" i="30"/>
  <c r="AD4177" i="30" s="1"/>
  <c r="AC4178" i="30"/>
  <c r="AD4178" i="30" s="1"/>
  <c r="AC4179" i="30"/>
  <c r="AD4179" i="30" s="1"/>
  <c r="AC4180" i="30"/>
  <c r="AD4180" i="30" s="1"/>
  <c r="AC4181" i="30"/>
  <c r="AD4181" i="30" s="1"/>
  <c r="AC4182" i="30"/>
  <c r="AD4182" i="30" s="1"/>
  <c r="AC4183" i="30"/>
  <c r="AD4183" i="30" s="1"/>
  <c r="AC4184" i="30"/>
  <c r="AD4184" i="30" s="1"/>
  <c r="AC4185" i="30"/>
  <c r="AD4185" i="30" s="1"/>
  <c r="AC4186" i="30"/>
  <c r="AD4186" i="30" s="1"/>
  <c r="AC4187" i="30"/>
  <c r="AD4187" i="30" s="1"/>
  <c r="AC4188" i="30"/>
  <c r="AD4188" i="30" s="1"/>
  <c r="AC4189" i="30"/>
  <c r="AD4189" i="30" s="1"/>
  <c r="AC4190" i="30"/>
  <c r="AD4190" i="30" s="1"/>
  <c r="AC4191" i="30"/>
  <c r="AD4191" i="30" s="1"/>
  <c r="AC4192" i="30"/>
  <c r="AD4192" i="30" s="1"/>
  <c r="AC4193" i="30"/>
  <c r="AD4193" i="30" s="1"/>
  <c r="AC4194" i="30"/>
  <c r="AD4194" i="30" s="1"/>
  <c r="AC4195" i="30"/>
  <c r="AD4195" i="30" s="1"/>
  <c r="AC4196" i="30"/>
  <c r="AD4196" i="30" s="1"/>
  <c r="AC4197" i="30"/>
  <c r="AD4197" i="30" s="1"/>
  <c r="AC4198" i="30"/>
  <c r="AD4198" i="30" s="1"/>
  <c r="AC4199" i="30"/>
  <c r="AD4199" i="30" s="1"/>
  <c r="AC4200" i="30"/>
  <c r="AD4200" i="30" s="1"/>
  <c r="AC4201" i="30"/>
  <c r="AD4201" i="30" s="1"/>
  <c r="AC4202" i="30"/>
  <c r="AD4202" i="30" s="1"/>
  <c r="AC4203" i="30"/>
  <c r="AD4203" i="30" s="1"/>
  <c r="AC4204" i="30"/>
  <c r="AD4204" i="30" s="1"/>
  <c r="AC4205" i="30"/>
  <c r="AD4205" i="30" s="1"/>
  <c r="AC4206" i="30"/>
  <c r="AD4206" i="30" s="1"/>
  <c r="AC4207" i="30"/>
  <c r="AD4207" i="30" s="1"/>
  <c r="AC4208" i="30"/>
  <c r="AD4208" i="30" s="1"/>
  <c r="AC4209" i="30"/>
  <c r="AD4209" i="30" s="1"/>
  <c r="AC4210" i="30"/>
  <c r="AD4210" i="30" s="1"/>
  <c r="AC4211" i="30"/>
  <c r="AD4211" i="30" s="1"/>
  <c r="AC4212" i="30"/>
  <c r="AD4212" i="30" s="1"/>
  <c r="AC4213" i="30"/>
  <c r="AD4213" i="30" s="1"/>
  <c r="AC4214" i="30"/>
  <c r="AD4214" i="30" s="1"/>
  <c r="AC4215" i="30"/>
  <c r="AD4215" i="30" s="1"/>
  <c r="AC4216" i="30"/>
  <c r="AD4216" i="30" s="1"/>
  <c r="AC4217" i="30"/>
  <c r="AD4217" i="30" s="1"/>
  <c r="AC4218" i="30"/>
  <c r="AD4218" i="30" s="1"/>
  <c r="AC4219" i="30"/>
  <c r="AD4219" i="30" s="1"/>
  <c r="AC4220" i="30"/>
  <c r="AD4220" i="30" s="1"/>
  <c r="AC4221" i="30"/>
  <c r="AD4221" i="30" s="1"/>
  <c r="AC4222" i="30"/>
  <c r="AD4222" i="30" s="1"/>
  <c r="AC4223" i="30"/>
  <c r="AD4223" i="30" s="1"/>
  <c r="AC4224" i="30"/>
  <c r="AD4224" i="30" s="1"/>
  <c r="AC4225" i="30"/>
  <c r="AD4225" i="30" s="1"/>
  <c r="AC4226" i="30"/>
  <c r="AD4226" i="30" s="1"/>
  <c r="AC4227" i="30"/>
  <c r="AD4227" i="30" s="1"/>
  <c r="AC4228" i="30"/>
  <c r="AD4228" i="30" s="1"/>
  <c r="AC4229" i="30"/>
  <c r="AD4229" i="30" s="1"/>
  <c r="AC4230" i="30"/>
  <c r="AD4230" i="30" s="1"/>
  <c r="AC4231" i="30"/>
  <c r="AD4231" i="30" s="1"/>
  <c r="AC4232" i="30"/>
  <c r="AD4232" i="30" s="1"/>
  <c r="AC4233" i="30"/>
  <c r="AD4233" i="30" s="1"/>
  <c r="AC4234" i="30"/>
  <c r="AD4234" i="30" s="1"/>
  <c r="AC4235" i="30"/>
  <c r="AD4235" i="30" s="1"/>
  <c r="AC4236" i="30"/>
  <c r="AD4236" i="30" s="1"/>
  <c r="AC4237" i="30"/>
  <c r="AD4237" i="30" s="1"/>
  <c r="AC4238" i="30"/>
  <c r="AD4238" i="30" s="1"/>
  <c r="AC4239" i="30"/>
  <c r="AD4239" i="30" s="1"/>
  <c r="AC4240" i="30"/>
  <c r="AD4240" i="30" s="1"/>
  <c r="AC4241" i="30"/>
  <c r="AD4241" i="30" s="1"/>
  <c r="AC4242" i="30"/>
  <c r="AD4242" i="30" s="1"/>
  <c r="AC4243" i="30"/>
  <c r="AD4243" i="30" s="1"/>
  <c r="AC4244" i="30"/>
  <c r="AD4244" i="30" s="1"/>
  <c r="AC4245" i="30"/>
  <c r="AD4245" i="30" s="1"/>
  <c r="AC4246" i="30"/>
  <c r="AD4246" i="30" s="1"/>
  <c r="AC4247" i="30"/>
  <c r="AD4247" i="30" s="1"/>
  <c r="AC4248" i="30"/>
  <c r="AD4248" i="30" s="1"/>
  <c r="AC4249" i="30"/>
  <c r="AD4249" i="30" s="1"/>
  <c r="AC4250" i="30"/>
  <c r="AD4250" i="30" s="1"/>
  <c r="AC4251" i="30"/>
  <c r="AD4251" i="30" s="1"/>
  <c r="AC4252" i="30"/>
  <c r="AD4252" i="30" s="1"/>
  <c r="AC4253" i="30"/>
  <c r="AD4253" i="30" s="1"/>
  <c r="AC4254" i="30"/>
  <c r="AD4254" i="30" s="1"/>
  <c r="AC4255" i="30"/>
  <c r="AD4255" i="30" s="1"/>
  <c r="AC4256" i="30"/>
  <c r="AD4256" i="30" s="1"/>
  <c r="AC4257" i="30"/>
  <c r="AD4257" i="30" s="1"/>
  <c r="AC4258" i="30"/>
  <c r="AD4258" i="30" s="1"/>
  <c r="AC4259" i="30"/>
  <c r="AD4259" i="30" s="1"/>
  <c r="AC4260" i="30"/>
  <c r="AD4260" i="30" s="1"/>
  <c r="AC4261" i="30"/>
  <c r="AD4261" i="30" s="1"/>
  <c r="AC4262" i="30"/>
  <c r="AD4262" i="30" s="1"/>
  <c r="AC4263" i="30"/>
  <c r="AD4263" i="30" s="1"/>
  <c r="AC4264" i="30"/>
  <c r="AD4264" i="30" s="1"/>
  <c r="AC4265" i="30"/>
  <c r="AD4265" i="30" s="1"/>
  <c r="AC4266" i="30"/>
  <c r="AD4266" i="30" s="1"/>
  <c r="AC4267" i="30"/>
  <c r="AD4267" i="30" s="1"/>
  <c r="AC4268" i="30"/>
  <c r="AD4268" i="30" s="1"/>
  <c r="AC4269" i="30"/>
  <c r="AD4269" i="30" s="1"/>
  <c r="AC4270" i="30"/>
  <c r="AD4270" i="30" s="1"/>
  <c r="AC4271" i="30"/>
  <c r="AD4271" i="30" s="1"/>
  <c r="AC4272" i="30"/>
  <c r="AD4272" i="30" s="1"/>
  <c r="AC4273" i="30"/>
  <c r="AD4273" i="30" s="1"/>
  <c r="AC4274" i="30"/>
  <c r="AD4274" i="30" s="1"/>
  <c r="AC4275" i="30"/>
  <c r="AD4275" i="30" s="1"/>
  <c r="AC4276" i="30"/>
  <c r="AD4276" i="30" s="1"/>
  <c r="AC4277" i="30"/>
  <c r="AD4277" i="30" s="1"/>
  <c r="AC4278" i="30"/>
  <c r="AD4278" i="30" s="1"/>
  <c r="AC4279" i="30"/>
  <c r="AD4279" i="30" s="1"/>
  <c r="AC4280" i="30"/>
  <c r="AD4280" i="30" s="1"/>
  <c r="AC4281" i="30"/>
  <c r="AD4281" i="30" s="1"/>
  <c r="AC4282" i="30"/>
  <c r="AD4282" i="30" s="1"/>
  <c r="AC4283" i="30"/>
  <c r="AD4283" i="30" s="1"/>
  <c r="AC4284" i="30"/>
  <c r="AD4284" i="30" s="1"/>
  <c r="AC4285" i="30"/>
  <c r="AD4285" i="30" s="1"/>
  <c r="AC4286" i="30"/>
  <c r="AD4286" i="30" s="1"/>
  <c r="AC4287" i="30"/>
  <c r="AD4287" i="30" s="1"/>
  <c r="AC4288" i="30"/>
  <c r="AD4288" i="30" s="1"/>
  <c r="AC4289" i="30"/>
  <c r="AD4289" i="30" s="1"/>
  <c r="AC4290" i="30"/>
  <c r="AD4290" i="30" s="1"/>
  <c r="AC4291" i="30"/>
  <c r="AD4291" i="30" s="1"/>
  <c r="AC4292" i="30"/>
  <c r="AD4292" i="30" s="1"/>
  <c r="AC4293" i="30"/>
  <c r="AD4293" i="30" s="1"/>
  <c r="AC4294" i="30"/>
  <c r="AD4294" i="30" s="1"/>
  <c r="AC4295" i="30"/>
  <c r="AD4295" i="30" s="1"/>
  <c r="AC4296" i="30"/>
  <c r="AD4296" i="30" s="1"/>
  <c r="AC4297" i="30"/>
  <c r="AD4297" i="30" s="1"/>
  <c r="AC4298" i="30"/>
  <c r="AD4298" i="30" s="1"/>
  <c r="AC4299" i="30"/>
  <c r="AD4299" i="30" s="1"/>
  <c r="AC4300" i="30"/>
  <c r="AD4300" i="30" s="1"/>
  <c r="AC4301" i="30"/>
  <c r="AD4301" i="30" s="1"/>
  <c r="AC4302" i="30"/>
  <c r="AD4302" i="30" s="1"/>
  <c r="AC4303" i="30"/>
  <c r="AD4303" i="30" s="1"/>
  <c r="AC4304" i="30"/>
  <c r="AD4304" i="30" s="1"/>
  <c r="AC4305" i="30"/>
  <c r="AD4305" i="30" s="1"/>
  <c r="AC4306" i="30"/>
  <c r="AD4306" i="30" s="1"/>
  <c r="AC4307" i="30"/>
  <c r="AD4307" i="30" s="1"/>
  <c r="AC4308" i="30"/>
  <c r="AD4308" i="30" s="1"/>
  <c r="AC4309" i="30"/>
  <c r="AD4309" i="30" s="1"/>
  <c r="AC4310" i="30"/>
  <c r="AD4310" i="30" s="1"/>
  <c r="AC4311" i="30"/>
  <c r="AD4311" i="30" s="1"/>
  <c r="AC4312" i="30"/>
  <c r="AD4312" i="30" s="1"/>
  <c r="AC4313" i="30"/>
  <c r="AD4313" i="30" s="1"/>
  <c r="AC4314" i="30"/>
  <c r="AD4314" i="30" s="1"/>
  <c r="AC4315" i="30"/>
  <c r="AD4315" i="30" s="1"/>
  <c r="AC4316" i="30"/>
  <c r="AD4316" i="30" s="1"/>
  <c r="AC4317" i="30"/>
  <c r="AD4317" i="30" s="1"/>
  <c r="AC4318" i="30"/>
  <c r="AD4318" i="30" s="1"/>
  <c r="AC4319" i="30"/>
  <c r="AD4319" i="30" s="1"/>
  <c r="AC4320" i="30"/>
  <c r="AD4320" i="30" s="1"/>
  <c r="AC4321" i="30"/>
  <c r="AD4321" i="30" s="1"/>
  <c r="AC4322" i="30"/>
  <c r="AD4322" i="30" s="1"/>
  <c r="AC4323" i="30"/>
  <c r="AD4323" i="30" s="1"/>
  <c r="AC4324" i="30"/>
  <c r="AD4324" i="30" s="1"/>
  <c r="AC4325" i="30"/>
  <c r="AD4325" i="30" s="1"/>
  <c r="AC4326" i="30"/>
  <c r="AD4326" i="30" s="1"/>
  <c r="AC4327" i="30"/>
  <c r="AD4327" i="30" s="1"/>
  <c r="AC4328" i="30"/>
  <c r="AD4328" i="30" s="1"/>
  <c r="AC4329" i="30"/>
  <c r="AD4329" i="30" s="1"/>
  <c r="AC4330" i="30"/>
  <c r="AD4330" i="30" s="1"/>
  <c r="AC4331" i="30"/>
  <c r="AD4331" i="30" s="1"/>
  <c r="AC4332" i="30"/>
  <c r="AD4332" i="30" s="1"/>
  <c r="AC4333" i="30"/>
  <c r="AD4333" i="30" s="1"/>
  <c r="AC4334" i="30"/>
  <c r="AD4334" i="30" s="1"/>
  <c r="AC4335" i="30"/>
  <c r="AD4335" i="30" s="1"/>
  <c r="AC4336" i="30"/>
  <c r="AD4336" i="30" s="1"/>
  <c r="AC4337" i="30"/>
  <c r="AD4337" i="30" s="1"/>
  <c r="AC4338" i="30"/>
  <c r="AD4338" i="30" s="1"/>
  <c r="AC4339" i="30"/>
  <c r="AD4339" i="30" s="1"/>
  <c r="AC4340" i="30"/>
  <c r="AD4340" i="30" s="1"/>
  <c r="AC4341" i="30"/>
  <c r="AD4341" i="30" s="1"/>
  <c r="AC4342" i="30"/>
  <c r="AD4342" i="30" s="1"/>
  <c r="AC4343" i="30"/>
  <c r="AD4343" i="30" s="1"/>
  <c r="AC4344" i="30"/>
  <c r="AD4344" i="30" s="1"/>
  <c r="AC4345" i="30"/>
  <c r="AD4345" i="30" s="1"/>
  <c r="AC4346" i="30"/>
  <c r="AD4346" i="30" s="1"/>
  <c r="AC4347" i="30"/>
  <c r="AD4347" i="30" s="1"/>
  <c r="AC4348" i="30"/>
  <c r="AD4348" i="30" s="1"/>
  <c r="AC4349" i="30"/>
  <c r="AD4349" i="30" s="1"/>
  <c r="AC4350" i="30"/>
  <c r="AD4350" i="30" s="1"/>
  <c r="AC4351" i="30"/>
  <c r="AD4351" i="30" s="1"/>
  <c r="AC4352" i="30"/>
  <c r="AD4352" i="30" s="1"/>
  <c r="AC4353" i="30"/>
  <c r="AD4353" i="30" s="1"/>
  <c r="AC4354" i="30"/>
  <c r="AD4354" i="30" s="1"/>
  <c r="AC4355" i="30"/>
  <c r="AD4355" i="30" s="1"/>
  <c r="AC4356" i="30"/>
  <c r="AD4356" i="30" s="1"/>
  <c r="AC4357" i="30"/>
  <c r="AD4357" i="30" s="1"/>
  <c r="AC4358" i="30"/>
  <c r="AD4358" i="30" s="1"/>
  <c r="AC4359" i="30"/>
  <c r="AD4359" i="30" s="1"/>
  <c r="AC4360" i="30"/>
  <c r="AD4360" i="30" s="1"/>
  <c r="AC4361" i="30"/>
  <c r="AD4361" i="30" s="1"/>
  <c r="AC4362" i="30"/>
  <c r="AD4362" i="30" s="1"/>
  <c r="AC4363" i="30"/>
  <c r="AD4363" i="30" s="1"/>
  <c r="AC4364" i="30"/>
  <c r="AD4364" i="30" s="1"/>
  <c r="AC4365" i="30"/>
  <c r="AD4365" i="30" s="1"/>
  <c r="AC4366" i="30"/>
  <c r="AD4366" i="30" s="1"/>
  <c r="AC4367" i="30"/>
  <c r="AD4367" i="30" s="1"/>
  <c r="AC4368" i="30"/>
  <c r="AD4368" i="30" s="1"/>
  <c r="AC4369" i="30"/>
  <c r="AD4369" i="30" s="1"/>
  <c r="AC4370" i="30"/>
  <c r="AD4370" i="30" s="1"/>
  <c r="AC4371" i="30"/>
  <c r="AD4371" i="30" s="1"/>
  <c r="AC4372" i="30"/>
  <c r="AD4372" i="30" s="1"/>
  <c r="AC4373" i="30"/>
  <c r="AD4373" i="30" s="1"/>
  <c r="AC4374" i="30"/>
  <c r="AD4374" i="30" s="1"/>
  <c r="AC4375" i="30"/>
  <c r="AD4375" i="30" s="1"/>
  <c r="AC4376" i="30"/>
  <c r="AD4376" i="30" s="1"/>
  <c r="AC4377" i="30"/>
  <c r="AD4377" i="30" s="1"/>
  <c r="AC4378" i="30"/>
  <c r="AD4378" i="30" s="1"/>
  <c r="AC4379" i="30"/>
  <c r="AD4379" i="30" s="1"/>
  <c r="AC4380" i="30"/>
  <c r="AD4380" i="30" s="1"/>
  <c r="AC4381" i="30"/>
  <c r="AD4381" i="30" s="1"/>
  <c r="AC4382" i="30"/>
  <c r="AD4382" i="30" s="1"/>
  <c r="AC4383" i="30"/>
  <c r="AD4383" i="30" s="1"/>
  <c r="AC4384" i="30"/>
  <c r="AD4384" i="30" s="1"/>
  <c r="AC4385" i="30"/>
  <c r="AD4385" i="30" s="1"/>
  <c r="AC4386" i="30"/>
  <c r="AD4386" i="30" s="1"/>
  <c r="AC4387" i="30"/>
  <c r="AD4387" i="30" s="1"/>
  <c r="AC4388" i="30"/>
  <c r="AD4388" i="30" s="1"/>
  <c r="AC4389" i="30"/>
  <c r="AD4389" i="30" s="1"/>
  <c r="AC4390" i="30"/>
  <c r="AD4390" i="30" s="1"/>
  <c r="AC4391" i="30"/>
  <c r="AD4391" i="30" s="1"/>
  <c r="AC4392" i="30"/>
  <c r="AD4392" i="30" s="1"/>
  <c r="AC4393" i="30"/>
  <c r="AD4393" i="30" s="1"/>
  <c r="AC4394" i="30"/>
  <c r="AD4394" i="30" s="1"/>
  <c r="AC4395" i="30"/>
  <c r="AD4395" i="30" s="1"/>
  <c r="AC4396" i="30"/>
  <c r="AD4396" i="30" s="1"/>
  <c r="AC4397" i="30"/>
  <c r="AD4397" i="30" s="1"/>
  <c r="AC4398" i="30"/>
  <c r="AD4398" i="30" s="1"/>
  <c r="AC4399" i="30"/>
  <c r="AD4399" i="30" s="1"/>
  <c r="AC4400" i="30"/>
  <c r="AD4400" i="30" s="1"/>
  <c r="AC4401" i="30"/>
  <c r="AD4401" i="30" s="1"/>
  <c r="AC4402" i="30"/>
  <c r="AD4402" i="30" s="1"/>
  <c r="AC4403" i="30"/>
  <c r="AD4403" i="30" s="1"/>
  <c r="AC4404" i="30"/>
  <c r="AD4404" i="30" s="1"/>
  <c r="AC4405" i="30"/>
  <c r="AD4405" i="30" s="1"/>
  <c r="AC4406" i="30"/>
  <c r="AD4406" i="30" s="1"/>
  <c r="AC4407" i="30"/>
  <c r="AD4407" i="30" s="1"/>
  <c r="AC4408" i="30"/>
  <c r="AD4408" i="30" s="1"/>
  <c r="AC4409" i="30"/>
  <c r="AD4409" i="30" s="1"/>
  <c r="AC4410" i="30"/>
  <c r="AD4410" i="30" s="1"/>
  <c r="AC4411" i="30"/>
  <c r="AD4411" i="30" s="1"/>
  <c r="AC4412" i="30"/>
  <c r="AD4412" i="30" s="1"/>
  <c r="AC4413" i="30"/>
  <c r="AD4413" i="30" s="1"/>
  <c r="AC4414" i="30"/>
  <c r="AD4414" i="30" s="1"/>
  <c r="AC4415" i="30"/>
  <c r="AD4415" i="30" s="1"/>
  <c r="AC4416" i="30"/>
  <c r="AD4416" i="30" s="1"/>
  <c r="AC4417" i="30"/>
  <c r="AD4417" i="30" s="1"/>
  <c r="AC4418" i="30"/>
  <c r="AD4418" i="30" s="1"/>
  <c r="AC4419" i="30"/>
  <c r="AD4419" i="30" s="1"/>
  <c r="AC4420" i="30"/>
  <c r="AD4420" i="30" s="1"/>
  <c r="AC4421" i="30"/>
  <c r="AD4421" i="30" s="1"/>
  <c r="AC4422" i="30"/>
  <c r="AD4422" i="30" s="1"/>
  <c r="AC4423" i="30"/>
  <c r="AD4423" i="30" s="1"/>
  <c r="AC4424" i="30"/>
  <c r="AD4424" i="30" s="1"/>
  <c r="AC4425" i="30"/>
  <c r="AD4425" i="30" s="1"/>
  <c r="AC4426" i="30"/>
  <c r="AD4426" i="30" s="1"/>
  <c r="AC4427" i="30"/>
  <c r="AD4427" i="30" s="1"/>
  <c r="AC4428" i="30"/>
  <c r="AD4428" i="30" s="1"/>
  <c r="AC4429" i="30"/>
  <c r="AD4429" i="30" s="1"/>
  <c r="AC4430" i="30"/>
  <c r="AD4430" i="30" s="1"/>
  <c r="AC4431" i="30"/>
  <c r="AD4431" i="30" s="1"/>
  <c r="AC4432" i="30"/>
  <c r="AD4432" i="30" s="1"/>
  <c r="AC4433" i="30"/>
  <c r="AD4433" i="30" s="1"/>
  <c r="AC4434" i="30"/>
  <c r="AD4434" i="30" s="1"/>
  <c r="AC4435" i="30"/>
  <c r="AD4435" i="30" s="1"/>
  <c r="AC4436" i="30"/>
  <c r="AD4436" i="30" s="1"/>
  <c r="AC4437" i="30"/>
  <c r="AD4437" i="30" s="1"/>
  <c r="AC4438" i="30"/>
  <c r="AD4438" i="30" s="1"/>
  <c r="AC4439" i="30"/>
  <c r="AD4439" i="30" s="1"/>
  <c r="AC4440" i="30"/>
  <c r="AD4440" i="30" s="1"/>
  <c r="AC4441" i="30"/>
  <c r="AD4441" i="30" s="1"/>
  <c r="AC4442" i="30"/>
  <c r="AD4442" i="30" s="1"/>
  <c r="AC4443" i="30"/>
  <c r="AD4443" i="30" s="1"/>
  <c r="AC4444" i="30"/>
  <c r="AD4444" i="30" s="1"/>
  <c r="AC4445" i="30"/>
  <c r="AD4445" i="30" s="1"/>
  <c r="AC4446" i="30"/>
  <c r="AD4446" i="30" s="1"/>
  <c r="AC4447" i="30"/>
  <c r="AD4447" i="30" s="1"/>
  <c r="AC4448" i="30"/>
  <c r="AD4448" i="30" s="1"/>
  <c r="AC4449" i="30"/>
  <c r="AD4449" i="30" s="1"/>
  <c r="AC4450" i="30"/>
  <c r="AD4450" i="30" s="1"/>
  <c r="AC4451" i="30"/>
  <c r="AD4451" i="30" s="1"/>
  <c r="AC4452" i="30"/>
  <c r="AD4452" i="30" s="1"/>
  <c r="AC4453" i="30"/>
  <c r="AD4453" i="30" s="1"/>
  <c r="AC4454" i="30"/>
  <c r="AD4454" i="30" s="1"/>
  <c r="AC4455" i="30"/>
  <c r="AD4455" i="30" s="1"/>
  <c r="AC4456" i="30"/>
  <c r="AD4456" i="30" s="1"/>
  <c r="AC4457" i="30"/>
  <c r="AD4457" i="30" s="1"/>
  <c r="AC4458" i="30"/>
  <c r="AD4458" i="30" s="1"/>
  <c r="AC4459" i="30"/>
  <c r="AD4459" i="30" s="1"/>
  <c r="AC4460" i="30"/>
  <c r="AD4460" i="30" s="1"/>
  <c r="AC4461" i="30"/>
  <c r="AD4461" i="30" s="1"/>
  <c r="AC4462" i="30"/>
  <c r="AD4462" i="30" s="1"/>
  <c r="AC4463" i="30"/>
  <c r="AD4463" i="30" s="1"/>
  <c r="AC4464" i="30"/>
  <c r="AD4464" i="30" s="1"/>
  <c r="AC4465" i="30"/>
  <c r="AD4465" i="30" s="1"/>
  <c r="AC4466" i="30"/>
  <c r="AD4466" i="30" s="1"/>
  <c r="AC4467" i="30"/>
  <c r="AD4467" i="30" s="1"/>
  <c r="AC4468" i="30"/>
  <c r="AD4468" i="30" s="1"/>
  <c r="AC4469" i="30"/>
  <c r="AD4469" i="30" s="1"/>
  <c r="AC4470" i="30"/>
  <c r="AD4470" i="30" s="1"/>
  <c r="AC4471" i="30"/>
  <c r="AD4471" i="30" s="1"/>
  <c r="AC4472" i="30"/>
  <c r="AD4472" i="30" s="1"/>
  <c r="AC4473" i="30"/>
  <c r="AD4473" i="30" s="1"/>
  <c r="AC4474" i="30"/>
  <c r="AD4474" i="30" s="1"/>
  <c r="AC4475" i="30"/>
  <c r="AD4475" i="30" s="1"/>
  <c r="AC4476" i="30"/>
  <c r="AD4476" i="30" s="1"/>
  <c r="AC4477" i="30"/>
  <c r="AD4477" i="30" s="1"/>
  <c r="AC4478" i="30"/>
  <c r="AD4478" i="30" s="1"/>
  <c r="AC4479" i="30"/>
  <c r="AD4479" i="30" s="1"/>
  <c r="AC4480" i="30"/>
  <c r="AD4480" i="30" s="1"/>
  <c r="AC4481" i="30"/>
  <c r="AD4481" i="30" s="1"/>
  <c r="AC4482" i="30"/>
  <c r="AD4482" i="30" s="1"/>
  <c r="AC4483" i="30"/>
  <c r="AD4483" i="30" s="1"/>
  <c r="AC4484" i="30"/>
  <c r="AD4484" i="30" s="1"/>
  <c r="AC4485" i="30"/>
  <c r="AD4485" i="30" s="1"/>
  <c r="AC4486" i="30"/>
  <c r="AD4486" i="30" s="1"/>
  <c r="AC4487" i="30"/>
  <c r="AD4487" i="30" s="1"/>
  <c r="AC4488" i="30"/>
  <c r="AD4488" i="30" s="1"/>
  <c r="AC4489" i="30"/>
  <c r="AD4489" i="30" s="1"/>
  <c r="AC4490" i="30"/>
  <c r="AD4490" i="30" s="1"/>
  <c r="AC4491" i="30"/>
  <c r="AD4491" i="30" s="1"/>
  <c r="AC4492" i="30"/>
  <c r="AD4492" i="30" s="1"/>
  <c r="AC4493" i="30"/>
  <c r="AD4493" i="30" s="1"/>
  <c r="AC4494" i="30"/>
  <c r="AD4494" i="30" s="1"/>
  <c r="AC4495" i="30"/>
  <c r="AD4495" i="30" s="1"/>
  <c r="AC4496" i="30"/>
  <c r="AD4496" i="30" s="1"/>
  <c r="AC4497" i="30"/>
  <c r="AD4497" i="30" s="1"/>
  <c r="AC4498" i="30"/>
  <c r="AD4498" i="30" s="1"/>
  <c r="AC4499" i="30"/>
  <c r="AD4499" i="30" s="1"/>
  <c r="AC4500" i="30"/>
  <c r="AD4500" i="30" s="1"/>
  <c r="AC4501" i="30"/>
  <c r="AD4501" i="30" s="1"/>
  <c r="AC4502" i="30"/>
  <c r="AD4502" i="30" s="1"/>
  <c r="AC4503" i="30"/>
  <c r="AD4503" i="30" s="1"/>
  <c r="AC4504" i="30"/>
  <c r="AD4504" i="30" s="1"/>
  <c r="AC4505" i="30"/>
  <c r="AD4505" i="30" s="1"/>
  <c r="AC4506" i="30"/>
  <c r="AD4506" i="30" s="1"/>
  <c r="AC4507" i="30"/>
  <c r="AD4507" i="30" s="1"/>
  <c r="AC4508" i="30"/>
  <c r="AD4508" i="30" s="1"/>
  <c r="AC4509" i="30"/>
  <c r="AD4509" i="30" s="1"/>
  <c r="AC4510" i="30"/>
  <c r="AD4510" i="30" s="1"/>
  <c r="AC4511" i="30"/>
  <c r="AD4511" i="30" s="1"/>
  <c r="AC4512" i="30"/>
  <c r="AD4512" i="30" s="1"/>
  <c r="AC4513" i="30"/>
  <c r="AD4513" i="30" s="1"/>
  <c r="AC4514" i="30"/>
  <c r="AD4514" i="30" s="1"/>
  <c r="AC4515" i="30"/>
  <c r="AD4515" i="30" s="1"/>
  <c r="AC4516" i="30"/>
  <c r="AD4516" i="30" s="1"/>
  <c r="AC4517" i="30"/>
  <c r="AD4517" i="30" s="1"/>
  <c r="AC4518" i="30"/>
  <c r="AD4518" i="30" s="1"/>
  <c r="AC4519" i="30"/>
  <c r="AD4519" i="30" s="1"/>
  <c r="AC4520" i="30"/>
  <c r="AD4520" i="30" s="1"/>
  <c r="AC4521" i="30"/>
  <c r="AD4521" i="30" s="1"/>
  <c r="AC4522" i="30"/>
  <c r="AD4522" i="30" s="1"/>
  <c r="AC4523" i="30"/>
  <c r="AD4523" i="30" s="1"/>
  <c r="AC4524" i="30"/>
  <c r="AD4524" i="30" s="1"/>
  <c r="AC4525" i="30"/>
  <c r="AD4525" i="30" s="1"/>
  <c r="AC4526" i="30"/>
  <c r="AD4526" i="30" s="1"/>
  <c r="AC4527" i="30"/>
  <c r="AD4527" i="30" s="1"/>
  <c r="AC4528" i="30"/>
  <c r="AD4528" i="30" s="1"/>
  <c r="AC4529" i="30"/>
  <c r="AD4529" i="30" s="1"/>
  <c r="AC4530" i="30"/>
  <c r="AD4530" i="30" s="1"/>
  <c r="AC4531" i="30"/>
  <c r="AD4531" i="30" s="1"/>
  <c r="AC4532" i="30"/>
  <c r="AD4532" i="30" s="1"/>
  <c r="AC4533" i="30"/>
  <c r="AD4533" i="30" s="1"/>
  <c r="AC4534" i="30"/>
  <c r="AD4534" i="30" s="1"/>
  <c r="AC4535" i="30"/>
  <c r="AD4535" i="30" s="1"/>
  <c r="AC4536" i="30"/>
  <c r="AD4536" i="30" s="1"/>
  <c r="AC4537" i="30"/>
  <c r="AD4537" i="30" s="1"/>
  <c r="AC4538" i="30"/>
  <c r="AD4538" i="30" s="1"/>
  <c r="AC4539" i="30"/>
  <c r="AD4539" i="30" s="1"/>
  <c r="AC4540" i="30"/>
  <c r="AD4540" i="30" s="1"/>
  <c r="AC4541" i="30"/>
  <c r="AD4541" i="30" s="1"/>
  <c r="AC4542" i="30"/>
  <c r="AD4542" i="30" s="1"/>
  <c r="AC4543" i="30"/>
  <c r="AD4543" i="30" s="1"/>
  <c r="AC4544" i="30"/>
  <c r="AD4544" i="30" s="1"/>
  <c r="AC4545" i="30"/>
  <c r="AD4545" i="30" s="1"/>
  <c r="AC4546" i="30"/>
  <c r="AD4546" i="30" s="1"/>
  <c r="AC4547" i="30"/>
  <c r="AD4547" i="30" s="1"/>
  <c r="AC4548" i="30"/>
  <c r="AD4548" i="30" s="1"/>
  <c r="AC4549" i="30"/>
  <c r="AD4549" i="30" s="1"/>
  <c r="AC4550" i="30"/>
  <c r="AD4550" i="30" s="1"/>
  <c r="AC4551" i="30"/>
  <c r="AD4551" i="30" s="1"/>
  <c r="AC4552" i="30"/>
  <c r="AD4552" i="30" s="1"/>
  <c r="AC4553" i="30"/>
  <c r="AD4553" i="30" s="1"/>
  <c r="AC4554" i="30"/>
  <c r="AD4554" i="30" s="1"/>
  <c r="AC4555" i="30"/>
  <c r="AD4555" i="30" s="1"/>
  <c r="AC4556" i="30"/>
  <c r="AD4556" i="30" s="1"/>
  <c r="AC4557" i="30"/>
  <c r="AD4557" i="30" s="1"/>
  <c r="AC4558" i="30"/>
  <c r="AD4558" i="30" s="1"/>
  <c r="AC4559" i="30"/>
  <c r="AD4559" i="30" s="1"/>
  <c r="AC4560" i="30"/>
  <c r="AD4560" i="30" s="1"/>
  <c r="AC4561" i="30"/>
  <c r="AD4561" i="30" s="1"/>
  <c r="AC4562" i="30"/>
  <c r="AD4562" i="30" s="1"/>
  <c r="AC4563" i="30"/>
  <c r="AD4563" i="30" s="1"/>
  <c r="AC4564" i="30"/>
  <c r="AD4564" i="30" s="1"/>
  <c r="AC4565" i="30"/>
  <c r="AD4565" i="30" s="1"/>
  <c r="AC4566" i="30"/>
  <c r="AD4566" i="30" s="1"/>
  <c r="AC4567" i="30"/>
  <c r="AD4567" i="30" s="1"/>
  <c r="AC4568" i="30"/>
  <c r="AD4568" i="30" s="1"/>
  <c r="AC4569" i="30"/>
  <c r="AD4569" i="30" s="1"/>
  <c r="AC4570" i="30"/>
  <c r="AD4570" i="30" s="1"/>
  <c r="AC4571" i="30"/>
  <c r="AD4571" i="30" s="1"/>
  <c r="AC4572" i="30"/>
  <c r="AD4572" i="30" s="1"/>
  <c r="AC4573" i="30"/>
  <c r="AD4573" i="30" s="1"/>
  <c r="AC4574" i="30"/>
  <c r="AD4574" i="30" s="1"/>
  <c r="AC4575" i="30"/>
  <c r="AD4575" i="30" s="1"/>
  <c r="AC4576" i="30"/>
  <c r="AD4576" i="30" s="1"/>
  <c r="AC4577" i="30"/>
  <c r="AD4577" i="30" s="1"/>
  <c r="AC4578" i="30"/>
  <c r="AD4578" i="30" s="1"/>
  <c r="AC4579" i="30"/>
  <c r="AD4579" i="30" s="1"/>
  <c r="AC4580" i="30"/>
  <c r="AD4580" i="30" s="1"/>
  <c r="AC4581" i="30"/>
  <c r="AD4581" i="30" s="1"/>
  <c r="AC4582" i="30"/>
  <c r="AD4582" i="30" s="1"/>
  <c r="AC4583" i="30"/>
  <c r="AD4583" i="30" s="1"/>
  <c r="AC4584" i="30"/>
  <c r="AD4584" i="30" s="1"/>
  <c r="AC4585" i="30"/>
  <c r="AD4585" i="30" s="1"/>
  <c r="AC4586" i="30"/>
  <c r="AD4586" i="30" s="1"/>
  <c r="AC4587" i="30"/>
  <c r="AD4587" i="30" s="1"/>
  <c r="AC4588" i="30"/>
  <c r="AD4588" i="30" s="1"/>
  <c r="AC4589" i="30"/>
  <c r="AD4589" i="30" s="1"/>
  <c r="AC4590" i="30"/>
  <c r="AD4590" i="30" s="1"/>
  <c r="AC4591" i="30"/>
  <c r="AD4591" i="30" s="1"/>
  <c r="AC4592" i="30"/>
  <c r="AD4592" i="30" s="1"/>
  <c r="AC4593" i="30"/>
  <c r="AD4593" i="30" s="1"/>
  <c r="AC4594" i="30"/>
  <c r="AD4594" i="30" s="1"/>
  <c r="AC4595" i="30"/>
  <c r="AD4595" i="30" s="1"/>
  <c r="AC4596" i="30"/>
  <c r="AD4596" i="30" s="1"/>
  <c r="AC4597" i="30"/>
  <c r="AD4597" i="30" s="1"/>
  <c r="AC4598" i="30"/>
  <c r="AD4598" i="30" s="1"/>
  <c r="AC4599" i="30"/>
  <c r="AD4599" i="30" s="1"/>
  <c r="AC4600" i="30"/>
  <c r="AD4600" i="30" s="1"/>
  <c r="AC4601" i="30"/>
  <c r="AD4601" i="30" s="1"/>
  <c r="AC4602" i="30"/>
  <c r="AD4602" i="30" s="1"/>
  <c r="AC4603" i="30"/>
  <c r="AD4603" i="30" s="1"/>
  <c r="AC4604" i="30"/>
  <c r="AD4604" i="30" s="1"/>
  <c r="AC4605" i="30"/>
  <c r="AD4605" i="30" s="1"/>
  <c r="AC4606" i="30"/>
  <c r="AD4606" i="30" s="1"/>
  <c r="AC4607" i="30"/>
  <c r="AD4607" i="30" s="1"/>
  <c r="AC4608" i="30"/>
  <c r="AD4608" i="30" s="1"/>
  <c r="AC4609" i="30"/>
  <c r="AD4609" i="30" s="1"/>
  <c r="AC4610" i="30"/>
  <c r="AD4610" i="30" s="1"/>
  <c r="AC4611" i="30"/>
  <c r="AD4611" i="30" s="1"/>
  <c r="AC4612" i="30"/>
  <c r="AD4612" i="30" s="1"/>
  <c r="AC4613" i="30"/>
  <c r="AD4613" i="30" s="1"/>
  <c r="AC4614" i="30"/>
  <c r="AD4614" i="30" s="1"/>
  <c r="AC4615" i="30"/>
  <c r="AD4615" i="30" s="1"/>
  <c r="AC4616" i="30"/>
  <c r="AD4616" i="30" s="1"/>
  <c r="AC4617" i="30"/>
  <c r="AD4617" i="30" s="1"/>
  <c r="AC4618" i="30"/>
  <c r="AD4618" i="30" s="1"/>
  <c r="AC4619" i="30"/>
  <c r="AD4619" i="30" s="1"/>
  <c r="AC4620" i="30"/>
  <c r="AD4620" i="30" s="1"/>
  <c r="AC4621" i="30"/>
  <c r="AD4621" i="30" s="1"/>
  <c r="AC4622" i="30"/>
  <c r="AD4622" i="30" s="1"/>
  <c r="AC4623" i="30"/>
  <c r="AD4623" i="30" s="1"/>
  <c r="AC4624" i="30"/>
  <c r="AD4624" i="30" s="1"/>
  <c r="AC4625" i="30"/>
  <c r="AD4625" i="30" s="1"/>
  <c r="AC4626" i="30"/>
  <c r="AD4626" i="30" s="1"/>
  <c r="AC4627" i="30"/>
  <c r="AD4627" i="30" s="1"/>
  <c r="AC4628" i="30"/>
  <c r="AD4628" i="30" s="1"/>
  <c r="AC4629" i="30"/>
  <c r="AD4629" i="30" s="1"/>
  <c r="AC4630" i="30"/>
  <c r="AD4630" i="30" s="1"/>
  <c r="AC4631" i="30"/>
  <c r="AD4631" i="30" s="1"/>
  <c r="AC4632" i="30"/>
  <c r="AD4632" i="30" s="1"/>
  <c r="AC4633" i="30"/>
  <c r="AD4633" i="30" s="1"/>
  <c r="AC4634" i="30"/>
  <c r="AD4634" i="30" s="1"/>
  <c r="AC4635" i="30"/>
  <c r="AD4635" i="30" s="1"/>
  <c r="AC4636" i="30"/>
  <c r="AD4636" i="30" s="1"/>
  <c r="AC4637" i="30"/>
  <c r="AD4637" i="30" s="1"/>
  <c r="AC4638" i="30"/>
  <c r="AD4638" i="30" s="1"/>
  <c r="AC4639" i="30"/>
  <c r="AD4639" i="30" s="1"/>
  <c r="AC4640" i="30"/>
  <c r="AD4640" i="30" s="1"/>
  <c r="AC4641" i="30"/>
  <c r="AD4641" i="30" s="1"/>
  <c r="AC4642" i="30"/>
  <c r="AD4642" i="30" s="1"/>
  <c r="AC4643" i="30"/>
  <c r="AD4643" i="30" s="1"/>
  <c r="AC4644" i="30"/>
  <c r="AD4644" i="30" s="1"/>
  <c r="AC4645" i="30"/>
  <c r="AD4645" i="30" s="1"/>
  <c r="AC4646" i="30"/>
  <c r="AD4646" i="30" s="1"/>
  <c r="AC4647" i="30"/>
  <c r="AD4647" i="30" s="1"/>
  <c r="AC4648" i="30"/>
  <c r="AD4648" i="30" s="1"/>
  <c r="AC4649" i="30"/>
  <c r="AD4649" i="30" s="1"/>
  <c r="AC4650" i="30"/>
  <c r="AD4650" i="30" s="1"/>
  <c r="AC4651" i="30"/>
  <c r="AD4651" i="30" s="1"/>
  <c r="AC4652" i="30"/>
  <c r="AD4652" i="30" s="1"/>
  <c r="AC4653" i="30"/>
  <c r="AD4653" i="30" s="1"/>
  <c r="AC4654" i="30"/>
  <c r="AD4654" i="30" s="1"/>
  <c r="AC4655" i="30"/>
  <c r="AD4655" i="30" s="1"/>
  <c r="AC4656" i="30"/>
  <c r="AD4656" i="30" s="1"/>
  <c r="AC4657" i="30"/>
  <c r="AD4657" i="30" s="1"/>
  <c r="AC4658" i="30"/>
  <c r="AD4658" i="30" s="1"/>
  <c r="AC4659" i="30"/>
  <c r="AD4659" i="30" s="1"/>
  <c r="AC4660" i="30"/>
  <c r="AD4660" i="30" s="1"/>
  <c r="AC4661" i="30"/>
  <c r="AD4661" i="30" s="1"/>
  <c r="AC4662" i="30"/>
  <c r="AD4662" i="30" s="1"/>
  <c r="AC4663" i="30"/>
  <c r="AD4663" i="30" s="1"/>
  <c r="AC4664" i="30"/>
  <c r="AD4664" i="30" s="1"/>
  <c r="AC4665" i="30"/>
  <c r="AD4665" i="30" s="1"/>
  <c r="AC4666" i="30"/>
  <c r="AD4666" i="30" s="1"/>
  <c r="AC4667" i="30"/>
  <c r="AD4667" i="30" s="1"/>
  <c r="AC4668" i="30"/>
  <c r="AD4668" i="30" s="1"/>
  <c r="AC4669" i="30"/>
  <c r="AD4669" i="30" s="1"/>
  <c r="AC4670" i="30"/>
  <c r="AD4670" i="30" s="1"/>
  <c r="AC4671" i="30"/>
  <c r="AD4671" i="30" s="1"/>
  <c r="AC4672" i="30"/>
  <c r="AD4672" i="30" s="1"/>
  <c r="AC4673" i="30"/>
  <c r="AD4673" i="30" s="1"/>
  <c r="AC4674" i="30"/>
  <c r="AD4674" i="30" s="1"/>
  <c r="AC4675" i="30"/>
  <c r="AD4675" i="30" s="1"/>
  <c r="AC4676" i="30"/>
  <c r="AD4676" i="30" s="1"/>
  <c r="AC4677" i="30"/>
  <c r="AD4677" i="30" s="1"/>
  <c r="AC4678" i="30"/>
  <c r="AD4678" i="30" s="1"/>
  <c r="AC4679" i="30"/>
  <c r="AD4679" i="30" s="1"/>
  <c r="AC4680" i="30"/>
  <c r="AD4680" i="30" s="1"/>
  <c r="AC4681" i="30"/>
  <c r="AD4681" i="30" s="1"/>
  <c r="AC4682" i="30"/>
  <c r="AD4682" i="30" s="1"/>
  <c r="AC4683" i="30"/>
  <c r="AD4683" i="30" s="1"/>
  <c r="AC4684" i="30"/>
  <c r="AD4684" i="30" s="1"/>
  <c r="AC4685" i="30"/>
  <c r="AD4685" i="30" s="1"/>
  <c r="AC4686" i="30"/>
  <c r="AD4686" i="30" s="1"/>
  <c r="AC4687" i="30"/>
  <c r="AD4687" i="30" s="1"/>
  <c r="AC4688" i="30"/>
  <c r="AD4688" i="30" s="1"/>
  <c r="AC4689" i="30"/>
  <c r="AD4689" i="30" s="1"/>
  <c r="AC4690" i="30"/>
  <c r="AD4690" i="30" s="1"/>
  <c r="AC4691" i="30"/>
  <c r="AD4691" i="30" s="1"/>
  <c r="AC4692" i="30"/>
  <c r="AD4692" i="30" s="1"/>
  <c r="AC4693" i="30"/>
  <c r="AD4693" i="30" s="1"/>
  <c r="AC4694" i="30"/>
  <c r="AD4694" i="30" s="1"/>
  <c r="AC4695" i="30"/>
  <c r="AD4695" i="30" s="1"/>
  <c r="AC4696" i="30"/>
  <c r="AD4696" i="30" s="1"/>
  <c r="AC4697" i="30"/>
  <c r="AD4697" i="30" s="1"/>
  <c r="AC4698" i="30"/>
  <c r="AD4698" i="30" s="1"/>
  <c r="AC4699" i="30"/>
  <c r="AD4699" i="30" s="1"/>
  <c r="AC4700" i="30"/>
  <c r="AD4700" i="30" s="1"/>
  <c r="AC4701" i="30"/>
  <c r="AD4701" i="30" s="1"/>
  <c r="AC4702" i="30"/>
  <c r="AD4702" i="30" s="1"/>
  <c r="AC4703" i="30"/>
  <c r="AD4703" i="30" s="1"/>
  <c r="AC4704" i="30"/>
  <c r="AD4704" i="30" s="1"/>
  <c r="AC4705" i="30"/>
  <c r="AD4705" i="30" s="1"/>
  <c r="AC4706" i="30"/>
  <c r="AD4706" i="30" s="1"/>
  <c r="AC4707" i="30"/>
  <c r="AD4707" i="30" s="1"/>
  <c r="AC4708" i="30"/>
  <c r="AD4708" i="30" s="1"/>
  <c r="AC4709" i="30"/>
  <c r="AD4709" i="30" s="1"/>
  <c r="AC4710" i="30"/>
  <c r="AD4710" i="30" s="1"/>
  <c r="AC4711" i="30"/>
  <c r="AD4711" i="30" s="1"/>
  <c r="AC4712" i="30"/>
  <c r="AD4712" i="30" s="1"/>
  <c r="AC4713" i="30"/>
  <c r="AD4713" i="30" s="1"/>
  <c r="AC4714" i="30"/>
  <c r="AD4714" i="30" s="1"/>
  <c r="AC4715" i="30"/>
  <c r="AD4715" i="30" s="1"/>
  <c r="AC4716" i="30"/>
  <c r="AD4716" i="30" s="1"/>
  <c r="AC4717" i="30"/>
  <c r="AD4717" i="30" s="1"/>
  <c r="AC4718" i="30"/>
  <c r="AD4718" i="30" s="1"/>
  <c r="AC4719" i="30"/>
  <c r="AD4719" i="30" s="1"/>
  <c r="AC4720" i="30"/>
  <c r="AD4720" i="30" s="1"/>
  <c r="AC4721" i="30"/>
  <c r="AD4721" i="30" s="1"/>
  <c r="AC4722" i="30"/>
  <c r="AD4722" i="30" s="1"/>
  <c r="AC4723" i="30"/>
  <c r="AD4723" i="30" s="1"/>
  <c r="AC4724" i="30"/>
  <c r="AD4724" i="30" s="1"/>
  <c r="AC4725" i="30"/>
  <c r="AD4725" i="30" s="1"/>
  <c r="AC4726" i="30"/>
  <c r="AD4726" i="30" s="1"/>
  <c r="AC4727" i="30"/>
  <c r="AD4727" i="30" s="1"/>
  <c r="AC4728" i="30"/>
  <c r="AD4728" i="30" s="1"/>
  <c r="AC4729" i="30"/>
  <c r="AD4729" i="30" s="1"/>
  <c r="AC4730" i="30"/>
  <c r="AD4730" i="30" s="1"/>
  <c r="AC4731" i="30"/>
  <c r="AD4731" i="30" s="1"/>
  <c r="AC4732" i="30"/>
  <c r="AD4732" i="30" s="1"/>
  <c r="AC4733" i="30"/>
  <c r="AD4733" i="30" s="1"/>
  <c r="AC4734" i="30"/>
  <c r="AD4734" i="30" s="1"/>
  <c r="AC4735" i="30"/>
  <c r="AD4735" i="30" s="1"/>
  <c r="AC4736" i="30"/>
  <c r="AD4736" i="30" s="1"/>
  <c r="AC4737" i="30"/>
  <c r="AD4737" i="30" s="1"/>
  <c r="AC4738" i="30"/>
  <c r="AD4738" i="30" s="1"/>
  <c r="AC4739" i="30"/>
  <c r="AD4739" i="30" s="1"/>
  <c r="AC4740" i="30"/>
  <c r="AD4740" i="30" s="1"/>
  <c r="AC4741" i="30"/>
  <c r="AD4741" i="30" s="1"/>
  <c r="AC4742" i="30"/>
  <c r="AD4742" i="30" s="1"/>
  <c r="AC4743" i="30"/>
  <c r="AD4743" i="30" s="1"/>
  <c r="AC4744" i="30"/>
  <c r="AD4744" i="30" s="1"/>
  <c r="AC4745" i="30"/>
  <c r="AD4745" i="30" s="1"/>
  <c r="AC4746" i="30"/>
  <c r="AD4746" i="30" s="1"/>
  <c r="AC4747" i="30"/>
  <c r="AD4747" i="30" s="1"/>
  <c r="AC4748" i="30"/>
  <c r="AD4748" i="30" s="1"/>
  <c r="AC4749" i="30"/>
  <c r="AD4749" i="30" s="1"/>
  <c r="AC4750" i="30"/>
  <c r="AD4750" i="30" s="1"/>
  <c r="AC4751" i="30"/>
  <c r="AD4751" i="30" s="1"/>
  <c r="AC4752" i="30"/>
  <c r="AD4752" i="30" s="1"/>
  <c r="AC4753" i="30"/>
  <c r="AD4753" i="30" s="1"/>
  <c r="AC4754" i="30"/>
  <c r="AD4754" i="30" s="1"/>
  <c r="AC4755" i="30"/>
  <c r="AD4755" i="30" s="1"/>
  <c r="AC4756" i="30"/>
  <c r="AD4756" i="30" s="1"/>
  <c r="AC4757" i="30"/>
  <c r="AD4757" i="30" s="1"/>
  <c r="AC4758" i="30"/>
  <c r="AD4758" i="30" s="1"/>
  <c r="AC4759" i="30"/>
  <c r="AD4759" i="30" s="1"/>
  <c r="AC4760" i="30"/>
  <c r="AD4760" i="30" s="1"/>
  <c r="AC4761" i="30"/>
  <c r="AD4761" i="30" s="1"/>
  <c r="AC4762" i="30"/>
  <c r="AD4762" i="30" s="1"/>
  <c r="AC4763" i="30"/>
  <c r="AD4763" i="30" s="1"/>
  <c r="AC4764" i="30"/>
  <c r="AD4764" i="30" s="1"/>
  <c r="AC4765" i="30"/>
  <c r="AD4765" i="30" s="1"/>
  <c r="AC4766" i="30"/>
  <c r="AD4766" i="30" s="1"/>
  <c r="AC4767" i="30"/>
  <c r="AD4767" i="30" s="1"/>
  <c r="AC4768" i="30"/>
  <c r="AD4768" i="30" s="1"/>
  <c r="AC4769" i="30"/>
  <c r="AD4769" i="30" s="1"/>
  <c r="AC4770" i="30"/>
  <c r="AD4770" i="30" s="1"/>
  <c r="AC4771" i="30"/>
  <c r="AD4771" i="30" s="1"/>
  <c r="AC4772" i="30"/>
  <c r="AD4772" i="30" s="1"/>
  <c r="AC4773" i="30"/>
  <c r="AD4773" i="30" s="1"/>
  <c r="AC4774" i="30"/>
  <c r="AD4774" i="30" s="1"/>
  <c r="AC4775" i="30"/>
  <c r="AD4775" i="30" s="1"/>
  <c r="AC4776" i="30"/>
  <c r="AD4776" i="30" s="1"/>
  <c r="AC4777" i="30"/>
  <c r="AD4777" i="30" s="1"/>
  <c r="AC4778" i="30"/>
  <c r="AD4778" i="30" s="1"/>
  <c r="AC4779" i="30"/>
  <c r="AD4779" i="30" s="1"/>
  <c r="AC4780" i="30"/>
  <c r="AD4780" i="30" s="1"/>
  <c r="AC4781" i="30"/>
  <c r="AD4781" i="30" s="1"/>
  <c r="AC4782" i="30"/>
  <c r="AD4782" i="30" s="1"/>
  <c r="AC4783" i="30"/>
  <c r="AD4783" i="30" s="1"/>
  <c r="AC4784" i="30"/>
  <c r="AD4784" i="30" s="1"/>
  <c r="AC4785" i="30"/>
  <c r="AD4785" i="30" s="1"/>
  <c r="AC4786" i="30"/>
  <c r="AD4786" i="30" s="1"/>
  <c r="AC4787" i="30"/>
  <c r="AD4787" i="30" s="1"/>
  <c r="AC4788" i="30"/>
  <c r="AD4788" i="30" s="1"/>
  <c r="AC4789" i="30"/>
  <c r="AD4789" i="30" s="1"/>
  <c r="AC4790" i="30"/>
  <c r="AD4790" i="30" s="1"/>
  <c r="AC4791" i="30"/>
  <c r="AD4791" i="30" s="1"/>
  <c r="AC4792" i="30"/>
  <c r="AD4792" i="30" s="1"/>
  <c r="AC4793" i="30"/>
  <c r="AD4793" i="30" s="1"/>
  <c r="AC4794" i="30"/>
  <c r="AD4794" i="30" s="1"/>
  <c r="AC4795" i="30"/>
  <c r="AD4795" i="30" s="1"/>
  <c r="AC4796" i="30"/>
  <c r="AD4796" i="30" s="1"/>
  <c r="AC4797" i="30"/>
  <c r="AD4797" i="30" s="1"/>
  <c r="AC4798" i="30"/>
  <c r="AD4798" i="30" s="1"/>
  <c r="AC4799" i="30"/>
  <c r="AD4799" i="30" s="1"/>
  <c r="AC4800" i="30"/>
  <c r="AD4800" i="30" s="1"/>
  <c r="AC4801" i="30"/>
  <c r="AD4801" i="30" s="1"/>
  <c r="AC4802" i="30"/>
  <c r="AD4802" i="30" s="1"/>
  <c r="AC4803" i="30"/>
  <c r="AD4803" i="30" s="1"/>
  <c r="AC4804" i="30"/>
  <c r="AD4804" i="30" s="1"/>
  <c r="AC4805" i="30"/>
  <c r="AD4805" i="30" s="1"/>
  <c r="AC4806" i="30"/>
  <c r="AD4806" i="30" s="1"/>
  <c r="AC4807" i="30"/>
  <c r="AD4807" i="30" s="1"/>
  <c r="AC4808" i="30"/>
  <c r="AD4808" i="30" s="1"/>
  <c r="AC4809" i="30"/>
  <c r="AD4809" i="30" s="1"/>
  <c r="AC4810" i="30"/>
  <c r="AD4810" i="30" s="1"/>
  <c r="AC4811" i="30"/>
  <c r="AD4811" i="30" s="1"/>
  <c r="AC4812" i="30"/>
  <c r="AD4812" i="30" s="1"/>
  <c r="AC4813" i="30"/>
  <c r="AD4813" i="30" s="1"/>
  <c r="AC4814" i="30"/>
  <c r="AD4814" i="30" s="1"/>
  <c r="AC4815" i="30"/>
  <c r="AD4815" i="30" s="1"/>
  <c r="AC4816" i="30"/>
  <c r="AD4816" i="30" s="1"/>
  <c r="AC4817" i="30"/>
  <c r="AD4817" i="30" s="1"/>
  <c r="AC4818" i="30"/>
  <c r="AD4818" i="30" s="1"/>
  <c r="AC4819" i="30"/>
  <c r="AD4819" i="30" s="1"/>
  <c r="AC4820" i="30"/>
  <c r="AD4820" i="30" s="1"/>
  <c r="AC4821" i="30"/>
  <c r="AD4821" i="30" s="1"/>
  <c r="AC4822" i="30"/>
  <c r="AD4822" i="30" s="1"/>
  <c r="AC4823" i="30"/>
  <c r="AD4823" i="30" s="1"/>
  <c r="AC4824" i="30"/>
  <c r="AD4824" i="30" s="1"/>
  <c r="AC4825" i="30"/>
  <c r="AD4825" i="30" s="1"/>
  <c r="AC4826" i="30"/>
  <c r="AD4826" i="30" s="1"/>
  <c r="AC4827" i="30"/>
  <c r="AD4827" i="30" s="1"/>
  <c r="AC4828" i="30"/>
  <c r="AD4828" i="30" s="1"/>
  <c r="AC4829" i="30"/>
  <c r="AD4829" i="30" s="1"/>
  <c r="AC4830" i="30"/>
  <c r="AD4830" i="30" s="1"/>
  <c r="AC4831" i="30"/>
  <c r="AD4831" i="30" s="1"/>
  <c r="AC4832" i="30"/>
  <c r="AD4832" i="30" s="1"/>
  <c r="AC4833" i="30"/>
  <c r="AD4833" i="30" s="1"/>
  <c r="AC4834" i="30"/>
  <c r="AD4834" i="30" s="1"/>
  <c r="AC4835" i="30"/>
  <c r="AD4835" i="30" s="1"/>
  <c r="AC4836" i="30"/>
  <c r="AD4836" i="30" s="1"/>
  <c r="AC4837" i="30"/>
  <c r="AD4837" i="30" s="1"/>
  <c r="AC4838" i="30"/>
  <c r="AD4838" i="30" s="1"/>
  <c r="AC4839" i="30"/>
  <c r="AD4839" i="30" s="1"/>
  <c r="AC4840" i="30"/>
  <c r="AD4840" i="30" s="1"/>
  <c r="AC4841" i="30"/>
  <c r="AD4841" i="30" s="1"/>
  <c r="AC4842" i="30"/>
  <c r="AD4842" i="30" s="1"/>
  <c r="AC4843" i="30"/>
  <c r="AD4843" i="30" s="1"/>
  <c r="AC4844" i="30"/>
  <c r="AD4844" i="30" s="1"/>
  <c r="AC4845" i="30"/>
  <c r="AD4845" i="30" s="1"/>
  <c r="AC4846" i="30"/>
  <c r="AD4846" i="30" s="1"/>
  <c r="AC4847" i="30"/>
  <c r="AD4847" i="30" s="1"/>
  <c r="AC4848" i="30"/>
  <c r="AD4848" i="30" s="1"/>
  <c r="AC4849" i="30"/>
  <c r="AD4849" i="30" s="1"/>
  <c r="AC4850" i="30"/>
  <c r="AD4850" i="30" s="1"/>
  <c r="AC4851" i="30"/>
  <c r="AD4851" i="30" s="1"/>
  <c r="AC4852" i="30"/>
  <c r="AD4852" i="30" s="1"/>
  <c r="AC4853" i="30"/>
  <c r="AD4853" i="30" s="1"/>
  <c r="AC4854" i="30"/>
  <c r="AD4854" i="30" s="1"/>
  <c r="AC4855" i="30"/>
  <c r="AD4855" i="30" s="1"/>
  <c r="AC4856" i="30"/>
  <c r="AD4856" i="30" s="1"/>
  <c r="AC4857" i="30"/>
  <c r="AD4857" i="30" s="1"/>
  <c r="AC4858" i="30"/>
  <c r="AD4858" i="30" s="1"/>
  <c r="AC4859" i="30"/>
  <c r="AD4859" i="30" s="1"/>
  <c r="AC4860" i="30"/>
  <c r="AD4860" i="30" s="1"/>
  <c r="AC4861" i="30"/>
  <c r="AD4861" i="30" s="1"/>
  <c r="AC4862" i="30"/>
  <c r="AD4862" i="30" s="1"/>
  <c r="AC4863" i="30"/>
  <c r="AD4863" i="30" s="1"/>
  <c r="AC4864" i="30"/>
  <c r="AD4864" i="30" s="1"/>
  <c r="AC4865" i="30"/>
  <c r="AD4865" i="30" s="1"/>
  <c r="AC4866" i="30"/>
  <c r="AD4866" i="30" s="1"/>
  <c r="AC4867" i="30"/>
  <c r="AD4867" i="30" s="1"/>
  <c r="AC4868" i="30"/>
  <c r="AD4868" i="30" s="1"/>
  <c r="AC4869" i="30"/>
  <c r="AD4869" i="30" s="1"/>
  <c r="AC4870" i="30"/>
  <c r="AD4870" i="30" s="1"/>
  <c r="AC4871" i="30"/>
  <c r="AD4871" i="30" s="1"/>
  <c r="AC4872" i="30"/>
  <c r="AD4872" i="30" s="1"/>
  <c r="AC4873" i="30"/>
  <c r="AD4873" i="30" s="1"/>
  <c r="AC4874" i="30"/>
  <c r="AD4874" i="30" s="1"/>
  <c r="AC4875" i="30"/>
  <c r="AD4875" i="30" s="1"/>
  <c r="AC4876" i="30"/>
  <c r="AD4876" i="30" s="1"/>
  <c r="AC4877" i="30"/>
  <c r="AD4877" i="30" s="1"/>
  <c r="AC4878" i="30"/>
  <c r="AD4878" i="30" s="1"/>
  <c r="AC4879" i="30"/>
  <c r="AD4879" i="30" s="1"/>
  <c r="AC4880" i="30"/>
  <c r="AD4880" i="30" s="1"/>
  <c r="AC4881" i="30"/>
  <c r="AD4881" i="30" s="1"/>
  <c r="AC4882" i="30"/>
  <c r="AD4882" i="30" s="1"/>
  <c r="AC4883" i="30"/>
  <c r="AD4883" i="30" s="1"/>
  <c r="AC4884" i="30"/>
  <c r="AD4884" i="30" s="1"/>
  <c r="AC4885" i="30"/>
  <c r="AD4885" i="30" s="1"/>
  <c r="AC4886" i="30"/>
  <c r="AD4886" i="30" s="1"/>
  <c r="AC4887" i="30"/>
  <c r="AD4887" i="30" s="1"/>
  <c r="AC4888" i="30"/>
  <c r="AD4888" i="30" s="1"/>
  <c r="AC4889" i="30"/>
  <c r="AD4889" i="30" s="1"/>
  <c r="AC4890" i="30"/>
  <c r="AD4890" i="30" s="1"/>
  <c r="AC4891" i="30"/>
  <c r="AD4891" i="30" s="1"/>
  <c r="AC4892" i="30"/>
  <c r="AD4892" i="30" s="1"/>
  <c r="AC4893" i="30"/>
  <c r="AD4893" i="30" s="1"/>
  <c r="AC4894" i="30"/>
  <c r="AD4894" i="30" s="1"/>
  <c r="AC4895" i="30"/>
  <c r="AD4895" i="30" s="1"/>
  <c r="AC4896" i="30"/>
  <c r="AD4896" i="30" s="1"/>
  <c r="AC4897" i="30"/>
  <c r="AD4897" i="30" s="1"/>
  <c r="AC4898" i="30"/>
  <c r="AD4898" i="30" s="1"/>
  <c r="AC4899" i="30"/>
  <c r="AD4899" i="30" s="1"/>
  <c r="AC4900" i="30"/>
  <c r="AD4900" i="30" s="1"/>
  <c r="AC4901" i="30"/>
  <c r="AD4901" i="30" s="1"/>
  <c r="AC4902" i="30"/>
  <c r="AD4902" i="30" s="1"/>
  <c r="AC4903" i="30"/>
  <c r="AD4903" i="30" s="1"/>
  <c r="AC4904" i="30"/>
  <c r="AD4904" i="30" s="1"/>
  <c r="AC4905" i="30"/>
  <c r="AD4905" i="30" s="1"/>
  <c r="AC4906" i="30"/>
  <c r="AD4906" i="30" s="1"/>
  <c r="AC4907" i="30"/>
  <c r="AD4907" i="30" s="1"/>
  <c r="AC4908" i="30"/>
  <c r="AD4908" i="30" s="1"/>
  <c r="AC4909" i="30"/>
  <c r="AD4909" i="30" s="1"/>
  <c r="AC4910" i="30"/>
  <c r="AD4910" i="30" s="1"/>
  <c r="AC4911" i="30"/>
  <c r="AD4911" i="30" s="1"/>
  <c r="AC4912" i="30"/>
  <c r="AD4912" i="30" s="1"/>
  <c r="AC4913" i="30"/>
  <c r="AD4913" i="30" s="1"/>
  <c r="AC4914" i="30"/>
  <c r="AD4914" i="30" s="1"/>
  <c r="AC4915" i="30"/>
  <c r="AD4915" i="30" s="1"/>
  <c r="AC4916" i="30"/>
  <c r="AD4916" i="30" s="1"/>
  <c r="AC4917" i="30"/>
  <c r="AD4917" i="30" s="1"/>
  <c r="AC4918" i="30"/>
  <c r="AD4918" i="30" s="1"/>
  <c r="AC4919" i="30"/>
  <c r="AD4919" i="30" s="1"/>
  <c r="AC4920" i="30"/>
  <c r="AD4920" i="30" s="1"/>
  <c r="AC4921" i="30"/>
  <c r="AD4921" i="30" s="1"/>
  <c r="AC4922" i="30"/>
  <c r="AD4922" i="30" s="1"/>
  <c r="AC4923" i="30"/>
  <c r="AD4923" i="30" s="1"/>
  <c r="AC4924" i="30"/>
  <c r="AD4924" i="30" s="1"/>
  <c r="AC4925" i="30"/>
  <c r="AD4925" i="30" s="1"/>
  <c r="AC4926" i="30"/>
  <c r="AD4926" i="30" s="1"/>
  <c r="AC4927" i="30"/>
  <c r="AD4927" i="30" s="1"/>
  <c r="AC4928" i="30"/>
  <c r="AD4928" i="30" s="1"/>
  <c r="AC4929" i="30"/>
  <c r="AD4929" i="30" s="1"/>
  <c r="AC4930" i="30"/>
  <c r="AD4930" i="30" s="1"/>
  <c r="AC4931" i="30"/>
  <c r="AD4931" i="30" s="1"/>
  <c r="AC4932" i="30"/>
  <c r="AD4932" i="30" s="1"/>
  <c r="AC4933" i="30"/>
  <c r="AD4933" i="30" s="1"/>
  <c r="AC4934" i="30"/>
  <c r="AD4934" i="30" s="1"/>
  <c r="AC4935" i="30"/>
  <c r="AD4935" i="30" s="1"/>
  <c r="AC4936" i="30"/>
  <c r="AD4936" i="30" s="1"/>
  <c r="AC4937" i="30"/>
  <c r="AD4937" i="30" s="1"/>
  <c r="AC4938" i="30"/>
  <c r="AD4938" i="30" s="1"/>
  <c r="AC4939" i="30"/>
  <c r="AD4939" i="30" s="1"/>
  <c r="AC4940" i="30"/>
  <c r="AD4940" i="30" s="1"/>
  <c r="AC4941" i="30"/>
  <c r="AD4941" i="30" s="1"/>
  <c r="AC4942" i="30"/>
  <c r="AD4942" i="30" s="1"/>
  <c r="AC4943" i="30"/>
  <c r="AD4943" i="30" s="1"/>
  <c r="AC4944" i="30"/>
  <c r="AD4944" i="30" s="1"/>
  <c r="AC4945" i="30"/>
  <c r="AD4945" i="30" s="1"/>
  <c r="AC4946" i="30"/>
  <c r="AD4946" i="30" s="1"/>
  <c r="AC4947" i="30"/>
  <c r="AD4947" i="30" s="1"/>
  <c r="AC4948" i="30"/>
  <c r="AD4948" i="30" s="1"/>
  <c r="AC4949" i="30"/>
  <c r="AD4949" i="30" s="1"/>
  <c r="AC4950" i="30"/>
  <c r="AD4950" i="30" s="1"/>
  <c r="AC4951" i="30"/>
  <c r="AD4951" i="30" s="1"/>
  <c r="AC4952" i="30"/>
  <c r="AD4952" i="30" s="1"/>
  <c r="AC4953" i="30"/>
  <c r="AD4953" i="30" s="1"/>
  <c r="AC4954" i="30"/>
  <c r="AD4954" i="30" s="1"/>
  <c r="AC4955" i="30"/>
  <c r="AD4955" i="30" s="1"/>
  <c r="AC4956" i="30"/>
  <c r="AD4956" i="30" s="1"/>
  <c r="AC4957" i="30"/>
  <c r="AD4957" i="30" s="1"/>
  <c r="AC4958" i="30"/>
  <c r="AD4958" i="30" s="1"/>
  <c r="AC4959" i="30"/>
  <c r="AD4959" i="30" s="1"/>
  <c r="AC4960" i="30"/>
  <c r="AD4960" i="30" s="1"/>
  <c r="AC4961" i="30"/>
  <c r="AD4961" i="30" s="1"/>
  <c r="AC4962" i="30"/>
  <c r="AD4962" i="30" s="1"/>
  <c r="AC4963" i="30"/>
  <c r="AD4963" i="30" s="1"/>
  <c r="AC4964" i="30"/>
  <c r="AD4964" i="30" s="1"/>
  <c r="AC4965" i="30"/>
  <c r="AD4965" i="30" s="1"/>
  <c r="AC4966" i="30"/>
  <c r="AD4966" i="30" s="1"/>
  <c r="AC4967" i="30"/>
  <c r="AD4967" i="30" s="1"/>
  <c r="AC4968" i="30"/>
  <c r="AD4968" i="30" s="1"/>
  <c r="AC4969" i="30"/>
  <c r="AD4969" i="30" s="1"/>
  <c r="AC4970" i="30"/>
  <c r="AD4970" i="30" s="1"/>
  <c r="AC4971" i="30"/>
  <c r="AD4971" i="30" s="1"/>
  <c r="AC4972" i="30"/>
  <c r="AD4972" i="30" s="1"/>
  <c r="AC4973" i="30"/>
  <c r="AD4973" i="30" s="1"/>
  <c r="AC4974" i="30"/>
  <c r="AD4974" i="30" s="1"/>
  <c r="AC4975" i="30"/>
  <c r="AD4975" i="30" s="1"/>
  <c r="AC4976" i="30"/>
  <c r="AD4976" i="30" s="1"/>
  <c r="AC4977" i="30"/>
  <c r="AD4977" i="30" s="1"/>
  <c r="AC4978" i="30"/>
  <c r="AD4978" i="30" s="1"/>
  <c r="AC4979" i="30"/>
  <c r="AD4979" i="30" s="1"/>
  <c r="AC4980" i="30"/>
  <c r="AD4980" i="30" s="1"/>
  <c r="AC4981" i="30"/>
  <c r="AD4981" i="30" s="1"/>
  <c r="AC4982" i="30"/>
  <c r="AD4982" i="30" s="1"/>
  <c r="AC4983" i="30"/>
  <c r="AD4983" i="30" s="1"/>
  <c r="AC4984" i="30"/>
  <c r="AD4984" i="30" s="1"/>
  <c r="AC4985" i="30"/>
  <c r="AD4985" i="30" s="1"/>
  <c r="AC4986" i="30"/>
  <c r="AD4986" i="30" s="1"/>
  <c r="AC4987" i="30"/>
  <c r="AD4987" i="30" s="1"/>
  <c r="AC4988" i="30"/>
  <c r="AD4988" i="30" s="1"/>
  <c r="AC4989" i="30"/>
  <c r="AD4989" i="30" s="1"/>
  <c r="AC4990" i="30"/>
  <c r="AD4990" i="30" s="1"/>
  <c r="AC4991" i="30"/>
  <c r="AD4991" i="30" s="1"/>
  <c r="AC4992" i="30"/>
  <c r="AD4992" i="30" s="1"/>
  <c r="AC4993" i="30"/>
  <c r="AD4993" i="30" s="1"/>
  <c r="AC4994" i="30"/>
  <c r="AD4994" i="30" s="1"/>
  <c r="AC4995" i="30"/>
  <c r="AD4995" i="30" s="1"/>
  <c r="AC4996" i="30"/>
  <c r="AD4996" i="30" s="1"/>
  <c r="AC4997" i="30"/>
  <c r="AD4997" i="30" s="1"/>
  <c r="AC4998" i="30"/>
  <c r="AD4998" i="30" s="1"/>
  <c r="AC4999" i="30"/>
  <c r="AD4999" i="30" s="1"/>
  <c r="AC5000" i="30"/>
  <c r="AD5000" i="30" s="1"/>
  <c r="AC5001" i="30"/>
  <c r="AD5001" i="30" s="1"/>
  <c r="AC5002" i="30"/>
  <c r="AD5002" i="30" s="1"/>
  <c r="AC5003" i="30"/>
  <c r="AD5003" i="30" s="1"/>
  <c r="AC5004" i="30"/>
  <c r="AD5004" i="30" s="1"/>
  <c r="AC5005" i="30"/>
  <c r="AD5005" i="30" s="1"/>
  <c r="AC5006" i="30"/>
  <c r="AD5006" i="30" s="1"/>
  <c r="AC5007" i="30"/>
  <c r="AD5007" i="30" s="1"/>
  <c r="AC5008" i="30"/>
  <c r="AD5008" i="30" s="1"/>
  <c r="AC5009" i="30"/>
  <c r="AD5009" i="30" s="1"/>
  <c r="AC5010" i="30"/>
  <c r="AD5010" i="30" s="1"/>
  <c r="AC5011" i="30"/>
  <c r="AD5011" i="30" s="1"/>
  <c r="AC5012" i="30"/>
  <c r="AD5012" i="30" s="1"/>
  <c r="AC5013" i="30"/>
  <c r="AD5013" i="30" s="1"/>
  <c r="AC5014" i="30"/>
  <c r="AD5014" i="30" s="1"/>
  <c r="AC5015" i="30"/>
  <c r="AD5015" i="30" s="1"/>
  <c r="AC5016" i="30"/>
  <c r="AD5016" i="30" s="1"/>
  <c r="AC5017" i="30"/>
  <c r="AD5017" i="30" s="1"/>
  <c r="AC5018" i="30"/>
  <c r="AD5018" i="30" s="1"/>
  <c r="AC5019" i="30"/>
  <c r="AD5019" i="30" s="1"/>
  <c r="AC5020" i="30"/>
  <c r="AD5020" i="30" s="1"/>
  <c r="AC5021" i="30"/>
  <c r="AD5021" i="30" s="1"/>
  <c r="AC5022" i="30"/>
  <c r="AD5022" i="30" s="1"/>
  <c r="AC5023" i="30"/>
  <c r="AD5023" i="30" s="1"/>
  <c r="AC5024" i="30"/>
  <c r="AD5024" i="30" s="1"/>
  <c r="AC5025" i="30"/>
  <c r="AD5025" i="30" s="1"/>
  <c r="AC5026" i="30"/>
  <c r="AD5026" i="30" s="1"/>
  <c r="AC5027" i="30"/>
  <c r="AD5027" i="30" s="1"/>
  <c r="AC5028" i="30"/>
  <c r="AD5028" i="30" s="1"/>
  <c r="AC5029" i="30"/>
  <c r="AD5029" i="30" s="1"/>
  <c r="AC5030" i="30"/>
  <c r="AD5030" i="30" s="1"/>
  <c r="AC5031" i="30"/>
  <c r="AD5031" i="30" s="1"/>
  <c r="AC5032" i="30"/>
  <c r="AD5032" i="30" s="1"/>
  <c r="AC5033" i="30"/>
  <c r="AD5033" i="30" s="1"/>
  <c r="AC5034" i="30"/>
  <c r="AD5034" i="30" s="1"/>
  <c r="AC5035" i="30"/>
  <c r="AD5035" i="30" s="1"/>
  <c r="AC5036" i="30"/>
  <c r="AD5036" i="30" s="1"/>
  <c r="AC5037" i="30"/>
  <c r="AD5037" i="30" s="1"/>
  <c r="AC5038" i="30"/>
  <c r="AD5038" i="30" s="1"/>
  <c r="AC5039" i="30"/>
  <c r="AD5039" i="30" s="1"/>
  <c r="AC5040" i="30"/>
  <c r="AD5040" i="30" s="1"/>
  <c r="AC5041" i="30"/>
  <c r="AD5041" i="30" s="1"/>
  <c r="AC5042" i="30"/>
  <c r="AD5042" i="30" s="1"/>
  <c r="AC5043" i="30"/>
  <c r="AD5043" i="30" s="1"/>
  <c r="AC5044" i="30"/>
  <c r="AD5044" i="30" s="1"/>
  <c r="AC5045" i="30"/>
  <c r="AD5045" i="30" s="1"/>
  <c r="AC5046" i="30"/>
  <c r="AD5046" i="30" s="1"/>
  <c r="AC5047" i="30"/>
  <c r="AD5047" i="30" s="1"/>
  <c r="AC5048" i="30"/>
  <c r="AD5048" i="30" s="1"/>
  <c r="AC5049" i="30"/>
  <c r="AD5049" i="30" s="1"/>
  <c r="AC5050" i="30"/>
  <c r="AD5050" i="30" s="1"/>
  <c r="AC5051" i="30"/>
  <c r="AD5051" i="30" s="1"/>
  <c r="AC5052" i="30"/>
  <c r="AD5052" i="30" s="1"/>
  <c r="AC5053" i="30"/>
  <c r="AD5053" i="30" s="1"/>
  <c r="AC5054" i="30"/>
  <c r="AD5054" i="30" s="1"/>
  <c r="AC5055" i="30"/>
  <c r="AD5055" i="30" s="1"/>
  <c r="AC5056" i="30"/>
  <c r="AD5056" i="30" s="1"/>
  <c r="AC5057" i="30"/>
  <c r="AD5057" i="30" s="1"/>
  <c r="AC5058" i="30"/>
  <c r="AD5058" i="30" s="1"/>
  <c r="AC5059" i="30"/>
  <c r="AD5059" i="30" s="1"/>
  <c r="AC5060" i="30"/>
  <c r="AD5060" i="30" s="1"/>
  <c r="AC5061" i="30"/>
  <c r="AD5061" i="30" s="1"/>
  <c r="AC5062" i="30"/>
  <c r="AD5062" i="30" s="1"/>
  <c r="AC5063" i="30"/>
  <c r="AD5063" i="30" s="1"/>
  <c r="AC5064" i="30"/>
  <c r="AD5064" i="30" s="1"/>
  <c r="AC5065" i="30"/>
  <c r="AD5065" i="30" s="1"/>
  <c r="AC5066" i="30"/>
  <c r="AD5066" i="30" s="1"/>
  <c r="AC5067" i="30"/>
  <c r="AD5067" i="30" s="1"/>
  <c r="AC5068" i="30"/>
  <c r="AD5068" i="30" s="1"/>
  <c r="AC5069" i="30"/>
  <c r="AD5069" i="30" s="1"/>
  <c r="AC5070" i="30"/>
  <c r="AD5070" i="30" s="1"/>
  <c r="AC5071" i="30"/>
  <c r="AD5071" i="30" s="1"/>
  <c r="AC5072" i="30"/>
  <c r="AD5072" i="30" s="1"/>
  <c r="AC5073" i="30"/>
  <c r="AD5073" i="30" s="1"/>
  <c r="AC5074" i="30"/>
  <c r="AD5074" i="30" s="1"/>
  <c r="AC5075" i="30"/>
  <c r="AD5075" i="30" s="1"/>
  <c r="AC5076" i="30"/>
  <c r="AD5076" i="30" s="1"/>
  <c r="AC5077" i="30"/>
  <c r="AD5077" i="30" s="1"/>
  <c r="AC5078" i="30"/>
  <c r="AD5078" i="30" s="1"/>
  <c r="AC5079" i="30"/>
  <c r="AD5079" i="30" s="1"/>
  <c r="AC5080" i="30"/>
  <c r="AD5080" i="30" s="1"/>
  <c r="AC5081" i="30"/>
  <c r="AD5081" i="30" s="1"/>
  <c r="AC5082" i="30"/>
  <c r="AD5082" i="30" s="1"/>
  <c r="AC5083" i="30"/>
  <c r="AD5083" i="30" s="1"/>
  <c r="AC5084" i="30"/>
  <c r="AD5084" i="30" s="1"/>
  <c r="AC5085" i="30"/>
  <c r="AD5085" i="30" s="1"/>
  <c r="AC5086" i="30"/>
  <c r="AD5086" i="30" s="1"/>
  <c r="AC5087" i="30"/>
  <c r="AD5087" i="30" s="1"/>
  <c r="AC5088" i="30"/>
  <c r="AD5088" i="30" s="1"/>
  <c r="AC5089" i="30"/>
  <c r="AD5089" i="30" s="1"/>
  <c r="AC5090" i="30"/>
  <c r="AD5090" i="30" s="1"/>
  <c r="AC5091" i="30"/>
  <c r="AD5091" i="30" s="1"/>
  <c r="AC5092" i="30"/>
  <c r="AD5092" i="30" s="1"/>
  <c r="AC5093" i="30"/>
  <c r="AD5093" i="30" s="1"/>
  <c r="AC5094" i="30"/>
  <c r="AD5094" i="30" s="1"/>
  <c r="AC5095" i="30"/>
  <c r="AD5095" i="30" s="1"/>
  <c r="AC5096" i="30"/>
  <c r="AD5096" i="30" s="1"/>
  <c r="AC5097" i="30"/>
  <c r="AD5097" i="30" s="1"/>
  <c r="AC5098" i="30"/>
  <c r="AD5098" i="30" s="1"/>
  <c r="AC5099" i="30"/>
  <c r="AD5099" i="30" s="1"/>
  <c r="AC5100" i="30"/>
  <c r="AD5100" i="30" s="1"/>
  <c r="AC5101" i="30"/>
  <c r="AD5101" i="30" s="1"/>
  <c r="AC5102" i="30"/>
  <c r="AD5102" i="30" s="1"/>
  <c r="AC5103" i="30"/>
  <c r="AD5103" i="30" s="1"/>
  <c r="AC5104" i="30"/>
  <c r="AD5104" i="30" s="1"/>
  <c r="AC5105" i="30"/>
  <c r="AD5105" i="30" s="1"/>
  <c r="AC5106" i="30"/>
  <c r="AD5106" i="30" s="1"/>
  <c r="AC5107" i="30"/>
  <c r="AD5107" i="30" s="1"/>
  <c r="AC5108" i="30"/>
  <c r="AD5108" i="30" s="1"/>
  <c r="AC5109" i="30"/>
  <c r="AD5109" i="30" s="1"/>
  <c r="AC5110" i="30"/>
  <c r="AD5110" i="30" s="1"/>
  <c r="AC5111" i="30"/>
  <c r="AD5111" i="30" s="1"/>
  <c r="AC5112" i="30"/>
  <c r="AD5112" i="30" s="1"/>
  <c r="AC5113" i="30"/>
  <c r="AD5113" i="30" s="1"/>
  <c r="AC5114" i="30"/>
  <c r="AD5114" i="30" s="1"/>
  <c r="AC5115" i="30"/>
  <c r="AD5115" i="30" s="1"/>
  <c r="AC5116" i="30"/>
  <c r="AD5116" i="30" s="1"/>
  <c r="AC5117" i="30"/>
  <c r="AD5117" i="30" s="1"/>
  <c r="AC5118" i="30"/>
  <c r="AD5118" i="30" s="1"/>
  <c r="AC5119" i="30"/>
  <c r="AD5119" i="30" s="1"/>
  <c r="AC5120" i="30"/>
  <c r="AD5120" i="30" s="1"/>
  <c r="AC5121" i="30"/>
  <c r="AD5121" i="30" s="1"/>
  <c r="AC5122" i="30"/>
  <c r="AD5122" i="30" s="1"/>
  <c r="AC5123" i="30"/>
  <c r="AD5123" i="30" s="1"/>
  <c r="AC5124" i="30"/>
  <c r="AD5124" i="30" s="1"/>
  <c r="AC5125" i="30"/>
  <c r="AD5125" i="30" s="1"/>
  <c r="AC5126" i="30"/>
  <c r="AD5126" i="30" s="1"/>
  <c r="AC5127" i="30"/>
  <c r="AD5127" i="30" s="1"/>
  <c r="AC5128" i="30"/>
  <c r="AD5128" i="30" s="1"/>
  <c r="AC5129" i="30"/>
  <c r="AD5129" i="30" s="1"/>
  <c r="AC5130" i="30"/>
  <c r="AD5130" i="30" s="1"/>
  <c r="AC5131" i="30"/>
  <c r="AD5131" i="30" s="1"/>
  <c r="AC5132" i="30"/>
  <c r="AD5132" i="30" s="1"/>
  <c r="AC5133" i="30"/>
  <c r="AD5133" i="30" s="1"/>
  <c r="AC5134" i="30"/>
  <c r="AD5134" i="30" s="1"/>
  <c r="AC5135" i="30"/>
  <c r="AD5135" i="30" s="1"/>
  <c r="AC5136" i="30"/>
  <c r="AD5136" i="30" s="1"/>
  <c r="AC5137" i="30"/>
  <c r="AD5137" i="30" s="1"/>
  <c r="AC5138" i="30"/>
  <c r="AD5138" i="30" s="1"/>
  <c r="AC5139" i="30"/>
  <c r="AD5139" i="30" s="1"/>
  <c r="AC5140" i="30"/>
  <c r="AD5140" i="30" s="1"/>
  <c r="AC5141" i="30"/>
  <c r="AD5141" i="30" s="1"/>
  <c r="AC5142" i="30"/>
  <c r="AD5142" i="30" s="1"/>
  <c r="AC5143" i="30"/>
  <c r="AD5143" i="30" s="1"/>
  <c r="AC5144" i="30"/>
  <c r="AD5144" i="30" s="1"/>
  <c r="AC5145" i="30"/>
  <c r="AD5145" i="30" s="1"/>
  <c r="AC5146" i="30"/>
  <c r="AD5146" i="30" s="1"/>
  <c r="AC5147" i="30"/>
  <c r="AD5147" i="30" s="1"/>
  <c r="AC5148" i="30"/>
  <c r="AD5148" i="30" s="1"/>
  <c r="AC5149" i="30"/>
  <c r="AD5149" i="30" s="1"/>
  <c r="AC5150" i="30"/>
  <c r="AD5150" i="30" s="1"/>
  <c r="AC5151" i="30"/>
  <c r="AD5151" i="30" s="1"/>
  <c r="AC5152" i="30"/>
  <c r="AD5152" i="30" s="1"/>
  <c r="AC5153" i="30"/>
  <c r="AD5153" i="30" s="1"/>
  <c r="AC5154" i="30"/>
  <c r="AD5154" i="30" s="1"/>
  <c r="AC5155" i="30"/>
  <c r="AD5155" i="30" s="1"/>
  <c r="AC5156" i="30"/>
  <c r="AD5156" i="30" s="1"/>
  <c r="AC5157" i="30"/>
  <c r="AD5157" i="30" s="1"/>
  <c r="AC5158" i="30"/>
  <c r="AD5158" i="30" s="1"/>
  <c r="AC5159" i="30"/>
  <c r="AD5159" i="30" s="1"/>
  <c r="AC5160" i="30"/>
  <c r="AD5160" i="30" s="1"/>
  <c r="AC5161" i="30"/>
  <c r="AD5161" i="30" s="1"/>
  <c r="AC5162" i="30"/>
  <c r="AD5162" i="30" s="1"/>
  <c r="AC5163" i="30"/>
  <c r="AD5163" i="30" s="1"/>
  <c r="AC5164" i="30"/>
  <c r="AD5164" i="30" s="1"/>
  <c r="AC5165" i="30"/>
  <c r="AD5165" i="30" s="1"/>
  <c r="AC5166" i="30"/>
  <c r="AD5166" i="30" s="1"/>
  <c r="AC5167" i="30"/>
  <c r="AD5167" i="30" s="1"/>
  <c r="AC5168" i="30"/>
  <c r="AD5168" i="30" s="1"/>
  <c r="AC5169" i="30"/>
  <c r="AD5169" i="30" s="1"/>
  <c r="AC5170" i="30"/>
  <c r="AD5170" i="30" s="1"/>
  <c r="AC5171" i="30"/>
  <c r="AD5171" i="30" s="1"/>
  <c r="AC5172" i="30"/>
  <c r="AD5172" i="30" s="1"/>
  <c r="AC5173" i="30"/>
  <c r="AD5173" i="30" s="1"/>
  <c r="AC5174" i="30"/>
  <c r="AD5174" i="30" s="1"/>
  <c r="AC5175" i="30"/>
  <c r="AD5175" i="30" s="1"/>
  <c r="AC5176" i="30"/>
  <c r="AD5176" i="30" s="1"/>
  <c r="AC5177" i="30"/>
  <c r="AD5177" i="30" s="1"/>
  <c r="AC5178" i="30"/>
  <c r="AD5178" i="30" s="1"/>
  <c r="AC5179" i="30"/>
  <c r="AD5179" i="30" s="1"/>
  <c r="AC5180" i="30"/>
  <c r="AD5180" i="30" s="1"/>
  <c r="AC5181" i="30"/>
  <c r="AD5181" i="30" s="1"/>
  <c r="AC5182" i="30"/>
  <c r="AD5182" i="30" s="1"/>
  <c r="AC5183" i="30"/>
  <c r="AD5183" i="30" s="1"/>
  <c r="AC5184" i="30"/>
  <c r="AD5184" i="30" s="1"/>
  <c r="AC5185" i="30"/>
  <c r="AD5185" i="30" s="1"/>
  <c r="AC5186" i="30"/>
  <c r="AD5186" i="30" s="1"/>
  <c r="AC5187" i="30"/>
  <c r="AD5187" i="30" s="1"/>
  <c r="AC5188" i="30"/>
  <c r="AD5188" i="30" s="1"/>
  <c r="AC5189" i="30"/>
  <c r="AD5189" i="30" s="1"/>
  <c r="AC5190" i="30"/>
  <c r="AD5190" i="30" s="1"/>
  <c r="AC5191" i="30"/>
  <c r="AD5191" i="30" s="1"/>
  <c r="AC5192" i="30"/>
  <c r="AD5192" i="30" s="1"/>
  <c r="AC5193" i="30"/>
  <c r="AD5193" i="30" s="1"/>
  <c r="AC5194" i="30"/>
  <c r="AD5194" i="30" s="1"/>
  <c r="AC5195" i="30"/>
  <c r="AD5195" i="30" s="1"/>
  <c r="AC5196" i="30"/>
  <c r="AD5196" i="30" s="1"/>
  <c r="AC5197" i="30"/>
  <c r="AD5197" i="30" s="1"/>
  <c r="AC5198" i="30"/>
  <c r="AD5198" i="30" s="1"/>
  <c r="AC5199" i="30"/>
  <c r="AD5199" i="30" s="1"/>
  <c r="AC5200" i="30"/>
  <c r="AD5200" i="30" s="1"/>
  <c r="AC5201" i="30"/>
  <c r="AD5201" i="30" s="1"/>
  <c r="AC5202" i="30"/>
  <c r="AD5202" i="30" s="1"/>
  <c r="AC5203" i="30"/>
  <c r="AD5203" i="30" s="1"/>
  <c r="AC5204" i="30"/>
  <c r="AD5204" i="30" s="1"/>
  <c r="AC5205" i="30"/>
  <c r="AD5205" i="30" s="1"/>
  <c r="AC5206" i="30"/>
  <c r="AD5206" i="30" s="1"/>
  <c r="AC5207" i="30"/>
  <c r="AD5207" i="30" s="1"/>
  <c r="AC5208" i="30"/>
  <c r="AD5208" i="30" s="1"/>
  <c r="AC5209" i="30"/>
  <c r="AD5209" i="30" s="1"/>
  <c r="AC5210" i="30"/>
  <c r="AD5210" i="30" s="1"/>
  <c r="AC5211" i="30"/>
  <c r="AD5211" i="30" s="1"/>
  <c r="AC5212" i="30"/>
  <c r="AD5212" i="30" s="1"/>
  <c r="AC5213" i="30"/>
  <c r="AD5213" i="30" s="1"/>
  <c r="AC5214" i="30"/>
  <c r="AD5214" i="30" s="1"/>
  <c r="AC5215" i="30"/>
  <c r="AD5215" i="30" s="1"/>
  <c r="AC5216" i="30"/>
  <c r="AD5216" i="30" s="1"/>
  <c r="AC5217" i="30"/>
  <c r="AD5217" i="30" s="1"/>
  <c r="AC5218" i="30"/>
  <c r="AD5218" i="30" s="1"/>
  <c r="AC5219" i="30"/>
  <c r="AD5219" i="30" s="1"/>
  <c r="AC5220" i="30"/>
  <c r="AD5220" i="30" s="1"/>
  <c r="AC5221" i="30"/>
  <c r="AD5221" i="30" s="1"/>
  <c r="AC5222" i="30"/>
  <c r="AD5222" i="30" s="1"/>
  <c r="AC5223" i="30"/>
  <c r="AD5223" i="30" s="1"/>
  <c r="AC5224" i="30"/>
  <c r="AD5224" i="30" s="1"/>
  <c r="AC5225" i="30"/>
  <c r="AD5225" i="30" s="1"/>
  <c r="AC5226" i="30"/>
  <c r="AD5226" i="30" s="1"/>
  <c r="AC5227" i="30"/>
  <c r="AD5227" i="30" s="1"/>
  <c r="AC5228" i="30"/>
  <c r="AD5228" i="30" s="1"/>
  <c r="AC5229" i="30"/>
  <c r="AD5229" i="30" s="1"/>
  <c r="AC5230" i="30"/>
  <c r="AD5230" i="30" s="1"/>
  <c r="AC5231" i="30"/>
  <c r="AD5231" i="30" s="1"/>
  <c r="AC5232" i="30"/>
  <c r="AD5232" i="30" s="1"/>
  <c r="AC5233" i="30"/>
  <c r="AD5233" i="30" s="1"/>
  <c r="AC5234" i="30"/>
  <c r="AD5234" i="30" s="1"/>
  <c r="AC5235" i="30"/>
  <c r="AD5235" i="30" s="1"/>
  <c r="AC5236" i="30"/>
  <c r="AD5236" i="30" s="1"/>
  <c r="AC5237" i="30"/>
  <c r="AD5237" i="30" s="1"/>
  <c r="AC5238" i="30"/>
  <c r="AD5238" i="30" s="1"/>
  <c r="AC5239" i="30"/>
  <c r="AD5239" i="30" s="1"/>
  <c r="AC5240" i="30"/>
  <c r="AD5240" i="30" s="1"/>
  <c r="AC5241" i="30"/>
  <c r="AD5241" i="30" s="1"/>
  <c r="AC5242" i="30"/>
  <c r="AD5242" i="30" s="1"/>
  <c r="AC5243" i="30"/>
  <c r="AD5243" i="30" s="1"/>
  <c r="AC5244" i="30"/>
  <c r="AD5244" i="30" s="1"/>
  <c r="AC5245" i="30"/>
  <c r="AD5245" i="30" s="1"/>
  <c r="AC5246" i="30"/>
  <c r="AD5246" i="30" s="1"/>
  <c r="AC5247" i="30"/>
  <c r="AD5247" i="30" s="1"/>
  <c r="AC5248" i="30"/>
  <c r="AD5248" i="30" s="1"/>
  <c r="AC5249" i="30"/>
  <c r="AD5249" i="30" s="1"/>
  <c r="AC5250" i="30"/>
  <c r="AD5250" i="30" s="1"/>
  <c r="AC5251" i="30"/>
  <c r="AD5251" i="30" s="1"/>
  <c r="AC5252" i="30"/>
  <c r="AD5252" i="30" s="1"/>
  <c r="AC5253" i="30"/>
  <c r="AD5253" i="30" s="1"/>
  <c r="AC5254" i="30"/>
  <c r="AD5254" i="30" s="1"/>
  <c r="AC5255" i="30"/>
  <c r="AD5255" i="30" s="1"/>
  <c r="AC5256" i="30"/>
  <c r="AD5256" i="30" s="1"/>
  <c r="AC5257" i="30"/>
  <c r="AD5257" i="30" s="1"/>
  <c r="AC5258" i="30"/>
  <c r="AD5258" i="30" s="1"/>
  <c r="AC5259" i="30"/>
  <c r="AD5259" i="30" s="1"/>
  <c r="AC5260" i="30"/>
  <c r="AD5260" i="30" s="1"/>
  <c r="AC5261" i="30"/>
  <c r="AD5261" i="30" s="1"/>
  <c r="AC5262" i="30"/>
  <c r="AD5262" i="30" s="1"/>
  <c r="AC5263" i="30"/>
  <c r="AD5263" i="30" s="1"/>
  <c r="AC5264" i="30"/>
  <c r="AD5264" i="30" s="1"/>
  <c r="AC5265" i="30"/>
  <c r="AD5265" i="30" s="1"/>
  <c r="AC5266" i="30"/>
  <c r="AD5266" i="30" s="1"/>
  <c r="AC5267" i="30"/>
  <c r="AD5267" i="30" s="1"/>
  <c r="AC5268" i="30"/>
  <c r="AD5268" i="30" s="1"/>
  <c r="AC5269" i="30"/>
  <c r="AD5269" i="30" s="1"/>
  <c r="AC5270" i="30"/>
  <c r="AD5270" i="30" s="1"/>
  <c r="AC5271" i="30"/>
  <c r="AD5271" i="30" s="1"/>
  <c r="AC5272" i="30"/>
  <c r="AD5272" i="30" s="1"/>
  <c r="AC5273" i="30"/>
  <c r="AD5273" i="30" s="1"/>
  <c r="AC5274" i="30"/>
  <c r="AD5274" i="30" s="1"/>
  <c r="AC5275" i="30"/>
  <c r="AD5275" i="30" s="1"/>
  <c r="AC5276" i="30"/>
  <c r="AD5276" i="30" s="1"/>
  <c r="AC5277" i="30"/>
  <c r="AD5277" i="30" s="1"/>
  <c r="AC5278" i="30"/>
  <c r="AD5278" i="30" s="1"/>
  <c r="AC5279" i="30"/>
  <c r="AD5279" i="30" s="1"/>
  <c r="AC5280" i="30"/>
  <c r="AD5280" i="30" s="1"/>
  <c r="AC5281" i="30"/>
  <c r="AD5281" i="30" s="1"/>
  <c r="AC5282" i="30"/>
  <c r="AD5282" i="30" s="1"/>
  <c r="AC5283" i="30"/>
  <c r="AD5283" i="30" s="1"/>
  <c r="AC5284" i="30"/>
  <c r="AD5284" i="30" s="1"/>
  <c r="AC5285" i="30"/>
  <c r="AD5285" i="30" s="1"/>
  <c r="AC5286" i="30"/>
  <c r="AD5286" i="30" s="1"/>
  <c r="AC5287" i="30"/>
  <c r="AD5287" i="30" s="1"/>
  <c r="AC5288" i="30"/>
  <c r="AD5288" i="30" s="1"/>
  <c r="AC5289" i="30"/>
  <c r="AD5289" i="30" s="1"/>
  <c r="AC5290" i="30"/>
  <c r="AD5290" i="30" s="1"/>
  <c r="AC5291" i="30"/>
  <c r="AD5291" i="30" s="1"/>
  <c r="AC5292" i="30"/>
  <c r="AD5292" i="30" s="1"/>
  <c r="AC5293" i="30"/>
  <c r="AD5293" i="30" s="1"/>
  <c r="AC5294" i="30"/>
  <c r="AD5294" i="30" s="1"/>
  <c r="AC5295" i="30"/>
  <c r="AD5295" i="30" s="1"/>
  <c r="AC5296" i="30"/>
  <c r="AD5296" i="30" s="1"/>
  <c r="AC5297" i="30"/>
  <c r="AD5297" i="30" s="1"/>
  <c r="AC5298" i="30"/>
  <c r="AD5298" i="30" s="1"/>
  <c r="AC5299" i="30"/>
  <c r="AD5299" i="30" s="1"/>
  <c r="AC5300" i="30"/>
  <c r="AD5300" i="30" s="1"/>
  <c r="AC5301" i="30"/>
  <c r="AD5301" i="30" s="1"/>
  <c r="AC5302" i="30"/>
  <c r="AD5302" i="30" s="1"/>
  <c r="AC5303" i="30"/>
  <c r="AD5303" i="30" s="1"/>
  <c r="AC5304" i="30"/>
  <c r="AD5304" i="30" s="1"/>
  <c r="AC5305" i="30"/>
  <c r="AD5305" i="30" s="1"/>
  <c r="AC5306" i="30"/>
  <c r="AD5306" i="30" s="1"/>
  <c r="AC5307" i="30"/>
  <c r="AD5307" i="30" s="1"/>
  <c r="AC5308" i="30"/>
  <c r="AD5308" i="30" s="1"/>
  <c r="AC5309" i="30"/>
  <c r="AD5309" i="30" s="1"/>
  <c r="AC5310" i="30"/>
  <c r="AD5310" i="30" s="1"/>
  <c r="AC5311" i="30"/>
  <c r="AD5311" i="30" s="1"/>
  <c r="AC5312" i="30"/>
  <c r="AD5312" i="30" s="1"/>
  <c r="AC5313" i="30"/>
  <c r="AD5313" i="30" s="1"/>
  <c r="AC5314" i="30"/>
  <c r="AD5314" i="30" s="1"/>
  <c r="AC5315" i="30"/>
  <c r="AD5315" i="30" s="1"/>
  <c r="AC5316" i="30"/>
  <c r="AD5316" i="30" s="1"/>
  <c r="AC5317" i="30"/>
  <c r="AD5317" i="30" s="1"/>
  <c r="AC5318" i="30"/>
  <c r="AD5318" i="30" s="1"/>
  <c r="AC5319" i="30"/>
  <c r="AD5319" i="30" s="1"/>
  <c r="AC5320" i="30"/>
  <c r="AD5320" i="30" s="1"/>
  <c r="AC5321" i="30"/>
  <c r="AD5321" i="30" s="1"/>
  <c r="AC5322" i="30"/>
  <c r="AD5322" i="30" s="1"/>
  <c r="AC5323" i="30"/>
  <c r="AD5323" i="30" s="1"/>
  <c r="AC5324" i="30"/>
  <c r="AD5324" i="30" s="1"/>
  <c r="AC5325" i="30"/>
  <c r="AD5325" i="30" s="1"/>
  <c r="AC5326" i="30"/>
  <c r="AD5326" i="30" s="1"/>
  <c r="AC5327" i="30"/>
  <c r="AD5327" i="30" s="1"/>
  <c r="AC5328" i="30"/>
  <c r="AD5328" i="30" s="1"/>
  <c r="AC5329" i="30"/>
  <c r="AD5329" i="30" s="1"/>
  <c r="AC5330" i="30"/>
  <c r="AD5330" i="30" s="1"/>
  <c r="AC5331" i="30"/>
  <c r="AD5331" i="30" s="1"/>
  <c r="AC5332" i="30"/>
  <c r="AD5332" i="30" s="1"/>
  <c r="AC5333" i="30"/>
  <c r="AD5333" i="30" s="1"/>
  <c r="AC5334" i="30"/>
  <c r="AD5334" i="30" s="1"/>
  <c r="AC5335" i="30"/>
  <c r="AD5335" i="30" s="1"/>
  <c r="AC5336" i="30"/>
  <c r="AD5336" i="30" s="1"/>
  <c r="AC5337" i="30"/>
  <c r="AD5337" i="30" s="1"/>
  <c r="AC5338" i="30"/>
  <c r="AD5338" i="30" s="1"/>
  <c r="AC5339" i="30"/>
  <c r="AD5339" i="30" s="1"/>
  <c r="AC5340" i="30"/>
  <c r="AD5340" i="30" s="1"/>
  <c r="AC5341" i="30"/>
  <c r="AD5341" i="30" s="1"/>
  <c r="AC5342" i="30"/>
  <c r="AD5342" i="30" s="1"/>
  <c r="AC5343" i="30"/>
  <c r="AD5343" i="30" s="1"/>
  <c r="AC5344" i="30"/>
  <c r="AD5344" i="30" s="1"/>
  <c r="AC5345" i="30"/>
  <c r="AD5345" i="30" s="1"/>
  <c r="AC5346" i="30"/>
  <c r="AD5346" i="30" s="1"/>
  <c r="AC5347" i="30"/>
  <c r="AD5347" i="30" s="1"/>
  <c r="AC5348" i="30"/>
  <c r="AD5348" i="30" s="1"/>
  <c r="AC5349" i="30"/>
  <c r="AD5349" i="30" s="1"/>
  <c r="AC5350" i="30"/>
  <c r="AD5350" i="30" s="1"/>
  <c r="AC5351" i="30"/>
  <c r="AD5351" i="30" s="1"/>
  <c r="AC5352" i="30"/>
  <c r="AD5352" i="30" s="1"/>
  <c r="AC5353" i="30"/>
  <c r="AD5353" i="30" s="1"/>
  <c r="AC5354" i="30"/>
  <c r="AD5354" i="30" s="1"/>
  <c r="AC5355" i="30"/>
  <c r="AD5355" i="30" s="1"/>
  <c r="AC5356" i="30"/>
  <c r="AD5356" i="30" s="1"/>
  <c r="AC5357" i="30"/>
  <c r="AD5357" i="30" s="1"/>
  <c r="AC5358" i="30"/>
  <c r="AD5358" i="30" s="1"/>
  <c r="AC5359" i="30"/>
  <c r="AD5359" i="30" s="1"/>
  <c r="AC5360" i="30"/>
  <c r="AD5360" i="30" s="1"/>
  <c r="AC5361" i="30"/>
  <c r="AD5361" i="30" s="1"/>
  <c r="AC5362" i="30"/>
  <c r="AD5362" i="30" s="1"/>
  <c r="AC5363" i="30"/>
  <c r="AD5363" i="30" s="1"/>
  <c r="AC5364" i="30"/>
  <c r="AD5364" i="30" s="1"/>
  <c r="AC5365" i="30"/>
  <c r="AD5365" i="30" s="1"/>
  <c r="AC5366" i="30"/>
  <c r="AD5366" i="30" s="1"/>
  <c r="AC5367" i="30"/>
  <c r="AD5367" i="30" s="1"/>
  <c r="AC5368" i="30"/>
  <c r="AD5368" i="30" s="1"/>
  <c r="AC5369" i="30"/>
  <c r="AD5369" i="30" s="1"/>
  <c r="AC5370" i="30"/>
  <c r="AD5370" i="30" s="1"/>
  <c r="AC5371" i="30"/>
  <c r="AD5371" i="30" s="1"/>
  <c r="AC5372" i="30"/>
  <c r="AD5372" i="30" s="1"/>
  <c r="AC5373" i="30"/>
  <c r="AD5373" i="30" s="1"/>
  <c r="AC5374" i="30"/>
  <c r="AD5374" i="30" s="1"/>
  <c r="AC5375" i="30"/>
  <c r="AD5375" i="30" s="1"/>
  <c r="AC5376" i="30"/>
  <c r="AD5376" i="30" s="1"/>
  <c r="AC5377" i="30"/>
  <c r="AD5377" i="30" s="1"/>
  <c r="AC5378" i="30"/>
  <c r="AD5378" i="30" s="1"/>
  <c r="AC5379" i="30"/>
  <c r="AD5379" i="30" s="1"/>
  <c r="AC5380" i="30"/>
  <c r="AD5380" i="30" s="1"/>
  <c r="AC5381" i="30"/>
  <c r="AD5381" i="30" s="1"/>
  <c r="AC5382" i="30"/>
  <c r="AD5382" i="30" s="1"/>
  <c r="AC5383" i="30"/>
  <c r="AD5383" i="30" s="1"/>
  <c r="AC5384" i="30"/>
  <c r="AD5384" i="30" s="1"/>
  <c r="AC5385" i="30"/>
  <c r="AD5385" i="30" s="1"/>
  <c r="AC5386" i="30"/>
  <c r="AD5386" i="30" s="1"/>
  <c r="AC5387" i="30"/>
  <c r="AD5387" i="30" s="1"/>
  <c r="AC5388" i="30"/>
  <c r="AD5388" i="30" s="1"/>
  <c r="AC5389" i="30"/>
  <c r="AD5389" i="30" s="1"/>
  <c r="AC5390" i="30"/>
  <c r="AD5390" i="30" s="1"/>
  <c r="AC5391" i="30"/>
  <c r="AD5391" i="30" s="1"/>
  <c r="AC5392" i="30"/>
  <c r="AD5392" i="30" s="1"/>
  <c r="AC5393" i="30"/>
  <c r="AD5393" i="30" s="1"/>
  <c r="AC5394" i="30"/>
  <c r="AD5394" i="30" s="1"/>
  <c r="AC5395" i="30"/>
  <c r="AD5395" i="30" s="1"/>
  <c r="AC5396" i="30"/>
  <c r="AD5396" i="30" s="1"/>
  <c r="AC5397" i="30"/>
  <c r="AD5397" i="30" s="1"/>
  <c r="AC5398" i="30"/>
  <c r="AD5398" i="30" s="1"/>
  <c r="AC5399" i="30"/>
  <c r="AD5399" i="30" s="1"/>
  <c r="AC5400" i="30"/>
  <c r="AD5400" i="30" s="1"/>
  <c r="AC5401" i="30"/>
  <c r="AD5401" i="30" s="1"/>
  <c r="AC5402" i="30"/>
  <c r="AD5402" i="30" s="1"/>
  <c r="AC5403" i="30"/>
  <c r="AD5403" i="30" s="1"/>
  <c r="AC5404" i="30"/>
  <c r="AD5404" i="30" s="1"/>
  <c r="AC5405" i="30"/>
  <c r="AD5405" i="30" s="1"/>
  <c r="AC5406" i="30"/>
  <c r="AD5406" i="30" s="1"/>
  <c r="AC5407" i="30"/>
  <c r="AD5407" i="30" s="1"/>
  <c r="AC5408" i="30"/>
  <c r="AD5408" i="30" s="1"/>
  <c r="AC5409" i="30"/>
  <c r="AD5409" i="30" s="1"/>
  <c r="AC5410" i="30"/>
  <c r="AD5410" i="30" s="1"/>
  <c r="AC5411" i="30"/>
  <c r="AD5411" i="30" s="1"/>
  <c r="AC5412" i="30"/>
  <c r="AD5412" i="30" s="1"/>
  <c r="AC5413" i="30"/>
  <c r="AD5413" i="30" s="1"/>
  <c r="AC5414" i="30"/>
  <c r="AD5414" i="30" s="1"/>
  <c r="AC5415" i="30"/>
  <c r="AD5415" i="30" s="1"/>
  <c r="AC5416" i="30"/>
  <c r="AD5416" i="30" s="1"/>
  <c r="AC5417" i="30"/>
  <c r="AD5417" i="30" s="1"/>
  <c r="AC5418" i="30"/>
  <c r="AD5418" i="30" s="1"/>
  <c r="AC5419" i="30"/>
  <c r="AD5419" i="30" s="1"/>
  <c r="AC5420" i="30"/>
  <c r="AD5420" i="30" s="1"/>
  <c r="AC5421" i="30"/>
  <c r="AD5421" i="30" s="1"/>
  <c r="AC5422" i="30"/>
  <c r="AD5422" i="30" s="1"/>
  <c r="AC5423" i="30"/>
  <c r="AD5423" i="30" s="1"/>
  <c r="AC5424" i="30"/>
  <c r="AD5424" i="30" s="1"/>
  <c r="AC5425" i="30"/>
  <c r="AD5425" i="30" s="1"/>
  <c r="AC5426" i="30"/>
  <c r="AD5426" i="30" s="1"/>
  <c r="AC5427" i="30"/>
  <c r="AD5427" i="30" s="1"/>
  <c r="AC5428" i="30"/>
  <c r="AD5428" i="30" s="1"/>
  <c r="AC5429" i="30"/>
  <c r="AD5429" i="30" s="1"/>
  <c r="AC5430" i="30"/>
  <c r="AD5430" i="30" s="1"/>
  <c r="AC5431" i="30"/>
  <c r="AD5431" i="30" s="1"/>
  <c r="AC5432" i="30"/>
  <c r="AD5432" i="30" s="1"/>
  <c r="AC5433" i="30"/>
  <c r="AD5433" i="30" s="1"/>
  <c r="AC5434" i="30"/>
  <c r="AD5434" i="30" s="1"/>
  <c r="AC5435" i="30"/>
  <c r="AD5435" i="30" s="1"/>
  <c r="AC5436" i="30"/>
  <c r="AD5436" i="30" s="1"/>
  <c r="AC5437" i="30"/>
  <c r="AD5437" i="30" s="1"/>
  <c r="AC5438" i="30"/>
  <c r="AD5438" i="30" s="1"/>
  <c r="AC5439" i="30"/>
  <c r="AD5439" i="30" s="1"/>
  <c r="AC5440" i="30"/>
  <c r="AD5440" i="30" s="1"/>
  <c r="AC5441" i="30"/>
  <c r="AD5441" i="30" s="1"/>
  <c r="AC5442" i="30"/>
  <c r="AD5442" i="30" s="1"/>
  <c r="AC5443" i="30"/>
  <c r="AD5443" i="30" s="1"/>
  <c r="AC5444" i="30"/>
  <c r="AD5444" i="30" s="1"/>
  <c r="AC5445" i="30"/>
  <c r="AD5445" i="30" s="1"/>
  <c r="AC5446" i="30"/>
  <c r="AD5446" i="30" s="1"/>
  <c r="AC5447" i="30"/>
  <c r="AD5447" i="30" s="1"/>
  <c r="AC5448" i="30"/>
  <c r="AD5448" i="30" s="1"/>
  <c r="AC5449" i="30"/>
  <c r="AD5449" i="30" s="1"/>
  <c r="AC5450" i="30"/>
  <c r="AD5450" i="30" s="1"/>
  <c r="AC5451" i="30"/>
  <c r="AD5451" i="30" s="1"/>
  <c r="AC5452" i="30"/>
  <c r="AD5452" i="30" s="1"/>
  <c r="AC5453" i="30"/>
  <c r="AD5453" i="30" s="1"/>
  <c r="AC5454" i="30"/>
  <c r="AD5454" i="30" s="1"/>
  <c r="AC5455" i="30"/>
  <c r="AD5455" i="30" s="1"/>
  <c r="AC5456" i="30"/>
  <c r="AD5456" i="30" s="1"/>
  <c r="AC5457" i="30"/>
  <c r="AD5457" i="30" s="1"/>
  <c r="AC5458" i="30"/>
  <c r="AD5458" i="30" s="1"/>
  <c r="AC5459" i="30"/>
  <c r="AD5459" i="30" s="1"/>
  <c r="AC5460" i="30"/>
  <c r="AD5460" i="30" s="1"/>
  <c r="AC5461" i="30"/>
  <c r="AD5461" i="30" s="1"/>
  <c r="AC5462" i="30"/>
  <c r="AD5462" i="30" s="1"/>
  <c r="AC5463" i="30"/>
  <c r="AD5463" i="30" s="1"/>
  <c r="AC5464" i="30"/>
  <c r="AD5464" i="30" s="1"/>
  <c r="AC5465" i="30"/>
  <c r="AD5465" i="30" s="1"/>
  <c r="AC5466" i="30"/>
  <c r="AD5466" i="30" s="1"/>
  <c r="AC5467" i="30"/>
  <c r="AD5467" i="30" s="1"/>
  <c r="AC5468" i="30"/>
  <c r="AD5468" i="30" s="1"/>
  <c r="AC5469" i="30"/>
  <c r="AD5469" i="30" s="1"/>
  <c r="AC5470" i="30"/>
  <c r="AD5470" i="30" s="1"/>
  <c r="AC5471" i="30"/>
  <c r="AD5471" i="30" s="1"/>
  <c r="AC5472" i="30"/>
  <c r="AD5472" i="30" s="1"/>
  <c r="AC5473" i="30"/>
  <c r="AD5473" i="30" s="1"/>
  <c r="AC5474" i="30"/>
  <c r="AD5474" i="30" s="1"/>
  <c r="AC5475" i="30"/>
  <c r="AD5475" i="30" s="1"/>
  <c r="AC5476" i="30"/>
  <c r="AD5476" i="30" s="1"/>
  <c r="AC5477" i="30"/>
  <c r="AD5477" i="30" s="1"/>
  <c r="AC5478" i="30"/>
  <c r="AD5478" i="30" s="1"/>
  <c r="AC5479" i="30"/>
  <c r="AD5479" i="30" s="1"/>
  <c r="AC5480" i="30"/>
  <c r="AD5480" i="30" s="1"/>
  <c r="AC5481" i="30"/>
  <c r="AD5481" i="30" s="1"/>
  <c r="AC5482" i="30"/>
  <c r="AD5482" i="30" s="1"/>
  <c r="AC5483" i="30"/>
  <c r="AD5483" i="30" s="1"/>
  <c r="AC5484" i="30"/>
  <c r="AD5484" i="30" s="1"/>
  <c r="AC5485" i="30"/>
  <c r="AD5485" i="30" s="1"/>
  <c r="AC5486" i="30"/>
  <c r="AD5486" i="30" s="1"/>
  <c r="AC5487" i="30"/>
  <c r="AD5487" i="30" s="1"/>
  <c r="AC5488" i="30"/>
  <c r="AD5488" i="30" s="1"/>
  <c r="AC5489" i="30"/>
  <c r="AD5489" i="30" s="1"/>
  <c r="AC5490" i="30"/>
  <c r="AD5490" i="30" s="1"/>
  <c r="AC5491" i="30"/>
  <c r="AD5491" i="30" s="1"/>
  <c r="AC5492" i="30"/>
  <c r="AD5492" i="30" s="1"/>
  <c r="AC5493" i="30"/>
  <c r="AD5493" i="30" s="1"/>
  <c r="AC5494" i="30"/>
  <c r="AD5494" i="30" s="1"/>
  <c r="AC5495" i="30"/>
  <c r="AD5495" i="30" s="1"/>
  <c r="AC5496" i="30"/>
  <c r="AD5496" i="30" s="1"/>
  <c r="AC5497" i="30"/>
  <c r="AD5497" i="30" s="1"/>
  <c r="AC5498" i="30"/>
  <c r="AD5498" i="30" s="1"/>
  <c r="AC5499" i="30"/>
  <c r="AD5499" i="30" s="1"/>
  <c r="AC5500" i="30"/>
  <c r="AD5500" i="30" s="1"/>
  <c r="AC5501" i="30"/>
  <c r="AD5501" i="30" s="1"/>
  <c r="AC5502" i="30"/>
  <c r="AD5502" i="30" s="1"/>
  <c r="AC5503" i="30"/>
  <c r="AD5503" i="30" s="1"/>
  <c r="AC5504" i="30"/>
  <c r="AD5504" i="30" s="1"/>
  <c r="AC5505" i="30"/>
  <c r="AD5505" i="30" s="1"/>
  <c r="AC5506" i="30"/>
  <c r="AD5506" i="30" s="1"/>
  <c r="AC5507" i="30"/>
  <c r="AD5507" i="30" s="1"/>
  <c r="AC5508" i="30"/>
  <c r="AD5508" i="30" s="1"/>
  <c r="AC5509" i="30"/>
  <c r="AD5509" i="30" s="1"/>
  <c r="AC5510" i="30"/>
  <c r="AD5510" i="30" s="1"/>
  <c r="AC5511" i="30"/>
  <c r="AD5511" i="30" s="1"/>
  <c r="AC5512" i="30"/>
  <c r="AD5512" i="30" s="1"/>
  <c r="AC5513" i="30"/>
  <c r="AD5513" i="30" s="1"/>
  <c r="AC5514" i="30"/>
  <c r="AD5514" i="30" s="1"/>
  <c r="AC5515" i="30"/>
  <c r="AD5515" i="30" s="1"/>
  <c r="AC5516" i="30"/>
  <c r="AD5516" i="30" s="1"/>
  <c r="AC5517" i="30"/>
  <c r="AD5517" i="30" s="1"/>
  <c r="AC5518" i="30"/>
  <c r="AD5518" i="30" s="1"/>
  <c r="AC5519" i="30"/>
  <c r="AD5519" i="30" s="1"/>
  <c r="AC5520" i="30"/>
  <c r="AD5520" i="30" s="1"/>
  <c r="AC5521" i="30"/>
  <c r="AD5521" i="30" s="1"/>
  <c r="AC5522" i="30"/>
  <c r="AD5522" i="30" s="1"/>
  <c r="AC5523" i="30"/>
  <c r="AD5523" i="30" s="1"/>
  <c r="AC5524" i="30"/>
  <c r="AD5524" i="30" s="1"/>
  <c r="AC5525" i="30"/>
  <c r="AD5525" i="30" s="1"/>
  <c r="AC5526" i="30"/>
  <c r="AD5526" i="30" s="1"/>
  <c r="AC5527" i="30"/>
  <c r="AD5527" i="30" s="1"/>
  <c r="AC5528" i="30"/>
  <c r="AD5528" i="30" s="1"/>
  <c r="AC5529" i="30"/>
  <c r="AD5529" i="30" s="1"/>
  <c r="AC5530" i="30"/>
  <c r="AD5530" i="30" s="1"/>
  <c r="AC5531" i="30"/>
  <c r="AD5531" i="30" s="1"/>
  <c r="AC5532" i="30"/>
  <c r="AD5532" i="30" s="1"/>
  <c r="AC5533" i="30"/>
  <c r="AD5533" i="30" s="1"/>
  <c r="AC5534" i="30"/>
  <c r="AD5534" i="30" s="1"/>
  <c r="AC5535" i="30"/>
  <c r="AD5535" i="30" s="1"/>
  <c r="AC5536" i="30"/>
  <c r="AD5536" i="30" s="1"/>
  <c r="AC5537" i="30"/>
  <c r="AD5537" i="30" s="1"/>
  <c r="AC5538" i="30"/>
  <c r="AD5538" i="30" s="1"/>
  <c r="AC5539" i="30"/>
  <c r="AD5539" i="30" s="1"/>
  <c r="AC5540" i="30"/>
  <c r="AD5540" i="30" s="1"/>
  <c r="AC5541" i="30"/>
  <c r="AD5541" i="30" s="1"/>
  <c r="AC5542" i="30"/>
  <c r="AD5542" i="30" s="1"/>
  <c r="AC5543" i="30"/>
  <c r="AD5543" i="30" s="1"/>
  <c r="AC5544" i="30"/>
  <c r="AD5544" i="30" s="1"/>
  <c r="AC5545" i="30"/>
  <c r="AD5545" i="30" s="1"/>
  <c r="AC5546" i="30"/>
  <c r="AD5546" i="30" s="1"/>
  <c r="AC5547" i="30"/>
  <c r="AD5547" i="30" s="1"/>
  <c r="AC5548" i="30"/>
  <c r="AD5548" i="30" s="1"/>
  <c r="AC5549" i="30"/>
  <c r="AD5549" i="30" s="1"/>
  <c r="AC5550" i="30"/>
  <c r="AD5550" i="30" s="1"/>
  <c r="AC5551" i="30"/>
  <c r="AD5551" i="30" s="1"/>
  <c r="AC5552" i="30"/>
  <c r="AD5552" i="30" s="1"/>
  <c r="AC5553" i="30"/>
  <c r="AD5553" i="30" s="1"/>
  <c r="AC5554" i="30"/>
  <c r="AD5554" i="30" s="1"/>
  <c r="AC5555" i="30"/>
  <c r="AD5555" i="30" s="1"/>
  <c r="AC5556" i="30"/>
  <c r="AD5556" i="30" s="1"/>
  <c r="AC5557" i="30"/>
  <c r="AD5557" i="30" s="1"/>
  <c r="AC5558" i="30"/>
  <c r="AD5558" i="30" s="1"/>
  <c r="AC5559" i="30"/>
  <c r="AD5559" i="30" s="1"/>
  <c r="AC5560" i="30"/>
  <c r="AD5560" i="30" s="1"/>
  <c r="AC5561" i="30"/>
  <c r="AD5561" i="30" s="1"/>
  <c r="AC5562" i="30"/>
  <c r="AD5562" i="30" s="1"/>
  <c r="AC5563" i="30"/>
  <c r="AD5563" i="30" s="1"/>
  <c r="AC5564" i="30"/>
  <c r="AD5564" i="30" s="1"/>
  <c r="AC5565" i="30"/>
  <c r="AD5565" i="30" s="1"/>
  <c r="AC5566" i="30"/>
  <c r="AD5566" i="30" s="1"/>
  <c r="AC5567" i="30"/>
  <c r="AD5567" i="30" s="1"/>
  <c r="AC5568" i="30"/>
  <c r="AD5568" i="30" s="1"/>
  <c r="AC5569" i="30"/>
  <c r="AD5569" i="30" s="1"/>
  <c r="AC5570" i="30"/>
  <c r="AD5570" i="30" s="1"/>
  <c r="AC5571" i="30"/>
  <c r="AD5571" i="30" s="1"/>
  <c r="AC5572" i="30"/>
  <c r="AD5572" i="30" s="1"/>
  <c r="AC5573" i="30"/>
  <c r="AD5573" i="30" s="1"/>
  <c r="AC5574" i="30"/>
  <c r="AD5574" i="30" s="1"/>
  <c r="AC5575" i="30"/>
  <c r="AD5575" i="30" s="1"/>
  <c r="AC5576" i="30"/>
  <c r="AD5576" i="30" s="1"/>
  <c r="AC5577" i="30"/>
  <c r="AD5577" i="30" s="1"/>
  <c r="AC5578" i="30"/>
  <c r="AD5578" i="30" s="1"/>
  <c r="AC5579" i="30"/>
  <c r="AD5579" i="30" s="1"/>
  <c r="AC5580" i="30"/>
  <c r="AD5580" i="30" s="1"/>
  <c r="AC5581" i="30"/>
  <c r="AD5581" i="30" s="1"/>
  <c r="AC5582" i="30"/>
  <c r="AD5582" i="30" s="1"/>
  <c r="AC5583" i="30"/>
  <c r="AD5583" i="30" s="1"/>
  <c r="AC5584" i="30"/>
  <c r="AD5584" i="30" s="1"/>
  <c r="AC5585" i="30"/>
  <c r="AD5585" i="30" s="1"/>
  <c r="AC5586" i="30"/>
  <c r="AD5586" i="30" s="1"/>
  <c r="AC5587" i="30"/>
  <c r="AD5587" i="30" s="1"/>
  <c r="AC5588" i="30"/>
  <c r="AD5588" i="30" s="1"/>
  <c r="AC5589" i="30"/>
  <c r="AD5589" i="30" s="1"/>
  <c r="AC5590" i="30"/>
  <c r="AD5590" i="30" s="1"/>
  <c r="AC5591" i="30"/>
  <c r="AD5591" i="30" s="1"/>
  <c r="AC5592" i="30"/>
  <c r="AD5592" i="30" s="1"/>
  <c r="AC5593" i="30"/>
  <c r="AD5593" i="30" s="1"/>
  <c r="AC5594" i="30"/>
  <c r="AD5594" i="30" s="1"/>
  <c r="AC5595" i="30"/>
  <c r="AD5595" i="30" s="1"/>
  <c r="AC5596" i="30"/>
  <c r="AD5596" i="30" s="1"/>
  <c r="AC5597" i="30"/>
  <c r="AD5597" i="30" s="1"/>
  <c r="AC5598" i="30"/>
  <c r="AD5598" i="30" s="1"/>
  <c r="AC5599" i="30"/>
  <c r="AD5599" i="30" s="1"/>
  <c r="AC5600" i="30"/>
  <c r="AD5600" i="30" s="1"/>
  <c r="AC5601" i="30"/>
  <c r="AD5601" i="30" s="1"/>
  <c r="AC5602" i="30"/>
  <c r="AD5602" i="30" s="1"/>
  <c r="AC5603" i="30"/>
  <c r="AD5603" i="30" s="1"/>
  <c r="AC5604" i="30"/>
  <c r="AD5604" i="30" s="1"/>
  <c r="AC5605" i="30"/>
  <c r="AD5605" i="30" s="1"/>
  <c r="AC5606" i="30"/>
  <c r="AD5606" i="30" s="1"/>
  <c r="AC5607" i="30"/>
  <c r="AD5607" i="30" s="1"/>
  <c r="AC5608" i="30"/>
  <c r="AD5608" i="30" s="1"/>
  <c r="AC5609" i="30"/>
  <c r="AD5609" i="30" s="1"/>
  <c r="AC5610" i="30"/>
  <c r="AD5610" i="30" s="1"/>
  <c r="AC5611" i="30"/>
  <c r="AD5611" i="30" s="1"/>
  <c r="AC5612" i="30"/>
  <c r="AD5612" i="30" s="1"/>
  <c r="AC5613" i="30"/>
  <c r="AD5613" i="30" s="1"/>
  <c r="AC5614" i="30"/>
  <c r="AD5614" i="30" s="1"/>
  <c r="AC5615" i="30"/>
  <c r="AD5615" i="30" s="1"/>
  <c r="AC5616" i="30"/>
  <c r="AD5616" i="30" s="1"/>
  <c r="AC5617" i="30"/>
  <c r="AD5617" i="30" s="1"/>
  <c r="AC5618" i="30"/>
  <c r="AD5618" i="30" s="1"/>
  <c r="AC5619" i="30"/>
  <c r="AD5619" i="30" s="1"/>
  <c r="AC5620" i="30"/>
  <c r="AD5620" i="30" s="1"/>
  <c r="AC5621" i="30"/>
  <c r="AD5621" i="30" s="1"/>
  <c r="AC5622" i="30"/>
  <c r="AD5622" i="30" s="1"/>
  <c r="AC5623" i="30"/>
  <c r="AD5623" i="30" s="1"/>
  <c r="AC5624" i="30"/>
  <c r="AD5624" i="30" s="1"/>
  <c r="AC5625" i="30"/>
  <c r="AD5625" i="30" s="1"/>
  <c r="AC5626" i="30"/>
  <c r="AD5626" i="30" s="1"/>
  <c r="AC5627" i="30"/>
  <c r="AD5627" i="30" s="1"/>
  <c r="AC5628" i="30"/>
  <c r="AD5628" i="30" s="1"/>
  <c r="AC5629" i="30"/>
  <c r="AD5629" i="30" s="1"/>
  <c r="AC5630" i="30"/>
  <c r="AD5630" i="30" s="1"/>
  <c r="AC5631" i="30"/>
  <c r="AD5631" i="30" s="1"/>
  <c r="AC5632" i="30"/>
  <c r="AD5632" i="30" s="1"/>
  <c r="AC5633" i="30"/>
  <c r="AD5633" i="30" s="1"/>
  <c r="AC5634" i="30"/>
  <c r="AD5634" i="30" s="1"/>
  <c r="AC5635" i="30"/>
  <c r="AD5635" i="30" s="1"/>
  <c r="AC5636" i="30"/>
  <c r="AD5636" i="30" s="1"/>
  <c r="AC5637" i="30"/>
  <c r="AD5637" i="30" s="1"/>
  <c r="AC5638" i="30"/>
  <c r="AD5638" i="30" s="1"/>
  <c r="AC5639" i="30"/>
  <c r="AD5639" i="30" s="1"/>
  <c r="AC5640" i="30"/>
  <c r="AD5640" i="30" s="1"/>
  <c r="AC5641" i="30"/>
  <c r="AD5641" i="30" s="1"/>
  <c r="AC5642" i="30"/>
  <c r="AD5642" i="30" s="1"/>
  <c r="AC5643" i="30"/>
  <c r="AD5643" i="30" s="1"/>
  <c r="AC5644" i="30"/>
  <c r="AD5644" i="30" s="1"/>
  <c r="AC5645" i="30"/>
  <c r="AD5645" i="30" s="1"/>
  <c r="AC5646" i="30"/>
  <c r="AD5646" i="30" s="1"/>
  <c r="AC5647" i="30"/>
  <c r="AD5647" i="30" s="1"/>
  <c r="AC5648" i="30"/>
  <c r="AD5648" i="30" s="1"/>
  <c r="AC5649" i="30"/>
  <c r="AD5649" i="30" s="1"/>
  <c r="AC5650" i="30"/>
  <c r="AD5650" i="30" s="1"/>
  <c r="AC5651" i="30"/>
  <c r="AD5651" i="30" s="1"/>
  <c r="AC5652" i="30"/>
  <c r="AD5652" i="30" s="1"/>
  <c r="AC5653" i="30"/>
  <c r="AD5653" i="30" s="1"/>
  <c r="AC5654" i="30"/>
  <c r="AD5654" i="30" s="1"/>
  <c r="AC5655" i="30"/>
  <c r="AD5655" i="30" s="1"/>
  <c r="AC5656" i="30"/>
  <c r="AD5656" i="30" s="1"/>
  <c r="AC5657" i="30"/>
  <c r="AD5657" i="30" s="1"/>
  <c r="AC5658" i="30"/>
  <c r="AD5658" i="30" s="1"/>
  <c r="AC5659" i="30"/>
  <c r="AD5659" i="30" s="1"/>
  <c r="AC5660" i="30"/>
  <c r="AD5660" i="30" s="1"/>
  <c r="AC5661" i="30"/>
  <c r="AD5661" i="30" s="1"/>
  <c r="AC5662" i="30"/>
  <c r="AD5662" i="30" s="1"/>
  <c r="AC5663" i="30"/>
  <c r="AD5663" i="30" s="1"/>
  <c r="AC5664" i="30"/>
  <c r="AD5664" i="30" s="1"/>
  <c r="AC5665" i="30"/>
  <c r="AD5665" i="30" s="1"/>
  <c r="AC5666" i="30"/>
  <c r="AD5666" i="30" s="1"/>
  <c r="AC5667" i="30"/>
  <c r="AD5667" i="30" s="1"/>
  <c r="AC5668" i="30"/>
  <c r="AD5668" i="30" s="1"/>
  <c r="AC5669" i="30"/>
  <c r="AD5669" i="30" s="1"/>
  <c r="AC5670" i="30"/>
  <c r="AD5670" i="30" s="1"/>
  <c r="AC5671" i="30"/>
  <c r="AD5671" i="30" s="1"/>
  <c r="AC5672" i="30"/>
  <c r="AD5672" i="30" s="1"/>
  <c r="AC5673" i="30"/>
  <c r="AD5673" i="30" s="1"/>
  <c r="AC5674" i="30"/>
  <c r="AD5674" i="30" s="1"/>
  <c r="AC5675" i="30"/>
  <c r="AD5675" i="30" s="1"/>
  <c r="AC5676" i="30"/>
  <c r="AD5676" i="30" s="1"/>
  <c r="AC5677" i="30"/>
  <c r="AD5677" i="30" s="1"/>
  <c r="AC5678" i="30"/>
  <c r="AD5678" i="30" s="1"/>
  <c r="AC5679" i="30"/>
  <c r="AD5679" i="30" s="1"/>
  <c r="AC5680" i="30"/>
  <c r="AD5680" i="30" s="1"/>
  <c r="AC5681" i="30"/>
  <c r="AD5681" i="30" s="1"/>
  <c r="AC5682" i="30"/>
  <c r="AD5682" i="30" s="1"/>
  <c r="AC5683" i="30"/>
  <c r="AD5683" i="30" s="1"/>
  <c r="AC5684" i="30"/>
  <c r="AD5684" i="30" s="1"/>
  <c r="AC5685" i="30"/>
  <c r="AD5685" i="30" s="1"/>
  <c r="AC5686" i="30"/>
  <c r="AD5686" i="30" s="1"/>
  <c r="AC5687" i="30"/>
  <c r="AD5687" i="30" s="1"/>
  <c r="AC5688" i="30"/>
  <c r="AD5688" i="30" s="1"/>
  <c r="AC5689" i="30"/>
  <c r="AD5689" i="30" s="1"/>
  <c r="AC5690" i="30"/>
  <c r="AD5690" i="30" s="1"/>
  <c r="AC5691" i="30"/>
  <c r="AD5691" i="30" s="1"/>
  <c r="AC5692" i="30"/>
  <c r="AD5692" i="30" s="1"/>
  <c r="AC5693" i="30"/>
  <c r="AD5693" i="30" s="1"/>
  <c r="AC5694" i="30"/>
  <c r="AD5694" i="30" s="1"/>
  <c r="AC5695" i="30"/>
  <c r="AD5695" i="30" s="1"/>
  <c r="AC5696" i="30"/>
  <c r="AD5696" i="30" s="1"/>
  <c r="AC5697" i="30"/>
  <c r="AD5697" i="30" s="1"/>
  <c r="AC5698" i="30"/>
  <c r="AD5698" i="30" s="1"/>
  <c r="AC5699" i="30"/>
  <c r="AD5699" i="30" s="1"/>
  <c r="AC5700" i="30"/>
  <c r="AD5700" i="30" s="1"/>
  <c r="AC5701" i="30"/>
  <c r="AD5701" i="30" s="1"/>
  <c r="AC5702" i="30"/>
  <c r="AD5702" i="30" s="1"/>
  <c r="AC5703" i="30"/>
  <c r="AD5703" i="30" s="1"/>
  <c r="AC5704" i="30"/>
  <c r="AD5704" i="30" s="1"/>
  <c r="AC5705" i="30"/>
  <c r="AD5705" i="30" s="1"/>
  <c r="AC5706" i="30"/>
  <c r="AD5706" i="30" s="1"/>
  <c r="AC5707" i="30"/>
  <c r="AD5707" i="30" s="1"/>
  <c r="AC5708" i="30"/>
  <c r="AD5708" i="30" s="1"/>
  <c r="AC5709" i="30"/>
  <c r="AD5709" i="30" s="1"/>
  <c r="AC5710" i="30"/>
  <c r="AD5710" i="30" s="1"/>
  <c r="AC5711" i="30"/>
  <c r="AD5711" i="30" s="1"/>
  <c r="AC5712" i="30"/>
  <c r="AD5712" i="30" s="1"/>
  <c r="AC5713" i="30"/>
  <c r="AD5713" i="30" s="1"/>
  <c r="AC5714" i="30"/>
  <c r="AD5714" i="30" s="1"/>
  <c r="AC5715" i="30"/>
  <c r="AD5715" i="30" s="1"/>
  <c r="AC5716" i="30"/>
  <c r="AD5716" i="30" s="1"/>
  <c r="AC5717" i="30"/>
  <c r="AD5717" i="30" s="1"/>
  <c r="AC5718" i="30"/>
  <c r="AD5718" i="30" s="1"/>
  <c r="AC5719" i="30"/>
  <c r="AD5719" i="30" s="1"/>
  <c r="AC5720" i="30"/>
  <c r="AD5720" i="30" s="1"/>
  <c r="AC5721" i="30"/>
  <c r="AD5721" i="30" s="1"/>
  <c r="AC5722" i="30"/>
  <c r="AD5722" i="30" s="1"/>
  <c r="AC5723" i="30"/>
  <c r="AD5723" i="30" s="1"/>
  <c r="AC5724" i="30"/>
  <c r="AD5724" i="30" s="1"/>
  <c r="AC5725" i="30"/>
  <c r="AD5725" i="30" s="1"/>
  <c r="AC5726" i="30"/>
  <c r="AD5726" i="30" s="1"/>
  <c r="AC5727" i="30"/>
  <c r="AD5727" i="30" s="1"/>
  <c r="AC5728" i="30"/>
  <c r="AD5728" i="30" s="1"/>
  <c r="AC5729" i="30"/>
  <c r="AD5729" i="30" s="1"/>
  <c r="AC5730" i="30"/>
  <c r="AD5730" i="30" s="1"/>
  <c r="AC5731" i="30"/>
  <c r="AD5731" i="30" s="1"/>
  <c r="AC5732" i="30"/>
  <c r="AD5732" i="30" s="1"/>
  <c r="AC5733" i="30"/>
  <c r="AD5733" i="30" s="1"/>
  <c r="AC5734" i="30"/>
  <c r="AD5734" i="30" s="1"/>
  <c r="AC5735" i="30"/>
  <c r="AD5735" i="30" s="1"/>
  <c r="AC5736" i="30"/>
  <c r="AD5736" i="30" s="1"/>
  <c r="AC5737" i="30"/>
  <c r="AD5737" i="30" s="1"/>
  <c r="AC5738" i="30"/>
  <c r="AD5738" i="30" s="1"/>
  <c r="AC5739" i="30"/>
  <c r="AD5739" i="30" s="1"/>
  <c r="AC5740" i="30"/>
  <c r="AD5740" i="30" s="1"/>
  <c r="AC5741" i="30"/>
  <c r="AD5741" i="30" s="1"/>
  <c r="AC5742" i="30"/>
  <c r="AD5742" i="30" s="1"/>
  <c r="AC5743" i="30"/>
  <c r="AD5743" i="30" s="1"/>
  <c r="AC5744" i="30"/>
  <c r="AD5744" i="30" s="1"/>
  <c r="AC5745" i="30"/>
  <c r="AD5745" i="30" s="1"/>
  <c r="AC5746" i="30"/>
  <c r="AD5746" i="30" s="1"/>
  <c r="AC5747" i="30"/>
  <c r="AD5747" i="30" s="1"/>
  <c r="AC5748" i="30"/>
  <c r="AD5748" i="30" s="1"/>
  <c r="AC5749" i="30"/>
  <c r="AD5749" i="30" s="1"/>
  <c r="AC5750" i="30"/>
  <c r="AD5750" i="30" s="1"/>
  <c r="AC5751" i="30"/>
  <c r="AD5751" i="30" s="1"/>
  <c r="AC5752" i="30"/>
  <c r="AD5752" i="30" s="1"/>
  <c r="AC5753" i="30"/>
  <c r="AD5753" i="30" s="1"/>
  <c r="AC5754" i="30"/>
  <c r="AD5754" i="30" s="1"/>
  <c r="AC5755" i="30"/>
  <c r="AD5755" i="30" s="1"/>
  <c r="AC5756" i="30"/>
  <c r="AD5756" i="30" s="1"/>
  <c r="AC5757" i="30"/>
  <c r="AD5757" i="30" s="1"/>
  <c r="AC5758" i="30"/>
  <c r="AD5758" i="30" s="1"/>
  <c r="AC5759" i="30"/>
  <c r="AD5759" i="30" s="1"/>
  <c r="AC5760" i="30"/>
  <c r="AD5760" i="30" s="1"/>
  <c r="AC5761" i="30"/>
  <c r="AD5761" i="30" s="1"/>
  <c r="AC5762" i="30"/>
  <c r="AD5762" i="30" s="1"/>
  <c r="AC5763" i="30"/>
  <c r="AD5763" i="30" s="1"/>
  <c r="AC5764" i="30"/>
  <c r="AD5764" i="30" s="1"/>
  <c r="AC5765" i="30"/>
  <c r="AD5765" i="30" s="1"/>
  <c r="AC5766" i="30"/>
  <c r="AD5766" i="30" s="1"/>
  <c r="AC5767" i="30"/>
  <c r="AD5767" i="30" s="1"/>
  <c r="AC5768" i="30"/>
  <c r="AD5768" i="30" s="1"/>
  <c r="AC5769" i="30"/>
  <c r="AD5769" i="30" s="1"/>
  <c r="AC5770" i="30"/>
  <c r="AD5770" i="30" s="1"/>
  <c r="AC5771" i="30"/>
  <c r="AD5771" i="30" s="1"/>
  <c r="AC5772" i="30"/>
  <c r="AD5772" i="30" s="1"/>
  <c r="AC5773" i="30"/>
  <c r="AD5773" i="30" s="1"/>
  <c r="AC5774" i="30"/>
  <c r="AD5774" i="30" s="1"/>
  <c r="AC5775" i="30"/>
  <c r="AD5775" i="30" s="1"/>
  <c r="AC5776" i="30"/>
  <c r="AD5776" i="30" s="1"/>
  <c r="AC5777" i="30"/>
  <c r="AD5777" i="30" s="1"/>
  <c r="AC5778" i="30"/>
  <c r="AD5778" i="30" s="1"/>
  <c r="AC5779" i="30"/>
  <c r="AD5779" i="30" s="1"/>
  <c r="AC5780" i="30"/>
  <c r="AD5780" i="30" s="1"/>
  <c r="AC5781" i="30"/>
  <c r="AD5781" i="30" s="1"/>
  <c r="AC5782" i="30"/>
  <c r="AD5782" i="30" s="1"/>
  <c r="AC5783" i="30"/>
  <c r="AD5783" i="30" s="1"/>
  <c r="AC5784" i="30"/>
  <c r="AD5784" i="30" s="1"/>
  <c r="AC5785" i="30"/>
  <c r="AD5785" i="30" s="1"/>
  <c r="AC5786" i="30"/>
  <c r="AD5786" i="30" s="1"/>
  <c r="AC5787" i="30"/>
  <c r="AD5787" i="30" s="1"/>
  <c r="AC5788" i="30"/>
  <c r="AD5788" i="30" s="1"/>
  <c r="AC5789" i="30"/>
  <c r="AD5789" i="30" s="1"/>
  <c r="AC5790" i="30"/>
  <c r="AD5790" i="30" s="1"/>
  <c r="AC5791" i="30"/>
  <c r="AD5791" i="30" s="1"/>
  <c r="AC5792" i="30"/>
  <c r="AD5792" i="30" s="1"/>
  <c r="AC5793" i="30"/>
  <c r="AD5793" i="30" s="1"/>
  <c r="AC5794" i="30"/>
  <c r="AD5794" i="30" s="1"/>
  <c r="AC5795" i="30"/>
  <c r="AD5795" i="30" s="1"/>
  <c r="AC5796" i="30"/>
  <c r="AD5796" i="30" s="1"/>
  <c r="AC5797" i="30"/>
  <c r="AD5797" i="30" s="1"/>
  <c r="AC5798" i="30"/>
  <c r="AD5798" i="30" s="1"/>
  <c r="AC5799" i="30"/>
  <c r="AD5799" i="30" s="1"/>
  <c r="AC5800" i="30"/>
  <c r="AD5800" i="30" s="1"/>
  <c r="AC5801" i="30"/>
  <c r="AD5801" i="30" s="1"/>
  <c r="AC5802" i="30"/>
  <c r="AD5802" i="30" s="1"/>
  <c r="AC5803" i="30"/>
  <c r="AD5803" i="30" s="1"/>
  <c r="AC5804" i="30"/>
  <c r="AD5804" i="30" s="1"/>
  <c r="AC5805" i="30"/>
  <c r="AD5805" i="30" s="1"/>
  <c r="AC5806" i="30"/>
  <c r="AD5806" i="30" s="1"/>
  <c r="AC5807" i="30"/>
  <c r="AD5807" i="30" s="1"/>
  <c r="AC5808" i="30"/>
  <c r="AD5808" i="30" s="1"/>
  <c r="AC5809" i="30"/>
  <c r="AD5809" i="30" s="1"/>
  <c r="AC5810" i="30"/>
  <c r="AD5810" i="30" s="1"/>
  <c r="AC5811" i="30"/>
  <c r="AD5811" i="30" s="1"/>
  <c r="AC5812" i="30"/>
  <c r="AD5812" i="30" s="1"/>
  <c r="AC5813" i="30"/>
  <c r="AD5813" i="30" s="1"/>
  <c r="AC5814" i="30"/>
  <c r="AD5814" i="30" s="1"/>
  <c r="AC5815" i="30"/>
  <c r="AD5815" i="30" s="1"/>
  <c r="AC5816" i="30"/>
  <c r="AD5816" i="30" s="1"/>
  <c r="AC5817" i="30"/>
  <c r="AD5817" i="30" s="1"/>
  <c r="AC5818" i="30"/>
  <c r="AD5818" i="30" s="1"/>
  <c r="AC5819" i="30"/>
  <c r="AD5819" i="30" s="1"/>
  <c r="AC5820" i="30"/>
  <c r="AD5820" i="30" s="1"/>
  <c r="AC5821" i="30"/>
  <c r="AD5821" i="30" s="1"/>
  <c r="AC5822" i="30"/>
  <c r="AD5822" i="30" s="1"/>
  <c r="AC5823" i="30"/>
  <c r="AD5823" i="30" s="1"/>
  <c r="AC5824" i="30"/>
  <c r="AD5824" i="30" s="1"/>
  <c r="AC5825" i="30"/>
  <c r="AD5825" i="30" s="1"/>
  <c r="AC5826" i="30"/>
  <c r="AD5826" i="30" s="1"/>
  <c r="AC5827" i="30"/>
  <c r="AD5827" i="30" s="1"/>
  <c r="AC5828" i="30"/>
  <c r="AD5828" i="30" s="1"/>
  <c r="AC5829" i="30"/>
  <c r="AD5829" i="30" s="1"/>
  <c r="AC5830" i="30"/>
  <c r="AD5830" i="30" s="1"/>
  <c r="AC5831" i="30"/>
  <c r="AD5831" i="30" s="1"/>
  <c r="AC5832" i="30"/>
  <c r="AD5832" i="30" s="1"/>
  <c r="AC5833" i="30"/>
  <c r="AD5833" i="30" s="1"/>
  <c r="AC5834" i="30"/>
  <c r="AD5834" i="30" s="1"/>
  <c r="AC5835" i="30"/>
  <c r="AD5835" i="30" s="1"/>
  <c r="AC5836" i="30"/>
  <c r="AD5836" i="30" s="1"/>
  <c r="AC5837" i="30"/>
  <c r="AD5837" i="30" s="1"/>
  <c r="AC5838" i="30"/>
  <c r="AD5838" i="30" s="1"/>
  <c r="AC5839" i="30"/>
  <c r="AD5839" i="30" s="1"/>
  <c r="AC5840" i="30"/>
  <c r="AD5840" i="30" s="1"/>
  <c r="AC5841" i="30"/>
  <c r="AD5841" i="30" s="1"/>
  <c r="AC5842" i="30"/>
  <c r="AD5842" i="30" s="1"/>
  <c r="AC5843" i="30"/>
  <c r="AD5843" i="30" s="1"/>
  <c r="AC5844" i="30"/>
  <c r="AD5844" i="30" s="1"/>
  <c r="AC5845" i="30"/>
  <c r="AD5845" i="30" s="1"/>
  <c r="AC5846" i="30"/>
  <c r="AD5846" i="30" s="1"/>
  <c r="AC5847" i="30"/>
  <c r="AD5847" i="30" s="1"/>
  <c r="AC5848" i="30"/>
  <c r="AD5848" i="30" s="1"/>
  <c r="AC5849" i="30"/>
  <c r="AD5849" i="30" s="1"/>
  <c r="AC5850" i="30"/>
  <c r="AD5850" i="30" s="1"/>
  <c r="AC5851" i="30"/>
  <c r="AD5851" i="30" s="1"/>
  <c r="AC5852" i="30"/>
  <c r="AD5852" i="30" s="1"/>
  <c r="AC5853" i="30"/>
  <c r="AD5853" i="30" s="1"/>
  <c r="AC5854" i="30"/>
  <c r="AD5854" i="30" s="1"/>
  <c r="AC5855" i="30"/>
  <c r="AD5855" i="30" s="1"/>
  <c r="AC5856" i="30"/>
  <c r="AD5856" i="30" s="1"/>
  <c r="AC5857" i="30"/>
  <c r="AD5857" i="30" s="1"/>
  <c r="AC5858" i="30"/>
  <c r="AD5858" i="30" s="1"/>
  <c r="AC5859" i="30"/>
  <c r="AD5859" i="30" s="1"/>
  <c r="AC5860" i="30"/>
  <c r="AD5860" i="30" s="1"/>
  <c r="AC5861" i="30"/>
  <c r="AD5861" i="30" s="1"/>
  <c r="AC5862" i="30"/>
  <c r="AD5862" i="30" s="1"/>
  <c r="AC5863" i="30"/>
  <c r="AD5863" i="30" s="1"/>
  <c r="AC5864" i="30"/>
  <c r="AD5864" i="30" s="1"/>
  <c r="AC5865" i="30"/>
  <c r="AD5865" i="30" s="1"/>
  <c r="AC5866" i="30"/>
  <c r="AD5866" i="30" s="1"/>
  <c r="AC5867" i="30"/>
  <c r="AD5867" i="30" s="1"/>
  <c r="AC5868" i="30"/>
  <c r="AD5868" i="30" s="1"/>
  <c r="AC5869" i="30"/>
  <c r="AD5869" i="30" s="1"/>
  <c r="AC5870" i="30"/>
  <c r="AD5870" i="30" s="1"/>
  <c r="AC5871" i="30"/>
  <c r="AD5871" i="30" s="1"/>
  <c r="AC5872" i="30"/>
  <c r="AD5872" i="30" s="1"/>
  <c r="AC5873" i="30"/>
  <c r="AD5873" i="30" s="1"/>
  <c r="AC5874" i="30"/>
  <c r="AD5874" i="30" s="1"/>
  <c r="AC5875" i="30"/>
  <c r="AD5875" i="30" s="1"/>
  <c r="AC5876" i="30"/>
  <c r="AD5876" i="30" s="1"/>
  <c r="AC5877" i="30"/>
  <c r="AD5877" i="30" s="1"/>
  <c r="AC5878" i="30"/>
  <c r="AD5878" i="30" s="1"/>
  <c r="AC5879" i="30"/>
  <c r="AD5879" i="30" s="1"/>
  <c r="AC5880" i="30"/>
  <c r="AD5880" i="30" s="1"/>
  <c r="AC5881" i="30"/>
  <c r="AD5881" i="30" s="1"/>
  <c r="AC5882" i="30"/>
  <c r="AD5882" i="30" s="1"/>
  <c r="AC5883" i="30"/>
  <c r="AD5883" i="30" s="1"/>
  <c r="AC5884" i="30"/>
  <c r="AD5884" i="30" s="1"/>
  <c r="AC5885" i="30"/>
  <c r="AD5885" i="30" s="1"/>
  <c r="AC5886" i="30"/>
  <c r="AD5886" i="30" s="1"/>
  <c r="AC5887" i="30"/>
  <c r="AD5887" i="30" s="1"/>
  <c r="AC5888" i="30"/>
  <c r="AD5888" i="30" s="1"/>
  <c r="AC5889" i="30"/>
  <c r="AD5889" i="30" s="1"/>
  <c r="AC5890" i="30"/>
  <c r="AD5890" i="30" s="1"/>
  <c r="AC5891" i="30"/>
  <c r="AD5891" i="30" s="1"/>
  <c r="AC5892" i="30"/>
  <c r="AD5892" i="30" s="1"/>
  <c r="AC5893" i="30"/>
  <c r="AD5893" i="30" s="1"/>
  <c r="AC5894" i="30"/>
  <c r="AD5894" i="30" s="1"/>
  <c r="AC5895" i="30"/>
  <c r="AD5895" i="30" s="1"/>
  <c r="AC5896" i="30"/>
  <c r="AD5896" i="30" s="1"/>
  <c r="AC5897" i="30"/>
  <c r="AD5897" i="30" s="1"/>
  <c r="AC5898" i="30"/>
  <c r="AD5898" i="30" s="1"/>
  <c r="AC5899" i="30"/>
  <c r="AD5899" i="30" s="1"/>
  <c r="AC5900" i="30"/>
  <c r="AD5900" i="30" s="1"/>
  <c r="AC5901" i="30"/>
  <c r="AD5901" i="30" s="1"/>
  <c r="AC5902" i="30"/>
  <c r="AD5902" i="30" s="1"/>
  <c r="AC5903" i="30"/>
  <c r="AD5903" i="30" s="1"/>
  <c r="AC5904" i="30"/>
  <c r="AD5904" i="30" s="1"/>
  <c r="AC5905" i="30"/>
  <c r="AD5905" i="30" s="1"/>
  <c r="AC5906" i="30"/>
  <c r="AD5906" i="30" s="1"/>
  <c r="AC5907" i="30"/>
  <c r="AD5907" i="30" s="1"/>
  <c r="AC5908" i="30"/>
  <c r="AD5908" i="30" s="1"/>
  <c r="AC5909" i="30"/>
  <c r="AD5909" i="30" s="1"/>
  <c r="AC5910" i="30"/>
  <c r="AD5910" i="30" s="1"/>
  <c r="AC5911" i="30"/>
  <c r="AD5911" i="30" s="1"/>
  <c r="AC5912" i="30"/>
  <c r="AD5912" i="30" s="1"/>
  <c r="AC5913" i="30"/>
  <c r="AD5913" i="30" s="1"/>
  <c r="AC5914" i="30"/>
  <c r="AD5914" i="30" s="1"/>
  <c r="AC5915" i="30"/>
  <c r="AD5915" i="30" s="1"/>
  <c r="AC5916" i="30"/>
  <c r="AD5916" i="30" s="1"/>
  <c r="AC5917" i="30"/>
  <c r="AD5917" i="30" s="1"/>
  <c r="AC5918" i="30"/>
  <c r="AD5918" i="30" s="1"/>
  <c r="AC5919" i="30"/>
  <c r="AD5919" i="30" s="1"/>
  <c r="AC5920" i="30"/>
  <c r="AD5920" i="30" s="1"/>
  <c r="AC5921" i="30"/>
  <c r="AD5921" i="30" s="1"/>
  <c r="AC5922" i="30"/>
  <c r="AD5922" i="30" s="1"/>
  <c r="AC5923" i="30"/>
  <c r="AD5923" i="30" s="1"/>
  <c r="AC5924" i="30"/>
  <c r="AD5924" i="30" s="1"/>
  <c r="AC5925" i="30"/>
  <c r="AD5925" i="30" s="1"/>
  <c r="AC5926" i="30"/>
  <c r="AD5926" i="30" s="1"/>
  <c r="AC5927" i="30"/>
  <c r="AD5927" i="30" s="1"/>
  <c r="AC5928" i="30"/>
  <c r="AD5928" i="30" s="1"/>
  <c r="AC5929" i="30"/>
  <c r="AD5929" i="30" s="1"/>
  <c r="AC5930" i="30"/>
  <c r="AD5930" i="30" s="1"/>
  <c r="AC5931" i="30"/>
  <c r="AD5931" i="30" s="1"/>
  <c r="AC5932" i="30"/>
  <c r="AD5932" i="30" s="1"/>
  <c r="AC5933" i="30"/>
  <c r="AD5933" i="30" s="1"/>
  <c r="AC5934" i="30"/>
  <c r="AD5934" i="30" s="1"/>
  <c r="AC5935" i="30"/>
  <c r="AD5935" i="30" s="1"/>
  <c r="AC5936" i="30"/>
  <c r="AD5936" i="30" s="1"/>
  <c r="AC5937" i="30"/>
  <c r="AD5937" i="30" s="1"/>
  <c r="AC5938" i="30"/>
  <c r="AD5938" i="30" s="1"/>
  <c r="AC5939" i="30"/>
  <c r="AD5939" i="30" s="1"/>
  <c r="AC5940" i="30"/>
  <c r="AD5940" i="30" s="1"/>
  <c r="AC5941" i="30"/>
  <c r="AD5941" i="30" s="1"/>
  <c r="AC5942" i="30"/>
  <c r="AD5942" i="30" s="1"/>
  <c r="AC5943" i="30"/>
  <c r="AD5943" i="30" s="1"/>
  <c r="AC5944" i="30"/>
  <c r="AD5944" i="30" s="1"/>
  <c r="AC5945" i="30"/>
  <c r="AD5945" i="30" s="1"/>
  <c r="AC5946" i="30"/>
  <c r="AD5946" i="30" s="1"/>
  <c r="AC5947" i="30"/>
  <c r="AD5947" i="30" s="1"/>
  <c r="AC5948" i="30"/>
  <c r="AD5948" i="30" s="1"/>
  <c r="AC5949" i="30"/>
  <c r="AD5949" i="30" s="1"/>
  <c r="AC5950" i="30"/>
  <c r="AD5950" i="30" s="1"/>
  <c r="AC5951" i="30"/>
  <c r="AD5951" i="30" s="1"/>
  <c r="AC5952" i="30"/>
  <c r="AD5952" i="30" s="1"/>
  <c r="AC5953" i="30"/>
  <c r="AD5953" i="30" s="1"/>
  <c r="AC5954" i="30"/>
  <c r="AD5954" i="30" s="1"/>
  <c r="AC5955" i="30"/>
  <c r="AD5955" i="30" s="1"/>
  <c r="AC5956" i="30"/>
  <c r="AD5956" i="30" s="1"/>
  <c r="AC5957" i="30"/>
  <c r="AD5957" i="30" s="1"/>
  <c r="AC5958" i="30"/>
  <c r="AD5958" i="30" s="1"/>
  <c r="AC5959" i="30"/>
  <c r="AD5959" i="30" s="1"/>
  <c r="AC5960" i="30"/>
  <c r="AD5960" i="30" s="1"/>
  <c r="AC5961" i="30"/>
  <c r="AD5961" i="30" s="1"/>
  <c r="AC5962" i="30"/>
  <c r="AD5962" i="30" s="1"/>
  <c r="AC5963" i="30"/>
  <c r="AD5963" i="30" s="1"/>
  <c r="AC5964" i="30"/>
  <c r="AD5964" i="30" s="1"/>
  <c r="AC5965" i="30"/>
  <c r="AD5965" i="30" s="1"/>
  <c r="AC5966" i="30"/>
  <c r="AD5966" i="30" s="1"/>
  <c r="AC5967" i="30"/>
  <c r="AD5967" i="30" s="1"/>
  <c r="AC5968" i="30"/>
  <c r="AD5968" i="30" s="1"/>
  <c r="AC5969" i="30"/>
  <c r="AD5969" i="30" s="1"/>
  <c r="AC5970" i="30"/>
  <c r="AD5970" i="30" s="1"/>
  <c r="AC5971" i="30"/>
  <c r="AD5971" i="30" s="1"/>
  <c r="AC5972" i="30"/>
  <c r="AD5972" i="30" s="1"/>
  <c r="AC5973" i="30"/>
  <c r="AD5973" i="30" s="1"/>
  <c r="AC5974" i="30"/>
  <c r="AD5974" i="30" s="1"/>
  <c r="AC5975" i="30"/>
  <c r="AD5975" i="30" s="1"/>
  <c r="AC5976" i="30"/>
  <c r="AD5976" i="30" s="1"/>
  <c r="AC5977" i="30"/>
  <c r="AD5977" i="30" s="1"/>
  <c r="AC5978" i="30"/>
  <c r="AD5978" i="30" s="1"/>
  <c r="AC5979" i="30"/>
  <c r="AD5979" i="30" s="1"/>
  <c r="AC5980" i="30"/>
  <c r="AD5980" i="30" s="1"/>
  <c r="AC5981" i="30"/>
  <c r="AD5981" i="30" s="1"/>
  <c r="AC5982" i="30"/>
  <c r="AD5982" i="30" s="1"/>
  <c r="AC5983" i="30"/>
  <c r="AD5983" i="30" s="1"/>
  <c r="AC5984" i="30"/>
  <c r="AD5984" i="30" s="1"/>
  <c r="AC5985" i="30"/>
  <c r="AD5985" i="30" s="1"/>
  <c r="AC5986" i="30"/>
  <c r="AD5986" i="30" s="1"/>
  <c r="AC5987" i="30"/>
  <c r="AD5987" i="30" s="1"/>
  <c r="AC5988" i="30"/>
  <c r="AD5988" i="30" s="1"/>
  <c r="AC5989" i="30"/>
  <c r="AD5989" i="30" s="1"/>
  <c r="AC5990" i="30"/>
  <c r="AD5990" i="30" s="1"/>
  <c r="AC5991" i="30"/>
  <c r="AD5991" i="30" s="1"/>
  <c r="AC5992" i="30"/>
  <c r="AD5992" i="30" s="1"/>
  <c r="AC5993" i="30"/>
  <c r="AD5993" i="30" s="1"/>
  <c r="AC5994" i="30"/>
  <c r="AD5994" i="30" s="1"/>
  <c r="AC5995" i="30"/>
  <c r="AD5995" i="30" s="1"/>
  <c r="AC5996" i="30"/>
  <c r="AD5996" i="30" s="1"/>
  <c r="AC5997" i="30"/>
  <c r="AD5997" i="30" s="1"/>
  <c r="AC5998" i="30"/>
  <c r="AD5998" i="30" s="1"/>
  <c r="AC5999" i="30"/>
  <c r="AD5999" i="30" s="1"/>
  <c r="AC6000" i="30"/>
  <c r="AD6000" i="30" s="1"/>
  <c r="AC6001" i="30"/>
  <c r="AD6001" i="30" s="1"/>
  <c r="AC6002" i="30"/>
  <c r="AD6002" i="30" s="1"/>
  <c r="AC6003" i="30"/>
  <c r="AD6003" i="30" s="1"/>
  <c r="AC6004" i="30"/>
  <c r="AD6004" i="30" s="1"/>
  <c r="AC6005" i="30"/>
  <c r="AD6005" i="30" s="1"/>
  <c r="AC6006" i="30"/>
  <c r="AD6006" i="30" s="1"/>
  <c r="AC6007" i="30"/>
  <c r="AD6007" i="30" s="1"/>
  <c r="AC6008" i="30"/>
  <c r="AD6008" i="30" s="1"/>
  <c r="AC6009" i="30"/>
  <c r="AD6009" i="30" s="1"/>
  <c r="AC6010" i="30"/>
  <c r="AD6010" i="30" s="1"/>
  <c r="AC6011" i="30"/>
  <c r="AD6011" i="30" s="1"/>
  <c r="AC6012" i="30"/>
  <c r="AD6012" i="30" s="1"/>
  <c r="AC6013" i="30"/>
  <c r="AD6013" i="30" s="1"/>
  <c r="AC6014" i="30"/>
  <c r="AD6014" i="30" s="1"/>
  <c r="AC6015" i="30"/>
  <c r="AD6015" i="30" s="1"/>
  <c r="AC6016" i="30"/>
  <c r="AD6016" i="30" s="1"/>
  <c r="AC6017" i="30"/>
  <c r="AD6017" i="30" s="1"/>
  <c r="AC6018" i="30"/>
  <c r="AD6018" i="30" s="1"/>
  <c r="AC6019" i="30"/>
  <c r="AD6019" i="30" s="1"/>
  <c r="AC6020" i="30"/>
  <c r="AD6020" i="30" s="1"/>
  <c r="AC6021" i="30"/>
  <c r="AD6021" i="30" s="1"/>
  <c r="AC6022" i="30"/>
  <c r="AD6022" i="30" s="1"/>
  <c r="AC6023" i="30"/>
  <c r="AD6023" i="30" s="1"/>
  <c r="AC6024" i="30"/>
  <c r="AD6024" i="30" s="1"/>
  <c r="AC6025" i="30"/>
  <c r="AD6025" i="30" s="1"/>
  <c r="AC6026" i="30"/>
  <c r="AD6026" i="30" s="1"/>
  <c r="AC6027" i="30"/>
  <c r="AD6027" i="30" s="1"/>
  <c r="AC6028" i="30"/>
  <c r="AD6028" i="30" s="1"/>
  <c r="AC6029" i="30"/>
  <c r="AD6029" i="30" s="1"/>
  <c r="AC6030" i="30"/>
  <c r="AD6030" i="30" s="1"/>
  <c r="AC6031" i="30"/>
  <c r="AD6031" i="30" s="1"/>
  <c r="AC6032" i="30"/>
  <c r="AD6032" i="30" s="1"/>
  <c r="AC6033" i="30"/>
  <c r="AD6033" i="30" s="1"/>
  <c r="AC6034" i="30"/>
  <c r="AD6034" i="30" s="1"/>
  <c r="AC6035" i="30"/>
  <c r="AD6035" i="30" s="1"/>
  <c r="AC6036" i="30"/>
  <c r="AD6036" i="30" s="1"/>
  <c r="AC6037" i="30"/>
  <c r="AD6037" i="30" s="1"/>
  <c r="AC6038" i="30"/>
  <c r="AD6038" i="30" s="1"/>
  <c r="AC6039" i="30"/>
  <c r="AD6039" i="30" s="1"/>
  <c r="AC6040" i="30"/>
  <c r="AD6040" i="30" s="1"/>
  <c r="AC6041" i="30"/>
  <c r="AD6041" i="30" s="1"/>
  <c r="AC6042" i="30"/>
  <c r="AD6042" i="30" s="1"/>
  <c r="AC6043" i="30"/>
  <c r="AD6043" i="30" s="1"/>
  <c r="AC6044" i="30"/>
  <c r="AD6044" i="30" s="1"/>
  <c r="AC6045" i="30"/>
  <c r="AD6045" i="30" s="1"/>
  <c r="AC6046" i="30"/>
  <c r="AD6046" i="30" s="1"/>
  <c r="AC6047" i="30"/>
  <c r="AD6047" i="30" s="1"/>
  <c r="AC6048" i="30"/>
  <c r="AD6048" i="30" s="1"/>
  <c r="AC6049" i="30"/>
  <c r="AD6049" i="30" s="1"/>
  <c r="AC6050" i="30"/>
  <c r="AD6050" i="30" s="1"/>
  <c r="AC6051" i="30"/>
  <c r="AD6051" i="30" s="1"/>
  <c r="AC6052" i="30"/>
  <c r="AD6052" i="30" s="1"/>
  <c r="AC6053" i="30"/>
  <c r="AD6053" i="30" s="1"/>
  <c r="AC6054" i="30"/>
  <c r="AD6054" i="30" s="1"/>
  <c r="AC6055" i="30"/>
  <c r="AD6055" i="30" s="1"/>
  <c r="AC6056" i="30"/>
  <c r="AD6056" i="30" s="1"/>
  <c r="AC6057" i="30"/>
  <c r="AD6057" i="30" s="1"/>
  <c r="AC6058" i="30"/>
  <c r="AD6058" i="30" s="1"/>
  <c r="AC6059" i="30"/>
  <c r="AD6059" i="30" s="1"/>
  <c r="AC6060" i="30"/>
  <c r="AD6060" i="30" s="1"/>
  <c r="AC6061" i="30"/>
  <c r="AD6061" i="30" s="1"/>
  <c r="AC6062" i="30"/>
  <c r="AD6062" i="30" s="1"/>
  <c r="AC6063" i="30"/>
  <c r="AD6063" i="30" s="1"/>
  <c r="AC6064" i="30"/>
  <c r="AD6064" i="30" s="1"/>
  <c r="AC6065" i="30"/>
  <c r="AD6065" i="30" s="1"/>
  <c r="AC6066" i="30"/>
  <c r="AD6066" i="30" s="1"/>
  <c r="AC6067" i="30"/>
  <c r="AD6067" i="30" s="1"/>
  <c r="AC6068" i="30"/>
  <c r="AD6068" i="30" s="1"/>
  <c r="AC6069" i="30"/>
  <c r="AD6069" i="30" s="1"/>
  <c r="AC6070" i="30"/>
  <c r="AD6070" i="30" s="1"/>
  <c r="AC6071" i="30"/>
  <c r="AD6071" i="30" s="1"/>
  <c r="AC6072" i="30"/>
  <c r="AD6072" i="30" s="1"/>
  <c r="AC6073" i="30"/>
  <c r="AD6073" i="30" s="1"/>
  <c r="AC6074" i="30"/>
  <c r="AD6074" i="30" s="1"/>
  <c r="AC6075" i="30"/>
  <c r="AD6075" i="30" s="1"/>
  <c r="AC6076" i="30"/>
  <c r="AD6076" i="30" s="1"/>
  <c r="AC6077" i="30"/>
  <c r="AD6077" i="30" s="1"/>
  <c r="AC6078" i="30"/>
  <c r="AD6078" i="30" s="1"/>
  <c r="AC6079" i="30"/>
  <c r="AD6079" i="30" s="1"/>
  <c r="AC6080" i="30"/>
  <c r="AD6080" i="30" s="1"/>
  <c r="AC6081" i="30"/>
  <c r="AD6081" i="30" s="1"/>
  <c r="AC6082" i="30"/>
  <c r="AD6082" i="30" s="1"/>
  <c r="AC6083" i="30"/>
  <c r="AD6083" i="30" s="1"/>
  <c r="AC6084" i="30"/>
  <c r="AD6084" i="30" s="1"/>
  <c r="AC6085" i="30"/>
  <c r="AD6085" i="30" s="1"/>
  <c r="AC6086" i="30"/>
  <c r="AD6086" i="30" s="1"/>
  <c r="AC6087" i="30"/>
  <c r="AD6087" i="30" s="1"/>
  <c r="AC6088" i="30"/>
  <c r="AD6088" i="30" s="1"/>
  <c r="AC6089" i="30"/>
  <c r="AD6089" i="30" s="1"/>
  <c r="AC6090" i="30"/>
  <c r="AD6090" i="30" s="1"/>
  <c r="AC6091" i="30"/>
  <c r="AD6091" i="30" s="1"/>
  <c r="AC6092" i="30"/>
  <c r="AD6092" i="30" s="1"/>
  <c r="AC6093" i="30"/>
  <c r="AD6093" i="30" s="1"/>
  <c r="AC6094" i="30"/>
  <c r="AD6094" i="30" s="1"/>
  <c r="AC6095" i="30"/>
  <c r="AD6095" i="30" s="1"/>
  <c r="AC6096" i="30"/>
  <c r="AD6096" i="30" s="1"/>
  <c r="AC6097" i="30"/>
  <c r="AD6097" i="30" s="1"/>
  <c r="AC6098" i="30"/>
  <c r="AD6098" i="30" s="1"/>
  <c r="AC6099" i="30"/>
  <c r="AD6099" i="30" s="1"/>
  <c r="AC6100" i="30"/>
  <c r="AD6100" i="30" s="1"/>
  <c r="AC6101" i="30"/>
  <c r="AD6101" i="30" s="1"/>
  <c r="AC6102" i="30"/>
  <c r="AD6102" i="30" s="1"/>
  <c r="AC6103" i="30"/>
  <c r="AD6103" i="30" s="1"/>
  <c r="AC6104" i="30"/>
  <c r="AD6104" i="30" s="1"/>
  <c r="AC6105" i="30"/>
  <c r="AD6105" i="30" s="1"/>
  <c r="AC6106" i="30"/>
  <c r="AD6106" i="30" s="1"/>
  <c r="AC6107" i="30"/>
  <c r="AD6107" i="30" s="1"/>
  <c r="AC6108" i="30"/>
  <c r="AD6108" i="30" s="1"/>
  <c r="AC6109" i="30"/>
  <c r="AD6109" i="30" s="1"/>
  <c r="AC6110" i="30"/>
  <c r="AD6110" i="30" s="1"/>
  <c r="AC6111" i="30"/>
  <c r="AD6111" i="30" s="1"/>
  <c r="AC6112" i="30"/>
  <c r="AD6112" i="30" s="1"/>
  <c r="AC6113" i="30"/>
  <c r="AD6113" i="30" s="1"/>
  <c r="AC6114" i="30"/>
  <c r="AD6114" i="30" s="1"/>
  <c r="AC6115" i="30"/>
  <c r="AD6115" i="30" s="1"/>
  <c r="AC6116" i="30"/>
  <c r="AD6116" i="30" s="1"/>
  <c r="AC6117" i="30"/>
  <c r="AD6117" i="30" s="1"/>
  <c r="AC6118" i="30"/>
  <c r="AD6118" i="30" s="1"/>
  <c r="AC6119" i="30"/>
  <c r="AD6119" i="30" s="1"/>
  <c r="AC6120" i="30"/>
  <c r="AD6120" i="30" s="1"/>
  <c r="AC6121" i="30"/>
  <c r="AD6121" i="30" s="1"/>
  <c r="AC6122" i="30"/>
  <c r="AD6122" i="30" s="1"/>
  <c r="AC6123" i="30"/>
  <c r="AD6123" i="30" s="1"/>
  <c r="AC6124" i="30"/>
  <c r="AD6124" i="30" s="1"/>
  <c r="AC6125" i="30"/>
  <c r="AD6125" i="30" s="1"/>
  <c r="AC6126" i="30"/>
  <c r="AD6126" i="30" s="1"/>
  <c r="AC6127" i="30"/>
  <c r="AD6127" i="30" s="1"/>
  <c r="AC6128" i="30"/>
  <c r="AD6128" i="30" s="1"/>
  <c r="AC6129" i="30"/>
  <c r="AD6129" i="30" s="1"/>
  <c r="AC6130" i="30"/>
  <c r="AD6130" i="30" s="1"/>
  <c r="AC6131" i="30"/>
  <c r="AD6131" i="30" s="1"/>
  <c r="AC6132" i="30"/>
  <c r="AD6132" i="30" s="1"/>
  <c r="AC6133" i="30"/>
  <c r="AD6133" i="30" s="1"/>
  <c r="AC6134" i="30"/>
  <c r="AD6134" i="30" s="1"/>
  <c r="AC6135" i="30"/>
  <c r="AD6135" i="30" s="1"/>
  <c r="AC6136" i="30"/>
  <c r="AD6136" i="30" s="1"/>
  <c r="AC6137" i="30"/>
  <c r="AD6137" i="30" s="1"/>
  <c r="AC6138" i="30"/>
  <c r="AD6138" i="30" s="1"/>
  <c r="AC6139" i="30"/>
  <c r="AD6139" i="30" s="1"/>
  <c r="AC6140" i="30"/>
  <c r="AD6140" i="30" s="1"/>
  <c r="AC6141" i="30"/>
  <c r="AD6141" i="30" s="1"/>
  <c r="AC6142" i="30"/>
  <c r="AD6142" i="30" s="1"/>
  <c r="AC6143" i="30"/>
  <c r="AD6143" i="30" s="1"/>
  <c r="AC6144" i="30"/>
  <c r="AD6144" i="30" s="1"/>
  <c r="AC6145" i="30"/>
  <c r="AD6145" i="30" s="1"/>
  <c r="AC6146" i="30"/>
  <c r="AD6146" i="30" s="1"/>
  <c r="AC6147" i="30"/>
  <c r="AD6147" i="30" s="1"/>
  <c r="AC6148" i="30"/>
  <c r="AD6148" i="30" s="1"/>
  <c r="AC6149" i="30"/>
  <c r="AD6149" i="30" s="1"/>
  <c r="AC6150" i="30"/>
  <c r="AD6150" i="30" s="1"/>
  <c r="AC6151" i="30"/>
  <c r="AD6151" i="30" s="1"/>
  <c r="AC6152" i="30"/>
  <c r="AD6152" i="30" s="1"/>
  <c r="AC6153" i="30"/>
  <c r="AD6153" i="30" s="1"/>
  <c r="AC6154" i="30"/>
  <c r="AD6154" i="30" s="1"/>
  <c r="AC6155" i="30"/>
  <c r="AD6155" i="30" s="1"/>
  <c r="AC6156" i="30"/>
  <c r="AD6156" i="30" s="1"/>
  <c r="AC6157" i="30"/>
  <c r="AD6157" i="30" s="1"/>
  <c r="AC6158" i="30"/>
  <c r="AD6158" i="30" s="1"/>
  <c r="AC6159" i="30"/>
  <c r="AD6159" i="30" s="1"/>
  <c r="AC6160" i="30"/>
  <c r="AD6160" i="30" s="1"/>
  <c r="AC6161" i="30"/>
  <c r="AD6161" i="30" s="1"/>
  <c r="AC6162" i="30"/>
  <c r="AD6162" i="30" s="1"/>
  <c r="AC6163" i="30"/>
  <c r="AD6163" i="30" s="1"/>
  <c r="AC6164" i="30"/>
  <c r="AD6164" i="30" s="1"/>
  <c r="AC6165" i="30"/>
  <c r="AD6165" i="30" s="1"/>
  <c r="AC6166" i="30"/>
  <c r="AD6166" i="30" s="1"/>
  <c r="AC6167" i="30"/>
  <c r="AD6167" i="30" s="1"/>
  <c r="AC6168" i="30"/>
  <c r="AD6168" i="30" s="1"/>
  <c r="AC6169" i="30"/>
  <c r="AD6169" i="30" s="1"/>
  <c r="AC6170" i="30"/>
  <c r="AD6170" i="30" s="1"/>
  <c r="AC6171" i="30"/>
  <c r="AD6171" i="30" s="1"/>
  <c r="AC6172" i="30"/>
  <c r="AD6172" i="30" s="1"/>
  <c r="AC6173" i="30"/>
  <c r="AD6173" i="30" s="1"/>
  <c r="AC6174" i="30"/>
  <c r="AD6174" i="30" s="1"/>
  <c r="AC6175" i="30"/>
  <c r="AD6175" i="30" s="1"/>
  <c r="AC6176" i="30"/>
  <c r="AD6176" i="30" s="1"/>
  <c r="AC6177" i="30"/>
  <c r="AD6177" i="30" s="1"/>
  <c r="AC6178" i="30"/>
  <c r="AD6178" i="30" s="1"/>
  <c r="AC6179" i="30"/>
  <c r="AD6179" i="30" s="1"/>
  <c r="AC6180" i="30"/>
  <c r="AD6180" i="30" s="1"/>
  <c r="AC6181" i="30"/>
  <c r="AD6181" i="30" s="1"/>
  <c r="AC6182" i="30"/>
  <c r="AD6182" i="30" s="1"/>
  <c r="AC6183" i="30"/>
  <c r="AD6183" i="30" s="1"/>
  <c r="AC6184" i="30"/>
  <c r="AD6184" i="30" s="1"/>
  <c r="AC6185" i="30"/>
  <c r="AD6185" i="30" s="1"/>
  <c r="AC6186" i="30"/>
  <c r="AD6186" i="30" s="1"/>
  <c r="AC6187" i="30"/>
  <c r="AD6187" i="30" s="1"/>
  <c r="AC6188" i="30"/>
  <c r="AD6188" i="30" s="1"/>
  <c r="AC6189" i="30"/>
  <c r="AD6189" i="30" s="1"/>
  <c r="AC6190" i="30"/>
  <c r="AD6190" i="30" s="1"/>
  <c r="AC6191" i="30"/>
  <c r="AD6191" i="30" s="1"/>
  <c r="AC6192" i="30"/>
  <c r="AD6192" i="30" s="1"/>
  <c r="AC6193" i="30"/>
  <c r="AD6193" i="30" s="1"/>
  <c r="AC6194" i="30"/>
  <c r="AD6194" i="30" s="1"/>
  <c r="AC6195" i="30"/>
  <c r="AD6195" i="30" s="1"/>
  <c r="AC6196" i="30"/>
  <c r="AD6196" i="30" s="1"/>
  <c r="AC6197" i="30"/>
  <c r="AD6197" i="30" s="1"/>
  <c r="AC6198" i="30"/>
  <c r="AD6198" i="30" s="1"/>
  <c r="AC6199" i="30"/>
  <c r="AD6199" i="30" s="1"/>
  <c r="AC6200" i="30"/>
  <c r="AD6200" i="30" s="1"/>
  <c r="AC6201" i="30"/>
  <c r="AD6201" i="30" s="1"/>
  <c r="AC6202" i="30"/>
  <c r="AD6202" i="30" s="1"/>
  <c r="AC6203" i="30"/>
  <c r="AD6203" i="30" s="1"/>
  <c r="AC6204" i="30"/>
  <c r="AD6204" i="30" s="1"/>
  <c r="AC6205" i="30"/>
  <c r="AD6205" i="30" s="1"/>
  <c r="AC6206" i="30"/>
  <c r="AD6206" i="30" s="1"/>
  <c r="AC6207" i="30"/>
  <c r="AD6207" i="30" s="1"/>
  <c r="AC6208" i="30"/>
  <c r="AD6208" i="30" s="1"/>
  <c r="AC6209" i="30"/>
  <c r="AD6209" i="30" s="1"/>
  <c r="AC6210" i="30"/>
  <c r="AD6210" i="30" s="1"/>
  <c r="AC6211" i="30"/>
  <c r="AD6211" i="30" s="1"/>
  <c r="AC6212" i="30"/>
  <c r="AD6212" i="30" s="1"/>
  <c r="AC6213" i="30"/>
  <c r="AD6213" i="30" s="1"/>
  <c r="AC6214" i="30"/>
  <c r="AD6214" i="30" s="1"/>
  <c r="AC6215" i="30"/>
  <c r="AD6215" i="30" s="1"/>
  <c r="AC6216" i="30"/>
  <c r="AD6216" i="30" s="1"/>
  <c r="AC6217" i="30"/>
  <c r="AD6217" i="30" s="1"/>
  <c r="AC6218" i="30"/>
  <c r="AD6218" i="30" s="1"/>
  <c r="AC6219" i="30"/>
  <c r="AD6219" i="30" s="1"/>
  <c r="AC6220" i="30"/>
  <c r="AD6220" i="30" s="1"/>
  <c r="AC6221" i="30"/>
  <c r="AD6221" i="30" s="1"/>
  <c r="AC6222" i="30"/>
  <c r="AD6222" i="30" s="1"/>
  <c r="AC6223" i="30"/>
  <c r="AD6223" i="30" s="1"/>
  <c r="AC6224" i="30"/>
  <c r="AD6224" i="30" s="1"/>
  <c r="AC6225" i="30"/>
  <c r="AD6225" i="30" s="1"/>
  <c r="AC6226" i="30"/>
  <c r="AD6226" i="30" s="1"/>
  <c r="AC6227" i="30"/>
  <c r="AD6227" i="30" s="1"/>
  <c r="AC6228" i="30"/>
  <c r="AD6228" i="30" s="1"/>
  <c r="AC6229" i="30"/>
  <c r="AD6229" i="30" s="1"/>
  <c r="AC6230" i="30"/>
  <c r="AD6230" i="30" s="1"/>
  <c r="AC6231" i="30"/>
  <c r="AD6231" i="30" s="1"/>
  <c r="AC6232" i="30"/>
  <c r="AD6232" i="30" s="1"/>
  <c r="AC6233" i="30"/>
  <c r="AD6233" i="30" s="1"/>
  <c r="AC6234" i="30"/>
  <c r="AD6234" i="30" s="1"/>
  <c r="AC6235" i="30"/>
  <c r="AD6235" i="30" s="1"/>
  <c r="AC6236" i="30"/>
  <c r="AD6236" i="30" s="1"/>
  <c r="AC6237" i="30"/>
  <c r="AD6237" i="30" s="1"/>
  <c r="AC6238" i="30"/>
  <c r="AD6238" i="30" s="1"/>
  <c r="AC6239" i="30"/>
  <c r="AD6239" i="30" s="1"/>
  <c r="AC6240" i="30"/>
  <c r="AD6240" i="30" s="1"/>
  <c r="AC6241" i="30"/>
  <c r="AD6241" i="30" s="1"/>
  <c r="AC6242" i="30"/>
  <c r="AD6242" i="30" s="1"/>
  <c r="AC6243" i="30"/>
  <c r="AD6243" i="30" s="1"/>
  <c r="AC6244" i="30"/>
  <c r="AD6244" i="30" s="1"/>
  <c r="AC6245" i="30"/>
  <c r="AD6245" i="30" s="1"/>
  <c r="AC6246" i="30"/>
  <c r="AD6246" i="30" s="1"/>
  <c r="AC6247" i="30"/>
  <c r="AD6247" i="30" s="1"/>
  <c r="AC6248" i="30"/>
  <c r="AD6248" i="30" s="1"/>
  <c r="AC6249" i="30"/>
  <c r="AD6249" i="30" s="1"/>
  <c r="AC6250" i="30"/>
  <c r="AD6250" i="30" s="1"/>
  <c r="AC6251" i="30"/>
  <c r="AD6251" i="30" s="1"/>
  <c r="AC6252" i="30"/>
  <c r="AD6252" i="30" s="1"/>
  <c r="AC6253" i="30"/>
  <c r="AD6253" i="30" s="1"/>
  <c r="AC6254" i="30"/>
  <c r="AD6254" i="30" s="1"/>
  <c r="AC6255" i="30"/>
  <c r="AD6255" i="30" s="1"/>
  <c r="AC6256" i="30"/>
  <c r="AD6256" i="30" s="1"/>
  <c r="AC6257" i="30"/>
  <c r="AD6257" i="30" s="1"/>
  <c r="AC6258" i="30"/>
  <c r="AD6258" i="30" s="1"/>
  <c r="AC6259" i="30"/>
  <c r="AD6259" i="30" s="1"/>
  <c r="AC6260" i="30"/>
  <c r="AD6260" i="30" s="1"/>
  <c r="AC6261" i="30"/>
  <c r="AD6261" i="30" s="1"/>
  <c r="AC6262" i="30"/>
  <c r="AD6262" i="30" s="1"/>
  <c r="AC6263" i="30"/>
  <c r="AD6263" i="30" s="1"/>
  <c r="AC6264" i="30"/>
  <c r="AD6264" i="30" s="1"/>
  <c r="AC6265" i="30"/>
  <c r="AD6265" i="30" s="1"/>
  <c r="AC6266" i="30"/>
  <c r="AD6266" i="30" s="1"/>
  <c r="AC6267" i="30"/>
  <c r="AD6267" i="30" s="1"/>
  <c r="AC6268" i="30"/>
  <c r="AD6268" i="30" s="1"/>
  <c r="AC6269" i="30"/>
  <c r="AD6269" i="30" s="1"/>
  <c r="AC6270" i="30"/>
  <c r="AD6270" i="30" s="1"/>
  <c r="AC6271" i="30"/>
  <c r="AD6271" i="30" s="1"/>
  <c r="AC6272" i="30"/>
  <c r="AD6272" i="30" s="1"/>
  <c r="AC6273" i="30"/>
  <c r="AD6273" i="30" s="1"/>
  <c r="AC6274" i="30"/>
  <c r="AD6274" i="30" s="1"/>
  <c r="AC6275" i="30"/>
  <c r="AD6275" i="30" s="1"/>
  <c r="AC6276" i="30"/>
  <c r="AD6276" i="30" s="1"/>
  <c r="AC6277" i="30"/>
  <c r="AD6277" i="30" s="1"/>
  <c r="AC6278" i="30"/>
  <c r="AD6278" i="30" s="1"/>
  <c r="AC6279" i="30"/>
  <c r="AD6279" i="30" s="1"/>
  <c r="AC6280" i="30"/>
  <c r="AD6280" i="30" s="1"/>
  <c r="AC6281" i="30"/>
  <c r="AD6281" i="30" s="1"/>
  <c r="AC6282" i="30"/>
  <c r="AD6282" i="30" s="1"/>
  <c r="AC6283" i="30"/>
  <c r="AD6283" i="30" s="1"/>
  <c r="AC6284" i="30"/>
  <c r="AD6284" i="30" s="1"/>
  <c r="AC6285" i="30"/>
  <c r="AD6285" i="30" s="1"/>
  <c r="AC6286" i="30"/>
  <c r="AD6286" i="30" s="1"/>
  <c r="AC6287" i="30"/>
  <c r="AD6287" i="30" s="1"/>
  <c r="AC6288" i="30"/>
  <c r="AD6288" i="30" s="1"/>
  <c r="AC6289" i="30"/>
  <c r="AD6289" i="30" s="1"/>
  <c r="AC6290" i="30"/>
  <c r="AD6290" i="30" s="1"/>
  <c r="AC6291" i="30"/>
  <c r="AD6291" i="30" s="1"/>
  <c r="AC6292" i="30"/>
  <c r="AD6292" i="30" s="1"/>
  <c r="AC6293" i="30"/>
  <c r="AD6293" i="30" s="1"/>
  <c r="AC6294" i="30"/>
  <c r="AD6294" i="30" s="1"/>
  <c r="AC6295" i="30"/>
  <c r="AD6295" i="30" s="1"/>
  <c r="AC6296" i="30"/>
  <c r="AD6296" i="30" s="1"/>
  <c r="AC6297" i="30"/>
  <c r="AD6297" i="30" s="1"/>
  <c r="AC6298" i="30"/>
  <c r="AD6298" i="30" s="1"/>
  <c r="AC6299" i="30"/>
  <c r="AD6299" i="30" s="1"/>
  <c r="AC6300" i="30"/>
  <c r="AD6300" i="30" s="1"/>
  <c r="AC6301" i="30"/>
  <c r="AD6301" i="30" s="1"/>
  <c r="AC6302" i="30"/>
  <c r="AD6302" i="30" s="1"/>
  <c r="AC6303" i="30"/>
  <c r="AD6303" i="30" s="1"/>
  <c r="AC6304" i="30"/>
  <c r="AD6304" i="30" s="1"/>
  <c r="AC6305" i="30"/>
  <c r="AD6305" i="30" s="1"/>
  <c r="AC6306" i="30"/>
  <c r="AD6306" i="30" s="1"/>
  <c r="AC6307" i="30"/>
  <c r="AD6307" i="30" s="1"/>
  <c r="AC6308" i="30"/>
  <c r="AD6308" i="30" s="1"/>
  <c r="AC6309" i="30"/>
  <c r="AD6309" i="30" s="1"/>
  <c r="AC6310" i="30"/>
  <c r="AD6310" i="30" s="1"/>
  <c r="AC6311" i="30"/>
  <c r="AD6311" i="30" s="1"/>
  <c r="AC6312" i="30"/>
  <c r="AD6312" i="30" s="1"/>
  <c r="AC6313" i="30"/>
  <c r="AD6313" i="30" s="1"/>
  <c r="AC6314" i="30"/>
  <c r="AD6314" i="30" s="1"/>
  <c r="AC6315" i="30"/>
  <c r="AD6315" i="30" s="1"/>
  <c r="AC6316" i="30"/>
  <c r="AD6316" i="30" s="1"/>
  <c r="AC6317" i="30"/>
  <c r="AD6317" i="30" s="1"/>
  <c r="AC6318" i="30"/>
  <c r="AD6318" i="30" s="1"/>
  <c r="AC6319" i="30"/>
  <c r="AD6319" i="30" s="1"/>
  <c r="AC6320" i="30"/>
  <c r="AD6320" i="30" s="1"/>
  <c r="AC6321" i="30"/>
  <c r="AD6321" i="30" s="1"/>
  <c r="AC6322" i="30"/>
  <c r="AD6322" i="30" s="1"/>
  <c r="AC6323" i="30"/>
  <c r="AD6323" i="30" s="1"/>
  <c r="AC6324" i="30"/>
  <c r="AD6324" i="30" s="1"/>
  <c r="AC6325" i="30"/>
  <c r="AD6325" i="30" s="1"/>
  <c r="AC6326" i="30"/>
  <c r="AD6326" i="30" s="1"/>
  <c r="AC6327" i="30"/>
  <c r="AD6327" i="30" s="1"/>
  <c r="AC6328" i="30"/>
  <c r="AD6328" i="30" s="1"/>
  <c r="AC6329" i="30"/>
  <c r="AD6329" i="30" s="1"/>
  <c r="AC6330" i="30"/>
  <c r="AD6330" i="30" s="1"/>
  <c r="AC6331" i="30"/>
  <c r="AD6331" i="30" s="1"/>
  <c r="AC6332" i="30"/>
  <c r="AD6332" i="30" s="1"/>
  <c r="AC6333" i="30"/>
  <c r="AD6333" i="30" s="1"/>
  <c r="AC6334" i="30"/>
  <c r="AD6334" i="30" s="1"/>
  <c r="AC6335" i="30"/>
  <c r="AD6335" i="30" s="1"/>
  <c r="AC6336" i="30"/>
  <c r="AD6336" i="30" s="1"/>
  <c r="AC6337" i="30"/>
  <c r="AD6337" i="30" s="1"/>
  <c r="AC6338" i="30"/>
  <c r="AD6338" i="30" s="1"/>
  <c r="AC6339" i="30"/>
  <c r="AD6339" i="30" s="1"/>
  <c r="AC6340" i="30"/>
  <c r="AD6340" i="30" s="1"/>
  <c r="AC6341" i="30"/>
  <c r="AD6341" i="30" s="1"/>
  <c r="AC6342" i="30"/>
  <c r="AD6342" i="30" s="1"/>
  <c r="AC6343" i="30"/>
  <c r="AD6343" i="30" s="1"/>
  <c r="AC6344" i="30"/>
  <c r="AD6344" i="30" s="1"/>
  <c r="AC6345" i="30"/>
  <c r="AD6345" i="30" s="1"/>
  <c r="AC6346" i="30"/>
  <c r="AD6346" i="30" s="1"/>
  <c r="AC6347" i="30"/>
  <c r="AD6347" i="30" s="1"/>
  <c r="AC6348" i="30"/>
  <c r="AD6348" i="30" s="1"/>
  <c r="AC6349" i="30"/>
  <c r="AD6349" i="30" s="1"/>
  <c r="AC6350" i="30"/>
  <c r="AD6350" i="30" s="1"/>
  <c r="AC6351" i="30"/>
  <c r="AD6351" i="30" s="1"/>
  <c r="AC6352" i="30"/>
  <c r="AD6352" i="30" s="1"/>
  <c r="AC6353" i="30"/>
  <c r="AD6353" i="30" s="1"/>
  <c r="AC6354" i="30"/>
  <c r="AD6354" i="30" s="1"/>
  <c r="AC6355" i="30"/>
  <c r="AD6355" i="30" s="1"/>
  <c r="AC6356" i="30"/>
  <c r="AD6356" i="30" s="1"/>
  <c r="AC6357" i="30"/>
  <c r="AD6357" i="30" s="1"/>
  <c r="AC6358" i="30"/>
  <c r="AD6358" i="30" s="1"/>
  <c r="AC6359" i="30"/>
  <c r="AD6359" i="30" s="1"/>
  <c r="AC6360" i="30"/>
  <c r="AD6360" i="30" s="1"/>
  <c r="AC6361" i="30"/>
  <c r="AD6361" i="30" s="1"/>
  <c r="AC6362" i="30"/>
  <c r="AD6362" i="30" s="1"/>
  <c r="AC6363" i="30"/>
  <c r="AD6363" i="30" s="1"/>
  <c r="AC6364" i="30"/>
  <c r="AD6364" i="30" s="1"/>
  <c r="AC6365" i="30"/>
  <c r="AD6365" i="30" s="1"/>
  <c r="AC6366" i="30"/>
  <c r="AD6366" i="30" s="1"/>
  <c r="AC6367" i="30"/>
  <c r="AD6367" i="30" s="1"/>
  <c r="AC6368" i="30"/>
  <c r="AD6368" i="30" s="1"/>
  <c r="AC6369" i="30"/>
  <c r="AD6369" i="30" s="1"/>
  <c r="AC6370" i="30"/>
  <c r="AD6370" i="30" s="1"/>
  <c r="AC6371" i="30"/>
  <c r="AD6371" i="30" s="1"/>
  <c r="AC6372" i="30"/>
  <c r="AD6372" i="30" s="1"/>
  <c r="AC6373" i="30"/>
  <c r="AD6373" i="30" s="1"/>
  <c r="AC6374" i="30"/>
  <c r="AD6374" i="30" s="1"/>
  <c r="AC6375" i="30"/>
  <c r="AD6375" i="30" s="1"/>
  <c r="AC6376" i="30"/>
  <c r="AD6376" i="30" s="1"/>
  <c r="AC6377" i="30"/>
  <c r="AD6377" i="30" s="1"/>
  <c r="AC6378" i="30"/>
  <c r="AD6378" i="30" s="1"/>
  <c r="AC6379" i="30"/>
  <c r="AD6379" i="30" s="1"/>
  <c r="AC6380" i="30"/>
  <c r="AD6380" i="30" s="1"/>
  <c r="AC6381" i="30"/>
  <c r="AD6381" i="30" s="1"/>
  <c r="AC6382" i="30"/>
  <c r="AD6382" i="30" s="1"/>
  <c r="AC6383" i="30"/>
  <c r="AD6383" i="30" s="1"/>
  <c r="AC6384" i="30"/>
  <c r="AD6384" i="30" s="1"/>
  <c r="AC6385" i="30"/>
  <c r="AD6385" i="30" s="1"/>
  <c r="AC6386" i="30"/>
  <c r="AD6386" i="30" s="1"/>
  <c r="AC6387" i="30"/>
  <c r="AD6387" i="30" s="1"/>
  <c r="AC6388" i="30"/>
  <c r="AD6388" i="30" s="1"/>
  <c r="AC6389" i="30"/>
  <c r="AD6389" i="30" s="1"/>
  <c r="AC6390" i="30"/>
  <c r="AD6390" i="30" s="1"/>
  <c r="AC6391" i="30"/>
  <c r="AD6391" i="30" s="1"/>
  <c r="AC6392" i="30"/>
  <c r="AD6392" i="30" s="1"/>
  <c r="AC6393" i="30"/>
  <c r="AD6393" i="30" s="1"/>
  <c r="AC6394" i="30"/>
  <c r="AD6394" i="30" s="1"/>
  <c r="AC6395" i="30"/>
  <c r="AD6395" i="30" s="1"/>
  <c r="AC6396" i="30"/>
  <c r="AD6396" i="30" s="1"/>
  <c r="AC6397" i="30"/>
  <c r="AD6397" i="30" s="1"/>
  <c r="AC6398" i="30"/>
  <c r="AD6398" i="30" s="1"/>
  <c r="AC6399" i="30"/>
  <c r="AD6399" i="30" s="1"/>
  <c r="AC6400" i="30"/>
  <c r="AD6400" i="30" s="1"/>
  <c r="AC6401" i="30"/>
  <c r="AD6401" i="30" s="1"/>
  <c r="AC6402" i="30"/>
  <c r="AD6402" i="30" s="1"/>
  <c r="AC6403" i="30"/>
  <c r="AD6403" i="30" s="1"/>
  <c r="AC6404" i="30"/>
  <c r="AD6404" i="30" s="1"/>
  <c r="AC6405" i="30"/>
  <c r="AD6405" i="30" s="1"/>
  <c r="AC6406" i="30"/>
  <c r="AD6406" i="30" s="1"/>
  <c r="AC6407" i="30"/>
  <c r="AD6407" i="30" s="1"/>
  <c r="AC6408" i="30"/>
  <c r="AD6408" i="30" s="1"/>
  <c r="AC6409" i="30"/>
  <c r="AD6409" i="30" s="1"/>
  <c r="AC6410" i="30"/>
  <c r="AD6410" i="30" s="1"/>
  <c r="AC6411" i="30"/>
  <c r="AD6411" i="30" s="1"/>
  <c r="AC6412" i="30"/>
  <c r="AD6412" i="30" s="1"/>
  <c r="AC6413" i="30"/>
  <c r="AD6413" i="30" s="1"/>
  <c r="AC6414" i="30"/>
  <c r="AD6414" i="30" s="1"/>
  <c r="AC6415" i="30"/>
  <c r="AD6415" i="30" s="1"/>
  <c r="AC6416" i="30"/>
  <c r="AD6416" i="30" s="1"/>
  <c r="AC6417" i="30"/>
  <c r="AD6417" i="30" s="1"/>
  <c r="AC6418" i="30"/>
  <c r="AD6418" i="30" s="1"/>
  <c r="AC6419" i="30"/>
  <c r="AD6419" i="30" s="1"/>
  <c r="AC6420" i="30"/>
  <c r="AD6420" i="30" s="1"/>
  <c r="AC6421" i="30"/>
  <c r="AD6421" i="30" s="1"/>
  <c r="AC6422" i="30"/>
  <c r="AD6422" i="30" s="1"/>
  <c r="AC6423" i="30"/>
  <c r="AD6423" i="30" s="1"/>
  <c r="AC6424" i="30"/>
  <c r="AD6424" i="30" s="1"/>
  <c r="AC6425" i="30"/>
  <c r="AD6425" i="30" s="1"/>
  <c r="AC6426" i="30"/>
  <c r="AD6426" i="30" s="1"/>
  <c r="AC6427" i="30"/>
  <c r="AD6427" i="30" s="1"/>
  <c r="AC6428" i="30"/>
  <c r="AD6428" i="30" s="1"/>
  <c r="AC6429" i="30"/>
  <c r="AD6429" i="30" s="1"/>
  <c r="AC6430" i="30"/>
  <c r="AD6430" i="30" s="1"/>
  <c r="AC6431" i="30"/>
  <c r="AD6431" i="30" s="1"/>
  <c r="AC6432" i="30"/>
  <c r="AD6432" i="30" s="1"/>
  <c r="AC6433" i="30"/>
  <c r="AD6433" i="30" s="1"/>
  <c r="AC6434" i="30"/>
  <c r="AD6434" i="30" s="1"/>
  <c r="AC6435" i="30"/>
  <c r="AD6435" i="30" s="1"/>
  <c r="AC6436" i="30"/>
  <c r="AD6436" i="30" s="1"/>
  <c r="AC6437" i="30"/>
  <c r="AD6437" i="30" s="1"/>
  <c r="AC6438" i="30"/>
  <c r="AD6438" i="30" s="1"/>
  <c r="AC6439" i="30"/>
  <c r="AD6439" i="30" s="1"/>
  <c r="AC6440" i="30"/>
  <c r="AD6440" i="30" s="1"/>
  <c r="AC6441" i="30"/>
  <c r="AD6441" i="30" s="1"/>
  <c r="AC6442" i="30"/>
  <c r="AD6442" i="30" s="1"/>
  <c r="AC6443" i="30"/>
  <c r="AD6443" i="30" s="1"/>
  <c r="AC6444" i="30"/>
  <c r="AD6444" i="30" s="1"/>
  <c r="AC6445" i="30"/>
  <c r="AD6445" i="30" s="1"/>
  <c r="AC6446" i="30"/>
  <c r="AD6446" i="30" s="1"/>
  <c r="AC6447" i="30"/>
  <c r="AD6447" i="30" s="1"/>
  <c r="AC6448" i="30"/>
  <c r="AD6448" i="30" s="1"/>
  <c r="AC6449" i="30"/>
  <c r="AD6449" i="30" s="1"/>
  <c r="AC6450" i="30"/>
  <c r="AD6450" i="30" s="1"/>
  <c r="AC6451" i="30"/>
  <c r="AD6451" i="30" s="1"/>
  <c r="AC6452" i="30"/>
  <c r="AD6452" i="30" s="1"/>
  <c r="AC6453" i="30"/>
  <c r="AD6453" i="30" s="1"/>
  <c r="AC6454" i="30"/>
  <c r="AD6454" i="30" s="1"/>
  <c r="AC6455" i="30"/>
  <c r="AD6455" i="30" s="1"/>
  <c r="AC6456" i="30"/>
  <c r="AD6456" i="30" s="1"/>
  <c r="AC6457" i="30"/>
  <c r="AD6457" i="30" s="1"/>
  <c r="AC6458" i="30"/>
  <c r="AD6458" i="30" s="1"/>
  <c r="AC6459" i="30"/>
  <c r="AD6459" i="30" s="1"/>
  <c r="AC6460" i="30"/>
  <c r="AD6460" i="30" s="1"/>
  <c r="AC6461" i="30"/>
  <c r="AD6461" i="30" s="1"/>
  <c r="AC6462" i="30"/>
  <c r="AD6462" i="30" s="1"/>
  <c r="AC6463" i="30"/>
  <c r="AD6463" i="30" s="1"/>
  <c r="AC6464" i="30"/>
  <c r="AD6464" i="30" s="1"/>
  <c r="AC6465" i="30"/>
  <c r="AD6465" i="30" s="1"/>
  <c r="AC6466" i="30"/>
  <c r="AD6466" i="30" s="1"/>
  <c r="AC6467" i="30"/>
  <c r="AD6467" i="30" s="1"/>
  <c r="AC6468" i="30"/>
  <c r="AD6468" i="30" s="1"/>
  <c r="AC6469" i="30"/>
  <c r="AD6469" i="30" s="1"/>
  <c r="AC6470" i="30"/>
  <c r="AD6470" i="30" s="1"/>
  <c r="AC6471" i="30"/>
  <c r="AD6471" i="30" s="1"/>
  <c r="AC6472" i="30"/>
  <c r="AD6472" i="30" s="1"/>
  <c r="AC6473" i="30"/>
  <c r="AD6473" i="30" s="1"/>
  <c r="AC6474" i="30"/>
  <c r="AD6474" i="30" s="1"/>
  <c r="AC6475" i="30"/>
  <c r="AD6475" i="30" s="1"/>
  <c r="AC6476" i="30"/>
  <c r="AD6476" i="30" s="1"/>
  <c r="AC6477" i="30"/>
  <c r="AD6477" i="30" s="1"/>
  <c r="AC6478" i="30"/>
  <c r="AD6478" i="30" s="1"/>
  <c r="AC6479" i="30"/>
  <c r="AD6479" i="30" s="1"/>
  <c r="AC6480" i="30"/>
  <c r="AD6480" i="30" s="1"/>
  <c r="AC6481" i="30"/>
  <c r="AD6481" i="30" s="1"/>
  <c r="AC6482" i="30"/>
  <c r="AD6482" i="30" s="1"/>
  <c r="AC6483" i="30"/>
  <c r="AD6483" i="30" s="1"/>
  <c r="AC6484" i="30"/>
  <c r="AD6484" i="30" s="1"/>
  <c r="AC6485" i="30"/>
  <c r="AD6485" i="30" s="1"/>
  <c r="AC6486" i="30"/>
  <c r="AD6486" i="30" s="1"/>
  <c r="AC6487" i="30"/>
  <c r="AD6487" i="30" s="1"/>
  <c r="AC6488" i="30"/>
  <c r="AD6488" i="30" s="1"/>
  <c r="AC6489" i="30"/>
  <c r="AD6489" i="30" s="1"/>
  <c r="AC6490" i="30"/>
  <c r="AD6490" i="30" s="1"/>
  <c r="AC6491" i="30"/>
  <c r="AD6491" i="30" s="1"/>
  <c r="AC6492" i="30"/>
  <c r="AD6492" i="30" s="1"/>
  <c r="AC6493" i="30"/>
  <c r="AD6493" i="30" s="1"/>
  <c r="AC6494" i="30"/>
  <c r="AD6494" i="30" s="1"/>
  <c r="AC6495" i="30"/>
  <c r="AD6495" i="30" s="1"/>
  <c r="AC6496" i="30"/>
  <c r="AD6496" i="30" s="1"/>
  <c r="AC6497" i="30"/>
  <c r="AD6497" i="30" s="1"/>
  <c r="AC6498" i="30"/>
  <c r="AD6498" i="30" s="1"/>
  <c r="AC6499" i="30"/>
  <c r="AD6499" i="30" s="1"/>
  <c r="AC6500" i="30"/>
  <c r="AD6500" i="30" s="1"/>
  <c r="AC6501" i="30"/>
  <c r="AD6501" i="30" s="1"/>
  <c r="AC6502" i="30"/>
  <c r="AD6502" i="30" s="1"/>
  <c r="AC6503" i="30"/>
  <c r="AD6503" i="30" s="1"/>
  <c r="AC6504" i="30"/>
  <c r="AD6504" i="30" s="1"/>
  <c r="AC6505" i="30"/>
  <c r="AD6505" i="30" s="1"/>
  <c r="AC6506" i="30"/>
  <c r="AD6506" i="30" s="1"/>
  <c r="AC6507" i="30"/>
  <c r="AD6507" i="30" s="1"/>
  <c r="AC6508" i="30"/>
  <c r="AD6508" i="30" s="1"/>
  <c r="AC6509" i="30"/>
  <c r="AD6509" i="30" s="1"/>
  <c r="AC6510" i="30"/>
  <c r="AD6510" i="30" s="1"/>
  <c r="AC6511" i="30"/>
  <c r="AD6511" i="30" s="1"/>
  <c r="AC6512" i="30"/>
  <c r="AD6512" i="30" s="1"/>
  <c r="AC6513" i="30"/>
  <c r="AD6513" i="30" s="1"/>
  <c r="AC6514" i="30"/>
  <c r="AD6514" i="30" s="1"/>
  <c r="AC6515" i="30"/>
  <c r="AD6515" i="30" s="1"/>
  <c r="AC6516" i="30"/>
  <c r="AD6516" i="30" s="1"/>
  <c r="AC6517" i="30"/>
  <c r="AD6517" i="30" s="1"/>
  <c r="AC6518" i="30"/>
  <c r="AD6518" i="30" s="1"/>
  <c r="AC6519" i="30"/>
  <c r="AD6519" i="30" s="1"/>
  <c r="AC6520" i="30"/>
  <c r="AD6520" i="30" s="1"/>
  <c r="AC6521" i="30"/>
  <c r="AD6521" i="30" s="1"/>
  <c r="AC6522" i="30"/>
  <c r="AD6522" i="30" s="1"/>
  <c r="AC6523" i="30"/>
  <c r="AD6523" i="30" s="1"/>
  <c r="AC6524" i="30"/>
  <c r="AD6524" i="30" s="1"/>
  <c r="AC6525" i="30"/>
  <c r="AD6525" i="30" s="1"/>
  <c r="AC6526" i="30"/>
  <c r="AD6526" i="30" s="1"/>
  <c r="AC6527" i="30"/>
  <c r="AD6527" i="30" s="1"/>
  <c r="AC6528" i="30"/>
  <c r="AD6528" i="30" s="1"/>
  <c r="AC6529" i="30"/>
  <c r="AD6529" i="30" s="1"/>
  <c r="AC6530" i="30"/>
  <c r="AD6530" i="30" s="1"/>
  <c r="AC6531" i="30"/>
  <c r="AD6531" i="30" s="1"/>
  <c r="AC6532" i="30"/>
  <c r="AD6532" i="30" s="1"/>
  <c r="AC6533" i="30"/>
  <c r="AD6533" i="30" s="1"/>
  <c r="AC6534" i="30"/>
  <c r="AD6534" i="30" s="1"/>
  <c r="AC6535" i="30"/>
  <c r="AD6535" i="30" s="1"/>
  <c r="AC6536" i="30"/>
  <c r="AD6536" i="30" s="1"/>
  <c r="AC6537" i="30"/>
  <c r="AD6537" i="30" s="1"/>
  <c r="AC6538" i="30"/>
  <c r="AD6538" i="30" s="1"/>
  <c r="AC6539" i="30"/>
  <c r="AD6539" i="30" s="1"/>
  <c r="AC6540" i="30"/>
  <c r="AD6540" i="30" s="1"/>
  <c r="AC6541" i="30"/>
  <c r="AD6541" i="30" s="1"/>
  <c r="AC6542" i="30"/>
  <c r="AD6542" i="30" s="1"/>
  <c r="AC6543" i="30"/>
  <c r="AD6543" i="30" s="1"/>
  <c r="AC6544" i="30"/>
  <c r="AD6544" i="30" s="1"/>
  <c r="AC6545" i="30"/>
  <c r="AD6545" i="30" s="1"/>
  <c r="AC6546" i="30"/>
  <c r="AD6546" i="30" s="1"/>
  <c r="AC6547" i="30"/>
  <c r="AD6547" i="30" s="1"/>
  <c r="AC6548" i="30"/>
  <c r="AD6548" i="30" s="1"/>
  <c r="AC6549" i="30"/>
  <c r="AD6549" i="30" s="1"/>
  <c r="AC6550" i="30"/>
  <c r="AD6550" i="30" s="1"/>
  <c r="AC6551" i="30"/>
  <c r="AD6551" i="30" s="1"/>
  <c r="AC6552" i="30"/>
  <c r="AD6552" i="30" s="1"/>
  <c r="AC6553" i="30"/>
  <c r="AD6553" i="30" s="1"/>
  <c r="AC6554" i="30"/>
  <c r="AD6554" i="30" s="1"/>
  <c r="AC6555" i="30"/>
  <c r="AD6555" i="30" s="1"/>
  <c r="AC6556" i="30"/>
  <c r="AD6556" i="30" s="1"/>
  <c r="AC6557" i="30"/>
  <c r="AD6557" i="30" s="1"/>
  <c r="AC6558" i="30"/>
  <c r="AD6558" i="30" s="1"/>
  <c r="AC6559" i="30"/>
  <c r="AD6559" i="30" s="1"/>
  <c r="AC6560" i="30"/>
  <c r="AD6560" i="30" s="1"/>
  <c r="AC6561" i="30"/>
  <c r="AD6561" i="30" s="1"/>
  <c r="AC6562" i="30"/>
  <c r="AD6562" i="30" s="1"/>
  <c r="AC6563" i="30"/>
  <c r="AD6563" i="30" s="1"/>
  <c r="AC6564" i="30"/>
  <c r="AD6564" i="30" s="1"/>
  <c r="AC6565" i="30"/>
  <c r="AD6565" i="30" s="1"/>
  <c r="AC6566" i="30"/>
  <c r="AD6566" i="30" s="1"/>
  <c r="AC6567" i="30"/>
  <c r="AD6567" i="30" s="1"/>
  <c r="AC6568" i="30"/>
  <c r="AD6568" i="30" s="1"/>
  <c r="AC6569" i="30"/>
  <c r="AD6569" i="30" s="1"/>
  <c r="AC6570" i="30"/>
  <c r="AD6570" i="30" s="1"/>
  <c r="AC6571" i="30"/>
  <c r="AD6571" i="30" s="1"/>
  <c r="AC6572" i="30"/>
  <c r="AD6572" i="30" s="1"/>
  <c r="AC6573" i="30"/>
  <c r="AD6573" i="30" s="1"/>
  <c r="AC6574" i="30"/>
  <c r="AD6574" i="30" s="1"/>
  <c r="AC6575" i="30"/>
  <c r="AD6575" i="30" s="1"/>
  <c r="AC6576" i="30"/>
  <c r="AD6576" i="30" s="1"/>
  <c r="AC6577" i="30"/>
  <c r="AD6577" i="30" s="1"/>
  <c r="AC6578" i="30"/>
  <c r="AD6578" i="30" s="1"/>
  <c r="AC6579" i="30"/>
  <c r="AD6579" i="30" s="1"/>
  <c r="AC6580" i="30"/>
  <c r="AD6580" i="30" s="1"/>
  <c r="AC6581" i="30"/>
  <c r="AD6581" i="30" s="1"/>
  <c r="AC6582" i="30"/>
  <c r="AD6582" i="30" s="1"/>
  <c r="AC6583" i="30"/>
  <c r="AD6583" i="30" s="1"/>
  <c r="AC6584" i="30"/>
  <c r="AD6584" i="30" s="1"/>
  <c r="AC6585" i="30"/>
  <c r="AD6585" i="30" s="1"/>
  <c r="AC6586" i="30"/>
  <c r="AD6586" i="30" s="1"/>
  <c r="AC6587" i="30"/>
  <c r="AD6587" i="30" s="1"/>
  <c r="AC6588" i="30"/>
  <c r="AD6588" i="30" s="1"/>
  <c r="AC6589" i="30"/>
  <c r="AD6589" i="30" s="1"/>
  <c r="AC6590" i="30"/>
  <c r="AD6590" i="30" s="1"/>
  <c r="AC6591" i="30"/>
  <c r="AD6591" i="30" s="1"/>
  <c r="AC6592" i="30"/>
  <c r="AD6592" i="30" s="1"/>
  <c r="AC6593" i="30"/>
  <c r="AD6593" i="30" s="1"/>
  <c r="AC6594" i="30"/>
  <c r="AD6594" i="30" s="1"/>
  <c r="AC6595" i="30"/>
  <c r="AD6595" i="30" s="1"/>
  <c r="AC6596" i="30"/>
  <c r="AD6596" i="30" s="1"/>
  <c r="AC6597" i="30"/>
  <c r="AD6597" i="30" s="1"/>
  <c r="AC6598" i="30"/>
  <c r="AD6598" i="30" s="1"/>
  <c r="AC6599" i="30"/>
  <c r="AD6599" i="30" s="1"/>
  <c r="AC6600" i="30"/>
  <c r="AD6600" i="30" s="1"/>
  <c r="AC6601" i="30"/>
  <c r="AD6601" i="30" s="1"/>
  <c r="AC6602" i="30"/>
  <c r="AD6602" i="30" s="1"/>
  <c r="AC6603" i="30"/>
  <c r="AD6603" i="30" s="1"/>
  <c r="AC6604" i="30"/>
  <c r="AD6604" i="30" s="1"/>
  <c r="AC6605" i="30"/>
  <c r="AD6605" i="30" s="1"/>
  <c r="AC6606" i="30"/>
  <c r="AD6606" i="30" s="1"/>
  <c r="AC6607" i="30"/>
  <c r="AD6607" i="30" s="1"/>
  <c r="AC6608" i="30"/>
  <c r="AD6608" i="30" s="1"/>
  <c r="AC6609" i="30"/>
  <c r="AD6609" i="30" s="1"/>
  <c r="AC6610" i="30"/>
  <c r="AD6610" i="30" s="1"/>
  <c r="AC6611" i="30"/>
  <c r="AD6611" i="30" s="1"/>
  <c r="AC6612" i="30"/>
  <c r="AD6612" i="30" s="1"/>
  <c r="AC6613" i="30"/>
  <c r="AD6613" i="30" s="1"/>
  <c r="AC6614" i="30"/>
  <c r="AD6614" i="30" s="1"/>
  <c r="AC6615" i="30"/>
  <c r="AD6615" i="30" s="1"/>
  <c r="AC6616" i="30"/>
  <c r="AD6616" i="30" s="1"/>
  <c r="AC6617" i="30"/>
  <c r="AD6617" i="30" s="1"/>
  <c r="AC6618" i="30"/>
  <c r="AD6618" i="30" s="1"/>
  <c r="AC6619" i="30"/>
  <c r="AD6619" i="30" s="1"/>
  <c r="AC6620" i="30"/>
  <c r="AD6620" i="30" s="1"/>
  <c r="AC6621" i="30"/>
  <c r="AD6621" i="30" s="1"/>
  <c r="AC6622" i="30"/>
  <c r="AD6622" i="30" s="1"/>
  <c r="AC6623" i="30"/>
  <c r="AD6623" i="30" s="1"/>
  <c r="AC6624" i="30"/>
  <c r="AD6624" i="30" s="1"/>
  <c r="AC6625" i="30"/>
  <c r="AD6625" i="30" s="1"/>
  <c r="AC6626" i="30"/>
  <c r="AD6626" i="30" s="1"/>
  <c r="AC6627" i="30"/>
  <c r="AD6627" i="30" s="1"/>
  <c r="AC6628" i="30"/>
  <c r="AD6628" i="30" s="1"/>
  <c r="AC6629" i="30"/>
  <c r="AD6629" i="30" s="1"/>
  <c r="AC6630" i="30"/>
  <c r="AD6630" i="30" s="1"/>
  <c r="AC6631" i="30"/>
  <c r="AD6631" i="30" s="1"/>
  <c r="AC6632" i="30"/>
  <c r="AD6632" i="30" s="1"/>
  <c r="AC6633" i="30"/>
  <c r="AD6633" i="30" s="1"/>
  <c r="AC6634" i="30"/>
  <c r="AD6634" i="30" s="1"/>
  <c r="AC6635" i="30"/>
  <c r="AD6635" i="30" s="1"/>
  <c r="AC6636" i="30"/>
  <c r="AD6636" i="30" s="1"/>
  <c r="AC6637" i="30"/>
  <c r="AD6637" i="30" s="1"/>
  <c r="AC6638" i="30"/>
  <c r="AD6638" i="30" s="1"/>
  <c r="AC6639" i="30"/>
  <c r="AD6639" i="30" s="1"/>
  <c r="AC6640" i="30"/>
  <c r="AD6640" i="30" s="1"/>
  <c r="AC6641" i="30"/>
  <c r="AD6641" i="30" s="1"/>
  <c r="AC6642" i="30"/>
  <c r="AD6642" i="30" s="1"/>
  <c r="AC6643" i="30"/>
  <c r="AD6643" i="30" s="1"/>
  <c r="AC6644" i="30"/>
  <c r="AD6644" i="30" s="1"/>
  <c r="AC6645" i="30"/>
  <c r="AD6645" i="30" s="1"/>
  <c r="AC6646" i="30"/>
  <c r="AD6646" i="30" s="1"/>
  <c r="AC6647" i="30"/>
  <c r="AD6647" i="30" s="1"/>
  <c r="AC6648" i="30"/>
  <c r="AD6648" i="30" s="1"/>
  <c r="AC6649" i="30"/>
  <c r="AD6649" i="30" s="1"/>
  <c r="AC6650" i="30"/>
  <c r="AD6650" i="30" s="1"/>
  <c r="AC6651" i="30"/>
  <c r="AD6651" i="30" s="1"/>
  <c r="AC6652" i="30"/>
  <c r="AD6652" i="30" s="1"/>
  <c r="AC6653" i="30"/>
  <c r="AD6653" i="30" s="1"/>
  <c r="AC6654" i="30"/>
  <c r="AD6654" i="30" s="1"/>
  <c r="AC6655" i="30"/>
  <c r="AD6655" i="30" s="1"/>
  <c r="AC6656" i="30"/>
  <c r="AD6656" i="30" s="1"/>
  <c r="AC6657" i="30"/>
  <c r="AD6657" i="30" s="1"/>
  <c r="AC6658" i="30"/>
  <c r="AD6658" i="30" s="1"/>
  <c r="AC6659" i="30"/>
  <c r="AD6659" i="30" s="1"/>
  <c r="AC6660" i="30"/>
  <c r="AD6660" i="30" s="1"/>
  <c r="AC6661" i="30"/>
  <c r="AD6661" i="30" s="1"/>
  <c r="AC6662" i="30"/>
  <c r="AD6662" i="30" s="1"/>
  <c r="AC6663" i="30"/>
  <c r="AD6663" i="30" s="1"/>
  <c r="AC6664" i="30"/>
  <c r="AD6664" i="30" s="1"/>
  <c r="AC6665" i="30"/>
  <c r="AD6665" i="30" s="1"/>
  <c r="AC6666" i="30"/>
  <c r="AD6666" i="30" s="1"/>
  <c r="AC6667" i="30"/>
  <c r="AD6667" i="30" s="1"/>
  <c r="AC6668" i="30"/>
  <c r="AD6668" i="30" s="1"/>
  <c r="AC6669" i="30"/>
  <c r="AD6669" i="30" s="1"/>
  <c r="AC6670" i="30"/>
  <c r="AD6670" i="30" s="1"/>
  <c r="AC6671" i="30"/>
  <c r="AD6671" i="30" s="1"/>
  <c r="AC6672" i="30"/>
  <c r="AD6672" i="30" s="1"/>
  <c r="AC6673" i="30"/>
  <c r="AD6673" i="30" s="1"/>
  <c r="AC6674" i="30"/>
  <c r="AD6674" i="30" s="1"/>
  <c r="AC6675" i="30"/>
  <c r="AD6675" i="30" s="1"/>
  <c r="AC6676" i="30"/>
  <c r="AD6676" i="30" s="1"/>
  <c r="AC6677" i="30"/>
  <c r="AD6677" i="30" s="1"/>
  <c r="AC6678" i="30"/>
  <c r="AD6678" i="30" s="1"/>
  <c r="AC6679" i="30"/>
  <c r="AD6679" i="30" s="1"/>
  <c r="AC6680" i="30"/>
  <c r="AD6680" i="30" s="1"/>
  <c r="AC6681" i="30"/>
  <c r="AD6681" i="30" s="1"/>
  <c r="AC6682" i="30"/>
  <c r="AD6682" i="30" s="1"/>
  <c r="AC6683" i="30"/>
  <c r="AD6683" i="30" s="1"/>
  <c r="AC6684" i="30"/>
  <c r="AD6684" i="30" s="1"/>
  <c r="AC6685" i="30"/>
  <c r="AD6685" i="30" s="1"/>
  <c r="AC6686" i="30"/>
  <c r="AD6686" i="30" s="1"/>
  <c r="AC6687" i="30"/>
  <c r="AD6687" i="30" s="1"/>
  <c r="AC6688" i="30"/>
  <c r="AD6688" i="30" s="1"/>
  <c r="AC6689" i="30"/>
  <c r="AD6689" i="30" s="1"/>
  <c r="AC6690" i="30"/>
  <c r="AD6690" i="30" s="1"/>
  <c r="AC6691" i="30"/>
  <c r="AD6691" i="30" s="1"/>
  <c r="AC6692" i="30"/>
  <c r="AD6692" i="30" s="1"/>
  <c r="AC6693" i="30"/>
  <c r="AD6693" i="30" s="1"/>
  <c r="AC6694" i="30"/>
  <c r="AD6694" i="30" s="1"/>
  <c r="AC6695" i="30"/>
  <c r="AD6695" i="30" s="1"/>
  <c r="AC6696" i="30"/>
  <c r="AD6696" i="30" s="1"/>
  <c r="AC6697" i="30"/>
  <c r="AD6697" i="30" s="1"/>
  <c r="AC6698" i="30"/>
  <c r="AD6698" i="30" s="1"/>
  <c r="AC6699" i="30"/>
  <c r="AD6699" i="30" s="1"/>
  <c r="AC6700" i="30"/>
  <c r="AD6700" i="30" s="1"/>
  <c r="AC6701" i="30"/>
  <c r="AD6701" i="30" s="1"/>
  <c r="AC6702" i="30"/>
  <c r="AD6702" i="30" s="1"/>
  <c r="AC6703" i="30"/>
  <c r="AD6703" i="30" s="1"/>
  <c r="AC6704" i="30"/>
  <c r="AD6704" i="30" s="1"/>
  <c r="AC6705" i="30"/>
  <c r="AD6705" i="30" s="1"/>
  <c r="AC6706" i="30"/>
  <c r="AD6706" i="30" s="1"/>
  <c r="AC6707" i="30"/>
  <c r="AD6707" i="30" s="1"/>
  <c r="AC6708" i="30"/>
  <c r="AD6708" i="30" s="1"/>
  <c r="AC6709" i="30"/>
  <c r="AD6709" i="30" s="1"/>
  <c r="AC6710" i="30"/>
  <c r="AD6710" i="30" s="1"/>
  <c r="AC6711" i="30"/>
  <c r="AD6711" i="30" s="1"/>
  <c r="AC6712" i="30"/>
  <c r="AD6712" i="30" s="1"/>
  <c r="AC6713" i="30"/>
  <c r="AD6713" i="30" s="1"/>
  <c r="AC6714" i="30"/>
  <c r="AD6714" i="30" s="1"/>
  <c r="AC6715" i="30"/>
  <c r="AD6715" i="30" s="1"/>
  <c r="AC6716" i="30"/>
  <c r="AD6716" i="30" s="1"/>
  <c r="AC6717" i="30"/>
  <c r="AD6717" i="30" s="1"/>
  <c r="AC6718" i="30"/>
  <c r="AD6718" i="30" s="1"/>
  <c r="AC6719" i="30"/>
  <c r="AD6719" i="30" s="1"/>
  <c r="AC6720" i="30"/>
  <c r="AD6720" i="30" s="1"/>
  <c r="AC6721" i="30"/>
  <c r="AD6721" i="30" s="1"/>
  <c r="AC6722" i="30"/>
  <c r="AD6722" i="30" s="1"/>
  <c r="AC6723" i="30"/>
  <c r="AD6723" i="30" s="1"/>
  <c r="AC6724" i="30"/>
  <c r="AD6724" i="30" s="1"/>
  <c r="AC6725" i="30"/>
  <c r="AD6725" i="30" s="1"/>
  <c r="AC6726" i="30"/>
  <c r="AD6726" i="30" s="1"/>
  <c r="AC6727" i="30"/>
  <c r="AD6727" i="30" s="1"/>
  <c r="AC6728" i="30"/>
  <c r="AD6728" i="30" s="1"/>
  <c r="AC6729" i="30"/>
  <c r="AD6729" i="30" s="1"/>
  <c r="AC6730" i="30"/>
  <c r="AD6730" i="30" s="1"/>
  <c r="AC6731" i="30"/>
  <c r="AD6731" i="30" s="1"/>
  <c r="AC6732" i="30"/>
  <c r="AD6732" i="30" s="1"/>
  <c r="AC6733" i="30"/>
  <c r="AD6733" i="30" s="1"/>
  <c r="AC6734" i="30"/>
  <c r="AD6734" i="30" s="1"/>
  <c r="AC6735" i="30"/>
  <c r="AD6735" i="30" s="1"/>
  <c r="AC6736" i="30"/>
  <c r="AD6736" i="30" s="1"/>
  <c r="AC6737" i="30"/>
  <c r="AD6737" i="30" s="1"/>
  <c r="AC6738" i="30"/>
  <c r="AD6738" i="30" s="1"/>
  <c r="AC6739" i="30"/>
  <c r="AD6739" i="30" s="1"/>
  <c r="AC6740" i="30"/>
  <c r="AD6740" i="30" s="1"/>
  <c r="AC6741" i="30"/>
  <c r="AD6741" i="30" s="1"/>
  <c r="AC6742" i="30"/>
  <c r="AD6742" i="30" s="1"/>
  <c r="AC6743" i="30"/>
  <c r="AD6743" i="30" s="1"/>
  <c r="AC6744" i="30"/>
  <c r="AD6744" i="30" s="1"/>
  <c r="AC6745" i="30"/>
  <c r="AD6745" i="30" s="1"/>
  <c r="AC6746" i="30"/>
  <c r="AD6746" i="30" s="1"/>
  <c r="AC6747" i="30"/>
  <c r="AD6747" i="30" s="1"/>
  <c r="AC6748" i="30"/>
  <c r="AD6748" i="30" s="1"/>
  <c r="AC6749" i="30"/>
  <c r="AD6749" i="30" s="1"/>
  <c r="AC6750" i="30"/>
  <c r="AD6750" i="30" s="1"/>
  <c r="AC6751" i="30"/>
  <c r="AD6751" i="30" s="1"/>
  <c r="AC6752" i="30"/>
  <c r="AD6752" i="30" s="1"/>
  <c r="AC6753" i="30"/>
  <c r="AD6753" i="30" s="1"/>
  <c r="AC6754" i="30"/>
  <c r="AD6754" i="30" s="1"/>
  <c r="AC6755" i="30"/>
  <c r="AD6755" i="30" s="1"/>
  <c r="AC6756" i="30"/>
  <c r="AD6756" i="30" s="1"/>
  <c r="AC6757" i="30"/>
  <c r="AD6757" i="30" s="1"/>
  <c r="AC6758" i="30"/>
  <c r="AD6758" i="30" s="1"/>
  <c r="AC6759" i="30"/>
  <c r="AD6759" i="30" s="1"/>
  <c r="AC6760" i="30"/>
  <c r="AD6760" i="30" s="1"/>
  <c r="AC6761" i="30"/>
  <c r="AD6761" i="30" s="1"/>
  <c r="AC6762" i="30"/>
  <c r="AD6762" i="30" s="1"/>
  <c r="AC6763" i="30"/>
  <c r="AD6763" i="30" s="1"/>
  <c r="AC6764" i="30"/>
  <c r="AD6764" i="30" s="1"/>
  <c r="AC6765" i="30"/>
  <c r="AD6765" i="30" s="1"/>
  <c r="AC6766" i="30"/>
  <c r="AD6766" i="30" s="1"/>
  <c r="AC6767" i="30"/>
  <c r="AD6767" i="30" s="1"/>
  <c r="AC6768" i="30"/>
  <c r="AD6768" i="30" s="1"/>
  <c r="AC6769" i="30"/>
  <c r="AD6769" i="30" s="1"/>
  <c r="AC6770" i="30"/>
  <c r="AD6770" i="30" s="1"/>
  <c r="AC6771" i="30"/>
  <c r="AD6771" i="30" s="1"/>
  <c r="AC6772" i="30"/>
  <c r="AD6772" i="30" s="1"/>
  <c r="AC6773" i="30"/>
  <c r="AD6773" i="30" s="1"/>
  <c r="AC6774" i="30"/>
  <c r="AD6774" i="30" s="1"/>
  <c r="AC6775" i="30"/>
  <c r="AD6775" i="30" s="1"/>
  <c r="AC6776" i="30"/>
  <c r="AD6776" i="30" s="1"/>
  <c r="AC6777" i="30"/>
  <c r="AD6777" i="30" s="1"/>
  <c r="AC6778" i="30"/>
  <c r="AD6778" i="30" s="1"/>
  <c r="AC6779" i="30"/>
  <c r="AD6779" i="30" s="1"/>
  <c r="AC6780" i="30"/>
  <c r="AD6780" i="30" s="1"/>
  <c r="AC6781" i="30"/>
  <c r="AD6781" i="30" s="1"/>
  <c r="AC6782" i="30"/>
  <c r="AD6782" i="30" s="1"/>
  <c r="AC6783" i="30"/>
  <c r="AD6783" i="30" s="1"/>
  <c r="AC6784" i="30"/>
  <c r="AD6784" i="30" s="1"/>
  <c r="AC6785" i="30"/>
  <c r="AD6785" i="30" s="1"/>
  <c r="AC6786" i="30"/>
  <c r="AD6786" i="30" s="1"/>
  <c r="AC6787" i="30"/>
  <c r="AD6787" i="30" s="1"/>
  <c r="AC6788" i="30"/>
  <c r="AD6788" i="30" s="1"/>
  <c r="AC6789" i="30"/>
  <c r="AD6789" i="30" s="1"/>
  <c r="AC6790" i="30"/>
  <c r="AD6790" i="30" s="1"/>
  <c r="AC6791" i="30"/>
  <c r="AD6791" i="30" s="1"/>
  <c r="AC6792" i="30"/>
  <c r="AD6792" i="30" s="1"/>
  <c r="AC6793" i="30"/>
  <c r="AD6793" i="30" s="1"/>
  <c r="AC6794" i="30"/>
  <c r="AD6794" i="30" s="1"/>
  <c r="AC6795" i="30"/>
  <c r="AD6795" i="30" s="1"/>
  <c r="AC6796" i="30"/>
  <c r="AD6796" i="30" s="1"/>
  <c r="AC6797" i="30"/>
  <c r="AD6797" i="30" s="1"/>
  <c r="AC6798" i="30"/>
  <c r="AD6798" i="30" s="1"/>
  <c r="AC6799" i="30"/>
  <c r="AD6799" i="30" s="1"/>
  <c r="AC6800" i="30"/>
  <c r="AD6800" i="30" s="1"/>
  <c r="AC6801" i="30"/>
  <c r="AD6801" i="30" s="1"/>
  <c r="AC6802" i="30"/>
  <c r="AD6802" i="30" s="1"/>
  <c r="AC6803" i="30"/>
  <c r="AD6803" i="30" s="1"/>
  <c r="AC6804" i="30"/>
  <c r="AD6804" i="30" s="1"/>
  <c r="AC6805" i="30"/>
  <c r="AD6805" i="30" s="1"/>
  <c r="AC6806" i="30"/>
  <c r="AD6806" i="30" s="1"/>
  <c r="AC6807" i="30"/>
  <c r="AD6807" i="30" s="1"/>
  <c r="AC6808" i="30"/>
  <c r="AD6808" i="30" s="1"/>
  <c r="AC6809" i="30"/>
  <c r="AD6809" i="30" s="1"/>
  <c r="AC6810" i="30"/>
  <c r="AD6810" i="30" s="1"/>
  <c r="AC6811" i="30"/>
  <c r="AD6811" i="30" s="1"/>
  <c r="AC6812" i="30"/>
  <c r="AD6812" i="30" s="1"/>
  <c r="AC6813" i="30"/>
  <c r="AD6813" i="30" s="1"/>
  <c r="AC6814" i="30"/>
  <c r="AD6814" i="30" s="1"/>
  <c r="AC6815" i="30"/>
  <c r="AD6815" i="30" s="1"/>
  <c r="AC6816" i="30"/>
  <c r="AD6816" i="30" s="1"/>
  <c r="AC6817" i="30"/>
  <c r="AD6817" i="30" s="1"/>
  <c r="AC6818" i="30"/>
  <c r="AD6818" i="30" s="1"/>
  <c r="AC6819" i="30"/>
  <c r="AD6819" i="30" s="1"/>
  <c r="AC6820" i="30"/>
  <c r="AD6820" i="30" s="1"/>
  <c r="AC6821" i="30"/>
  <c r="AD6821" i="30" s="1"/>
  <c r="AC6822" i="30"/>
  <c r="AD6822" i="30" s="1"/>
  <c r="AC6823" i="30"/>
  <c r="AD6823" i="30" s="1"/>
  <c r="AC6824" i="30"/>
  <c r="AD6824" i="30" s="1"/>
  <c r="AC6825" i="30"/>
  <c r="AD6825" i="30" s="1"/>
  <c r="AC6826" i="30"/>
  <c r="AD6826" i="30" s="1"/>
  <c r="AC6827" i="30"/>
  <c r="AD6827" i="30" s="1"/>
  <c r="AC6828" i="30"/>
  <c r="AD6828" i="30" s="1"/>
  <c r="AC6829" i="30"/>
  <c r="AD6829" i="30" s="1"/>
  <c r="AC6830" i="30"/>
  <c r="AD6830" i="30" s="1"/>
  <c r="AC6831" i="30"/>
  <c r="AD6831" i="30" s="1"/>
  <c r="AC6832" i="30"/>
  <c r="AD6832" i="30" s="1"/>
  <c r="AC6833" i="30"/>
  <c r="AD6833" i="30" s="1"/>
  <c r="AC6834" i="30"/>
  <c r="AD6834" i="30" s="1"/>
  <c r="AC6835" i="30"/>
  <c r="AD6835" i="30" s="1"/>
  <c r="AC6836" i="30"/>
  <c r="AD6836" i="30" s="1"/>
  <c r="AC6837" i="30"/>
  <c r="AD6837" i="30" s="1"/>
  <c r="AC6838" i="30"/>
  <c r="AD6838" i="30" s="1"/>
  <c r="AC6839" i="30"/>
  <c r="AD6839" i="30" s="1"/>
  <c r="AC6840" i="30"/>
  <c r="AD6840" i="30" s="1"/>
  <c r="AC6841" i="30"/>
  <c r="AD6841" i="30" s="1"/>
  <c r="AC6842" i="30"/>
  <c r="AD6842" i="30" s="1"/>
  <c r="AC6843" i="30"/>
  <c r="AD6843" i="30" s="1"/>
  <c r="AC6844" i="30"/>
  <c r="AD6844" i="30" s="1"/>
  <c r="AC6845" i="30"/>
  <c r="AD6845" i="30" s="1"/>
  <c r="AC6846" i="30"/>
  <c r="AD6846" i="30" s="1"/>
  <c r="AC6847" i="30"/>
  <c r="AD6847" i="30" s="1"/>
  <c r="AC6848" i="30"/>
  <c r="AD6848" i="30" s="1"/>
  <c r="AC6849" i="30"/>
  <c r="AD6849" i="30" s="1"/>
  <c r="AC6850" i="30"/>
  <c r="AD6850" i="30" s="1"/>
  <c r="AC6851" i="30"/>
  <c r="AD6851" i="30" s="1"/>
  <c r="AC6852" i="30"/>
  <c r="AD6852" i="30" s="1"/>
  <c r="AC6853" i="30"/>
  <c r="AD6853" i="30" s="1"/>
  <c r="AC6854" i="30"/>
  <c r="AD6854" i="30" s="1"/>
  <c r="AC6855" i="30"/>
  <c r="AD6855" i="30" s="1"/>
  <c r="AC6856" i="30"/>
  <c r="AD6856" i="30" s="1"/>
  <c r="AC6857" i="30"/>
  <c r="AD6857" i="30" s="1"/>
  <c r="AC6858" i="30"/>
  <c r="AD6858" i="30" s="1"/>
  <c r="AC6859" i="30"/>
  <c r="AD6859" i="30" s="1"/>
  <c r="AC6860" i="30"/>
  <c r="AD6860" i="30" s="1"/>
  <c r="AC6861" i="30"/>
  <c r="AD6861" i="30" s="1"/>
  <c r="AC6862" i="30"/>
  <c r="AD6862" i="30" s="1"/>
  <c r="AC6863" i="30"/>
  <c r="AD6863" i="30" s="1"/>
  <c r="AC6864" i="30"/>
  <c r="AD6864" i="30" s="1"/>
  <c r="AC6865" i="30"/>
  <c r="AD6865" i="30" s="1"/>
  <c r="AC6866" i="30"/>
  <c r="AD6866" i="30" s="1"/>
  <c r="AC6867" i="30"/>
  <c r="AD6867" i="30" s="1"/>
  <c r="AC6868" i="30"/>
  <c r="AD6868" i="30" s="1"/>
  <c r="AC6869" i="30"/>
  <c r="AD6869" i="30" s="1"/>
  <c r="AC6870" i="30"/>
  <c r="AD6870" i="30" s="1"/>
  <c r="AC6871" i="30"/>
  <c r="AD6871" i="30" s="1"/>
  <c r="AC6872" i="30"/>
  <c r="AD6872" i="30" s="1"/>
  <c r="AC6873" i="30"/>
  <c r="AD6873" i="30" s="1"/>
  <c r="AC6874" i="30"/>
  <c r="AD6874" i="30" s="1"/>
  <c r="AC6875" i="30"/>
  <c r="AD6875" i="30" s="1"/>
  <c r="AC6876" i="30"/>
  <c r="AD6876" i="30" s="1"/>
  <c r="AC6877" i="30"/>
  <c r="AD6877" i="30" s="1"/>
  <c r="AC6878" i="30"/>
  <c r="AD6878" i="30" s="1"/>
  <c r="AC6879" i="30"/>
  <c r="AD6879" i="30" s="1"/>
  <c r="AC6880" i="30"/>
  <c r="AD6880" i="30" s="1"/>
  <c r="AC6881" i="30"/>
  <c r="AD6881" i="30" s="1"/>
  <c r="AC6882" i="30"/>
  <c r="AD6882" i="30" s="1"/>
  <c r="AC6883" i="30"/>
  <c r="AD6883" i="30" s="1"/>
  <c r="AC6884" i="30"/>
  <c r="AD6884" i="30" s="1"/>
  <c r="AC6885" i="30"/>
  <c r="AD6885" i="30" s="1"/>
  <c r="AC6886" i="30"/>
  <c r="AD6886" i="30" s="1"/>
  <c r="AC6887" i="30"/>
  <c r="AD6887" i="30" s="1"/>
  <c r="AC6888" i="30"/>
  <c r="AD6888" i="30" s="1"/>
  <c r="AC6889" i="30"/>
  <c r="AD6889" i="30" s="1"/>
  <c r="AC6890" i="30"/>
  <c r="AD6890" i="30" s="1"/>
  <c r="AC6891" i="30"/>
  <c r="AD6891" i="30" s="1"/>
  <c r="AC6892" i="30"/>
  <c r="AD6892" i="30" s="1"/>
  <c r="AC6893" i="30"/>
  <c r="AD6893" i="30" s="1"/>
  <c r="AC6894" i="30"/>
  <c r="AD6894" i="30" s="1"/>
  <c r="AC6895" i="30"/>
  <c r="AD6895" i="30" s="1"/>
  <c r="AC6896" i="30"/>
  <c r="AD6896" i="30" s="1"/>
  <c r="AC6897" i="30"/>
  <c r="AD6897" i="30" s="1"/>
  <c r="AC6898" i="30"/>
  <c r="AD6898" i="30" s="1"/>
  <c r="AC6899" i="30"/>
  <c r="AD6899" i="30" s="1"/>
  <c r="AC6900" i="30"/>
  <c r="AD6900" i="30" s="1"/>
  <c r="AC6901" i="30"/>
  <c r="AD6901" i="30" s="1"/>
  <c r="AC6902" i="30"/>
  <c r="AD6902" i="30" s="1"/>
  <c r="AC6903" i="30"/>
  <c r="AD6903" i="30" s="1"/>
  <c r="AC6904" i="30"/>
  <c r="AD6904" i="30" s="1"/>
  <c r="AC6905" i="30"/>
  <c r="AD6905" i="30" s="1"/>
  <c r="AC6906" i="30"/>
  <c r="AD6906" i="30" s="1"/>
  <c r="AC6907" i="30"/>
  <c r="AD6907" i="30" s="1"/>
  <c r="AC6908" i="30"/>
  <c r="AD6908" i="30" s="1"/>
  <c r="AC6909" i="30"/>
  <c r="AD6909" i="30" s="1"/>
  <c r="AC6910" i="30"/>
  <c r="AD6910" i="30" s="1"/>
  <c r="AC6911" i="30"/>
  <c r="AD6911" i="30" s="1"/>
  <c r="AC6912" i="30"/>
  <c r="AD6912" i="30" s="1"/>
  <c r="AC6913" i="30"/>
  <c r="AD6913" i="30" s="1"/>
  <c r="AC6914" i="30"/>
  <c r="AD6914" i="30" s="1"/>
  <c r="AC6915" i="30"/>
  <c r="AD6915" i="30" s="1"/>
  <c r="AC6916" i="30"/>
  <c r="AD6916" i="30" s="1"/>
  <c r="AC6917" i="30"/>
  <c r="AD6917" i="30" s="1"/>
  <c r="AC6918" i="30"/>
  <c r="AD6918" i="30" s="1"/>
  <c r="AC6919" i="30"/>
  <c r="AD6919" i="30" s="1"/>
  <c r="AC6920" i="30"/>
  <c r="AD6920" i="30" s="1"/>
  <c r="AC6921" i="30"/>
  <c r="AD6921" i="30" s="1"/>
  <c r="AC6922" i="30"/>
  <c r="AD6922" i="30" s="1"/>
  <c r="AC6923" i="30"/>
  <c r="AD6923" i="30" s="1"/>
  <c r="AC6924" i="30"/>
  <c r="AD6924" i="30" s="1"/>
  <c r="AC6925" i="30"/>
  <c r="AD6925" i="30" s="1"/>
  <c r="AC6926" i="30"/>
  <c r="AD6926" i="30" s="1"/>
  <c r="AC6927" i="30"/>
  <c r="AD6927" i="30" s="1"/>
  <c r="AC6928" i="30"/>
  <c r="AD6928" i="30" s="1"/>
  <c r="AC6929" i="30"/>
  <c r="AD6929" i="30" s="1"/>
  <c r="AC6930" i="30"/>
  <c r="AD6930" i="30" s="1"/>
  <c r="AC6931" i="30"/>
  <c r="AD6931" i="30" s="1"/>
  <c r="AC6932" i="30"/>
  <c r="AD6932" i="30" s="1"/>
  <c r="AC6933" i="30"/>
  <c r="AD6933" i="30" s="1"/>
  <c r="AC6934" i="30"/>
  <c r="AD6934" i="30" s="1"/>
  <c r="AC6935" i="30"/>
  <c r="AD6935" i="30" s="1"/>
  <c r="AC6936" i="30"/>
  <c r="AD6936" i="30" s="1"/>
  <c r="AC6937" i="30"/>
  <c r="AD6937" i="30" s="1"/>
  <c r="AC6938" i="30"/>
  <c r="AD6938" i="30" s="1"/>
  <c r="AC6939" i="30"/>
  <c r="AD6939" i="30" s="1"/>
  <c r="AC6940" i="30"/>
  <c r="AD6940" i="30" s="1"/>
  <c r="AC6941" i="30"/>
  <c r="AD6941" i="30" s="1"/>
  <c r="AC6942" i="30"/>
  <c r="AD6942" i="30" s="1"/>
  <c r="AC6943" i="30"/>
  <c r="AD6943" i="30" s="1"/>
  <c r="AC6944" i="30"/>
  <c r="AD6944" i="30" s="1"/>
  <c r="AC6945" i="30"/>
  <c r="AD6945" i="30" s="1"/>
  <c r="AC6946" i="30"/>
  <c r="AD6946" i="30" s="1"/>
  <c r="AC6947" i="30"/>
  <c r="AD6947" i="30" s="1"/>
  <c r="AC6948" i="30"/>
  <c r="AD6948" i="30" s="1"/>
  <c r="AC6949" i="30"/>
  <c r="AD6949" i="30" s="1"/>
  <c r="AC6950" i="30"/>
  <c r="AD6950" i="30" s="1"/>
  <c r="AC6951" i="30"/>
  <c r="AD6951" i="30" s="1"/>
  <c r="AC6952" i="30"/>
  <c r="AD6952" i="30" s="1"/>
  <c r="AC6953" i="30"/>
  <c r="AD6953" i="30" s="1"/>
  <c r="AC6954" i="30"/>
  <c r="AD6954" i="30" s="1"/>
  <c r="AC6955" i="30"/>
  <c r="AD6955" i="30" s="1"/>
  <c r="AC6956" i="30"/>
  <c r="AD6956" i="30" s="1"/>
  <c r="AC6957" i="30"/>
  <c r="AD6957" i="30" s="1"/>
  <c r="AC6958" i="30"/>
  <c r="AD6958" i="30" s="1"/>
  <c r="AC6959" i="30"/>
  <c r="AD6959" i="30" s="1"/>
  <c r="AC6960" i="30"/>
  <c r="AD6960" i="30" s="1"/>
  <c r="AC6961" i="30"/>
  <c r="AD6961" i="30" s="1"/>
  <c r="AC6962" i="30"/>
  <c r="AD6962" i="30" s="1"/>
  <c r="AC6963" i="30"/>
  <c r="AD6963" i="30" s="1"/>
  <c r="AC6964" i="30"/>
  <c r="AD6964" i="30" s="1"/>
  <c r="AC6965" i="30"/>
  <c r="AD6965" i="30" s="1"/>
  <c r="AC6966" i="30"/>
  <c r="AD6966" i="30" s="1"/>
  <c r="AC6967" i="30"/>
  <c r="AD6967" i="30" s="1"/>
  <c r="AC6968" i="30"/>
  <c r="AD6968" i="30" s="1"/>
  <c r="AC6969" i="30"/>
  <c r="AD6969" i="30" s="1"/>
  <c r="AC6970" i="30"/>
  <c r="AD6970" i="30" s="1"/>
  <c r="AC6971" i="30"/>
  <c r="AD6971" i="30" s="1"/>
  <c r="AC6972" i="30"/>
  <c r="AD6972" i="30" s="1"/>
  <c r="AC6973" i="30"/>
  <c r="AD6973" i="30" s="1"/>
  <c r="AC6974" i="30"/>
  <c r="AD6974" i="30" s="1"/>
  <c r="AC6975" i="30"/>
  <c r="AD6975" i="30" s="1"/>
  <c r="AC6976" i="30"/>
  <c r="AD6976" i="30" s="1"/>
  <c r="AC6977" i="30"/>
  <c r="AD6977" i="30" s="1"/>
  <c r="AC6978" i="30"/>
  <c r="AD6978" i="30" s="1"/>
  <c r="AC6979" i="30"/>
  <c r="AD6979" i="30" s="1"/>
  <c r="AC6980" i="30"/>
  <c r="AD6980" i="30" s="1"/>
  <c r="AC6981" i="30"/>
  <c r="AD6981" i="30" s="1"/>
  <c r="AC6982" i="30"/>
  <c r="AD6982" i="30" s="1"/>
  <c r="AC6983" i="30"/>
  <c r="AD6983" i="30" s="1"/>
  <c r="AC6984" i="30"/>
  <c r="AD6984" i="30" s="1"/>
  <c r="AC6985" i="30"/>
  <c r="AD6985" i="30" s="1"/>
  <c r="AC6986" i="30"/>
  <c r="AD6986" i="30" s="1"/>
  <c r="AC6987" i="30"/>
  <c r="AD6987" i="30" s="1"/>
  <c r="AC6988" i="30"/>
  <c r="AD6988" i="30" s="1"/>
  <c r="AC6989" i="30"/>
  <c r="AD6989" i="30" s="1"/>
  <c r="AC6990" i="30"/>
  <c r="AD6990" i="30" s="1"/>
  <c r="AC6991" i="30"/>
  <c r="AD6991" i="30" s="1"/>
  <c r="AC6992" i="30"/>
  <c r="AD6992" i="30" s="1"/>
  <c r="AC6993" i="30"/>
  <c r="AD6993" i="30" s="1"/>
  <c r="AC6994" i="30"/>
  <c r="AD6994" i="30" s="1"/>
  <c r="AC6995" i="30"/>
  <c r="AD6995" i="30" s="1"/>
  <c r="AC6996" i="30"/>
  <c r="AD6996" i="30" s="1"/>
  <c r="AC6997" i="30"/>
  <c r="AD6997" i="30" s="1"/>
  <c r="AC6998" i="30"/>
  <c r="AD6998" i="30" s="1"/>
  <c r="AC6999" i="30"/>
  <c r="AD6999" i="30" s="1"/>
  <c r="AC7000" i="30"/>
  <c r="AD7000" i="30" s="1"/>
  <c r="AC7001" i="30"/>
  <c r="AD7001" i="30" s="1"/>
  <c r="AC7002" i="30"/>
  <c r="AD7002" i="30" s="1"/>
  <c r="AC7003" i="30"/>
  <c r="AD7003" i="30" s="1"/>
  <c r="AC7004" i="30"/>
  <c r="AD7004" i="30" s="1"/>
  <c r="AC7005" i="30"/>
  <c r="AD7005" i="30" s="1"/>
  <c r="AC7006" i="30"/>
  <c r="AD7006" i="30" s="1"/>
  <c r="AC7007" i="30"/>
  <c r="AD7007" i="30" s="1"/>
  <c r="AC7008" i="30"/>
  <c r="AD7008" i="30" s="1"/>
  <c r="AC7009" i="30"/>
  <c r="AD7009" i="30" s="1"/>
  <c r="AC7010" i="30"/>
  <c r="AD7010" i="30" s="1"/>
  <c r="AC7011" i="30"/>
  <c r="AD7011" i="30" s="1"/>
  <c r="AC7012" i="30"/>
  <c r="AD7012" i="30" s="1"/>
  <c r="AC7013" i="30"/>
  <c r="AD7013" i="30" s="1"/>
  <c r="AC7014" i="30"/>
  <c r="AD7014" i="30" s="1"/>
  <c r="AC7015" i="30"/>
  <c r="AD7015" i="30" s="1"/>
  <c r="AC7016" i="30"/>
  <c r="AD7016" i="30" s="1"/>
  <c r="AC7017" i="30"/>
  <c r="AD7017" i="30" s="1"/>
  <c r="AC7018" i="30"/>
  <c r="AD7018" i="30" s="1"/>
  <c r="AC7019" i="30"/>
  <c r="AD7019" i="30" s="1"/>
  <c r="AC7020" i="30"/>
  <c r="AD7020" i="30" s="1"/>
  <c r="AC7021" i="30"/>
  <c r="AD7021" i="30" s="1"/>
  <c r="AC7022" i="30"/>
  <c r="AD7022" i="30" s="1"/>
  <c r="AC7023" i="30"/>
  <c r="AD7023" i="30" s="1"/>
  <c r="AC7024" i="30"/>
  <c r="AD7024" i="30" s="1"/>
  <c r="AC7025" i="30"/>
  <c r="AD7025" i="30" s="1"/>
  <c r="AC7026" i="30"/>
  <c r="AD7026" i="30" s="1"/>
  <c r="AC7027" i="30"/>
  <c r="AD7027" i="30" s="1"/>
  <c r="AC7028" i="30"/>
  <c r="AD7028" i="30" s="1"/>
  <c r="AC7029" i="30"/>
  <c r="AD7029" i="30" s="1"/>
  <c r="AC7030" i="30"/>
  <c r="AD7030" i="30" s="1"/>
  <c r="AC7031" i="30"/>
  <c r="AD7031" i="30" s="1"/>
  <c r="AC7032" i="30"/>
  <c r="AD7032" i="30" s="1"/>
  <c r="AC7033" i="30"/>
  <c r="AD7033" i="30" s="1"/>
  <c r="AC7034" i="30"/>
  <c r="AD7034" i="30" s="1"/>
  <c r="AC7035" i="30"/>
  <c r="AD7035" i="30" s="1"/>
  <c r="AC7036" i="30"/>
  <c r="AD7036" i="30" s="1"/>
  <c r="AC7037" i="30"/>
  <c r="AD7037" i="30" s="1"/>
  <c r="AC7038" i="30"/>
  <c r="AD7038" i="30" s="1"/>
  <c r="AC7039" i="30"/>
  <c r="AD7039" i="30" s="1"/>
  <c r="AC7040" i="30"/>
  <c r="AD7040" i="30" s="1"/>
  <c r="AC7041" i="30"/>
  <c r="AD7041" i="30" s="1"/>
  <c r="AC7042" i="30"/>
  <c r="AD7042" i="30" s="1"/>
  <c r="AC7043" i="30"/>
  <c r="AD7043" i="30" s="1"/>
  <c r="AC7044" i="30"/>
  <c r="AD7044" i="30" s="1"/>
  <c r="AC7045" i="30"/>
  <c r="AD7045" i="30" s="1"/>
  <c r="AC7046" i="30"/>
  <c r="AD7046" i="30" s="1"/>
  <c r="AC7047" i="30"/>
  <c r="AD7047" i="30" s="1"/>
  <c r="AC7048" i="30"/>
  <c r="AD7048" i="30" s="1"/>
  <c r="AC7049" i="30"/>
  <c r="AD7049" i="30" s="1"/>
  <c r="AC7050" i="30"/>
  <c r="AD7050" i="30" s="1"/>
  <c r="AC7051" i="30"/>
  <c r="AD7051" i="30" s="1"/>
  <c r="AC7052" i="30"/>
  <c r="AD7052" i="30" s="1"/>
  <c r="AC7053" i="30"/>
  <c r="AD7053" i="30" s="1"/>
  <c r="AC7054" i="30"/>
  <c r="AD7054" i="30" s="1"/>
  <c r="AC7055" i="30"/>
  <c r="AD7055" i="30" s="1"/>
  <c r="AC7056" i="30"/>
  <c r="AD7056" i="30" s="1"/>
  <c r="AC7057" i="30"/>
  <c r="AD7057" i="30" s="1"/>
  <c r="AC7058" i="30"/>
  <c r="AD7058" i="30" s="1"/>
  <c r="AC7059" i="30"/>
  <c r="AD7059" i="30" s="1"/>
  <c r="AC7060" i="30"/>
  <c r="AD7060" i="30" s="1"/>
  <c r="AC7061" i="30"/>
  <c r="AD7061" i="30" s="1"/>
  <c r="AC7062" i="30"/>
  <c r="AD7062" i="30" s="1"/>
  <c r="AC7063" i="30"/>
  <c r="AD7063" i="30" s="1"/>
  <c r="AC7064" i="30"/>
  <c r="AD7064" i="30" s="1"/>
  <c r="AC7065" i="30"/>
  <c r="AD7065" i="30" s="1"/>
  <c r="AC7066" i="30"/>
  <c r="AD7066" i="30" s="1"/>
  <c r="AC7067" i="30"/>
  <c r="AD7067" i="30" s="1"/>
  <c r="AC7068" i="30"/>
  <c r="AD7068" i="30" s="1"/>
  <c r="AC7069" i="30"/>
  <c r="AD7069" i="30" s="1"/>
  <c r="AC7070" i="30"/>
  <c r="AD7070" i="30" s="1"/>
  <c r="AC7071" i="30"/>
  <c r="AD7071" i="30" s="1"/>
  <c r="AC7072" i="30"/>
  <c r="AD7072" i="30" s="1"/>
  <c r="AC7073" i="30"/>
  <c r="AD7073" i="30" s="1"/>
  <c r="AC7074" i="30"/>
  <c r="AD7074" i="30" s="1"/>
  <c r="AC7075" i="30"/>
  <c r="AD7075" i="30" s="1"/>
  <c r="AC7076" i="30"/>
  <c r="AD7076" i="30" s="1"/>
  <c r="AC7077" i="30"/>
  <c r="AD7077" i="30" s="1"/>
  <c r="AC7078" i="30"/>
  <c r="AD7078" i="30" s="1"/>
  <c r="AC7079" i="30"/>
  <c r="AD7079" i="30" s="1"/>
  <c r="AC7080" i="30"/>
  <c r="AD7080" i="30" s="1"/>
  <c r="AC7081" i="30"/>
  <c r="AD7081" i="30" s="1"/>
  <c r="AC7082" i="30"/>
  <c r="AD7082" i="30" s="1"/>
  <c r="AC7083" i="30"/>
  <c r="AD7083" i="30" s="1"/>
  <c r="AC7084" i="30"/>
  <c r="AD7084" i="30" s="1"/>
  <c r="AC7085" i="30"/>
  <c r="AD7085" i="30" s="1"/>
  <c r="AC7086" i="30"/>
  <c r="AD7086" i="30" s="1"/>
  <c r="AC7087" i="30"/>
  <c r="AD7087" i="30" s="1"/>
  <c r="AC7088" i="30"/>
  <c r="AD7088" i="30" s="1"/>
  <c r="AC7089" i="30"/>
  <c r="AD7089" i="30" s="1"/>
  <c r="AC7090" i="30"/>
  <c r="AD7090" i="30" s="1"/>
  <c r="AC7091" i="30"/>
  <c r="AD7091" i="30" s="1"/>
  <c r="AC7092" i="30"/>
  <c r="AD7092" i="30" s="1"/>
  <c r="AC7093" i="30"/>
  <c r="AD7093" i="30" s="1"/>
  <c r="AC7094" i="30"/>
  <c r="AD7094" i="30" s="1"/>
  <c r="AC7095" i="30"/>
  <c r="AD7095" i="30" s="1"/>
  <c r="AC7096" i="30"/>
  <c r="AD7096" i="30" s="1"/>
  <c r="AC7097" i="30"/>
  <c r="AD7097" i="30" s="1"/>
  <c r="AC7098" i="30"/>
  <c r="AD7098" i="30" s="1"/>
  <c r="AC7099" i="30"/>
  <c r="AD7099" i="30" s="1"/>
  <c r="AC7100" i="30"/>
  <c r="AD7100" i="30" s="1"/>
  <c r="AC7101" i="30"/>
  <c r="AD7101" i="30" s="1"/>
  <c r="AC7102" i="30"/>
  <c r="AD7102" i="30" s="1"/>
  <c r="AC7103" i="30"/>
  <c r="AD7103" i="30" s="1"/>
  <c r="AC7104" i="30"/>
  <c r="AD7104" i="30" s="1"/>
  <c r="AC7105" i="30"/>
  <c r="AD7105" i="30" s="1"/>
  <c r="AC7106" i="30"/>
  <c r="AD7106" i="30" s="1"/>
  <c r="AC7107" i="30"/>
  <c r="AD7107" i="30" s="1"/>
  <c r="AC7108" i="30"/>
  <c r="AD7108" i="30" s="1"/>
  <c r="AC7109" i="30"/>
  <c r="AD7109" i="30" s="1"/>
  <c r="AC7110" i="30"/>
  <c r="AD7110" i="30" s="1"/>
  <c r="AC7111" i="30"/>
  <c r="AD7111" i="30" s="1"/>
  <c r="AC7112" i="30"/>
  <c r="AD7112" i="30" s="1"/>
  <c r="AC7113" i="30"/>
  <c r="AD7113" i="30" s="1"/>
  <c r="AC7114" i="30"/>
  <c r="AD7114" i="30" s="1"/>
  <c r="AC7115" i="30"/>
  <c r="AD7115" i="30" s="1"/>
  <c r="AC7116" i="30"/>
  <c r="AD7116" i="30" s="1"/>
  <c r="AC7117" i="30"/>
  <c r="AD7117" i="30" s="1"/>
  <c r="AC7118" i="30"/>
  <c r="AD7118" i="30" s="1"/>
  <c r="AC7119" i="30"/>
  <c r="AD7119" i="30" s="1"/>
  <c r="AC7120" i="30"/>
  <c r="AD7120" i="30" s="1"/>
  <c r="AC7121" i="30"/>
  <c r="AD7121" i="30" s="1"/>
  <c r="AC7122" i="30"/>
  <c r="AD7122" i="30" s="1"/>
  <c r="AC7123" i="30"/>
  <c r="AD7123" i="30" s="1"/>
  <c r="AC7124" i="30"/>
  <c r="AD7124" i="30" s="1"/>
  <c r="AC7125" i="30"/>
  <c r="AD7125" i="30" s="1"/>
  <c r="AC7126" i="30"/>
  <c r="AD7126" i="30" s="1"/>
  <c r="AC7127" i="30"/>
  <c r="AD7127" i="30" s="1"/>
  <c r="AC7128" i="30"/>
  <c r="AD7128" i="30" s="1"/>
  <c r="AC7129" i="30"/>
  <c r="AD7129" i="30" s="1"/>
  <c r="AC7130" i="30"/>
  <c r="AD7130" i="30" s="1"/>
  <c r="AC7131" i="30"/>
  <c r="AD7131" i="30" s="1"/>
  <c r="AC7132" i="30"/>
  <c r="AD7132" i="30" s="1"/>
  <c r="AC7133" i="30"/>
  <c r="AD7133" i="30" s="1"/>
  <c r="AC7134" i="30"/>
  <c r="AD7134" i="30" s="1"/>
  <c r="AC7135" i="30"/>
  <c r="AD7135" i="30" s="1"/>
  <c r="AC7136" i="30"/>
  <c r="AD7136" i="30" s="1"/>
  <c r="AC7137" i="30"/>
  <c r="AD7137" i="30" s="1"/>
  <c r="AC7138" i="30"/>
  <c r="AD7138" i="30" s="1"/>
  <c r="AC7139" i="30"/>
  <c r="AD7139" i="30" s="1"/>
  <c r="AC7140" i="30"/>
  <c r="AD7140" i="30" s="1"/>
  <c r="AC7141" i="30"/>
  <c r="AD7141" i="30" s="1"/>
  <c r="AC7142" i="30"/>
  <c r="AD7142" i="30" s="1"/>
  <c r="AC7143" i="30"/>
  <c r="AD7143" i="30" s="1"/>
  <c r="AC7144" i="30"/>
  <c r="AD7144" i="30" s="1"/>
  <c r="AC7145" i="30"/>
  <c r="AD7145" i="30" s="1"/>
  <c r="AC7146" i="30"/>
  <c r="AD7146" i="30" s="1"/>
  <c r="AC7147" i="30"/>
  <c r="AD7147" i="30" s="1"/>
  <c r="AC7148" i="30"/>
  <c r="AD7148" i="30" s="1"/>
  <c r="AC7149" i="30"/>
  <c r="AD7149" i="30" s="1"/>
  <c r="AC7150" i="30"/>
  <c r="AD7150" i="30" s="1"/>
  <c r="AC7151" i="30"/>
  <c r="AD7151" i="30" s="1"/>
  <c r="AC7152" i="30"/>
  <c r="AD7152" i="30" s="1"/>
  <c r="AC7153" i="30"/>
  <c r="AD7153" i="30" s="1"/>
  <c r="AC7154" i="30"/>
  <c r="AD7154" i="30" s="1"/>
  <c r="AC7155" i="30"/>
  <c r="AD7155" i="30" s="1"/>
  <c r="AC7156" i="30"/>
  <c r="AD7156" i="30" s="1"/>
  <c r="AC7157" i="30"/>
  <c r="AD7157" i="30" s="1"/>
  <c r="AC7158" i="30"/>
  <c r="AD7158" i="30" s="1"/>
  <c r="AC7159" i="30"/>
  <c r="AD7159" i="30" s="1"/>
  <c r="AC7160" i="30"/>
  <c r="AD7160" i="30" s="1"/>
  <c r="AC7161" i="30"/>
  <c r="AD7161" i="30" s="1"/>
  <c r="AC7162" i="30"/>
  <c r="AD7162" i="30" s="1"/>
  <c r="AC7163" i="30"/>
  <c r="AD7163" i="30" s="1"/>
  <c r="AC7164" i="30"/>
  <c r="AD7164" i="30" s="1"/>
  <c r="AC7165" i="30"/>
  <c r="AD7165" i="30" s="1"/>
  <c r="AC7166" i="30"/>
  <c r="AD7166" i="30" s="1"/>
  <c r="AC7167" i="30"/>
  <c r="AD7167" i="30" s="1"/>
  <c r="AC7168" i="30"/>
  <c r="AD7168" i="30" s="1"/>
  <c r="AC7169" i="30"/>
  <c r="AD7169" i="30" s="1"/>
  <c r="AC7170" i="30"/>
  <c r="AD7170" i="30" s="1"/>
  <c r="AC7171" i="30"/>
  <c r="AD7171" i="30" s="1"/>
  <c r="AC7172" i="30"/>
  <c r="AD7172" i="30" s="1"/>
  <c r="AC7173" i="30"/>
  <c r="AD7173" i="30" s="1"/>
  <c r="AC7174" i="30"/>
  <c r="AD7174" i="30" s="1"/>
  <c r="AC7175" i="30"/>
  <c r="AD7175" i="30" s="1"/>
  <c r="AC7176" i="30"/>
  <c r="AD7176" i="30" s="1"/>
  <c r="AC7177" i="30"/>
  <c r="AD7177" i="30" s="1"/>
  <c r="AC7178" i="30"/>
  <c r="AD7178" i="30" s="1"/>
  <c r="AC7179" i="30"/>
  <c r="AD7179" i="30" s="1"/>
  <c r="AC7180" i="30"/>
  <c r="AD7180" i="30" s="1"/>
  <c r="AC7181" i="30"/>
  <c r="AD7181" i="30" s="1"/>
  <c r="AC7182" i="30"/>
  <c r="AD7182" i="30" s="1"/>
  <c r="AC7183" i="30"/>
  <c r="AD7183" i="30" s="1"/>
  <c r="AC7184" i="30"/>
  <c r="AD7184" i="30" s="1"/>
  <c r="AC7185" i="30"/>
  <c r="AD7185" i="30" s="1"/>
  <c r="AC7186" i="30"/>
  <c r="AD7186" i="30" s="1"/>
  <c r="AC7187" i="30"/>
  <c r="AD7187" i="30" s="1"/>
  <c r="AC7188" i="30"/>
  <c r="AD7188" i="30" s="1"/>
  <c r="AC7189" i="30"/>
  <c r="AD7189" i="30" s="1"/>
  <c r="AC7190" i="30"/>
  <c r="AD7190" i="30" s="1"/>
  <c r="AC7191" i="30"/>
  <c r="AD7191" i="30" s="1"/>
  <c r="AC7192" i="30"/>
  <c r="AD7192" i="30" s="1"/>
  <c r="AC7193" i="30"/>
  <c r="AD7193" i="30" s="1"/>
  <c r="AC7194" i="30"/>
  <c r="AD7194" i="30" s="1"/>
  <c r="AC7195" i="30"/>
  <c r="AD7195" i="30" s="1"/>
  <c r="AC7196" i="30"/>
  <c r="AD7196" i="30" s="1"/>
  <c r="AC7197" i="30"/>
  <c r="AD7197" i="30" s="1"/>
  <c r="AC7198" i="30"/>
  <c r="AD7198" i="30" s="1"/>
  <c r="AC7199" i="30"/>
  <c r="AD7199" i="30" s="1"/>
  <c r="AC7200" i="30"/>
  <c r="AD7200" i="30" s="1"/>
  <c r="AC7201" i="30"/>
  <c r="AD7201" i="30" s="1"/>
  <c r="AC7202" i="30"/>
  <c r="AD7202" i="30" s="1"/>
  <c r="AC7203" i="30"/>
  <c r="AD7203" i="30" s="1"/>
  <c r="AC7204" i="30"/>
  <c r="AD7204" i="30" s="1"/>
  <c r="AC7205" i="30"/>
  <c r="AD7205" i="30" s="1"/>
  <c r="AC7206" i="30"/>
  <c r="AD7206" i="30" s="1"/>
  <c r="AC7207" i="30"/>
  <c r="AD7207" i="30" s="1"/>
  <c r="AC7208" i="30"/>
  <c r="AD7208" i="30" s="1"/>
  <c r="AC7209" i="30"/>
  <c r="AD7209" i="30" s="1"/>
  <c r="AC7210" i="30"/>
  <c r="AD7210" i="30" s="1"/>
  <c r="AC7211" i="30"/>
  <c r="AD7211" i="30" s="1"/>
  <c r="AC7212" i="30"/>
  <c r="AD7212" i="30" s="1"/>
  <c r="AC7213" i="30"/>
  <c r="AD7213" i="30" s="1"/>
  <c r="AC7214" i="30"/>
  <c r="AD7214" i="30" s="1"/>
  <c r="AC7215" i="30"/>
  <c r="AD7215" i="30" s="1"/>
  <c r="AC7216" i="30"/>
  <c r="AD7216" i="30" s="1"/>
  <c r="AC7217" i="30"/>
  <c r="AD7217" i="30" s="1"/>
  <c r="AC7218" i="30"/>
  <c r="AD7218" i="30" s="1"/>
  <c r="AC7219" i="30"/>
  <c r="AD7219" i="30" s="1"/>
  <c r="AC7220" i="30"/>
  <c r="AD7220" i="30" s="1"/>
  <c r="AC7221" i="30"/>
  <c r="AD7221" i="30" s="1"/>
  <c r="AC7222" i="30"/>
  <c r="AD7222" i="30" s="1"/>
  <c r="AC7223" i="30"/>
  <c r="AD7223" i="30" s="1"/>
  <c r="AC7224" i="30"/>
  <c r="AD7224" i="30" s="1"/>
  <c r="AC7225" i="30"/>
  <c r="AD7225" i="30" s="1"/>
  <c r="AC7226" i="30"/>
  <c r="AD7226" i="30" s="1"/>
  <c r="AC7227" i="30"/>
  <c r="AD7227" i="30" s="1"/>
  <c r="AC7228" i="30"/>
  <c r="AD7228" i="30" s="1"/>
  <c r="AC7229" i="30"/>
  <c r="AD7229" i="30" s="1"/>
  <c r="AC7230" i="30"/>
  <c r="AD7230" i="30" s="1"/>
  <c r="AC7231" i="30"/>
  <c r="AD7231" i="30" s="1"/>
  <c r="AC7232" i="30"/>
  <c r="AD7232" i="30" s="1"/>
  <c r="AC7233" i="30"/>
  <c r="AD7233" i="30" s="1"/>
  <c r="AC7234" i="30"/>
  <c r="AD7234" i="30" s="1"/>
  <c r="AC7235" i="30"/>
  <c r="AD7235" i="30" s="1"/>
  <c r="AC7236" i="30"/>
  <c r="AD7236" i="30" s="1"/>
  <c r="AC7237" i="30"/>
  <c r="AD7237" i="30" s="1"/>
  <c r="AC7238" i="30"/>
  <c r="AD7238" i="30" s="1"/>
  <c r="AC7239" i="30"/>
  <c r="AD7239" i="30" s="1"/>
  <c r="AC7240" i="30"/>
  <c r="AD7240" i="30" s="1"/>
  <c r="AC7241" i="30"/>
  <c r="AD7241" i="30" s="1"/>
  <c r="AC7242" i="30"/>
  <c r="AD7242" i="30" s="1"/>
  <c r="AC7243" i="30"/>
  <c r="AD7243" i="30" s="1"/>
  <c r="AC7244" i="30"/>
  <c r="AD7244" i="30" s="1"/>
  <c r="AC7245" i="30"/>
  <c r="AD7245" i="30" s="1"/>
  <c r="AC7246" i="30"/>
  <c r="AD7246" i="30" s="1"/>
  <c r="AC7247" i="30"/>
  <c r="AD7247" i="30" s="1"/>
  <c r="AC7248" i="30"/>
  <c r="AD7248" i="30" s="1"/>
  <c r="AC7249" i="30"/>
  <c r="AD7249" i="30" s="1"/>
  <c r="AC7250" i="30"/>
  <c r="AD7250" i="30" s="1"/>
  <c r="AC7251" i="30"/>
  <c r="AD7251" i="30" s="1"/>
  <c r="AC7252" i="30"/>
  <c r="AD7252" i="30" s="1"/>
  <c r="AC7253" i="30"/>
  <c r="AD7253" i="30" s="1"/>
  <c r="AC7254" i="30"/>
  <c r="AD7254" i="30" s="1"/>
  <c r="AC7255" i="30"/>
  <c r="AD7255" i="30" s="1"/>
  <c r="AC7256" i="30"/>
  <c r="AD7256" i="30" s="1"/>
  <c r="AC7257" i="30"/>
  <c r="AD7257" i="30" s="1"/>
  <c r="AC7258" i="30"/>
  <c r="AD7258" i="30" s="1"/>
  <c r="AC7259" i="30"/>
  <c r="AD7259" i="30" s="1"/>
  <c r="AC7260" i="30"/>
  <c r="AD7260" i="30" s="1"/>
  <c r="AC7261" i="30"/>
  <c r="AD7261" i="30" s="1"/>
  <c r="AC7262" i="30"/>
  <c r="AD7262" i="30" s="1"/>
  <c r="AC7263" i="30"/>
  <c r="AD7263" i="30" s="1"/>
  <c r="AC7264" i="30"/>
  <c r="AD7264" i="30" s="1"/>
  <c r="AC7265" i="30"/>
  <c r="AD7265" i="30" s="1"/>
  <c r="AC7266" i="30"/>
  <c r="AD7266" i="30" s="1"/>
  <c r="AC7267" i="30"/>
  <c r="AD7267" i="30" s="1"/>
  <c r="AC7268" i="30"/>
  <c r="AD7268" i="30" s="1"/>
  <c r="AC7269" i="30"/>
  <c r="AD7269" i="30" s="1"/>
  <c r="AC7270" i="30"/>
  <c r="AD7270" i="30" s="1"/>
  <c r="AC7271" i="30"/>
  <c r="AD7271" i="30" s="1"/>
  <c r="AC7272" i="30"/>
  <c r="AD7272" i="30" s="1"/>
  <c r="AC7273" i="30"/>
  <c r="AD7273" i="30" s="1"/>
  <c r="AC7274" i="30"/>
  <c r="AD7274" i="30" s="1"/>
  <c r="AC7275" i="30"/>
  <c r="AD7275" i="30" s="1"/>
  <c r="AC7276" i="30"/>
  <c r="AD7276" i="30" s="1"/>
  <c r="AC7277" i="30"/>
  <c r="AD7277" i="30" s="1"/>
  <c r="AC7278" i="30"/>
  <c r="AD7278" i="30" s="1"/>
  <c r="AC7279" i="30"/>
  <c r="AD7279" i="30" s="1"/>
  <c r="AC7280" i="30"/>
  <c r="AD7280" i="30" s="1"/>
  <c r="AC7281" i="30"/>
  <c r="AD7281" i="30" s="1"/>
  <c r="AC7282" i="30"/>
  <c r="AD7282" i="30" s="1"/>
  <c r="AC7283" i="30"/>
  <c r="AD7283" i="30" s="1"/>
  <c r="AC7284" i="30"/>
  <c r="AD7284" i="30" s="1"/>
  <c r="AC7285" i="30"/>
  <c r="AD7285" i="30" s="1"/>
  <c r="AC7286" i="30"/>
  <c r="AD7286" i="30" s="1"/>
  <c r="AC7287" i="30"/>
  <c r="AD7287" i="30" s="1"/>
  <c r="AC7288" i="30"/>
  <c r="AD7288" i="30" s="1"/>
  <c r="AC7289" i="30"/>
  <c r="AD7289" i="30" s="1"/>
  <c r="AC7290" i="30"/>
  <c r="AD7290" i="30" s="1"/>
  <c r="AC7291" i="30"/>
  <c r="AD7291" i="30" s="1"/>
  <c r="AC7292" i="30"/>
  <c r="AD7292" i="30" s="1"/>
  <c r="AC7293" i="30"/>
  <c r="AD7293" i="30" s="1"/>
  <c r="AC7294" i="30"/>
  <c r="AD7294" i="30" s="1"/>
  <c r="AC7295" i="30"/>
  <c r="AD7295" i="30" s="1"/>
  <c r="AC7296" i="30"/>
  <c r="AD7296" i="30" s="1"/>
  <c r="AC7297" i="30"/>
  <c r="AD7297" i="30" s="1"/>
  <c r="AC7298" i="30"/>
  <c r="AD7298" i="30" s="1"/>
  <c r="AC7299" i="30"/>
  <c r="AD7299" i="30" s="1"/>
  <c r="AC7300" i="30"/>
  <c r="AD7300" i="30" s="1"/>
  <c r="AC7301" i="30"/>
  <c r="AD7301" i="30" s="1"/>
  <c r="AC7302" i="30"/>
  <c r="AD7302" i="30" s="1"/>
  <c r="AC7303" i="30"/>
  <c r="AD7303" i="30" s="1"/>
  <c r="AC7304" i="30"/>
  <c r="AD7304" i="30" s="1"/>
  <c r="AC7305" i="30"/>
  <c r="AD7305" i="30" s="1"/>
  <c r="AC7306" i="30"/>
  <c r="AD7306" i="30" s="1"/>
  <c r="AC7307" i="30"/>
  <c r="AD7307" i="30" s="1"/>
  <c r="AC7308" i="30"/>
  <c r="AD7308" i="30" s="1"/>
  <c r="AC7309" i="30"/>
  <c r="AD7309" i="30" s="1"/>
  <c r="AC7310" i="30"/>
  <c r="AD7310" i="30" s="1"/>
  <c r="AC7311" i="30"/>
  <c r="AD7311" i="30" s="1"/>
  <c r="AC7312" i="30"/>
  <c r="AD7312" i="30" s="1"/>
  <c r="AC7313" i="30"/>
  <c r="AD7313" i="30" s="1"/>
  <c r="AC7314" i="30"/>
  <c r="AD7314" i="30" s="1"/>
  <c r="AC7315" i="30"/>
  <c r="AD7315" i="30" s="1"/>
  <c r="AC7316" i="30"/>
  <c r="AD7316" i="30" s="1"/>
  <c r="AC7317" i="30"/>
  <c r="AD7317" i="30" s="1"/>
  <c r="AC7318" i="30"/>
  <c r="AD7318" i="30" s="1"/>
  <c r="AC7319" i="30"/>
  <c r="AD7319" i="30" s="1"/>
  <c r="AC7320" i="30"/>
  <c r="AD7320" i="30" s="1"/>
  <c r="AC7321" i="30"/>
  <c r="AD7321" i="30" s="1"/>
  <c r="AC7322" i="30"/>
  <c r="AD7322" i="30" s="1"/>
  <c r="AC7323" i="30"/>
  <c r="AD7323" i="30" s="1"/>
  <c r="AC7324" i="30"/>
  <c r="AD7324" i="30" s="1"/>
  <c r="AC7325" i="30"/>
  <c r="AD7325" i="30" s="1"/>
  <c r="AC7326" i="30"/>
  <c r="AD7326" i="30" s="1"/>
  <c r="AC7327" i="30"/>
  <c r="AD7327" i="30" s="1"/>
  <c r="AC7328" i="30"/>
  <c r="AD7328" i="30" s="1"/>
  <c r="AC7329" i="30"/>
  <c r="AD7329" i="30" s="1"/>
  <c r="AC7330" i="30"/>
  <c r="AD7330" i="30" s="1"/>
  <c r="AC7331" i="30"/>
  <c r="AD7331" i="30" s="1"/>
  <c r="AC7332" i="30"/>
  <c r="AD7332" i="30" s="1"/>
  <c r="AC7333" i="30"/>
  <c r="AD7333" i="30" s="1"/>
  <c r="AC7334" i="30"/>
  <c r="AD7334" i="30" s="1"/>
  <c r="AC7335" i="30"/>
  <c r="AD7335" i="30" s="1"/>
  <c r="AC7336" i="30"/>
  <c r="AD7336" i="30" s="1"/>
  <c r="AC7337" i="30"/>
  <c r="AD7337" i="30" s="1"/>
  <c r="AC7338" i="30"/>
  <c r="AD7338" i="30" s="1"/>
  <c r="AC7339" i="30"/>
  <c r="AD7339" i="30" s="1"/>
  <c r="AC7340" i="30"/>
  <c r="AD7340" i="30" s="1"/>
  <c r="AC7341" i="30"/>
  <c r="AD7341" i="30" s="1"/>
  <c r="AC7342" i="30"/>
  <c r="AD7342" i="30" s="1"/>
  <c r="AC7343" i="30"/>
  <c r="AD7343" i="30" s="1"/>
  <c r="AC7344" i="30"/>
  <c r="AD7344" i="30" s="1"/>
  <c r="AC7345" i="30"/>
  <c r="AD7345" i="30" s="1"/>
  <c r="AC7346" i="30"/>
  <c r="AD7346" i="30" s="1"/>
  <c r="AC7347" i="30"/>
  <c r="AD7347" i="30" s="1"/>
  <c r="AC7348" i="30"/>
  <c r="AD7348" i="30" s="1"/>
  <c r="AC7349" i="30"/>
  <c r="AD7349" i="30" s="1"/>
  <c r="AC7350" i="30"/>
  <c r="AD7350" i="30" s="1"/>
  <c r="AC7351" i="30"/>
  <c r="AD7351" i="30" s="1"/>
  <c r="AC7352" i="30"/>
  <c r="AD7352" i="30" s="1"/>
  <c r="AC7353" i="30"/>
  <c r="AD7353" i="30" s="1"/>
  <c r="AC7354" i="30"/>
  <c r="AD7354" i="30" s="1"/>
  <c r="AC7355" i="30"/>
  <c r="AD7355" i="30" s="1"/>
  <c r="AC7356" i="30"/>
  <c r="AD7356" i="30" s="1"/>
  <c r="AC7357" i="30"/>
  <c r="AD7357" i="30" s="1"/>
  <c r="AC7358" i="30"/>
  <c r="AD7358" i="30" s="1"/>
  <c r="AC7359" i="30"/>
  <c r="AD7359" i="30" s="1"/>
  <c r="AC7360" i="30"/>
  <c r="AD7360" i="30" s="1"/>
  <c r="AC7361" i="30"/>
  <c r="AD7361" i="30" s="1"/>
  <c r="AC7362" i="30"/>
  <c r="AD7362" i="30" s="1"/>
  <c r="AC7363" i="30"/>
  <c r="AD7363" i="30" s="1"/>
  <c r="AC7364" i="30"/>
  <c r="AD7364" i="30" s="1"/>
  <c r="AC7365" i="30"/>
  <c r="AD7365" i="30" s="1"/>
  <c r="AC7366" i="30"/>
  <c r="AD7366" i="30" s="1"/>
  <c r="AC7367" i="30"/>
  <c r="AD7367" i="30" s="1"/>
  <c r="AC7368" i="30"/>
  <c r="AD7368" i="30" s="1"/>
  <c r="AC7369" i="30"/>
  <c r="AD7369" i="30" s="1"/>
  <c r="AC7370" i="30"/>
  <c r="AD7370" i="30" s="1"/>
  <c r="AC7371" i="30"/>
  <c r="AD7371" i="30" s="1"/>
  <c r="AC7372" i="30"/>
  <c r="AD7372" i="30" s="1"/>
  <c r="AC7373" i="30"/>
  <c r="AD7373" i="30" s="1"/>
  <c r="AC7374" i="30"/>
  <c r="AD7374" i="30" s="1"/>
  <c r="AC7375" i="30"/>
  <c r="AD7375" i="30" s="1"/>
  <c r="AC7376" i="30"/>
  <c r="AD7376" i="30" s="1"/>
  <c r="AC7377" i="30"/>
  <c r="AD7377" i="30" s="1"/>
  <c r="AC7378" i="30"/>
  <c r="AD7378" i="30" s="1"/>
  <c r="AC7379" i="30"/>
  <c r="AD7379" i="30" s="1"/>
  <c r="AC7380" i="30"/>
  <c r="AD7380" i="30" s="1"/>
  <c r="AC7381" i="30"/>
  <c r="AD7381" i="30" s="1"/>
  <c r="AC7382" i="30"/>
  <c r="AD7382" i="30" s="1"/>
  <c r="AC7383" i="30"/>
  <c r="AD7383" i="30" s="1"/>
  <c r="AC7384" i="30"/>
  <c r="AD7384" i="30" s="1"/>
  <c r="AC7385" i="30"/>
  <c r="AD7385" i="30" s="1"/>
  <c r="AC7386" i="30"/>
  <c r="AD7386" i="30" s="1"/>
  <c r="AC7387" i="30"/>
  <c r="AD7387" i="30" s="1"/>
  <c r="AC7388" i="30"/>
  <c r="AD7388" i="30" s="1"/>
  <c r="AC7389" i="30"/>
  <c r="AD7389" i="30" s="1"/>
  <c r="AC7390" i="30"/>
  <c r="AD7390" i="30" s="1"/>
  <c r="AC7391" i="30"/>
  <c r="AD7391" i="30" s="1"/>
  <c r="AC7392" i="30"/>
  <c r="AD7392" i="30" s="1"/>
  <c r="AC7393" i="30"/>
  <c r="AD7393" i="30" s="1"/>
  <c r="AC7394" i="30"/>
  <c r="AD7394" i="30" s="1"/>
  <c r="AC7395" i="30"/>
  <c r="AD7395" i="30" s="1"/>
  <c r="AC7396" i="30"/>
  <c r="AD7396" i="30" s="1"/>
  <c r="AC7397" i="30"/>
  <c r="AD7397" i="30" s="1"/>
  <c r="AC7398" i="30"/>
  <c r="AD7398" i="30" s="1"/>
  <c r="AC7399" i="30"/>
  <c r="AD7399" i="30" s="1"/>
  <c r="AC7400" i="30"/>
  <c r="AD7400" i="30" s="1"/>
  <c r="AC7401" i="30"/>
  <c r="AD7401" i="30" s="1"/>
  <c r="AC7402" i="30"/>
  <c r="AD7402" i="30" s="1"/>
  <c r="AC7403" i="30"/>
  <c r="AD7403" i="30" s="1"/>
  <c r="AC7404" i="30"/>
  <c r="AD7404" i="30" s="1"/>
  <c r="AC7405" i="30"/>
  <c r="AD7405" i="30" s="1"/>
  <c r="AC7406" i="30"/>
  <c r="AD7406" i="30" s="1"/>
  <c r="AC7407" i="30"/>
  <c r="AD7407" i="30" s="1"/>
  <c r="AC7408" i="30"/>
  <c r="AD7408" i="30" s="1"/>
  <c r="AC7409" i="30"/>
  <c r="AD7409" i="30" s="1"/>
  <c r="AC7410" i="30"/>
  <c r="AD7410" i="30" s="1"/>
  <c r="AC7411" i="30"/>
  <c r="AD7411" i="30" s="1"/>
  <c r="AC7412" i="30"/>
  <c r="AD7412" i="30" s="1"/>
  <c r="AC7413" i="30"/>
  <c r="AD7413" i="30" s="1"/>
  <c r="AC7414" i="30"/>
  <c r="AD7414" i="30" s="1"/>
  <c r="AC7415" i="30"/>
  <c r="AD7415" i="30" s="1"/>
  <c r="AC7416" i="30"/>
  <c r="AD7416" i="30" s="1"/>
  <c r="AC7417" i="30"/>
  <c r="AD7417" i="30" s="1"/>
  <c r="AC7418" i="30"/>
  <c r="AD7418" i="30" s="1"/>
  <c r="AC7419" i="30"/>
  <c r="AD7419" i="30" s="1"/>
  <c r="AC7420" i="30"/>
  <c r="AD7420" i="30" s="1"/>
  <c r="AC7421" i="30"/>
  <c r="AD7421" i="30" s="1"/>
  <c r="AC7422" i="30"/>
  <c r="AD7422" i="30" s="1"/>
  <c r="AC7423" i="30"/>
  <c r="AD7423" i="30" s="1"/>
  <c r="AC7424" i="30"/>
  <c r="AD7424" i="30" s="1"/>
  <c r="AC7425" i="30"/>
  <c r="AD7425" i="30" s="1"/>
  <c r="AC7426" i="30"/>
  <c r="AD7426" i="30" s="1"/>
  <c r="AC7427" i="30"/>
  <c r="AD7427" i="30" s="1"/>
  <c r="AC7428" i="30"/>
  <c r="AD7428" i="30" s="1"/>
  <c r="AC7429" i="30"/>
  <c r="AD7429" i="30" s="1"/>
  <c r="AC7430" i="30"/>
  <c r="AD7430" i="30" s="1"/>
  <c r="AC7431" i="30"/>
  <c r="AD7431" i="30" s="1"/>
  <c r="AC7432" i="30"/>
  <c r="AD7432" i="30" s="1"/>
  <c r="AC7433" i="30"/>
  <c r="AD7433" i="30" s="1"/>
  <c r="AC7434" i="30"/>
  <c r="AD7434" i="30" s="1"/>
  <c r="AC7435" i="30"/>
  <c r="AD7435" i="30" s="1"/>
  <c r="AC7436" i="30"/>
  <c r="AD7436" i="30" s="1"/>
  <c r="AC7437" i="30"/>
  <c r="AD7437" i="30" s="1"/>
  <c r="AC7438" i="30"/>
  <c r="AD7438" i="30" s="1"/>
  <c r="AC7439" i="30"/>
  <c r="AD7439" i="30" s="1"/>
  <c r="AC7440" i="30"/>
  <c r="AD7440" i="30" s="1"/>
  <c r="AC7441" i="30"/>
  <c r="AD7441" i="30" s="1"/>
  <c r="AC7442" i="30"/>
  <c r="AD7442" i="30" s="1"/>
  <c r="AC7443" i="30"/>
  <c r="AD7443" i="30" s="1"/>
  <c r="AC7444" i="30"/>
  <c r="AD7444" i="30" s="1"/>
  <c r="AC7445" i="30"/>
  <c r="AD7445" i="30" s="1"/>
  <c r="AC7446" i="30"/>
  <c r="AD7446" i="30" s="1"/>
  <c r="AC7447" i="30"/>
  <c r="AD7447" i="30" s="1"/>
  <c r="AC7448" i="30"/>
  <c r="AD7448" i="30" s="1"/>
  <c r="AC7449" i="30"/>
  <c r="AD7449" i="30" s="1"/>
  <c r="AC7450" i="30"/>
  <c r="AD7450" i="30" s="1"/>
  <c r="AC7451" i="30"/>
  <c r="AD7451" i="30" s="1"/>
  <c r="AC7452" i="30"/>
  <c r="AD7452" i="30" s="1"/>
  <c r="AC7453" i="30"/>
  <c r="AD7453" i="30" s="1"/>
  <c r="AC7454" i="30"/>
  <c r="AD7454" i="30" s="1"/>
  <c r="AC7455" i="30"/>
  <c r="AD7455" i="30" s="1"/>
  <c r="AC7456" i="30"/>
  <c r="AD7456" i="30" s="1"/>
  <c r="AC7457" i="30"/>
  <c r="AD7457" i="30" s="1"/>
  <c r="AC7458" i="30"/>
  <c r="AD7458" i="30" s="1"/>
  <c r="AC7459" i="30"/>
  <c r="AD7459" i="30" s="1"/>
  <c r="AC7460" i="30"/>
  <c r="AD7460" i="30" s="1"/>
  <c r="AC7461" i="30"/>
  <c r="AD7461" i="30" s="1"/>
  <c r="AC7462" i="30"/>
  <c r="AD7462" i="30" s="1"/>
  <c r="AC7463" i="30"/>
  <c r="AD7463" i="30" s="1"/>
  <c r="AC7464" i="30"/>
  <c r="AD7464" i="30" s="1"/>
  <c r="AC7465" i="30"/>
  <c r="AD7465" i="30" s="1"/>
  <c r="AC7466" i="30"/>
  <c r="AD7466" i="30" s="1"/>
  <c r="AC7467" i="30"/>
  <c r="AD7467" i="30" s="1"/>
  <c r="AC7468" i="30"/>
  <c r="AD7468" i="30" s="1"/>
  <c r="AC7469" i="30"/>
  <c r="AD7469" i="30" s="1"/>
  <c r="AC7470" i="30"/>
  <c r="AD7470" i="30" s="1"/>
  <c r="AC7471" i="30"/>
  <c r="AD7471" i="30" s="1"/>
  <c r="AC7472" i="30"/>
  <c r="AD7472" i="30" s="1"/>
  <c r="AC7473" i="30"/>
  <c r="AD7473" i="30" s="1"/>
  <c r="AC7474" i="30"/>
  <c r="AD7474" i="30" s="1"/>
  <c r="AC7475" i="30"/>
  <c r="AD7475" i="30" s="1"/>
  <c r="AC7476" i="30"/>
  <c r="AD7476" i="30" s="1"/>
  <c r="AC7477" i="30"/>
  <c r="AD7477" i="30" s="1"/>
  <c r="AC7478" i="30"/>
  <c r="AD7478" i="30" s="1"/>
  <c r="AC7479" i="30"/>
  <c r="AD7479" i="30" s="1"/>
  <c r="AC7480" i="30"/>
  <c r="AD7480" i="30" s="1"/>
  <c r="AC7481" i="30"/>
  <c r="AD7481" i="30" s="1"/>
  <c r="AC7482" i="30"/>
  <c r="AD7482" i="30" s="1"/>
  <c r="AC7483" i="30"/>
  <c r="AD7483" i="30" s="1"/>
  <c r="AC7484" i="30"/>
  <c r="AD7484" i="30" s="1"/>
  <c r="AC7485" i="30"/>
  <c r="AD7485" i="30" s="1"/>
  <c r="AC7486" i="30"/>
  <c r="AD7486" i="30" s="1"/>
  <c r="AC7487" i="30"/>
  <c r="AD7487" i="30" s="1"/>
  <c r="AC7488" i="30"/>
  <c r="AD7488" i="30" s="1"/>
  <c r="AC7489" i="30"/>
  <c r="AD7489" i="30" s="1"/>
  <c r="AC7490" i="30"/>
  <c r="AD7490" i="30" s="1"/>
  <c r="AC7491" i="30"/>
  <c r="AD7491" i="30" s="1"/>
  <c r="AC7492" i="30"/>
  <c r="AD7492" i="30" s="1"/>
  <c r="AC7493" i="30"/>
  <c r="AD7493" i="30" s="1"/>
  <c r="AC7494" i="30"/>
  <c r="AD7494" i="30" s="1"/>
  <c r="AC7495" i="30"/>
  <c r="AD7495" i="30" s="1"/>
  <c r="AC7496" i="30"/>
  <c r="AD7496" i="30" s="1"/>
  <c r="AC7497" i="30"/>
  <c r="AD7497" i="30" s="1"/>
  <c r="AC7498" i="30"/>
  <c r="AD7498" i="30" s="1"/>
  <c r="AC7499" i="30"/>
  <c r="AD7499" i="30" s="1"/>
  <c r="AC7500" i="30"/>
  <c r="AD7500" i="30" s="1"/>
  <c r="AC7501" i="30"/>
  <c r="AD7501" i="30" s="1"/>
  <c r="AC7502" i="30"/>
  <c r="AD7502" i="30" s="1"/>
  <c r="AC7503" i="30"/>
  <c r="AD7503" i="30" s="1"/>
  <c r="AC7504" i="30"/>
  <c r="AD7504" i="30" s="1"/>
  <c r="AC7505" i="30"/>
  <c r="AD7505" i="30" s="1"/>
  <c r="AC7506" i="30"/>
  <c r="AD7506" i="30" s="1"/>
  <c r="AC7507" i="30"/>
  <c r="AD7507" i="30" s="1"/>
  <c r="AC7508" i="30"/>
  <c r="AD7508" i="30" s="1"/>
  <c r="AC7509" i="30"/>
  <c r="AD7509" i="30" s="1"/>
  <c r="AC7510" i="30"/>
  <c r="AD7510" i="30" s="1"/>
  <c r="AC7511" i="30"/>
  <c r="AD7511" i="30" s="1"/>
  <c r="AC7512" i="30"/>
  <c r="AD7512" i="30" s="1"/>
  <c r="AC7513" i="30"/>
  <c r="AD7513" i="30" s="1"/>
  <c r="AC7514" i="30"/>
  <c r="AD7514" i="30" s="1"/>
  <c r="AC7515" i="30"/>
  <c r="AD7515" i="30" s="1"/>
  <c r="AC7516" i="30"/>
  <c r="AD7516" i="30" s="1"/>
  <c r="AC7517" i="30"/>
  <c r="AD7517" i="30" s="1"/>
  <c r="AC7518" i="30"/>
  <c r="AD7518" i="30" s="1"/>
  <c r="AC7519" i="30"/>
  <c r="AD7519" i="30" s="1"/>
  <c r="AC7520" i="30"/>
  <c r="AD7520" i="30" s="1"/>
  <c r="AC7521" i="30"/>
  <c r="AD7521" i="30" s="1"/>
  <c r="AC7522" i="30"/>
  <c r="AD7522" i="30" s="1"/>
  <c r="AC7523" i="30"/>
  <c r="AD7523" i="30" s="1"/>
  <c r="AC7524" i="30"/>
  <c r="AD7524" i="30" s="1"/>
  <c r="AC7525" i="30"/>
  <c r="AD7525" i="30" s="1"/>
  <c r="AC7526" i="30"/>
  <c r="AD7526" i="30" s="1"/>
  <c r="AC7527" i="30"/>
  <c r="AD7527" i="30" s="1"/>
  <c r="AC7528" i="30"/>
  <c r="AD7528" i="30" s="1"/>
  <c r="AC7529" i="30"/>
  <c r="AD7529" i="30" s="1"/>
  <c r="AC7530" i="30"/>
  <c r="AD7530" i="30" s="1"/>
  <c r="AC7531" i="30"/>
  <c r="AD7531" i="30" s="1"/>
  <c r="AC7532" i="30"/>
  <c r="AD7532" i="30" s="1"/>
  <c r="AC7533" i="30"/>
  <c r="AD7533" i="30" s="1"/>
  <c r="AC7534" i="30"/>
  <c r="AD7534" i="30" s="1"/>
  <c r="AC7535" i="30"/>
  <c r="AD7535" i="30" s="1"/>
  <c r="AC7536" i="30"/>
  <c r="AD7536" i="30" s="1"/>
  <c r="AC7537" i="30"/>
  <c r="AD7537" i="30" s="1"/>
  <c r="AC7538" i="30"/>
  <c r="AD7538" i="30" s="1"/>
  <c r="AC7539" i="30"/>
  <c r="AD7539" i="30" s="1"/>
  <c r="AC7540" i="30"/>
  <c r="AD7540" i="30" s="1"/>
  <c r="AC7541" i="30"/>
  <c r="AD7541" i="30" s="1"/>
  <c r="AC7542" i="30"/>
  <c r="AD7542" i="30" s="1"/>
  <c r="AC7543" i="30"/>
  <c r="AD7543" i="30" s="1"/>
  <c r="AC7544" i="30"/>
  <c r="AD7544" i="30" s="1"/>
  <c r="AC7545" i="30"/>
  <c r="AD7545" i="30" s="1"/>
  <c r="AC7546" i="30"/>
  <c r="AD7546" i="30" s="1"/>
  <c r="AC7547" i="30"/>
  <c r="AD7547" i="30" s="1"/>
  <c r="AC7548" i="30"/>
  <c r="AD7548" i="30" s="1"/>
  <c r="AC7549" i="30"/>
  <c r="AD7549" i="30" s="1"/>
  <c r="AC7550" i="30"/>
  <c r="AD7550" i="30" s="1"/>
  <c r="AC7551" i="30"/>
  <c r="AD7551" i="30" s="1"/>
  <c r="AC7552" i="30"/>
  <c r="AD7552" i="30" s="1"/>
  <c r="AC7553" i="30"/>
  <c r="AD7553" i="30" s="1"/>
  <c r="AC7554" i="30"/>
  <c r="AD7554" i="30" s="1"/>
  <c r="AC7555" i="30"/>
  <c r="AD7555" i="30" s="1"/>
  <c r="AC7556" i="30"/>
  <c r="AD7556" i="30" s="1"/>
  <c r="AC7557" i="30"/>
  <c r="AD7557" i="30" s="1"/>
  <c r="AC7558" i="30"/>
  <c r="AD7558" i="30" s="1"/>
  <c r="AC7559" i="30"/>
  <c r="AD7559" i="30" s="1"/>
  <c r="AC7560" i="30"/>
  <c r="AD7560" i="30" s="1"/>
  <c r="AC7561" i="30"/>
  <c r="AD7561" i="30" s="1"/>
  <c r="AC7562" i="30"/>
  <c r="AD7562" i="30" s="1"/>
  <c r="AC7563" i="30"/>
  <c r="AD7563" i="30" s="1"/>
  <c r="AC7564" i="30"/>
  <c r="AD7564" i="30" s="1"/>
  <c r="AC7565" i="30"/>
  <c r="AD7565" i="30" s="1"/>
  <c r="AC7566" i="30"/>
  <c r="AD7566" i="30" s="1"/>
  <c r="AC7567" i="30"/>
  <c r="AD7567" i="30" s="1"/>
  <c r="AC7568" i="30"/>
  <c r="AD7568" i="30" s="1"/>
  <c r="AC7569" i="30"/>
  <c r="AD7569" i="30" s="1"/>
  <c r="AC7570" i="30"/>
  <c r="AD7570" i="30" s="1"/>
  <c r="AC7571" i="30"/>
  <c r="AD7571" i="30" s="1"/>
  <c r="AC7572" i="30"/>
  <c r="AD7572" i="30" s="1"/>
  <c r="AC7573" i="30"/>
  <c r="AD7573" i="30" s="1"/>
  <c r="AC7574" i="30"/>
  <c r="AD7574" i="30" s="1"/>
  <c r="AC7575" i="30"/>
  <c r="AD7575" i="30" s="1"/>
  <c r="AC7576" i="30"/>
  <c r="AD7576" i="30" s="1"/>
  <c r="AC7577" i="30"/>
  <c r="AD7577" i="30" s="1"/>
  <c r="AC7578" i="30"/>
  <c r="AD7578" i="30" s="1"/>
  <c r="AC7579" i="30"/>
  <c r="AD7579" i="30" s="1"/>
  <c r="AC7580" i="30"/>
  <c r="AD7580" i="30" s="1"/>
  <c r="AC7581" i="30"/>
  <c r="AD7581" i="30" s="1"/>
  <c r="AC7582" i="30"/>
  <c r="AD7582" i="30" s="1"/>
  <c r="AC7583" i="30"/>
  <c r="AD7583" i="30" s="1"/>
  <c r="AC7584" i="30"/>
  <c r="AD7584" i="30" s="1"/>
  <c r="AC7585" i="30"/>
  <c r="AD7585" i="30" s="1"/>
  <c r="AC7586" i="30"/>
  <c r="AD7586" i="30" s="1"/>
  <c r="AC7587" i="30"/>
  <c r="AD7587" i="30" s="1"/>
  <c r="AC7588" i="30"/>
  <c r="AD7588" i="30" s="1"/>
  <c r="AC7589" i="30"/>
  <c r="AD7589" i="30" s="1"/>
  <c r="AC7590" i="30"/>
  <c r="AD7590" i="30" s="1"/>
  <c r="AC7591" i="30"/>
  <c r="AD7591" i="30" s="1"/>
  <c r="AC7592" i="30"/>
  <c r="AD7592" i="30" s="1"/>
  <c r="AC7593" i="30"/>
  <c r="AD7593" i="30" s="1"/>
  <c r="AC7594" i="30"/>
  <c r="AD7594" i="30" s="1"/>
  <c r="AC7595" i="30"/>
  <c r="AD7595" i="30" s="1"/>
  <c r="AC7596" i="30"/>
  <c r="AD7596" i="30" s="1"/>
  <c r="AC7597" i="30"/>
  <c r="AD7597" i="30" s="1"/>
  <c r="AC7598" i="30"/>
  <c r="AD7598" i="30" s="1"/>
  <c r="AC7599" i="30"/>
  <c r="AD7599" i="30" s="1"/>
  <c r="AC7600" i="30"/>
  <c r="AD7600" i="30" s="1"/>
  <c r="AC7601" i="30"/>
  <c r="AD7601" i="30" s="1"/>
  <c r="AC7602" i="30"/>
  <c r="AD7602" i="30" s="1"/>
  <c r="AC7603" i="30"/>
  <c r="AD7603" i="30" s="1"/>
  <c r="AC7604" i="30"/>
  <c r="AD7604" i="30" s="1"/>
  <c r="AC7605" i="30"/>
  <c r="AD7605" i="30" s="1"/>
  <c r="AC7606" i="30"/>
  <c r="AD7606" i="30" s="1"/>
  <c r="AC7607" i="30"/>
  <c r="AD7607" i="30" s="1"/>
  <c r="AC7608" i="30"/>
  <c r="AD7608" i="30" s="1"/>
  <c r="AC7609" i="30"/>
  <c r="AD7609" i="30" s="1"/>
  <c r="AC7610" i="30"/>
  <c r="AD7610" i="30" s="1"/>
  <c r="AC7611" i="30"/>
  <c r="AD7611" i="30" s="1"/>
  <c r="AC7612" i="30"/>
  <c r="AD7612" i="30" s="1"/>
  <c r="AC7613" i="30"/>
  <c r="AD7613" i="30" s="1"/>
  <c r="AC7614" i="30"/>
  <c r="AD7614" i="30" s="1"/>
  <c r="AC7615" i="30"/>
  <c r="AD7615" i="30" s="1"/>
  <c r="AC7616" i="30"/>
  <c r="AD7616" i="30" s="1"/>
  <c r="AC7617" i="30"/>
  <c r="AD7617" i="30" s="1"/>
  <c r="AC7618" i="30"/>
  <c r="AD7618" i="30" s="1"/>
  <c r="AC7619" i="30"/>
  <c r="AD7619" i="30" s="1"/>
  <c r="AC7620" i="30"/>
  <c r="AD7620" i="30" s="1"/>
  <c r="AC7621" i="30"/>
  <c r="AD7621" i="30" s="1"/>
  <c r="AC7622" i="30"/>
  <c r="AD7622" i="30" s="1"/>
  <c r="AC7623" i="30"/>
  <c r="AD7623" i="30" s="1"/>
  <c r="AC7624" i="30"/>
  <c r="AD7624" i="30" s="1"/>
  <c r="AC7625" i="30"/>
  <c r="AD7625" i="30" s="1"/>
  <c r="AC7626" i="30"/>
  <c r="AD7626" i="30" s="1"/>
  <c r="AC7627" i="30"/>
  <c r="AD7627" i="30" s="1"/>
  <c r="AC7628" i="30"/>
  <c r="AD7628" i="30" s="1"/>
  <c r="AC7629" i="30"/>
  <c r="AD7629" i="30" s="1"/>
  <c r="AC7630" i="30"/>
  <c r="AD7630" i="30" s="1"/>
  <c r="AC7631" i="30"/>
  <c r="AD7631" i="30" s="1"/>
  <c r="AC7632" i="30"/>
  <c r="AD7632" i="30" s="1"/>
  <c r="AC7633" i="30"/>
  <c r="AD7633" i="30" s="1"/>
  <c r="AC7634" i="30"/>
  <c r="AD7634" i="30" s="1"/>
  <c r="AC7635" i="30"/>
  <c r="AD7635" i="30" s="1"/>
  <c r="AC7636" i="30"/>
  <c r="AD7636" i="30" s="1"/>
  <c r="AC7637" i="30"/>
  <c r="AD7637" i="30" s="1"/>
  <c r="AC7638" i="30"/>
  <c r="AD7638" i="30" s="1"/>
  <c r="AC7639" i="30"/>
  <c r="AD7639" i="30" s="1"/>
  <c r="AC7640" i="30"/>
  <c r="AD7640" i="30" s="1"/>
  <c r="AC7641" i="30"/>
  <c r="AD7641" i="30" s="1"/>
  <c r="AC7642" i="30"/>
  <c r="AD7642" i="30" s="1"/>
  <c r="AC7643" i="30"/>
  <c r="AD7643" i="30" s="1"/>
  <c r="AC7644" i="30"/>
  <c r="AD7644" i="30" s="1"/>
  <c r="AC7645" i="30"/>
  <c r="AD7645" i="30" s="1"/>
  <c r="AC7646" i="30"/>
  <c r="AD7646" i="30" s="1"/>
  <c r="AC7647" i="30"/>
  <c r="AD7647" i="30" s="1"/>
  <c r="AC7648" i="30"/>
  <c r="AD7648" i="30" s="1"/>
  <c r="AC7649" i="30"/>
  <c r="AD7649" i="30" s="1"/>
  <c r="AC7650" i="30"/>
  <c r="AD7650" i="30" s="1"/>
  <c r="AC7651" i="30"/>
  <c r="AD7651" i="30" s="1"/>
  <c r="AC7652" i="30"/>
  <c r="AD7652" i="30" s="1"/>
  <c r="AC7653" i="30"/>
  <c r="AD7653" i="30" s="1"/>
  <c r="AC7654" i="30"/>
  <c r="AD7654" i="30" s="1"/>
  <c r="AC7655" i="30"/>
  <c r="AD7655" i="30" s="1"/>
  <c r="AC7656" i="30"/>
  <c r="AD7656" i="30" s="1"/>
  <c r="AC7657" i="30"/>
  <c r="AD7657" i="30" s="1"/>
  <c r="AC7658" i="30"/>
  <c r="AD7658" i="30" s="1"/>
  <c r="AC7659" i="30"/>
  <c r="AD7659" i="30" s="1"/>
  <c r="AC7660" i="30"/>
  <c r="AD7660" i="30" s="1"/>
  <c r="AC7661" i="30"/>
  <c r="AD7661" i="30" s="1"/>
  <c r="AC7662" i="30"/>
  <c r="AD7662" i="30" s="1"/>
  <c r="AC7663" i="30"/>
  <c r="AD7663" i="30" s="1"/>
  <c r="AC7664" i="30"/>
  <c r="AD7664" i="30" s="1"/>
  <c r="AC7665" i="30"/>
  <c r="AD7665" i="30" s="1"/>
  <c r="AC7666" i="30"/>
  <c r="AD7666" i="30" s="1"/>
  <c r="AC7667" i="30"/>
  <c r="AD7667" i="30" s="1"/>
  <c r="AC7668" i="30"/>
  <c r="AD7668" i="30" s="1"/>
  <c r="AC7669" i="30"/>
  <c r="AD7669" i="30" s="1"/>
  <c r="AC7670" i="30"/>
  <c r="AD7670" i="30" s="1"/>
  <c r="AC7671" i="30"/>
  <c r="AD7671" i="30" s="1"/>
  <c r="AC7672" i="30"/>
  <c r="AD7672" i="30" s="1"/>
  <c r="AC7673" i="30"/>
  <c r="AD7673" i="30" s="1"/>
  <c r="AC7674" i="30"/>
  <c r="AD7674" i="30" s="1"/>
  <c r="AC7675" i="30"/>
  <c r="AD7675" i="30" s="1"/>
  <c r="AC7676" i="30"/>
  <c r="AD7676" i="30" s="1"/>
  <c r="AC7677" i="30"/>
  <c r="AD7677" i="30" s="1"/>
  <c r="AC7678" i="30"/>
  <c r="AD7678" i="30" s="1"/>
  <c r="AC7679" i="30"/>
  <c r="AD7679" i="30" s="1"/>
  <c r="AC7680" i="30"/>
  <c r="AD7680" i="30" s="1"/>
  <c r="AC7681" i="30"/>
  <c r="AD7681" i="30" s="1"/>
  <c r="AC7682" i="30"/>
  <c r="AD7682" i="30" s="1"/>
  <c r="AC7683" i="30"/>
  <c r="AD7683" i="30" s="1"/>
  <c r="AC7684" i="30"/>
  <c r="AD7684" i="30" s="1"/>
  <c r="AC7685" i="30"/>
  <c r="AD7685" i="30" s="1"/>
  <c r="AC7686" i="30"/>
  <c r="AD7686" i="30" s="1"/>
  <c r="AC7687" i="30"/>
  <c r="AD7687" i="30" s="1"/>
  <c r="AC7688" i="30"/>
  <c r="AD7688" i="30" s="1"/>
  <c r="AC7689" i="30"/>
  <c r="AD7689" i="30" s="1"/>
  <c r="AC7690" i="30"/>
  <c r="AD7690" i="30" s="1"/>
  <c r="AC7691" i="30"/>
  <c r="AD7691" i="30" s="1"/>
  <c r="AC7692" i="30"/>
  <c r="AD7692" i="30" s="1"/>
  <c r="AC7693" i="30"/>
  <c r="AD7693" i="30" s="1"/>
  <c r="AC7694" i="30"/>
  <c r="AD7694" i="30" s="1"/>
  <c r="AC7695" i="30"/>
  <c r="AD7695" i="30" s="1"/>
  <c r="AC7696" i="30"/>
  <c r="AD7696" i="30" s="1"/>
  <c r="AC7697" i="30"/>
  <c r="AD7697" i="30" s="1"/>
  <c r="AC7698" i="30"/>
  <c r="AD7698" i="30" s="1"/>
  <c r="AC7699" i="30"/>
  <c r="AD7699" i="30" s="1"/>
  <c r="AC7700" i="30"/>
  <c r="AD7700" i="30" s="1"/>
  <c r="AC7701" i="30"/>
  <c r="AD7701" i="30" s="1"/>
  <c r="AC7702" i="30"/>
  <c r="AD7702" i="30" s="1"/>
  <c r="AC7703" i="30"/>
  <c r="AD7703" i="30" s="1"/>
  <c r="AC7704" i="30"/>
  <c r="AD7704" i="30" s="1"/>
  <c r="AC7705" i="30"/>
  <c r="AD7705" i="30" s="1"/>
  <c r="AC7706" i="30"/>
  <c r="AD7706" i="30" s="1"/>
  <c r="AC7707" i="30"/>
  <c r="AD7707" i="30" s="1"/>
  <c r="AC7708" i="30"/>
  <c r="AD7708" i="30" s="1"/>
  <c r="AC7709" i="30"/>
  <c r="AD7709" i="30" s="1"/>
  <c r="AC7710" i="30"/>
  <c r="AD7710" i="30" s="1"/>
  <c r="AC7711" i="30"/>
  <c r="AD7711" i="30" s="1"/>
  <c r="AC7712" i="30"/>
  <c r="AD7712" i="30" s="1"/>
  <c r="AC7713" i="30"/>
  <c r="AD7713" i="30" s="1"/>
  <c r="AC7714" i="30"/>
  <c r="AD7714" i="30" s="1"/>
  <c r="AC7715" i="30"/>
  <c r="AD7715" i="30" s="1"/>
  <c r="AC7716" i="30"/>
  <c r="AD7716" i="30" s="1"/>
  <c r="AC7717" i="30"/>
  <c r="AD7717" i="30" s="1"/>
  <c r="AC7718" i="30"/>
  <c r="AD7718" i="30" s="1"/>
  <c r="AC7719" i="30"/>
  <c r="AD7719" i="30" s="1"/>
  <c r="AC7720" i="30"/>
  <c r="AD7720" i="30" s="1"/>
  <c r="AC7721" i="30"/>
  <c r="AD7721" i="30" s="1"/>
  <c r="AC7722" i="30"/>
  <c r="AD7722" i="30" s="1"/>
  <c r="AC7723" i="30"/>
  <c r="AD7723" i="30" s="1"/>
  <c r="AC7724" i="30"/>
  <c r="AD7724" i="30" s="1"/>
  <c r="AC7725" i="30"/>
  <c r="AD7725" i="30" s="1"/>
  <c r="AC7726" i="30"/>
  <c r="AD7726" i="30" s="1"/>
  <c r="AC7727" i="30"/>
  <c r="AD7727" i="30" s="1"/>
  <c r="AC7728" i="30"/>
  <c r="AD7728" i="30" s="1"/>
  <c r="AC7729" i="30"/>
  <c r="AD7729" i="30" s="1"/>
  <c r="AC7730" i="30"/>
  <c r="AD7730" i="30" s="1"/>
  <c r="AC7731" i="30"/>
  <c r="AD7731" i="30" s="1"/>
  <c r="AC7732" i="30"/>
  <c r="AD7732" i="30" s="1"/>
  <c r="AC7733" i="30"/>
  <c r="AD7733" i="30" s="1"/>
  <c r="AC7734" i="30"/>
  <c r="AD7734" i="30" s="1"/>
  <c r="AC7735" i="30"/>
  <c r="AD7735" i="30" s="1"/>
  <c r="AC7736" i="30"/>
  <c r="AD7736" i="30" s="1"/>
  <c r="AC7737" i="30"/>
  <c r="AD7737" i="30" s="1"/>
  <c r="AC7738" i="30"/>
  <c r="AD7738" i="30" s="1"/>
  <c r="AC7739" i="30"/>
  <c r="AD7739" i="30" s="1"/>
  <c r="AC7740" i="30"/>
  <c r="AD7740" i="30" s="1"/>
  <c r="AC7741" i="30"/>
  <c r="AD7741" i="30" s="1"/>
  <c r="AC7742" i="30"/>
  <c r="AD7742" i="30" s="1"/>
  <c r="AC7743" i="30"/>
  <c r="AD7743" i="30" s="1"/>
  <c r="AC7744" i="30"/>
  <c r="AD7744" i="30" s="1"/>
  <c r="AC7745" i="30"/>
  <c r="AD7745" i="30" s="1"/>
  <c r="AC7746" i="30"/>
  <c r="AD7746" i="30" s="1"/>
  <c r="AC7747" i="30"/>
  <c r="AD7747" i="30" s="1"/>
  <c r="AC7748" i="30"/>
  <c r="AD7748" i="30" s="1"/>
  <c r="AC7749" i="30"/>
  <c r="AD7749" i="30" s="1"/>
  <c r="AC7750" i="30"/>
  <c r="AD7750" i="30" s="1"/>
  <c r="AC7751" i="30"/>
  <c r="AD7751" i="30" s="1"/>
  <c r="AC7752" i="30"/>
  <c r="AD7752" i="30" s="1"/>
  <c r="AC7753" i="30"/>
  <c r="AD7753" i="30" s="1"/>
  <c r="AC7754" i="30"/>
  <c r="AD7754" i="30" s="1"/>
  <c r="AC7755" i="30"/>
  <c r="AD7755" i="30" s="1"/>
  <c r="AC7756" i="30"/>
  <c r="AD7756" i="30" s="1"/>
  <c r="AC7757" i="30"/>
  <c r="AD7757" i="30" s="1"/>
  <c r="AC7758" i="30"/>
  <c r="AD7758" i="30" s="1"/>
  <c r="AC7759" i="30"/>
  <c r="AD7759" i="30" s="1"/>
  <c r="AC7760" i="30"/>
  <c r="AD7760" i="30" s="1"/>
  <c r="AC7761" i="30"/>
  <c r="AD7761" i="30" s="1"/>
  <c r="AC7762" i="30"/>
  <c r="AD7762" i="30" s="1"/>
  <c r="AC7763" i="30"/>
  <c r="AD7763" i="30" s="1"/>
  <c r="AC7764" i="30"/>
  <c r="AD7764" i="30" s="1"/>
  <c r="AC7765" i="30"/>
  <c r="AD7765" i="30" s="1"/>
  <c r="AC7766" i="30"/>
  <c r="AD7766" i="30" s="1"/>
  <c r="AC7767" i="30"/>
  <c r="AD7767" i="30" s="1"/>
  <c r="AC7768" i="30"/>
  <c r="AD7768" i="30" s="1"/>
  <c r="AC7769" i="30"/>
  <c r="AD7769" i="30" s="1"/>
  <c r="AC7770" i="30"/>
  <c r="AD7770" i="30" s="1"/>
  <c r="AC7771" i="30"/>
  <c r="AD7771" i="30" s="1"/>
  <c r="AC7772" i="30"/>
  <c r="AD7772" i="30" s="1"/>
  <c r="AC7773" i="30"/>
  <c r="AD7773" i="30" s="1"/>
  <c r="AC7774" i="30"/>
  <c r="AD7774" i="30" s="1"/>
  <c r="AC7775" i="30"/>
  <c r="AD7775" i="30" s="1"/>
  <c r="AC7776" i="30"/>
  <c r="AD7776" i="30" s="1"/>
  <c r="AC7777" i="30"/>
  <c r="AD7777" i="30" s="1"/>
  <c r="AC7778" i="30"/>
  <c r="AD7778" i="30" s="1"/>
  <c r="AC7779" i="30"/>
  <c r="AD7779" i="30" s="1"/>
  <c r="AC7780" i="30"/>
  <c r="AD7780" i="30" s="1"/>
  <c r="AC7781" i="30"/>
  <c r="AD7781" i="30" s="1"/>
  <c r="AC7782" i="30"/>
  <c r="AD7782" i="30" s="1"/>
  <c r="AC7783" i="30"/>
  <c r="AD7783" i="30" s="1"/>
  <c r="AC7784" i="30"/>
  <c r="AD7784" i="30" s="1"/>
  <c r="AC7785" i="30"/>
  <c r="AD7785" i="30" s="1"/>
  <c r="AC7786" i="30"/>
  <c r="AD7786" i="30" s="1"/>
  <c r="AC7787" i="30"/>
  <c r="AD7787" i="30" s="1"/>
  <c r="AC7788" i="30"/>
  <c r="AD7788" i="30" s="1"/>
  <c r="AC7789" i="30"/>
  <c r="AD7789" i="30" s="1"/>
  <c r="AC7790" i="30"/>
  <c r="AD7790" i="30" s="1"/>
  <c r="AC7791" i="30"/>
  <c r="AD7791" i="30" s="1"/>
  <c r="AC7792" i="30"/>
  <c r="AD7792" i="30" s="1"/>
  <c r="AC7793" i="30"/>
  <c r="AD7793" i="30" s="1"/>
  <c r="AC7794" i="30"/>
  <c r="AD7794" i="30" s="1"/>
  <c r="AC7795" i="30"/>
  <c r="AD7795" i="30" s="1"/>
  <c r="AC7796" i="30"/>
  <c r="AD7796" i="30" s="1"/>
  <c r="AC7797" i="30"/>
  <c r="AD7797" i="30" s="1"/>
  <c r="AC7798" i="30"/>
  <c r="AD7798" i="30" s="1"/>
  <c r="AC7799" i="30"/>
  <c r="AD7799" i="30" s="1"/>
  <c r="AC7800" i="30"/>
  <c r="AD7800" i="30" s="1"/>
  <c r="AC7801" i="30"/>
  <c r="AD7801" i="30" s="1"/>
  <c r="AC7802" i="30"/>
  <c r="AD7802" i="30" s="1"/>
  <c r="AC7803" i="30"/>
  <c r="AD7803" i="30" s="1"/>
  <c r="AC7804" i="30"/>
  <c r="AD7804" i="30" s="1"/>
  <c r="AC7805" i="30"/>
  <c r="AD7805" i="30" s="1"/>
  <c r="AC7806" i="30"/>
  <c r="AD7806" i="30" s="1"/>
  <c r="AC7807" i="30"/>
  <c r="AD7807" i="30" s="1"/>
  <c r="AC7808" i="30"/>
  <c r="AD7808" i="30" s="1"/>
  <c r="AC7809" i="30"/>
  <c r="AD7809" i="30" s="1"/>
  <c r="AC7810" i="30"/>
  <c r="AD7810" i="30" s="1"/>
  <c r="AC7811" i="30"/>
  <c r="AD7811" i="30" s="1"/>
  <c r="AC7812" i="30"/>
  <c r="AD7812" i="30" s="1"/>
  <c r="AC7813" i="30"/>
  <c r="AD7813" i="30" s="1"/>
  <c r="AC7814" i="30"/>
  <c r="AD7814" i="30" s="1"/>
  <c r="AC7815" i="30"/>
  <c r="AD7815" i="30" s="1"/>
  <c r="AC7816" i="30"/>
  <c r="AD7816" i="30" s="1"/>
  <c r="AC7817" i="30"/>
  <c r="AD7817" i="30" s="1"/>
  <c r="AC7818" i="30"/>
  <c r="AD7818" i="30" s="1"/>
  <c r="AC7819" i="30"/>
  <c r="AD7819" i="30" s="1"/>
  <c r="AC7820" i="30"/>
  <c r="AD7820" i="30" s="1"/>
  <c r="AC7821" i="30"/>
  <c r="AD7821" i="30" s="1"/>
  <c r="AC7822" i="30"/>
  <c r="AD7822" i="30" s="1"/>
  <c r="AC7823" i="30"/>
  <c r="AD7823" i="30" s="1"/>
  <c r="AC7824" i="30"/>
  <c r="AD7824" i="30" s="1"/>
  <c r="AC7825" i="30"/>
  <c r="AD7825" i="30" s="1"/>
  <c r="AC7826" i="30"/>
  <c r="AD7826" i="30" s="1"/>
  <c r="AC7827" i="30"/>
  <c r="AD7827" i="30" s="1"/>
  <c r="AC7828" i="30"/>
  <c r="AD7828" i="30" s="1"/>
  <c r="AC7829" i="30"/>
  <c r="AD7829" i="30" s="1"/>
  <c r="AC7830" i="30"/>
  <c r="AD7830" i="30" s="1"/>
  <c r="AC7831" i="30"/>
  <c r="AD7831" i="30" s="1"/>
  <c r="AC7832" i="30"/>
  <c r="AD7832" i="30" s="1"/>
  <c r="AC7833" i="30"/>
  <c r="AD7833" i="30" s="1"/>
  <c r="AC7834" i="30"/>
  <c r="AD7834" i="30" s="1"/>
  <c r="AC7835" i="30"/>
  <c r="AD7835" i="30" s="1"/>
  <c r="AC7836" i="30"/>
  <c r="AD7836" i="30" s="1"/>
  <c r="AC7837" i="30"/>
  <c r="AD7837" i="30" s="1"/>
  <c r="AC7838" i="30"/>
  <c r="AD7838" i="30" s="1"/>
  <c r="AC7839" i="30"/>
  <c r="AD7839" i="30" s="1"/>
  <c r="AC7840" i="30"/>
  <c r="AD7840" i="30" s="1"/>
  <c r="AC7841" i="30"/>
  <c r="AD7841" i="30" s="1"/>
  <c r="AC7842" i="30"/>
  <c r="AD7842" i="30" s="1"/>
  <c r="AC7843" i="30"/>
  <c r="AD7843" i="30" s="1"/>
  <c r="AC7844" i="30"/>
  <c r="AD7844" i="30" s="1"/>
  <c r="AC7845" i="30"/>
  <c r="AD7845" i="30" s="1"/>
  <c r="AC7846" i="30"/>
  <c r="AD7846" i="30" s="1"/>
  <c r="AC7847" i="30"/>
  <c r="AD7847" i="30" s="1"/>
  <c r="AC7848" i="30"/>
  <c r="AD7848" i="30" s="1"/>
  <c r="AC7849" i="30"/>
  <c r="AD7849" i="30" s="1"/>
  <c r="AC7850" i="30"/>
  <c r="AD7850" i="30" s="1"/>
  <c r="AC7851" i="30"/>
  <c r="AD7851" i="30" s="1"/>
  <c r="AC7852" i="30"/>
  <c r="AD7852" i="30" s="1"/>
  <c r="AC7853" i="30"/>
  <c r="AD7853" i="30" s="1"/>
  <c r="AC7854" i="30"/>
  <c r="AD7854" i="30" s="1"/>
  <c r="AC7855" i="30"/>
  <c r="AD7855" i="30" s="1"/>
  <c r="AC7856" i="30"/>
  <c r="AD7856" i="30" s="1"/>
  <c r="AC7857" i="30"/>
  <c r="AD7857" i="30" s="1"/>
  <c r="AC7858" i="30"/>
  <c r="AD7858" i="30" s="1"/>
  <c r="AC7859" i="30"/>
  <c r="AD7859" i="30" s="1"/>
  <c r="AC7860" i="30"/>
  <c r="AD7860" i="30" s="1"/>
  <c r="AC7861" i="30"/>
  <c r="AD7861" i="30" s="1"/>
  <c r="AC7862" i="30"/>
  <c r="AD7862" i="30" s="1"/>
  <c r="AC7863" i="30"/>
  <c r="AD7863" i="30" s="1"/>
  <c r="AC7864" i="30"/>
  <c r="AD7864" i="30" s="1"/>
  <c r="AC7865" i="30"/>
  <c r="AD7865" i="30" s="1"/>
  <c r="AC7866" i="30"/>
  <c r="AD7866" i="30" s="1"/>
  <c r="AC7867" i="30"/>
  <c r="AD7867" i="30" s="1"/>
  <c r="AC7868" i="30"/>
  <c r="AD7868" i="30" s="1"/>
  <c r="AC7869" i="30"/>
  <c r="AD7869" i="30" s="1"/>
  <c r="AC7870" i="30"/>
  <c r="AD7870" i="30" s="1"/>
  <c r="AC7871" i="30"/>
  <c r="AD7871" i="30" s="1"/>
  <c r="AC7872" i="30"/>
  <c r="AD7872" i="30" s="1"/>
  <c r="AC7873" i="30"/>
  <c r="AD7873" i="30" s="1"/>
  <c r="AC7874" i="30"/>
  <c r="AD7874" i="30" s="1"/>
  <c r="AC7875" i="30"/>
  <c r="AD7875" i="30" s="1"/>
  <c r="AC7876" i="30"/>
  <c r="AD7876" i="30" s="1"/>
  <c r="AC7877" i="30"/>
  <c r="AD7877" i="30" s="1"/>
  <c r="AC7878" i="30"/>
  <c r="AD7878" i="30" s="1"/>
  <c r="AC7879" i="30"/>
  <c r="AD7879" i="30" s="1"/>
  <c r="AC7880" i="30"/>
  <c r="AD7880" i="30" s="1"/>
  <c r="AC7881" i="30"/>
  <c r="AD7881" i="30" s="1"/>
  <c r="AC7882" i="30"/>
  <c r="AD7882" i="30" s="1"/>
  <c r="AC7883" i="30"/>
  <c r="AD7883" i="30" s="1"/>
  <c r="AC7884" i="30"/>
  <c r="AD7884" i="30" s="1"/>
  <c r="AC7885" i="30"/>
  <c r="AD7885" i="30" s="1"/>
  <c r="AC7886" i="30"/>
  <c r="AD7886" i="30" s="1"/>
  <c r="AC7887" i="30"/>
  <c r="AD7887" i="30" s="1"/>
  <c r="AC7888" i="30"/>
  <c r="AD7888" i="30" s="1"/>
  <c r="AC7889" i="30"/>
  <c r="AD7889" i="30" s="1"/>
  <c r="AC7890" i="30"/>
  <c r="AD7890" i="30" s="1"/>
  <c r="AC7891" i="30"/>
  <c r="AD7891" i="30" s="1"/>
  <c r="AC7892" i="30"/>
  <c r="AD7892" i="30" s="1"/>
  <c r="AC7893" i="30"/>
  <c r="AD7893" i="30" s="1"/>
  <c r="AC7894" i="30"/>
  <c r="AD7894" i="30" s="1"/>
  <c r="AC7895" i="30"/>
  <c r="AD7895" i="30" s="1"/>
  <c r="AC7896" i="30"/>
  <c r="AD7896" i="30" s="1"/>
  <c r="AC7897" i="30"/>
  <c r="AD7897" i="30" s="1"/>
  <c r="AC7898" i="30"/>
  <c r="AD7898" i="30" s="1"/>
  <c r="AC7899" i="30"/>
  <c r="AD7899" i="30" s="1"/>
  <c r="AC7900" i="30"/>
  <c r="AD7900" i="30" s="1"/>
  <c r="AC7901" i="30"/>
  <c r="AD7901" i="30" s="1"/>
  <c r="AC7902" i="30"/>
  <c r="AD7902" i="30" s="1"/>
  <c r="AC7903" i="30"/>
  <c r="AD7903" i="30" s="1"/>
  <c r="AC7904" i="30"/>
  <c r="AD7904" i="30" s="1"/>
  <c r="AC7905" i="30"/>
  <c r="AD7905" i="30" s="1"/>
  <c r="AC7906" i="30"/>
  <c r="AD7906" i="30" s="1"/>
  <c r="AC7907" i="30"/>
  <c r="AD7907" i="30" s="1"/>
  <c r="AC7908" i="30"/>
  <c r="AD7908" i="30" s="1"/>
  <c r="AC7909" i="30"/>
  <c r="AD7909" i="30" s="1"/>
  <c r="AC7910" i="30"/>
  <c r="AD7910" i="30" s="1"/>
  <c r="AC7911" i="30"/>
  <c r="AD7911" i="30" s="1"/>
  <c r="AC7912" i="30"/>
  <c r="AD7912" i="30" s="1"/>
  <c r="AC7913" i="30"/>
  <c r="AD7913" i="30" s="1"/>
  <c r="AC7914" i="30"/>
  <c r="AD7914" i="30" s="1"/>
  <c r="AC7915" i="30"/>
  <c r="AD7915" i="30" s="1"/>
  <c r="AC7916" i="30"/>
  <c r="AD7916" i="30" s="1"/>
  <c r="AC7917" i="30"/>
  <c r="AD7917" i="30" s="1"/>
  <c r="AC7918" i="30"/>
  <c r="AD7918" i="30" s="1"/>
  <c r="AC7919" i="30"/>
  <c r="AD7919" i="30" s="1"/>
  <c r="AC7920" i="30"/>
  <c r="AD7920" i="30" s="1"/>
  <c r="AC7921" i="30"/>
  <c r="AD7921" i="30" s="1"/>
  <c r="AC7922" i="30"/>
  <c r="AD7922" i="30" s="1"/>
  <c r="AC7923" i="30"/>
  <c r="AD7923" i="30" s="1"/>
  <c r="AC7924" i="30"/>
  <c r="AD7924" i="30" s="1"/>
  <c r="AC7925" i="30"/>
  <c r="AD7925" i="30" s="1"/>
  <c r="AC7926" i="30"/>
  <c r="AD7926" i="30" s="1"/>
  <c r="AC7927" i="30"/>
  <c r="AD7927" i="30" s="1"/>
  <c r="AC7928" i="30"/>
  <c r="AD7928" i="30" s="1"/>
  <c r="AC7929" i="30"/>
  <c r="AD7929" i="30" s="1"/>
  <c r="AC7930" i="30"/>
  <c r="AD7930" i="30" s="1"/>
  <c r="AC7931" i="30"/>
  <c r="AD7931" i="30" s="1"/>
  <c r="AC7932" i="30"/>
  <c r="AD7932" i="30" s="1"/>
  <c r="AC7933" i="30"/>
  <c r="AD7933" i="30" s="1"/>
  <c r="AC7934" i="30"/>
  <c r="AD7934" i="30" s="1"/>
  <c r="AC7935" i="30"/>
  <c r="AD7935" i="30" s="1"/>
  <c r="AC7936" i="30"/>
  <c r="AD7936" i="30" s="1"/>
  <c r="AC7937" i="30"/>
  <c r="AD7937" i="30" s="1"/>
  <c r="AC7938" i="30"/>
  <c r="AD7938" i="30" s="1"/>
  <c r="AC7939" i="30"/>
  <c r="AD7939" i="30" s="1"/>
  <c r="AC7940" i="30"/>
  <c r="AD7940" i="30" s="1"/>
  <c r="AC7941" i="30"/>
  <c r="AD7941" i="30" s="1"/>
  <c r="AC7942" i="30"/>
  <c r="AD7942" i="30" s="1"/>
  <c r="AC7943" i="30"/>
  <c r="AD7943" i="30" s="1"/>
  <c r="AC7944" i="30"/>
  <c r="AD7944" i="30" s="1"/>
  <c r="AC7945" i="30"/>
  <c r="AD7945" i="30" s="1"/>
  <c r="AC7946" i="30"/>
  <c r="AD7946" i="30" s="1"/>
  <c r="AC7947" i="30"/>
  <c r="AD7947" i="30" s="1"/>
  <c r="AC7948" i="30"/>
  <c r="AD7948" i="30" s="1"/>
  <c r="AC7949" i="30"/>
  <c r="AD7949" i="30" s="1"/>
  <c r="AC7950" i="30"/>
  <c r="AD7950" i="30" s="1"/>
  <c r="AC7951" i="30"/>
  <c r="AD7951" i="30" s="1"/>
  <c r="AC7952" i="30"/>
  <c r="AD7952" i="30" s="1"/>
  <c r="AC7953" i="30"/>
  <c r="AD7953" i="30" s="1"/>
  <c r="AC7954" i="30"/>
  <c r="AD7954" i="30" s="1"/>
  <c r="AC7955" i="30"/>
  <c r="AD7955" i="30" s="1"/>
  <c r="AC7956" i="30"/>
  <c r="AD7956" i="30" s="1"/>
  <c r="AC7957" i="30"/>
  <c r="AD7957" i="30" s="1"/>
  <c r="AC7958" i="30"/>
  <c r="AD7958" i="30" s="1"/>
  <c r="AC7959" i="30"/>
  <c r="AD7959" i="30" s="1"/>
  <c r="AC7960" i="30"/>
  <c r="AD7960" i="30" s="1"/>
  <c r="AC7961" i="30"/>
  <c r="AD7961" i="30" s="1"/>
  <c r="AC7962" i="30"/>
  <c r="AD7962" i="30" s="1"/>
  <c r="AC7963" i="30"/>
  <c r="AD7963" i="30" s="1"/>
  <c r="AC7964" i="30"/>
  <c r="AD7964" i="30" s="1"/>
  <c r="AC7965" i="30"/>
  <c r="AD7965" i="30" s="1"/>
  <c r="AC7966" i="30"/>
  <c r="AD7966" i="30" s="1"/>
  <c r="AC7967" i="30"/>
  <c r="AD7967" i="30" s="1"/>
  <c r="AC7968" i="30"/>
  <c r="AD7968" i="30" s="1"/>
  <c r="AC7969" i="30"/>
  <c r="AD7969" i="30" s="1"/>
  <c r="AC7970" i="30"/>
  <c r="AD7970" i="30" s="1"/>
  <c r="AC7971" i="30"/>
  <c r="AD7971" i="30" s="1"/>
  <c r="AC7972" i="30"/>
  <c r="AD7972" i="30" s="1"/>
  <c r="AC7973" i="30"/>
  <c r="AD7973" i="30" s="1"/>
  <c r="AC7974" i="30"/>
  <c r="AD7974" i="30" s="1"/>
  <c r="AC7975" i="30"/>
  <c r="AD7975" i="30" s="1"/>
  <c r="AC7976" i="30"/>
  <c r="AD7976" i="30" s="1"/>
  <c r="AC7977" i="30"/>
  <c r="AD7977" i="30" s="1"/>
  <c r="AC7978" i="30"/>
  <c r="AD7978" i="30" s="1"/>
  <c r="AC7979" i="30"/>
  <c r="AD7979" i="30" s="1"/>
  <c r="AC7980" i="30"/>
  <c r="AD7980" i="30" s="1"/>
  <c r="AC7981" i="30"/>
  <c r="AD7981" i="30" s="1"/>
  <c r="AC7982" i="30"/>
  <c r="AD7982" i="30" s="1"/>
  <c r="AC7983" i="30"/>
  <c r="AD7983" i="30" s="1"/>
  <c r="AC7984" i="30"/>
  <c r="AD7984" i="30" s="1"/>
  <c r="AC7985" i="30"/>
  <c r="AD7985" i="30" s="1"/>
  <c r="AC7986" i="30"/>
  <c r="AD7986" i="30" s="1"/>
  <c r="AC7987" i="30"/>
  <c r="AD7987" i="30" s="1"/>
  <c r="AC7988" i="30"/>
  <c r="AD7988" i="30" s="1"/>
  <c r="AC7989" i="30"/>
  <c r="AD7989" i="30" s="1"/>
  <c r="AC7990" i="30"/>
  <c r="AD7990" i="30" s="1"/>
  <c r="AC7991" i="30"/>
  <c r="AD7991" i="30" s="1"/>
  <c r="AC7992" i="30"/>
  <c r="AD7992" i="30" s="1"/>
  <c r="AC7993" i="30"/>
  <c r="AD7993" i="30" s="1"/>
  <c r="AC7994" i="30"/>
  <c r="AD7994" i="30" s="1"/>
  <c r="AC7995" i="30"/>
  <c r="AD7995" i="30" s="1"/>
  <c r="AC7996" i="30"/>
  <c r="AD7996" i="30" s="1"/>
  <c r="AC7997" i="30"/>
  <c r="AD7997" i="30" s="1"/>
  <c r="AC7998" i="30"/>
  <c r="AD7998" i="30" s="1"/>
  <c r="AC7999" i="30"/>
  <c r="AD7999" i="30" s="1"/>
  <c r="AC8000" i="30"/>
  <c r="AD8000" i="30" s="1"/>
  <c r="AC8001" i="30"/>
  <c r="AD8001" i="30" s="1"/>
  <c r="AC8002" i="30"/>
  <c r="AD8002" i="30" s="1"/>
  <c r="AC8003" i="30"/>
  <c r="AD8003" i="30" s="1"/>
  <c r="AC8004" i="30"/>
  <c r="AD8004" i="30" s="1"/>
  <c r="AC8005" i="30"/>
  <c r="AD8005" i="30" s="1"/>
  <c r="AC8006" i="30"/>
  <c r="AD8006" i="30" s="1"/>
  <c r="AC8007" i="30"/>
  <c r="AD8007" i="30" s="1"/>
  <c r="AC8008" i="30"/>
  <c r="AD8008" i="30" s="1"/>
  <c r="AC8009" i="30"/>
  <c r="AD8009" i="30" s="1"/>
  <c r="AC8010" i="30"/>
  <c r="AD8010" i="30" s="1"/>
  <c r="AC8011" i="30"/>
  <c r="AD8011" i="30" s="1"/>
  <c r="AC8012" i="30"/>
  <c r="AD8012" i="30" s="1"/>
  <c r="AC8013" i="30"/>
  <c r="AD8013" i="30" s="1"/>
  <c r="AC8014" i="30"/>
  <c r="AD8014" i="30" s="1"/>
  <c r="AC8015" i="30"/>
  <c r="AD8015" i="30" s="1"/>
  <c r="AC8016" i="30"/>
  <c r="AD8016" i="30" s="1"/>
  <c r="AC8017" i="30"/>
  <c r="AD8017" i="30" s="1"/>
  <c r="AC8018" i="30"/>
  <c r="AD8018" i="30" s="1"/>
  <c r="AC8019" i="30"/>
  <c r="AD8019" i="30" s="1"/>
  <c r="AC8020" i="30"/>
  <c r="AD8020" i="30" s="1"/>
  <c r="AC8021" i="30"/>
  <c r="AD8021" i="30" s="1"/>
  <c r="AC8022" i="30"/>
  <c r="AD8022" i="30" s="1"/>
  <c r="AC8023" i="30"/>
  <c r="AD8023" i="30" s="1"/>
  <c r="AC8024" i="30"/>
  <c r="AD8024" i="30" s="1"/>
  <c r="AC8025" i="30"/>
  <c r="AD8025" i="30" s="1"/>
  <c r="AC8026" i="30"/>
  <c r="AD8026" i="30" s="1"/>
  <c r="AC8027" i="30"/>
  <c r="AD8027" i="30" s="1"/>
  <c r="AC8028" i="30"/>
  <c r="AD8028" i="30" s="1"/>
  <c r="AC8029" i="30"/>
  <c r="AD8029" i="30" s="1"/>
  <c r="AC8030" i="30"/>
  <c r="AD8030" i="30" s="1"/>
  <c r="AC8031" i="30"/>
  <c r="AD8031" i="30" s="1"/>
  <c r="AC8032" i="30"/>
  <c r="AD8032" i="30" s="1"/>
  <c r="AC8033" i="30"/>
  <c r="AD8033" i="30" s="1"/>
  <c r="AC8034" i="30"/>
  <c r="AD8034" i="30" s="1"/>
  <c r="AC8035" i="30"/>
  <c r="AD8035" i="30" s="1"/>
  <c r="AC8036" i="30"/>
  <c r="AD8036" i="30" s="1"/>
  <c r="AC8037" i="30"/>
  <c r="AD8037" i="30" s="1"/>
  <c r="AC8038" i="30"/>
  <c r="AD8038" i="30" s="1"/>
  <c r="AC8039" i="30"/>
  <c r="AD8039" i="30" s="1"/>
  <c r="AC8040" i="30"/>
  <c r="AD8040" i="30" s="1"/>
  <c r="AC8041" i="30"/>
  <c r="AD8041" i="30" s="1"/>
  <c r="AC8042" i="30"/>
  <c r="AD8042" i="30" s="1"/>
  <c r="AC8043" i="30"/>
  <c r="AD8043" i="30" s="1"/>
  <c r="AC8044" i="30"/>
  <c r="AD8044" i="30" s="1"/>
  <c r="AC8045" i="30"/>
  <c r="AD8045" i="30" s="1"/>
  <c r="AC8046" i="30"/>
  <c r="AD8046" i="30" s="1"/>
  <c r="AC8047" i="30"/>
  <c r="AD8047" i="30" s="1"/>
  <c r="AC8048" i="30"/>
  <c r="AD8048" i="30" s="1"/>
  <c r="AC8049" i="30"/>
  <c r="AD8049" i="30" s="1"/>
  <c r="AC8050" i="30"/>
  <c r="AD8050" i="30" s="1"/>
  <c r="AC8051" i="30"/>
  <c r="AD8051" i="30" s="1"/>
  <c r="AC8052" i="30"/>
  <c r="AD8052" i="30" s="1"/>
  <c r="AC8053" i="30"/>
  <c r="AD8053" i="30" s="1"/>
  <c r="AC8054" i="30"/>
  <c r="AD8054" i="30" s="1"/>
  <c r="AC8055" i="30"/>
  <c r="AD8055" i="30" s="1"/>
  <c r="AC8056" i="30"/>
  <c r="AD8056" i="30" s="1"/>
  <c r="AC8057" i="30"/>
  <c r="AD8057" i="30" s="1"/>
  <c r="AC8058" i="30"/>
  <c r="AD8058" i="30" s="1"/>
  <c r="AC8059" i="30"/>
  <c r="AD8059" i="30" s="1"/>
  <c r="AC8060" i="30"/>
  <c r="AD8060" i="30" s="1"/>
  <c r="AC8061" i="30"/>
  <c r="AD8061" i="30" s="1"/>
  <c r="AC8062" i="30"/>
  <c r="AD8062" i="30" s="1"/>
  <c r="AC8063" i="30"/>
  <c r="AD8063" i="30" s="1"/>
  <c r="AC8064" i="30"/>
  <c r="AD8064" i="30" s="1"/>
  <c r="AC8065" i="30"/>
  <c r="AD8065" i="30" s="1"/>
  <c r="AC8066" i="30"/>
  <c r="AD8066" i="30" s="1"/>
  <c r="AC8067" i="30"/>
  <c r="AD8067" i="30" s="1"/>
  <c r="AC8068" i="30"/>
  <c r="AD8068" i="30" s="1"/>
  <c r="AC8069" i="30"/>
  <c r="AD8069" i="30" s="1"/>
  <c r="AC8070" i="30"/>
  <c r="AD8070" i="30" s="1"/>
  <c r="AC8071" i="30"/>
  <c r="AD8071" i="30" s="1"/>
  <c r="AC8072" i="30"/>
  <c r="AD8072" i="30" s="1"/>
  <c r="AC8073" i="30"/>
  <c r="AD8073" i="30" s="1"/>
  <c r="AC8074" i="30"/>
  <c r="AD8074" i="30" s="1"/>
  <c r="AC8075" i="30"/>
  <c r="AD8075" i="30" s="1"/>
  <c r="AC8076" i="30"/>
  <c r="AD8076" i="30" s="1"/>
  <c r="AC8077" i="30"/>
  <c r="AD8077" i="30" s="1"/>
  <c r="AC8078" i="30"/>
  <c r="AD8078" i="30" s="1"/>
  <c r="AC8079" i="30"/>
  <c r="AD8079" i="30" s="1"/>
  <c r="AC8080" i="30"/>
  <c r="AD8080" i="30" s="1"/>
  <c r="AC8081" i="30"/>
  <c r="AD8081" i="30" s="1"/>
  <c r="AC8082" i="30"/>
  <c r="AD8082" i="30" s="1"/>
  <c r="AC8083" i="30"/>
  <c r="AD8083" i="30" s="1"/>
  <c r="AC8084" i="30"/>
  <c r="AD8084" i="30" s="1"/>
  <c r="AC8085" i="30"/>
  <c r="AD8085" i="30" s="1"/>
  <c r="AC8086" i="30"/>
  <c r="AD8086" i="30" s="1"/>
  <c r="AC8087" i="30"/>
  <c r="AD8087" i="30" s="1"/>
  <c r="AC8088" i="30"/>
  <c r="AD8088" i="30" s="1"/>
  <c r="AC8089" i="30"/>
  <c r="AD8089" i="30" s="1"/>
  <c r="AC8090" i="30"/>
  <c r="AD8090" i="30" s="1"/>
  <c r="AC8091" i="30"/>
  <c r="AD8091" i="30" s="1"/>
  <c r="AC8092" i="30"/>
  <c r="AD8092" i="30" s="1"/>
  <c r="AC8093" i="30"/>
  <c r="AD8093" i="30" s="1"/>
  <c r="AC8094" i="30"/>
  <c r="AD8094" i="30" s="1"/>
  <c r="AC8095" i="30"/>
  <c r="AD8095" i="30" s="1"/>
  <c r="AC8096" i="30"/>
  <c r="AD8096" i="30" s="1"/>
  <c r="AC8097" i="30"/>
  <c r="AD8097" i="30" s="1"/>
  <c r="AC8098" i="30"/>
  <c r="AD8098" i="30" s="1"/>
  <c r="AC8099" i="30"/>
  <c r="AD8099" i="30" s="1"/>
  <c r="AC8100" i="30"/>
  <c r="AD8100" i="30" s="1"/>
  <c r="AC8101" i="30"/>
  <c r="AD8101" i="30" s="1"/>
  <c r="AC8102" i="30"/>
  <c r="AD8102" i="30" s="1"/>
  <c r="AC8103" i="30"/>
  <c r="AD8103" i="30" s="1"/>
  <c r="AC8104" i="30"/>
  <c r="AD8104" i="30" s="1"/>
  <c r="AC8105" i="30"/>
  <c r="AD8105" i="30" s="1"/>
  <c r="AC8106" i="30"/>
  <c r="AD8106" i="30" s="1"/>
  <c r="AC8107" i="30"/>
  <c r="AD8107" i="30" s="1"/>
  <c r="AC8108" i="30"/>
  <c r="AD8108" i="30" s="1"/>
  <c r="AC8109" i="30"/>
  <c r="AD8109" i="30" s="1"/>
  <c r="AC8110" i="30"/>
  <c r="AD8110" i="30" s="1"/>
  <c r="AC8111" i="30"/>
  <c r="AD8111" i="30" s="1"/>
  <c r="AC8112" i="30"/>
  <c r="AD8112" i="30" s="1"/>
  <c r="AC8113" i="30"/>
  <c r="AD8113" i="30" s="1"/>
  <c r="AC8114" i="30"/>
  <c r="AD8114" i="30" s="1"/>
  <c r="AC8115" i="30"/>
  <c r="AD8115" i="30" s="1"/>
  <c r="AC8116" i="30"/>
  <c r="AD8116" i="30" s="1"/>
  <c r="AC8117" i="30"/>
  <c r="AD8117" i="30" s="1"/>
  <c r="AC8118" i="30"/>
  <c r="AD8118" i="30" s="1"/>
  <c r="AC8119" i="30"/>
  <c r="AD8119" i="30" s="1"/>
  <c r="AC8120" i="30"/>
  <c r="AD8120" i="30" s="1"/>
  <c r="AC8121" i="30"/>
  <c r="AD8121" i="30" s="1"/>
  <c r="AC8122" i="30"/>
  <c r="AD8122" i="30" s="1"/>
  <c r="AC8123" i="30"/>
  <c r="AD8123" i="30" s="1"/>
  <c r="AC8124" i="30"/>
  <c r="AD8124" i="30" s="1"/>
  <c r="AC8125" i="30"/>
  <c r="AD8125" i="30" s="1"/>
  <c r="AC8126" i="30"/>
  <c r="AD8126" i="30" s="1"/>
  <c r="AC8127" i="30"/>
  <c r="AD8127" i="30" s="1"/>
  <c r="AC8128" i="30"/>
  <c r="AD8128" i="30" s="1"/>
  <c r="AC8129" i="30"/>
  <c r="AD8129" i="30" s="1"/>
  <c r="AC8130" i="30"/>
  <c r="AD8130" i="30" s="1"/>
  <c r="AC8131" i="30"/>
  <c r="AD8131" i="30" s="1"/>
  <c r="AC8132" i="30"/>
  <c r="AD8132" i="30" s="1"/>
  <c r="AC8133" i="30"/>
  <c r="AD8133" i="30" s="1"/>
  <c r="AC8134" i="30"/>
  <c r="AD8134" i="30" s="1"/>
  <c r="AC8135" i="30"/>
  <c r="AD8135" i="30" s="1"/>
  <c r="AC8136" i="30"/>
  <c r="AD8136" i="30" s="1"/>
  <c r="AC8137" i="30"/>
  <c r="AD8137" i="30" s="1"/>
  <c r="AC8138" i="30"/>
  <c r="AD8138" i="30" s="1"/>
  <c r="AC8139" i="30"/>
  <c r="AD8139" i="30" s="1"/>
  <c r="AC8140" i="30"/>
  <c r="AD8140" i="30" s="1"/>
  <c r="AC8141" i="30"/>
  <c r="AD8141" i="30" s="1"/>
  <c r="AC8142" i="30"/>
  <c r="AD8142" i="30" s="1"/>
  <c r="AC8143" i="30"/>
  <c r="AD8143" i="30" s="1"/>
  <c r="AC8144" i="30"/>
  <c r="AD8144" i="30" s="1"/>
  <c r="AC8145" i="30"/>
  <c r="AD8145" i="30" s="1"/>
  <c r="AC8146" i="30"/>
  <c r="AD8146" i="30" s="1"/>
  <c r="AC8147" i="30"/>
  <c r="AD8147" i="30" s="1"/>
  <c r="AC8148" i="30"/>
  <c r="AD8148" i="30" s="1"/>
  <c r="AC8149" i="30"/>
  <c r="AD8149" i="30" s="1"/>
  <c r="AC8150" i="30"/>
  <c r="AD8150" i="30" s="1"/>
  <c r="AC8151" i="30"/>
  <c r="AD8151" i="30" s="1"/>
  <c r="AC8152" i="30"/>
  <c r="AD8152" i="30" s="1"/>
  <c r="AC8153" i="30"/>
  <c r="AD8153" i="30" s="1"/>
  <c r="AC8154" i="30"/>
  <c r="AD8154" i="30" s="1"/>
  <c r="AC8155" i="30"/>
  <c r="AD8155" i="30" s="1"/>
  <c r="AC8156" i="30"/>
  <c r="AD8156" i="30" s="1"/>
  <c r="AC8157" i="30"/>
  <c r="AD8157" i="30" s="1"/>
  <c r="AC8158" i="30"/>
  <c r="AD8158" i="30" s="1"/>
  <c r="AC8159" i="30"/>
  <c r="AD8159" i="30" s="1"/>
  <c r="AC8160" i="30"/>
  <c r="AD8160" i="30" s="1"/>
  <c r="AC8161" i="30"/>
  <c r="AD8161" i="30" s="1"/>
  <c r="AC8162" i="30"/>
  <c r="AD8162" i="30" s="1"/>
  <c r="AC8163" i="30"/>
  <c r="AD8163" i="30" s="1"/>
  <c r="AC8164" i="30"/>
  <c r="AD8164" i="30" s="1"/>
  <c r="AC8165" i="30"/>
  <c r="AD8165" i="30" s="1"/>
  <c r="AC8166" i="30"/>
  <c r="AD8166" i="30" s="1"/>
  <c r="AC8167" i="30"/>
  <c r="AD8167" i="30" s="1"/>
  <c r="AC8168" i="30"/>
  <c r="AD8168" i="30" s="1"/>
  <c r="AC8169" i="30"/>
  <c r="AD8169" i="30" s="1"/>
  <c r="AC8170" i="30"/>
  <c r="AD8170" i="30" s="1"/>
  <c r="AC8171" i="30"/>
  <c r="AD8171" i="30" s="1"/>
  <c r="AC8172" i="30"/>
  <c r="AD8172" i="30" s="1"/>
  <c r="AC8173" i="30"/>
  <c r="AD8173" i="30" s="1"/>
  <c r="AC8174" i="30"/>
  <c r="AD8174" i="30" s="1"/>
  <c r="AC8175" i="30"/>
  <c r="AD8175" i="30" s="1"/>
  <c r="AC8176" i="30"/>
  <c r="AD8176" i="30" s="1"/>
  <c r="AC8177" i="30"/>
  <c r="AD8177" i="30" s="1"/>
  <c r="AC8178" i="30"/>
  <c r="AD8178" i="30" s="1"/>
  <c r="AC8179" i="30"/>
  <c r="AD8179" i="30" s="1"/>
  <c r="AC8180" i="30"/>
  <c r="AD8180" i="30" s="1"/>
  <c r="AC8181" i="30"/>
  <c r="AD8181" i="30" s="1"/>
  <c r="AC8182" i="30"/>
  <c r="AD8182" i="30" s="1"/>
  <c r="AC8183" i="30"/>
  <c r="AD8183" i="30" s="1"/>
  <c r="AC8184" i="30"/>
  <c r="AD8184" i="30" s="1"/>
  <c r="AC8185" i="30"/>
  <c r="AD8185" i="30" s="1"/>
  <c r="AC8186" i="30"/>
  <c r="AD8186" i="30" s="1"/>
  <c r="AC8187" i="30"/>
  <c r="AD8187" i="30" s="1"/>
  <c r="AC8188" i="30"/>
  <c r="AD8188" i="30" s="1"/>
  <c r="AC8189" i="30"/>
  <c r="AD8189" i="30" s="1"/>
  <c r="AC8190" i="30"/>
  <c r="AD8190" i="30" s="1"/>
  <c r="AC8191" i="30"/>
  <c r="AD8191" i="30" s="1"/>
  <c r="AC8192" i="30"/>
  <c r="AD8192" i="30" s="1"/>
  <c r="AC8193" i="30"/>
  <c r="AD8193" i="30" s="1"/>
  <c r="AC8194" i="30"/>
  <c r="AD8194" i="30" s="1"/>
  <c r="AC8195" i="30"/>
  <c r="AD8195" i="30" s="1"/>
  <c r="AC8196" i="30"/>
  <c r="AD8196" i="30" s="1"/>
  <c r="AC8197" i="30"/>
  <c r="AD8197" i="30" s="1"/>
  <c r="AC8198" i="30"/>
  <c r="AD8198" i="30" s="1"/>
  <c r="AC8199" i="30"/>
  <c r="AD8199" i="30" s="1"/>
  <c r="AC8200" i="30"/>
  <c r="AD8200" i="30" s="1"/>
  <c r="AC8201" i="30"/>
  <c r="AD8201" i="30" s="1"/>
  <c r="AC8202" i="30"/>
  <c r="AD8202" i="30" s="1"/>
  <c r="AC8203" i="30"/>
  <c r="AD8203" i="30" s="1"/>
  <c r="AC8204" i="30"/>
  <c r="AD8204" i="30" s="1"/>
  <c r="AC8205" i="30"/>
  <c r="AD8205" i="30" s="1"/>
  <c r="AC8206" i="30"/>
  <c r="AD8206" i="30" s="1"/>
  <c r="AC8207" i="30"/>
  <c r="AD8207" i="30" s="1"/>
  <c r="AC8208" i="30"/>
  <c r="AD8208" i="30" s="1"/>
  <c r="AC8209" i="30"/>
  <c r="AD8209" i="30" s="1"/>
  <c r="AC8210" i="30"/>
  <c r="AD8210" i="30" s="1"/>
  <c r="AC8211" i="30"/>
  <c r="AD8211" i="30" s="1"/>
  <c r="AC8212" i="30"/>
  <c r="AD8212" i="30" s="1"/>
  <c r="AC8213" i="30"/>
  <c r="AD8213" i="30" s="1"/>
  <c r="AC8214" i="30"/>
  <c r="AD8214" i="30" s="1"/>
  <c r="AC8215" i="30"/>
  <c r="AD8215" i="30" s="1"/>
  <c r="AC8216" i="30"/>
  <c r="AD8216" i="30" s="1"/>
  <c r="AC8217" i="30"/>
  <c r="AD8217" i="30" s="1"/>
  <c r="AC8218" i="30"/>
  <c r="AD8218" i="30" s="1"/>
  <c r="AC8219" i="30"/>
  <c r="AD8219" i="30" s="1"/>
  <c r="AC8220" i="30"/>
  <c r="AD8220" i="30" s="1"/>
  <c r="AC8221" i="30"/>
  <c r="AD8221" i="30" s="1"/>
  <c r="AC8222" i="30"/>
  <c r="AD8222" i="30" s="1"/>
  <c r="AC8223" i="30"/>
  <c r="AD8223" i="30" s="1"/>
  <c r="AC8224" i="30"/>
  <c r="AD8224" i="30" s="1"/>
  <c r="AC8225" i="30"/>
  <c r="AD8225" i="30" s="1"/>
  <c r="AC8226" i="30"/>
  <c r="AD8226" i="30" s="1"/>
  <c r="AC8227" i="30"/>
  <c r="AD8227" i="30" s="1"/>
  <c r="AC8228" i="30"/>
  <c r="AD8228" i="30" s="1"/>
  <c r="AC8229" i="30"/>
  <c r="AD8229" i="30" s="1"/>
  <c r="AC8230" i="30"/>
  <c r="AD8230" i="30" s="1"/>
  <c r="AC8231" i="30"/>
  <c r="AD8231" i="30" s="1"/>
  <c r="AC8232" i="30"/>
  <c r="AD8232" i="30" s="1"/>
  <c r="AC8233" i="30"/>
  <c r="AD8233" i="30" s="1"/>
  <c r="AC8234" i="30"/>
  <c r="AD8234" i="30" s="1"/>
  <c r="AC8235" i="30"/>
  <c r="AD8235" i="30" s="1"/>
  <c r="AC8236" i="30"/>
  <c r="AD8236" i="30" s="1"/>
  <c r="AC8237" i="30"/>
  <c r="AD8237" i="30" s="1"/>
  <c r="AC8238" i="30"/>
  <c r="AD8238" i="30" s="1"/>
  <c r="AC8239" i="30"/>
  <c r="AD8239" i="30" s="1"/>
  <c r="AC8240" i="30"/>
  <c r="AD8240" i="30" s="1"/>
  <c r="AC8241" i="30"/>
  <c r="AD8241" i="30" s="1"/>
  <c r="AC8242" i="30"/>
  <c r="AD8242" i="30" s="1"/>
  <c r="AC8243" i="30"/>
  <c r="AD8243" i="30" s="1"/>
  <c r="AC8244" i="30"/>
  <c r="AD8244" i="30" s="1"/>
  <c r="AC8245" i="30"/>
  <c r="AD8245" i="30" s="1"/>
  <c r="AC8246" i="30"/>
  <c r="AD8246" i="30" s="1"/>
  <c r="AC8247" i="30"/>
  <c r="AD8247" i="30" s="1"/>
  <c r="AC8248" i="30"/>
  <c r="AD8248" i="30" s="1"/>
  <c r="AC8249" i="30"/>
  <c r="AD8249" i="30" s="1"/>
  <c r="AC8250" i="30"/>
  <c r="AD8250" i="30" s="1"/>
  <c r="AC8251" i="30"/>
  <c r="AD8251" i="30" s="1"/>
  <c r="AC8252" i="30"/>
  <c r="AD8252" i="30" s="1"/>
  <c r="AC8253" i="30"/>
  <c r="AD8253" i="30" s="1"/>
  <c r="AC8254" i="30"/>
  <c r="AD8254" i="30" s="1"/>
  <c r="AC8255" i="30"/>
  <c r="AD8255" i="30" s="1"/>
  <c r="AC8256" i="30"/>
  <c r="AD8256" i="30" s="1"/>
  <c r="AC8257" i="30"/>
  <c r="AD8257" i="30" s="1"/>
  <c r="AC8258" i="30"/>
  <c r="AD8258" i="30" s="1"/>
  <c r="AC8259" i="30"/>
  <c r="AD8259" i="30" s="1"/>
  <c r="AC8260" i="30"/>
  <c r="AD8260" i="30" s="1"/>
  <c r="AC8261" i="30"/>
  <c r="AD8261" i="30" s="1"/>
  <c r="AC8262" i="30"/>
  <c r="AD8262" i="30" s="1"/>
  <c r="AC8263" i="30"/>
  <c r="AD8263" i="30" s="1"/>
  <c r="AC8264" i="30"/>
  <c r="AD8264" i="30" s="1"/>
  <c r="AC8265" i="30"/>
  <c r="AD8265" i="30" s="1"/>
  <c r="AC8266" i="30"/>
  <c r="AD8266" i="30" s="1"/>
  <c r="AC8267" i="30"/>
  <c r="AD8267" i="30" s="1"/>
  <c r="AC8268" i="30"/>
  <c r="AD8268" i="30" s="1"/>
  <c r="AC8269" i="30"/>
  <c r="AD8269" i="30" s="1"/>
  <c r="AC8270" i="30"/>
  <c r="AD8270" i="30" s="1"/>
  <c r="AC8271" i="30"/>
  <c r="AD8271" i="30" s="1"/>
  <c r="AC8272" i="30"/>
  <c r="AD8272" i="30" s="1"/>
  <c r="AC8273" i="30"/>
  <c r="AD8273" i="30" s="1"/>
  <c r="AC8274" i="30"/>
  <c r="AD8274" i="30" s="1"/>
  <c r="AC8275" i="30"/>
  <c r="AD8275" i="30" s="1"/>
  <c r="AC8276" i="30"/>
  <c r="AD8276" i="30" s="1"/>
  <c r="AC8277" i="30"/>
  <c r="AD8277" i="30" s="1"/>
  <c r="AC8278" i="30"/>
  <c r="AD8278" i="30" s="1"/>
  <c r="AC8279" i="30"/>
  <c r="AD8279" i="30" s="1"/>
  <c r="AC8280" i="30"/>
  <c r="AD8280" i="30" s="1"/>
  <c r="AC8281" i="30"/>
  <c r="AD8281" i="30" s="1"/>
  <c r="AC8282" i="30"/>
  <c r="AD8282" i="30" s="1"/>
  <c r="AC8283" i="30"/>
  <c r="AD8283" i="30" s="1"/>
  <c r="AC8284" i="30"/>
  <c r="AD8284" i="30" s="1"/>
  <c r="AC8285" i="30"/>
  <c r="AD8285" i="30" s="1"/>
  <c r="AC8286" i="30"/>
  <c r="AD8286" i="30" s="1"/>
  <c r="AC8287" i="30"/>
  <c r="AD8287" i="30" s="1"/>
  <c r="AC8288" i="30"/>
  <c r="AD8288" i="30" s="1"/>
  <c r="AC8289" i="30"/>
  <c r="AD8289" i="30" s="1"/>
  <c r="AC8290" i="30"/>
  <c r="AD8290" i="30" s="1"/>
  <c r="AC8291" i="30"/>
  <c r="AD8291" i="30" s="1"/>
  <c r="AC8292" i="30"/>
  <c r="AD8292" i="30" s="1"/>
  <c r="AC8293" i="30"/>
  <c r="AD8293" i="30" s="1"/>
  <c r="AC8294" i="30"/>
  <c r="AD8294" i="30" s="1"/>
  <c r="AC8295" i="30"/>
  <c r="AD8295" i="30" s="1"/>
  <c r="AC8296" i="30"/>
  <c r="AD8296" i="30" s="1"/>
  <c r="AC8297" i="30"/>
  <c r="AD8297" i="30" s="1"/>
  <c r="AC8298" i="30"/>
  <c r="AD8298" i="30" s="1"/>
  <c r="AC8299" i="30"/>
  <c r="AD8299" i="30" s="1"/>
  <c r="AC8300" i="30"/>
  <c r="AD8300" i="30" s="1"/>
  <c r="AC8301" i="30"/>
  <c r="AD8301" i="30" s="1"/>
  <c r="AC8302" i="30"/>
  <c r="AD8302" i="30" s="1"/>
  <c r="AC8303" i="30"/>
  <c r="AD8303" i="30" s="1"/>
  <c r="AC8304" i="30"/>
  <c r="AD8304" i="30" s="1"/>
  <c r="AC8305" i="30"/>
  <c r="AD8305" i="30" s="1"/>
  <c r="AC8306" i="30"/>
  <c r="AD8306" i="30" s="1"/>
  <c r="AC8307" i="30"/>
  <c r="AD8307" i="30" s="1"/>
  <c r="AC8308" i="30"/>
  <c r="AD8308" i="30" s="1"/>
  <c r="AC8309" i="30"/>
  <c r="AD8309" i="30" s="1"/>
  <c r="AC8310" i="30"/>
  <c r="AD8310" i="30" s="1"/>
  <c r="AC8311" i="30"/>
  <c r="AD8311" i="30" s="1"/>
  <c r="AC8312" i="30"/>
  <c r="AD8312" i="30" s="1"/>
  <c r="AC8313" i="30"/>
  <c r="AD8313" i="30" s="1"/>
  <c r="AC8314" i="30"/>
  <c r="AD8314" i="30" s="1"/>
  <c r="AC8315" i="30"/>
  <c r="AD8315" i="30" s="1"/>
  <c r="AC8316" i="30"/>
  <c r="AD8316" i="30" s="1"/>
  <c r="AC8317" i="30"/>
  <c r="AD8317" i="30" s="1"/>
  <c r="AC8318" i="30"/>
  <c r="AD8318" i="30" s="1"/>
  <c r="AC8319" i="30"/>
  <c r="AD8319" i="30" s="1"/>
  <c r="AC8320" i="30"/>
  <c r="AD8320" i="30" s="1"/>
  <c r="AC8321" i="30"/>
  <c r="AD8321" i="30" s="1"/>
  <c r="AC8322" i="30"/>
  <c r="AD8322" i="30" s="1"/>
  <c r="AC8323" i="30"/>
  <c r="AD8323" i="30" s="1"/>
  <c r="AC8324" i="30"/>
  <c r="AD8324" i="30" s="1"/>
  <c r="AC8325" i="30"/>
  <c r="AD8325" i="30" s="1"/>
  <c r="AC8326" i="30"/>
  <c r="AD8326" i="30" s="1"/>
  <c r="AC8327" i="30"/>
  <c r="AD8327" i="30" s="1"/>
  <c r="AC8328" i="30"/>
  <c r="AD8328" i="30" s="1"/>
  <c r="AC8329" i="30"/>
  <c r="AD8329" i="30" s="1"/>
  <c r="AC8330" i="30"/>
  <c r="AD8330" i="30" s="1"/>
  <c r="AC8331" i="30"/>
  <c r="AD8331" i="30" s="1"/>
  <c r="AC8332" i="30"/>
  <c r="AD8332" i="30" s="1"/>
  <c r="AC8333" i="30"/>
  <c r="AD8333" i="30" s="1"/>
  <c r="AC8334" i="30"/>
  <c r="AD8334" i="30" s="1"/>
  <c r="AC8335" i="30"/>
  <c r="AD8335" i="30" s="1"/>
  <c r="AC8336" i="30"/>
  <c r="AD8336" i="30" s="1"/>
  <c r="AC8337" i="30"/>
  <c r="AD8337" i="30" s="1"/>
  <c r="AC8338" i="30"/>
  <c r="AD8338" i="30" s="1"/>
  <c r="AC8339" i="30"/>
  <c r="AD8339" i="30" s="1"/>
  <c r="AC8340" i="30"/>
  <c r="AD8340" i="30" s="1"/>
  <c r="AC8341" i="30"/>
  <c r="AD8341" i="30" s="1"/>
  <c r="AC8342" i="30"/>
  <c r="AD8342" i="30" s="1"/>
  <c r="AC8343" i="30"/>
  <c r="AD8343" i="30" s="1"/>
  <c r="AC8344" i="30"/>
  <c r="AD8344" i="30" s="1"/>
  <c r="AC8345" i="30"/>
  <c r="AD8345" i="30" s="1"/>
  <c r="AC8346" i="30"/>
  <c r="AD8346" i="30" s="1"/>
  <c r="AC8347" i="30"/>
  <c r="AD8347" i="30" s="1"/>
  <c r="AC8348" i="30"/>
  <c r="AD8348" i="30" s="1"/>
  <c r="AC8349" i="30"/>
  <c r="AD8349" i="30" s="1"/>
  <c r="AC8350" i="30"/>
  <c r="AD8350" i="30" s="1"/>
  <c r="AC8351" i="30"/>
  <c r="AD8351" i="30" s="1"/>
  <c r="AC8352" i="30"/>
  <c r="AD8352" i="30" s="1"/>
  <c r="AC8353" i="30"/>
  <c r="AD8353" i="30" s="1"/>
  <c r="AC8354" i="30"/>
  <c r="AD8354" i="30" s="1"/>
  <c r="AC8355" i="30"/>
  <c r="AD8355" i="30" s="1"/>
  <c r="AC8356" i="30"/>
  <c r="AD8356" i="30" s="1"/>
  <c r="AC8357" i="30"/>
  <c r="AD8357" i="30" s="1"/>
  <c r="AC8358" i="30"/>
  <c r="AD8358" i="30" s="1"/>
  <c r="AC8359" i="30"/>
  <c r="AD8359" i="30" s="1"/>
  <c r="AC8360" i="30"/>
  <c r="AD8360" i="30" s="1"/>
  <c r="AC8361" i="30"/>
  <c r="AD8361" i="30" s="1"/>
  <c r="AC8362" i="30"/>
  <c r="AD8362" i="30" s="1"/>
  <c r="AC8363" i="30"/>
  <c r="AD8363" i="30" s="1"/>
  <c r="AC8364" i="30"/>
  <c r="AD8364" i="30" s="1"/>
  <c r="AC8365" i="30"/>
  <c r="AD8365" i="30" s="1"/>
  <c r="AC8366" i="30"/>
  <c r="AD8366" i="30" s="1"/>
  <c r="AC8367" i="30"/>
  <c r="AD8367" i="30" s="1"/>
  <c r="AC8368" i="30"/>
  <c r="AD8368" i="30" s="1"/>
  <c r="AC8369" i="30"/>
  <c r="AD8369" i="30" s="1"/>
  <c r="AC8370" i="30"/>
  <c r="AD8370" i="30" s="1"/>
  <c r="AC8371" i="30"/>
  <c r="AD8371" i="30" s="1"/>
  <c r="AC8372" i="30"/>
  <c r="AD8372" i="30" s="1"/>
  <c r="AC8373" i="30"/>
  <c r="AD8373" i="30" s="1"/>
  <c r="AC8374" i="30"/>
  <c r="AD8374" i="30" s="1"/>
  <c r="AC8375" i="30"/>
  <c r="AD8375" i="30" s="1"/>
  <c r="AC8376" i="30"/>
  <c r="AD8376" i="30" s="1"/>
  <c r="AC8377" i="30"/>
  <c r="AD8377" i="30" s="1"/>
  <c r="AC8378" i="30"/>
  <c r="AD8378" i="30" s="1"/>
  <c r="AC8379" i="30"/>
  <c r="AD8379" i="30" s="1"/>
  <c r="AC8380" i="30"/>
  <c r="AD8380" i="30" s="1"/>
  <c r="AC8381" i="30"/>
  <c r="AD8381" i="30" s="1"/>
  <c r="AC8382" i="30"/>
  <c r="AD8382" i="30" s="1"/>
  <c r="AC8383" i="30"/>
  <c r="AD8383" i="30" s="1"/>
  <c r="AC8384" i="30"/>
  <c r="AD8384" i="30" s="1"/>
  <c r="AC8385" i="30"/>
  <c r="AD8385" i="30" s="1"/>
  <c r="AC8386" i="30"/>
  <c r="AD8386" i="30" s="1"/>
  <c r="AC8387" i="30"/>
  <c r="AD8387" i="30" s="1"/>
  <c r="AC8388" i="30"/>
  <c r="AD8388" i="30" s="1"/>
  <c r="AC8389" i="30"/>
  <c r="AD8389" i="30" s="1"/>
  <c r="AC8390" i="30"/>
  <c r="AD8390" i="30" s="1"/>
  <c r="AC8391" i="30"/>
  <c r="AD8391" i="30" s="1"/>
  <c r="AC8392" i="30"/>
  <c r="AD8392" i="30" s="1"/>
  <c r="AC8393" i="30"/>
  <c r="AD8393" i="30" s="1"/>
  <c r="AC8394" i="30"/>
  <c r="AD8394" i="30" s="1"/>
  <c r="AC8395" i="30"/>
  <c r="AD8395" i="30" s="1"/>
  <c r="AC8396" i="30"/>
  <c r="AD8396" i="30" s="1"/>
  <c r="AC8397" i="30"/>
  <c r="AD8397" i="30" s="1"/>
  <c r="AC8398" i="30"/>
  <c r="AD8398" i="30" s="1"/>
  <c r="AC8399" i="30"/>
  <c r="AD8399" i="30" s="1"/>
  <c r="AC8400" i="30"/>
  <c r="AD8400" i="30" s="1"/>
  <c r="AC8401" i="30"/>
  <c r="AD8401" i="30" s="1"/>
  <c r="AC8402" i="30"/>
  <c r="AD8402" i="30" s="1"/>
  <c r="AC8403" i="30"/>
  <c r="AD8403" i="30" s="1"/>
  <c r="AC8404" i="30"/>
  <c r="AD8404" i="30" s="1"/>
  <c r="AC8405" i="30"/>
  <c r="AD8405" i="30" s="1"/>
  <c r="AC8406" i="30"/>
  <c r="AD8406" i="30" s="1"/>
  <c r="AC8407" i="30"/>
  <c r="AD8407" i="30" s="1"/>
  <c r="AC8408" i="30"/>
  <c r="AD8408" i="30" s="1"/>
  <c r="AC8409" i="30"/>
  <c r="AD8409" i="30" s="1"/>
  <c r="AC8410" i="30"/>
  <c r="AD8410" i="30" s="1"/>
  <c r="AC8411" i="30"/>
  <c r="AD8411" i="30" s="1"/>
  <c r="AC8412" i="30"/>
  <c r="AD8412" i="30" s="1"/>
  <c r="AC8413" i="30"/>
  <c r="AD8413" i="30" s="1"/>
  <c r="AC8414" i="30"/>
  <c r="AD8414" i="30" s="1"/>
  <c r="AC8415" i="30"/>
  <c r="AD8415" i="30" s="1"/>
  <c r="AC8416" i="30"/>
  <c r="AD8416" i="30" s="1"/>
  <c r="AC8417" i="30"/>
  <c r="AD8417" i="30" s="1"/>
  <c r="AC8418" i="30"/>
  <c r="AD8418" i="30" s="1"/>
  <c r="AC8419" i="30"/>
  <c r="AD8419" i="30" s="1"/>
  <c r="AC8420" i="30"/>
  <c r="AD8420" i="30" s="1"/>
  <c r="AC8421" i="30"/>
  <c r="AD8421" i="30" s="1"/>
  <c r="AC8422" i="30"/>
  <c r="AD8422" i="30" s="1"/>
  <c r="AC8423" i="30"/>
  <c r="AD8423" i="30" s="1"/>
  <c r="AC8424" i="30"/>
  <c r="AD8424" i="30" s="1"/>
  <c r="AC8425" i="30"/>
  <c r="AD8425" i="30" s="1"/>
  <c r="AC8426" i="30"/>
  <c r="AD8426" i="30" s="1"/>
  <c r="AC8427" i="30"/>
  <c r="AD8427" i="30" s="1"/>
  <c r="AC8428" i="30"/>
  <c r="AD8428" i="30" s="1"/>
  <c r="AC8429" i="30"/>
  <c r="AD8429" i="30" s="1"/>
  <c r="AC8430" i="30"/>
  <c r="AD8430" i="30" s="1"/>
  <c r="AC8431" i="30"/>
  <c r="AD8431" i="30" s="1"/>
  <c r="AC8432" i="30"/>
  <c r="AD8432" i="30" s="1"/>
  <c r="AC8433" i="30"/>
  <c r="AD8433" i="30" s="1"/>
  <c r="AC8434" i="30"/>
  <c r="AD8434" i="30" s="1"/>
  <c r="AC8435" i="30"/>
  <c r="AD8435" i="30" s="1"/>
  <c r="AC8436" i="30"/>
  <c r="AD8436" i="30" s="1"/>
  <c r="AC8437" i="30"/>
  <c r="AD8437" i="30" s="1"/>
  <c r="AC8438" i="30"/>
  <c r="AD8438" i="30" s="1"/>
  <c r="AC8439" i="30"/>
  <c r="AD8439" i="30" s="1"/>
  <c r="AC8440" i="30"/>
  <c r="AD8440" i="30" s="1"/>
  <c r="AC8441" i="30"/>
  <c r="AD8441" i="30" s="1"/>
  <c r="AC8442" i="30"/>
  <c r="AD8442" i="30" s="1"/>
  <c r="AC8443" i="30"/>
  <c r="AD8443" i="30" s="1"/>
  <c r="AC8444" i="30"/>
  <c r="AD8444" i="30" s="1"/>
  <c r="AC8445" i="30"/>
  <c r="AD8445" i="30" s="1"/>
  <c r="AC8446" i="30"/>
  <c r="AD8446" i="30" s="1"/>
  <c r="AC8447" i="30"/>
  <c r="AD8447" i="30" s="1"/>
  <c r="AC8448" i="30"/>
  <c r="AD8448" i="30" s="1"/>
  <c r="AC8449" i="30"/>
  <c r="AD8449" i="30" s="1"/>
  <c r="AC8450" i="30"/>
  <c r="AD8450" i="30" s="1"/>
  <c r="AC8451" i="30"/>
  <c r="AD8451" i="30" s="1"/>
  <c r="AC8452" i="30"/>
  <c r="AD8452" i="30" s="1"/>
  <c r="AC8453" i="30"/>
  <c r="AD8453" i="30" s="1"/>
  <c r="AC8454" i="30"/>
  <c r="AD8454" i="30" s="1"/>
  <c r="AC8455" i="30"/>
  <c r="AD8455" i="30" s="1"/>
  <c r="AC8456" i="30"/>
  <c r="AD8456" i="30" s="1"/>
  <c r="AC8457" i="30"/>
  <c r="AD8457" i="30" s="1"/>
  <c r="AC8458" i="30"/>
  <c r="AD8458" i="30" s="1"/>
  <c r="AC8459" i="30"/>
  <c r="AD8459" i="30" s="1"/>
  <c r="AC8460" i="30"/>
  <c r="AD8460" i="30" s="1"/>
  <c r="AC8461" i="30"/>
  <c r="AD8461" i="30" s="1"/>
  <c r="AC8462" i="30"/>
  <c r="AD8462" i="30" s="1"/>
  <c r="AC8463" i="30"/>
  <c r="AD8463" i="30" s="1"/>
  <c r="AC8464" i="30"/>
  <c r="AD8464" i="30" s="1"/>
  <c r="AC8465" i="30"/>
  <c r="AD8465" i="30" s="1"/>
  <c r="AC8466" i="30"/>
  <c r="AD8466" i="30" s="1"/>
  <c r="AC8467" i="30"/>
  <c r="AD8467" i="30" s="1"/>
  <c r="AC8468" i="30"/>
  <c r="AD8468" i="30" s="1"/>
  <c r="AC8469" i="30"/>
  <c r="AD8469" i="30" s="1"/>
  <c r="AC8470" i="30"/>
  <c r="AD8470" i="30" s="1"/>
  <c r="AC8471" i="30"/>
  <c r="AD8471" i="30" s="1"/>
  <c r="AC8472" i="30"/>
  <c r="AD8472" i="30" s="1"/>
  <c r="AC8473" i="30"/>
  <c r="AD8473" i="30" s="1"/>
  <c r="AC8474" i="30"/>
  <c r="AD8474" i="30" s="1"/>
  <c r="AC8475" i="30"/>
  <c r="AD8475" i="30" s="1"/>
  <c r="AC8476" i="30"/>
  <c r="AD8476" i="30" s="1"/>
  <c r="AC8477" i="30"/>
  <c r="AD8477" i="30" s="1"/>
  <c r="AC8478" i="30"/>
  <c r="AD8478" i="30" s="1"/>
  <c r="AC8479" i="30"/>
  <c r="AD8479" i="30" s="1"/>
  <c r="AC8480" i="30"/>
  <c r="AD8480" i="30" s="1"/>
  <c r="AC8481" i="30"/>
  <c r="AD8481" i="30" s="1"/>
  <c r="AC8482" i="30"/>
  <c r="AD8482" i="30" s="1"/>
  <c r="AC8483" i="30"/>
  <c r="AD8483" i="30" s="1"/>
  <c r="AC8484" i="30"/>
  <c r="AD8484" i="30" s="1"/>
  <c r="AC8485" i="30"/>
  <c r="AD8485" i="30" s="1"/>
  <c r="AC8486" i="30"/>
  <c r="AD8486" i="30" s="1"/>
  <c r="AC8487" i="30"/>
  <c r="AD8487" i="30" s="1"/>
  <c r="AC8488" i="30"/>
  <c r="AD8488" i="30" s="1"/>
  <c r="AC8489" i="30"/>
  <c r="AD8489" i="30" s="1"/>
  <c r="AC8490" i="30"/>
  <c r="AD8490" i="30" s="1"/>
  <c r="AC8491" i="30"/>
  <c r="AD8491" i="30" s="1"/>
  <c r="AC8492" i="30"/>
  <c r="AD8492" i="30" s="1"/>
  <c r="AC8493" i="30"/>
  <c r="AD8493" i="30" s="1"/>
  <c r="AC8494" i="30"/>
  <c r="AD8494" i="30" s="1"/>
  <c r="AC8495" i="30"/>
  <c r="AD8495" i="30" s="1"/>
  <c r="AC8496" i="30"/>
  <c r="AD8496" i="30" s="1"/>
  <c r="AC8497" i="30"/>
  <c r="AD8497" i="30" s="1"/>
  <c r="AC8498" i="30"/>
  <c r="AD8498" i="30" s="1"/>
  <c r="AC8499" i="30"/>
  <c r="AD8499" i="30" s="1"/>
  <c r="AC8500" i="30"/>
  <c r="AD8500" i="30" s="1"/>
  <c r="AC8501" i="30"/>
  <c r="AD8501" i="30" s="1"/>
  <c r="AC8502" i="30"/>
  <c r="AD8502" i="30" s="1"/>
  <c r="AC8503" i="30"/>
  <c r="AD8503" i="30" s="1"/>
  <c r="AC8504" i="30"/>
  <c r="AD8504" i="30" s="1"/>
  <c r="AC8505" i="30"/>
  <c r="AD8505" i="30" s="1"/>
  <c r="AC8506" i="30"/>
  <c r="AD8506" i="30" s="1"/>
  <c r="AC8507" i="30"/>
  <c r="AD8507" i="30" s="1"/>
  <c r="AC8508" i="30"/>
  <c r="AD8508" i="30" s="1"/>
  <c r="AC8509" i="30"/>
  <c r="AD8509" i="30" s="1"/>
  <c r="AC8510" i="30"/>
  <c r="AD8510" i="30" s="1"/>
  <c r="AC8511" i="30"/>
  <c r="AD8511" i="30" s="1"/>
  <c r="AC8512" i="30"/>
  <c r="AD8512" i="30" s="1"/>
  <c r="AC8513" i="30"/>
  <c r="AD8513" i="30" s="1"/>
  <c r="AC8514" i="30"/>
  <c r="AD8514" i="30" s="1"/>
  <c r="AC8515" i="30"/>
  <c r="AD8515" i="30" s="1"/>
  <c r="AC8516" i="30"/>
  <c r="AD8516" i="30" s="1"/>
  <c r="AC8517" i="30"/>
  <c r="AD8517" i="30" s="1"/>
  <c r="AC8518" i="30"/>
  <c r="AD8518" i="30" s="1"/>
  <c r="AC8519" i="30"/>
  <c r="AD8519" i="30" s="1"/>
  <c r="AC8520" i="30"/>
  <c r="AD8520" i="30" s="1"/>
  <c r="AC8521" i="30"/>
  <c r="AD8521" i="30" s="1"/>
  <c r="AC8522" i="30"/>
  <c r="AD8522" i="30" s="1"/>
  <c r="AC8523" i="30"/>
  <c r="AD8523" i="30" s="1"/>
  <c r="AC8524" i="30"/>
  <c r="AD8524" i="30" s="1"/>
  <c r="AC8525" i="30"/>
  <c r="AD8525" i="30" s="1"/>
  <c r="AC8526" i="30"/>
  <c r="AD8526" i="30" s="1"/>
  <c r="AC8527" i="30"/>
  <c r="AD8527" i="30" s="1"/>
  <c r="AC8528" i="30"/>
  <c r="AD8528" i="30" s="1"/>
  <c r="AC8529" i="30"/>
  <c r="AD8529" i="30" s="1"/>
  <c r="AC8530" i="30"/>
  <c r="AD8530" i="30" s="1"/>
  <c r="AC8531" i="30"/>
  <c r="AD8531" i="30" s="1"/>
  <c r="AC8532" i="30"/>
  <c r="AD8532" i="30" s="1"/>
  <c r="AC8533" i="30"/>
  <c r="AD8533" i="30" s="1"/>
  <c r="AC8534" i="30"/>
  <c r="AD8534" i="30" s="1"/>
  <c r="AC8535" i="30"/>
  <c r="AD8535" i="30" s="1"/>
  <c r="AC8536" i="30"/>
  <c r="AD8536" i="30" s="1"/>
  <c r="AC8537" i="30"/>
  <c r="AD8537" i="30" s="1"/>
  <c r="AC8538" i="30"/>
  <c r="AD8538" i="30" s="1"/>
  <c r="AC8539" i="30"/>
  <c r="AD8539" i="30" s="1"/>
  <c r="AC8540" i="30"/>
  <c r="AD8540" i="30" s="1"/>
  <c r="AC8541" i="30"/>
  <c r="AD8541" i="30" s="1"/>
  <c r="AC8542" i="30"/>
  <c r="AD8542" i="30" s="1"/>
  <c r="AC8543" i="30"/>
  <c r="AD8543" i="30" s="1"/>
  <c r="AC8544" i="30"/>
  <c r="AD8544" i="30" s="1"/>
  <c r="AC8545" i="30"/>
  <c r="AD8545" i="30" s="1"/>
  <c r="AC8546" i="30"/>
  <c r="AD8546" i="30" s="1"/>
  <c r="AC8547" i="30"/>
  <c r="AD8547" i="30" s="1"/>
  <c r="AC8548" i="30"/>
  <c r="AD8548" i="30" s="1"/>
  <c r="AC8549" i="30"/>
  <c r="AD8549" i="30" s="1"/>
  <c r="AC8550" i="30"/>
  <c r="AD8550" i="30" s="1"/>
  <c r="AC8551" i="30"/>
  <c r="AD8551" i="30" s="1"/>
  <c r="AC8552" i="30"/>
  <c r="AD8552" i="30" s="1"/>
  <c r="AC8553" i="30"/>
  <c r="AD8553" i="30" s="1"/>
  <c r="AC8554" i="30"/>
  <c r="AD8554" i="30" s="1"/>
  <c r="AC8555" i="30"/>
  <c r="AD8555" i="30" s="1"/>
  <c r="AC8556" i="30"/>
  <c r="AD8556" i="30" s="1"/>
  <c r="AC8557" i="30"/>
  <c r="AD8557" i="30" s="1"/>
  <c r="AC8558" i="30"/>
  <c r="AD8558" i="30" s="1"/>
  <c r="AC8559" i="30"/>
  <c r="AD8559" i="30" s="1"/>
  <c r="AC8560" i="30"/>
  <c r="AD8560" i="30" s="1"/>
  <c r="AC8561" i="30"/>
  <c r="AD8561" i="30" s="1"/>
  <c r="AC8562" i="30"/>
  <c r="AD8562" i="30" s="1"/>
  <c r="AC8563" i="30"/>
  <c r="AD8563" i="30" s="1"/>
  <c r="AC8564" i="30"/>
  <c r="AD8564" i="30" s="1"/>
  <c r="AC8565" i="30"/>
  <c r="AD8565" i="30" s="1"/>
  <c r="AC8566" i="30"/>
  <c r="AD8566" i="30" s="1"/>
  <c r="AC8567" i="30"/>
  <c r="AD8567" i="30" s="1"/>
  <c r="AC8568" i="30"/>
  <c r="AD8568" i="30" s="1"/>
  <c r="AC8569" i="30"/>
  <c r="AD8569" i="30" s="1"/>
  <c r="AC8570" i="30"/>
  <c r="AD8570" i="30" s="1"/>
  <c r="AC8571" i="30"/>
  <c r="AD8571" i="30" s="1"/>
  <c r="AC8572" i="30"/>
  <c r="AD8572" i="30" s="1"/>
  <c r="AC8573" i="30"/>
  <c r="AD8573" i="30" s="1"/>
  <c r="AC8574" i="30"/>
  <c r="AD8574" i="30" s="1"/>
  <c r="AC8575" i="30"/>
  <c r="AD8575" i="30" s="1"/>
  <c r="AC8576" i="30"/>
  <c r="AD8576" i="30" s="1"/>
  <c r="AC8577" i="30"/>
  <c r="AD8577" i="30" s="1"/>
  <c r="AC8578" i="30"/>
  <c r="AD8578" i="30" s="1"/>
  <c r="AC8579" i="30"/>
  <c r="AD8579" i="30" s="1"/>
  <c r="AC8580" i="30"/>
  <c r="AD8580" i="30" s="1"/>
  <c r="AC8581" i="30"/>
  <c r="AD8581" i="30" s="1"/>
  <c r="AC8582" i="30"/>
  <c r="AD8582" i="30" s="1"/>
  <c r="AC8583" i="30"/>
  <c r="AD8583" i="30" s="1"/>
  <c r="AC8584" i="30"/>
  <c r="AD8584" i="30" s="1"/>
  <c r="AC8585" i="30"/>
  <c r="AD8585" i="30" s="1"/>
  <c r="AC8586" i="30"/>
  <c r="AD8586" i="30" s="1"/>
  <c r="AC8587" i="30"/>
  <c r="AD8587" i="30" s="1"/>
  <c r="AC8588" i="30"/>
  <c r="AD8588" i="30" s="1"/>
  <c r="AC8589" i="30"/>
  <c r="AD8589" i="30" s="1"/>
  <c r="AC8590" i="30"/>
  <c r="AD8590" i="30" s="1"/>
  <c r="AC8591" i="30"/>
  <c r="AD8591" i="30" s="1"/>
  <c r="AC8592" i="30"/>
  <c r="AD8592" i="30" s="1"/>
  <c r="AC8593" i="30"/>
  <c r="AD8593" i="30" s="1"/>
  <c r="AC8594" i="30"/>
  <c r="AD8594" i="30" s="1"/>
  <c r="AC8595" i="30"/>
  <c r="AD8595" i="30" s="1"/>
  <c r="AC8596" i="30"/>
  <c r="AD8596" i="30" s="1"/>
  <c r="AC8597" i="30"/>
  <c r="AD8597" i="30" s="1"/>
  <c r="AC8598" i="30"/>
  <c r="AD8598" i="30" s="1"/>
  <c r="AC8599" i="30"/>
  <c r="AD8599" i="30" s="1"/>
  <c r="AC8600" i="30"/>
  <c r="AD8600" i="30" s="1"/>
  <c r="AC8601" i="30"/>
  <c r="AD8601" i="30" s="1"/>
  <c r="AC8602" i="30"/>
  <c r="AD8602" i="30" s="1"/>
  <c r="AC8603" i="30"/>
  <c r="AD8603" i="30" s="1"/>
  <c r="AC8604" i="30"/>
  <c r="AD8604" i="30" s="1"/>
  <c r="AC8605" i="30"/>
  <c r="AD8605" i="30" s="1"/>
  <c r="AC8606" i="30"/>
  <c r="AD8606" i="30" s="1"/>
  <c r="AC8607" i="30"/>
  <c r="AD8607" i="30" s="1"/>
  <c r="AC8608" i="30"/>
  <c r="AD8608" i="30" s="1"/>
  <c r="AC8609" i="30"/>
  <c r="AD8609" i="30" s="1"/>
  <c r="AC8610" i="30"/>
  <c r="AD8610" i="30" s="1"/>
  <c r="AC8611" i="30"/>
  <c r="AD8611" i="30" s="1"/>
  <c r="AC8612" i="30"/>
  <c r="AD8612" i="30" s="1"/>
  <c r="AC8613" i="30"/>
  <c r="AD8613" i="30" s="1"/>
  <c r="AC8614" i="30"/>
  <c r="AD8614" i="30" s="1"/>
  <c r="AC8615" i="30"/>
  <c r="AD8615" i="30" s="1"/>
  <c r="AC8616" i="30"/>
  <c r="AD8616" i="30" s="1"/>
  <c r="AC8617" i="30"/>
  <c r="AD8617" i="30" s="1"/>
  <c r="AC8618" i="30"/>
  <c r="AD8618" i="30" s="1"/>
  <c r="AC8619" i="30"/>
  <c r="AD8619" i="30" s="1"/>
  <c r="AC8620" i="30"/>
  <c r="AD8620" i="30" s="1"/>
  <c r="AC8621" i="30"/>
  <c r="AD8621" i="30" s="1"/>
  <c r="AC8622" i="30"/>
  <c r="AD8622" i="30" s="1"/>
  <c r="AC8623" i="30"/>
  <c r="AD8623" i="30" s="1"/>
  <c r="AC8624" i="30"/>
  <c r="AD8624" i="30" s="1"/>
  <c r="AC8625" i="30"/>
  <c r="AD8625" i="30" s="1"/>
  <c r="AC8626" i="30"/>
  <c r="AD8626" i="30" s="1"/>
  <c r="AC8627" i="30"/>
  <c r="AD8627" i="30" s="1"/>
  <c r="AC8628" i="30"/>
  <c r="AD8628" i="30" s="1"/>
  <c r="AC8629" i="30"/>
  <c r="AD8629" i="30" s="1"/>
  <c r="AC8630" i="30"/>
  <c r="AD8630" i="30" s="1"/>
  <c r="AC8631" i="30"/>
  <c r="AD8631" i="30" s="1"/>
  <c r="AC8632" i="30"/>
  <c r="AD8632" i="30" s="1"/>
  <c r="AC8633" i="30"/>
  <c r="AD8633" i="30" s="1"/>
  <c r="AC8634" i="30"/>
  <c r="AD8634" i="30" s="1"/>
  <c r="AC8635" i="30"/>
  <c r="AD8635" i="30" s="1"/>
  <c r="AC8636" i="30"/>
  <c r="AD8636" i="30" s="1"/>
  <c r="AC8637" i="30"/>
  <c r="AD8637" i="30" s="1"/>
  <c r="AC8638" i="30"/>
  <c r="AD8638" i="30" s="1"/>
  <c r="AC8639" i="30"/>
  <c r="AD8639" i="30" s="1"/>
  <c r="AC8640" i="30"/>
  <c r="AD8640" i="30" s="1"/>
  <c r="AC8641" i="30"/>
  <c r="AD8641" i="30" s="1"/>
  <c r="AC8642" i="30"/>
  <c r="AD8642" i="30" s="1"/>
  <c r="AC8643" i="30"/>
  <c r="AD8643" i="30" s="1"/>
  <c r="AC8644" i="30"/>
  <c r="AD8644" i="30" s="1"/>
  <c r="AC8645" i="30"/>
  <c r="AD8645" i="30" s="1"/>
  <c r="AC8646" i="30"/>
  <c r="AD8646" i="30" s="1"/>
  <c r="AC8647" i="30"/>
  <c r="AD8647" i="30" s="1"/>
  <c r="AC8648" i="30"/>
  <c r="AD8648" i="30" s="1"/>
  <c r="AC8649" i="30"/>
  <c r="AD8649" i="30" s="1"/>
  <c r="AC8650" i="30"/>
  <c r="AD8650" i="30" s="1"/>
  <c r="AC8651" i="30"/>
  <c r="AD8651" i="30" s="1"/>
  <c r="AC8652" i="30"/>
  <c r="AD8652" i="30" s="1"/>
  <c r="AC8653" i="30"/>
  <c r="AD8653" i="30" s="1"/>
  <c r="AC8654" i="30"/>
  <c r="AD8654" i="30" s="1"/>
  <c r="AC8655" i="30"/>
  <c r="AD8655" i="30" s="1"/>
  <c r="AC8656" i="30"/>
  <c r="AD8656" i="30" s="1"/>
  <c r="AC8657" i="30"/>
  <c r="AD8657" i="30" s="1"/>
  <c r="AC8658" i="30"/>
  <c r="AD8658" i="30" s="1"/>
  <c r="AC8659" i="30"/>
  <c r="AD8659" i="30" s="1"/>
  <c r="AC8660" i="30"/>
  <c r="AD8660" i="30" s="1"/>
  <c r="AC8661" i="30"/>
  <c r="AD8661" i="30" s="1"/>
  <c r="AC8662" i="30"/>
  <c r="AD8662" i="30" s="1"/>
  <c r="AC8663" i="30"/>
  <c r="AD8663" i="30" s="1"/>
  <c r="AC8664" i="30"/>
  <c r="AD8664" i="30" s="1"/>
  <c r="AC8665" i="30"/>
  <c r="AD8665" i="30" s="1"/>
  <c r="AC8666" i="30"/>
  <c r="AD8666" i="30" s="1"/>
  <c r="AC8667" i="30"/>
  <c r="AD8667" i="30" s="1"/>
  <c r="AC8668" i="30"/>
  <c r="AD8668" i="30" s="1"/>
  <c r="AC8669" i="30"/>
  <c r="AD8669" i="30" s="1"/>
  <c r="AC8670" i="30"/>
  <c r="AD8670" i="30" s="1"/>
  <c r="AC8671" i="30"/>
  <c r="AD8671" i="30" s="1"/>
  <c r="AC8672" i="30"/>
  <c r="AD8672" i="30" s="1"/>
  <c r="AC8673" i="30"/>
  <c r="AD8673" i="30" s="1"/>
  <c r="AC8674" i="30"/>
  <c r="AD8674" i="30" s="1"/>
  <c r="AC8675" i="30"/>
  <c r="AD8675" i="30" s="1"/>
  <c r="AC8676" i="30"/>
  <c r="AD8676" i="30" s="1"/>
  <c r="AC8677" i="30"/>
  <c r="AD8677" i="30" s="1"/>
  <c r="AC8678" i="30"/>
  <c r="AD8678" i="30" s="1"/>
  <c r="AC8679" i="30"/>
  <c r="AD8679" i="30" s="1"/>
  <c r="AC8680" i="30"/>
  <c r="AD8680" i="30" s="1"/>
  <c r="AC8681" i="30"/>
  <c r="AD8681" i="30" s="1"/>
  <c r="AC8682" i="30"/>
  <c r="AD8682" i="30" s="1"/>
  <c r="AC8683" i="30"/>
  <c r="AD8683" i="30" s="1"/>
  <c r="AC8684" i="30"/>
  <c r="AD8684" i="30" s="1"/>
  <c r="AC8685" i="30"/>
  <c r="AD8685" i="30" s="1"/>
  <c r="AC8686" i="30"/>
  <c r="AD8686" i="30" s="1"/>
  <c r="AC8687" i="30"/>
  <c r="AD8687" i="30" s="1"/>
  <c r="AC8688" i="30"/>
  <c r="AD8688" i="30" s="1"/>
  <c r="AC8689" i="30"/>
  <c r="AD8689" i="30" s="1"/>
  <c r="AC8690" i="30"/>
  <c r="AD8690" i="30" s="1"/>
  <c r="AC8691" i="30"/>
  <c r="AD8691" i="30" s="1"/>
  <c r="AC8692" i="30"/>
  <c r="AD8692" i="30" s="1"/>
  <c r="AC8693" i="30"/>
  <c r="AD8693" i="30" s="1"/>
  <c r="AC8694" i="30"/>
  <c r="AD8694" i="30" s="1"/>
  <c r="AC8695" i="30"/>
  <c r="AD8695" i="30" s="1"/>
  <c r="AC8696" i="30"/>
  <c r="AD8696" i="30" s="1"/>
  <c r="AC8697" i="30"/>
  <c r="AD8697" i="30" s="1"/>
  <c r="AC8698" i="30"/>
  <c r="AD8698" i="30" s="1"/>
  <c r="AC8699" i="30"/>
  <c r="AD8699" i="30" s="1"/>
  <c r="AC8700" i="30"/>
  <c r="AD8700" i="30" s="1"/>
  <c r="AC8701" i="30"/>
  <c r="AD8701" i="30" s="1"/>
  <c r="AC8702" i="30"/>
  <c r="AD8702" i="30" s="1"/>
  <c r="AC8703" i="30"/>
  <c r="AD8703" i="30" s="1"/>
  <c r="AC8704" i="30"/>
  <c r="AD8704" i="30" s="1"/>
  <c r="AC8705" i="30"/>
  <c r="AD8705" i="30" s="1"/>
  <c r="AC8706" i="30"/>
  <c r="AD8706" i="30" s="1"/>
  <c r="AC8707" i="30"/>
  <c r="AD8707" i="30" s="1"/>
  <c r="AC8708" i="30"/>
  <c r="AD8708" i="30" s="1"/>
  <c r="AC8709" i="30"/>
  <c r="AD8709" i="30" s="1"/>
  <c r="AC8710" i="30"/>
  <c r="AD8710" i="30" s="1"/>
  <c r="AC8711" i="30"/>
  <c r="AD8711" i="30" s="1"/>
  <c r="AC8712" i="30"/>
  <c r="AD8712" i="30" s="1"/>
  <c r="AC8713" i="30"/>
  <c r="AD8713" i="30" s="1"/>
  <c r="AC8714" i="30"/>
  <c r="AD8714" i="30" s="1"/>
  <c r="AC8715" i="30"/>
  <c r="AD8715" i="30" s="1"/>
  <c r="AC8716" i="30"/>
  <c r="AD8716" i="30" s="1"/>
  <c r="AC8717" i="30"/>
  <c r="AD8717" i="30" s="1"/>
  <c r="AC8718" i="30"/>
  <c r="AD8718" i="30" s="1"/>
  <c r="AC8719" i="30"/>
  <c r="AD8719" i="30" s="1"/>
  <c r="AC8720" i="30"/>
  <c r="AD8720" i="30" s="1"/>
  <c r="AC8721" i="30"/>
  <c r="AD8721" i="30" s="1"/>
  <c r="AC8722" i="30"/>
  <c r="AD8722" i="30" s="1"/>
  <c r="AC8723" i="30"/>
  <c r="AD8723" i="30" s="1"/>
  <c r="AC8724" i="30"/>
  <c r="AD8724" i="30" s="1"/>
  <c r="AC8725" i="30"/>
  <c r="AD8725" i="30" s="1"/>
  <c r="AC8726" i="30"/>
  <c r="AD8726" i="30" s="1"/>
  <c r="AC8727" i="30"/>
  <c r="AD8727" i="30" s="1"/>
  <c r="AC8728" i="30"/>
  <c r="AD8728" i="30" s="1"/>
  <c r="AC8729" i="30"/>
  <c r="AD8729" i="30" s="1"/>
  <c r="AC8730" i="30"/>
  <c r="AD8730" i="30" s="1"/>
  <c r="AC8731" i="30"/>
  <c r="AD8731" i="30" s="1"/>
  <c r="AC8732" i="30"/>
  <c r="AD8732" i="30" s="1"/>
  <c r="AC8733" i="30"/>
  <c r="AD8733" i="30" s="1"/>
  <c r="AC8734" i="30"/>
  <c r="AD8734" i="30" s="1"/>
  <c r="AC8735" i="30"/>
  <c r="AD8735" i="30" s="1"/>
  <c r="AC8736" i="30"/>
  <c r="AD8736" i="30" s="1"/>
  <c r="AC8737" i="30"/>
  <c r="AD8737" i="30" s="1"/>
  <c r="AC8738" i="30"/>
  <c r="AD8738" i="30" s="1"/>
  <c r="AC8739" i="30"/>
  <c r="AD8739" i="30" s="1"/>
  <c r="AC8740" i="30"/>
  <c r="AD8740" i="30" s="1"/>
  <c r="AC8741" i="30"/>
  <c r="AD8741" i="30" s="1"/>
  <c r="AC8742" i="30"/>
  <c r="AD8742" i="30" s="1"/>
  <c r="AC8743" i="30"/>
  <c r="AD8743" i="30" s="1"/>
  <c r="AC8744" i="30"/>
  <c r="AD8744" i="30" s="1"/>
  <c r="AC8745" i="30"/>
  <c r="AD8745" i="30" s="1"/>
  <c r="AC8746" i="30"/>
  <c r="AD8746" i="30" s="1"/>
  <c r="AC8747" i="30"/>
  <c r="AD8747" i="30" s="1"/>
  <c r="AC8748" i="30"/>
  <c r="AD8748" i="30" s="1"/>
  <c r="AC8749" i="30"/>
  <c r="AD8749" i="30" s="1"/>
  <c r="AC8750" i="30"/>
  <c r="AD8750" i="30" s="1"/>
  <c r="AC8751" i="30"/>
  <c r="AD8751" i="30" s="1"/>
  <c r="AC8752" i="30"/>
  <c r="AD8752" i="30" s="1"/>
  <c r="AC8753" i="30"/>
  <c r="AD8753" i="30" s="1"/>
  <c r="AC8754" i="30"/>
  <c r="AD8754" i="30" s="1"/>
  <c r="AC8755" i="30"/>
  <c r="AD8755" i="30" s="1"/>
  <c r="AC8756" i="30"/>
  <c r="AD8756" i="30" s="1"/>
  <c r="AC8757" i="30"/>
  <c r="AD8757" i="30" s="1"/>
  <c r="AC8758" i="30"/>
  <c r="AD8758" i="30" s="1"/>
  <c r="AC8759" i="30"/>
  <c r="AD8759" i="30" s="1"/>
  <c r="AC8760" i="30"/>
  <c r="AD8760" i="30" s="1"/>
  <c r="AC8761" i="30"/>
  <c r="AD8761" i="30" s="1"/>
  <c r="AC8762" i="30"/>
  <c r="AD8762" i="30" s="1"/>
  <c r="AB8762" i="30"/>
  <c r="AB8761" i="30"/>
  <c r="AB8760" i="30"/>
  <c r="AB8759" i="30"/>
  <c r="AB8758" i="30"/>
  <c r="AB8757" i="30"/>
  <c r="AB8756" i="30"/>
  <c r="AB8755" i="30"/>
  <c r="AB8754" i="30"/>
  <c r="AB8753" i="30"/>
  <c r="AB8752" i="30"/>
  <c r="AB8751" i="30"/>
  <c r="AB8750" i="30"/>
  <c r="AB8749" i="30"/>
  <c r="AB8748" i="30"/>
  <c r="AB8747" i="30"/>
  <c r="AB8746" i="30"/>
  <c r="AB8745" i="30"/>
  <c r="AB8744" i="30"/>
  <c r="AB8743" i="30"/>
  <c r="AB8742" i="30"/>
  <c r="AB8741" i="30"/>
  <c r="AB8740" i="30"/>
  <c r="AB8739" i="30"/>
  <c r="AB8738" i="30"/>
  <c r="AB8737" i="30"/>
  <c r="AB8736" i="30"/>
  <c r="AB8735" i="30"/>
  <c r="AB8734" i="30"/>
  <c r="AB8733" i="30"/>
  <c r="AB8732" i="30"/>
  <c r="AB8731" i="30"/>
  <c r="AB8730" i="30"/>
  <c r="AB8729" i="30"/>
  <c r="AB8728" i="30"/>
  <c r="AB8727" i="30"/>
  <c r="AB8726" i="30"/>
  <c r="AB8725" i="30"/>
  <c r="AB8724" i="30"/>
  <c r="AB8723" i="30"/>
  <c r="AB8722" i="30"/>
  <c r="AB8721" i="30"/>
  <c r="AB8720" i="30"/>
  <c r="AB8719" i="30"/>
  <c r="AB8718" i="30"/>
  <c r="AB8717" i="30"/>
  <c r="AB8716" i="30"/>
  <c r="AB8715" i="30"/>
  <c r="AB8714" i="30"/>
  <c r="AB8713" i="30"/>
  <c r="AB8712" i="30"/>
  <c r="AB8711" i="30"/>
  <c r="AB8710" i="30"/>
  <c r="AB8709" i="30"/>
  <c r="AB8708" i="30"/>
  <c r="AB8707" i="30"/>
  <c r="AB8706" i="30"/>
  <c r="AB8705" i="30"/>
  <c r="AB8704" i="30"/>
  <c r="AB8703" i="30"/>
  <c r="AB8702" i="30"/>
  <c r="AB8701" i="30"/>
  <c r="AB8700" i="30"/>
  <c r="AB8699" i="30"/>
  <c r="AB8698" i="30"/>
  <c r="AB8697" i="30"/>
  <c r="AB8696" i="30"/>
  <c r="AB8695" i="30"/>
  <c r="AB8694" i="30"/>
  <c r="AB8693" i="30"/>
  <c r="AB8692" i="30"/>
  <c r="AB8691" i="30"/>
  <c r="AB8690" i="30"/>
  <c r="AB8689" i="30"/>
  <c r="AB8688" i="30"/>
  <c r="AB8687" i="30"/>
  <c r="AB8686" i="30"/>
  <c r="AB8685" i="30"/>
  <c r="AB8684" i="30"/>
  <c r="AB8683" i="30"/>
  <c r="AB8682" i="30"/>
  <c r="AB8681" i="30"/>
  <c r="AB8680" i="30"/>
  <c r="AB8679" i="30"/>
  <c r="AB8678" i="30"/>
  <c r="AB8677" i="30"/>
  <c r="AB8676" i="30"/>
  <c r="AB8675" i="30"/>
  <c r="AB8674" i="30"/>
  <c r="AB8673" i="30"/>
  <c r="AB8672" i="30"/>
  <c r="AB8671" i="30"/>
  <c r="AB8670" i="30"/>
  <c r="AB8669" i="30"/>
  <c r="AB8668" i="30"/>
  <c r="AB8667" i="30"/>
  <c r="AB8666" i="30"/>
  <c r="AB8665" i="30"/>
  <c r="AB8664" i="30"/>
  <c r="AB8663" i="30"/>
  <c r="AB8662" i="30"/>
  <c r="AB8661" i="30"/>
  <c r="AB8660" i="30"/>
  <c r="AB8659" i="30"/>
  <c r="AB8658" i="30"/>
  <c r="AB8657" i="30"/>
  <c r="AB8656" i="30"/>
  <c r="AB8655" i="30"/>
  <c r="AB8654" i="30"/>
  <c r="AB8653" i="30"/>
  <c r="AB8652" i="30"/>
  <c r="AB8651" i="30"/>
  <c r="AB8650" i="30"/>
  <c r="AB8649" i="30"/>
  <c r="AB8648" i="30"/>
  <c r="AB8647" i="30"/>
  <c r="AB8646" i="30"/>
  <c r="AB8645" i="30"/>
  <c r="AB8644" i="30"/>
  <c r="AB8643" i="30"/>
  <c r="AB8642" i="30"/>
  <c r="AB8641" i="30"/>
  <c r="AB8640" i="30"/>
  <c r="AB8639" i="30"/>
  <c r="AB8638" i="30"/>
  <c r="AB8637" i="30"/>
  <c r="AB8636" i="30"/>
  <c r="AB8635" i="30"/>
  <c r="AB8634" i="30"/>
  <c r="AB8633" i="30"/>
  <c r="AB8632" i="30"/>
  <c r="AB8631" i="30"/>
  <c r="AB8630" i="30"/>
  <c r="AB8629" i="30"/>
  <c r="AB8628" i="30"/>
  <c r="AB8627" i="30"/>
  <c r="AB8626" i="30"/>
  <c r="AB8625" i="30"/>
  <c r="AB8624" i="30"/>
  <c r="AB8623" i="30"/>
  <c r="AB8622" i="30"/>
  <c r="AB8621" i="30"/>
  <c r="AB8620" i="30"/>
  <c r="AB8619" i="30"/>
  <c r="AB8618" i="30"/>
  <c r="AB8617" i="30"/>
  <c r="AB8616" i="30"/>
  <c r="AB8615" i="30"/>
  <c r="AB8614" i="30"/>
  <c r="AB8613" i="30"/>
  <c r="AB8612" i="30"/>
  <c r="AB8611" i="30"/>
  <c r="AB8610" i="30"/>
  <c r="AB8609" i="30"/>
  <c r="AB8608" i="30"/>
  <c r="AB8607" i="30"/>
  <c r="AB8606" i="30"/>
  <c r="AB8605" i="30"/>
  <c r="AB8604" i="30"/>
  <c r="AB8603" i="30"/>
  <c r="AB8602" i="30"/>
  <c r="AB8601" i="30"/>
  <c r="AB8600" i="30"/>
  <c r="AB8599" i="30"/>
  <c r="AB8598" i="30"/>
  <c r="AB8597" i="30"/>
  <c r="AB8596" i="30"/>
  <c r="AB8595" i="30"/>
  <c r="AB8594" i="30"/>
  <c r="AB8593" i="30"/>
  <c r="AB8592" i="30"/>
  <c r="AB8591" i="30"/>
  <c r="AB8590" i="30"/>
  <c r="AB8589" i="30"/>
  <c r="AB8588" i="30"/>
  <c r="AB8587" i="30"/>
  <c r="AB8586" i="30"/>
  <c r="AB8585" i="30"/>
  <c r="AB8584" i="30"/>
  <c r="AB8583" i="30"/>
  <c r="AB8582" i="30"/>
  <c r="AB8581" i="30"/>
  <c r="AB8580" i="30"/>
  <c r="AB8579" i="30"/>
  <c r="AB8578" i="30"/>
  <c r="AB8577" i="30"/>
  <c r="AB8576" i="30"/>
  <c r="AB8575" i="30"/>
  <c r="AB8574" i="30"/>
  <c r="AB8573" i="30"/>
  <c r="AB8572" i="30"/>
  <c r="AB8571" i="30"/>
  <c r="AB8570" i="30"/>
  <c r="AB8569" i="30"/>
  <c r="AB8568" i="30"/>
  <c r="AB8567" i="30"/>
  <c r="AB8566" i="30"/>
  <c r="AB8565" i="30"/>
  <c r="AB8564" i="30"/>
  <c r="AB8563" i="30"/>
  <c r="AB8562" i="30"/>
  <c r="AB8561" i="30"/>
  <c r="AB8560" i="30"/>
  <c r="AB8559" i="30"/>
  <c r="AB8558" i="30"/>
  <c r="AB8557" i="30"/>
  <c r="AB8556" i="30"/>
  <c r="AB8555" i="30"/>
  <c r="AB8554" i="30"/>
  <c r="AB8553" i="30"/>
  <c r="AB8552" i="30"/>
  <c r="AB8551" i="30"/>
  <c r="AB8550" i="30"/>
  <c r="AB8549" i="30"/>
  <c r="AB8548" i="30"/>
  <c r="AB8547" i="30"/>
  <c r="AB8546" i="30"/>
  <c r="AB8545" i="30"/>
  <c r="AB8544" i="30"/>
  <c r="AB8543" i="30"/>
  <c r="AB8542" i="30"/>
  <c r="AB8541" i="30"/>
  <c r="AB8540" i="30"/>
  <c r="AB8539" i="30"/>
  <c r="AB8538" i="30"/>
  <c r="AB8537" i="30"/>
  <c r="AB8536" i="30"/>
  <c r="AB8535" i="30"/>
  <c r="AB8534" i="30"/>
  <c r="AB8533" i="30"/>
  <c r="AB8532" i="30"/>
  <c r="AB8531" i="30"/>
  <c r="AB8530" i="30"/>
  <c r="AB8529" i="30"/>
  <c r="AB8528" i="30"/>
  <c r="AB8527" i="30"/>
  <c r="AB8526" i="30"/>
  <c r="AB8525" i="30"/>
  <c r="AB8524" i="30"/>
  <c r="AB8523" i="30"/>
  <c r="AB8522" i="30"/>
  <c r="AB8521" i="30"/>
  <c r="AB8520" i="30"/>
  <c r="AB8519" i="30"/>
  <c r="AB8518" i="30"/>
  <c r="AB8517" i="30"/>
  <c r="AB8516" i="30"/>
  <c r="AB8515" i="30"/>
  <c r="AB8514" i="30"/>
  <c r="AB8513" i="30"/>
  <c r="AB8512" i="30"/>
  <c r="AB8511" i="30"/>
  <c r="AB8510" i="30"/>
  <c r="AB8509" i="30"/>
  <c r="AB8508" i="30"/>
  <c r="AB8507" i="30"/>
  <c r="AB8506" i="30"/>
  <c r="AB8505" i="30"/>
  <c r="AB8504" i="30"/>
  <c r="AB8503" i="30"/>
  <c r="AB8502" i="30"/>
  <c r="AB8501" i="30"/>
  <c r="AB8500" i="30"/>
  <c r="AB8499" i="30"/>
  <c r="AB8498" i="30"/>
  <c r="AB8497" i="30"/>
  <c r="AB8496" i="30"/>
  <c r="AB8495" i="30"/>
  <c r="AB8494" i="30"/>
  <c r="AB8493" i="30"/>
  <c r="AB8492" i="30"/>
  <c r="AB8491" i="30"/>
  <c r="AB8490" i="30"/>
  <c r="AB8489" i="30"/>
  <c r="AB8488" i="30"/>
  <c r="AB8487" i="30"/>
  <c r="AB8486" i="30"/>
  <c r="AB8485" i="30"/>
  <c r="AB8484" i="30"/>
  <c r="AB8483" i="30"/>
  <c r="AB8482" i="30"/>
  <c r="AB8481" i="30"/>
  <c r="AB8480" i="30"/>
  <c r="AB8479" i="30"/>
  <c r="AB8478" i="30"/>
  <c r="AB8477" i="30"/>
  <c r="AB8476" i="30"/>
  <c r="AB8475" i="30"/>
  <c r="AB8474" i="30"/>
  <c r="AB8473" i="30"/>
  <c r="AB8472" i="30"/>
  <c r="AB8471" i="30"/>
  <c r="AB8470" i="30"/>
  <c r="AB8469" i="30"/>
  <c r="AB8468" i="30"/>
  <c r="AB8467" i="30"/>
  <c r="AB8466" i="30"/>
  <c r="AB8465" i="30"/>
  <c r="AB8464" i="30"/>
  <c r="AB8463" i="30"/>
  <c r="AB8462" i="30"/>
  <c r="AB8461" i="30"/>
  <c r="AB8460" i="30"/>
  <c r="AB8459" i="30"/>
  <c r="AB8458" i="30"/>
  <c r="AB8457" i="30"/>
  <c r="AB8456" i="30"/>
  <c r="AB8455" i="30"/>
  <c r="AB8454" i="30"/>
  <c r="AB8453" i="30"/>
  <c r="AB8452" i="30"/>
  <c r="AB8451" i="30"/>
  <c r="AB8450" i="30"/>
  <c r="AB8449" i="30"/>
  <c r="AB8448" i="30"/>
  <c r="AB8447" i="30"/>
  <c r="AB8446" i="30"/>
  <c r="AB8445" i="30"/>
  <c r="AB8444" i="30"/>
  <c r="AB8443" i="30"/>
  <c r="AB8442" i="30"/>
  <c r="AB8441" i="30"/>
  <c r="AB8440" i="30"/>
  <c r="AB8439" i="30"/>
  <c r="AB8438" i="30"/>
  <c r="AB8437" i="30"/>
  <c r="AB8436" i="30"/>
  <c r="AB8435" i="30"/>
  <c r="AB8434" i="30"/>
  <c r="AB8433" i="30"/>
  <c r="AB8432" i="30"/>
  <c r="AB8431" i="30"/>
  <c r="AB8430" i="30"/>
  <c r="AB8429" i="30"/>
  <c r="AB8428" i="30"/>
  <c r="AB8427" i="30"/>
  <c r="AB8426" i="30"/>
  <c r="AB8425" i="30"/>
  <c r="AB8424" i="30"/>
  <c r="AB8423" i="30"/>
  <c r="AB8422" i="30"/>
  <c r="AB8421" i="30"/>
  <c r="AB8420" i="30"/>
  <c r="AB8419" i="30"/>
  <c r="AB8418" i="30"/>
  <c r="AB8417" i="30"/>
  <c r="AB8416" i="30"/>
  <c r="AB8415" i="30"/>
  <c r="AB8414" i="30"/>
  <c r="AB8413" i="30"/>
  <c r="AB8412" i="30"/>
  <c r="AB8411" i="30"/>
  <c r="AB8410" i="30"/>
  <c r="AB8409" i="30"/>
  <c r="AB8408" i="30"/>
  <c r="AB8407" i="30"/>
  <c r="AB8406" i="30"/>
  <c r="AB8405" i="30"/>
  <c r="AB8404" i="30"/>
  <c r="AB8403" i="30"/>
  <c r="AB8402" i="30"/>
  <c r="AB8401" i="30"/>
  <c r="AB8400" i="30"/>
  <c r="AB8399" i="30"/>
  <c r="AB8398" i="30"/>
  <c r="AB8397" i="30"/>
  <c r="AB8396" i="30"/>
  <c r="AB8395" i="30"/>
  <c r="AB8394" i="30"/>
  <c r="AB8393" i="30"/>
  <c r="AB8392" i="30"/>
  <c r="AB8391" i="30"/>
  <c r="AB8390" i="30"/>
  <c r="AB8389" i="30"/>
  <c r="AB8388" i="30"/>
  <c r="AB8387" i="30"/>
  <c r="AB8386" i="30"/>
  <c r="AB8385" i="30"/>
  <c r="AB8384" i="30"/>
  <c r="AB8383" i="30"/>
  <c r="AB8382" i="30"/>
  <c r="AB8381" i="30"/>
  <c r="AB8380" i="30"/>
  <c r="AB8379" i="30"/>
  <c r="AB8378" i="30"/>
  <c r="AB8377" i="30"/>
  <c r="AB8376" i="30"/>
  <c r="AB8375" i="30"/>
  <c r="AB8374" i="30"/>
  <c r="AB8373" i="30"/>
  <c r="AB8372" i="30"/>
  <c r="AB8371" i="30"/>
  <c r="AB8370" i="30"/>
  <c r="AB8369" i="30"/>
  <c r="AB8368" i="30"/>
  <c r="AB8367" i="30"/>
  <c r="AB8366" i="30"/>
  <c r="AB8365" i="30"/>
  <c r="AB8364" i="30"/>
  <c r="AB8363" i="30"/>
  <c r="AB8362" i="30"/>
  <c r="AB8361" i="30"/>
  <c r="AB8360" i="30"/>
  <c r="AB8359" i="30"/>
  <c r="AB8358" i="30"/>
  <c r="AB8357" i="30"/>
  <c r="AB8356" i="30"/>
  <c r="AB8355" i="30"/>
  <c r="AB8354" i="30"/>
  <c r="AB8353" i="30"/>
  <c r="AB8352" i="30"/>
  <c r="AB8351" i="30"/>
  <c r="AB8350" i="30"/>
  <c r="AB8349" i="30"/>
  <c r="AB8348" i="30"/>
  <c r="AB8347" i="30"/>
  <c r="AB8346" i="30"/>
  <c r="AB8345" i="30"/>
  <c r="AB8344" i="30"/>
  <c r="AB8343" i="30"/>
  <c r="AB8342" i="30"/>
  <c r="AB8341" i="30"/>
  <c r="AB8340" i="30"/>
  <c r="AB8339" i="30"/>
  <c r="AB8338" i="30"/>
  <c r="AB8337" i="30"/>
  <c r="AB8336" i="30"/>
  <c r="AB8335" i="30"/>
  <c r="AB8334" i="30"/>
  <c r="AB8333" i="30"/>
  <c r="AB8332" i="30"/>
  <c r="AB8331" i="30"/>
  <c r="AB8330" i="30"/>
  <c r="AB8329" i="30"/>
  <c r="AB8328" i="30"/>
  <c r="AB8327" i="30"/>
  <c r="AB8326" i="30"/>
  <c r="AB8325" i="30"/>
  <c r="AB8324" i="30"/>
  <c r="AB8323" i="30"/>
  <c r="AB8322" i="30"/>
  <c r="AB8321" i="30"/>
  <c r="AB8320" i="30"/>
  <c r="AB8319" i="30"/>
  <c r="AB8318" i="30"/>
  <c r="AB8317" i="30"/>
  <c r="AB8316" i="30"/>
  <c r="AB8315" i="30"/>
  <c r="AB8314" i="30"/>
  <c r="AB8313" i="30"/>
  <c r="AB8312" i="30"/>
  <c r="AB8311" i="30"/>
  <c r="AB8310" i="30"/>
  <c r="AB8309" i="30"/>
  <c r="AB8308" i="30"/>
  <c r="AB8307" i="30"/>
  <c r="AB8306" i="30"/>
  <c r="AB8305" i="30"/>
  <c r="AB8304" i="30"/>
  <c r="AB8303" i="30"/>
  <c r="AB8302" i="30"/>
  <c r="AB8301" i="30"/>
  <c r="AB8300" i="30"/>
  <c r="AB8299" i="30"/>
  <c r="AB8298" i="30"/>
  <c r="AB8297" i="30"/>
  <c r="AB8296" i="30"/>
  <c r="AB8295" i="30"/>
  <c r="AB8294" i="30"/>
  <c r="AB8293" i="30"/>
  <c r="AB8292" i="30"/>
  <c r="AB8291" i="30"/>
  <c r="AB8290" i="30"/>
  <c r="AB8289" i="30"/>
  <c r="AB8288" i="30"/>
  <c r="AB8287" i="30"/>
  <c r="AB8286" i="30"/>
  <c r="AB8285" i="30"/>
  <c r="AB8284" i="30"/>
  <c r="AB8283" i="30"/>
  <c r="AB8282" i="30"/>
  <c r="AB8281" i="30"/>
  <c r="AB8280" i="30"/>
  <c r="AB8279" i="30"/>
  <c r="AB8278" i="30"/>
  <c r="AB8277" i="30"/>
  <c r="AB8276" i="30"/>
  <c r="AB8275" i="30"/>
  <c r="AB8274" i="30"/>
  <c r="AB8273" i="30"/>
  <c r="AB8272" i="30"/>
  <c r="AB8271" i="30"/>
  <c r="AB8270" i="30"/>
  <c r="AB8269" i="30"/>
  <c r="AB8268" i="30"/>
  <c r="AB8267" i="30"/>
  <c r="AB8266" i="30"/>
  <c r="AB8265" i="30"/>
  <c r="AB8264" i="30"/>
  <c r="AB8263" i="30"/>
  <c r="AB8262" i="30"/>
  <c r="AB8261" i="30"/>
  <c r="AB8260" i="30"/>
  <c r="AB8259" i="30"/>
  <c r="AB8258" i="30"/>
  <c r="AB8257" i="30"/>
  <c r="AB8256" i="30"/>
  <c r="AB8255" i="30"/>
  <c r="AB8254" i="30"/>
  <c r="AB8253" i="30"/>
  <c r="AB8252" i="30"/>
  <c r="AB8251" i="30"/>
  <c r="AB8250" i="30"/>
  <c r="AB8249" i="30"/>
  <c r="AB8248" i="30"/>
  <c r="AB8247" i="30"/>
  <c r="AB8246" i="30"/>
  <c r="AB8245" i="30"/>
  <c r="AB8244" i="30"/>
  <c r="AB8243" i="30"/>
  <c r="AB8242" i="30"/>
  <c r="AB8241" i="30"/>
  <c r="AB8240" i="30"/>
  <c r="AB8239" i="30"/>
  <c r="AB8238" i="30"/>
  <c r="AB8237" i="30"/>
  <c r="AB8236" i="30"/>
  <c r="AB8235" i="30"/>
  <c r="AB8234" i="30"/>
  <c r="AB8233" i="30"/>
  <c r="AB8232" i="30"/>
  <c r="AB8231" i="30"/>
  <c r="AB8230" i="30"/>
  <c r="AB8229" i="30"/>
  <c r="AB8228" i="30"/>
  <c r="AB8227" i="30"/>
  <c r="AB8226" i="30"/>
  <c r="AB8225" i="30"/>
  <c r="AB8224" i="30"/>
  <c r="AB8223" i="30"/>
  <c r="AB8222" i="30"/>
  <c r="AB8221" i="30"/>
  <c r="AB8220" i="30"/>
  <c r="AB8219" i="30"/>
  <c r="AB8218" i="30"/>
  <c r="AB8217" i="30"/>
  <c r="AB8216" i="30"/>
  <c r="AB8215" i="30"/>
  <c r="AB8214" i="30"/>
  <c r="AB8213" i="30"/>
  <c r="AB8212" i="30"/>
  <c r="AB8211" i="30"/>
  <c r="AB8210" i="30"/>
  <c r="AB8209" i="30"/>
  <c r="AB8208" i="30"/>
  <c r="AB8207" i="30"/>
  <c r="AB8206" i="30"/>
  <c r="AB8205" i="30"/>
  <c r="AB8204" i="30"/>
  <c r="AB8203" i="30"/>
  <c r="AB8202" i="30"/>
  <c r="AB8201" i="30"/>
  <c r="AB8200" i="30"/>
  <c r="AB8199" i="30"/>
  <c r="AB8198" i="30"/>
  <c r="AB8197" i="30"/>
  <c r="AB8196" i="30"/>
  <c r="AB8195" i="30"/>
  <c r="AB8194" i="30"/>
  <c r="AB8193" i="30"/>
  <c r="AB8192" i="30"/>
  <c r="AB8191" i="30"/>
  <c r="AB8190" i="30"/>
  <c r="AB8189" i="30"/>
  <c r="AB8188" i="30"/>
  <c r="AB8187" i="30"/>
  <c r="AB8186" i="30"/>
  <c r="AB8185" i="30"/>
  <c r="AB8184" i="30"/>
  <c r="AB8183" i="30"/>
  <c r="AB8182" i="30"/>
  <c r="AB8181" i="30"/>
  <c r="AB8180" i="30"/>
  <c r="AB8179" i="30"/>
  <c r="AB8178" i="30"/>
  <c r="AB8177" i="30"/>
  <c r="AB8176" i="30"/>
  <c r="AB8175" i="30"/>
  <c r="AB8174" i="30"/>
  <c r="AB8173" i="30"/>
  <c r="AB8172" i="30"/>
  <c r="AB8171" i="30"/>
  <c r="AB8170" i="30"/>
  <c r="AB8169" i="30"/>
  <c r="AB8168" i="30"/>
  <c r="AB8167" i="30"/>
  <c r="AB8166" i="30"/>
  <c r="AB8165" i="30"/>
  <c r="AB8164" i="30"/>
  <c r="AB8163" i="30"/>
  <c r="AB8162" i="30"/>
  <c r="AB8161" i="30"/>
  <c r="AB8160" i="30"/>
  <c r="AB8159" i="30"/>
  <c r="AB8158" i="30"/>
  <c r="AB8157" i="30"/>
  <c r="AB8156" i="30"/>
  <c r="AB8155" i="30"/>
  <c r="AB8154" i="30"/>
  <c r="AB8153" i="30"/>
  <c r="AB8152" i="30"/>
  <c r="AB8151" i="30"/>
  <c r="AB8150" i="30"/>
  <c r="AB8149" i="30"/>
  <c r="AB8148" i="30"/>
  <c r="AB8147" i="30"/>
  <c r="AB8146" i="30"/>
  <c r="AB8145" i="30"/>
  <c r="AB8144" i="30"/>
  <c r="AB8143" i="30"/>
  <c r="AB8142" i="30"/>
  <c r="AB8141" i="30"/>
  <c r="AB8140" i="30"/>
  <c r="AB8139" i="30"/>
  <c r="AB8138" i="30"/>
  <c r="AB8137" i="30"/>
  <c r="AB8136" i="30"/>
  <c r="AB8135" i="30"/>
  <c r="AB8134" i="30"/>
  <c r="AB8133" i="30"/>
  <c r="AB8132" i="30"/>
  <c r="AB8131" i="30"/>
  <c r="AB8130" i="30"/>
  <c r="AB8129" i="30"/>
  <c r="AB8128" i="30"/>
  <c r="AB8127" i="30"/>
  <c r="AB8126" i="30"/>
  <c r="AB8125" i="30"/>
  <c r="AB8124" i="30"/>
  <c r="AB8123" i="30"/>
  <c r="AB8122" i="30"/>
  <c r="AB8121" i="30"/>
  <c r="AB8120" i="30"/>
  <c r="AB8119" i="30"/>
  <c r="AB8118" i="30"/>
  <c r="AB8117" i="30"/>
  <c r="AB8116" i="30"/>
  <c r="AB8115" i="30"/>
  <c r="AB8114" i="30"/>
  <c r="AB8113" i="30"/>
  <c r="AB8112" i="30"/>
  <c r="AB8111" i="30"/>
  <c r="AB8110" i="30"/>
  <c r="AB8109" i="30"/>
  <c r="AB8108" i="30"/>
  <c r="AB8107" i="30"/>
  <c r="AB8106" i="30"/>
  <c r="AB8105" i="30"/>
  <c r="AB8104" i="30"/>
  <c r="AB8103" i="30"/>
  <c r="AB8102" i="30"/>
  <c r="AB8101" i="30"/>
  <c r="AB8100" i="30"/>
  <c r="AB8099" i="30"/>
  <c r="AB8098" i="30"/>
  <c r="AB8097" i="30"/>
  <c r="AB8096" i="30"/>
  <c r="AB8095" i="30"/>
  <c r="AB8094" i="30"/>
  <c r="AB8093" i="30"/>
  <c r="AB8092" i="30"/>
  <c r="AB8091" i="30"/>
  <c r="AB8090" i="30"/>
  <c r="AB8089" i="30"/>
  <c r="AB8088" i="30"/>
  <c r="AB8087" i="30"/>
  <c r="AB8086" i="30"/>
  <c r="AB8085" i="30"/>
  <c r="AB8084" i="30"/>
  <c r="AB8083" i="30"/>
  <c r="AB8082" i="30"/>
  <c r="AB8081" i="30"/>
  <c r="AB8080" i="30"/>
  <c r="AB8079" i="30"/>
  <c r="AB8078" i="30"/>
  <c r="AB8077" i="30"/>
  <c r="AB8076" i="30"/>
  <c r="AB8075" i="30"/>
  <c r="AB8074" i="30"/>
  <c r="AB8073" i="30"/>
  <c r="AB8072" i="30"/>
  <c r="AB8071" i="30"/>
  <c r="AB8070" i="30"/>
  <c r="AB8069" i="30"/>
  <c r="AB8068" i="30"/>
  <c r="AB8067" i="30"/>
  <c r="AB8066" i="30"/>
  <c r="AB8065" i="30"/>
  <c r="AB8064" i="30"/>
  <c r="AB8063" i="30"/>
  <c r="AB8062" i="30"/>
  <c r="AB8061" i="30"/>
  <c r="AB8060" i="30"/>
  <c r="AB8059" i="30"/>
  <c r="AB8058" i="30"/>
  <c r="AB8057" i="30"/>
  <c r="AB8056" i="30"/>
  <c r="AB8055" i="30"/>
  <c r="AB8054" i="30"/>
  <c r="AB8053" i="30"/>
  <c r="AB8052" i="30"/>
  <c r="AB8051" i="30"/>
  <c r="AB8050" i="30"/>
  <c r="AB8049" i="30"/>
  <c r="AB8048" i="30"/>
  <c r="AB8047" i="30"/>
  <c r="AB8046" i="30"/>
  <c r="AB8045" i="30"/>
  <c r="AB8044" i="30"/>
  <c r="AB8043" i="30"/>
  <c r="AB8042" i="30"/>
  <c r="AB8041" i="30"/>
  <c r="AB8040" i="30"/>
  <c r="AB8039" i="30"/>
  <c r="AB8038" i="30"/>
  <c r="AB8037" i="30"/>
  <c r="AB8036" i="30"/>
  <c r="AB8035" i="30"/>
  <c r="AB8034" i="30"/>
  <c r="AB8033" i="30"/>
  <c r="AB8032" i="30"/>
  <c r="AB8031" i="30"/>
  <c r="AB8030" i="30"/>
  <c r="AB8029" i="30"/>
  <c r="AB8028" i="30"/>
  <c r="AB8027" i="30"/>
  <c r="AB8026" i="30"/>
  <c r="AB8025" i="30"/>
  <c r="AB8024" i="30"/>
  <c r="AB8023" i="30"/>
  <c r="AB8022" i="30"/>
  <c r="AB8021" i="30"/>
  <c r="AB8020" i="30"/>
  <c r="AB8019" i="30"/>
  <c r="AB8018" i="30"/>
  <c r="AB8017" i="30"/>
  <c r="AB8016" i="30"/>
  <c r="AB8015" i="30"/>
  <c r="AB8014" i="30"/>
  <c r="AB8013" i="30"/>
  <c r="AB8012" i="30"/>
  <c r="AB8011" i="30"/>
  <c r="AB8010" i="30"/>
  <c r="AB8009" i="30"/>
  <c r="AB8008" i="30"/>
  <c r="AB8007" i="30"/>
  <c r="AB8006" i="30"/>
  <c r="AB8005" i="30"/>
  <c r="AB8004" i="30"/>
  <c r="AB8003" i="30"/>
  <c r="AB8002" i="30"/>
  <c r="AB8001" i="30"/>
  <c r="AB8000" i="30"/>
  <c r="AB7999" i="30"/>
  <c r="AB7998" i="30"/>
  <c r="AB7997" i="30"/>
  <c r="AB7996" i="30"/>
  <c r="AB7995" i="30"/>
  <c r="AB7994" i="30"/>
  <c r="AB7993" i="30"/>
  <c r="AB7992" i="30"/>
  <c r="AB7991" i="30"/>
  <c r="AB7990" i="30"/>
  <c r="AB7989" i="30"/>
  <c r="AB7988" i="30"/>
  <c r="AB7987" i="30"/>
  <c r="AB7986" i="30"/>
  <c r="AB7985" i="30"/>
  <c r="AB7984" i="30"/>
  <c r="AB7983" i="30"/>
  <c r="AB7982" i="30"/>
  <c r="AB7981" i="30"/>
  <c r="AB7980" i="30"/>
  <c r="AB7979" i="30"/>
  <c r="AB7978" i="30"/>
  <c r="AB7977" i="30"/>
  <c r="AB7976" i="30"/>
  <c r="AB7975" i="30"/>
  <c r="AB7974" i="30"/>
  <c r="AB7973" i="30"/>
  <c r="AB7972" i="30"/>
  <c r="AB7971" i="30"/>
  <c r="AB7970" i="30"/>
  <c r="AB7969" i="30"/>
  <c r="AB7968" i="30"/>
  <c r="AB7967" i="30"/>
  <c r="AB7966" i="30"/>
  <c r="AB7965" i="30"/>
  <c r="AB7964" i="30"/>
  <c r="AB7963" i="30"/>
  <c r="AB7962" i="30"/>
  <c r="AB7961" i="30"/>
  <c r="AB7960" i="30"/>
  <c r="AB7959" i="30"/>
  <c r="AB7958" i="30"/>
  <c r="AB7957" i="30"/>
  <c r="AB7956" i="30"/>
  <c r="AB7955" i="30"/>
  <c r="AB7954" i="30"/>
  <c r="AB7953" i="30"/>
  <c r="AB7952" i="30"/>
  <c r="AB7951" i="30"/>
  <c r="AB7950" i="30"/>
  <c r="AB7949" i="30"/>
  <c r="AB7948" i="30"/>
  <c r="AB7947" i="30"/>
  <c r="AB7946" i="30"/>
  <c r="AB7945" i="30"/>
  <c r="AB7944" i="30"/>
  <c r="AB7943" i="30"/>
  <c r="AB7942" i="30"/>
  <c r="AB7941" i="30"/>
  <c r="AB7940" i="30"/>
  <c r="AB7939" i="30"/>
  <c r="AB7938" i="30"/>
  <c r="AB7937" i="30"/>
  <c r="AB7936" i="30"/>
  <c r="AB7935" i="30"/>
  <c r="AB7934" i="30"/>
  <c r="AB7933" i="30"/>
  <c r="AB7932" i="30"/>
  <c r="AB7931" i="30"/>
  <c r="AB7930" i="30"/>
  <c r="AB7929" i="30"/>
  <c r="AB7928" i="30"/>
  <c r="AB7927" i="30"/>
  <c r="AB7926" i="30"/>
  <c r="AB7925" i="30"/>
  <c r="AB7924" i="30"/>
  <c r="AB7923" i="30"/>
  <c r="AB7922" i="30"/>
  <c r="AB7921" i="30"/>
  <c r="AB7920" i="30"/>
  <c r="AB7919" i="30"/>
  <c r="AB7918" i="30"/>
  <c r="AB7917" i="30"/>
  <c r="AB7916" i="30"/>
  <c r="AB7915" i="30"/>
  <c r="AB7914" i="30"/>
  <c r="AB7913" i="30"/>
  <c r="AB7912" i="30"/>
  <c r="AB7911" i="30"/>
  <c r="AB7910" i="30"/>
  <c r="AB7909" i="30"/>
  <c r="AB7908" i="30"/>
  <c r="AB7907" i="30"/>
  <c r="AB7906" i="30"/>
  <c r="AB7905" i="30"/>
  <c r="AB7904" i="30"/>
  <c r="AB7903" i="30"/>
  <c r="AB7902" i="30"/>
  <c r="AB7901" i="30"/>
  <c r="AB7900" i="30"/>
  <c r="AB7899" i="30"/>
  <c r="AB7898" i="30"/>
  <c r="AB7897" i="30"/>
  <c r="AB7896" i="30"/>
  <c r="AB7895" i="30"/>
  <c r="AB7894" i="30"/>
  <c r="AB7893" i="30"/>
  <c r="AB7892" i="30"/>
  <c r="AB7891" i="30"/>
  <c r="AB7890" i="30"/>
  <c r="AB7889" i="30"/>
  <c r="AB7888" i="30"/>
  <c r="AB7887" i="30"/>
  <c r="AB7886" i="30"/>
  <c r="AB7885" i="30"/>
  <c r="AB7884" i="30"/>
  <c r="AB7883" i="30"/>
  <c r="AB7882" i="30"/>
  <c r="AB7881" i="30"/>
  <c r="AB7880" i="30"/>
  <c r="AB7879" i="30"/>
  <c r="AB7878" i="30"/>
  <c r="AB7877" i="30"/>
  <c r="AB7876" i="30"/>
  <c r="AB7875" i="30"/>
  <c r="AB7874" i="30"/>
  <c r="AB7873" i="30"/>
  <c r="AB7872" i="30"/>
  <c r="AB7871" i="30"/>
  <c r="AB7870" i="30"/>
  <c r="AB7869" i="30"/>
  <c r="AB7868" i="30"/>
  <c r="AB7867" i="30"/>
  <c r="AB7866" i="30"/>
  <c r="AB7865" i="30"/>
  <c r="AB7864" i="30"/>
  <c r="AB7863" i="30"/>
  <c r="AB7862" i="30"/>
  <c r="AB7861" i="30"/>
  <c r="AB7860" i="30"/>
  <c r="AB7859" i="30"/>
  <c r="AB7858" i="30"/>
  <c r="AB7857" i="30"/>
  <c r="AB7856" i="30"/>
  <c r="AB7855" i="30"/>
  <c r="AB7854" i="30"/>
  <c r="AB7853" i="30"/>
  <c r="AB7852" i="30"/>
  <c r="AB7851" i="30"/>
  <c r="AB7850" i="30"/>
  <c r="AB7849" i="30"/>
  <c r="AB7848" i="30"/>
  <c r="AB7847" i="30"/>
  <c r="AB7846" i="30"/>
  <c r="AB7845" i="30"/>
  <c r="AB7844" i="30"/>
  <c r="AB7843" i="30"/>
  <c r="AB7842" i="30"/>
  <c r="AB7841" i="30"/>
  <c r="AB7840" i="30"/>
  <c r="AB7839" i="30"/>
  <c r="AB7838" i="30"/>
  <c r="AB7837" i="30"/>
  <c r="AB7836" i="30"/>
  <c r="AB7835" i="30"/>
  <c r="AB7834" i="30"/>
  <c r="AB7833" i="30"/>
  <c r="AB7832" i="30"/>
  <c r="AB7831" i="30"/>
  <c r="AB7830" i="30"/>
  <c r="AB7829" i="30"/>
  <c r="AB7828" i="30"/>
  <c r="AB7827" i="30"/>
  <c r="AB7826" i="30"/>
  <c r="AB7825" i="30"/>
  <c r="AB7824" i="30"/>
  <c r="AB7823" i="30"/>
  <c r="AB7822" i="30"/>
  <c r="AB7821" i="30"/>
  <c r="AB7820" i="30"/>
  <c r="AB7819" i="30"/>
  <c r="AB7818" i="30"/>
  <c r="AB7817" i="30"/>
  <c r="AB7816" i="30"/>
  <c r="AB7815" i="30"/>
  <c r="AB7814" i="30"/>
  <c r="AB7813" i="30"/>
  <c r="AB7812" i="30"/>
  <c r="AB7811" i="30"/>
  <c r="AB7810" i="30"/>
  <c r="AB7809" i="30"/>
  <c r="AB7808" i="30"/>
  <c r="AB7807" i="30"/>
  <c r="AB7806" i="30"/>
  <c r="AB7805" i="30"/>
  <c r="AB7804" i="30"/>
  <c r="AB7803" i="30"/>
  <c r="AB7802" i="30"/>
  <c r="AB7801" i="30"/>
  <c r="AB7800" i="30"/>
  <c r="AB7799" i="30"/>
  <c r="AB7798" i="30"/>
  <c r="AB7797" i="30"/>
  <c r="AB7796" i="30"/>
  <c r="AB7795" i="30"/>
  <c r="AB7794" i="30"/>
  <c r="AB7793" i="30"/>
  <c r="AB7792" i="30"/>
  <c r="AB7791" i="30"/>
  <c r="AB7790" i="30"/>
  <c r="AB7789" i="30"/>
  <c r="AB7788" i="30"/>
  <c r="AB7787" i="30"/>
  <c r="AB7786" i="30"/>
  <c r="AB7785" i="30"/>
  <c r="AB7784" i="30"/>
  <c r="AB7783" i="30"/>
  <c r="AB7782" i="30"/>
  <c r="AB7781" i="30"/>
  <c r="AB7780" i="30"/>
  <c r="AB7779" i="30"/>
  <c r="AB7778" i="30"/>
  <c r="AB7777" i="30"/>
  <c r="AB7776" i="30"/>
  <c r="AB7775" i="30"/>
  <c r="AB7774" i="30"/>
  <c r="AB7773" i="30"/>
  <c r="AB7772" i="30"/>
  <c r="AB7771" i="30"/>
  <c r="AB7770" i="30"/>
  <c r="AB7769" i="30"/>
  <c r="AB7768" i="30"/>
  <c r="AB7767" i="30"/>
  <c r="AB7766" i="30"/>
  <c r="AB7765" i="30"/>
  <c r="AB7764" i="30"/>
  <c r="AB7763" i="30"/>
  <c r="AB7762" i="30"/>
  <c r="AB7761" i="30"/>
  <c r="AB7760" i="30"/>
  <c r="AB7759" i="30"/>
  <c r="AB7758" i="30"/>
  <c r="AB7757" i="30"/>
  <c r="AB7756" i="30"/>
  <c r="AB7755" i="30"/>
  <c r="AB7754" i="30"/>
  <c r="AB7753" i="30"/>
  <c r="AB7752" i="30"/>
  <c r="AB7751" i="30"/>
  <c r="AB7750" i="30"/>
  <c r="AB7749" i="30"/>
  <c r="AB7748" i="30"/>
  <c r="AB7747" i="30"/>
  <c r="AB7746" i="30"/>
  <c r="AB7745" i="30"/>
  <c r="AB7744" i="30"/>
  <c r="AB7743" i="30"/>
  <c r="AB7742" i="30"/>
  <c r="AB7741" i="30"/>
  <c r="AB7740" i="30"/>
  <c r="AB7739" i="30"/>
  <c r="AB7738" i="30"/>
  <c r="AB7737" i="30"/>
  <c r="AB7736" i="30"/>
  <c r="AB7735" i="30"/>
  <c r="AB7734" i="30"/>
  <c r="AB7733" i="30"/>
  <c r="AB7732" i="30"/>
  <c r="AB7731" i="30"/>
  <c r="AB7730" i="30"/>
  <c r="AB7729" i="30"/>
  <c r="AB7728" i="30"/>
  <c r="AB7727" i="30"/>
  <c r="AB7726" i="30"/>
  <c r="AB7725" i="30"/>
  <c r="AB7724" i="30"/>
  <c r="AB7723" i="30"/>
  <c r="AB7722" i="30"/>
  <c r="AB7721" i="30"/>
  <c r="AB7720" i="30"/>
  <c r="AB7719" i="30"/>
  <c r="AB7718" i="30"/>
  <c r="AB7717" i="30"/>
  <c r="AB7716" i="30"/>
  <c r="AB7715" i="30"/>
  <c r="AB7714" i="30"/>
  <c r="AB7713" i="30"/>
  <c r="AB7712" i="30"/>
  <c r="AB7711" i="30"/>
  <c r="AB7710" i="30"/>
  <c r="AB7709" i="30"/>
  <c r="AB7708" i="30"/>
  <c r="AB7707" i="30"/>
  <c r="AB7706" i="30"/>
  <c r="AB7705" i="30"/>
  <c r="AB7704" i="30"/>
  <c r="AB7703" i="30"/>
  <c r="AB7702" i="30"/>
  <c r="AB7701" i="30"/>
  <c r="AB7700" i="30"/>
  <c r="AB7699" i="30"/>
  <c r="AB7698" i="30"/>
  <c r="AB7697" i="30"/>
  <c r="AB7696" i="30"/>
  <c r="AB7695" i="30"/>
  <c r="AB7694" i="30"/>
  <c r="AB7693" i="30"/>
  <c r="AB7692" i="30"/>
  <c r="AB7691" i="30"/>
  <c r="AB7690" i="30"/>
  <c r="AB7689" i="30"/>
  <c r="AB7688" i="30"/>
  <c r="AB7687" i="30"/>
  <c r="AB7686" i="30"/>
  <c r="AB7685" i="30"/>
  <c r="AB7684" i="30"/>
  <c r="AB7683" i="30"/>
  <c r="AB7682" i="30"/>
  <c r="AB7681" i="30"/>
  <c r="AB7680" i="30"/>
  <c r="AB7679" i="30"/>
  <c r="AB7678" i="30"/>
  <c r="AB7677" i="30"/>
  <c r="AB7676" i="30"/>
  <c r="AB7675" i="30"/>
  <c r="AB7674" i="30"/>
  <c r="AB7673" i="30"/>
  <c r="AB7672" i="30"/>
  <c r="AB7671" i="30"/>
  <c r="AB7670" i="30"/>
  <c r="AB7669" i="30"/>
  <c r="AB7668" i="30"/>
  <c r="AB7667" i="30"/>
  <c r="AB7666" i="30"/>
  <c r="AB7665" i="30"/>
  <c r="AB7664" i="30"/>
  <c r="AB7663" i="30"/>
  <c r="AB7662" i="30"/>
  <c r="AB7661" i="30"/>
  <c r="AB7660" i="30"/>
  <c r="AB7659" i="30"/>
  <c r="AB7658" i="30"/>
  <c r="AB7657" i="30"/>
  <c r="AB7656" i="30"/>
  <c r="AB7655" i="30"/>
  <c r="AB7654" i="30"/>
  <c r="AB7653" i="30"/>
  <c r="AB7652" i="30"/>
  <c r="AB7651" i="30"/>
  <c r="AB7650" i="30"/>
  <c r="AB7649" i="30"/>
  <c r="AB7648" i="30"/>
  <c r="AB7647" i="30"/>
  <c r="AB7646" i="30"/>
  <c r="AB7645" i="30"/>
  <c r="AB7644" i="30"/>
  <c r="AB7643" i="30"/>
  <c r="AB7642" i="30"/>
  <c r="AB7641" i="30"/>
  <c r="AB7640" i="30"/>
  <c r="AB7639" i="30"/>
  <c r="AB7638" i="30"/>
  <c r="AB7637" i="30"/>
  <c r="AB7636" i="30"/>
  <c r="AB7635" i="30"/>
  <c r="AB7634" i="30"/>
  <c r="AB7633" i="30"/>
  <c r="AB7632" i="30"/>
  <c r="AB7631" i="30"/>
  <c r="AB7630" i="30"/>
  <c r="AB7629" i="30"/>
  <c r="AB7628" i="30"/>
  <c r="AB7627" i="30"/>
  <c r="AB7626" i="30"/>
  <c r="AB7625" i="30"/>
  <c r="AB7624" i="30"/>
  <c r="AB7623" i="30"/>
  <c r="AB7622" i="30"/>
  <c r="AB7621" i="30"/>
  <c r="AB7620" i="30"/>
  <c r="AB7619" i="30"/>
  <c r="AB7618" i="30"/>
  <c r="AB7617" i="30"/>
  <c r="AB7616" i="30"/>
  <c r="AB7615" i="30"/>
  <c r="AB7614" i="30"/>
  <c r="AB7613" i="30"/>
  <c r="AB7612" i="30"/>
  <c r="AB7611" i="30"/>
  <c r="AB7610" i="30"/>
  <c r="AB7609" i="30"/>
  <c r="AB7608" i="30"/>
  <c r="AB7607" i="30"/>
  <c r="AB7606" i="30"/>
  <c r="AB7605" i="30"/>
  <c r="AB7604" i="30"/>
  <c r="AB7603" i="30"/>
  <c r="AB7602" i="30"/>
  <c r="AB7601" i="30"/>
  <c r="AB7600" i="30"/>
  <c r="AB7599" i="30"/>
  <c r="AB7598" i="30"/>
  <c r="AB7597" i="30"/>
  <c r="AB7596" i="30"/>
  <c r="AB7595" i="30"/>
  <c r="AB7594" i="30"/>
  <c r="AB7593" i="30"/>
  <c r="AB7592" i="30"/>
  <c r="AB7591" i="30"/>
  <c r="AB7590" i="30"/>
  <c r="AB7589" i="30"/>
  <c r="AB7588" i="30"/>
  <c r="AB7587" i="30"/>
  <c r="AB7586" i="30"/>
  <c r="AB7585" i="30"/>
  <c r="AB7584" i="30"/>
  <c r="AB7583" i="30"/>
  <c r="AB7582" i="30"/>
  <c r="AB7581" i="30"/>
  <c r="AB7580" i="30"/>
  <c r="AB7579" i="30"/>
  <c r="AB7578" i="30"/>
  <c r="AB7577" i="30"/>
  <c r="AB7576" i="30"/>
  <c r="AB7575" i="30"/>
  <c r="AB7574" i="30"/>
  <c r="AB7573" i="30"/>
  <c r="AB7572" i="30"/>
  <c r="AB7571" i="30"/>
  <c r="AB7570" i="30"/>
  <c r="AB7569" i="30"/>
  <c r="AB7568" i="30"/>
  <c r="AB7567" i="30"/>
  <c r="AB7566" i="30"/>
  <c r="AB7565" i="30"/>
  <c r="AB7564" i="30"/>
  <c r="AB7563" i="30"/>
  <c r="AB7562" i="30"/>
  <c r="AB7561" i="30"/>
  <c r="AB7560" i="30"/>
  <c r="AB7559" i="30"/>
  <c r="AB7558" i="30"/>
  <c r="AB7557" i="30"/>
  <c r="AB7556" i="30"/>
  <c r="AB7555" i="30"/>
  <c r="AB7554" i="30"/>
  <c r="AB7553" i="30"/>
  <c r="AB7552" i="30"/>
  <c r="AB7551" i="30"/>
  <c r="AB7550" i="30"/>
  <c r="AB7549" i="30"/>
  <c r="AB7548" i="30"/>
  <c r="AB7547" i="30"/>
  <c r="AB7546" i="30"/>
  <c r="AB7545" i="30"/>
  <c r="AB7544" i="30"/>
  <c r="AB7543" i="30"/>
  <c r="AB7542" i="30"/>
  <c r="AB7541" i="30"/>
  <c r="AB7540" i="30"/>
  <c r="AB7539" i="30"/>
  <c r="AB7538" i="30"/>
  <c r="AB7537" i="30"/>
  <c r="AB7536" i="30"/>
  <c r="AB7535" i="30"/>
  <c r="AB7534" i="30"/>
  <c r="AB7533" i="30"/>
  <c r="AB7532" i="30"/>
  <c r="AB7531" i="30"/>
  <c r="AB7530" i="30"/>
  <c r="AB7529" i="30"/>
  <c r="AB7528" i="30"/>
  <c r="AB7527" i="30"/>
  <c r="AB7526" i="30"/>
  <c r="AB7525" i="30"/>
  <c r="AB7524" i="30"/>
  <c r="AB7523" i="30"/>
  <c r="AB7522" i="30"/>
  <c r="AB7521" i="30"/>
  <c r="AB7520" i="30"/>
  <c r="AB7519" i="30"/>
  <c r="AB7518" i="30"/>
  <c r="AB7517" i="30"/>
  <c r="AB7516" i="30"/>
  <c r="AB7515" i="30"/>
  <c r="AB7514" i="30"/>
  <c r="AB7513" i="30"/>
  <c r="AB7512" i="30"/>
  <c r="AB7511" i="30"/>
  <c r="AB7510" i="30"/>
  <c r="AB7509" i="30"/>
  <c r="AB7508" i="30"/>
  <c r="AB7507" i="30"/>
  <c r="AB7506" i="30"/>
  <c r="AB7505" i="30"/>
  <c r="AB7504" i="30"/>
  <c r="AB7503" i="30"/>
  <c r="AB7502" i="30"/>
  <c r="AB7501" i="30"/>
  <c r="AB7500" i="30"/>
  <c r="AB7499" i="30"/>
  <c r="AB7498" i="30"/>
  <c r="AB7497" i="30"/>
  <c r="AB7496" i="30"/>
  <c r="AB7495" i="30"/>
  <c r="AB7494" i="30"/>
  <c r="AB7493" i="30"/>
  <c r="AB7492" i="30"/>
  <c r="AB7491" i="30"/>
  <c r="AB7490" i="30"/>
  <c r="AB7489" i="30"/>
  <c r="AB7488" i="30"/>
  <c r="AB7487" i="30"/>
  <c r="AB7486" i="30"/>
  <c r="AB7485" i="30"/>
  <c r="AB7484" i="30"/>
  <c r="AB7483" i="30"/>
  <c r="AB7482" i="30"/>
  <c r="AB7481" i="30"/>
  <c r="AB7480" i="30"/>
  <c r="AB7479" i="30"/>
  <c r="AB7478" i="30"/>
  <c r="AB7477" i="30"/>
  <c r="AB7476" i="30"/>
  <c r="AB7475" i="30"/>
  <c r="AB7474" i="30"/>
  <c r="AB7473" i="30"/>
  <c r="AB7472" i="30"/>
  <c r="AB7471" i="30"/>
  <c r="AB7470" i="30"/>
  <c r="AB7469" i="30"/>
  <c r="AB7468" i="30"/>
  <c r="AB7467" i="30"/>
  <c r="AB7466" i="30"/>
  <c r="AB7465" i="30"/>
  <c r="AB7464" i="30"/>
  <c r="AB7463" i="30"/>
  <c r="AB7462" i="30"/>
  <c r="AB7461" i="30"/>
  <c r="AB7460" i="30"/>
  <c r="AB7459" i="30"/>
  <c r="AB7458" i="30"/>
  <c r="AB7457" i="30"/>
  <c r="AB7456" i="30"/>
  <c r="AB7455" i="30"/>
  <c r="AB7454" i="30"/>
  <c r="AB7453" i="30"/>
  <c r="AB7452" i="30"/>
  <c r="AB7451" i="30"/>
  <c r="AB7450" i="30"/>
  <c r="AB7449" i="30"/>
  <c r="AB7448" i="30"/>
  <c r="AB7447" i="30"/>
  <c r="AB7446" i="30"/>
  <c r="AB7445" i="30"/>
  <c r="AB7444" i="30"/>
  <c r="AB7443" i="30"/>
  <c r="AB7442" i="30"/>
  <c r="AB7441" i="30"/>
  <c r="AB7440" i="30"/>
  <c r="AB7439" i="30"/>
  <c r="AB7438" i="30"/>
  <c r="AB7437" i="30"/>
  <c r="AB7436" i="30"/>
  <c r="AB7435" i="30"/>
  <c r="AB7434" i="30"/>
  <c r="AB7433" i="30"/>
  <c r="AB7432" i="30"/>
  <c r="AB7431" i="30"/>
  <c r="AB7430" i="30"/>
  <c r="AB7429" i="30"/>
  <c r="AB7428" i="30"/>
  <c r="AB7427" i="30"/>
  <c r="AB7426" i="30"/>
  <c r="AB7425" i="30"/>
  <c r="AB7424" i="30"/>
  <c r="AB7423" i="30"/>
  <c r="AB7422" i="30"/>
  <c r="AB7421" i="30"/>
  <c r="AB7420" i="30"/>
  <c r="AB7419" i="30"/>
  <c r="AB7418" i="30"/>
  <c r="AB7417" i="30"/>
  <c r="AB7416" i="30"/>
  <c r="AB7415" i="30"/>
  <c r="AB7414" i="30"/>
  <c r="AB7413" i="30"/>
  <c r="AB7412" i="30"/>
  <c r="AB7411" i="30"/>
  <c r="AB7410" i="30"/>
  <c r="AB7409" i="30"/>
  <c r="AB7408" i="30"/>
  <c r="AB7407" i="30"/>
  <c r="AB7406" i="30"/>
  <c r="AB7405" i="30"/>
  <c r="AB7404" i="30"/>
  <c r="AB7403" i="30"/>
  <c r="AB7402" i="30"/>
  <c r="AB7401" i="30"/>
  <c r="AB7400" i="30"/>
  <c r="AB7399" i="30"/>
  <c r="AB7398" i="30"/>
  <c r="AB7397" i="30"/>
  <c r="AB7396" i="30"/>
  <c r="AB7395" i="30"/>
  <c r="AB7394" i="30"/>
  <c r="AB7393" i="30"/>
  <c r="AB7392" i="30"/>
  <c r="AB7391" i="30"/>
  <c r="AB7390" i="30"/>
  <c r="AB7389" i="30"/>
  <c r="AB7388" i="30"/>
  <c r="AB7387" i="30"/>
  <c r="AB7386" i="30"/>
  <c r="AB7385" i="30"/>
  <c r="AB7384" i="30"/>
  <c r="AB7383" i="30"/>
  <c r="AB7382" i="30"/>
  <c r="AB7381" i="30"/>
  <c r="AB7380" i="30"/>
  <c r="AB7379" i="30"/>
  <c r="AB7378" i="30"/>
  <c r="AB7377" i="30"/>
  <c r="AB7376" i="30"/>
  <c r="AB7375" i="30"/>
  <c r="AB7374" i="30"/>
  <c r="AB7373" i="30"/>
  <c r="AB7372" i="30"/>
  <c r="AB7371" i="30"/>
  <c r="AB7370" i="30"/>
  <c r="AB7369" i="30"/>
  <c r="AB7368" i="30"/>
  <c r="AB7367" i="30"/>
  <c r="AB7366" i="30"/>
  <c r="AB7365" i="30"/>
  <c r="AB7364" i="30"/>
  <c r="AB7363" i="30"/>
  <c r="AB7362" i="30"/>
  <c r="AB7361" i="30"/>
  <c r="AB7360" i="30"/>
  <c r="AB7359" i="30"/>
  <c r="AB7358" i="30"/>
  <c r="AB7357" i="30"/>
  <c r="AB7356" i="30"/>
  <c r="AB7355" i="30"/>
  <c r="AB7354" i="30"/>
  <c r="AB7353" i="30"/>
  <c r="AB7352" i="30"/>
  <c r="AB7351" i="30"/>
  <c r="AB7350" i="30"/>
  <c r="AB7349" i="30"/>
  <c r="AB7348" i="30"/>
  <c r="AB7347" i="30"/>
  <c r="AB7346" i="30"/>
  <c r="AB7345" i="30"/>
  <c r="AB7344" i="30"/>
  <c r="AB7343" i="30"/>
  <c r="AB7342" i="30"/>
  <c r="AB7341" i="30"/>
  <c r="AB7340" i="30"/>
  <c r="AB7339" i="30"/>
  <c r="AB7338" i="30"/>
  <c r="AB7337" i="30"/>
  <c r="AB7336" i="30"/>
  <c r="AB7335" i="30"/>
  <c r="AB7334" i="30"/>
  <c r="AB7333" i="30"/>
  <c r="AB7332" i="30"/>
  <c r="AB7331" i="30"/>
  <c r="AB7330" i="30"/>
  <c r="AB7329" i="30"/>
  <c r="AB7328" i="30"/>
  <c r="AB7327" i="30"/>
  <c r="AB7326" i="30"/>
  <c r="AB7325" i="30"/>
  <c r="AB7324" i="30"/>
  <c r="AB7323" i="30"/>
  <c r="AB7322" i="30"/>
  <c r="AB7321" i="30"/>
  <c r="AB7320" i="30"/>
  <c r="AB7319" i="30"/>
  <c r="AB7318" i="30"/>
  <c r="AB7317" i="30"/>
  <c r="AB7316" i="30"/>
  <c r="AB7315" i="30"/>
  <c r="AB7314" i="30"/>
  <c r="AB7313" i="30"/>
  <c r="AB7312" i="30"/>
  <c r="AB7311" i="30"/>
  <c r="AB7310" i="30"/>
  <c r="AB7309" i="30"/>
  <c r="AB7308" i="30"/>
  <c r="AB7307" i="30"/>
  <c r="AB7306" i="30"/>
  <c r="AB7305" i="30"/>
  <c r="AB7304" i="30"/>
  <c r="AB7303" i="30"/>
  <c r="AB7302" i="30"/>
  <c r="AB7301" i="30"/>
  <c r="AB7300" i="30"/>
  <c r="AB7299" i="30"/>
  <c r="AB7298" i="30"/>
  <c r="AB7297" i="30"/>
  <c r="AB7296" i="30"/>
  <c r="AB7295" i="30"/>
  <c r="AB7294" i="30"/>
  <c r="AB7293" i="30"/>
  <c r="AB7292" i="30"/>
  <c r="AB7291" i="30"/>
  <c r="AB7290" i="30"/>
  <c r="AB7289" i="30"/>
  <c r="AB7288" i="30"/>
  <c r="AB7287" i="30"/>
  <c r="AB7286" i="30"/>
  <c r="AB7285" i="30"/>
  <c r="AB7284" i="30"/>
  <c r="AB7283" i="30"/>
  <c r="AB7282" i="30"/>
  <c r="AB7281" i="30"/>
  <c r="AB7280" i="30"/>
  <c r="AB7279" i="30"/>
  <c r="AB7278" i="30"/>
  <c r="AB7277" i="30"/>
  <c r="AB7276" i="30"/>
  <c r="AB7275" i="30"/>
  <c r="AB7274" i="30"/>
  <c r="AB7273" i="30"/>
  <c r="AB7272" i="30"/>
  <c r="AB7271" i="30"/>
  <c r="AB7270" i="30"/>
  <c r="AB7269" i="30"/>
  <c r="AB7268" i="30"/>
  <c r="AB7267" i="30"/>
  <c r="AB7266" i="30"/>
  <c r="AB7265" i="30"/>
  <c r="AB7264" i="30"/>
  <c r="AB7263" i="30"/>
  <c r="AB7262" i="30"/>
  <c r="AB7261" i="30"/>
  <c r="AB7260" i="30"/>
  <c r="AB7259" i="30"/>
  <c r="AB7258" i="30"/>
  <c r="AB7257" i="30"/>
  <c r="AB7256" i="30"/>
  <c r="AB7255" i="30"/>
  <c r="AB7254" i="30"/>
  <c r="AB7253" i="30"/>
  <c r="AB7252" i="30"/>
  <c r="AB7251" i="30"/>
  <c r="AB7250" i="30"/>
  <c r="AB7249" i="30"/>
  <c r="AB7248" i="30"/>
  <c r="AB7247" i="30"/>
  <c r="AB7246" i="30"/>
  <c r="AB7245" i="30"/>
  <c r="AB7244" i="30"/>
  <c r="AB7243" i="30"/>
  <c r="AB7242" i="30"/>
  <c r="AB7241" i="30"/>
  <c r="AB7240" i="30"/>
  <c r="AB7239" i="30"/>
  <c r="AB7238" i="30"/>
  <c r="AB7237" i="30"/>
  <c r="AB7236" i="30"/>
  <c r="AB7235" i="30"/>
  <c r="AB7234" i="30"/>
  <c r="AB7233" i="30"/>
  <c r="AB7232" i="30"/>
  <c r="AB7231" i="30"/>
  <c r="AB7230" i="30"/>
  <c r="AB7229" i="30"/>
  <c r="AB7228" i="30"/>
  <c r="AB7227" i="30"/>
  <c r="AB7226" i="30"/>
  <c r="AB7225" i="30"/>
  <c r="AB7224" i="30"/>
  <c r="AB7223" i="30"/>
  <c r="AB7222" i="30"/>
  <c r="AB7221" i="30"/>
  <c r="AB7220" i="30"/>
  <c r="AB7219" i="30"/>
  <c r="AB7218" i="30"/>
  <c r="AB7217" i="30"/>
  <c r="AB7216" i="30"/>
  <c r="AB7215" i="30"/>
  <c r="AB7214" i="30"/>
  <c r="AB7213" i="30"/>
  <c r="AB7212" i="30"/>
  <c r="AB7211" i="30"/>
  <c r="AB7210" i="30"/>
  <c r="AB7209" i="30"/>
  <c r="AB7208" i="30"/>
  <c r="AB7207" i="30"/>
  <c r="AB7206" i="30"/>
  <c r="AB7205" i="30"/>
  <c r="AB7204" i="30"/>
  <c r="AB7203" i="30"/>
  <c r="AB7202" i="30"/>
  <c r="AB7201" i="30"/>
  <c r="AB7200" i="30"/>
  <c r="AB7199" i="30"/>
  <c r="AB7198" i="30"/>
  <c r="AB7197" i="30"/>
  <c r="AB7196" i="30"/>
  <c r="AB7195" i="30"/>
  <c r="AB7194" i="30"/>
  <c r="AB7193" i="30"/>
  <c r="AB7192" i="30"/>
  <c r="AB7191" i="30"/>
  <c r="AB7190" i="30"/>
  <c r="AB7189" i="30"/>
  <c r="AB7188" i="30"/>
  <c r="AB7187" i="30"/>
  <c r="AB7186" i="30"/>
  <c r="AB7185" i="30"/>
  <c r="AB7184" i="30"/>
  <c r="AB7183" i="30"/>
  <c r="AB7182" i="30"/>
  <c r="AB7181" i="30"/>
  <c r="AB7180" i="30"/>
  <c r="AB7179" i="30"/>
  <c r="AB7178" i="30"/>
  <c r="AB7177" i="30"/>
  <c r="AB7176" i="30"/>
  <c r="AB7175" i="30"/>
  <c r="AB7174" i="30"/>
  <c r="AB7173" i="30"/>
  <c r="AB7172" i="30"/>
  <c r="AB7171" i="30"/>
  <c r="AB7170" i="30"/>
  <c r="AB7169" i="30"/>
  <c r="AB7168" i="30"/>
  <c r="AB7167" i="30"/>
  <c r="AB7166" i="30"/>
  <c r="AB7165" i="30"/>
  <c r="AB7164" i="30"/>
  <c r="AB7163" i="30"/>
  <c r="AB7162" i="30"/>
  <c r="AB7161" i="30"/>
  <c r="AB7160" i="30"/>
  <c r="AB7159" i="30"/>
  <c r="AB7158" i="30"/>
  <c r="AB7157" i="30"/>
  <c r="AB7156" i="30"/>
  <c r="AB7155" i="30"/>
  <c r="AB7154" i="30"/>
  <c r="AB7153" i="30"/>
  <c r="AB7152" i="30"/>
  <c r="AB7151" i="30"/>
  <c r="AB7150" i="30"/>
  <c r="AB7149" i="30"/>
  <c r="AB7148" i="30"/>
  <c r="AB7147" i="30"/>
  <c r="AB7146" i="30"/>
  <c r="AB7145" i="30"/>
  <c r="AB7144" i="30"/>
  <c r="AB7143" i="30"/>
  <c r="AB7142" i="30"/>
  <c r="AB7141" i="30"/>
  <c r="AB7140" i="30"/>
  <c r="AB7139" i="30"/>
  <c r="AB7138" i="30"/>
  <c r="AB7137" i="30"/>
  <c r="AB7136" i="30"/>
  <c r="AB7135" i="30"/>
  <c r="AB7134" i="30"/>
  <c r="AB7133" i="30"/>
  <c r="AB7132" i="30"/>
  <c r="AB7131" i="30"/>
  <c r="AB7130" i="30"/>
  <c r="AB7129" i="30"/>
  <c r="AB7128" i="30"/>
  <c r="AB7127" i="30"/>
  <c r="AB7126" i="30"/>
  <c r="AB7125" i="30"/>
  <c r="AB7124" i="30"/>
  <c r="AB7123" i="30"/>
  <c r="AB7122" i="30"/>
  <c r="AB7121" i="30"/>
  <c r="AB7120" i="30"/>
  <c r="AB7119" i="30"/>
  <c r="AB7118" i="30"/>
  <c r="AB7117" i="30"/>
  <c r="AB7116" i="30"/>
  <c r="AB7115" i="30"/>
  <c r="AB7114" i="30"/>
  <c r="AB7113" i="30"/>
  <c r="AB7112" i="30"/>
  <c r="AB7111" i="30"/>
  <c r="AB7110" i="30"/>
  <c r="AB7109" i="30"/>
  <c r="AB7108" i="30"/>
  <c r="AB7107" i="30"/>
  <c r="AB7106" i="30"/>
  <c r="AB7105" i="30"/>
  <c r="AB7104" i="30"/>
  <c r="AB7103" i="30"/>
  <c r="AB7102" i="30"/>
  <c r="AB7101" i="30"/>
  <c r="AB7100" i="30"/>
  <c r="AB7099" i="30"/>
  <c r="AB7098" i="30"/>
  <c r="AB7097" i="30"/>
  <c r="AB7096" i="30"/>
  <c r="AB7095" i="30"/>
  <c r="AB7094" i="30"/>
  <c r="AB7093" i="30"/>
  <c r="AB7092" i="30"/>
  <c r="AB7091" i="30"/>
  <c r="AB7090" i="30"/>
  <c r="AB7089" i="30"/>
  <c r="AB7088" i="30"/>
  <c r="AB7087" i="30"/>
  <c r="AB7086" i="30"/>
  <c r="AB7085" i="30"/>
  <c r="AB7084" i="30"/>
  <c r="AB7083" i="30"/>
  <c r="AB7082" i="30"/>
  <c r="AB7081" i="30"/>
  <c r="AB7080" i="30"/>
  <c r="AB7079" i="30"/>
  <c r="AB7078" i="30"/>
  <c r="AB7077" i="30"/>
  <c r="AB7076" i="30"/>
  <c r="AB7075" i="30"/>
  <c r="AB7074" i="30"/>
  <c r="AB7073" i="30"/>
  <c r="AB7072" i="30"/>
  <c r="AB7071" i="30"/>
  <c r="AB7070" i="30"/>
  <c r="AB7069" i="30"/>
  <c r="AB7068" i="30"/>
  <c r="AB7067" i="30"/>
  <c r="AB7066" i="30"/>
  <c r="AB7065" i="30"/>
  <c r="AB7064" i="30"/>
  <c r="AB7063" i="30"/>
  <c r="AB7062" i="30"/>
  <c r="AB7061" i="30"/>
  <c r="AB7060" i="30"/>
  <c r="AB7059" i="30"/>
  <c r="AB7058" i="30"/>
  <c r="AB7057" i="30"/>
  <c r="AB7056" i="30"/>
  <c r="AB7055" i="30"/>
  <c r="AB7054" i="30"/>
  <c r="AB7053" i="30"/>
  <c r="AB7052" i="30"/>
  <c r="AB7051" i="30"/>
  <c r="AB7050" i="30"/>
  <c r="AB7049" i="30"/>
  <c r="AB7048" i="30"/>
  <c r="AB7047" i="30"/>
  <c r="AB7046" i="30"/>
  <c r="AB7045" i="30"/>
  <c r="AB7044" i="30"/>
  <c r="AB7043" i="30"/>
  <c r="AB7042" i="30"/>
  <c r="AB7041" i="30"/>
  <c r="AB7040" i="30"/>
  <c r="AB7039" i="30"/>
  <c r="AB7038" i="30"/>
  <c r="AB7037" i="30"/>
  <c r="AB7036" i="30"/>
  <c r="AB7035" i="30"/>
  <c r="AB7034" i="30"/>
  <c r="AB7033" i="30"/>
  <c r="AB7032" i="30"/>
  <c r="AB7031" i="30"/>
  <c r="AB7030" i="30"/>
  <c r="AB7029" i="30"/>
  <c r="AB7028" i="30"/>
  <c r="AB7027" i="30"/>
  <c r="AB7026" i="30"/>
  <c r="AB7025" i="30"/>
  <c r="AB7024" i="30"/>
  <c r="AB7023" i="30"/>
  <c r="AB7022" i="30"/>
  <c r="AB7021" i="30"/>
  <c r="AB7020" i="30"/>
  <c r="AB7019" i="30"/>
  <c r="AB7018" i="30"/>
  <c r="AB7017" i="30"/>
  <c r="AB7016" i="30"/>
  <c r="AB7015" i="30"/>
  <c r="AB7014" i="30"/>
  <c r="AB7013" i="30"/>
  <c r="AB7012" i="30"/>
  <c r="AB7011" i="30"/>
  <c r="AB7010" i="30"/>
  <c r="AB7009" i="30"/>
  <c r="AB7008" i="30"/>
  <c r="AB7007" i="30"/>
  <c r="AB7006" i="30"/>
  <c r="AB7005" i="30"/>
  <c r="AB7004" i="30"/>
  <c r="AB7003" i="30"/>
  <c r="AB7002" i="30"/>
  <c r="AB7001" i="30"/>
  <c r="AB7000" i="30"/>
  <c r="AB6999" i="30"/>
  <c r="AB6998" i="30"/>
  <c r="AB6997" i="30"/>
  <c r="AB6996" i="30"/>
  <c r="AB6995" i="30"/>
  <c r="AB6994" i="30"/>
  <c r="AB6993" i="30"/>
  <c r="AB6992" i="30"/>
  <c r="AB6991" i="30"/>
  <c r="AB6990" i="30"/>
  <c r="AB6989" i="30"/>
  <c r="AB6988" i="30"/>
  <c r="AB6987" i="30"/>
  <c r="AB6986" i="30"/>
  <c r="AB6985" i="30"/>
  <c r="AB6984" i="30"/>
  <c r="AB6983" i="30"/>
  <c r="AB6982" i="30"/>
  <c r="AB6981" i="30"/>
  <c r="AB6980" i="30"/>
  <c r="AB6979" i="30"/>
  <c r="AB6978" i="30"/>
  <c r="AB6977" i="30"/>
  <c r="AB6976" i="30"/>
  <c r="AB6975" i="30"/>
  <c r="AB6974" i="30"/>
  <c r="AB6973" i="30"/>
  <c r="AB6972" i="30"/>
  <c r="AB6971" i="30"/>
  <c r="AB6970" i="30"/>
  <c r="AB6969" i="30"/>
  <c r="AB6968" i="30"/>
  <c r="AB6967" i="30"/>
  <c r="AB6966" i="30"/>
  <c r="AB6965" i="30"/>
  <c r="AB6964" i="30"/>
  <c r="AB6963" i="30"/>
  <c r="AB6962" i="30"/>
  <c r="AB6961" i="30"/>
  <c r="AB6960" i="30"/>
  <c r="AB6959" i="30"/>
  <c r="AB6958" i="30"/>
  <c r="AB6957" i="30"/>
  <c r="AB6956" i="30"/>
  <c r="AB6955" i="30"/>
  <c r="AB6954" i="30"/>
  <c r="AB6953" i="30"/>
  <c r="AB6952" i="30"/>
  <c r="AB6951" i="30"/>
  <c r="AB6950" i="30"/>
  <c r="AB6949" i="30"/>
  <c r="AB6948" i="30"/>
  <c r="AB6947" i="30"/>
  <c r="AB6946" i="30"/>
  <c r="AB6945" i="30"/>
  <c r="AB6944" i="30"/>
  <c r="AB6943" i="30"/>
  <c r="AB6942" i="30"/>
  <c r="AB6941" i="30"/>
  <c r="AB6940" i="30"/>
  <c r="AB6939" i="30"/>
  <c r="AB6938" i="30"/>
  <c r="AB6937" i="30"/>
  <c r="AB6936" i="30"/>
  <c r="AB6935" i="30"/>
  <c r="AB6934" i="30"/>
  <c r="AB6933" i="30"/>
  <c r="AB6932" i="30"/>
  <c r="AB6931" i="30"/>
  <c r="AB6930" i="30"/>
  <c r="AB6929" i="30"/>
  <c r="AB6928" i="30"/>
  <c r="AB6927" i="30"/>
  <c r="AB6926" i="30"/>
  <c r="AB6925" i="30"/>
  <c r="AB6924" i="30"/>
  <c r="AB6923" i="30"/>
  <c r="AB6922" i="30"/>
  <c r="AB6921" i="30"/>
  <c r="AB6920" i="30"/>
  <c r="AB6919" i="30"/>
  <c r="AB6918" i="30"/>
  <c r="AB6917" i="30"/>
  <c r="AB6916" i="30"/>
  <c r="AB6915" i="30"/>
  <c r="AB6914" i="30"/>
  <c r="AB6913" i="30"/>
  <c r="AB6912" i="30"/>
  <c r="AB6911" i="30"/>
  <c r="AB6910" i="30"/>
  <c r="AB6909" i="30"/>
  <c r="AB6908" i="30"/>
  <c r="AB6907" i="30"/>
  <c r="AB6906" i="30"/>
  <c r="AB6905" i="30"/>
  <c r="AB6904" i="30"/>
  <c r="AB6903" i="30"/>
  <c r="AB6902" i="30"/>
  <c r="AB6901" i="30"/>
  <c r="AB6900" i="30"/>
  <c r="AB6899" i="30"/>
  <c r="AB6898" i="30"/>
  <c r="AB6897" i="30"/>
  <c r="AB6896" i="30"/>
  <c r="AB6895" i="30"/>
  <c r="AB6894" i="30"/>
  <c r="AB6893" i="30"/>
  <c r="AB6892" i="30"/>
  <c r="AB6891" i="30"/>
  <c r="AB6890" i="30"/>
  <c r="AB6889" i="30"/>
  <c r="AB6888" i="30"/>
  <c r="AB6887" i="30"/>
  <c r="AB6886" i="30"/>
  <c r="AB6885" i="30"/>
  <c r="AB6884" i="30"/>
  <c r="AB6883" i="30"/>
  <c r="AB6882" i="30"/>
  <c r="AB6881" i="30"/>
  <c r="AB6880" i="30"/>
  <c r="AB6879" i="30"/>
  <c r="AB6878" i="30"/>
  <c r="AB6877" i="30"/>
  <c r="AB6876" i="30"/>
  <c r="AB6875" i="30"/>
  <c r="AB6874" i="30"/>
  <c r="AB6873" i="30"/>
  <c r="AB6872" i="30"/>
  <c r="AB6871" i="30"/>
  <c r="AB6870" i="30"/>
  <c r="AB6869" i="30"/>
  <c r="AB6868" i="30"/>
  <c r="AB6867" i="30"/>
  <c r="AB6866" i="30"/>
  <c r="AB6865" i="30"/>
  <c r="AB6864" i="30"/>
  <c r="AB6863" i="30"/>
  <c r="AB6862" i="30"/>
  <c r="AB6861" i="30"/>
  <c r="AB6860" i="30"/>
  <c r="AB6859" i="30"/>
  <c r="AB6858" i="30"/>
  <c r="AB6857" i="30"/>
  <c r="AB6856" i="30"/>
  <c r="AB6855" i="30"/>
  <c r="AB6854" i="30"/>
  <c r="AB6853" i="30"/>
  <c r="AB6852" i="30"/>
  <c r="AB6851" i="30"/>
  <c r="AB6850" i="30"/>
  <c r="AB6849" i="30"/>
  <c r="AB6848" i="30"/>
  <c r="AB6847" i="30"/>
  <c r="AB6846" i="30"/>
  <c r="AB6845" i="30"/>
  <c r="AB6844" i="30"/>
  <c r="AB6843" i="30"/>
  <c r="AB6842" i="30"/>
  <c r="AB6841" i="30"/>
  <c r="AB6840" i="30"/>
  <c r="AB6839" i="30"/>
  <c r="AB6838" i="30"/>
  <c r="AB6837" i="30"/>
  <c r="AB6836" i="30"/>
  <c r="AB6835" i="30"/>
  <c r="AB6834" i="30"/>
  <c r="AB6833" i="30"/>
  <c r="AB6832" i="30"/>
  <c r="AB6831" i="30"/>
  <c r="AB6830" i="30"/>
  <c r="AB6829" i="30"/>
  <c r="AB6828" i="30"/>
  <c r="AB6827" i="30"/>
  <c r="AB6826" i="30"/>
  <c r="AB6825" i="30"/>
  <c r="AB6824" i="30"/>
  <c r="AB6823" i="30"/>
  <c r="AB6822" i="30"/>
  <c r="AB6821" i="30"/>
  <c r="AB6820" i="30"/>
  <c r="AB6819" i="30"/>
  <c r="AB6818" i="30"/>
  <c r="AB6817" i="30"/>
  <c r="AB6816" i="30"/>
  <c r="AB6815" i="30"/>
  <c r="AB6814" i="30"/>
  <c r="AB6813" i="30"/>
  <c r="AB6812" i="30"/>
  <c r="AB6811" i="30"/>
  <c r="AB6810" i="30"/>
  <c r="AB6809" i="30"/>
  <c r="AB6808" i="30"/>
  <c r="AB6807" i="30"/>
  <c r="AB6806" i="30"/>
  <c r="AB6805" i="30"/>
  <c r="AB6804" i="30"/>
  <c r="AB6803" i="30"/>
  <c r="AB6802" i="30"/>
  <c r="AB6801" i="30"/>
  <c r="AB6800" i="30"/>
  <c r="AB6799" i="30"/>
  <c r="AB6798" i="30"/>
  <c r="AB6797" i="30"/>
  <c r="AB6796" i="30"/>
  <c r="AB6795" i="30"/>
  <c r="AB6794" i="30"/>
  <c r="AB6793" i="30"/>
  <c r="AB6792" i="30"/>
  <c r="AB6791" i="30"/>
  <c r="AB6790" i="30"/>
  <c r="AB6789" i="30"/>
  <c r="AB6788" i="30"/>
  <c r="AB6787" i="30"/>
  <c r="AB6786" i="30"/>
  <c r="AB6785" i="30"/>
  <c r="AB6784" i="30"/>
  <c r="AB6783" i="30"/>
  <c r="AB6782" i="30"/>
  <c r="AB6781" i="30"/>
  <c r="AB6780" i="30"/>
  <c r="AB6779" i="30"/>
  <c r="AB6778" i="30"/>
  <c r="AB6777" i="30"/>
  <c r="AB6776" i="30"/>
  <c r="AB6775" i="30"/>
  <c r="AB6774" i="30"/>
  <c r="AB6773" i="30"/>
  <c r="AB6772" i="30"/>
  <c r="AB6771" i="30"/>
  <c r="AB6770" i="30"/>
  <c r="AB6769" i="30"/>
  <c r="AB6768" i="30"/>
  <c r="AB6767" i="30"/>
  <c r="AB6766" i="30"/>
  <c r="AB6765" i="30"/>
  <c r="AB6764" i="30"/>
  <c r="AB6763" i="30"/>
  <c r="AB6762" i="30"/>
  <c r="AB6761" i="30"/>
  <c r="AB6760" i="30"/>
  <c r="AB6759" i="30"/>
  <c r="AB6758" i="30"/>
  <c r="AB6757" i="30"/>
  <c r="AB6756" i="30"/>
  <c r="AB6755" i="30"/>
  <c r="AB6754" i="30"/>
  <c r="AB6753" i="30"/>
  <c r="AB6752" i="30"/>
  <c r="AB6751" i="30"/>
  <c r="AB6750" i="30"/>
  <c r="AB6749" i="30"/>
  <c r="AB6748" i="30"/>
  <c r="AB6747" i="30"/>
  <c r="AB6746" i="30"/>
  <c r="AB6745" i="30"/>
  <c r="AB6744" i="30"/>
  <c r="AB6743" i="30"/>
  <c r="AB6742" i="30"/>
  <c r="AB6741" i="30"/>
  <c r="AB6740" i="30"/>
  <c r="AB6739" i="30"/>
  <c r="AB6738" i="30"/>
  <c r="AB6737" i="30"/>
  <c r="AB6736" i="30"/>
  <c r="AB6735" i="30"/>
  <c r="AB6734" i="30"/>
  <c r="AB6733" i="30"/>
  <c r="AB6732" i="30"/>
  <c r="AB6731" i="30"/>
  <c r="AB6730" i="30"/>
  <c r="AB6729" i="30"/>
  <c r="AB6728" i="30"/>
  <c r="AB6727" i="30"/>
  <c r="AB6726" i="30"/>
  <c r="AB6725" i="30"/>
  <c r="AB6724" i="30"/>
  <c r="AB6723" i="30"/>
  <c r="AB6722" i="30"/>
  <c r="AB6721" i="30"/>
  <c r="AB6720" i="30"/>
  <c r="AB6719" i="30"/>
  <c r="AB6718" i="30"/>
  <c r="AB6717" i="30"/>
  <c r="AB6716" i="30"/>
  <c r="AB6715" i="30"/>
  <c r="AB6714" i="30"/>
  <c r="AB6713" i="30"/>
  <c r="AB6712" i="30"/>
  <c r="AB6711" i="30"/>
  <c r="AB6710" i="30"/>
  <c r="AB6709" i="30"/>
  <c r="AB6708" i="30"/>
  <c r="AB6707" i="30"/>
  <c r="AB6706" i="30"/>
  <c r="AB6705" i="30"/>
  <c r="AB6704" i="30"/>
  <c r="AB6703" i="30"/>
  <c r="AB6702" i="30"/>
  <c r="AB6701" i="30"/>
  <c r="AB6700" i="30"/>
  <c r="AB6699" i="30"/>
  <c r="AB6698" i="30"/>
  <c r="AB6697" i="30"/>
  <c r="AB6696" i="30"/>
  <c r="AB6695" i="30"/>
  <c r="AB6694" i="30"/>
  <c r="AB6693" i="30"/>
  <c r="AB6692" i="30"/>
  <c r="AB6691" i="30"/>
  <c r="AB6690" i="30"/>
  <c r="AB6689" i="30"/>
  <c r="AB6688" i="30"/>
  <c r="AB6687" i="30"/>
  <c r="AB6686" i="30"/>
  <c r="AB6685" i="30"/>
  <c r="AB6684" i="30"/>
  <c r="AB6683" i="30"/>
  <c r="AB6682" i="30"/>
  <c r="AB6681" i="30"/>
  <c r="AB6680" i="30"/>
  <c r="AB6679" i="30"/>
  <c r="AB6678" i="30"/>
  <c r="AB6677" i="30"/>
  <c r="AB6676" i="30"/>
  <c r="AB6675" i="30"/>
  <c r="AB6674" i="30"/>
  <c r="AB6673" i="30"/>
  <c r="AB6672" i="30"/>
  <c r="AB6671" i="30"/>
  <c r="AB6670" i="30"/>
  <c r="AB6669" i="30"/>
  <c r="AB6668" i="30"/>
  <c r="AB6667" i="30"/>
  <c r="AB6666" i="30"/>
  <c r="AB6665" i="30"/>
  <c r="AB6664" i="30"/>
  <c r="AB6663" i="30"/>
  <c r="AB6662" i="30"/>
  <c r="AB6661" i="30"/>
  <c r="AB6660" i="30"/>
  <c r="AB6659" i="30"/>
  <c r="AB6658" i="30"/>
  <c r="AB6657" i="30"/>
  <c r="AB6656" i="30"/>
  <c r="AB6655" i="30"/>
  <c r="AB6654" i="30"/>
  <c r="AB6653" i="30"/>
  <c r="AB6652" i="30"/>
  <c r="AB6651" i="30"/>
  <c r="AB6650" i="30"/>
  <c r="AB6649" i="30"/>
  <c r="AB6648" i="30"/>
  <c r="AB6647" i="30"/>
  <c r="AB6646" i="30"/>
  <c r="AB6645" i="30"/>
  <c r="AB6644" i="30"/>
  <c r="AB6643" i="30"/>
  <c r="AB6642" i="30"/>
  <c r="AB6641" i="30"/>
  <c r="AB6640" i="30"/>
  <c r="AB6639" i="30"/>
  <c r="AB6638" i="30"/>
  <c r="AB6637" i="30"/>
  <c r="AB6636" i="30"/>
  <c r="AB6635" i="30"/>
  <c r="AB6634" i="30"/>
  <c r="AB6633" i="30"/>
  <c r="AB6632" i="30"/>
  <c r="AB6631" i="30"/>
  <c r="AB6630" i="30"/>
  <c r="AB6629" i="30"/>
  <c r="AB6628" i="30"/>
  <c r="AB6627" i="30"/>
  <c r="AB6626" i="30"/>
  <c r="AB6625" i="30"/>
  <c r="AB6624" i="30"/>
  <c r="AB6623" i="30"/>
  <c r="AB6622" i="30"/>
  <c r="AB6621" i="30"/>
  <c r="AB6620" i="30"/>
  <c r="AB6619" i="30"/>
  <c r="AB6618" i="30"/>
  <c r="AB6617" i="30"/>
  <c r="AB6616" i="30"/>
  <c r="AB6615" i="30"/>
  <c r="AB6614" i="30"/>
  <c r="AB6613" i="30"/>
  <c r="AB6612" i="30"/>
  <c r="AB6611" i="30"/>
  <c r="AB6610" i="30"/>
  <c r="AB6609" i="30"/>
  <c r="AB6608" i="30"/>
  <c r="AB6607" i="30"/>
  <c r="AB6606" i="30"/>
  <c r="AB6605" i="30"/>
  <c r="AB6604" i="30"/>
  <c r="AB6603" i="30"/>
  <c r="AB6602" i="30"/>
  <c r="AB6601" i="30"/>
  <c r="AB6600" i="30"/>
  <c r="AB6599" i="30"/>
  <c r="AB6598" i="30"/>
  <c r="AB6597" i="30"/>
  <c r="AB6596" i="30"/>
  <c r="AB6595" i="30"/>
  <c r="AB6594" i="30"/>
  <c r="AB6593" i="30"/>
  <c r="AB6592" i="30"/>
  <c r="AB6591" i="30"/>
  <c r="AB6590" i="30"/>
  <c r="AB6589" i="30"/>
  <c r="AB6588" i="30"/>
  <c r="AB6587" i="30"/>
  <c r="AB6586" i="30"/>
  <c r="AB6585" i="30"/>
  <c r="AB6584" i="30"/>
  <c r="AB6583" i="30"/>
  <c r="AB6582" i="30"/>
  <c r="AB6581" i="30"/>
  <c r="AB6580" i="30"/>
  <c r="AB6579" i="30"/>
  <c r="AB6578" i="30"/>
  <c r="AB6577" i="30"/>
  <c r="AB6576" i="30"/>
  <c r="AB6575" i="30"/>
  <c r="AB6574" i="30"/>
  <c r="AB6573" i="30"/>
  <c r="AB6572" i="30"/>
  <c r="AB6571" i="30"/>
  <c r="AB6570" i="30"/>
  <c r="AB6569" i="30"/>
  <c r="AB6568" i="30"/>
  <c r="AB6567" i="30"/>
  <c r="AB6566" i="30"/>
  <c r="AB6565" i="30"/>
  <c r="AB6564" i="30"/>
  <c r="AB6563" i="30"/>
  <c r="AB6562" i="30"/>
  <c r="AB6561" i="30"/>
  <c r="AB6560" i="30"/>
  <c r="AB6559" i="30"/>
  <c r="AB6558" i="30"/>
  <c r="AB6557" i="30"/>
  <c r="AB6556" i="30"/>
  <c r="AB6555" i="30"/>
  <c r="AB6554" i="30"/>
  <c r="AB6553" i="30"/>
  <c r="AB6552" i="30"/>
  <c r="AB6551" i="30"/>
  <c r="AB6550" i="30"/>
  <c r="AB6549" i="30"/>
  <c r="AB6548" i="30"/>
  <c r="AB6547" i="30"/>
  <c r="AB6546" i="30"/>
  <c r="AB6545" i="30"/>
  <c r="AB6544" i="30"/>
  <c r="AB6543" i="30"/>
  <c r="AB6542" i="30"/>
  <c r="AB6541" i="30"/>
  <c r="AB6540" i="30"/>
  <c r="AB6539" i="30"/>
  <c r="AB6538" i="30"/>
  <c r="AB6537" i="30"/>
  <c r="AB6536" i="30"/>
  <c r="AB6535" i="30"/>
  <c r="AB6534" i="30"/>
  <c r="AB6533" i="30"/>
  <c r="AB6532" i="30"/>
  <c r="AB6531" i="30"/>
  <c r="AB6530" i="30"/>
  <c r="AB6529" i="30"/>
  <c r="AB6528" i="30"/>
  <c r="AB6527" i="30"/>
  <c r="AB6526" i="30"/>
  <c r="AB6525" i="30"/>
  <c r="AB6524" i="30"/>
  <c r="AB6523" i="30"/>
  <c r="AB6522" i="30"/>
  <c r="AB6521" i="30"/>
  <c r="AB6520" i="30"/>
  <c r="AB6519" i="30"/>
  <c r="AB6518" i="30"/>
  <c r="AB6517" i="30"/>
  <c r="AB6516" i="30"/>
  <c r="AB6515" i="30"/>
  <c r="AB6514" i="30"/>
  <c r="AB6513" i="30"/>
  <c r="AB6512" i="30"/>
  <c r="AB6511" i="30"/>
  <c r="AB6510" i="30"/>
  <c r="AB6509" i="30"/>
  <c r="AB6508" i="30"/>
  <c r="AB6507" i="30"/>
  <c r="AB6506" i="30"/>
  <c r="AB6505" i="30"/>
  <c r="AB6504" i="30"/>
  <c r="AB6503" i="30"/>
  <c r="AB6502" i="30"/>
  <c r="AB6501" i="30"/>
  <c r="AB6500" i="30"/>
  <c r="AB6499" i="30"/>
  <c r="AB6498" i="30"/>
  <c r="AB6497" i="30"/>
  <c r="AB6496" i="30"/>
  <c r="AB6495" i="30"/>
  <c r="AB6494" i="30"/>
  <c r="AB6493" i="30"/>
  <c r="AB6492" i="30"/>
  <c r="AB6491" i="30"/>
  <c r="AB6490" i="30"/>
  <c r="AB6489" i="30"/>
  <c r="AB6488" i="30"/>
  <c r="AB6487" i="30"/>
  <c r="AB6486" i="30"/>
  <c r="AB6485" i="30"/>
  <c r="AB6484" i="30"/>
  <c r="AB6483" i="30"/>
  <c r="AB6482" i="30"/>
  <c r="AB6481" i="30"/>
  <c r="AB6480" i="30"/>
  <c r="AB6479" i="30"/>
  <c r="AB6478" i="30"/>
  <c r="AB6477" i="30"/>
  <c r="AB6476" i="30"/>
  <c r="AB6475" i="30"/>
  <c r="AB6474" i="30"/>
  <c r="AB6473" i="30"/>
  <c r="AB6472" i="30"/>
  <c r="AB6471" i="30"/>
  <c r="AB6470" i="30"/>
  <c r="AB6469" i="30"/>
  <c r="AB6468" i="30"/>
  <c r="AB6467" i="30"/>
  <c r="AB6466" i="30"/>
  <c r="AB6465" i="30"/>
  <c r="AB6464" i="30"/>
  <c r="AB6463" i="30"/>
  <c r="AB6462" i="30"/>
  <c r="AB6461" i="30"/>
  <c r="AB6460" i="30"/>
  <c r="AB6459" i="30"/>
  <c r="AB6458" i="30"/>
  <c r="AB6457" i="30"/>
  <c r="AB6456" i="30"/>
  <c r="AB6455" i="30"/>
  <c r="AB6454" i="30"/>
  <c r="AB6453" i="30"/>
  <c r="AB6452" i="30"/>
  <c r="AB6451" i="30"/>
  <c r="AB6450" i="30"/>
  <c r="AB6449" i="30"/>
  <c r="AB6448" i="30"/>
  <c r="AB6447" i="30"/>
  <c r="AB6446" i="30"/>
  <c r="AB6445" i="30"/>
  <c r="AB6444" i="30"/>
  <c r="AB6443" i="30"/>
  <c r="AB6442" i="30"/>
  <c r="AB6441" i="30"/>
  <c r="AB6440" i="30"/>
  <c r="AB6439" i="30"/>
  <c r="AB6438" i="30"/>
  <c r="AB6437" i="30"/>
  <c r="AB6436" i="30"/>
  <c r="AB6435" i="30"/>
  <c r="AB6434" i="30"/>
  <c r="AB6433" i="30"/>
  <c r="AB6432" i="30"/>
  <c r="AB6431" i="30"/>
  <c r="AB6430" i="30"/>
  <c r="AB6429" i="30"/>
  <c r="AB6428" i="30"/>
  <c r="AB6427" i="30"/>
  <c r="AB6426" i="30"/>
  <c r="AB6425" i="30"/>
  <c r="AB6424" i="30"/>
  <c r="AB6423" i="30"/>
  <c r="AB6422" i="30"/>
  <c r="AB6421" i="30"/>
  <c r="AB6420" i="30"/>
  <c r="AB6419" i="30"/>
  <c r="AB6418" i="30"/>
  <c r="AB6417" i="30"/>
  <c r="AB6416" i="30"/>
  <c r="AB6415" i="30"/>
  <c r="AB6414" i="30"/>
  <c r="AB6413" i="30"/>
  <c r="AB6412" i="30"/>
  <c r="AB6411" i="30"/>
  <c r="AB6410" i="30"/>
  <c r="AB6409" i="30"/>
  <c r="AB6408" i="30"/>
  <c r="AB6407" i="30"/>
  <c r="AB6406" i="30"/>
  <c r="AB6405" i="30"/>
  <c r="AB6404" i="30"/>
  <c r="AB6403" i="30"/>
  <c r="AB6402" i="30"/>
  <c r="AB6401" i="30"/>
  <c r="AB6400" i="30"/>
  <c r="AB6399" i="30"/>
  <c r="AB6398" i="30"/>
  <c r="AB6397" i="30"/>
  <c r="AB6396" i="30"/>
  <c r="AB6395" i="30"/>
  <c r="AB6394" i="30"/>
  <c r="AB6393" i="30"/>
  <c r="AB6392" i="30"/>
  <c r="AB6391" i="30"/>
  <c r="AB6390" i="30"/>
  <c r="AB6389" i="30"/>
  <c r="AB6388" i="30"/>
  <c r="AB6387" i="30"/>
  <c r="AB6386" i="30"/>
  <c r="AB6385" i="30"/>
  <c r="AB6384" i="30"/>
  <c r="AB6383" i="30"/>
  <c r="AB6382" i="30"/>
  <c r="AB6381" i="30"/>
  <c r="AB6380" i="30"/>
  <c r="AB6379" i="30"/>
  <c r="AB6378" i="30"/>
  <c r="AB6377" i="30"/>
  <c r="AB6376" i="30"/>
  <c r="AB6375" i="30"/>
  <c r="AB6374" i="30"/>
  <c r="AB6373" i="30"/>
  <c r="AB6372" i="30"/>
  <c r="AB6371" i="30"/>
  <c r="AB6370" i="30"/>
  <c r="AB6369" i="30"/>
  <c r="AB6368" i="30"/>
  <c r="AB6367" i="30"/>
  <c r="AB6366" i="30"/>
  <c r="AB6365" i="30"/>
  <c r="AB6364" i="30"/>
  <c r="AB6363" i="30"/>
  <c r="AB6362" i="30"/>
  <c r="AB6361" i="30"/>
  <c r="AB6360" i="30"/>
  <c r="AB6359" i="30"/>
  <c r="AB6358" i="30"/>
  <c r="AB6357" i="30"/>
  <c r="AB6356" i="30"/>
  <c r="AB6355" i="30"/>
  <c r="AB6354" i="30"/>
  <c r="AB6353" i="30"/>
  <c r="AB6352" i="30"/>
  <c r="AB6351" i="30"/>
  <c r="AB6350" i="30"/>
  <c r="AB6349" i="30"/>
  <c r="AB6348" i="30"/>
  <c r="AB6347" i="30"/>
  <c r="AB6346" i="30"/>
  <c r="AB6345" i="30"/>
  <c r="AB6344" i="30"/>
  <c r="AB6343" i="30"/>
  <c r="AB6342" i="30"/>
  <c r="AB6341" i="30"/>
  <c r="AB6340" i="30"/>
  <c r="AB6339" i="30"/>
  <c r="AB6338" i="30"/>
  <c r="AB6337" i="30"/>
  <c r="AB6336" i="30"/>
  <c r="AB6335" i="30"/>
  <c r="AB6334" i="30"/>
  <c r="AB6333" i="30"/>
  <c r="AB6332" i="30"/>
  <c r="AB6331" i="30"/>
  <c r="AB6330" i="30"/>
  <c r="AB6329" i="30"/>
  <c r="AB6328" i="30"/>
  <c r="AB6327" i="30"/>
  <c r="AB6326" i="30"/>
  <c r="AB6325" i="30"/>
  <c r="AB6324" i="30"/>
  <c r="AB6323" i="30"/>
  <c r="AB6322" i="30"/>
  <c r="AB6321" i="30"/>
  <c r="AB6320" i="30"/>
  <c r="AB6319" i="30"/>
  <c r="AB6318" i="30"/>
  <c r="AB6317" i="30"/>
  <c r="AB6316" i="30"/>
  <c r="AB6315" i="30"/>
  <c r="AB6314" i="30"/>
  <c r="AB6313" i="30"/>
  <c r="AB6312" i="30"/>
  <c r="AB6311" i="30"/>
  <c r="AB6310" i="30"/>
  <c r="AB6309" i="30"/>
  <c r="AB6308" i="30"/>
  <c r="AB6307" i="30"/>
  <c r="AB6306" i="30"/>
  <c r="AB6305" i="30"/>
  <c r="AB6304" i="30"/>
  <c r="AB6303" i="30"/>
  <c r="AB6302" i="30"/>
  <c r="AB6301" i="30"/>
  <c r="AB6300" i="30"/>
  <c r="AB6299" i="30"/>
  <c r="AB6298" i="30"/>
  <c r="AB6297" i="30"/>
  <c r="AB6296" i="30"/>
  <c r="AB6295" i="30"/>
  <c r="AB6294" i="30"/>
  <c r="AB6293" i="30"/>
  <c r="AB6292" i="30"/>
  <c r="AB6291" i="30"/>
  <c r="AB6290" i="30"/>
  <c r="AB6289" i="30"/>
  <c r="AB6288" i="30"/>
  <c r="AB6287" i="30"/>
  <c r="AB6286" i="30"/>
  <c r="AB6285" i="30"/>
  <c r="AB6284" i="30"/>
  <c r="AB6283" i="30"/>
  <c r="AB6282" i="30"/>
  <c r="AB6281" i="30"/>
  <c r="AB6280" i="30"/>
  <c r="AB6279" i="30"/>
  <c r="AB6278" i="30"/>
  <c r="AB6277" i="30"/>
  <c r="AB6276" i="30"/>
  <c r="AB6275" i="30"/>
  <c r="AB6274" i="30"/>
  <c r="AB6273" i="30"/>
  <c r="AB6272" i="30"/>
  <c r="AB6271" i="30"/>
  <c r="AB6270" i="30"/>
  <c r="AB6269" i="30"/>
  <c r="AB6268" i="30"/>
  <c r="AB6267" i="30"/>
  <c r="AB6266" i="30"/>
  <c r="AB6265" i="30"/>
  <c r="AB6264" i="30"/>
  <c r="AB6263" i="30"/>
  <c r="AB6262" i="30"/>
  <c r="AB6261" i="30"/>
  <c r="AB6260" i="30"/>
  <c r="AB6259" i="30"/>
  <c r="AB6258" i="30"/>
  <c r="AB6257" i="30"/>
  <c r="AB6256" i="30"/>
  <c r="AB6255" i="30"/>
  <c r="AB6254" i="30"/>
  <c r="AB6253" i="30"/>
  <c r="AB6252" i="30"/>
  <c r="AB6251" i="30"/>
  <c r="AB6250" i="30"/>
  <c r="AB6249" i="30"/>
  <c r="AB6248" i="30"/>
  <c r="AB6247" i="30"/>
  <c r="AB6246" i="30"/>
  <c r="AB6245" i="30"/>
  <c r="AB6244" i="30"/>
  <c r="AB6243" i="30"/>
  <c r="AB6242" i="30"/>
  <c r="AB6241" i="30"/>
  <c r="AB6240" i="30"/>
  <c r="AB6239" i="30"/>
  <c r="AB6238" i="30"/>
  <c r="AB6237" i="30"/>
  <c r="AB6236" i="30"/>
  <c r="AB6235" i="30"/>
  <c r="AB6234" i="30"/>
  <c r="AB6233" i="30"/>
  <c r="AB6232" i="30"/>
  <c r="AB6231" i="30"/>
  <c r="AB6230" i="30"/>
  <c r="AB6229" i="30"/>
  <c r="AB6228" i="30"/>
  <c r="AB6227" i="30"/>
  <c r="AB6226" i="30"/>
  <c r="AB6225" i="30"/>
  <c r="AB6224" i="30"/>
  <c r="AB6223" i="30"/>
  <c r="AB6222" i="30"/>
  <c r="AB6221" i="30"/>
  <c r="AB6220" i="30"/>
  <c r="AB6219" i="30"/>
  <c r="AB6218" i="30"/>
  <c r="AB6217" i="30"/>
  <c r="AB6216" i="30"/>
  <c r="AB6215" i="30"/>
  <c r="AB6214" i="30"/>
  <c r="AB6213" i="30"/>
  <c r="AB6212" i="30"/>
  <c r="AB6211" i="30"/>
  <c r="AB6210" i="30"/>
  <c r="AB6209" i="30"/>
  <c r="AB6208" i="30"/>
  <c r="AB6207" i="30"/>
  <c r="AB6206" i="30"/>
  <c r="AB6205" i="30"/>
  <c r="AB6204" i="30"/>
  <c r="AB6203" i="30"/>
  <c r="AB6202" i="30"/>
  <c r="AB6201" i="30"/>
  <c r="AB6200" i="30"/>
  <c r="AB6199" i="30"/>
  <c r="AB6198" i="30"/>
  <c r="AB6197" i="30"/>
  <c r="AB6196" i="30"/>
  <c r="AB6195" i="30"/>
  <c r="AB6194" i="30"/>
  <c r="AB6193" i="30"/>
  <c r="AB6192" i="30"/>
  <c r="AB6191" i="30"/>
  <c r="AB6190" i="30"/>
  <c r="AB6189" i="30"/>
  <c r="AB6188" i="30"/>
  <c r="AB6187" i="30"/>
  <c r="AB6186" i="30"/>
  <c r="AB6185" i="30"/>
  <c r="AB6184" i="30"/>
  <c r="AB6183" i="30"/>
  <c r="AB6182" i="30"/>
  <c r="AB6181" i="30"/>
  <c r="AB6180" i="30"/>
  <c r="AB6179" i="30"/>
  <c r="AB6178" i="30"/>
  <c r="AB6177" i="30"/>
  <c r="AB6176" i="30"/>
  <c r="AB6175" i="30"/>
  <c r="AB6174" i="30"/>
  <c r="AB6173" i="30"/>
  <c r="AB6172" i="30"/>
  <c r="AB6171" i="30"/>
  <c r="AB6170" i="30"/>
  <c r="AB6169" i="30"/>
  <c r="AB6168" i="30"/>
  <c r="AB6167" i="30"/>
  <c r="AB6166" i="30"/>
  <c r="AB6165" i="30"/>
  <c r="AB6164" i="30"/>
  <c r="AB6163" i="30"/>
  <c r="AB6162" i="30"/>
  <c r="AB6161" i="30"/>
  <c r="AB6160" i="30"/>
  <c r="AB6159" i="30"/>
  <c r="AB6158" i="30"/>
  <c r="AB6157" i="30"/>
  <c r="AB6156" i="30"/>
  <c r="AB6155" i="30"/>
  <c r="AB6154" i="30"/>
  <c r="AB6153" i="30"/>
  <c r="AB6152" i="30"/>
  <c r="AB6151" i="30"/>
  <c r="AB6150" i="30"/>
  <c r="AB6149" i="30"/>
  <c r="AB6148" i="30"/>
  <c r="AB6147" i="30"/>
  <c r="AB6146" i="30"/>
  <c r="AB6145" i="30"/>
  <c r="AB6144" i="30"/>
  <c r="AB6143" i="30"/>
  <c r="AB6142" i="30"/>
  <c r="AB6141" i="30"/>
  <c r="AB6140" i="30"/>
  <c r="AB6139" i="30"/>
  <c r="AB6138" i="30"/>
  <c r="AB6137" i="30"/>
  <c r="AB6136" i="30"/>
  <c r="AB6135" i="30"/>
  <c r="AB6134" i="30"/>
  <c r="AB6133" i="30"/>
  <c r="AB6132" i="30"/>
  <c r="AB6131" i="30"/>
  <c r="AB6130" i="30"/>
  <c r="AB6129" i="30"/>
  <c r="AB6128" i="30"/>
  <c r="AB6127" i="30"/>
  <c r="AB6126" i="30"/>
  <c r="AB6125" i="30"/>
  <c r="AB6124" i="30"/>
  <c r="AB6123" i="30"/>
  <c r="AB6122" i="30"/>
  <c r="AB6121" i="30"/>
  <c r="AB6120" i="30"/>
  <c r="AB6119" i="30"/>
  <c r="AB6118" i="30"/>
  <c r="AB6117" i="30"/>
  <c r="AB6116" i="30"/>
  <c r="AB6115" i="30"/>
  <c r="AB6114" i="30"/>
  <c r="AB6113" i="30"/>
  <c r="AB6112" i="30"/>
  <c r="AB6111" i="30"/>
  <c r="AB6110" i="30"/>
  <c r="AB6109" i="30"/>
  <c r="AB6108" i="30"/>
  <c r="AB6107" i="30"/>
  <c r="AB6106" i="30"/>
  <c r="AB6105" i="30"/>
  <c r="AB6104" i="30"/>
  <c r="AB6103" i="30"/>
  <c r="AB6102" i="30"/>
  <c r="AB6101" i="30"/>
  <c r="AB6100" i="30"/>
  <c r="AB6099" i="30"/>
  <c r="AB6098" i="30"/>
  <c r="AB6097" i="30"/>
  <c r="AB6096" i="30"/>
  <c r="AB6095" i="30"/>
  <c r="AB6094" i="30"/>
  <c r="AB6093" i="30"/>
  <c r="AB6092" i="30"/>
  <c r="AB6091" i="30"/>
  <c r="AB6090" i="30"/>
  <c r="AB6089" i="30"/>
  <c r="AB6088" i="30"/>
  <c r="AB6087" i="30"/>
  <c r="AB6086" i="30"/>
  <c r="AB6085" i="30"/>
  <c r="AB6084" i="30"/>
  <c r="AB6083" i="30"/>
  <c r="AB6082" i="30"/>
  <c r="AB6081" i="30"/>
  <c r="AB6080" i="30"/>
  <c r="AB6079" i="30"/>
  <c r="AB6078" i="30"/>
  <c r="AB6077" i="30"/>
  <c r="AB6076" i="30"/>
  <c r="AB6075" i="30"/>
  <c r="AB6074" i="30"/>
  <c r="AB6073" i="30"/>
  <c r="AB6072" i="30"/>
  <c r="AB6071" i="30"/>
  <c r="AB6070" i="30"/>
  <c r="AB6069" i="30"/>
  <c r="AB6068" i="30"/>
  <c r="AB6067" i="30"/>
  <c r="AB6066" i="30"/>
  <c r="AB6065" i="30"/>
  <c r="AB6064" i="30"/>
  <c r="AB6063" i="30"/>
  <c r="AB6062" i="30"/>
  <c r="AB6061" i="30"/>
  <c r="AB6060" i="30"/>
  <c r="AB6059" i="30"/>
  <c r="AB6058" i="30"/>
  <c r="AB6057" i="30"/>
  <c r="AB6056" i="30"/>
  <c r="AB6055" i="30"/>
  <c r="AB6054" i="30"/>
  <c r="AB6053" i="30"/>
  <c r="AB6052" i="30"/>
  <c r="AB6051" i="30"/>
  <c r="AB6050" i="30"/>
  <c r="AB6049" i="30"/>
  <c r="AB6048" i="30"/>
  <c r="AB6047" i="30"/>
  <c r="AB6046" i="30"/>
  <c r="AB6045" i="30"/>
  <c r="AB6044" i="30"/>
  <c r="AB6043" i="30"/>
  <c r="AB6042" i="30"/>
  <c r="AB6041" i="30"/>
  <c r="AB6040" i="30"/>
  <c r="AB6039" i="30"/>
  <c r="AB6038" i="30"/>
  <c r="AB6037" i="30"/>
  <c r="AB6036" i="30"/>
  <c r="AB6035" i="30"/>
  <c r="AB6034" i="30"/>
  <c r="AB6033" i="30"/>
  <c r="AB6032" i="30"/>
  <c r="AB6031" i="30"/>
  <c r="AB6030" i="30"/>
  <c r="AB6029" i="30"/>
  <c r="AB6028" i="30"/>
  <c r="AB6027" i="30"/>
  <c r="AB6026" i="30"/>
  <c r="AB6025" i="30"/>
  <c r="AB6024" i="30"/>
  <c r="AB6023" i="30"/>
  <c r="AB6022" i="30"/>
  <c r="AB6021" i="30"/>
  <c r="AB6020" i="30"/>
  <c r="AB6019" i="30"/>
  <c r="AB6018" i="30"/>
  <c r="AB6017" i="30"/>
  <c r="AB6016" i="30"/>
  <c r="AB6015" i="30"/>
  <c r="AB6014" i="30"/>
  <c r="AB6013" i="30"/>
  <c r="AB6012" i="30"/>
  <c r="AB6011" i="30"/>
  <c r="AB6010" i="30"/>
  <c r="AB6009" i="30"/>
  <c r="AB6008" i="30"/>
  <c r="AB6007" i="30"/>
  <c r="AB6006" i="30"/>
  <c r="AB6005" i="30"/>
  <c r="AB6004" i="30"/>
  <c r="AB6003" i="30"/>
  <c r="AB6002" i="30"/>
  <c r="AB6001" i="30"/>
  <c r="AB6000" i="30"/>
  <c r="AB5999" i="30"/>
  <c r="AB5998" i="30"/>
  <c r="AB5997" i="30"/>
  <c r="AB5996" i="30"/>
  <c r="AB5995" i="30"/>
  <c r="AB5994" i="30"/>
  <c r="AB5993" i="30"/>
  <c r="AB5992" i="30"/>
  <c r="AB5991" i="30"/>
  <c r="AB5990" i="30"/>
  <c r="AB5989" i="30"/>
  <c r="AB5988" i="30"/>
  <c r="AB5987" i="30"/>
  <c r="AB5986" i="30"/>
  <c r="AB5985" i="30"/>
  <c r="AB5984" i="30"/>
  <c r="AB5983" i="30"/>
  <c r="AB5982" i="30"/>
  <c r="AB5981" i="30"/>
  <c r="AB5980" i="30"/>
  <c r="AB5979" i="30"/>
  <c r="AB5978" i="30"/>
  <c r="AB5977" i="30"/>
  <c r="AB5976" i="30"/>
  <c r="AB5975" i="30"/>
  <c r="AB5974" i="30"/>
  <c r="AB5973" i="30"/>
  <c r="AB5972" i="30"/>
  <c r="AB5971" i="30"/>
  <c r="AB5970" i="30"/>
  <c r="AB5969" i="30"/>
  <c r="AB5968" i="30"/>
  <c r="AB5967" i="30"/>
  <c r="AB5966" i="30"/>
  <c r="AB5965" i="30"/>
  <c r="AB5964" i="30"/>
  <c r="AB5963" i="30"/>
  <c r="AB5962" i="30"/>
  <c r="AB5961" i="30"/>
  <c r="AB5960" i="30"/>
  <c r="AB5959" i="30"/>
  <c r="AB5958" i="30"/>
  <c r="AB5957" i="30"/>
  <c r="AB5956" i="30"/>
  <c r="AB5955" i="30"/>
  <c r="AB5954" i="30"/>
  <c r="AB5953" i="30"/>
  <c r="AB5952" i="30"/>
  <c r="AB5951" i="30"/>
  <c r="AB5950" i="30"/>
  <c r="AB5949" i="30"/>
  <c r="AB5948" i="30"/>
  <c r="AB5947" i="30"/>
  <c r="AB5946" i="30"/>
  <c r="AB5945" i="30"/>
  <c r="AB5944" i="30"/>
  <c r="AB5943" i="30"/>
  <c r="AB5942" i="30"/>
  <c r="AB5941" i="30"/>
  <c r="AB5940" i="30"/>
  <c r="AB5939" i="30"/>
  <c r="AB5938" i="30"/>
  <c r="AB5937" i="30"/>
  <c r="AB5936" i="30"/>
  <c r="AB5935" i="30"/>
  <c r="AB5934" i="30"/>
  <c r="AB5933" i="30"/>
  <c r="AB5932" i="30"/>
  <c r="AB5931" i="30"/>
  <c r="AB5930" i="30"/>
  <c r="AB5929" i="30"/>
  <c r="AB5928" i="30"/>
  <c r="AB5927" i="30"/>
  <c r="AB5926" i="30"/>
  <c r="AB5925" i="30"/>
  <c r="AB5924" i="30"/>
  <c r="AB5923" i="30"/>
  <c r="AB5922" i="30"/>
  <c r="AB5921" i="30"/>
  <c r="AB5920" i="30"/>
  <c r="AB5919" i="30"/>
  <c r="AB5918" i="30"/>
  <c r="AB5917" i="30"/>
  <c r="AB5916" i="30"/>
  <c r="AB5915" i="30"/>
  <c r="AB5914" i="30"/>
  <c r="AB5913" i="30"/>
  <c r="AB5912" i="30"/>
  <c r="AB5911" i="30"/>
  <c r="AB5910" i="30"/>
  <c r="AB5909" i="30"/>
  <c r="AB5908" i="30"/>
  <c r="AB5907" i="30"/>
  <c r="AB5906" i="30"/>
  <c r="AB5905" i="30"/>
  <c r="AB5904" i="30"/>
  <c r="AB5903" i="30"/>
  <c r="AB5902" i="30"/>
  <c r="AB5901" i="30"/>
  <c r="AB5900" i="30"/>
  <c r="AB5899" i="30"/>
  <c r="AB5898" i="30"/>
  <c r="AB5897" i="30"/>
  <c r="AB5896" i="30"/>
  <c r="AB5895" i="30"/>
  <c r="AB5894" i="30"/>
  <c r="AB5893" i="30"/>
  <c r="AB5892" i="30"/>
  <c r="AB5891" i="30"/>
  <c r="AB5890" i="30"/>
  <c r="AB5889" i="30"/>
  <c r="AB5888" i="30"/>
  <c r="AB5887" i="30"/>
  <c r="AB5886" i="30"/>
  <c r="AB5885" i="30"/>
  <c r="AB5884" i="30"/>
  <c r="AB5883" i="30"/>
  <c r="AB5882" i="30"/>
  <c r="AB5881" i="30"/>
  <c r="AB5880" i="30"/>
  <c r="AB5879" i="30"/>
  <c r="AB5878" i="30"/>
  <c r="AB5877" i="30"/>
  <c r="AB5876" i="30"/>
  <c r="AB5875" i="30"/>
  <c r="AB5874" i="30"/>
  <c r="AB5873" i="30"/>
  <c r="AB5872" i="30"/>
  <c r="AB5871" i="30"/>
  <c r="AB5870" i="30"/>
  <c r="AB5869" i="30"/>
  <c r="AB5868" i="30"/>
  <c r="AB5867" i="30"/>
  <c r="AB5866" i="30"/>
  <c r="AB5865" i="30"/>
  <c r="AB5864" i="30"/>
  <c r="AB5863" i="30"/>
  <c r="AB5862" i="30"/>
  <c r="AB5861" i="30"/>
  <c r="AB5860" i="30"/>
  <c r="AB5859" i="30"/>
  <c r="AB5858" i="30"/>
  <c r="AB5857" i="30"/>
  <c r="AB5856" i="30"/>
  <c r="AB5855" i="30"/>
  <c r="AB5854" i="30"/>
  <c r="AB5853" i="30"/>
  <c r="AB5852" i="30"/>
  <c r="AB5851" i="30"/>
  <c r="AB5850" i="30"/>
  <c r="AB5849" i="30"/>
  <c r="AB5848" i="30"/>
  <c r="AB5847" i="30"/>
  <c r="AB5846" i="30"/>
  <c r="AB5845" i="30"/>
  <c r="AB5844" i="30"/>
  <c r="AB5843" i="30"/>
  <c r="AB5842" i="30"/>
  <c r="AB5841" i="30"/>
  <c r="AB5840" i="30"/>
  <c r="AB5839" i="30"/>
  <c r="AB5838" i="30"/>
  <c r="AB5837" i="30"/>
  <c r="AB5836" i="30"/>
  <c r="AB5835" i="30"/>
  <c r="AB5834" i="30"/>
  <c r="AB5833" i="30"/>
  <c r="AB5832" i="30"/>
  <c r="AB5831" i="30"/>
  <c r="AB5830" i="30"/>
  <c r="AB5829" i="30"/>
  <c r="AB5828" i="30"/>
  <c r="AB5827" i="30"/>
  <c r="AB5826" i="30"/>
  <c r="AB5825" i="30"/>
  <c r="AB5824" i="30"/>
  <c r="AB5823" i="30"/>
  <c r="AB5822" i="30"/>
  <c r="AB5821" i="30"/>
  <c r="AB5820" i="30"/>
  <c r="AB5819" i="30"/>
  <c r="AB5818" i="30"/>
  <c r="AB5817" i="30"/>
  <c r="AB5816" i="30"/>
  <c r="AB5815" i="30"/>
  <c r="AB5814" i="30"/>
  <c r="AB5813" i="30"/>
  <c r="AB5812" i="30"/>
  <c r="AB5811" i="30"/>
  <c r="AB5810" i="30"/>
  <c r="AB5809" i="30"/>
  <c r="AB5808" i="30"/>
  <c r="AB5807" i="30"/>
  <c r="AB5806" i="30"/>
  <c r="AB5805" i="30"/>
  <c r="AB5804" i="30"/>
  <c r="AB5803" i="30"/>
  <c r="AB5802" i="30"/>
  <c r="AB5801" i="30"/>
  <c r="AB5800" i="30"/>
  <c r="AB5799" i="30"/>
  <c r="AB5798" i="30"/>
  <c r="AB5797" i="30"/>
  <c r="AB5796" i="30"/>
  <c r="AB5795" i="30"/>
  <c r="AB5794" i="30"/>
  <c r="AB5793" i="30"/>
  <c r="AB5792" i="30"/>
  <c r="AB5791" i="30"/>
  <c r="AB5790" i="30"/>
  <c r="AB5789" i="30"/>
  <c r="AB5788" i="30"/>
  <c r="AB5787" i="30"/>
  <c r="AB5786" i="30"/>
  <c r="AB5785" i="30"/>
  <c r="AB5784" i="30"/>
  <c r="AB5783" i="30"/>
  <c r="AB5782" i="30"/>
  <c r="AB5781" i="30"/>
  <c r="AB5780" i="30"/>
  <c r="AB5779" i="30"/>
  <c r="AB5778" i="30"/>
  <c r="AB5777" i="30"/>
  <c r="AB5776" i="30"/>
  <c r="AB5775" i="30"/>
  <c r="AB5774" i="30"/>
  <c r="AB5773" i="30"/>
  <c r="AB5772" i="30"/>
  <c r="AB5771" i="30"/>
  <c r="AB5770" i="30"/>
  <c r="AB5769" i="30"/>
  <c r="AB5768" i="30"/>
  <c r="AB5767" i="30"/>
  <c r="AB5766" i="30"/>
  <c r="AB5765" i="30"/>
  <c r="AB5764" i="30"/>
  <c r="AB5763" i="30"/>
  <c r="AB5762" i="30"/>
  <c r="AB5761" i="30"/>
  <c r="AB5760" i="30"/>
  <c r="AB5759" i="30"/>
  <c r="AB5758" i="30"/>
  <c r="AB5757" i="30"/>
  <c r="AB5756" i="30"/>
  <c r="AB5755" i="30"/>
  <c r="AB5754" i="30"/>
  <c r="AB5753" i="30"/>
  <c r="AB5752" i="30"/>
  <c r="AB5751" i="30"/>
  <c r="AB5750" i="30"/>
  <c r="AB5749" i="30"/>
  <c r="AB5748" i="30"/>
  <c r="AB5747" i="30"/>
  <c r="AB5746" i="30"/>
  <c r="AB5745" i="30"/>
  <c r="AB5744" i="30"/>
  <c r="AB5743" i="30"/>
  <c r="AB5742" i="30"/>
  <c r="AB5741" i="30"/>
  <c r="AB5740" i="30"/>
  <c r="AB5739" i="30"/>
  <c r="AB5738" i="30"/>
  <c r="AB5737" i="30"/>
  <c r="AB5736" i="30"/>
  <c r="AB5735" i="30"/>
  <c r="AB5734" i="30"/>
  <c r="AB5733" i="30"/>
  <c r="AB5732" i="30"/>
  <c r="AB5731" i="30"/>
  <c r="AB5730" i="30"/>
  <c r="AB5729" i="30"/>
  <c r="AB5728" i="30"/>
  <c r="AB5727" i="30"/>
  <c r="AB5726" i="30"/>
  <c r="AB5725" i="30"/>
  <c r="AB5724" i="30"/>
  <c r="AB5723" i="30"/>
  <c r="AB5722" i="30"/>
  <c r="AB5721" i="30"/>
  <c r="AB5720" i="30"/>
  <c r="AB5719" i="30"/>
  <c r="AB5718" i="30"/>
  <c r="AB5717" i="30"/>
  <c r="AB5716" i="30"/>
  <c r="AB5715" i="30"/>
  <c r="AB5714" i="30"/>
  <c r="AB5713" i="30"/>
  <c r="AB5712" i="30"/>
  <c r="AB5711" i="30"/>
  <c r="AB5710" i="30"/>
  <c r="AB5709" i="30"/>
  <c r="AB5708" i="30"/>
  <c r="AB5707" i="30"/>
  <c r="AB5706" i="30"/>
  <c r="AB5705" i="30"/>
  <c r="AB5704" i="30"/>
  <c r="AB5703" i="30"/>
  <c r="AB5702" i="30"/>
  <c r="AB5701" i="30"/>
  <c r="AB5700" i="30"/>
  <c r="AB5699" i="30"/>
  <c r="AB5698" i="30"/>
  <c r="AB5697" i="30"/>
  <c r="AB5696" i="30"/>
  <c r="AB5695" i="30"/>
  <c r="AB5694" i="30"/>
  <c r="AB5693" i="30"/>
  <c r="AB5692" i="30"/>
  <c r="AB5691" i="30"/>
  <c r="AB5690" i="30"/>
  <c r="AB5689" i="30"/>
  <c r="AB5688" i="30"/>
  <c r="AB5687" i="30"/>
  <c r="AB5686" i="30"/>
  <c r="AB5685" i="30"/>
  <c r="AB5684" i="30"/>
  <c r="AB5683" i="30"/>
  <c r="AB5682" i="30"/>
  <c r="AB5681" i="30"/>
  <c r="AB5680" i="30"/>
  <c r="AB5679" i="30"/>
  <c r="AB5678" i="30"/>
  <c r="AB5677" i="30"/>
  <c r="AB5676" i="30"/>
  <c r="AB5675" i="30"/>
  <c r="AB5674" i="30"/>
  <c r="AB5673" i="30"/>
  <c r="AB5672" i="30"/>
  <c r="AB5671" i="30"/>
  <c r="AB5670" i="30"/>
  <c r="AB5669" i="30"/>
  <c r="AB5668" i="30"/>
  <c r="AB5667" i="30"/>
  <c r="AB5666" i="30"/>
  <c r="AB5665" i="30"/>
  <c r="AB5664" i="30"/>
  <c r="AB5663" i="30"/>
  <c r="AB5662" i="30"/>
  <c r="AB5661" i="30"/>
  <c r="AB5660" i="30"/>
  <c r="AB5659" i="30"/>
  <c r="AB5658" i="30"/>
  <c r="AB5657" i="30"/>
  <c r="AB5656" i="30"/>
  <c r="AB5655" i="30"/>
  <c r="AB5654" i="30"/>
  <c r="AB5653" i="30"/>
  <c r="AB5652" i="30"/>
  <c r="AB5651" i="30"/>
  <c r="AB5650" i="30"/>
  <c r="AB5649" i="30"/>
  <c r="AB5648" i="30"/>
  <c r="AB5647" i="30"/>
  <c r="AB5646" i="30"/>
  <c r="AB5645" i="30"/>
  <c r="AB5644" i="30"/>
  <c r="AB5643" i="30"/>
  <c r="AB5642" i="30"/>
  <c r="AB5641" i="30"/>
  <c r="AB5640" i="30"/>
  <c r="AB5639" i="30"/>
  <c r="AB5638" i="30"/>
  <c r="AB5637" i="30"/>
  <c r="AB5636" i="30"/>
  <c r="AB5635" i="30"/>
  <c r="AB5634" i="30"/>
  <c r="AB5633" i="30"/>
  <c r="AB5632" i="30"/>
  <c r="AB5631" i="30"/>
  <c r="AB5630" i="30"/>
  <c r="AB5629" i="30"/>
  <c r="AB5628" i="30"/>
  <c r="AB5627" i="30"/>
  <c r="AB5626" i="30"/>
  <c r="AB5625" i="30"/>
  <c r="AB5624" i="30"/>
  <c r="AB5623" i="30"/>
  <c r="AB5622" i="30"/>
  <c r="AB5621" i="30"/>
  <c r="AB5620" i="30"/>
  <c r="AB5619" i="30"/>
  <c r="AB5618" i="30"/>
  <c r="AB5617" i="30"/>
  <c r="AB5616" i="30"/>
  <c r="AB5615" i="30"/>
  <c r="AB5614" i="30"/>
  <c r="AB5613" i="30"/>
  <c r="AB5612" i="30"/>
  <c r="AB5611" i="30"/>
  <c r="AB5610" i="30"/>
  <c r="AB5609" i="30"/>
  <c r="AB5608" i="30"/>
  <c r="AB5607" i="30"/>
  <c r="AB5606" i="30"/>
  <c r="AB5605" i="30"/>
  <c r="AB5604" i="30"/>
  <c r="AB5603" i="30"/>
  <c r="AB5602" i="30"/>
  <c r="AB5601" i="30"/>
  <c r="AB5600" i="30"/>
  <c r="AB5599" i="30"/>
  <c r="AB5598" i="30"/>
  <c r="AB5597" i="30"/>
  <c r="AB5596" i="30"/>
  <c r="AB5595" i="30"/>
  <c r="AB5594" i="30"/>
  <c r="AB5593" i="30"/>
  <c r="AB5592" i="30"/>
  <c r="AB5591" i="30"/>
  <c r="AB5590" i="30"/>
  <c r="AB5589" i="30"/>
  <c r="AB5588" i="30"/>
  <c r="AB5587" i="30"/>
  <c r="AB5586" i="30"/>
  <c r="AB5585" i="30"/>
  <c r="AB5584" i="30"/>
  <c r="AB5583" i="30"/>
  <c r="AB5582" i="30"/>
  <c r="AB5581" i="30"/>
  <c r="AB5580" i="30"/>
  <c r="AB5579" i="30"/>
  <c r="AB5578" i="30"/>
  <c r="AB5577" i="30"/>
  <c r="AB5576" i="30"/>
  <c r="AB5575" i="30"/>
  <c r="AB5574" i="30"/>
  <c r="AB5573" i="30"/>
  <c r="AB5572" i="30"/>
  <c r="AB5571" i="30"/>
  <c r="AB5570" i="30"/>
  <c r="AB5569" i="30"/>
  <c r="AB5568" i="30"/>
  <c r="AB5567" i="30"/>
  <c r="AB5566" i="30"/>
  <c r="AB5565" i="30"/>
  <c r="AB5564" i="30"/>
  <c r="AB5563" i="30"/>
  <c r="AB5562" i="30"/>
  <c r="AB5561" i="30"/>
  <c r="AB5560" i="30"/>
  <c r="AB5559" i="30"/>
  <c r="AB5558" i="30"/>
  <c r="AB5557" i="30"/>
  <c r="AB5556" i="30"/>
  <c r="AB5555" i="30"/>
  <c r="AB5554" i="30"/>
  <c r="AB5553" i="30"/>
  <c r="AB5552" i="30"/>
  <c r="AB5551" i="30"/>
  <c r="AB5550" i="30"/>
  <c r="AB5549" i="30"/>
  <c r="AB5548" i="30"/>
  <c r="AB5547" i="30"/>
  <c r="AB5546" i="30"/>
  <c r="AB5545" i="30"/>
  <c r="AB5544" i="30"/>
  <c r="AB5543" i="30"/>
  <c r="AB5542" i="30"/>
  <c r="AB5541" i="30"/>
  <c r="AB5540" i="30"/>
  <c r="AB5539" i="30"/>
  <c r="AB5538" i="30"/>
  <c r="AB5537" i="30"/>
  <c r="AB5536" i="30"/>
  <c r="AB5535" i="30"/>
  <c r="AB5534" i="30"/>
  <c r="AB5533" i="30"/>
  <c r="AB5532" i="30"/>
  <c r="AB5531" i="30"/>
  <c r="AB5530" i="30"/>
  <c r="AB5529" i="30"/>
  <c r="AB5528" i="30"/>
  <c r="AB5527" i="30"/>
  <c r="AB5526" i="30"/>
  <c r="AB5525" i="30"/>
  <c r="AB5524" i="30"/>
  <c r="AB5523" i="30"/>
  <c r="AB5522" i="30"/>
  <c r="AB5521" i="30"/>
  <c r="AB5520" i="30"/>
  <c r="AB5519" i="30"/>
  <c r="AB5518" i="30"/>
  <c r="AB5517" i="30"/>
  <c r="AB5516" i="30"/>
  <c r="AB5515" i="30"/>
  <c r="AB5514" i="30"/>
  <c r="AB5513" i="30"/>
  <c r="AB5512" i="30"/>
  <c r="AB5511" i="30"/>
  <c r="AB5510" i="30"/>
  <c r="AB5509" i="30"/>
  <c r="AB5508" i="30"/>
  <c r="AB5507" i="30"/>
  <c r="AB5506" i="30"/>
  <c r="AB5505" i="30"/>
  <c r="AB5504" i="30"/>
  <c r="AB5503" i="30"/>
  <c r="AB5502" i="30"/>
  <c r="AB5501" i="30"/>
  <c r="AB5500" i="30"/>
  <c r="AB5499" i="30"/>
  <c r="AB5498" i="30"/>
  <c r="AB5497" i="30"/>
  <c r="AB5496" i="30"/>
  <c r="AB5495" i="30"/>
  <c r="AB5494" i="30"/>
  <c r="AB5493" i="30"/>
  <c r="AB5492" i="30"/>
  <c r="AB5491" i="30"/>
  <c r="AB5490" i="30"/>
  <c r="AB5489" i="30"/>
  <c r="AB5488" i="30"/>
  <c r="AB5487" i="30"/>
  <c r="AB5486" i="30"/>
  <c r="AB5485" i="30"/>
  <c r="AB5484" i="30"/>
  <c r="AB5483" i="30"/>
  <c r="AB5482" i="30"/>
  <c r="AB5481" i="30"/>
  <c r="AB5480" i="30"/>
  <c r="AB5479" i="30"/>
  <c r="AB5478" i="30"/>
  <c r="AB5477" i="30"/>
  <c r="AB5476" i="30"/>
  <c r="AB5475" i="30"/>
  <c r="AB5474" i="30"/>
  <c r="AB5473" i="30"/>
  <c r="AB5472" i="30"/>
  <c r="AB5471" i="30"/>
  <c r="AB5470" i="30"/>
  <c r="AB5469" i="30"/>
  <c r="AB5468" i="30"/>
  <c r="AB5467" i="30"/>
  <c r="AB5466" i="30"/>
  <c r="AB5465" i="30"/>
  <c r="AB5464" i="30"/>
  <c r="AB5463" i="30"/>
  <c r="AB5462" i="30"/>
  <c r="AB5461" i="30"/>
  <c r="AB5460" i="30"/>
  <c r="AB5459" i="30"/>
  <c r="AB5458" i="30"/>
  <c r="AB5457" i="30"/>
  <c r="AB5456" i="30"/>
  <c r="AB5455" i="30"/>
  <c r="AB5454" i="30"/>
  <c r="AB5453" i="30"/>
  <c r="AB5452" i="30"/>
  <c r="AB5451" i="30"/>
  <c r="AB5450" i="30"/>
  <c r="AB5449" i="30"/>
  <c r="AB5448" i="30"/>
  <c r="AB5447" i="30"/>
  <c r="AB5446" i="30"/>
  <c r="AB5445" i="30"/>
  <c r="AB5444" i="30"/>
  <c r="AB5443" i="30"/>
  <c r="AB5442" i="30"/>
  <c r="AB5441" i="30"/>
  <c r="AB5440" i="30"/>
  <c r="AB5439" i="30"/>
  <c r="AB5438" i="30"/>
  <c r="AB5437" i="30"/>
  <c r="AB5436" i="30"/>
  <c r="AB5435" i="30"/>
  <c r="AB5434" i="30"/>
  <c r="AB5433" i="30"/>
  <c r="AB5432" i="30"/>
  <c r="AB5431" i="30"/>
  <c r="AB5430" i="30"/>
  <c r="AB5429" i="30"/>
  <c r="AB5428" i="30"/>
  <c r="AB5427" i="30"/>
  <c r="AB5426" i="30"/>
  <c r="AB5425" i="30"/>
  <c r="AB5424" i="30"/>
  <c r="AB5423" i="30"/>
  <c r="AB5422" i="30"/>
  <c r="AB5421" i="30"/>
  <c r="AB5420" i="30"/>
  <c r="AB5419" i="30"/>
  <c r="AB5418" i="30"/>
  <c r="AB5417" i="30"/>
  <c r="AB5416" i="30"/>
  <c r="AB5415" i="30"/>
  <c r="AB5414" i="30"/>
  <c r="AB5413" i="30"/>
  <c r="AB5412" i="30"/>
  <c r="AB5411" i="30"/>
  <c r="AB5410" i="30"/>
  <c r="AB5409" i="30"/>
  <c r="AB5408" i="30"/>
  <c r="AB5407" i="30"/>
  <c r="AB5406" i="30"/>
  <c r="AB5405" i="30"/>
  <c r="AB5404" i="30"/>
  <c r="AB5403" i="30"/>
  <c r="AB5402" i="30"/>
  <c r="AB5401" i="30"/>
  <c r="AB5400" i="30"/>
  <c r="AB5399" i="30"/>
  <c r="AB5398" i="30"/>
  <c r="AB5397" i="30"/>
  <c r="AB5396" i="30"/>
  <c r="AB5395" i="30"/>
  <c r="AB5394" i="30"/>
  <c r="AB5393" i="30"/>
  <c r="AB5392" i="30"/>
  <c r="AB5391" i="30"/>
  <c r="AB5390" i="30"/>
  <c r="AB5389" i="30"/>
  <c r="AB5388" i="30"/>
  <c r="AB5387" i="30"/>
  <c r="AB5386" i="30"/>
  <c r="AB5385" i="30"/>
  <c r="AB5384" i="30"/>
  <c r="AB5383" i="30"/>
  <c r="AB5382" i="30"/>
  <c r="AB5381" i="30"/>
  <c r="AB5380" i="30"/>
  <c r="AB5379" i="30"/>
  <c r="AB5378" i="30"/>
  <c r="AB5377" i="30"/>
  <c r="AB5376" i="30"/>
  <c r="AB5375" i="30"/>
  <c r="AB5374" i="30"/>
  <c r="AB5373" i="30"/>
  <c r="AB5372" i="30"/>
  <c r="AB5371" i="30"/>
  <c r="AB5370" i="30"/>
  <c r="AB5369" i="30"/>
  <c r="AB5368" i="30"/>
  <c r="AB5367" i="30"/>
  <c r="AB5366" i="30"/>
  <c r="AB5365" i="30"/>
  <c r="AB5364" i="30"/>
  <c r="AB5363" i="30"/>
  <c r="AB5362" i="30"/>
  <c r="AB5361" i="30"/>
  <c r="AB5360" i="30"/>
  <c r="AB5359" i="30"/>
  <c r="AB5358" i="30"/>
  <c r="AB5357" i="30"/>
  <c r="AB5356" i="30"/>
  <c r="AB5355" i="30"/>
  <c r="AB5354" i="30"/>
  <c r="AB5353" i="30"/>
  <c r="AB5352" i="30"/>
  <c r="AB5351" i="30"/>
  <c r="AB5350" i="30"/>
  <c r="AB5349" i="30"/>
  <c r="AB5348" i="30"/>
  <c r="AB5347" i="30"/>
  <c r="AB5346" i="30"/>
  <c r="AB5345" i="30"/>
  <c r="AB5344" i="30"/>
  <c r="AB5343" i="30"/>
  <c r="AB5342" i="30"/>
  <c r="AB5341" i="30"/>
  <c r="AB5340" i="30"/>
  <c r="AB5339" i="30"/>
  <c r="AB5338" i="30"/>
  <c r="AB5337" i="30"/>
  <c r="AB5336" i="30"/>
  <c r="AB5335" i="30"/>
  <c r="AB5334" i="30"/>
  <c r="AB5333" i="30"/>
  <c r="AB5332" i="30"/>
  <c r="AB5331" i="30"/>
  <c r="AB5330" i="30"/>
  <c r="AB5329" i="30"/>
  <c r="AB5328" i="30"/>
  <c r="AB5327" i="30"/>
  <c r="AB5326" i="30"/>
  <c r="AB5325" i="30"/>
  <c r="AB5324" i="30"/>
  <c r="AB5323" i="30"/>
  <c r="AB5322" i="30"/>
  <c r="AB5321" i="30"/>
  <c r="AB5320" i="30"/>
  <c r="AB5319" i="30"/>
  <c r="AB5318" i="30"/>
  <c r="AB5317" i="30"/>
  <c r="AB5316" i="30"/>
  <c r="AB5315" i="30"/>
  <c r="AB5314" i="30"/>
  <c r="AB5313" i="30"/>
  <c r="AB5312" i="30"/>
  <c r="AB5311" i="30"/>
  <c r="AB5310" i="30"/>
  <c r="AB5309" i="30"/>
  <c r="AB5308" i="30"/>
  <c r="AB5307" i="30"/>
  <c r="AB5306" i="30"/>
  <c r="AB5305" i="30"/>
  <c r="AB5304" i="30"/>
  <c r="AB5303" i="30"/>
  <c r="AB5302" i="30"/>
  <c r="AB5301" i="30"/>
  <c r="AB5300" i="30"/>
  <c r="AB5299" i="30"/>
  <c r="AB5298" i="30"/>
  <c r="AB5297" i="30"/>
  <c r="AB5296" i="30"/>
  <c r="AB5295" i="30"/>
  <c r="AB5294" i="30"/>
  <c r="AB5293" i="30"/>
  <c r="AB5292" i="30"/>
  <c r="AB5291" i="30"/>
  <c r="AB5290" i="30"/>
  <c r="AB5289" i="30"/>
  <c r="AB5288" i="30"/>
  <c r="AB5287" i="30"/>
  <c r="AB5286" i="30"/>
  <c r="AB5285" i="30"/>
  <c r="AB5284" i="30"/>
  <c r="AB5283" i="30"/>
  <c r="AB5282" i="30"/>
  <c r="AB5281" i="30"/>
  <c r="AB5280" i="30"/>
  <c r="AB5279" i="30"/>
  <c r="AB5278" i="30"/>
  <c r="AB5277" i="30"/>
  <c r="AB5276" i="30"/>
  <c r="AB5275" i="30"/>
  <c r="AB5274" i="30"/>
  <c r="AB5273" i="30"/>
  <c r="AB5272" i="30"/>
  <c r="AB5271" i="30"/>
  <c r="AB5270" i="30"/>
  <c r="AB5269" i="30"/>
  <c r="AB5268" i="30"/>
  <c r="AB5267" i="30"/>
  <c r="AB5266" i="30"/>
  <c r="AB5265" i="30"/>
  <c r="AB5264" i="30"/>
  <c r="AB5263" i="30"/>
  <c r="AB5262" i="30"/>
  <c r="AB5261" i="30"/>
  <c r="AB5260" i="30"/>
  <c r="AB5259" i="30"/>
  <c r="AB5258" i="30"/>
  <c r="AB5257" i="30"/>
  <c r="AB5256" i="30"/>
  <c r="AB5255" i="30"/>
  <c r="AB5254" i="30"/>
  <c r="AB5253" i="30"/>
  <c r="AB5252" i="30"/>
  <c r="AB5251" i="30"/>
  <c r="AB5250" i="30"/>
  <c r="AB5249" i="30"/>
  <c r="AB5248" i="30"/>
  <c r="AB5247" i="30"/>
  <c r="AB5246" i="30"/>
  <c r="AB5245" i="30"/>
  <c r="AB5244" i="30"/>
  <c r="AB5243" i="30"/>
  <c r="AB5242" i="30"/>
  <c r="AB5241" i="30"/>
  <c r="AB5240" i="30"/>
  <c r="AB5239" i="30"/>
  <c r="AB5238" i="30"/>
  <c r="AB5237" i="30"/>
  <c r="AB5236" i="30"/>
  <c r="AB5235" i="30"/>
  <c r="AB5234" i="30"/>
  <c r="AB5233" i="30"/>
  <c r="AB5232" i="30"/>
  <c r="AB5231" i="30"/>
  <c r="AB5230" i="30"/>
  <c r="AB5229" i="30"/>
  <c r="AB5228" i="30"/>
  <c r="AB5227" i="30"/>
  <c r="AB5226" i="30"/>
  <c r="AB5225" i="30"/>
  <c r="AB5224" i="30"/>
  <c r="AB5223" i="30"/>
  <c r="AB5222" i="30"/>
  <c r="AB5221" i="30"/>
  <c r="AB5220" i="30"/>
  <c r="AB5219" i="30"/>
  <c r="AB5218" i="30"/>
  <c r="AB5217" i="30"/>
  <c r="AB5216" i="30"/>
  <c r="AB5215" i="30"/>
  <c r="AB5214" i="30"/>
  <c r="AB5213" i="30"/>
  <c r="AB5212" i="30"/>
  <c r="AB5211" i="30"/>
  <c r="AB5210" i="30"/>
  <c r="AB5209" i="30"/>
  <c r="AB5208" i="30"/>
  <c r="AB5207" i="30"/>
  <c r="AB5206" i="30"/>
  <c r="AB5205" i="30"/>
  <c r="AB5204" i="30"/>
  <c r="AB5203" i="30"/>
  <c r="AB5202" i="30"/>
  <c r="AB5201" i="30"/>
  <c r="AB5200" i="30"/>
  <c r="AB5199" i="30"/>
  <c r="AB5198" i="30"/>
  <c r="AB5197" i="30"/>
  <c r="AB5196" i="30"/>
  <c r="AB5195" i="30"/>
  <c r="AB5194" i="30"/>
  <c r="AB5193" i="30"/>
  <c r="AB5192" i="30"/>
  <c r="AB5191" i="30"/>
  <c r="AB5190" i="30"/>
  <c r="AB5189" i="30"/>
  <c r="AB5188" i="30"/>
  <c r="AB5187" i="30"/>
  <c r="AB5186" i="30"/>
  <c r="AB5185" i="30"/>
  <c r="AB5184" i="30"/>
  <c r="AB5183" i="30"/>
  <c r="AB5182" i="30"/>
  <c r="AB5181" i="30"/>
  <c r="AB5180" i="30"/>
  <c r="AB5179" i="30"/>
  <c r="AB5178" i="30"/>
  <c r="AB5177" i="30"/>
  <c r="AB5176" i="30"/>
  <c r="AB5175" i="30"/>
  <c r="AB5174" i="30"/>
  <c r="AB5173" i="30"/>
  <c r="AB5172" i="30"/>
  <c r="AB5171" i="30"/>
  <c r="AB5170" i="30"/>
  <c r="AB5169" i="30"/>
  <c r="AB5168" i="30"/>
  <c r="AB5167" i="30"/>
  <c r="AB5166" i="30"/>
  <c r="AB5165" i="30"/>
  <c r="AB5164" i="30"/>
  <c r="AB5163" i="30"/>
  <c r="AB5162" i="30"/>
  <c r="AB5161" i="30"/>
  <c r="AB5160" i="30"/>
  <c r="AB5159" i="30"/>
  <c r="AB5158" i="30"/>
  <c r="AB5157" i="30"/>
  <c r="AB5156" i="30"/>
  <c r="AB5155" i="30"/>
  <c r="AB5154" i="30"/>
  <c r="AB5153" i="30"/>
  <c r="AB5152" i="30"/>
  <c r="AB5151" i="30"/>
  <c r="AB5150" i="30"/>
  <c r="AB5149" i="30"/>
  <c r="AB5148" i="30"/>
  <c r="AB5147" i="30"/>
  <c r="AB5146" i="30"/>
  <c r="AB5145" i="30"/>
  <c r="AB5144" i="30"/>
  <c r="AB5143" i="30"/>
  <c r="AB5142" i="30"/>
  <c r="AB5141" i="30"/>
  <c r="AB5140" i="30"/>
  <c r="AB5139" i="30"/>
  <c r="AB5138" i="30"/>
  <c r="AB5137" i="30"/>
  <c r="AB5136" i="30"/>
  <c r="AB5135" i="30"/>
  <c r="AB5134" i="30"/>
  <c r="AB5133" i="30"/>
  <c r="AB5132" i="30"/>
  <c r="AB5131" i="30"/>
  <c r="AB5130" i="30"/>
  <c r="AB5129" i="30"/>
  <c r="AB5128" i="30"/>
  <c r="AB5127" i="30"/>
  <c r="AB5126" i="30"/>
  <c r="AB5125" i="30"/>
  <c r="AB5124" i="30"/>
  <c r="AB5123" i="30"/>
  <c r="AB5122" i="30"/>
  <c r="AB5121" i="30"/>
  <c r="AB5120" i="30"/>
  <c r="AB5119" i="30"/>
  <c r="AB5118" i="30"/>
  <c r="AB5117" i="30"/>
  <c r="AB5116" i="30"/>
  <c r="AB5115" i="30"/>
  <c r="AB5114" i="30"/>
  <c r="AB5113" i="30"/>
  <c r="AB5112" i="30"/>
  <c r="AB5111" i="30"/>
  <c r="AB5110" i="30"/>
  <c r="AB5109" i="30"/>
  <c r="AB5108" i="30"/>
  <c r="AB5107" i="30"/>
  <c r="AB5106" i="30"/>
  <c r="AB5105" i="30"/>
  <c r="AB5104" i="30"/>
  <c r="AB5103" i="30"/>
  <c r="AB5102" i="30"/>
  <c r="AB5101" i="30"/>
  <c r="AB5100" i="30"/>
  <c r="AB5099" i="30"/>
  <c r="AB5098" i="30"/>
  <c r="AB5097" i="30"/>
  <c r="AB5096" i="30"/>
  <c r="AB5095" i="30"/>
  <c r="AB5094" i="30"/>
  <c r="AB5093" i="30"/>
  <c r="AB5092" i="30"/>
  <c r="AB5091" i="30"/>
  <c r="AB5090" i="30"/>
  <c r="AB5089" i="30"/>
  <c r="AB5088" i="30"/>
  <c r="AB5087" i="30"/>
  <c r="AB5086" i="30"/>
  <c r="AB5085" i="30"/>
  <c r="AB5084" i="30"/>
  <c r="AB5083" i="30"/>
  <c r="AB5082" i="30"/>
  <c r="AB5081" i="30"/>
  <c r="AB5080" i="30"/>
  <c r="AB5079" i="30"/>
  <c r="AB5078" i="30"/>
  <c r="AB5077" i="30"/>
  <c r="AB5076" i="30"/>
  <c r="AB5075" i="30"/>
  <c r="AB5074" i="30"/>
  <c r="AB5073" i="30"/>
  <c r="AB5072" i="30"/>
  <c r="AB5071" i="30"/>
  <c r="AB5070" i="30"/>
  <c r="AB5069" i="30"/>
  <c r="AB5068" i="30"/>
  <c r="AB5067" i="30"/>
  <c r="AB5066" i="30"/>
  <c r="AB5065" i="30"/>
  <c r="AB5064" i="30"/>
  <c r="AB5063" i="30"/>
  <c r="AB5062" i="30"/>
  <c r="AB5061" i="30"/>
  <c r="AB5060" i="30"/>
  <c r="AB5059" i="30"/>
  <c r="AB5058" i="30"/>
  <c r="AB5057" i="30"/>
  <c r="AB5056" i="30"/>
  <c r="AB5055" i="30"/>
  <c r="AB5054" i="30"/>
  <c r="AB5053" i="30"/>
  <c r="AB5052" i="30"/>
  <c r="AB5051" i="30"/>
  <c r="AB5050" i="30"/>
  <c r="AB5049" i="30"/>
  <c r="AB5048" i="30"/>
  <c r="AB5047" i="30"/>
  <c r="AB5046" i="30"/>
  <c r="AB5045" i="30"/>
  <c r="AB5044" i="30"/>
  <c r="AB5043" i="30"/>
  <c r="AB5042" i="30"/>
  <c r="AB5041" i="30"/>
  <c r="AB5040" i="30"/>
  <c r="AB5039" i="30"/>
  <c r="AB5038" i="30"/>
  <c r="AB5037" i="30"/>
  <c r="AB5036" i="30"/>
  <c r="AB5035" i="30"/>
  <c r="AB5034" i="30"/>
  <c r="AB5033" i="30"/>
  <c r="AB5032" i="30"/>
  <c r="AB5031" i="30"/>
  <c r="AB5030" i="30"/>
  <c r="AB5029" i="30"/>
  <c r="AB5028" i="30"/>
  <c r="AB5027" i="30"/>
  <c r="AB5026" i="30"/>
  <c r="AB5025" i="30"/>
  <c r="AB5024" i="30"/>
  <c r="AB5023" i="30"/>
  <c r="AB5022" i="30"/>
  <c r="AB5021" i="30"/>
  <c r="AB5020" i="30"/>
  <c r="AB5019" i="30"/>
  <c r="AB5018" i="30"/>
  <c r="AB5017" i="30"/>
  <c r="AB5016" i="30"/>
  <c r="AB5015" i="30"/>
  <c r="AB5014" i="30"/>
  <c r="AB5013" i="30"/>
  <c r="AB5012" i="30"/>
  <c r="AB5011" i="30"/>
  <c r="AB5010" i="30"/>
  <c r="AB5009" i="30"/>
  <c r="AB5008" i="30"/>
  <c r="AB5007" i="30"/>
  <c r="AB5006" i="30"/>
  <c r="AB5005" i="30"/>
  <c r="AB5004" i="30"/>
  <c r="AB5003" i="30"/>
  <c r="AB5002" i="30"/>
  <c r="AB5001" i="30"/>
  <c r="AB5000" i="30"/>
  <c r="AB4999" i="30"/>
  <c r="AB4998" i="30"/>
  <c r="AB4997" i="30"/>
  <c r="AB4996" i="30"/>
  <c r="AB4995" i="30"/>
  <c r="AB4994" i="30"/>
  <c r="AB4993" i="30"/>
  <c r="AB4992" i="30"/>
  <c r="AB4991" i="30"/>
  <c r="AB4990" i="30"/>
  <c r="AB4989" i="30"/>
  <c r="AB4988" i="30"/>
  <c r="AB4987" i="30"/>
  <c r="AB4986" i="30"/>
  <c r="AB4985" i="30"/>
  <c r="AB4984" i="30"/>
  <c r="AB4983" i="30"/>
  <c r="AB4982" i="30"/>
  <c r="AB4981" i="30"/>
  <c r="AB4980" i="30"/>
  <c r="AB4979" i="30"/>
  <c r="AB4978" i="30"/>
  <c r="AB4977" i="30"/>
  <c r="AB4976" i="30"/>
  <c r="AB4975" i="30"/>
  <c r="AB4974" i="30"/>
  <c r="AB4973" i="30"/>
  <c r="AB4972" i="30"/>
  <c r="AB4971" i="30"/>
  <c r="AB4970" i="30"/>
  <c r="AB4969" i="30"/>
  <c r="AB4968" i="30"/>
  <c r="AB4967" i="30"/>
  <c r="AB4966" i="30"/>
  <c r="AB4965" i="30"/>
  <c r="AB4964" i="30"/>
  <c r="AB4963" i="30"/>
  <c r="AB4962" i="30"/>
  <c r="AB4961" i="30"/>
  <c r="AB4960" i="30"/>
  <c r="AB4959" i="30"/>
  <c r="AB4958" i="30"/>
  <c r="AB4957" i="30"/>
  <c r="AB4956" i="30"/>
  <c r="AB4955" i="30"/>
  <c r="AB4954" i="30"/>
  <c r="AB4953" i="30"/>
  <c r="AB4952" i="30"/>
  <c r="AB4951" i="30"/>
  <c r="AB4950" i="30"/>
  <c r="AB4949" i="30"/>
  <c r="AB4948" i="30"/>
  <c r="AB4947" i="30"/>
  <c r="AB4946" i="30"/>
  <c r="AB4945" i="30"/>
  <c r="AB4944" i="30"/>
  <c r="AB4943" i="30"/>
  <c r="AB4942" i="30"/>
  <c r="AB4941" i="30"/>
  <c r="AB4940" i="30"/>
  <c r="AB4939" i="30"/>
  <c r="AB4938" i="30"/>
  <c r="AB4937" i="30"/>
  <c r="AB4936" i="30"/>
  <c r="AB4935" i="30"/>
  <c r="AB4934" i="30"/>
  <c r="AB4933" i="30"/>
  <c r="AB4932" i="30"/>
  <c r="AB4931" i="30"/>
  <c r="AB4930" i="30"/>
  <c r="AB4929" i="30"/>
  <c r="AB4928" i="30"/>
  <c r="AB4927" i="30"/>
  <c r="AB4926" i="30"/>
  <c r="AB4925" i="30"/>
  <c r="AB4924" i="30"/>
  <c r="AB4923" i="30"/>
  <c r="AB4922" i="30"/>
  <c r="AB4921" i="30"/>
  <c r="AB4920" i="30"/>
  <c r="AB4919" i="30"/>
  <c r="AB4918" i="30"/>
  <c r="AB4917" i="30"/>
  <c r="AB4916" i="30"/>
  <c r="AB4915" i="30"/>
  <c r="AB4914" i="30"/>
  <c r="AB4913" i="30"/>
  <c r="AB4912" i="30"/>
  <c r="AB4911" i="30"/>
  <c r="AB4910" i="30"/>
  <c r="AB4909" i="30"/>
  <c r="AB4908" i="30"/>
  <c r="AB4907" i="30"/>
  <c r="AB4906" i="30"/>
  <c r="AB4905" i="30"/>
  <c r="AB4904" i="30"/>
  <c r="AB4903" i="30"/>
  <c r="AB4902" i="30"/>
  <c r="AB4901" i="30"/>
  <c r="AB4900" i="30"/>
  <c r="AB4899" i="30"/>
  <c r="AB4898" i="30"/>
  <c r="AB4897" i="30"/>
  <c r="AB4896" i="30"/>
  <c r="AB4895" i="30"/>
  <c r="AB4894" i="30"/>
  <c r="AB4893" i="30"/>
  <c r="AB4892" i="30"/>
  <c r="AB4891" i="30"/>
  <c r="AB4890" i="30"/>
  <c r="AB4889" i="30"/>
  <c r="AB4888" i="30"/>
  <c r="AB4887" i="30"/>
  <c r="AB4886" i="30"/>
  <c r="AB4885" i="30"/>
  <c r="AB4884" i="30"/>
  <c r="AB4883" i="30"/>
  <c r="AB4882" i="30"/>
  <c r="AB4881" i="30"/>
  <c r="AB4880" i="30"/>
  <c r="AB4879" i="30"/>
  <c r="AB4878" i="30"/>
  <c r="AB4877" i="30"/>
  <c r="AB4876" i="30"/>
  <c r="AB4875" i="30"/>
  <c r="AB4874" i="30"/>
  <c r="AB4873" i="30"/>
  <c r="AB4872" i="30"/>
  <c r="AB4871" i="30"/>
  <c r="AB4870" i="30"/>
  <c r="AB4869" i="30"/>
  <c r="AB4868" i="30"/>
  <c r="AB4867" i="30"/>
  <c r="AB4866" i="30"/>
  <c r="AB4865" i="30"/>
  <c r="AB4864" i="30"/>
  <c r="AB4863" i="30"/>
  <c r="AB4862" i="30"/>
  <c r="AB4861" i="30"/>
  <c r="AB4860" i="30"/>
  <c r="AB4859" i="30"/>
  <c r="AB4858" i="30"/>
  <c r="AB4857" i="30"/>
  <c r="AB4856" i="30"/>
  <c r="AB4855" i="30"/>
  <c r="AB4854" i="30"/>
  <c r="AB4853" i="30"/>
  <c r="AB4852" i="30"/>
  <c r="AB4851" i="30"/>
  <c r="AB4850" i="30"/>
  <c r="AB4849" i="30"/>
  <c r="AB4848" i="30"/>
  <c r="AB4847" i="30"/>
  <c r="AB4846" i="30"/>
  <c r="AB4845" i="30"/>
  <c r="AB4844" i="30"/>
  <c r="AB4843" i="30"/>
  <c r="AB4842" i="30"/>
  <c r="AB4841" i="30"/>
  <c r="AB4840" i="30"/>
  <c r="AB4839" i="30"/>
  <c r="AB4838" i="30"/>
  <c r="AB4837" i="30"/>
  <c r="AB4836" i="30"/>
  <c r="AB4835" i="30"/>
  <c r="AB4834" i="30"/>
  <c r="AB4833" i="30"/>
  <c r="AB4832" i="30"/>
  <c r="AB4831" i="30"/>
  <c r="AB4830" i="30"/>
  <c r="AB4829" i="30"/>
  <c r="AB4828" i="30"/>
  <c r="AB4827" i="30"/>
  <c r="AB4826" i="30"/>
  <c r="AB4825" i="30"/>
  <c r="AB4824" i="30"/>
  <c r="AB4823" i="30"/>
  <c r="AB4822" i="30"/>
  <c r="AB4821" i="30"/>
  <c r="AB4820" i="30"/>
  <c r="AB4819" i="30"/>
  <c r="AB4818" i="30"/>
  <c r="AB4817" i="30"/>
  <c r="AB4816" i="30"/>
  <c r="AB4815" i="30"/>
  <c r="AB4814" i="30"/>
  <c r="AB4813" i="30"/>
  <c r="AB4812" i="30"/>
  <c r="AB4811" i="30"/>
  <c r="AB4810" i="30"/>
  <c r="AB4809" i="30"/>
  <c r="AB4808" i="30"/>
  <c r="AB4807" i="30"/>
  <c r="AB4806" i="30"/>
  <c r="AB4805" i="30"/>
  <c r="AB4804" i="30"/>
  <c r="AB4803" i="30"/>
  <c r="AB4802" i="30"/>
  <c r="AB4801" i="30"/>
  <c r="AB4800" i="30"/>
  <c r="AB4799" i="30"/>
  <c r="AB4798" i="30"/>
  <c r="AB4797" i="30"/>
  <c r="AB4796" i="30"/>
  <c r="AB4795" i="30"/>
  <c r="AB4794" i="30"/>
  <c r="AB4793" i="30"/>
  <c r="AB4792" i="30"/>
  <c r="AB4791" i="30"/>
  <c r="AB4790" i="30"/>
  <c r="AB4789" i="30"/>
  <c r="AB4788" i="30"/>
  <c r="AB4787" i="30"/>
  <c r="AB4786" i="30"/>
  <c r="AB4785" i="30"/>
  <c r="AB4784" i="30"/>
  <c r="AB4783" i="30"/>
  <c r="AB4782" i="30"/>
  <c r="AB4781" i="30"/>
  <c r="AB4780" i="30"/>
  <c r="AB4779" i="30"/>
  <c r="AB4778" i="30"/>
  <c r="AB4777" i="30"/>
  <c r="AB4776" i="30"/>
  <c r="AB4775" i="30"/>
  <c r="AB4774" i="30"/>
  <c r="AB4773" i="30"/>
  <c r="AB4772" i="30"/>
  <c r="AB4771" i="30"/>
  <c r="AB4770" i="30"/>
  <c r="AB4769" i="30"/>
  <c r="AB4768" i="30"/>
  <c r="AB4767" i="30"/>
  <c r="AB4766" i="30"/>
  <c r="AB4765" i="30"/>
  <c r="AB4764" i="30"/>
  <c r="AB4763" i="30"/>
  <c r="AB4762" i="30"/>
  <c r="AB4761" i="30"/>
  <c r="AB4760" i="30"/>
  <c r="AB4759" i="30"/>
  <c r="AB4758" i="30"/>
  <c r="AB4757" i="30"/>
  <c r="AB4756" i="30"/>
  <c r="AB4755" i="30"/>
  <c r="AB4754" i="30"/>
  <c r="AB4753" i="30"/>
  <c r="AB4752" i="30"/>
  <c r="AB4751" i="30"/>
  <c r="AB4750" i="30"/>
  <c r="AB4749" i="30"/>
  <c r="AB4748" i="30"/>
  <c r="AB4747" i="30"/>
  <c r="AB4746" i="30"/>
  <c r="AB4745" i="30"/>
  <c r="AB4744" i="30"/>
  <c r="AB4743" i="30"/>
  <c r="AB4742" i="30"/>
  <c r="AB4741" i="30"/>
  <c r="AB4740" i="30"/>
  <c r="AB4739" i="30"/>
  <c r="AB4738" i="30"/>
  <c r="AB4737" i="30"/>
  <c r="AB4736" i="30"/>
  <c r="AB4735" i="30"/>
  <c r="AB4734" i="30"/>
  <c r="AB4733" i="30"/>
  <c r="AB4732" i="30"/>
  <c r="AB4731" i="30"/>
  <c r="AB4730" i="30"/>
  <c r="AB4729" i="30"/>
  <c r="AB4728" i="30"/>
  <c r="AB4727" i="30"/>
  <c r="AB4726" i="30"/>
  <c r="AB4725" i="30"/>
  <c r="AB4724" i="30"/>
  <c r="AB4723" i="30"/>
  <c r="AB4722" i="30"/>
  <c r="AB4721" i="30"/>
  <c r="AB4720" i="30"/>
  <c r="AB4719" i="30"/>
  <c r="AB4718" i="30"/>
  <c r="AB4717" i="30"/>
  <c r="AB4716" i="30"/>
  <c r="AB4715" i="30"/>
  <c r="AB4714" i="30"/>
  <c r="AB4713" i="30"/>
  <c r="AB4712" i="30"/>
  <c r="AB4711" i="30"/>
  <c r="AB4710" i="30"/>
  <c r="AB4709" i="30"/>
  <c r="AB4708" i="30"/>
  <c r="AB4707" i="30"/>
  <c r="AB4706" i="30"/>
  <c r="AB4705" i="30"/>
  <c r="AB4704" i="30"/>
  <c r="AB4703" i="30"/>
  <c r="AB4702" i="30"/>
  <c r="AB4701" i="30"/>
  <c r="AB4700" i="30"/>
  <c r="AB4699" i="30"/>
  <c r="AB4698" i="30"/>
  <c r="AB4697" i="30"/>
  <c r="AB4696" i="30"/>
  <c r="AB4695" i="30"/>
  <c r="AB4694" i="30"/>
  <c r="AB4693" i="30"/>
  <c r="AB4692" i="30"/>
  <c r="AB4691" i="30"/>
  <c r="AB4690" i="30"/>
  <c r="AB4689" i="30"/>
  <c r="AB4688" i="30"/>
  <c r="AB4687" i="30"/>
  <c r="AB4686" i="30"/>
  <c r="AB4685" i="30"/>
  <c r="AB4684" i="30"/>
  <c r="AB4683" i="30"/>
  <c r="AB4682" i="30"/>
  <c r="AB4681" i="30"/>
  <c r="AB4680" i="30"/>
  <c r="AB4679" i="30"/>
  <c r="AB4678" i="30"/>
  <c r="AB4677" i="30"/>
  <c r="AB4676" i="30"/>
  <c r="AB4675" i="30"/>
  <c r="AB4674" i="30"/>
  <c r="AB4673" i="30"/>
  <c r="AB4672" i="30"/>
  <c r="AB4671" i="30"/>
  <c r="AB4670" i="30"/>
  <c r="AB4669" i="30"/>
  <c r="AB4668" i="30"/>
  <c r="AB4667" i="30"/>
  <c r="AB4666" i="30"/>
  <c r="AB4665" i="30"/>
  <c r="AB4664" i="30"/>
  <c r="AB4663" i="30"/>
  <c r="AB4662" i="30"/>
  <c r="AB4661" i="30"/>
  <c r="AB4660" i="30"/>
  <c r="AB4659" i="30"/>
  <c r="AB4658" i="30"/>
  <c r="AB4657" i="30"/>
  <c r="AB4656" i="30"/>
  <c r="AB4655" i="30"/>
  <c r="AB4654" i="30"/>
  <c r="AB4653" i="30"/>
  <c r="AB4652" i="30"/>
  <c r="AB4651" i="30"/>
  <c r="AB4650" i="30"/>
  <c r="AB4649" i="30"/>
  <c r="AB4648" i="30"/>
  <c r="AB4647" i="30"/>
  <c r="AB4646" i="30"/>
  <c r="AB4645" i="30"/>
  <c r="AB4644" i="30"/>
  <c r="AB4643" i="30"/>
  <c r="AB4642" i="30"/>
  <c r="AB4641" i="30"/>
  <c r="AB4640" i="30"/>
  <c r="AB4639" i="30"/>
  <c r="AB4638" i="30"/>
  <c r="AB4637" i="30"/>
  <c r="AB4636" i="30"/>
  <c r="AB4635" i="30"/>
  <c r="AB4634" i="30"/>
  <c r="AB4633" i="30"/>
  <c r="AB4632" i="30"/>
  <c r="AB4631" i="30"/>
  <c r="AB4630" i="30"/>
  <c r="AB4629" i="30"/>
  <c r="AB4628" i="30"/>
  <c r="AB4627" i="30"/>
  <c r="AB4626" i="30"/>
  <c r="AB4625" i="30"/>
  <c r="AB4624" i="30"/>
  <c r="AB4623" i="30"/>
  <c r="AB4622" i="30"/>
  <c r="AB4621" i="30"/>
  <c r="AB4620" i="30"/>
  <c r="AB4619" i="30"/>
  <c r="AB4618" i="30"/>
  <c r="AB4617" i="30"/>
  <c r="AB4616" i="30"/>
  <c r="AB4615" i="30"/>
  <c r="AB4614" i="30"/>
  <c r="AB4613" i="30"/>
  <c r="AB4612" i="30"/>
  <c r="AB4611" i="30"/>
  <c r="AB4610" i="30"/>
  <c r="AB4609" i="30"/>
  <c r="AB4608" i="30"/>
  <c r="AB4607" i="30"/>
  <c r="AB4606" i="30"/>
  <c r="AB4605" i="30"/>
  <c r="AB4604" i="30"/>
  <c r="AB4603" i="30"/>
  <c r="AB4602" i="30"/>
  <c r="AB4601" i="30"/>
  <c r="AB4600" i="30"/>
  <c r="AB4599" i="30"/>
  <c r="AB4598" i="30"/>
  <c r="AB4597" i="30"/>
  <c r="AB4596" i="30"/>
  <c r="AB4595" i="30"/>
  <c r="AB4594" i="30"/>
  <c r="AB4593" i="30"/>
  <c r="AB4592" i="30"/>
  <c r="AB4591" i="30"/>
  <c r="AB4590" i="30"/>
  <c r="AB4589" i="30"/>
  <c r="AB4588" i="30"/>
  <c r="AB4587" i="30"/>
  <c r="AB4586" i="30"/>
  <c r="AB4585" i="30"/>
  <c r="AB4584" i="30"/>
  <c r="AB4583" i="30"/>
  <c r="AB4582" i="30"/>
  <c r="AB4581" i="30"/>
  <c r="AB4580" i="30"/>
  <c r="AB4579" i="30"/>
  <c r="AB4578" i="30"/>
  <c r="AB4577" i="30"/>
  <c r="AB4576" i="30"/>
  <c r="AB4575" i="30"/>
  <c r="AB4574" i="30"/>
  <c r="AB4573" i="30"/>
  <c r="AB4572" i="30"/>
  <c r="AB4571" i="30"/>
  <c r="AB4570" i="30"/>
  <c r="AB4569" i="30"/>
  <c r="AB4568" i="30"/>
  <c r="AB4567" i="30"/>
  <c r="AB4566" i="30"/>
  <c r="AB4565" i="30"/>
  <c r="AB4564" i="30"/>
  <c r="AB4563" i="30"/>
  <c r="AB4562" i="30"/>
  <c r="AB4561" i="30"/>
  <c r="AB4560" i="30"/>
  <c r="AB4559" i="30"/>
  <c r="AB4558" i="30"/>
  <c r="AB4557" i="30"/>
  <c r="AB4556" i="30"/>
  <c r="AB4555" i="30"/>
  <c r="AB4554" i="30"/>
  <c r="AB4553" i="30"/>
  <c r="AB4552" i="30"/>
  <c r="AB4551" i="30"/>
  <c r="AB4550" i="30"/>
  <c r="AB4549" i="30"/>
  <c r="AB4548" i="30"/>
  <c r="AB4547" i="30"/>
  <c r="AB4546" i="30"/>
  <c r="AB4545" i="30"/>
  <c r="AB4544" i="30"/>
  <c r="AB4543" i="30"/>
  <c r="AB4542" i="30"/>
  <c r="AB4541" i="30"/>
  <c r="AB4540" i="30"/>
  <c r="AB4539" i="30"/>
  <c r="AB4538" i="30"/>
  <c r="AB4537" i="30"/>
  <c r="AB4536" i="30"/>
  <c r="AB4535" i="30"/>
  <c r="AB4534" i="30"/>
  <c r="AB4533" i="30"/>
  <c r="AB4532" i="30"/>
  <c r="AB4531" i="30"/>
  <c r="AB4530" i="30"/>
  <c r="AB4529" i="30"/>
  <c r="AB4528" i="30"/>
  <c r="AB4527" i="30"/>
  <c r="AB4526" i="30"/>
  <c r="AB4525" i="30"/>
  <c r="AB4524" i="30"/>
  <c r="AB4523" i="30"/>
  <c r="AB4522" i="30"/>
  <c r="AB4521" i="30"/>
  <c r="AB4520" i="30"/>
  <c r="AB4519" i="30"/>
  <c r="AB4518" i="30"/>
  <c r="AB4517" i="30"/>
  <c r="AB4516" i="30"/>
  <c r="AB4515" i="30"/>
  <c r="AB4514" i="30"/>
  <c r="AB4513" i="30"/>
  <c r="AB4512" i="30"/>
  <c r="AB4511" i="30"/>
  <c r="AB4510" i="30"/>
  <c r="AB4509" i="30"/>
  <c r="AB4508" i="30"/>
  <c r="AB4507" i="30"/>
  <c r="AB4506" i="30"/>
  <c r="AB4505" i="30"/>
  <c r="AB4504" i="30"/>
  <c r="AB4503" i="30"/>
  <c r="AB4502" i="30"/>
  <c r="AB4501" i="30"/>
  <c r="AB4500" i="30"/>
  <c r="AB4499" i="30"/>
  <c r="AB4498" i="30"/>
  <c r="AB4497" i="30"/>
  <c r="AB4496" i="30"/>
  <c r="AB4495" i="30"/>
  <c r="AB4494" i="30"/>
  <c r="AB4493" i="30"/>
  <c r="AB4492" i="30"/>
  <c r="AB4491" i="30"/>
  <c r="AB4490" i="30"/>
  <c r="AB4489" i="30"/>
  <c r="AB4488" i="30"/>
  <c r="AB4487" i="30"/>
  <c r="AB4486" i="30"/>
  <c r="AB4485" i="30"/>
  <c r="AB4484" i="30"/>
  <c r="AB4483" i="30"/>
  <c r="AB4482" i="30"/>
  <c r="AB4481" i="30"/>
  <c r="AB4480" i="30"/>
  <c r="AB4479" i="30"/>
  <c r="AB4478" i="30"/>
  <c r="AB4477" i="30"/>
  <c r="AB4476" i="30"/>
  <c r="AB4475" i="30"/>
  <c r="AB4474" i="30"/>
  <c r="AB4473" i="30"/>
  <c r="AB4472" i="30"/>
  <c r="AB4471" i="30"/>
  <c r="AB4470" i="30"/>
  <c r="AB4469" i="30"/>
  <c r="AB4468" i="30"/>
  <c r="AB4467" i="30"/>
  <c r="AB4466" i="30"/>
  <c r="AB4465" i="30"/>
  <c r="AB4464" i="30"/>
  <c r="AB4463" i="30"/>
  <c r="AB4462" i="30"/>
  <c r="AB4461" i="30"/>
  <c r="AB4460" i="30"/>
  <c r="AB4459" i="30"/>
  <c r="AB4458" i="30"/>
  <c r="AB4457" i="30"/>
  <c r="AB4456" i="30"/>
  <c r="AB4455" i="30"/>
  <c r="AB4454" i="30"/>
  <c r="AB4453" i="30"/>
  <c r="AB4452" i="30"/>
  <c r="AB4451" i="30"/>
  <c r="AB4450" i="30"/>
  <c r="AB4449" i="30"/>
  <c r="AB4448" i="30"/>
  <c r="AB4447" i="30"/>
  <c r="AB4446" i="30"/>
  <c r="AB4445" i="30"/>
  <c r="AB4444" i="30"/>
  <c r="AB4443" i="30"/>
  <c r="AB4442" i="30"/>
  <c r="AB4441" i="30"/>
  <c r="AB4440" i="30"/>
  <c r="AB4439" i="30"/>
  <c r="AB4438" i="30"/>
  <c r="AB4437" i="30"/>
  <c r="AB4436" i="30"/>
  <c r="AB4435" i="30"/>
  <c r="AB4434" i="30"/>
  <c r="AB4433" i="30"/>
  <c r="AB4432" i="30"/>
  <c r="AB4431" i="30"/>
  <c r="AB4430" i="30"/>
  <c r="AB4429" i="30"/>
  <c r="AB4428" i="30"/>
  <c r="AB4427" i="30"/>
  <c r="AB4426" i="30"/>
  <c r="AB4425" i="30"/>
  <c r="AB4424" i="30"/>
  <c r="AB4423" i="30"/>
  <c r="AB4422" i="30"/>
  <c r="AB4421" i="30"/>
  <c r="AB4420" i="30"/>
  <c r="AB4419" i="30"/>
  <c r="AB4418" i="30"/>
  <c r="AB4417" i="30"/>
  <c r="AB4416" i="30"/>
  <c r="AB4415" i="30"/>
  <c r="AB4414" i="30"/>
  <c r="AB4413" i="30"/>
  <c r="AB4412" i="30"/>
  <c r="AB4411" i="30"/>
  <c r="AB4410" i="30"/>
  <c r="AB4409" i="30"/>
  <c r="AB4408" i="30"/>
  <c r="AB4407" i="30"/>
  <c r="AB4406" i="30"/>
  <c r="AB4405" i="30"/>
  <c r="AB4404" i="30"/>
  <c r="AB4403" i="30"/>
  <c r="AB4402" i="30"/>
  <c r="AB4401" i="30"/>
  <c r="AB4400" i="30"/>
  <c r="AB4399" i="30"/>
  <c r="AB4398" i="30"/>
  <c r="AB4397" i="30"/>
  <c r="AB4396" i="30"/>
  <c r="AB4395" i="30"/>
  <c r="AB4394" i="30"/>
  <c r="AB4393" i="30"/>
  <c r="AB4392" i="30"/>
  <c r="AB4391" i="30"/>
  <c r="AB4390" i="30"/>
  <c r="AB4389" i="30"/>
  <c r="AB4388" i="30"/>
  <c r="AB4387" i="30"/>
  <c r="AB4386" i="30"/>
  <c r="AB4385" i="30"/>
  <c r="AB4384" i="30"/>
  <c r="AB4383" i="30"/>
  <c r="AB4382" i="30"/>
  <c r="AB4381" i="30"/>
  <c r="AB4380" i="30"/>
  <c r="AB4379" i="30"/>
  <c r="AB4378" i="30"/>
  <c r="AB4377" i="30"/>
  <c r="AB4376" i="30"/>
  <c r="AB4375" i="30"/>
  <c r="AB4374" i="30"/>
  <c r="AB4373" i="30"/>
  <c r="AB4372" i="30"/>
  <c r="AB4371" i="30"/>
  <c r="AB4370" i="30"/>
  <c r="AB4369" i="30"/>
  <c r="AB4368" i="30"/>
  <c r="AB4367" i="30"/>
  <c r="AB4366" i="30"/>
  <c r="AB4365" i="30"/>
  <c r="AB4364" i="30"/>
  <c r="AB4363" i="30"/>
  <c r="AB4362" i="30"/>
  <c r="AB4361" i="30"/>
  <c r="AB4360" i="30"/>
  <c r="AB4359" i="30"/>
  <c r="AB4358" i="30"/>
  <c r="AB4357" i="30"/>
  <c r="AB4356" i="30"/>
  <c r="AB4355" i="30"/>
  <c r="AB4354" i="30"/>
  <c r="AB4353" i="30"/>
  <c r="AB4352" i="30"/>
  <c r="AB4351" i="30"/>
  <c r="AB4350" i="30"/>
  <c r="AB4349" i="30"/>
  <c r="AB4348" i="30"/>
  <c r="AB4347" i="30"/>
  <c r="AB4346" i="30"/>
  <c r="AB4345" i="30"/>
  <c r="AB4344" i="30"/>
  <c r="AB4343" i="30"/>
  <c r="AB4342" i="30"/>
  <c r="AB4341" i="30"/>
  <c r="AB4340" i="30"/>
  <c r="AB4339" i="30"/>
  <c r="AB4338" i="30"/>
  <c r="AB4337" i="30"/>
  <c r="AB4336" i="30"/>
  <c r="AB4335" i="30"/>
  <c r="AB4334" i="30"/>
  <c r="AB4333" i="30"/>
  <c r="AB4332" i="30"/>
  <c r="AB4331" i="30"/>
  <c r="AB4330" i="30"/>
  <c r="AB4329" i="30"/>
  <c r="AB4328" i="30"/>
  <c r="AB4327" i="30"/>
  <c r="AB4326" i="30"/>
  <c r="AB4325" i="30"/>
  <c r="AB4324" i="30"/>
  <c r="AB4323" i="30"/>
  <c r="AB4322" i="30"/>
  <c r="AB4321" i="30"/>
  <c r="AB4320" i="30"/>
  <c r="AB4319" i="30"/>
  <c r="AB4318" i="30"/>
  <c r="AB4317" i="30"/>
  <c r="AB4316" i="30"/>
  <c r="AB4315" i="30"/>
  <c r="AB4314" i="30"/>
  <c r="AB4313" i="30"/>
  <c r="AB4312" i="30"/>
  <c r="AB4311" i="30"/>
  <c r="AB4310" i="30"/>
  <c r="AB4309" i="30"/>
  <c r="AB4308" i="30"/>
  <c r="AB4307" i="30"/>
  <c r="AB4306" i="30"/>
  <c r="AB4305" i="30"/>
  <c r="AB4304" i="30"/>
  <c r="AB4303" i="30"/>
  <c r="AB4302" i="30"/>
  <c r="AB4301" i="30"/>
  <c r="AB4300" i="30"/>
  <c r="AB4299" i="30"/>
  <c r="AB4298" i="30"/>
  <c r="AB4297" i="30"/>
  <c r="AB4296" i="30"/>
  <c r="AB4295" i="30"/>
  <c r="AB4294" i="30"/>
  <c r="AB4293" i="30"/>
  <c r="AB4292" i="30"/>
  <c r="AB4291" i="30"/>
  <c r="AB4290" i="30"/>
  <c r="AB4289" i="30"/>
  <c r="AB4288" i="30"/>
  <c r="AB4287" i="30"/>
  <c r="AB4286" i="30"/>
  <c r="AB4285" i="30"/>
  <c r="AB4284" i="30"/>
  <c r="AB4283" i="30"/>
  <c r="AB4282" i="30"/>
  <c r="AB4281" i="30"/>
  <c r="AB4280" i="30"/>
  <c r="AB4279" i="30"/>
  <c r="AB4278" i="30"/>
  <c r="AB4277" i="30"/>
  <c r="AB4276" i="30"/>
  <c r="AB4275" i="30"/>
  <c r="AB4274" i="30"/>
  <c r="AB4273" i="30"/>
  <c r="AB4272" i="30"/>
  <c r="AB4271" i="30"/>
  <c r="AB4270" i="30"/>
  <c r="AB4269" i="30"/>
  <c r="AB4268" i="30"/>
  <c r="AB4267" i="30"/>
  <c r="AB4266" i="30"/>
  <c r="AB4265" i="30"/>
  <c r="AB4264" i="30"/>
  <c r="AB4263" i="30"/>
  <c r="AB4262" i="30"/>
  <c r="AB4261" i="30"/>
  <c r="AB4260" i="30"/>
  <c r="AB4259" i="30"/>
  <c r="AB4258" i="30"/>
  <c r="AB4257" i="30"/>
  <c r="AB4256" i="30"/>
  <c r="AB4255" i="30"/>
  <c r="AB4254" i="30"/>
  <c r="AB4253" i="30"/>
  <c r="AB4252" i="30"/>
  <c r="AB4251" i="30"/>
  <c r="AB4250" i="30"/>
  <c r="AB4249" i="30"/>
  <c r="AB4248" i="30"/>
  <c r="AB4247" i="30"/>
  <c r="AB4246" i="30"/>
  <c r="AB4245" i="30"/>
  <c r="AB4244" i="30"/>
  <c r="AB4243" i="30"/>
  <c r="AB4242" i="30"/>
  <c r="AB4241" i="30"/>
  <c r="AB4240" i="30"/>
  <c r="AB4239" i="30"/>
  <c r="AB4238" i="30"/>
  <c r="AB4237" i="30"/>
  <c r="AB4236" i="30"/>
  <c r="AB4235" i="30"/>
  <c r="AB4234" i="30"/>
  <c r="AB4233" i="30"/>
  <c r="AB4232" i="30"/>
  <c r="AB4231" i="30"/>
  <c r="AB4230" i="30"/>
  <c r="AB4229" i="30"/>
  <c r="AB4228" i="30"/>
  <c r="AB4227" i="30"/>
  <c r="AB4226" i="30"/>
  <c r="AB4225" i="30"/>
  <c r="AB4224" i="30"/>
  <c r="AB4223" i="30"/>
  <c r="AB4222" i="30"/>
  <c r="AB4221" i="30"/>
  <c r="AB4220" i="30"/>
  <c r="AB4219" i="30"/>
  <c r="AB4218" i="30"/>
  <c r="AB4217" i="30"/>
  <c r="AB4216" i="30"/>
  <c r="AB4215" i="30"/>
  <c r="AB4214" i="30"/>
  <c r="AB4213" i="30"/>
  <c r="AB4212" i="30"/>
  <c r="AB4211" i="30"/>
  <c r="AB4210" i="30"/>
  <c r="AB4209" i="30"/>
  <c r="AB4208" i="30"/>
  <c r="AB4207" i="30"/>
  <c r="AB4206" i="30"/>
  <c r="AB4205" i="30"/>
  <c r="AB4204" i="30"/>
  <c r="AB4203" i="30"/>
  <c r="AB4202" i="30"/>
  <c r="AB4201" i="30"/>
  <c r="AB4200" i="30"/>
  <c r="AB4199" i="30"/>
  <c r="AB4198" i="30"/>
  <c r="AB4197" i="30"/>
  <c r="AB4196" i="30"/>
  <c r="AB4195" i="30"/>
  <c r="AB4194" i="30"/>
  <c r="AB4193" i="30"/>
  <c r="AB4192" i="30"/>
  <c r="AB4191" i="30"/>
  <c r="AB4190" i="30"/>
  <c r="AB4189" i="30"/>
  <c r="AB4188" i="30"/>
  <c r="AB4187" i="30"/>
  <c r="AB4186" i="30"/>
  <c r="AB4185" i="30"/>
  <c r="AB4184" i="30"/>
  <c r="AB4183" i="30"/>
  <c r="AB4182" i="30"/>
  <c r="AB4181" i="30"/>
  <c r="AB4180" i="30"/>
  <c r="AB4179" i="30"/>
  <c r="AB4178" i="30"/>
  <c r="AB4177" i="30"/>
  <c r="AB4176" i="30"/>
  <c r="AB4175" i="30"/>
  <c r="AB4174" i="30"/>
  <c r="AB4173" i="30"/>
  <c r="AB4172" i="30"/>
  <c r="AB4171" i="30"/>
  <c r="AB4170" i="30"/>
  <c r="AB4169" i="30"/>
  <c r="AB4168" i="30"/>
  <c r="AB4167" i="30"/>
  <c r="AB4166" i="30"/>
  <c r="AB4165" i="30"/>
  <c r="AB4164" i="30"/>
  <c r="AB4163" i="30"/>
  <c r="AB4162" i="30"/>
  <c r="AB4161" i="30"/>
  <c r="AB4160" i="30"/>
  <c r="AB4159" i="30"/>
  <c r="AB4158" i="30"/>
  <c r="AB4157" i="30"/>
  <c r="AB4156" i="30"/>
  <c r="AB4155" i="30"/>
  <c r="AB4154" i="30"/>
  <c r="AB4153" i="30"/>
  <c r="AB4152" i="30"/>
  <c r="AB4151" i="30"/>
  <c r="AB4150" i="30"/>
  <c r="AB4149" i="30"/>
  <c r="AB4148" i="30"/>
  <c r="AB4147" i="30"/>
  <c r="AB4146" i="30"/>
  <c r="AB4145" i="30"/>
  <c r="AB4144" i="30"/>
  <c r="AB4143" i="30"/>
  <c r="AB4142" i="30"/>
  <c r="AB4141" i="30"/>
  <c r="AB4140" i="30"/>
  <c r="AB4139" i="30"/>
  <c r="AB4138" i="30"/>
  <c r="AB4137" i="30"/>
  <c r="AB4136" i="30"/>
  <c r="AB4135" i="30"/>
  <c r="AB4134" i="30"/>
  <c r="AB4133" i="30"/>
  <c r="AB4132" i="30"/>
  <c r="AB4131" i="30"/>
  <c r="AB4130" i="30"/>
  <c r="AB4129" i="30"/>
  <c r="AB4128" i="30"/>
  <c r="AB4127" i="30"/>
  <c r="AB4126" i="30"/>
  <c r="AB4125" i="30"/>
  <c r="AB4124" i="30"/>
  <c r="AB4123" i="30"/>
  <c r="AB4122" i="30"/>
  <c r="AB4121" i="30"/>
  <c r="AB4120" i="30"/>
  <c r="AB4119" i="30"/>
  <c r="AB4118" i="30"/>
  <c r="AB4117" i="30"/>
  <c r="AB4116" i="30"/>
  <c r="AB4115" i="30"/>
  <c r="AB4114" i="30"/>
  <c r="AB4113" i="30"/>
  <c r="AB4112" i="30"/>
  <c r="AB4111" i="30"/>
  <c r="AB4110" i="30"/>
  <c r="AB4109" i="30"/>
  <c r="AB4108" i="30"/>
  <c r="AB4107" i="30"/>
  <c r="AB4106" i="30"/>
  <c r="AB4105" i="30"/>
  <c r="AB4104" i="30"/>
  <c r="AB4103" i="30"/>
  <c r="AB4102" i="30"/>
  <c r="AB4101" i="30"/>
  <c r="AB4100" i="30"/>
  <c r="AB4099" i="30"/>
  <c r="AB4098" i="30"/>
  <c r="AB4097" i="30"/>
  <c r="AB4096" i="30"/>
  <c r="AB4095" i="30"/>
  <c r="AB4094" i="30"/>
  <c r="AB4093" i="30"/>
  <c r="AB4092" i="30"/>
  <c r="AB4091" i="30"/>
  <c r="AB4090" i="30"/>
  <c r="AB4089" i="30"/>
  <c r="AB4088" i="30"/>
  <c r="AB4087" i="30"/>
  <c r="AB4086" i="30"/>
  <c r="AB4085" i="30"/>
  <c r="AB4084" i="30"/>
  <c r="AB4083" i="30"/>
  <c r="AB4082" i="30"/>
  <c r="AB4081" i="30"/>
  <c r="AB4080" i="30"/>
  <c r="AB4079" i="30"/>
  <c r="AB4078" i="30"/>
  <c r="AB4077" i="30"/>
  <c r="AB4076" i="30"/>
  <c r="AB4075" i="30"/>
  <c r="AB4074" i="30"/>
  <c r="AB4073" i="30"/>
  <c r="AB4072" i="30"/>
  <c r="AB4071" i="30"/>
  <c r="AB4070" i="30"/>
  <c r="AB4069" i="30"/>
  <c r="AB4068" i="30"/>
  <c r="AB4067" i="30"/>
  <c r="AB4066" i="30"/>
  <c r="AB4065" i="30"/>
  <c r="AB4064" i="30"/>
  <c r="AB4063" i="30"/>
  <c r="AB4062" i="30"/>
  <c r="AB4061" i="30"/>
  <c r="AB4060" i="30"/>
  <c r="AB4059" i="30"/>
  <c r="AB4058" i="30"/>
  <c r="AB4057" i="30"/>
  <c r="AB4056" i="30"/>
  <c r="AB4055" i="30"/>
  <c r="AB4054" i="30"/>
  <c r="AB4053" i="30"/>
  <c r="AB4052" i="30"/>
  <c r="AB4051" i="30"/>
  <c r="AB4050" i="30"/>
  <c r="AB4049" i="30"/>
  <c r="AB4048" i="30"/>
  <c r="AB4047" i="30"/>
  <c r="AB4046" i="30"/>
  <c r="AB4045" i="30"/>
  <c r="AB4044" i="30"/>
  <c r="AB4043" i="30"/>
  <c r="AB4042" i="30"/>
  <c r="AB4041" i="30"/>
  <c r="AB4040" i="30"/>
  <c r="AB4039" i="30"/>
  <c r="AB4038" i="30"/>
  <c r="AB4037" i="30"/>
  <c r="AB4036" i="30"/>
  <c r="AB4035" i="30"/>
  <c r="AB4034" i="30"/>
  <c r="AB4033" i="30"/>
  <c r="AB4032" i="30"/>
  <c r="AB4031" i="30"/>
  <c r="AB4030" i="30"/>
  <c r="AB4029" i="30"/>
  <c r="AB4028" i="30"/>
  <c r="AB4027" i="30"/>
  <c r="AB4026" i="30"/>
  <c r="AB4025" i="30"/>
  <c r="AB4024" i="30"/>
  <c r="AB4023" i="30"/>
  <c r="AB4022" i="30"/>
  <c r="AB4021" i="30"/>
  <c r="AB4020" i="30"/>
  <c r="AB4019" i="30"/>
  <c r="AB4018" i="30"/>
  <c r="AB4017" i="30"/>
  <c r="AB4016" i="30"/>
  <c r="AB4015" i="30"/>
  <c r="AB4014" i="30"/>
  <c r="AB4013" i="30"/>
  <c r="AB4012" i="30"/>
  <c r="AB4011" i="30"/>
  <c r="AB4010" i="30"/>
  <c r="AB4009" i="30"/>
  <c r="AB4008" i="30"/>
  <c r="AB4007" i="30"/>
  <c r="AB4006" i="30"/>
  <c r="AB4005" i="30"/>
  <c r="AB4004" i="30"/>
  <c r="AB4003" i="30"/>
  <c r="AB4002" i="30"/>
  <c r="AB4001" i="30"/>
  <c r="AB4000" i="30"/>
  <c r="AB3999" i="30"/>
  <c r="AB3998" i="30"/>
  <c r="AB3997" i="30"/>
  <c r="AB3996" i="30"/>
  <c r="AB3995" i="30"/>
  <c r="AB3994" i="30"/>
  <c r="AB3993" i="30"/>
  <c r="AB3992" i="30"/>
  <c r="AB3991" i="30"/>
  <c r="AB3990" i="30"/>
  <c r="AB3989" i="30"/>
  <c r="AB3988" i="30"/>
  <c r="AB3987" i="30"/>
  <c r="AB3986" i="30"/>
  <c r="AB3985" i="30"/>
  <c r="AB3984" i="30"/>
  <c r="AB3983" i="30"/>
  <c r="AB3982" i="30"/>
  <c r="AB3981" i="30"/>
  <c r="AB3980" i="30"/>
  <c r="AB3979" i="30"/>
  <c r="AB3978" i="30"/>
  <c r="AB3977" i="30"/>
  <c r="AB3976" i="30"/>
  <c r="AB3975" i="30"/>
  <c r="AB3974" i="30"/>
  <c r="AB3973" i="30"/>
  <c r="AB3972" i="30"/>
  <c r="AB3971" i="30"/>
  <c r="AB3970" i="30"/>
  <c r="AB3969" i="30"/>
  <c r="AB3968" i="30"/>
  <c r="AB3967" i="30"/>
  <c r="AB3966" i="30"/>
  <c r="AB3965" i="30"/>
  <c r="AB3964" i="30"/>
  <c r="AB3963" i="30"/>
  <c r="AB3962" i="30"/>
  <c r="AB3961" i="30"/>
  <c r="AB3960" i="30"/>
  <c r="AB3959" i="30"/>
  <c r="AB3958" i="30"/>
  <c r="AB3957" i="30"/>
  <c r="AB3956" i="30"/>
  <c r="AB3955" i="30"/>
  <c r="AB3954" i="30"/>
  <c r="AB3953" i="30"/>
  <c r="AB3952" i="30"/>
  <c r="AB3951" i="30"/>
  <c r="AB3950" i="30"/>
  <c r="AB3949" i="30"/>
  <c r="AB3948" i="30"/>
  <c r="AB3947" i="30"/>
  <c r="AB3946" i="30"/>
  <c r="AB3945" i="30"/>
  <c r="AB3944" i="30"/>
  <c r="AB3943" i="30"/>
  <c r="AB3942" i="30"/>
  <c r="AB3941" i="30"/>
  <c r="AB3940" i="30"/>
  <c r="AB3939" i="30"/>
  <c r="AB3938" i="30"/>
  <c r="AB3937" i="30"/>
  <c r="AB3936" i="30"/>
  <c r="AB3935" i="30"/>
  <c r="AB3934" i="30"/>
  <c r="AB3933" i="30"/>
  <c r="AB3932" i="30"/>
  <c r="AB3931" i="30"/>
  <c r="AB3930" i="30"/>
  <c r="AB3929" i="30"/>
  <c r="AB3928" i="30"/>
  <c r="AB3927" i="30"/>
  <c r="AB3926" i="30"/>
  <c r="AB3925" i="30"/>
  <c r="AB3924" i="30"/>
  <c r="AB3923" i="30"/>
  <c r="AB3922" i="30"/>
  <c r="AB3921" i="30"/>
  <c r="AB3920" i="30"/>
  <c r="AB3919" i="30"/>
  <c r="AB3918" i="30"/>
  <c r="AB3917" i="30"/>
  <c r="AB3916" i="30"/>
  <c r="AB3915" i="30"/>
  <c r="AB3914" i="30"/>
  <c r="AB3913" i="30"/>
  <c r="AB3912" i="30"/>
  <c r="AB3911" i="30"/>
  <c r="AB3910" i="30"/>
  <c r="AB3909" i="30"/>
  <c r="AB3908" i="30"/>
  <c r="AB3907" i="30"/>
  <c r="AB3906" i="30"/>
  <c r="AB3905" i="30"/>
  <c r="AB3904" i="30"/>
  <c r="AB3903" i="30"/>
  <c r="AB3902" i="30"/>
  <c r="AB3901" i="30"/>
  <c r="AB3900" i="30"/>
  <c r="AB3899" i="30"/>
  <c r="AB3898" i="30"/>
  <c r="AB3897" i="30"/>
  <c r="AB3896" i="30"/>
  <c r="AB3895" i="30"/>
  <c r="AB3894" i="30"/>
  <c r="AB3893" i="30"/>
  <c r="AB3892" i="30"/>
  <c r="AB3891" i="30"/>
  <c r="AB3890" i="30"/>
  <c r="AB3889" i="30"/>
  <c r="AB3888" i="30"/>
  <c r="AB3887" i="30"/>
  <c r="AB3886" i="30"/>
  <c r="AB3885" i="30"/>
  <c r="AB3884" i="30"/>
  <c r="AB3883" i="30"/>
  <c r="AB3882" i="30"/>
  <c r="AB3881" i="30"/>
  <c r="AB3880" i="30"/>
  <c r="AB3879" i="30"/>
  <c r="AB3878" i="30"/>
  <c r="AB3877" i="30"/>
  <c r="AB3876" i="30"/>
  <c r="AB3875" i="30"/>
  <c r="AB3874" i="30"/>
  <c r="AB3873" i="30"/>
  <c r="AB3872" i="30"/>
  <c r="AB3871" i="30"/>
  <c r="AB3870" i="30"/>
  <c r="AB3869" i="30"/>
  <c r="AB3868" i="30"/>
  <c r="AB3867" i="30"/>
  <c r="AB3866" i="30"/>
  <c r="AB3865" i="30"/>
  <c r="AB3864" i="30"/>
  <c r="AB3863" i="30"/>
  <c r="AB3862" i="30"/>
  <c r="AB3861" i="30"/>
  <c r="AB3860" i="30"/>
  <c r="AB3859" i="30"/>
  <c r="AB3858" i="30"/>
  <c r="AB3857" i="30"/>
  <c r="AB3856" i="30"/>
  <c r="AB3855" i="30"/>
  <c r="AB3854" i="30"/>
  <c r="AB3853" i="30"/>
  <c r="AB3852" i="30"/>
  <c r="AB3851" i="30"/>
  <c r="AB3850" i="30"/>
  <c r="AB3849" i="30"/>
  <c r="AB3848" i="30"/>
  <c r="AB3847" i="30"/>
  <c r="AB3846" i="30"/>
  <c r="AB3845" i="30"/>
  <c r="AB3844" i="30"/>
  <c r="AB3843" i="30"/>
  <c r="AB3842" i="30"/>
  <c r="AB3841" i="30"/>
  <c r="AB3840" i="30"/>
  <c r="AB3839" i="30"/>
  <c r="AB3838" i="30"/>
  <c r="AB3837" i="30"/>
  <c r="AB3836" i="30"/>
  <c r="AB3835" i="30"/>
  <c r="AB3834" i="30"/>
  <c r="AB3833" i="30"/>
  <c r="AB3832" i="30"/>
  <c r="AB3831" i="30"/>
  <c r="AB3830" i="30"/>
  <c r="AB3829" i="30"/>
  <c r="AB3828" i="30"/>
  <c r="AB3827" i="30"/>
  <c r="AB3826" i="30"/>
  <c r="AB3825" i="30"/>
  <c r="AB3824" i="30"/>
  <c r="AB3823" i="30"/>
  <c r="AB3822" i="30"/>
  <c r="AB3821" i="30"/>
  <c r="AB3820" i="30"/>
  <c r="AB3819" i="30"/>
  <c r="AB3818" i="30"/>
  <c r="AB3817" i="30"/>
  <c r="AB3816" i="30"/>
  <c r="AB3815" i="30"/>
  <c r="AB3814" i="30"/>
  <c r="AB3813" i="30"/>
  <c r="AB3812" i="30"/>
  <c r="AB3811" i="30"/>
  <c r="AB3810" i="30"/>
  <c r="AB3809" i="30"/>
  <c r="AB3808" i="30"/>
  <c r="AB3807" i="30"/>
  <c r="AB3806" i="30"/>
  <c r="AB3805" i="30"/>
  <c r="AB3804" i="30"/>
  <c r="AB3803" i="30"/>
  <c r="AB3802" i="30"/>
  <c r="AB3801" i="30"/>
  <c r="AB3800" i="30"/>
  <c r="AB3799" i="30"/>
  <c r="AB3798" i="30"/>
  <c r="AB3797" i="30"/>
  <c r="AB3796" i="30"/>
  <c r="AB3795" i="30"/>
  <c r="AB3794" i="30"/>
  <c r="AB3793" i="30"/>
  <c r="AB3792" i="30"/>
  <c r="AB3791" i="30"/>
  <c r="AB3790" i="30"/>
  <c r="AB3789" i="30"/>
  <c r="AB3788" i="30"/>
  <c r="AB3787" i="30"/>
  <c r="AB3786" i="30"/>
  <c r="AB3785" i="30"/>
  <c r="AB3784" i="30"/>
  <c r="AB3783" i="30"/>
  <c r="AB3782" i="30"/>
  <c r="AB3781" i="30"/>
  <c r="AB3780" i="30"/>
  <c r="AB3779" i="30"/>
  <c r="AB3778" i="30"/>
  <c r="AB3777" i="30"/>
  <c r="AB3776" i="30"/>
  <c r="AB3775" i="30"/>
  <c r="AB3774" i="30"/>
  <c r="AB3773" i="30"/>
  <c r="AB3772" i="30"/>
  <c r="AB3771" i="30"/>
  <c r="AB3770" i="30"/>
  <c r="AB3769" i="30"/>
  <c r="AB3768" i="30"/>
  <c r="AB3767" i="30"/>
  <c r="AB3766" i="30"/>
  <c r="AB3765" i="30"/>
  <c r="AB3764" i="30"/>
  <c r="AB3763" i="30"/>
  <c r="AB3762" i="30"/>
  <c r="AB3761" i="30"/>
  <c r="AB3760" i="30"/>
  <c r="AB3759" i="30"/>
  <c r="AB3758" i="30"/>
  <c r="AB3757" i="30"/>
  <c r="AB3756" i="30"/>
  <c r="AB3755" i="30"/>
  <c r="AB3754" i="30"/>
  <c r="AB3753" i="30"/>
  <c r="AB3752" i="30"/>
  <c r="AB3751" i="30"/>
  <c r="AB3750" i="30"/>
  <c r="AB3749" i="30"/>
  <c r="AB3748" i="30"/>
  <c r="AB3747" i="30"/>
  <c r="AB3746" i="30"/>
  <c r="AB3745" i="30"/>
  <c r="AB3744" i="30"/>
  <c r="AB3743" i="30"/>
  <c r="AB3742" i="30"/>
  <c r="AB3741" i="30"/>
  <c r="AB3740" i="30"/>
  <c r="AB3739" i="30"/>
  <c r="AB3738" i="30"/>
  <c r="AB3737" i="30"/>
  <c r="AB3736" i="30"/>
  <c r="AB3735" i="30"/>
  <c r="AB3734" i="30"/>
  <c r="AB3733" i="30"/>
  <c r="AB3732" i="30"/>
  <c r="AB3731" i="30"/>
  <c r="AB3730" i="30"/>
  <c r="AB3729" i="30"/>
  <c r="AB3728" i="30"/>
  <c r="AB3727" i="30"/>
  <c r="AB3726" i="30"/>
  <c r="AB3725" i="30"/>
  <c r="AB3724" i="30"/>
  <c r="AB3723" i="30"/>
  <c r="AB3722" i="30"/>
  <c r="AB3721" i="30"/>
  <c r="AB3720" i="30"/>
  <c r="AB3719" i="30"/>
  <c r="AB3718" i="30"/>
  <c r="AB3717" i="30"/>
  <c r="AB3716" i="30"/>
  <c r="AB3715" i="30"/>
  <c r="AB3714" i="30"/>
  <c r="AB3713" i="30"/>
  <c r="AB3712" i="30"/>
  <c r="AB3711" i="30"/>
  <c r="AB3710" i="30"/>
  <c r="AB3709" i="30"/>
  <c r="AB3708" i="30"/>
  <c r="AB3707" i="30"/>
  <c r="AB3706" i="30"/>
  <c r="AB3705" i="30"/>
  <c r="AB3704" i="30"/>
  <c r="AB3703" i="30"/>
  <c r="AB3702" i="30"/>
  <c r="AB3701" i="30"/>
  <c r="AB3700" i="30"/>
  <c r="AB3699" i="30"/>
  <c r="AB3698" i="30"/>
  <c r="AB3697" i="30"/>
  <c r="AB3696" i="30"/>
  <c r="AB3695" i="30"/>
  <c r="AB3694" i="30"/>
  <c r="AB3693" i="30"/>
  <c r="AB3692" i="30"/>
  <c r="AB3691" i="30"/>
  <c r="AB3690" i="30"/>
  <c r="AB3689" i="30"/>
  <c r="AB3688" i="30"/>
  <c r="AB3687" i="30"/>
  <c r="AB3686" i="30"/>
  <c r="AB3685" i="30"/>
  <c r="AB3684" i="30"/>
  <c r="AB3683" i="30"/>
  <c r="AB3682" i="30"/>
  <c r="AB3681" i="30"/>
  <c r="AB3680" i="30"/>
  <c r="AB3679" i="30"/>
  <c r="AB3678" i="30"/>
  <c r="AB3677" i="30"/>
  <c r="AB3676" i="30"/>
  <c r="AB3675" i="30"/>
  <c r="AB3674" i="30"/>
  <c r="AB3673" i="30"/>
  <c r="AB3672" i="30"/>
  <c r="AB3671" i="30"/>
  <c r="AB3670" i="30"/>
  <c r="AB3669" i="30"/>
  <c r="AB3668" i="30"/>
  <c r="AB3667" i="30"/>
  <c r="AB3666" i="30"/>
  <c r="AB3665" i="30"/>
  <c r="AB3664" i="30"/>
  <c r="AB3663" i="30"/>
  <c r="AB3662" i="30"/>
  <c r="AB3661" i="30"/>
  <c r="AB3660" i="30"/>
  <c r="AB3659" i="30"/>
  <c r="AB3658" i="30"/>
  <c r="AB3657" i="30"/>
  <c r="AB3656" i="30"/>
  <c r="AB3655" i="30"/>
  <c r="AB3654" i="30"/>
  <c r="AB3653" i="30"/>
  <c r="AB3652" i="30"/>
  <c r="AB3651" i="30"/>
  <c r="AB3650" i="30"/>
  <c r="AB3649" i="30"/>
  <c r="AB3648" i="30"/>
  <c r="AB3647" i="30"/>
  <c r="AB3646" i="30"/>
  <c r="AB3645" i="30"/>
  <c r="AB3644" i="30"/>
  <c r="AB3643" i="30"/>
  <c r="AB3642" i="30"/>
  <c r="AB3641" i="30"/>
  <c r="AB3640" i="30"/>
  <c r="AB3639" i="30"/>
  <c r="AB3638" i="30"/>
  <c r="AB3637" i="30"/>
  <c r="AB3636" i="30"/>
  <c r="AB3635" i="30"/>
  <c r="AB3634" i="30"/>
  <c r="AB3633" i="30"/>
  <c r="AB3632" i="30"/>
  <c r="AB3631" i="30"/>
  <c r="AB3630" i="30"/>
  <c r="AB3629" i="30"/>
  <c r="AB3628" i="30"/>
  <c r="AB3627" i="30"/>
  <c r="AB3626" i="30"/>
  <c r="AB3625" i="30"/>
  <c r="AB3624" i="30"/>
  <c r="AB3623" i="30"/>
  <c r="AB3622" i="30"/>
  <c r="AB3621" i="30"/>
  <c r="AB3620" i="30"/>
  <c r="AB3619" i="30"/>
  <c r="AB3618" i="30"/>
  <c r="AB3617" i="30"/>
  <c r="AB3616" i="30"/>
  <c r="AB3615" i="30"/>
  <c r="AB3614" i="30"/>
  <c r="AB3613" i="30"/>
  <c r="AB3612" i="30"/>
  <c r="AB3611" i="30"/>
  <c r="AB3610" i="30"/>
  <c r="AB3609" i="30"/>
  <c r="AB3608" i="30"/>
  <c r="AB3607" i="30"/>
  <c r="AB3606" i="30"/>
  <c r="AB3605" i="30"/>
  <c r="AB3604" i="30"/>
  <c r="AB3603" i="30"/>
  <c r="AB3602" i="30"/>
  <c r="AB3601" i="30"/>
  <c r="AB3600" i="30"/>
  <c r="AB3599" i="30"/>
  <c r="AB3598" i="30"/>
  <c r="AB3597" i="30"/>
  <c r="AB3596" i="30"/>
  <c r="AB3595" i="30"/>
  <c r="AB3594" i="30"/>
  <c r="AB3593" i="30"/>
  <c r="AB3592" i="30"/>
  <c r="AB3591" i="30"/>
  <c r="AB3590" i="30"/>
  <c r="AB3589" i="30"/>
  <c r="AB3588" i="30"/>
  <c r="AB3587" i="30"/>
  <c r="AB3586" i="30"/>
  <c r="AB3585" i="30"/>
  <c r="AB3584" i="30"/>
  <c r="AB3583" i="30"/>
  <c r="AB3582" i="30"/>
  <c r="AB3581" i="30"/>
  <c r="AB3580" i="30"/>
  <c r="AB3579" i="30"/>
  <c r="AB3578" i="30"/>
  <c r="AB3577" i="30"/>
  <c r="AB3576" i="30"/>
  <c r="AB3575" i="30"/>
  <c r="AB3574" i="30"/>
  <c r="AB3573" i="30"/>
  <c r="AB3572" i="30"/>
  <c r="AB3571" i="30"/>
  <c r="AB3570" i="30"/>
  <c r="AB3569" i="30"/>
  <c r="AB3568" i="30"/>
  <c r="AB3567" i="30"/>
  <c r="AB3566" i="30"/>
  <c r="AB3565" i="30"/>
  <c r="AB3564" i="30"/>
  <c r="AB3563" i="30"/>
  <c r="AB3562" i="30"/>
  <c r="AB3561" i="30"/>
  <c r="AB3560" i="30"/>
  <c r="AB3559" i="30"/>
  <c r="AB3558" i="30"/>
  <c r="AB3557" i="30"/>
  <c r="AB3556" i="30"/>
  <c r="AB3555" i="30"/>
  <c r="AB3554" i="30"/>
  <c r="AB3553" i="30"/>
  <c r="AB3552" i="30"/>
  <c r="AB3551" i="30"/>
  <c r="AB3550" i="30"/>
  <c r="AB3549" i="30"/>
  <c r="AB3548" i="30"/>
  <c r="AB3547" i="30"/>
  <c r="AB3546" i="30"/>
  <c r="AB3545" i="30"/>
  <c r="AB3544" i="30"/>
  <c r="AB3543" i="30"/>
  <c r="AB3542" i="30"/>
  <c r="AB3541" i="30"/>
  <c r="AB3540" i="30"/>
  <c r="AB3539" i="30"/>
  <c r="AB3538" i="30"/>
  <c r="AB3537" i="30"/>
  <c r="AB3536" i="30"/>
  <c r="AB3535" i="30"/>
  <c r="AB3534" i="30"/>
  <c r="AB3533" i="30"/>
  <c r="AB3532" i="30"/>
  <c r="AB3531" i="30"/>
  <c r="AB3530" i="30"/>
  <c r="AB3529" i="30"/>
  <c r="AB3528" i="30"/>
  <c r="AB3527" i="30"/>
  <c r="AB3526" i="30"/>
  <c r="AB3525" i="30"/>
  <c r="AB3524" i="30"/>
  <c r="AB3523" i="30"/>
  <c r="AB3522" i="30"/>
  <c r="AB3521" i="30"/>
  <c r="AB3520" i="30"/>
  <c r="AB3519" i="30"/>
  <c r="AB3518" i="30"/>
  <c r="AB3517" i="30"/>
  <c r="AB3516" i="30"/>
  <c r="AB3515" i="30"/>
  <c r="AB3514" i="30"/>
  <c r="AB3513" i="30"/>
  <c r="AB3512" i="30"/>
  <c r="AB3511" i="30"/>
  <c r="AB3510" i="30"/>
  <c r="AB3509" i="30"/>
  <c r="AB3508" i="30"/>
  <c r="AB3507" i="30"/>
  <c r="AB3506" i="30"/>
  <c r="AB3505" i="30"/>
  <c r="AB3504" i="30"/>
  <c r="AB3503" i="30"/>
  <c r="AB3502" i="30"/>
  <c r="AB3501" i="30"/>
  <c r="AB3500" i="30"/>
  <c r="AB3499" i="30"/>
  <c r="AB3498" i="30"/>
  <c r="AB3497" i="30"/>
  <c r="AB3496" i="30"/>
  <c r="AB3495" i="30"/>
  <c r="AB3494" i="30"/>
  <c r="AB3493" i="30"/>
  <c r="AB3492" i="30"/>
  <c r="AB3491" i="30"/>
  <c r="AB3490" i="30"/>
  <c r="AB3489" i="30"/>
  <c r="AB3488" i="30"/>
  <c r="AB3487" i="30"/>
  <c r="AB3486" i="30"/>
  <c r="AB3485" i="30"/>
  <c r="AB3484" i="30"/>
  <c r="AB3483" i="30"/>
  <c r="AB3482" i="30"/>
  <c r="AB3481" i="30"/>
  <c r="AB3480" i="30"/>
  <c r="AB3479" i="30"/>
  <c r="AB3478" i="30"/>
  <c r="AB3477" i="30"/>
  <c r="AB3476" i="30"/>
  <c r="AB3475" i="30"/>
  <c r="AB3474" i="30"/>
  <c r="AB3473" i="30"/>
  <c r="AB3472" i="30"/>
  <c r="AB3471" i="30"/>
  <c r="AB3470" i="30"/>
  <c r="AB3469" i="30"/>
  <c r="AB3468" i="30"/>
  <c r="AB3467" i="30"/>
  <c r="AB3466" i="30"/>
  <c r="AB3465" i="30"/>
  <c r="AB3464" i="30"/>
  <c r="AB3463" i="30"/>
  <c r="AB3462" i="30"/>
  <c r="AB3461" i="30"/>
  <c r="AB3460" i="30"/>
  <c r="AB3459" i="30"/>
  <c r="AB3458" i="30"/>
  <c r="AB3457" i="30"/>
  <c r="AB3456" i="30"/>
  <c r="AB3455" i="30"/>
  <c r="AB3454" i="30"/>
  <c r="AB3453" i="30"/>
  <c r="AB3452" i="30"/>
  <c r="AB3451" i="30"/>
  <c r="AB3450" i="30"/>
  <c r="AB3449" i="30"/>
  <c r="AB3448" i="30"/>
  <c r="AB3447" i="30"/>
  <c r="AB3446" i="30"/>
  <c r="AB3445" i="30"/>
  <c r="AB3444" i="30"/>
  <c r="AB3443" i="30"/>
  <c r="AB3442" i="30"/>
  <c r="AB3441" i="30"/>
  <c r="AB3440" i="30"/>
  <c r="AB3439" i="30"/>
  <c r="AB3438" i="30"/>
  <c r="AB3437" i="30"/>
  <c r="AB3436" i="30"/>
  <c r="AB3435" i="30"/>
  <c r="AB3434" i="30"/>
  <c r="AB3433" i="30"/>
  <c r="AB3432" i="30"/>
  <c r="AB3431" i="30"/>
  <c r="AB3430" i="30"/>
  <c r="AB3429" i="30"/>
  <c r="AB3428" i="30"/>
  <c r="AB3427" i="30"/>
  <c r="AB3426" i="30"/>
  <c r="AB3425" i="30"/>
  <c r="AB3424" i="30"/>
  <c r="AB3423" i="30"/>
  <c r="AB3422" i="30"/>
  <c r="AB3421" i="30"/>
  <c r="AB3420" i="30"/>
  <c r="AB3419" i="30"/>
  <c r="AB3418" i="30"/>
  <c r="AB3417" i="30"/>
  <c r="AB3416" i="30"/>
  <c r="AB3415" i="30"/>
  <c r="AB3414" i="30"/>
  <c r="AB3413" i="30"/>
  <c r="AB3412" i="30"/>
  <c r="AB3411" i="30"/>
  <c r="AB3410" i="30"/>
  <c r="AB3409" i="30"/>
  <c r="AB3408" i="30"/>
  <c r="AB3407" i="30"/>
  <c r="AB3406" i="30"/>
  <c r="AB3405" i="30"/>
  <c r="AB3404" i="30"/>
  <c r="AB3403" i="30"/>
  <c r="AB3402" i="30"/>
  <c r="AB3401" i="30"/>
  <c r="AB3400" i="30"/>
  <c r="AB3399" i="30"/>
  <c r="AB3398" i="30"/>
  <c r="AB3397" i="30"/>
  <c r="AB3396" i="30"/>
  <c r="AB3395" i="30"/>
  <c r="AB3394" i="30"/>
  <c r="AB3393" i="30"/>
  <c r="AB3392" i="30"/>
  <c r="AB3391" i="30"/>
  <c r="AB3390" i="30"/>
  <c r="AB3389" i="30"/>
  <c r="AB3388" i="30"/>
  <c r="AB3387" i="30"/>
  <c r="AB3386" i="30"/>
  <c r="AB3385" i="30"/>
  <c r="AB3384" i="30"/>
  <c r="AB3383" i="30"/>
  <c r="AB3382" i="30"/>
  <c r="AB3381" i="30"/>
  <c r="AB3380" i="30"/>
  <c r="AB3379" i="30"/>
  <c r="AB3378" i="30"/>
  <c r="AB3377" i="30"/>
  <c r="AB3376" i="30"/>
  <c r="AB3375" i="30"/>
  <c r="AB3374" i="30"/>
  <c r="AB3373" i="30"/>
  <c r="AB3372" i="30"/>
  <c r="AB3371" i="30"/>
  <c r="AB3370" i="30"/>
  <c r="AB3369" i="30"/>
  <c r="AB3368" i="30"/>
  <c r="AB3367" i="30"/>
  <c r="AB3366" i="30"/>
  <c r="AB3365" i="30"/>
  <c r="AB3364" i="30"/>
  <c r="AB3363" i="30"/>
  <c r="AB3362" i="30"/>
  <c r="AB3361" i="30"/>
  <c r="AB3360" i="30"/>
  <c r="AB3359" i="30"/>
  <c r="AB3358" i="30"/>
  <c r="AB3357" i="30"/>
  <c r="AB3356" i="30"/>
  <c r="AB3355" i="30"/>
  <c r="AB3354" i="30"/>
  <c r="AB3353" i="30"/>
  <c r="AB3352" i="30"/>
  <c r="AB3351" i="30"/>
  <c r="AB3350" i="30"/>
  <c r="AB3349" i="30"/>
  <c r="AB3348" i="30"/>
  <c r="AB3347" i="30"/>
  <c r="AB3346" i="30"/>
  <c r="AB3345" i="30"/>
  <c r="AB3344" i="30"/>
  <c r="AB3343" i="30"/>
  <c r="AB3342" i="30"/>
  <c r="AB3341" i="30"/>
  <c r="AB3340" i="30"/>
  <c r="AB3339" i="30"/>
  <c r="AB3338" i="30"/>
  <c r="AB3337" i="30"/>
  <c r="AB3336" i="30"/>
  <c r="AB3335" i="30"/>
  <c r="AB3334" i="30"/>
  <c r="AB3333" i="30"/>
  <c r="AB3332" i="30"/>
  <c r="AB3331" i="30"/>
  <c r="AB3330" i="30"/>
  <c r="AB3329" i="30"/>
  <c r="AB3328" i="30"/>
  <c r="AB3327" i="30"/>
  <c r="AB3326" i="30"/>
  <c r="AB3325" i="30"/>
  <c r="AB3324" i="30"/>
  <c r="AB3323" i="30"/>
  <c r="AB3322" i="30"/>
  <c r="AB3321" i="30"/>
  <c r="AB3320" i="30"/>
  <c r="AB3319" i="30"/>
  <c r="AB3318" i="30"/>
  <c r="AB3317" i="30"/>
  <c r="AB3316" i="30"/>
  <c r="AB3315" i="30"/>
  <c r="AB3314" i="30"/>
  <c r="AB3313" i="30"/>
  <c r="AB3312" i="30"/>
  <c r="AB3311" i="30"/>
  <c r="AB3310" i="30"/>
  <c r="AB3309" i="30"/>
  <c r="AB3308" i="30"/>
  <c r="AB3307" i="30"/>
  <c r="AB3306" i="30"/>
  <c r="AB3305" i="30"/>
  <c r="AB3304" i="30"/>
  <c r="AB3303" i="30"/>
  <c r="AB3302" i="30"/>
  <c r="AB3301" i="30"/>
  <c r="AB3300" i="30"/>
  <c r="AB3299" i="30"/>
  <c r="AB3298" i="30"/>
  <c r="AB3297" i="30"/>
  <c r="AB3296" i="30"/>
  <c r="AB3295" i="30"/>
  <c r="AB3294" i="30"/>
  <c r="AB3293" i="30"/>
  <c r="AB3292" i="30"/>
  <c r="AB3291" i="30"/>
  <c r="AB3290" i="30"/>
  <c r="AB3289" i="30"/>
  <c r="AB3288" i="30"/>
  <c r="AB3287" i="30"/>
  <c r="AB3286" i="30"/>
  <c r="AB3285" i="30"/>
  <c r="AB3284" i="30"/>
  <c r="AB3283" i="30"/>
  <c r="AB3282" i="30"/>
  <c r="AB3281" i="30"/>
  <c r="AB3280" i="30"/>
  <c r="AB3279" i="30"/>
  <c r="AB3278" i="30"/>
  <c r="AB3277" i="30"/>
  <c r="AB3276" i="30"/>
  <c r="AB3275" i="30"/>
  <c r="AB3274" i="30"/>
  <c r="AB3273" i="30"/>
  <c r="AB3272" i="30"/>
  <c r="AB3271" i="30"/>
  <c r="AB3270" i="30"/>
  <c r="AB3269" i="30"/>
  <c r="AB3268" i="30"/>
  <c r="AB3267" i="30"/>
  <c r="AB3266" i="30"/>
  <c r="AB3265" i="30"/>
  <c r="AB3264" i="30"/>
  <c r="AB3263" i="30"/>
  <c r="AB3262" i="30"/>
  <c r="AB3261" i="30"/>
  <c r="AB3260" i="30"/>
  <c r="AB3259" i="30"/>
  <c r="AB3258" i="30"/>
  <c r="AB3257" i="30"/>
  <c r="AB3256" i="30"/>
  <c r="AB3255" i="30"/>
  <c r="AB3254" i="30"/>
  <c r="AB3253" i="30"/>
  <c r="AB3252" i="30"/>
  <c r="AB3251" i="30"/>
  <c r="AB3250" i="30"/>
  <c r="AB3249" i="30"/>
  <c r="AB3248" i="30"/>
  <c r="AB3247" i="30"/>
  <c r="AB3246" i="30"/>
  <c r="AB3245" i="30"/>
  <c r="AB3244" i="30"/>
  <c r="AB3243" i="30"/>
  <c r="AB3242" i="30"/>
  <c r="AB3241" i="30"/>
  <c r="AB3240" i="30"/>
  <c r="AB3239" i="30"/>
  <c r="AB3238" i="30"/>
  <c r="AB3237" i="30"/>
  <c r="AB3236" i="30"/>
  <c r="AB3235" i="30"/>
  <c r="AB3234" i="30"/>
  <c r="AB3233" i="30"/>
  <c r="AB3232" i="30"/>
  <c r="AB3231" i="30"/>
  <c r="AB3230" i="30"/>
  <c r="AB3229" i="30"/>
  <c r="AB3228" i="30"/>
  <c r="AB3227" i="30"/>
  <c r="AB3226" i="30"/>
  <c r="AB3225" i="30"/>
  <c r="AB3224" i="30"/>
  <c r="AB3223" i="30"/>
  <c r="AB3222" i="30"/>
  <c r="AB3221" i="30"/>
  <c r="AB3220" i="30"/>
  <c r="AB3219" i="30"/>
  <c r="AB3218" i="30"/>
  <c r="AB3217" i="30"/>
  <c r="AB3216" i="30"/>
  <c r="AB3215" i="30"/>
  <c r="AB3214" i="30"/>
  <c r="AB3213" i="30"/>
  <c r="AB3212" i="30"/>
  <c r="AB3211" i="30"/>
  <c r="AB3210" i="30"/>
  <c r="AB3209" i="30"/>
  <c r="AB3208" i="30"/>
  <c r="AB3207" i="30"/>
  <c r="AB3206" i="30"/>
  <c r="AB3205" i="30"/>
  <c r="AB3204" i="30"/>
  <c r="AB3203" i="30"/>
  <c r="AB3202" i="30"/>
  <c r="AB3201" i="30"/>
  <c r="AB3200" i="30"/>
  <c r="AB3199" i="30"/>
  <c r="AB3198" i="30"/>
  <c r="AB3197" i="30"/>
  <c r="AB3196" i="30"/>
  <c r="AB3195" i="30"/>
  <c r="AB3194" i="30"/>
  <c r="AB3193" i="30"/>
  <c r="AB3192" i="30"/>
  <c r="AB3191" i="30"/>
  <c r="AB3190" i="30"/>
  <c r="AB3189" i="30"/>
  <c r="AB3188" i="30"/>
  <c r="AB3187" i="30"/>
  <c r="AB3186" i="30"/>
  <c r="AB3185" i="30"/>
  <c r="AB3184" i="30"/>
  <c r="AB3183" i="30"/>
  <c r="AB3182" i="30"/>
  <c r="AB3181" i="30"/>
  <c r="AB3180" i="30"/>
  <c r="AB3179" i="30"/>
  <c r="AB3178" i="30"/>
  <c r="AB3177" i="30"/>
  <c r="AB3176" i="30"/>
  <c r="AB3175" i="30"/>
  <c r="AB3174" i="30"/>
  <c r="AB3173" i="30"/>
  <c r="AB3172" i="30"/>
  <c r="AB3171" i="30"/>
  <c r="AB3170" i="30"/>
  <c r="AB3169" i="30"/>
  <c r="AB3168" i="30"/>
  <c r="AB3167" i="30"/>
  <c r="AB3166" i="30"/>
  <c r="AB3165" i="30"/>
  <c r="AB3164" i="30"/>
  <c r="AB3163" i="30"/>
  <c r="AB3162" i="30"/>
  <c r="AB3161" i="30"/>
  <c r="AB3160" i="30"/>
  <c r="AB3159" i="30"/>
  <c r="AB3158" i="30"/>
  <c r="AB3157" i="30"/>
  <c r="AB3156" i="30"/>
  <c r="AB3155" i="30"/>
  <c r="AB3154" i="30"/>
  <c r="AB3153" i="30"/>
  <c r="AB3152" i="30"/>
  <c r="AB3151" i="30"/>
  <c r="AB3150" i="30"/>
  <c r="AB3149" i="30"/>
  <c r="AB3148" i="30"/>
  <c r="AB3147" i="30"/>
  <c r="AB3146" i="30"/>
  <c r="AB3145" i="30"/>
  <c r="AB3144" i="30"/>
  <c r="AB3143" i="30"/>
  <c r="AB3142" i="30"/>
  <c r="AB3141" i="30"/>
  <c r="AB3140" i="30"/>
  <c r="AB3139" i="30"/>
  <c r="AB3138" i="30"/>
  <c r="AB3137" i="30"/>
  <c r="AB3136" i="30"/>
  <c r="AB3135" i="30"/>
  <c r="AB3134" i="30"/>
  <c r="AB3133" i="30"/>
  <c r="AB3132" i="30"/>
  <c r="AB3131" i="30"/>
  <c r="AB3130" i="30"/>
  <c r="AB3129" i="30"/>
  <c r="AB3128" i="30"/>
  <c r="AB3127" i="30"/>
  <c r="AB3126" i="30"/>
  <c r="AB3125" i="30"/>
  <c r="AB3124" i="30"/>
  <c r="AB3123" i="30"/>
  <c r="AB3122" i="30"/>
  <c r="AB3121" i="30"/>
  <c r="AB3120" i="30"/>
  <c r="AB3119" i="30"/>
  <c r="AB3118" i="30"/>
  <c r="AB3117" i="30"/>
  <c r="AB3116" i="30"/>
  <c r="AB3115" i="30"/>
  <c r="AB3114" i="30"/>
  <c r="AB3113" i="30"/>
  <c r="AB3112" i="30"/>
  <c r="AB3111" i="30"/>
  <c r="AB3110" i="30"/>
  <c r="AB3109" i="30"/>
  <c r="AB3108" i="30"/>
  <c r="AB3107" i="30"/>
  <c r="AB3106" i="30"/>
  <c r="AB3105" i="30"/>
  <c r="AB3104" i="30"/>
  <c r="AB3103" i="30"/>
  <c r="AB3102" i="30"/>
  <c r="AB3101" i="30"/>
  <c r="AB3100" i="30"/>
  <c r="AB3099" i="30"/>
  <c r="AB3098" i="30"/>
  <c r="AB3097" i="30"/>
  <c r="AB3096" i="30"/>
  <c r="AB3095" i="30"/>
  <c r="AB3094" i="30"/>
  <c r="AB3093" i="30"/>
  <c r="AB3092" i="30"/>
  <c r="AB3091" i="30"/>
  <c r="AB3090" i="30"/>
  <c r="AB3089" i="30"/>
  <c r="AB3088" i="30"/>
  <c r="AB3087" i="30"/>
  <c r="AB3086" i="30"/>
  <c r="AB3085" i="30"/>
  <c r="AB3084" i="30"/>
  <c r="AB3083" i="30"/>
  <c r="AB3082" i="30"/>
  <c r="AB3081" i="30"/>
  <c r="AB3080" i="30"/>
  <c r="AB3079" i="30"/>
  <c r="AB3078" i="30"/>
  <c r="AB3077" i="30"/>
  <c r="AB3076" i="30"/>
  <c r="AB3075" i="30"/>
  <c r="AB3074" i="30"/>
  <c r="AB3073" i="30"/>
  <c r="AB3072" i="30"/>
  <c r="AB3071" i="30"/>
  <c r="AB3070" i="30"/>
  <c r="AB3069" i="30"/>
  <c r="AB3068" i="30"/>
  <c r="AB3067" i="30"/>
  <c r="AB3066" i="30"/>
  <c r="AB3065" i="30"/>
  <c r="AB3064" i="30"/>
  <c r="AB3063" i="30"/>
  <c r="AB3062" i="30"/>
  <c r="AB3061" i="30"/>
  <c r="AB3060" i="30"/>
  <c r="AB3059" i="30"/>
  <c r="AB3058" i="30"/>
  <c r="AB3057" i="30"/>
  <c r="AB3056" i="30"/>
  <c r="AB3055" i="30"/>
  <c r="AB3054" i="30"/>
  <c r="AB3053" i="30"/>
  <c r="AB3052" i="30"/>
  <c r="AB3051" i="30"/>
  <c r="AB3050" i="30"/>
  <c r="AB3049" i="30"/>
  <c r="AB3048" i="30"/>
  <c r="AB3047" i="30"/>
  <c r="AB3046" i="30"/>
  <c r="AB3045" i="30"/>
  <c r="AB3044" i="30"/>
  <c r="AB3043" i="30"/>
  <c r="AB3042" i="30"/>
  <c r="AB3041" i="30"/>
  <c r="AB3040" i="30"/>
  <c r="AB3039" i="30"/>
  <c r="AB3038" i="30"/>
  <c r="AB3037" i="30"/>
  <c r="AB3036" i="30"/>
  <c r="AB3035" i="30"/>
  <c r="AB3034" i="30"/>
  <c r="AB3033" i="30"/>
  <c r="AB3032" i="30"/>
  <c r="AB3031" i="30"/>
  <c r="AB3030" i="30"/>
  <c r="AB3029" i="30"/>
  <c r="AB3028" i="30"/>
  <c r="AB3027" i="30"/>
  <c r="AB3026" i="30"/>
  <c r="AB3025" i="30"/>
  <c r="AB3024" i="30"/>
  <c r="AB3023" i="30"/>
  <c r="AB3022" i="30"/>
  <c r="AB3021" i="30"/>
  <c r="AB3020" i="30"/>
  <c r="AB3019" i="30"/>
  <c r="AB3018" i="30"/>
  <c r="AB3017" i="30"/>
  <c r="AB3016" i="30"/>
  <c r="AB3015" i="30"/>
  <c r="AB3014" i="30"/>
  <c r="AB3013" i="30"/>
  <c r="AB3012" i="30"/>
  <c r="AB3011" i="30"/>
  <c r="AB3010" i="30"/>
  <c r="AB3009" i="30"/>
  <c r="AB3008" i="30"/>
  <c r="AB3007" i="30"/>
  <c r="AB3006" i="30"/>
  <c r="AB3005" i="30"/>
  <c r="AB3004" i="30"/>
  <c r="AB3003" i="30"/>
  <c r="AB3002" i="30"/>
  <c r="AB3001" i="30"/>
  <c r="AB3000" i="30"/>
  <c r="AB2999" i="30"/>
  <c r="AB2998" i="30"/>
  <c r="AB2997" i="30"/>
  <c r="AB2996" i="30"/>
  <c r="AB2995" i="30"/>
  <c r="AB2994" i="30"/>
  <c r="AB2993" i="30"/>
  <c r="AB2992" i="30"/>
  <c r="AB2991" i="30"/>
  <c r="AB2990" i="30"/>
  <c r="AB2989" i="30"/>
  <c r="AB2988" i="30"/>
  <c r="AB2987" i="30"/>
  <c r="AB2986" i="30"/>
  <c r="AB2985" i="30"/>
  <c r="AB2984" i="30"/>
  <c r="AB2983" i="30"/>
  <c r="AB2982" i="30"/>
  <c r="AB2981" i="30"/>
  <c r="AB2980" i="30"/>
  <c r="AB2979" i="30"/>
  <c r="AB2978" i="30"/>
  <c r="AB2977" i="30"/>
  <c r="AB2976" i="30"/>
  <c r="AB2975" i="30"/>
  <c r="AB2974" i="30"/>
  <c r="AB2973" i="30"/>
  <c r="AB2972" i="30"/>
  <c r="AB2971" i="30"/>
  <c r="AB2970" i="30"/>
  <c r="AB2969" i="30"/>
  <c r="AB2968" i="30"/>
  <c r="AB2967" i="30"/>
  <c r="AB2966" i="30"/>
  <c r="AB2965" i="30"/>
  <c r="AB2964" i="30"/>
  <c r="AB2963" i="30"/>
  <c r="AB2962" i="30"/>
  <c r="AB2961" i="30"/>
  <c r="AB2960" i="30"/>
  <c r="AB2959" i="30"/>
  <c r="AB2958" i="30"/>
  <c r="AB2957" i="30"/>
  <c r="AB2956" i="30"/>
  <c r="AB2955" i="30"/>
  <c r="AB2954" i="30"/>
  <c r="AB2953" i="30"/>
  <c r="AB2952" i="30"/>
  <c r="AB2951" i="30"/>
  <c r="AB2950" i="30"/>
  <c r="AB2949" i="30"/>
  <c r="AB2948" i="30"/>
  <c r="AB2947" i="30"/>
  <c r="AB2946" i="30"/>
  <c r="AB2945" i="30"/>
  <c r="AB2944" i="30"/>
  <c r="AB2943" i="30"/>
  <c r="AB2942" i="30"/>
  <c r="AB2941" i="30"/>
  <c r="AB2940" i="30"/>
  <c r="AB2939" i="30"/>
  <c r="AB2938" i="30"/>
  <c r="AB2937" i="30"/>
  <c r="AB2936" i="30"/>
  <c r="AB2935" i="30"/>
  <c r="AB2934" i="30"/>
  <c r="AB2933" i="30"/>
  <c r="AB2932" i="30"/>
  <c r="AB2931" i="30"/>
  <c r="AB2930" i="30"/>
  <c r="AB2929" i="30"/>
  <c r="AB2928" i="30"/>
  <c r="AB2927" i="30"/>
  <c r="AB2926" i="30"/>
  <c r="AB2925" i="30"/>
  <c r="AB2924" i="30"/>
  <c r="AB2923" i="30"/>
  <c r="AB2922" i="30"/>
  <c r="AB2921" i="30"/>
  <c r="AB2920" i="30"/>
  <c r="AB2919" i="30"/>
  <c r="AB2918" i="30"/>
  <c r="AB2917" i="30"/>
  <c r="AB2916" i="30"/>
  <c r="AB2915" i="30"/>
  <c r="AB2914" i="30"/>
  <c r="AB2913" i="30"/>
  <c r="AB2912" i="30"/>
  <c r="AB2911" i="30"/>
  <c r="AB2910" i="30"/>
  <c r="AB2909" i="30"/>
  <c r="AB2908" i="30"/>
  <c r="AB2907" i="30"/>
  <c r="AB2906" i="30"/>
  <c r="AB2905" i="30"/>
  <c r="AB2904" i="30"/>
  <c r="AB2903" i="30"/>
  <c r="AB2902" i="30"/>
  <c r="AB2901" i="30"/>
  <c r="AB2900" i="30"/>
  <c r="AB2899" i="30"/>
  <c r="AB2898" i="30"/>
  <c r="AB2897" i="30"/>
  <c r="AB2896" i="30"/>
  <c r="AB2895" i="30"/>
  <c r="AB2894" i="30"/>
  <c r="AB2893" i="30"/>
  <c r="AB2892" i="30"/>
  <c r="AB2891" i="30"/>
  <c r="AB2890" i="30"/>
  <c r="AB2889" i="30"/>
  <c r="AB2888" i="30"/>
  <c r="AB2887" i="30"/>
  <c r="AB2886" i="30"/>
  <c r="AB2885" i="30"/>
  <c r="AB2884" i="30"/>
  <c r="AB2883" i="30"/>
  <c r="AB2882" i="30"/>
  <c r="AB2881" i="30"/>
  <c r="AB2880" i="30"/>
  <c r="AB2879" i="30"/>
  <c r="AB2878" i="30"/>
  <c r="AB2877" i="30"/>
  <c r="AB2876" i="30"/>
  <c r="AB2875" i="30"/>
  <c r="AB2874" i="30"/>
  <c r="AB2873" i="30"/>
  <c r="AB2872" i="30"/>
  <c r="AB2871" i="30"/>
  <c r="AB2870" i="30"/>
  <c r="AB2869" i="30"/>
  <c r="AB2868" i="30"/>
  <c r="AB2867" i="30"/>
  <c r="AB2866" i="30"/>
  <c r="AB2865" i="30"/>
  <c r="AB2864" i="30"/>
  <c r="AB2863" i="30"/>
  <c r="AB2862" i="30"/>
  <c r="AB2861" i="30"/>
  <c r="AB2860" i="30"/>
  <c r="AB2859" i="30"/>
  <c r="AB2858" i="30"/>
  <c r="AB2857" i="30"/>
  <c r="AB2856" i="30"/>
  <c r="AB2855" i="30"/>
  <c r="AB2854" i="30"/>
  <c r="AB2853" i="30"/>
  <c r="AB2852" i="30"/>
  <c r="AB2851" i="30"/>
  <c r="AB2850" i="30"/>
  <c r="AB2849" i="30"/>
  <c r="AB2848" i="30"/>
  <c r="AB2847" i="30"/>
  <c r="AB2846" i="30"/>
  <c r="AB2845" i="30"/>
  <c r="AB2844" i="30"/>
  <c r="AB2843" i="30"/>
  <c r="AB2842" i="30"/>
  <c r="AB2841" i="30"/>
  <c r="AB2840" i="30"/>
  <c r="AB2839" i="30"/>
  <c r="AB2838" i="30"/>
  <c r="AB2837" i="30"/>
  <c r="AB2836" i="30"/>
  <c r="AB2835" i="30"/>
  <c r="AB2834" i="30"/>
  <c r="AB2833" i="30"/>
  <c r="AB2832" i="30"/>
  <c r="AB2831" i="30"/>
  <c r="AB2830" i="30"/>
  <c r="AB2829" i="30"/>
  <c r="AB2828" i="30"/>
  <c r="AB2827" i="30"/>
  <c r="AB2826" i="30"/>
  <c r="AB2825" i="30"/>
  <c r="AB2824" i="30"/>
  <c r="AB2823" i="30"/>
  <c r="AB2822" i="30"/>
  <c r="AB2821" i="30"/>
  <c r="AB2820" i="30"/>
  <c r="AB2819" i="30"/>
  <c r="AB2818" i="30"/>
  <c r="AB2817" i="30"/>
  <c r="AB2816" i="30"/>
  <c r="AB2815" i="30"/>
  <c r="AB2814" i="30"/>
  <c r="AB2813" i="30"/>
  <c r="AB2812" i="30"/>
  <c r="AB2811" i="30"/>
  <c r="AB2810" i="30"/>
  <c r="AB2809" i="30"/>
  <c r="AB2808" i="30"/>
  <c r="AB2807" i="30"/>
  <c r="AB2806" i="30"/>
  <c r="AB2805" i="30"/>
  <c r="AB2804" i="30"/>
  <c r="AB2803" i="30"/>
  <c r="AB2802" i="30"/>
  <c r="AB2801" i="30"/>
  <c r="AB2800" i="30"/>
  <c r="AB2799" i="30"/>
  <c r="AB2798" i="30"/>
  <c r="AB2797" i="30"/>
  <c r="AB2796" i="30"/>
  <c r="AB2795" i="30"/>
  <c r="AB2794" i="30"/>
  <c r="AB2793" i="30"/>
  <c r="AB2792" i="30"/>
  <c r="AB2791" i="30"/>
  <c r="AB2790" i="30"/>
  <c r="AB2789" i="30"/>
  <c r="AB2788" i="30"/>
  <c r="AB2787" i="30"/>
  <c r="AB2786" i="30"/>
  <c r="AB2785" i="30"/>
  <c r="AB2784" i="30"/>
  <c r="AB2783" i="30"/>
  <c r="AB2782" i="30"/>
  <c r="AB2781" i="30"/>
  <c r="AB2780" i="30"/>
  <c r="AB2779" i="30"/>
  <c r="AB2778" i="30"/>
  <c r="AB2777" i="30"/>
  <c r="AB2776" i="30"/>
  <c r="AB2775" i="30"/>
  <c r="AB2774" i="30"/>
  <c r="AB2773" i="30"/>
  <c r="AB2772" i="30"/>
  <c r="AB2771" i="30"/>
  <c r="AB2770" i="30"/>
  <c r="AB2769" i="30"/>
  <c r="AB2768" i="30"/>
  <c r="AB2767" i="30"/>
  <c r="AB2766" i="30"/>
  <c r="AB2765" i="30"/>
  <c r="AB2764" i="30"/>
  <c r="AB2763" i="30"/>
  <c r="AB2762" i="30"/>
  <c r="AB2761" i="30"/>
  <c r="AB2760" i="30"/>
  <c r="AB2759" i="30"/>
  <c r="AB2758" i="30"/>
  <c r="AB2757" i="30"/>
  <c r="AB2756" i="30"/>
  <c r="AB2755" i="30"/>
  <c r="AB2754" i="30"/>
  <c r="AB2753" i="30"/>
  <c r="AB2752" i="30"/>
  <c r="AB2751" i="30"/>
  <c r="AB2750" i="30"/>
  <c r="AB2749" i="30"/>
  <c r="AB2748" i="30"/>
  <c r="AB2747" i="30"/>
  <c r="AB2746" i="30"/>
  <c r="AB2745" i="30"/>
  <c r="AB2744" i="30"/>
  <c r="AB2743" i="30"/>
  <c r="AB2742" i="30"/>
  <c r="AB2741" i="30"/>
  <c r="AB2740" i="30"/>
  <c r="AB2739" i="30"/>
  <c r="AB2738" i="30"/>
  <c r="AB2737" i="30"/>
  <c r="AB2736" i="30"/>
  <c r="AB2735" i="30"/>
  <c r="AB2734" i="30"/>
  <c r="AB2733" i="30"/>
  <c r="AB2732" i="30"/>
  <c r="AB2731" i="30"/>
  <c r="AB2730" i="30"/>
  <c r="AB2729" i="30"/>
  <c r="AB2728" i="30"/>
  <c r="AB2727" i="30"/>
  <c r="AB2726" i="30"/>
  <c r="AB2725" i="30"/>
  <c r="AB2724" i="30"/>
  <c r="AB2723" i="30"/>
  <c r="AB2722" i="30"/>
  <c r="AB2721" i="30"/>
  <c r="AB2720" i="30"/>
  <c r="AB2719" i="30"/>
  <c r="AB2718" i="30"/>
  <c r="AB2717" i="30"/>
  <c r="AB2716" i="30"/>
  <c r="AB2715" i="30"/>
  <c r="AB2714" i="30"/>
  <c r="AB2713" i="30"/>
  <c r="AB2712" i="30"/>
  <c r="AB2711" i="30"/>
  <c r="AB2710" i="30"/>
  <c r="AB2709" i="30"/>
  <c r="AB2708" i="30"/>
  <c r="AB2707" i="30"/>
  <c r="AB2706" i="30"/>
  <c r="AB2705" i="30"/>
  <c r="AB2704" i="30"/>
  <c r="AB2703" i="30"/>
  <c r="AB2702" i="30"/>
  <c r="AB2701" i="30"/>
  <c r="AB2700" i="30"/>
  <c r="AB2699" i="30"/>
  <c r="AB2698" i="30"/>
  <c r="AB2697" i="30"/>
  <c r="AB2696" i="30"/>
  <c r="AB2695" i="30"/>
  <c r="AB2694" i="30"/>
  <c r="AB2693" i="30"/>
  <c r="AB2692" i="30"/>
  <c r="AB2691" i="30"/>
  <c r="AB2690" i="30"/>
  <c r="AB2689" i="30"/>
  <c r="AB2688" i="30"/>
  <c r="AB2687" i="30"/>
  <c r="AB2686" i="30"/>
  <c r="AB2685" i="30"/>
  <c r="AB2684" i="30"/>
  <c r="AB2683" i="30"/>
  <c r="AB2682" i="30"/>
  <c r="AB2681" i="30"/>
  <c r="AB2680" i="30"/>
  <c r="AB2679" i="30"/>
  <c r="AB2678" i="30"/>
  <c r="AB2677" i="30"/>
  <c r="AB2676" i="30"/>
  <c r="AB2675" i="30"/>
  <c r="AB2674" i="30"/>
  <c r="AB2673" i="30"/>
  <c r="AB2672" i="30"/>
  <c r="AB2671" i="30"/>
  <c r="AB2670" i="30"/>
  <c r="AB2669" i="30"/>
  <c r="AB2668" i="30"/>
  <c r="AB2667" i="30"/>
  <c r="AB2666" i="30"/>
  <c r="AB2665" i="30"/>
  <c r="AB2664" i="30"/>
  <c r="AB2663" i="30"/>
  <c r="AB2662" i="30"/>
  <c r="AB2661" i="30"/>
  <c r="AB2660" i="30"/>
  <c r="AB2659" i="30"/>
  <c r="AB2658" i="30"/>
  <c r="AB2657" i="30"/>
  <c r="AB2656" i="30"/>
  <c r="AB2655" i="30"/>
  <c r="AB2654" i="30"/>
  <c r="AB2653" i="30"/>
  <c r="AB2652" i="30"/>
  <c r="AB2651" i="30"/>
  <c r="AB2650" i="30"/>
  <c r="AB2649" i="30"/>
  <c r="AB2648" i="30"/>
  <c r="AB2647" i="30"/>
  <c r="AB2646" i="30"/>
  <c r="AB2645" i="30"/>
  <c r="AB2644" i="30"/>
  <c r="AB2643" i="30"/>
  <c r="AB2642" i="30"/>
  <c r="AB2641" i="30"/>
  <c r="AB2640" i="30"/>
  <c r="AB2639" i="30"/>
  <c r="AB2638" i="30"/>
  <c r="AB2637" i="30"/>
  <c r="AB2636" i="30"/>
  <c r="AB2635" i="30"/>
  <c r="AB2634" i="30"/>
  <c r="AB2633" i="30"/>
  <c r="AB2632" i="30"/>
  <c r="AB2631" i="30"/>
  <c r="AB2630" i="30"/>
  <c r="AB2629" i="30"/>
  <c r="AB2628" i="30"/>
  <c r="AB2627" i="30"/>
  <c r="AB2626" i="30"/>
  <c r="AB2625" i="30"/>
  <c r="AB2624" i="30"/>
  <c r="AB2623" i="30"/>
  <c r="AB2622" i="30"/>
  <c r="AB2621" i="30"/>
  <c r="AB2620" i="30"/>
  <c r="AB2619" i="30"/>
  <c r="AB2618" i="30"/>
  <c r="AB2617" i="30"/>
  <c r="AB2616" i="30"/>
  <c r="AB2615" i="30"/>
  <c r="AB2614" i="30"/>
  <c r="AB2613" i="30"/>
  <c r="AB2612" i="30"/>
  <c r="AB2611" i="30"/>
  <c r="AB2610" i="30"/>
  <c r="AB2609" i="30"/>
  <c r="AB2608" i="30"/>
  <c r="AB2607" i="30"/>
  <c r="AB2606" i="30"/>
  <c r="AB2605" i="30"/>
  <c r="AB2604" i="30"/>
  <c r="AB2603" i="30"/>
  <c r="AB2602" i="30"/>
  <c r="AB2601" i="30"/>
  <c r="AB2600" i="30"/>
  <c r="AB2599" i="30"/>
  <c r="AB2598" i="30"/>
  <c r="AB2597" i="30"/>
  <c r="AB2596" i="30"/>
  <c r="AB2595" i="30"/>
  <c r="AB2594" i="30"/>
  <c r="AB2593" i="30"/>
  <c r="AB2592" i="30"/>
  <c r="AB2591" i="30"/>
  <c r="AB2590" i="30"/>
  <c r="AB2589" i="30"/>
  <c r="AB2588" i="30"/>
  <c r="AB2587" i="30"/>
  <c r="AB2586" i="30"/>
  <c r="AB2585" i="30"/>
  <c r="AB2584" i="30"/>
  <c r="AB2583" i="30"/>
  <c r="AB2582" i="30"/>
  <c r="AB2581" i="30"/>
  <c r="AB2580" i="30"/>
  <c r="AB2579" i="30"/>
  <c r="AB2578" i="30"/>
  <c r="AB2577" i="30"/>
  <c r="AB2576" i="30"/>
  <c r="AB2575" i="30"/>
  <c r="AB2574" i="30"/>
  <c r="AB2573" i="30"/>
  <c r="AB2572" i="30"/>
  <c r="AB2571" i="30"/>
  <c r="AB2570" i="30"/>
  <c r="AB2569" i="30"/>
  <c r="AB2568" i="30"/>
  <c r="AB2567" i="30"/>
  <c r="AB2566" i="30"/>
  <c r="AB2565" i="30"/>
  <c r="AB2564" i="30"/>
  <c r="AB2563" i="30"/>
  <c r="AB2562" i="30"/>
  <c r="AB2561" i="30"/>
  <c r="AB2560" i="30"/>
  <c r="AB2559" i="30"/>
  <c r="AB2558" i="30"/>
  <c r="AB2557" i="30"/>
  <c r="AB2556" i="30"/>
  <c r="AB2555" i="30"/>
  <c r="AB2554" i="30"/>
  <c r="AB2553" i="30"/>
  <c r="AB2552" i="30"/>
  <c r="AB2551" i="30"/>
  <c r="AB2550" i="30"/>
  <c r="AB2549" i="30"/>
  <c r="AB2548" i="30"/>
  <c r="AB2547" i="30"/>
  <c r="AB2546" i="30"/>
  <c r="AB2545" i="30"/>
  <c r="AB2544" i="30"/>
  <c r="AB2543" i="30"/>
  <c r="AB2542" i="30"/>
  <c r="AB2541" i="30"/>
  <c r="AB2540" i="30"/>
  <c r="AB2539" i="30"/>
  <c r="AB2538" i="30"/>
  <c r="AB2537" i="30"/>
  <c r="AB2536" i="30"/>
  <c r="AB2535" i="30"/>
  <c r="AB2534" i="30"/>
  <c r="AB2533" i="30"/>
  <c r="AB2532" i="30"/>
  <c r="AB2531" i="30"/>
  <c r="AB2530" i="30"/>
  <c r="AB2529" i="30"/>
  <c r="AB2528" i="30"/>
  <c r="AB2527" i="30"/>
  <c r="AB2526" i="30"/>
  <c r="AB2525" i="30"/>
  <c r="AB2524" i="30"/>
  <c r="AB2523" i="30"/>
  <c r="AB2522" i="30"/>
  <c r="AB2521" i="30"/>
  <c r="AB2520" i="30"/>
  <c r="AB2519" i="30"/>
  <c r="AB2518" i="30"/>
  <c r="AB2517" i="30"/>
  <c r="AB2516" i="30"/>
  <c r="AB2515" i="30"/>
  <c r="AB2514" i="30"/>
  <c r="AB2513" i="30"/>
  <c r="AB2512" i="30"/>
  <c r="AB2511" i="30"/>
  <c r="AB2510" i="30"/>
  <c r="AB2509" i="30"/>
  <c r="AB2508" i="30"/>
  <c r="AB2507" i="30"/>
  <c r="AB2506" i="30"/>
  <c r="AB2505" i="30"/>
  <c r="AB2504" i="30"/>
  <c r="AB2503" i="30"/>
  <c r="AB2502" i="30"/>
  <c r="AB2501" i="30"/>
  <c r="AB2500" i="30"/>
  <c r="AB2499" i="30"/>
  <c r="AB2498" i="30"/>
  <c r="AB2497" i="30"/>
  <c r="AB2496" i="30"/>
  <c r="AB2495" i="30"/>
  <c r="AB2494" i="30"/>
  <c r="AB2493" i="30"/>
  <c r="AB2492" i="30"/>
  <c r="AB2491" i="30"/>
  <c r="AB2490" i="30"/>
  <c r="AB2489" i="30"/>
  <c r="AB2488" i="30"/>
  <c r="AB2487" i="30"/>
  <c r="AB2486" i="30"/>
  <c r="AB2485" i="30"/>
  <c r="AB2484" i="30"/>
  <c r="AB2483" i="30"/>
  <c r="AB2482" i="30"/>
  <c r="AB2481" i="30"/>
  <c r="AB2480" i="30"/>
  <c r="AB2479" i="30"/>
  <c r="AB2478" i="30"/>
  <c r="AB2477" i="30"/>
  <c r="AB2476" i="30"/>
  <c r="AB2475" i="30"/>
  <c r="AB2474" i="30"/>
  <c r="AB2473" i="30"/>
  <c r="AB2472" i="30"/>
  <c r="AB2471" i="30"/>
  <c r="AB2470" i="30"/>
  <c r="AB2469" i="30"/>
  <c r="AB2468" i="30"/>
  <c r="AB2467" i="30"/>
  <c r="AB2466" i="30"/>
  <c r="AB2465" i="30"/>
  <c r="AB2464" i="30"/>
  <c r="AB2463" i="30"/>
  <c r="AB2462" i="30"/>
  <c r="AB2461" i="30"/>
  <c r="AB2460" i="30"/>
  <c r="AB2459" i="30"/>
  <c r="AB2458" i="30"/>
  <c r="AB2457" i="30"/>
  <c r="AB2456" i="30"/>
  <c r="AB2455" i="30"/>
  <c r="AB2454" i="30"/>
  <c r="AB2453" i="30"/>
  <c r="AB2452" i="30"/>
  <c r="AB2451" i="30"/>
  <c r="AB2450" i="30"/>
  <c r="AB2449" i="30"/>
  <c r="AB2448" i="30"/>
  <c r="AB2447" i="30"/>
  <c r="AB2446" i="30"/>
  <c r="AB2445" i="30"/>
  <c r="AB2444" i="30"/>
  <c r="AB2443" i="30"/>
  <c r="AB2442" i="30"/>
  <c r="AB2441" i="30"/>
  <c r="AB2440" i="30"/>
  <c r="AB2439" i="30"/>
  <c r="AB2438" i="30"/>
  <c r="AB2437" i="30"/>
  <c r="AB2436" i="30"/>
  <c r="AB2435" i="30"/>
  <c r="AB2434" i="30"/>
  <c r="AB2433" i="30"/>
  <c r="AB2432" i="30"/>
  <c r="AB2431" i="30"/>
  <c r="AB2430" i="30"/>
  <c r="AB2429" i="30"/>
  <c r="AB2428" i="30"/>
  <c r="AB2427" i="30"/>
  <c r="AB2426" i="30"/>
  <c r="AB2425" i="30"/>
  <c r="AB2424" i="30"/>
  <c r="AB2423" i="30"/>
  <c r="AB2422" i="30"/>
  <c r="AB2421" i="30"/>
  <c r="AB2420" i="30"/>
  <c r="AB2419" i="30"/>
  <c r="AB2418" i="30"/>
  <c r="AB2417" i="30"/>
  <c r="AB2416" i="30"/>
  <c r="AB2415" i="30"/>
  <c r="AB2414" i="30"/>
  <c r="AB2413" i="30"/>
  <c r="AB2412" i="30"/>
  <c r="AB2411" i="30"/>
  <c r="AB2410" i="30"/>
  <c r="AB2409" i="30"/>
  <c r="AB2408" i="30"/>
  <c r="AB2407" i="30"/>
  <c r="AB2406" i="30"/>
  <c r="AB2405" i="30"/>
  <c r="AB2404" i="30"/>
  <c r="AB2403" i="30"/>
  <c r="AB2402" i="30"/>
  <c r="AB2401" i="30"/>
  <c r="AB2400" i="30"/>
  <c r="AB2399" i="30"/>
  <c r="AB2398" i="30"/>
  <c r="AB2397" i="30"/>
  <c r="AB2396" i="30"/>
  <c r="AB2395" i="30"/>
  <c r="AB2394" i="30"/>
  <c r="AB2393" i="30"/>
  <c r="AB2392" i="30"/>
  <c r="AB2391" i="30"/>
  <c r="AB2390" i="30"/>
  <c r="AB2389" i="30"/>
  <c r="AB2388" i="30"/>
  <c r="AB2387" i="30"/>
  <c r="AB2386" i="30"/>
  <c r="AB2385" i="30"/>
  <c r="AB2384" i="30"/>
  <c r="AB2383" i="30"/>
  <c r="AB2382" i="30"/>
  <c r="AB2381" i="30"/>
  <c r="AB2380" i="30"/>
  <c r="AB2379" i="30"/>
  <c r="AB2378" i="30"/>
  <c r="AB2377" i="30"/>
  <c r="AB2376" i="30"/>
  <c r="AB2375" i="30"/>
  <c r="AB2374" i="30"/>
  <c r="AB2373" i="30"/>
  <c r="AB2372" i="30"/>
  <c r="AB2371" i="30"/>
  <c r="AB2370" i="30"/>
  <c r="AB2369" i="30"/>
  <c r="AB2368" i="30"/>
  <c r="AB2367" i="30"/>
  <c r="AB2366" i="30"/>
  <c r="AB2365" i="30"/>
  <c r="AB2364" i="30"/>
  <c r="AB2363" i="30"/>
  <c r="AB2362" i="30"/>
  <c r="AB2361" i="30"/>
  <c r="AB2360" i="30"/>
  <c r="AB2359" i="30"/>
  <c r="AB2358" i="30"/>
  <c r="AB2357" i="30"/>
  <c r="AB2356" i="30"/>
  <c r="AB2355" i="30"/>
  <c r="AB2354" i="30"/>
  <c r="AB2353" i="30"/>
  <c r="AB2352" i="30"/>
  <c r="AB2351" i="30"/>
  <c r="AB2350" i="30"/>
  <c r="AB2349" i="30"/>
  <c r="AB2348" i="30"/>
  <c r="AB2347" i="30"/>
  <c r="AB2346" i="30"/>
  <c r="AB2345" i="30"/>
  <c r="AB2344" i="30"/>
  <c r="AB2343" i="30"/>
  <c r="AB2342" i="30"/>
  <c r="AB2341" i="30"/>
  <c r="AB2340" i="30"/>
  <c r="AB2339" i="30"/>
  <c r="AB2338" i="30"/>
  <c r="AB2337" i="30"/>
  <c r="AB2336" i="30"/>
  <c r="AB2335" i="30"/>
  <c r="AB2334" i="30"/>
  <c r="AB2333" i="30"/>
  <c r="AB2332" i="30"/>
  <c r="AB2331" i="30"/>
  <c r="AB2330" i="30"/>
  <c r="AB2329" i="30"/>
  <c r="AB2328" i="30"/>
  <c r="AB2327" i="30"/>
  <c r="AB2326" i="30"/>
  <c r="AB2325" i="30"/>
  <c r="AB2324" i="30"/>
  <c r="AB2323" i="30"/>
  <c r="AB2322" i="30"/>
  <c r="AB2321" i="30"/>
  <c r="AB2320" i="30"/>
  <c r="AB2319" i="30"/>
  <c r="AB2318" i="30"/>
  <c r="AB2317" i="30"/>
  <c r="AB2316" i="30"/>
  <c r="AB2315" i="30"/>
  <c r="AB2314" i="30"/>
  <c r="AB2313" i="30"/>
  <c r="AB2312" i="30"/>
  <c r="AB2311" i="30"/>
  <c r="AB2310" i="30"/>
  <c r="AB2309" i="30"/>
  <c r="AB2308" i="30"/>
  <c r="AB2307" i="30"/>
  <c r="AB2306" i="30"/>
  <c r="AB2305" i="30"/>
  <c r="AB2304" i="30"/>
  <c r="AB2303" i="30"/>
  <c r="AB2302" i="30"/>
  <c r="AB2301" i="30"/>
  <c r="AB2300" i="30"/>
  <c r="AB2299" i="30"/>
  <c r="AB2298" i="30"/>
  <c r="AB2297" i="30"/>
  <c r="AB2296" i="30"/>
  <c r="AB2295" i="30"/>
  <c r="AB2294" i="30"/>
  <c r="AB2293" i="30"/>
  <c r="AB2292" i="30"/>
  <c r="AB2291" i="30"/>
  <c r="AB2290" i="30"/>
  <c r="AB2289" i="30"/>
  <c r="AB2288" i="30"/>
  <c r="AB2287" i="30"/>
  <c r="AB2286" i="30"/>
  <c r="AB2285" i="30"/>
  <c r="AB2284" i="30"/>
  <c r="AB2283" i="30"/>
  <c r="AB2282" i="30"/>
  <c r="AB2281" i="30"/>
  <c r="AB2280" i="30"/>
  <c r="AB2279" i="30"/>
  <c r="AB2278" i="30"/>
  <c r="AB2277" i="30"/>
  <c r="AB2276" i="30"/>
  <c r="AB2275" i="30"/>
  <c r="AB2274" i="30"/>
  <c r="AB2273" i="30"/>
  <c r="AB2272" i="30"/>
  <c r="AB2271" i="30"/>
  <c r="AB2270" i="30"/>
  <c r="AB2269" i="30"/>
  <c r="AB2268" i="30"/>
  <c r="AB2267" i="30"/>
  <c r="AB2266" i="30"/>
  <c r="AB2265" i="30"/>
  <c r="AB2264" i="30"/>
  <c r="AB2263" i="30"/>
  <c r="AB2262" i="30"/>
  <c r="AB2261" i="30"/>
  <c r="AB2260" i="30"/>
  <c r="AB2259" i="30"/>
  <c r="AB2258" i="30"/>
  <c r="AB2257" i="30"/>
  <c r="AB2256" i="30"/>
  <c r="AB2255" i="30"/>
  <c r="AB2254" i="30"/>
  <c r="AB2253" i="30"/>
  <c r="AB2252" i="30"/>
  <c r="AB2251" i="30"/>
  <c r="AB2250" i="30"/>
  <c r="AB2249" i="30"/>
  <c r="AB2248" i="30"/>
  <c r="AB2247" i="30"/>
  <c r="AB2246" i="30"/>
  <c r="AB2245" i="30"/>
  <c r="AB2244" i="30"/>
  <c r="AB2243" i="30"/>
  <c r="AB2242" i="30"/>
  <c r="AB2241" i="30"/>
  <c r="AB2240" i="30"/>
  <c r="AB2239" i="30"/>
  <c r="AB2238" i="30"/>
  <c r="AB2237" i="30"/>
  <c r="AB2236" i="30"/>
  <c r="AB2235" i="30"/>
  <c r="AB2234" i="30"/>
  <c r="AB2233" i="30"/>
  <c r="AB2232" i="30"/>
  <c r="AB2231" i="30"/>
  <c r="AB2230" i="30"/>
  <c r="AB2229" i="30"/>
  <c r="AB2228" i="30"/>
  <c r="AB2227" i="30"/>
  <c r="AB2226" i="30"/>
  <c r="AB2225" i="30"/>
  <c r="AB2224" i="30"/>
  <c r="AB2223" i="30"/>
  <c r="AB2222" i="30"/>
  <c r="AB2221" i="30"/>
  <c r="AB2220" i="30"/>
  <c r="AB2219" i="30"/>
  <c r="AB2218" i="30"/>
  <c r="AB2217" i="30"/>
  <c r="AB2216" i="30"/>
  <c r="AB2215" i="30"/>
  <c r="AB2214" i="30"/>
  <c r="AB2213" i="30"/>
  <c r="AB2212" i="30"/>
  <c r="AB2211" i="30"/>
  <c r="AB2210" i="30"/>
  <c r="AB2209" i="30"/>
  <c r="AB2208" i="30"/>
  <c r="AB2207" i="30"/>
  <c r="AB2206" i="30"/>
  <c r="AB2205" i="30"/>
  <c r="AB2204" i="30"/>
  <c r="AB2203" i="30"/>
  <c r="AB2202" i="30"/>
  <c r="AB2201" i="30"/>
  <c r="AB2200" i="30"/>
  <c r="AB2199" i="30"/>
  <c r="AB2198" i="30"/>
  <c r="AB2197" i="30"/>
  <c r="AB2196" i="30"/>
  <c r="AB2195" i="30"/>
  <c r="AB2194" i="30"/>
  <c r="AB2193" i="30"/>
  <c r="AB2192" i="30"/>
  <c r="AB2191" i="30"/>
  <c r="AB2190" i="30"/>
  <c r="AB2189" i="30"/>
  <c r="AB2188" i="30"/>
  <c r="AB2187" i="30"/>
  <c r="AB2186" i="30"/>
  <c r="AB2185" i="30"/>
  <c r="AB2184" i="30"/>
  <c r="AB2183" i="30"/>
  <c r="AB2182" i="30"/>
  <c r="AB2181" i="30"/>
  <c r="AB2180" i="30"/>
  <c r="AB2179" i="30"/>
  <c r="AB2178" i="30"/>
  <c r="AB2177" i="30"/>
  <c r="AB2176" i="30"/>
  <c r="AB2175" i="30"/>
  <c r="AB2174" i="30"/>
  <c r="AB2173" i="30"/>
  <c r="AB2172" i="30"/>
  <c r="AB2171" i="30"/>
  <c r="AB2170" i="30"/>
  <c r="AB2169" i="30"/>
  <c r="AB2168" i="30"/>
  <c r="AB2167" i="30"/>
  <c r="AB2166" i="30"/>
  <c r="AB2165" i="30"/>
  <c r="AB2164" i="30"/>
  <c r="AB2163" i="30"/>
  <c r="AB2162" i="30"/>
  <c r="AB2161" i="30"/>
  <c r="AB2160" i="30"/>
  <c r="AB2159" i="30"/>
  <c r="AB2158" i="30"/>
  <c r="AB2157" i="30"/>
  <c r="AB2156" i="30"/>
  <c r="AB2155" i="30"/>
  <c r="AB2154" i="30"/>
  <c r="AB2153" i="30"/>
  <c r="AB2152" i="30"/>
  <c r="AB2151" i="30"/>
  <c r="AB2150" i="30"/>
  <c r="AB2149" i="30"/>
  <c r="AB2148" i="30"/>
  <c r="AB2147" i="30"/>
  <c r="AB2146" i="30"/>
  <c r="AB2145" i="30"/>
  <c r="AB2144" i="30"/>
  <c r="AB2143" i="30"/>
  <c r="AB2142" i="30"/>
  <c r="AB2141" i="30"/>
  <c r="AB2140" i="30"/>
  <c r="AB2139" i="30"/>
  <c r="AB2138" i="30"/>
  <c r="AB2137" i="30"/>
  <c r="AB2136" i="30"/>
  <c r="AB2135" i="30"/>
  <c r="AB2134" i="30"/>
  <c r="AB2133" i="30"/>
  <c r="AB2132" i="30"/>
  <c r="AB2131" i="30"/>
  <c r="AB2130" i="30"/>
  <c r="AB2129" i="30"/>
  <c r="AB2128" i="30"/>
  <c r="AB2127" i="30"/>
  <c r="AB2126" i="30"/>
  <c r="AB2125" i="30"/>
  <c r="AB2124" i="30"/>
  <c r="AB2123" i="30"/>
  <c r="AB2122" i="30"/>
  <c r="AB2121" i="30"/>
  <c r="AB2120" i="30"/>
  <c r="AB2119" i="30"/>
  <c r="AB2118" i="30"/>
  <c r="AB2117" i="30"/>
  <c r="AB2116" i="30"/>
  <c r="AB2115" i="30"/>
  <c r="AB2114" i="30"/>
  <c r="AB2113" i="30"/>
  <c r="AB2112" i="30"/>
  <c r="AB2111" i="30"/>
  <c r="AB2110" i="30"/>
  <c r="AB2109" i="30"/>
  <c r="AB2108" i="30"/>
  <c r="AB2107" i="30"/>
  <c r="AB2106" i="30"/>
  <c r="AB2105" i="30"/>
  <c r="AB2104" i="30"/>
  <c r="AB2103" i="30"/>
  <c r="AB2102" i="30"/>
  <c r="AB2101" i="30"/>
  <c r="AB2100" i="30"/>
  <c r="AB2099" i="30"/>
  <c r="AB2098" i="30"/>
  <c r="AB2097" i="30"/>
  <c r="AB2096" i="30"/>
  <c r="AB2095" i="30"/>
  <c r="AB2094" i="30"/>
  <c r="AB2093" i="30"/>
  <c r="AB2092" i="30"/>
  <c r="AB2091" i="30"/>
  <c r="AB2090" i="30"/>
  <c r="AB2089" i="30"/>
  <c r="AB2088" i="30"/>
  <c r="AB2087" i="30"/>
  <c r="AB2086" i="30"/>
  <c r="AB2085" i="30"/>
  <c r="AB2084" i="30"/>
  <c r="AB2083" i="30"/>
  <c r="AB2082" i="30"/>
  <c r="AB2081" i="30"/>
  <c r="AB2080" i="30"/>
  <c r="AB2079" i="30"/>
  <c r="AB2078" i="30"/>
  <c r="AB2077" i="30"/>
  <c r="AB2076" i="30"/>
  <c r="AB2075" i="30"/>
  <c r="AB2074" i="30"/>
  <c r="AB2073" i="30"/>
  <c r="AB2072" i="30"/>
  <c r="AB2071" i="30"/>
  <c r="AB2070" i="30"/>
  <c r="AB2069" i="30"/>
  <c r="AB2068" i="30"/>
  <c r="AB2067" i="30"/>
  <c r="AB2066" i="30"/>
  <c r="AB2065" i="30"/>
  <c r="AB2064" i="30"/>
  <c r="AB2063" i="30"/>
  <c r="AB2062" i="30"/>
  <c r="AB2061" i="30"/>
  <c r="AB2060" i="30"/>
  <c r="AB2059" i="30"/>
  <c r="AB2058" i="30"/>
  <c r="AB2057" i="30"/>
  <c r="AB2056" i="30"/>
  <c r="AB2055" i="30"/>
  <c r="AB2054" i="30"/>
  <c r="AB2053" i="30"/>
  <c r="AB2052" i="30"/>
  <c r="AB2051" i="30"/>
  <c r="AB2050" i="30"/>
  <c r="AB2049" i="30"/>
  <c r="AB2048" i="30"/>
  <c r="AB2047" i="30"/>
  <c r="AB2046" i="30"/>
  <c r="AB2045" i="30"/>
  <c r="AB2044" i="30"/>
  <c r="AB2043" i="30"/>
  <c r="AB2042" i="30"/>
  <c r="AB2041" i="30"/>
  <c r="AB2040" i="30"/>
  <c r="AB2039" i="30"/>
  <c r="AB2038" i="30"/>
  <c r="AB2037" i="30"/>
  <c r="AB2036" i="30"/>
  <c r="AB2035" i="30"/>
  <c r="AB2034" i="30"/>
  <c r="AB2033" i="30"/>
  <c r="AB2032" i="30"/>
  <c r="AB2031" i="30"/>
  <c r="AB2030" i="30"/>
  <c r="AB2029" i="30"/>
  <c r="AB2028" i="30"/>
  <c r="AB2027" i="30"/>
  <c r="AB2026" i="30"/>
  <c r="AB2025" i="30"/>
  <c r="AB2024" i="30"/>
  <c r="AB2023" i="30"/>
  <c r="AB2022" i="30"/>
  <c r="AB2021" i="30"/>
  <c r="AB2020" i="30"/>
  <c r="AB2019" i="30"/>
  <c r="AB2018" i="30"/>
  <c r="AB2017" i="30"/>
  <c r="AB2016" i="30"/>
  <c r="AB2015" i="30"/>
  <c r="AB2014" i="30"/>
  <c r="AB2013" i="30"/>
  <c r="AB2012" i="30"/>
  <c r="AB2011" i="30"/>
  <c r="AB2010" i="30"/>
  <c r="AB2009" i="30"/>
  <c r="AB2008" i="30"/>
  <c r="AB2007" i="30"/>
  <c r="AB2006" i="30"/>
  <c r="AB2005" i="30"/>
  <c r="AB2004" i="30"/>
  <c r="AB2003" i="30"/>
  <c r="AB2002" i="30"/>
  <c r="AB2001" i="30"/>
  <c r="AB2000" i="30"/>
  <c r="AB1999" i="30"/>
  <c r="AB1998" i="30"/>
  <c r="AB1997" i="30"/>
  <c r="AB1996" i="30"/>
  <c r="AB1995" i="30"/>
  <c r="AB1994" i="30"/>
  <c r="AB1993" i="30"/>
  <c r="AB1992" i="30"/>
  <c r="AB1991" i="30"/>
  <c r="AB1990" i="30"/>
  <c r="AB1989" i="30"/>
  <c r="AB1988" i="30"/>
  <c r="AB1987" i="30"/>
  <c r="AB1986" i="30"/>
  <c r="AB1985" i="30"/>
  <c r="AB1984" i="30"/>
  <c r="AB1983" i="30"/>
  <c r="AB1982" i="30"/>
  <c r="AB1981" i="30"/>
  <c r="AB1980" i="30"/>
  <c r="AB1979" i="30"/>
  <c r="AB1978" i="30"/>
  <c r="AB1977" i="30"/>
  <c r="AB1976" i="30"/>
  <c r="AB1975" i="30"/>
  <c r="AB1974" i="30"/>
  <c r="AB1973" i="30"/>
  <c r="AB1972" i="30"/>
  <c r="AB1971" i="30"/>
  <c r="AB1970" i="30"/>
  <c r="AB1969" i="30"/>
  <c r="AB1968" i="30"/>
  <c r="AB1967" i="30"/>
  <c r="AB1966" i="30"/>
  <c r="AB1965" i="30"/>
  <c r="AB1964" i="30"/>
  <c r="AB1963" i="30"/>
  <c r="AB1962" i="30"/>
  <c r="AB1961" i="30"/>
  <c r="AB1960" i="30"/>
  <c r="AB1959" i="30"/>
  <c r="AB1958" i="30"/>
  <c r="AB1957" i="30"/>
  <c r="AB1956" i="30"/>
  <c r="AB1955" i="30"/>
  <c r="AB1954" i="30"/>
  <c r="AB1953" i="30"/>
  <c r="AB1952" i="30"/>
  <c r="AB1951" i="30"/>
  <c r="AB1950" i="30"/>
  <c r="AB1949" i="30"/>
  <c r="AB1948" i="30"/>
  <c r="AB1947" i="30"/>
  <c r="AB1946" i="30"/>
  <c r="AB1945" i="30"/>
  <c r="AB1944" i="30"/>
  <c r="AB1943" i="30"/>
  <c r="AB1942" i="30"/>
  <c r="AB1941" i="30"/>
  <c r="AB1940" i="30"/>
  <c r="AB1939" i="30"/>
  <c r="AB1938" i="30"/>
  <c r="AB1937" i="30"/>
  <c r="AB1936" i="30"/>
  <c r="AB1935" i="30"/>
  <c r="AB1934" i="30"/>
  <c r="AB1933" i="30"/>
  <c r="AB1932" i="30"/>
  <c r="AB1931" i="30"/>
  <c r="AB1930" i="30"/>
  <c r="AB1929" i="30"/>
  <c r="AB1928" i="30"/>
  <c r="AB1927" i="30"/>
  <c r="AB1926" i="30"/>
  <c r="AB1925" i="30"/>
  <c r="AB1924" i="30"/>
  <c r="AB1923" i="30"/>
  <c r="AB1922" i="30"/>
  <c r="AB1921" i="30"/>
  <c r="AB1920" i="30"/>
  <c r="AB1919" i="30"/>
  <c r="AB1918" i="30"/>
  <c r="AB1917" i="30"/>
  <c r="AB1916" i="30"/>
  <c r="AB1915" i="30"/>
  <c r="AB1914" i="30"/>
  <c r="AB1913" i="30"/>
  <c r="AB1912" i="30"/>
  <c r="AB1911" i="30"/>
  <c r="AB1910" i="30"/>
  <c r="AB1909" i="30"/>
  <c r="AB1908" i="30"/>
  <c r="AB1907" i="30"/>
  <c r="AB1906" i="30"/>
  <c r="AB1905" i="30"/>
  <c r="AB1904" i="30"/>
  <c r="AB1903" i="30"/>
  <c r="AB1902" i="30"/>
  <c r="AB1901" i="30"/>
  <c r="AB1900" i="30"/>
  <c r="AB1899" i="30"/>
  <c r="AB1898" i="30"/>
  <c r="AB1897" i="30"/>
  <c r="AB1896" i="30"/>
  <c r="AB1895" i="30"/>
  <c r="AB1894" i="30"/>
  <c r="AB1893" i="30"/>
  <c r="AB1892" i="30"/>
  <c r="AB1891" i="30"/>
  <c r="AB1890" i="30"/>
  <c r="AB1889" i="30"/>
  <c r="AB1888" i="30"/>
  <c r="AB1887" i="30"/>
  <c r="AB1886" i="30"/>
  <c r="AB1885" i="30"/>
  <c r="AB1884" i="30"/>
  <c r="AB1883" i="30"/>
  <c r="AB1882" i="30"/>
  <c r="AB1881" i="30"/>
  <c r="AB1880" i="30"/>
  <c r="AB1879" i="30"/>
  <c r="AB1878" i="30"/>
  <c r="AB1877" i="30"/>
  <c r="AB1876" i="30"/>
  <c r="AB1875" i="30"/>
  <c r="AB1874" i="30"/>
  <c r="AB1873" i="30"/>
  <c r="AB1872" i="30"/>
  <c r="AB1871" i="30"/>
  <c r="AB1870" i="30"/>
  <c r="AB1869" i="30"/>
  <c r="AB1868" i="30"/>
  <c r="AB1867" i="30"/>
  <c r="AB1866" i="30"/>
  <c r="AB1865" i="30"/>
  <c r="AB1864" i="30"/>
  <c r="AB1863" i="30"/>
  <c r="AB1862" i="30"/>
  <c r="AB1861" i="30"/>
  <c r="AB1860" i="30"/>
  <c r="AB1859" i="30"/>
  <c r="AB1858" i="30"/>
  <c r="AB1857" i="30"/>
  <c r="AB1856" i="30"/>
  <c r="AB1855" i="30"/>
  <c r="AB1854" i="30"/>
  <c r="AB1853" i="30"/>
  <c r="AB1852" i="30"/>
  <c r="AB1851" i="30"/>
  <c r="AB1850" i="30"/>
  <c r="AB1849" i="30"/>
  <c r="AB1848" i="30"/>
  <c r="AB1847" i="30"/>
  <c r="AB1846" i="30"/>
  <c r="AB1845" i="30"/>
  <c r="AB1844" i="30"/>
  <c r="AB1843" i="30"/>
  <c r="AB1842" i="30"/>
  <c r="AB1841" i="30"/>
  <c r="AB1840" i="30"/>
  <c r="AB1839" i="30"/>
  <c r="AB1838" i="30"/>
  <c r="AB1837" i="30"/>
  <c r="AB1836" i="30"/>
  <c r="AB1835" i="30"/>
  <c r="AB1834" i="30"/>
  <c r="AB1833" i="30"/>
  <c r="AB1832" i="30"/>
  <c r="AB1831" i="30"/>
  <c r="AB1830" i="30"/>
  <c r="AB1829" i="30"/>
  <c r="AB1828" i="30"/>
  <c r="AB1827" i="30"/>
  <c r="AB1826" i="30"/>
  <c r="AB1825" i="30"/>
  <c r="AB1824" i="30"/>
  <c r="AB1823" i="30"/>
  <c r="AB1822" i="30"/>
  <c r="AB1821" i="30"/>
  <c r="AB1820" i="30"/>
  <c r="AB1819" i="30"/>
  <c r="AB1818" i="30"/>
  <c r="AB1817" i="30"/>
  <c r="AB1816" i="30"/>
  <c r="AB1815" i="30"/>
  <c r="AB1814" i="30"/>
  <c r="AB1813" i="30"/>
  <c r="AB1812" i="30"/>
  <c r="AB1811" i="30"/>
  <c r="AB1810" i="30"/>
  <c r="AB1809" i="30"/>
  <c r="AB1808" i="30"/>
  <c r="AB1807" i="30"/>
  <c r="AB1806" i="30"/>
  <c r="AB1805" i="30"/>
  <c r="AB1804" i="30"/>
  <c r="AB1803" i="30"/>
  <c r="AB1802" i="30"/>
  <c r="AB1801" i="30"/>
  <c r="AB1800" i="30"/>
  <c r="AB1799" i="30"/>
  <c r="AB1798" i="30"/>
  <c r="AB1797" i="30"/>
  <c r="AB1796" i="30"/>
  <c r="AB1795" i="30"/>
  <c r="AB1794" i="30"/>
  <c r="AB1793" i="30"/>
  <c r="AB1792" i="30"/>
  <c r="AB1791" i="30"/>
  <c r="AB1790" i="30"/>
  <c r="AB1789" i="30"/>
  <c r="AB1788" i="30"/>
  <c r="AB1787" i="30"/>
  <c r="AB1786" i="30"/>
  <c r="AB1785" i="30"/>
  <c r="AB1784" i="30"/>
  <c r="AB1783" i="30"/>
  <c r="AB1782" i="30"/>
  <c r="AB1781" i="30"/>
  <c r="AB1780" i="30"/>
  <c r="AB1779" i="30"/>
  <c r="AB1778" i="30"/>
  <c r="AB1777" i="30"/>
  <c r="AB1776" i="30"/>
  <c r="AB1775" i="30"/>
  <c r="AB1774" i="30"/>
  <c r="AB1773" i="30"/>
  <c r="AB1772" i="30"/>
  <c r="AB1771" i="30"/>
  <c r="AB1770" i="30"/>
  <c r="AB1769" i="30"/>
  <c r="AB1768" i="30"/>
  <c r="AB1767" i="30"/>
  <c r="AB1766" i="30"/>
  <c r="AB1765" i="30"/>
  <c r="AB1764" i="30"/>
  <c r="AB1763" i="30"/>
  <c r="AB1762" i="30"/>
  <c r="AB1761" i="30"/>
  <c r="AB1760" i="30"/>
  <c r="AB1759" i="30"/>
  <c r="AB1758" i="30"/>
  <c r="AB1757" i="30"/>
  <c r="AB1756" i="30"/>
  <c r="AB1755" i="30"/>
  <c r="AB1754" i="30"/>
  <c r="AB1753" i="30"/>
  <c r="AB1752" i="30"/>
  <c r="AB1751" i="30"/>
  <c r="AB1750" i="30"/>
  <c r="AB1749" i="30"/>
  <c r="AB1748" i="30"/>
  <c r="AB1747" i="30"/>
  <c r="AB1746" i="30"/>
  <c r="AB1745" i="30"/>
  <c r="AB1744" i="30"/>
  <c r="AB1743" i="30"/>
  <c r="AB1742" i="30"/>
  <c r="AB1741" i="30"/>
  <c r="AB1740" i="30"/>
  <c r="AB1739" i="30"/>
  <c r="AB1738" i="30"/>
  <c r="AB1737" i="30"/>
  <c r="AB1736" i="30"/>
  <c r="AB1735" i="30"/>
  <c r="AB1734" i="30"/>
  <c r="AB1733" i="30"/>
  <c r="AB1732" i="30"/>
  <c r="AB1731" i="30"/>
  <c r="AB1730" i="30"/>
  <c r="AB1729" i="30"/>
  <c r="AB1728" i="30"/>
  <c r="AB1727" i="30"/>
  <c r="AB1726" i="30"/>
  <c r="AB1725" i="30"/>
  <c r="AB1724" i="30"/>
  <c r="AB1723" i="30"/>
  <c r="AB1722" i="30"/>
  <c r="AB1721" i="30"/>
  <c r="AB1720" i="30"/>
  <c r="AB1719" i="30"/>
  <c r="AB1718" i="30"/>
  <c r="AB1717" i="30"/>
  <c r="AB1716" i="30"/>
  <c r="AB1715" i="30"/>
  <c r="AB1714" i="30"/>
  <c r="AB1713" i="30"/>
  <c r="AB1712" i="30"/>
  <c r="AB1711" i="30"/>
  <c r="AB1710" i="30"/>
  <c r="AB1709" i="30"/>
  <c r="AB1708" i="30"/>
  <c r="AB1707" i="30"/>
  <c r="AB1706" i="30"/>
  <c r="AB1705" i="30"/>
  <c r="AB1704" i="30"/>
  <c r="AB1703" i="30"/>
  <c r="AB1702" i="30"/>
  <c r="AB1701" i="30"/>
  <c r="AB1700" i="30"/>
  <c r="AB1699" i="30"/>
  <c r="AB1698" i="30"/>
  <c r="AB1697" i="30"/>
  <c r="AB1696" i="30"/>
  <c r="AB1695" i="30"/>
  <c r="AB1694" i="30"/>
  <c r="AB1693" i="30"/>
  <c r="AB1692" i="30"/>
  <c r="AB1691" i="30"/>
  <c r="AB1690" i="30"/>
  <c r="AB1689" i="30"/>
  <c r="AB1688" i="30"/>
  <c r="AB1687" i="30"/>
  <c r="AB1686" i="30"/>
  <c r="AB1685" i="30"/>
  <c r="AB1684" i="30"/>
  <c r="AB1683" i="30"/>
  <c r="AB1682" i="30"/>
  <c r="AB1681" i="30"/>
  <c r="AB1680" i="30"/>
  <c r="AB1679" i="30"/>
  <c r="AB1678" i="30"/>
  <c r="AB1677" i="30"/>
  <c r="AB1676" i="30"/>
  <c r="AB1675" i="30"/>
  <c r="AB1674" i="30"/>
  <c r="AB1673" i="30"/>
  <c r="AB1672" i="30"/>
  <c r="AB1671" i="30"/>
  <c r="AB1670" i="30"/>
  <c r="AB1669" i="30"/>
  <c r="AB1668" i="30"/>
  <c r="AB1667" i="30"/>
  <c r="AB1666" i="30"/>
  <c r="AB1665" i="30"/>
  <c r="AB1664" i="30"/>
  <c r="AB1663" i="30"/>
  <c r="AB1662" i="30"/>
  <c r="AB1661" i="30"/>
  <c r="AB1660" i="30"/>
  <c r="AB1659" i="30"/>
  <c r="AB1658" i="30"/>
  <c r="AB1657" i="30"/>
  <c r="AB1656" i="30"/>
  <c r="AB1655" i="30"/>
  <c r="AB1654" i="30"/>
  <c r="AB1653" i="30"/>
  <c r="AB1652" i="30"/>
  <c r="AB1651" i="30"/>
  <c r="AB1650" i="30"/>
  <c r="AB1649" i="30"/>
  <c r="AB1648" i="30"/>
  <c r="AB1647" i="30"/>
  <c r="AB1646" i="30"/>
  <c r="AB1645" i="30"/>
  <c r="AB1644" i="30"/>
  <c r="AB1643" i="30"/>
  <c r="AB1642" i="30"/>
  <c r="AB1641" i="30"/>
  <c r="AB1640" i="30"/>
  <c r="AB1639" i="30"/>
  <c r="AB1638" i="30"/>
  <c r="AB1637" i="30"/>
  <c r="AB1636" i="30"/>
  <c r="AB1635" i="30"/>
  <c r="AB1634" i="30"/>
  <c r="AB1633" i="30"/>
  <c r="AB1632" i="30"/>
  <c r="AB1631" i="30"/>
  <c r="AB1630" i="30"/>
  <c r="AB1629" i="30"/>
  <c r="AB1628" i="30"/>
  <c r="AB1627" i="30"/>
  <c r="AB1626" i="30"/>
  <c r="AB1625" i="30"/>
  <c r="AB1624" i="30"/>
  <c r="AB1623" i="30"/>
  <c r="AB1622" i="30"/>
  <c r="AB1621" i="30"/>
  <c r="AB1620" i="30"/>
  <c r="AB1619" i="30"/>
  <c r="AB1618" i="30"/>
  <c r="AB1617" i="30"/>
  <c r="AB1616" i="30"/>
  <c r="AB1615" i="30"/>
  <c r="AB1614" i="30"/>
  <c r="AB1613" i="30"/>
  <c r="AB1612" i="30"/>
  <c r="AB1611" i="30"/>
  <c r="AB1610" i="30"/>
  <c r="AB1609" i="30"/>
  <c r="AB1608" i="30"/>
  <c r="AB1607" i="30"/>
  <c r="AB1606" i="30"/>
  <c r="AB1605" i="30"/>
  <c r="AB1604" i="30"/>
  <c r="AB1603" i="30"/>
  <c r="AB1602" i="30"/>
  <c r="AB1601" i="30"/>
  <c r="AB1600" i="30"/>
  <c r="AB1599" i="30"/>
  <c r="AB1598" i="30"/>
  <c r="AB1597" i="30"/>
  <c r="AB1596" i="30"/>
  <c r="AB1595" i="30"/>
  <c r="AB1594" i="30"/>
  <c r="AB1593" i="30"/>
  <c r="AB1592" i="30"/>
  <c r="AB1591" i="30"/>
  <c r="AB1590" i="30"/>
  <c r="AB1589" i="30"/>
  <c r="AB1588" i="30"/>
  <c r="AB1587" i="30"/>
  <c r="AB1586" i="30"/>
  <c r="AB1585" i="30"/>
  <c r="AB1584" i="30"/>
  <c r="AB1583" i="30"/>
  <c r="AB1582" i="30"/>
  <c r="AB1581" i="30"/>
  <c r="AB1580" i="30"/>
  <c r="AB1579" i="30"/>
  <c r="AB1578" i="30"/>
  <c r="AB1577" i="30"/>
  <c r="AB1576" i="30"/>
  <c r="AB1575" i="30"/>
  <c r="AB1574" i="30"/>
  <c r="AB1573" i="30"/>
  <c r="AB1572" i="30"/>
  <c r="AB1571" i="30"/>
  <c r="AB1570" i="30"/>
  <c r="AB1569" i="30"/>
  <c r="AB1568" i="30"/>
  <c r="AB1567" i="30"/>
  <c r="AB1566" i="30"/>
  <c r="AB1565" i="30"/>
  <c r="AB1564" i="30"/>
  <c r="AB1563" i="30"/>
  <c r="AB1562" i="30"/>
  <c r="AB1561" i="30"/>
  <c r="AB1560" i="30"/>
  <c r="AB1559" i="30"/>
  <c r="AB1558" i="30"/>
  <c r="AB1557" i="30"/>
  <c r="AB1556" i="30"/>
  <c r="AB1555" i="30"/>
  <c r="AB1554" i="30"/>
  <c r="AB1553" i="30"/>
  <c r="AB1552" i="30"/>
  <c r="AB1551" i="30"/>
  <c r="AB1550" i="30"/>
  <c r="AB1549" i="30"/>
  <c r="AB1548" i="30"/>
  <c r="AB1547" i="30"/>
  <c r="AB1546" i="30"/>
  <c r="AB1545" i="30"/>
  <c r="AB1544" i="30"/>
  <c r="AB1543" i="30"/>
  <c r="AB1542" i="30"/>
  <c r="AB1541" i="30"/>
  <c r="AB1540" i="30"/>
  <c r="AB1539" i="30"/>
  <c r="AB1538" i="30"/>
  <c r="AB1537" i="30"/>
  <c r="AB1536" i="30"/>
  <c r="AB1535" i="30"/>
  <c r="AB1534" i="30"/>
  <c r="AB1533" i="30"/>
  <c r="AB1532" i="30"/>
  <c r="AB1531" i="30"/>
  <c r="AB1530" i="30"/>
  <c r="AB1529" i="30"/>
  <c r="AB1528" i="30"/>
  <c r="AB1527" i="30"/>
  <c r="AB1526" i="30"/>
  <c r="AB1525" i="30"/>
  <c r="AB1524" i="30"/>
  <c r="AB1523" i="30"/>
  <c r="AB1522" i="30"/>
  <c r="AB1521" i="30"/>
  <c r="AB1520" i="30"/>
  <c r="AB1519" i="30"/>
  <c r="AB1518" i="30"/>
  <c r="AB1517" i="30"/>
  <c r="AB1516" i="30"/>
  <c r="AB1515" i="30"/>
  <c r="AB1514" i="30"/>
  <c r="AB1513" i="30"/>
  <c r="AB1512" i="30"/>
  <c r="AB1511" i="30"/>
  <c r="AB1510" i="30"/>
  <c r="AB1509" i="30"/>
  <c r="AB1508" i="30"/>
  <c r="AB1507" i="30"/>
  <c r="AB1506" i="30"/>
  <c r="AB1505" i="30"/>
  <c r="AB1504" i="30"/>
  <c r="AB1503" i="30"/>
  <c r="AB1502" i="30"/>
  <c r="AB1501" i="30"/>
  <c r="AB1500" i="30"/>
  <c r="AB1499" i="30"/>
  <c r="AB1498" i="30"/>
  <c r="AB1497" i="30"/>
  <c r="AB1496" i="30"/>
  <c r="AB1495" i="30"/>
  <c r="AB1494" i="30"/>
  <c r="AB1493" i="30"/>
  <c r="AB1492" i="30"/>
  <c r="AB1491" i="30"/>
  <c r="AB1490" i="30"/>
  <c r="AB1489" i="30"/>
  <c r="AB1488" i="30"/>
  <c r="AB1487" i="30"/>
  <c r="AB1486" i="30"/>
  <c r="AB1485" i="30"/>
  <c r="AB1484" i="30"/>
  <c r="AB1483" i="30"/>
  <c r="AB1482" i="30"/>
  <c r="AB1481" i="30"/>
  <c r="AB1480" i="30"/>
  <c r="AB1479" i="30"/>
  <c r="AB1478" i="30"/>
  <c r="AB1477" i="30"/>
  <c r="AB1476" i="30"/>
  <c r="AB1475" i="30"/>
  <c r="AB1474" i="30"/>
  <c r="AB1473" i="30"/>
  <c r="AB1472" i="30"/>
  <c r="AB1471" i="30"/>
  <c r="AB1470" i="30"/>
  <c r="AB1469" i="30"/>
  <c r="AB1468" i="30"/>
  <c r="AB1467" i="30"/>
  <c r="AB1466" i="30"/>
  <c r="AB1465" i="30"/>
  <c r="AB1464" i="30"/>
  <c r="AB1463" i="30"/>
  <c r="AB1462" i="30"/>
  <c r="AB1461" i="30"/>
  <c r="AB1460" i="30"/>
  <c r="AB1459" i="30"/>
  <c r="AB1458" i="30"/>
  <c r="AB1457" i="30"/>
  <c r="AB1456" i="30"/>
  <c r="AB1455" i="30"/>
  <c r="AB1454" i="30"/>
  <c r="AB1453" i="30"/>
  <c r="AB1452" i="30"/>
  <c r="AB1451" i="30"/>
  <c r="AB1450" i="30"/>
  <c r="AB1449" i="30"/>
  <c r="AB1448" i="30"/>
  <c r="AB1447" i="30"/>
  <c r="AB1446" i="30"/>
  <c r="AB1445" i="30"/>
  <c r="AB1444" i="30"/>
  <c r="AB1443" i="30"/>
  <c r="AB1442" i="30"/>
  <c r="AB1441" i="30"/>
  <c r="AB1440" i="30"/>
  <c r="AB1439" i="30"/>
  <c r="AB1438" i="30"/>
  <c r="AB1437" i="30"/>
  <c r="AB1436" i="30"/>
  <c r="AB1435" i="30"/>
  <c r="AB1434" i="30"/>
  <c r="AB1433" i="30"/>
  <c r="AB1432" i="30"/>
  <c r="AB1431" i="30"/>
  <c r="AB1430" i="30"/>
  <c r="AB1429" i="30"/>
  <c r="AB1428" i="30"/>
  <c r="AB1427" i="30"/>
  <c r="AB1426" i="30"/>
  <c r="AB1425" i="30"/>
  <c r="AB1424" i="30"/>
  <c r="AB1423" i="30"/>
  <c r="AB1422" i="30"/>
  <c r="AB1421" i="30"/>
  <c r="AB1420" i="30"/>
  <c r="AB1419" i="30"/>
  <c r="AB1418" i="30"/>
  <c r="AB1417" i="30"/>
  <c r="AB1416" i="30"/>
  <c r="AB1415" i="30"/>
  <c r="AB1414" i="30"/>
  <c r="AB1413" i="30"/>
  <c r="AB1412" i="30"/>
  <c r="AB1411" i="30"/>
  <c r="AB1410" i="30"/>
  <c r="AB1409" i="30"/>
  <c r="AB1408" i="30"/>
  <c r="AB1407" i="30"/>
  <c r="AB1406" i="30"/>
  <c r="AB1405" i="30"/>
  <c r="AB1404" i="30"/>
  <c r="AB1403" i="30"/>
  <c r="AB1402" i="30"/>
  <c r="AB1401" i="30"/>
  <c r="AB1400" i="30"/>
  <c r="AB1399" i="30"/>
  <c r="AB1398" i="30"/>
  <c r="AB1397" i="30"/>
  <c r="AB1396" i="30"/>
  <c r="AB1395" i="30"/>
  <c r="AB1394" i="30"/>
  <c r="AB1393" i="30"/>
  <c r="AB1392" i="30"/>
  <c r="AB1391" i="30"/>
  <c r="AB1390" i="30"/>
  <c r="AB1389" i="30"/>
  <c r="AB1388" i="30"/>
  <c r="AB1387" i="30"/>
  <c r="AB1386" i="30"/>
  <c r="AB1385" i="30"/>
  <c r="AB1384" i="30"/>
  <c r="AB1383" i="30"/>
  <c r="AB1382" i="30"/>
  <c r="AB1381" i="30"/>
  <c r="AB1380" i="30"/>
  <c r="AB1379" i="30"/>
  <c r="AB1378" i="30"/>
  <c r="AB1377" i="30"/>
  <c r="AB1376" i="30"/>
  <c r="AB1375" i="30"/>
  <c r="AB1374" i="30"/>
  <c r="AB1373" i="30"/>
  <c r="AB1372" i="30"/>
  <c r="AB1371" i="30"/>
  <c r="AB1370" i="30"/>
  <c r="AB1369" i="30"/>
  <c r="AB1368" i="30"/>
  <c r="AB1367" i="30"/>
  <c r="AB1366" i="30"/>
  <c r="AB1365" i="30"/>
  <c r="AB1364" i="30"/>
  <c r="AB1363" i="30"/>
  <c r="AB1362" i="30"/>
  <c r="AB1361" i="30"/>
  <c r="AB1360" i="30"/>
  <c r="AB1359" i="30"/>
  <c r="AB1358" i="30"/>
  <c r="AB1357" i="30"/>
  <c r="AB1356" i="30"/>
  <c r="AB1355" i="30"/>
  <c r="AB1354" i="30"/>
  <c r="AB1353" i="30"/>
  <c r="AB1352" i="30"/>
  <c r="AB1351" i="30"/>
  <c r="AB1350" i="30"/>
  <c r="AB1349" i="30"/>
  <c r="AB1348" i="30"/>
  <c r="AB1347" i="30"/>
  <c r="AB1346" i="30"/>
  <c r="AB1345" i="30"/>
  <c r="AB1344" i="30"/>
  <c r="AB1343" i="30"/>
  <c r="AB1342" i="30"/>
  <c r="AB1341" i="30"/>
  <c r="AB1340" i="30"/>
  <c r="AB1339" i="30"/>
  <c r="AB1338" i="30"/>
  <c r="AB1337" i="30"/>
  <c r="AB1336" i="30"/>
  <c r="AB1335" i="30"/>
  <c r="AB1334" i="30"/>
  <c r="AB1333" i="30"/>
  <c r="AB1332" i="30"/>
  <c r="AB1331" i="30"/>
  <c r="AB1330" i="30"/>
  <c r="AB1329" i="30"/>
  <c r="AB1328" i="30"/>
  <c r="AB1327" i="30"/>
  <c r="AB1326" i="30"/>
  <c r="AB1325" i="30"/>
  <c r="AB1324" i="30"/>
  <c r="AB1323" i="30"/>
  <c r="AB1322" i="30"/>
  <c r="AB1321" i="30"/>
  <c r="AB1320" i="30"/>
  <c r="AB1319" i="30"/>
  <c r="AB1318" i="30"/>
  <c r="AB1317" i="30"/>
  <c r="AB1316" i="30"/>
  <c r="AB1315" i="30"/>
  <c r="AB1314" i="30"/>
  <c r="AB1313" i="30"/>
  <c r="AB1312" i="30"/>
  <c r="AB1311" i="30"/>
  <c r="AB1310" i="30"/>
  <c r="AB1309" i="30"/>
  <c r="AB1308" i="30"/>
  <c r="AB1307" i="30"/>
  <c r="AB1306" i="30"/>
  <c r="AB1305" i="30"/>
  <c r="AB1304" i="30"/>
  <c r="AB1303" i="30"/>
  <c r="AB1302" i="30"/>
  <c r="AB1301" i="30"/>
  <c r="AB1300" i="30"/>
  <c r="AB1299" i="30"/>
  <c r="AB1298" i="30"/>
  <c r="AB1297" i="30"/>
  <c r="AB1296" i="30"/>
  <c r="AB1295" i="30"/>
  <c r="AB1294" i="30"/>
  <c r="AB1293" i="30"/>
  <c r="AB1292" i="30"/>
  <c r="AB1291" i="30"/>
  <c r="AB1290" i="30"/>
  <c r="AB1289" i="30"/>
  <c r="AB1288" i="30"/>
  <c r="AB1287" i="30"/>
  <c r="AB1286" i="30"/>
  <c r="AB1285" i="30"/>
  <c r="AB1284" i="30"/>
  <c r="AB1283" i="30"/>
  <c r="AB1282" i="30"/>
  <c r="AB1281" i="30"/>
  <c r="AB1280" i="30"/>
  <c r="AB1279" i="30"/>
  <c r="AB1278" i="30"/>
  <c r="AB1277" i="30"/>
  <c r="AB1276" i="30"/>
  <c r="AB1275" i="30"/>
  <c r="AB1274" i="30"/>
  <c r="AB1273" i="30"/>
  <c r="AB1272" i="30"/>
  <c r="AB1271" i="30"/>
  <c r="AB1270" i="30"/>
  <c r="AB1269" i="30"/>
  <c r="AB1268" i="30"/>
  <c r="AB1267" i="30"/>
  <c r="AB1266" i="30"/>
  <c r="AB1265" i="30"/>
  <c r="AB1264" i="30"/>
  <c r="AB1263" i="30"/>
  <c r="AB1262" i="30"/>
  <c r="AB1261" i="30"/>
  <c r="AB1260" i="30"/>
  <c r="AB1259" i="30"/>
  <c r="AB1258" i="30"/>
  <c r="AB1257" i="30"/>
  <c r="AB1256" i="30"/>
  <c r="AB1255" i="30"/>
  <c r="AB1254" i="30"/>
  <c r="AB1253" i="30"/>
  <c r="AB1252" i="30"/>
  <c r="AB1251" i="30"/>
  <c r="AB1250" i="30"/>
  <c r="AB1249" i="30"/>
  <c r="AB1248" i="30"/>
  <c r="AB1247" i="30"/>
  <c r="AB1246" i="30"/>
  <c r="AB1245" i="30"/>
  <c r="AB1244" i="30"/>
  <c r="AB1243" i="30"/>
  <c r="AB1242" i="30"/>
  <c r="AB1241" i="30"/>
  <c r="AB1240" i="30"/>
  <c r="AB1239" i="30"/>
  <c r="AB1238" i="30"/>
  <c r="AB1237" i="30"/>
  <c r="AB1236" i="30"/>
  <c r="AB1235" i="30"/>
  <c r="AB1234" i="30"/>
  <c r="AB1233" i="30"/>
  <c r="AB1232" i="30"/>
  <c r="AB1231" i="30"/>
  <c r="AB1230" i="30"/>
  <c r="AB1229" i="30"/>
  <c r="AB1228" i="30"/>
  <c r="AB1227" i="30"/>
  <c r="AB1226" i="30"/>
  <c r="AB1225" i="30"/>
  <c r="AB1224" i="30"/>
  <c r="AB1223" i="30"/>
  <c r="AB1222" i="30"/>
  <c r="AB1221" i="30"/>
  <c r="AB1220" i="30"/>
  <c r="AB1219" i="30"/>
  <c r="AB1218" i="30"/>
  <c r="AB1217" i="30"/>
  <c r="AB1216" i="30"/>
  <c r="AB1215" i="30"/>
  <c r="AB1214" i="30"/>
  <c r="AB1213" i="30"/>
  <c r="AB1212" i="30"/>
  <c r="AB1211" i="30"/>
  <c r="AB1210" i="30"/>
  <c r="AB1209" i="30"/>
  <c r="AB1208" i="30"/>
  <c r="AB1207" i="30"/>
  <c r="AB1206" i="30"/>
  <c r="AB1205" i="30"/>
  <c r="AB1204" i="30"/>
  <c r="AB1203" i="30"/>
  <c r="AB1202" i="30"/>
  <c r="AB1201" i="30"/>
  <c r="AB1200" i="30"/>
  <c r="AB1199" i="30"/>
  <c r="AB1198" i="30"/>
  <c r="AB1197" i="30"/>
  <c r="AB1196" i="30"/>
  <c r="AB1195" i="30"/>
  <c r="AB1194" i="30"/>
  <c r="AB1193" i="30"/>
  <c r="AB1192" i="30"/>
  <c r="AB1191" i="30"/>
  <c r="AB1190" i="30"/>
  <c r="AB1189" i="30"/>
  <c r="AB1188" i="30"/>
  <c r="AB1187" i="30"/>
  <c r="AB1186" i="30"/>
  <c r="AB1185" i="30"/>
  <c r="AB1184" i="30"/>
  <c r="AB1183" i="30"/>
  <c r="AB1182" i="30"/>
  <c r="AB1181" i="30"/>
  <c r="AB1180" i="30"/>
  <c r="AB1179" i="30"/>
  <c r="AB1178" i="30"/>
  <c r="AB1177" i="30"/>
  <c r="AB1176" i="30"/>
  <c r="AB1175" i="30"/>
  <c r="AB1174" i="30"/>
  <c r="AB1173" i="30"/>
  <c r="AB1172" i="30"/>
  <c r="AB1171" i="30"/>
  <c r="AB1170" i="30"/>
  <c r="AB1169" i="30"/>
  <c r="AB1168" i="30"/>
  <c r="AB1167" i="30"/>
  <c r="AB1166" i="30"/>
  <c r="AB1165" i="30"/>
  <c r="AB1164" i="30"/>
  <c r="AB1163" i="30"/>
  <c r="AB1162" i="30"/>
  <c r="AB1161" i="30"/>
  <c r="AB1160" i="30"/>
  <c r="AB1159" i="30"/>
  <c r="AB1158" i="30"/>
  <c r="AB1157" i="30"/>
  <c r="AB1156" i="30"/>
  <c r="AB1155" i="30"/>
  <c r="AB1154" i="30"/>
  <c r="AB1153" i="30"/>
  <c r="AB1152" i="30"/>
  <c r="AB1151" i="30"/>
  <c r="AB1150" i="30"/>
  <c r="AB1149" i="30"/>
  <c r="AB1148" i="30"/>
  <c r="AB1147" i="30"/>
  <c r="AB1146" i="30"/>
  <c r="AB1145" i="30"/>
  <c r="AB1144" i="30"/>
  <c r="AB1143" i="30"/>
  <c r="AB1142" i="30"/>
  <c r="AB1141" i="30"/>
  <c r="AB1140" i="30"/>
  <c r="AB1139" i="30"/>
  <c r="AB1138" i="30"/>
  <c r="AB1137" i="30"/>
  <c r="AB1136" i="30"/>
  <c r="AB1135" i="30"/>
  <c r="AB1134" i="30"/>
  <c r="AB1133" i="30"/>
  <c r="AB1132" i="30"/>
  <c r="AB1131" i="30"/>
  <c r="AB1130" i="30"/>
  <c r="AB1129" i="30"/>
  <c r="AB1128" i="30"/>
  <c r="AB1127" i="30"/>
  <c r="AB1126" i="30"/>
  <c r="AB1125" i="30"/>
  <c r="AB1124" i="30"/>
  <c r="AB1123" i="30"/>
  <c r="AB1122" i="30"/>
  <c r="AB1121" i="30"/>
  <c r="AB1120" i="30"/>
  <c r="AB1119" i="30"/>
  <c r="AB1118" i="30"/>
  <c r="AB1117" i="30"/>
  <c r="AB1116" i="30"/>
  <c r="AB1115" i="30"/>
  <c r="AB1114" i="30"/>
  <c r="AB1113" i="30"/>
  <c r="AB1112" i="30"/>
  <c r="AB1111" i="30"/>
  <c r="AB1110" i="30"/>
  <c r="AB1109" i="30"/>
  <c r="AB1108" i="30"/>
  <c r="AB1107" i="30"/>
  <c r="AB1106" i="30"/>
  <c r="AB1105" i="30"/>
  <c r="AB1104" i="30"/>
  <c r="AB1103" i="30"/>
  <c r="AB1102" i="30"/>
  <c r="AB1101" i="30"/>
  <c r="AB1100" i="30"/>
  <c r="AB1099" i="30"/>
  <c r="AB1098" i="30"/>
  <c r="AB1097" i="30"/>
  <c r="AB1096" i="30"/>
  <c r="AB1095" i="30"/>
  <c r="AB1094" i="30"/>
  <c r="AB1093" i="30"/>
  <c r="AB1092" i="30"/>
  <c r="AB1091" i="30"/>
  <c r="AB1090" i="30"/>
  <c r="AB1089" i="30"/>
  <c r="AB1088" i="30"/>
  <c r="AB1087" i="30"/>
  <c r="AB1086" i="30"/>
  <c r="AB1085" i="30"/>
  <c r="AB1084" i="30"/>
  <c r="AB1083" i="30"/>
  <c r="AB1082" i="30"/>
  <c r="AB1081" i="30"/>
  <c r="AB1080" i="30"/>
  <c r="AB1079" i="30"/>
  <c r="AB1078" i="30"/>
  <c r="AB1077" i="30"/>
  <c r="AB1076" i="30"/>
  <c r="AB1075" i="30"/>
  <c r="AB1074" i="30"/>
  <c r="AB1073" i="30"/>
  <c r="AB1072" i="30"/>
  <c r="AB1071" i="30"/>
  <c r="AB1070" i="30"/>
  <c r="AB1069" i="30"/>
  <c r="AB1068" i="30"/>
  <c r="AB1067" i="30"/>
  <c r="AB1066" i="30"/>
  <c r="AB1065" i="30"/>
  <c r="AB1064" i="30"/>
  <c r="AB1063" i="30"/>
  <c r="AB1062" i="30"/>
  <c r="AB1061" i="30"/>
  <c r="AB1060" i="30"/>
  <c r="AB1059" i="30"/>
  <c r="AB1058" i="30"/>
  <c r="AB1057" i="30"/>
  <c r="AB1056" i="30"/>
  <c r="AB1055" i="30"/>
  <c r="AB1054" i="30"/>
  <c r="AB1053" i="30"/>
  <c r="AB1052" i="30"/>
  <c r="AB1051" i="30"/>
  <c r="AB1050" i="30"/>
  <c r="AB1049" i="30"/>
  <c r="AB1048" i="30"/>
  <c r="AB1047" i="30"/>
  <c r="AB1046" i="30"/>
  <c r="AB1045" i="30"/>
  <c r="AB1044" i="30"/>
  <c r="AB1043" i="30"/>
  <c r="AB1042" i="30"/>
  <c r="AB1041" i="30"/>
  <c r="AB1040" i="30"/>
  <c r="AB1039" i="30"/>
  <c r="AB1038" i="30"/>
  <c r="AB1037" i="30"/>
  <c r="AB1036" i="30"/>
  <c r="AB1035" i="30"/>
  <c r="AB1034" i="30"/>
  <c r="AB1033" i="30"/>
  <c r="AB1032" i="30"/>
  <c r="AB1031" i="30"/>
  <c r="AB1030" i="30"/>
  <c r="AB1029" i="30"/>
  <c r="AB1028" i="30"/>
  <c r="AB1027" i="30"/>
  <c r="AB1026" i="30"/>
  <c r="AB1025" i="30"/>
  <c r="AB1024" i="30"/>
  <c r="AB1023" i="30"/>
  <c r="AB1022" i="30"/>
  <c r="AB1021" i="30"/>
  <c r="AB1020" i="30"/>
  <c r="AB1019" i="30"/>
  <c r="AB1018" i="30"/>
  <c r="AB1017" i="30"/>
  <c r="AB1016" i="30"/>
  <c r="AB1015" i="30"/>
  <c r="AB1014" i="30"/>
  <c r="AB1013" i="30"/>
  <c r="AB1012" i="30"/>
  <c r="AB1011" i="30"/>
  <c r="AB1010" i="30"/>
  <c r="AB1009" i="30"/>
  <c r="AB1008" i="30"/>
  <c r="AB1007" i="30"/>
  <c r="AB1006" i="30"/>
  <c r="AB1005" i="30"/>
  <c r="AB1004" i="30"/>
  <c r="AB1003" i="30"/>
  <c r="AB1002" i="30"/>
  <c r="AB1001" i="30"/>
  <c r="AB1000" i="30"/>
  <c r="AB999" i="30"/>
  <c r="AB998" i="30"/>
  <c r="AB997" i="30"/>
  <c r="AB996" i="30"/>
  <c r="AB995" i="30"/>
  <c r="AB994" i="30"/>
  <c r="AB993" i="30"/>
  <c r="AB992" i="30"/>
  <c r="AB991" i="30"/>
  <c r="AB990" i="30"/>
  <c r="AB989" i="30"/>
  <c r="AB988" i="30"/>
  <c r="AB987" i="30"/>
  <c r="AB986" i="30"/>
  <c r="AB985" i="30"/>
  <c r="AB984" i="30"/>
  <c r="AB983" i="30"/>
  <c r="AB982" i="30"/>
  <c r="AB981" i="30"/>
  <c r="AB980" i="30"/>
  <c r="AB979" i="30"/>
  <c r="AB978" i="30"/>
  <c r="AB977" i="30"/>
  <c r="AB976" i="30"/>
  <c r="AB975" i="30"/>
  <c r="AB974" i="30"/>
  <c r="AB973" i="30"/>
  <c r="AB972" i="30"/>
  <c r="AB971" i="30"/>
  <c r="AB970" i="30"/>
  <c r="AB969" i="30"/>
  <c r="AB968" i="30"/>
  <c r="AB967" i="30"/>
  <c r="AB966" i="30"/>
  <c r="AB965" i="30"/>
  <c r="AB964" i="30"/>
  <c r="AB963" i="30"/>
  <c r="AB962" i="30"/>
  <c r="AB961" i="30"/>
  <c r="AB960" i="30"/>
  <c r="AB959" i="30"/>
  <c r="AB958" i="30"/>
  <c r="AB957" i="30"/>
  <c r="AB956" i="30"/>
  <c r="AB955" i="30"/>
  <c r="AB954" i="30"/>
  <c r="AB953" i="30"/>
  <c r="AB952" i="30"/>
  <c r="AB951" i="30"/>
  <c r="AB950" i="30"/>
  <c r="AB949" i="30"/>
  <c r="AB948" i="30"/>
  <c r="AB947" i="30"/>
  <c r="AB946" i="30"/>
  <c r="AB945" i="30"/>
  <c r="AB944" i="30"/>
  <c r="AB943" i="30"/>
  <c r="AB942" i="30"/>
  <c r="AB941" i="30"/>
  <c r="AB940" i="30"/>
  <c r="AB939" i="30"/>
  <c r="AB938" i="30"/>
  <c r="AB937" i="30"/>
  <c r="AB936" i="30"/>
  <c r="AB935" i="30"/>
  <c r="AB934" i="30"/>
  <c r="AB933" i="30"/>
  <c r="AB932" i="30"/>
  <c r="AB931" i="30"/>
  <c r="AB930" i="30"/>
  <c r="AB929" i="30"/>
  <c r="AB928" i="30"/>
  <c r="AB927" i="30"/>
  <c r="AB926" i="30"/>
  <c r="AB925" i="30"/>
  <c r="AB924" i="30"/>
  <c r="AB923" i="30"/>
  <c r="AB922" i="30"/>
  <c r="AB921" i="30"/>
  <c r="AB920" i="30"/>
  <c r="AB919" i="30"/>
  <c r="AB918" i="30"/>
  <c r="AB917" i="30"/>
  <c r="AB916" i="30"/>
  <c r="AB915" i="30"/>
  <c r="AB914" i="30"/>
  <c r="AB913" i="30"/>
  <c r="AB912" i="30"/>
  <c r="AB911" i="30"/>
  <c r="AB910" i="30"/>
  <c r="AB909" i="30"/>
  <c r="AB908" i="30"/>
  <c r="AB907" i="30"/>
  <c r="AB906" i="30"/>
  <c r="AB905" i="30"/>
  <c r="AB904" i="30"/>
  <c r="AB903" i="30"/>
  <c r="AB902" i="30"/>
  <c r="AB901" i="30"/>
  <c r="AB900" i="30"/>
  <c r="AB899" i="30"/>
  <c r="AB898" i="30"/>
  <c r="AB897" i="30"/>
  <c r="AB896" i="30"/>
  <c r="AB895" i="30"/>
  <c r="AB894" i="30"/>
  <c r="AB893" i="30"/>
  <c r="AB892" i="30"/>
  <c r="AB891" i="30"/>
  <c r="AB890" i="30"/>
  <c r="AB889" i="30"/>
  <c r="AB888" i="30"/>
  <c r="AB887" i="30"/>
  <c r="AB886" i="30"/>
  <c r="AB885" i="30"/>
  <c r="AB884" i="30"/>
  <c r="AB883" i="30"/>
  <c r="AB882" i="30"/>
  <c r="AB881" i="30"/>
  <c r="AB880" i="30"/>
  <c r="AB879" i="30"/>
  <c r="AB878" i="30"/>
  <c r="AB877" i="30"/>
  <c r="AB876" i="30"/>
  <c r="AB875" i="30"/>
  <c r="AB874" i="30"/>
  <c r="AB873" i="30"/>
  <c r="AB872" i="30"/>
  <c r="AB871" i="30"/>
  <c r="AB870" i="30"/>
  <c r="AB869" i="30"/>
  <c r="AB868" i="30"/>
  <c r="AB867" i="30"/>
  <c r="AB866" i="30"/>
  <c r="AB865" i="30"/>
  <c r="AB864" i="30"/>
  <c r="AB863" i="30"/>
  <c r="AB862" i="30"/>
  <c r="AB861" i="30"/>
  <c r="AB860" i="30"/>
  <c r="AB859" i="30"/>
  <c r="AB858" i="30"/>
  <c r="AB857" i="30"/>
  <c r="AB856" i="30"/>
  <c r="AB855" i="30"/>
  <c r="AB854" i="30"/>
  <c r="AB853" i="30"/>
  <c r="AB852" i="30"/>
  <c r="AB851" i="30"/>
  <c r="AB850" i="30"/>
  <c r="AB849" i="30"/>
  <c r="AB848" i="30"/>
  <c r="AB847" i="30"/>
  <c r="AB846" i="30"/>
  <c r="AB845" i="30"/>
  <c r="AB844" i="30"/>
  <c r="AB843" i="30"/>
  <c r="AB842" i="30"/>
  <c r="AB841" i="30"/>
  <c r="AB840" i="30"/>
  <c r="AB839" i="30"/>
  <c r="AB838" i="30"/>
  <c r="AB837" i="30"/>
  <c r="AB836" i="30"/>
  <c r="AB835" i="30"/>
  <c r="AB834" i="30"/>
  <c r="AB833" i="30"/>
  <c r="AB832" i="30"/>
  <c r="AB831" i="30"/>
  <c r="AB830" i="30"/>
  <c r="AB829" i="30"/>
  <c r="AB828" i="30"/>
  <c r="AB827" i="30"/>
  <c r="AB826" i="30"/>
  <c r="AB825" i="30"/>
  <c r="AB824" i="30"/>
  <c r="AB823" i="30"/>
  <c r="AB822" i="30"/>
  <c r="AB821" i="30"/>
  <c r="AB820" i="30"/>
  <c r="AB819" i="30"/>
  <c r="AB818" i="30"/>
  <c r="AB817" i="30"/>
  <c r="AB816" i="30"/>
  <c r="AB815" i="30"/>
  <c r="AB814" i="30"/>
  <c r="AB813" i="30"/>
  <c r="AB812" i="30"/>
  <c r="AB811" i="30"/>
  <c r="AB810" i="30"/>
  <c r="AB809" i="30"/>
  <c r="AB808" i="30"/>
  <c r="AB807" i="30"/>
  <c r="AB806" i="30"/>
  <c r="AB805" i="30"/>
  <c r="AB804" i="30"/>
  <c r="AB803" i="30"/>
  <c r="AB802" i="30"/>
  <c r="AB801" i="30"/>
  <c r="AB800" i="30"/>
  <c r="AB799" i="30"/>
  <c r="AB798" i="30"/>
  <c r="AB797" i="30"/>
  <c r="AB796" i="30"/>
  <c r="AB795" i="30"/>
  <c r="AB794" i="30"/>
  <c r="AB793" i="30"/>
  <c r="AB792" i="30"/>
  <c r="AB791" i="30"/>
  <c r="AB790" i="30"/>
  <c r="AB789" i="30"/>
  <c r="AB788" i="30"/>
  <c r="AB787" i="30"/>
  <c r="AB786" i="30"/>
  <c r="AB785" i="30"/>
  <c r="AB784" i="30"/>
  <c r="AB783" i="30"/>
  <c r="AB782" i="30"/>
  <c r="AB781" i="30"/>
  <c r="AB780" i="30"/>
  <c r="AB779" i="30"/>
  <c r="AB778" i="30"/>
  <c r="AB777" i="30"/>
  <c r="AB776" i="30"/>
  <c r="AB775" i="30"/>
  <c r="AB774" i="30"/>
  <c r="AB773" i="30"/>
  <c r="AB772" i="30"/>
  <c r="AB771" i="30"/>
  <c r="AB770" i="30"/>
  <c r="AB769" i="30"/>
  <c r="AB768" i="30"/>
  <c r="AB767" i="30"/>
  <c r="AB766" i="30"/>
  <c r="AB765" i="30"/>
  <c r="AB764" i="30"/>
  <c r="AB763" i="30"/>
  <c r="AB762" i="30"/>
  <c r="AB761" i="30"/>
  <c r="AB760" i="30"/>
  <c r="AB759" i="30"/>
  <c r="AB758" i="30"/>
  <c r="AB757" i="30"/>
  <c r="AB756" i="30"/>
  <c r="AB755" i="30"/>
  <c r="AB754" i="30"/>
  <c r="AB753" i="30"/>
  <c r="AB752" i="30"/>
  <c r="AB751" i="30"/>
  <c r="AB750" i="30"/>
  <c r="AB749" i="30"/>
  <c r="AB748" i="30"/>
  <c r="AB747" i="30"/>
  <c r="AB746" i="30"/>
  <c r="AB745" i="30"/>
  <c r="AB744" i="30"/>
  <c r="AB743" i="30"/>
  <c r="AB742" i="30"/>
  <c r="AB741" i="30"/>
  <c r="AB740" i="30"/>
  <c r="AB739" i="30"/>
  <c r="AB738" i="30"/>
  <c r="AB737" i="30"/>
  <c r="AB736" i="30"/>
  <c r="AB735" i="30"/>
  <c r="AB734" i="30"/>
  <c r="AB733" i="30"/>
  <c r="AB732" i="30"/>
  <c r="AB731" i="30"/>
  <c r="AB730" i="30"/>
  <c r="AB729" i="30"/>
  <c r="AB728" i="30"/>
  <c r="AB727" i="30"/>
  <c r="AB726" i="30"/>
  <c r="AB725" i="30"/>
  <c r="AB724" i="30"/>
  <c r="AB723" i="30"/>
  <c r="AB722" i="30"/>
  <c r="AB721" i="30"/>
  <c r="AB720" i="30"/>
  <c r="AB719" i="30"/>
  <c r="AB718" i="30"/>
  <c r="AB717" i="30"/>
  <c r="AB716" i="30"/>
  <c r="AB715" i="30"/>
  <c r="AB714" i="30"/>
  <c r="AB713" i="30"/>
  <c r="AB712" i="30"/>
  <c r="AB711" i="30"/>
  <c r="AB710" i="30"/>
  <c r="AB709" i="30"/>
  <c r="AB708" i="30"/>
  <c r="AB707" i="30"/>
  <c r="AB706" i="30"/>
  <c r="AB705" i="30"/>
  <c r="AB704" i="30"/>
  <c r="AB703" i="30"/>
  <c r="AB702" i="30"/>
  <c r="AB701" i="30"/>
  <c r="AB700" i="30"/>
  <c r="AB699" i="30"/>
  <c r="AB698" i="30"/>
  <c r="AB697" i="30"/>
  <c r="AB696" i="30"/>
  <c r="AB695" i="30"/>
  <c r="AB694" i="30"/>
  <c r="AB693" i="30"/>
  <c r="AB692" i="30"/>
  <c r="AB691" i="30"/>
  <c r="AB690" i="30"/>
  <c r="AB689" i="30"/>
  <c r="AB688" i="30"/>
  <c r="AB687" i="30"/>
  <c r="AB686" i="30"/>
  <c r="AB685" i="30"/>
  <c r="AB684" i="30"/>
  <c r="AB683" i="30"/>
  <c r="AB682" i="30"/>
  <c r="AB681" i="30"/>
  <c r="AB680" i="30"/>
  <c r="AB679" i="30"/>
  <c r="AB678" i="30"/>
  <c r="AB677" i="30"/>
  <c r="AB676" i="30"/>
  <c r="AB675" i="30"/>
  <c r="AB674" i="30"/>
  <c r="AB673" i="30"/>
  <c r="AB672" i="30"/>
  <c r="AB671" i="30"/>
  <c r="AB670" i="30"/>
  <c r="AB669" i="30"/>
  <c r="AB668" i="30"/>
  <c r="AB667" i="30"/>
  <c r="AB666" i="30"/>
  <c r="AB665" i="30"/>
  <c r="AB664" i="30"/>
  <c r="AB663" i="30"/>
  <c r="AB662" i="30"/>
  <c r="AB661" i="30"/>
  <c r="AB660" i="30"/>
  <c r="AB659" i="30"/>
  <c r="AB658" i="30"/>
  <c r="AB657" i="30"/>
  <c r="AB656" i="30"/>
  <c r="AB655" i="30"/>
  <c r="AB654" i="30"/>
  <c r="AB653" i="30"/>
  <c r="AB652" i="30"/>
  <c r="AB651" i="30"/>
  <c r="AB650" i="30"/>
  <c r="AB649" i="30"/>
  <c r="AB648" i="30"/>
  <c r="AB647" i="30"/>
  <c r="AB646" i="30"/>
  <c r="AB645" i="30"/>
  <c r="AB644" i="30"/>
  <c r="AB643" i="30"/>
  <c r="AB642" i="30"/>
  <c r="AB641" i="30"/>
  <c r="AB640" i="30"/>
  <c r="AB639" i="30"/>
  <c r="AB638" i="30"/>
  <c r="AB637" i="30"/>
  <c r="AB636" i="30"/>
  <c r="AB635" i="30"/>
  <c r="AB634" i="30"/>
  <c r="AB633" i="30"/>
  <c r="AB632" i="30"/>
  <c r="AB631" i="30"/>
  <c r="AB630" i="30"/>
  <c r="AB629" i="30"/>
  <c r="AB628" i="30"/>
  <c r="AB627" i="30"/>
  <c r="AB626" i="30"/>
  <c r="AB625" i="30"/>
  <c r="AB624" i="30"/>
  <c r="AB623" i="30"/>
  <c r="AB622" i="30"/>
  <c r="AB621" i="30"/>
  <c r="AB620" i="30"/>
  <c r="AB619" i="30"/>
  <c r="AB618" i="30"/>
  <c r="AB617" i="30"/>
  <c r="AB616" i="30"/>
  <c r="AB615" i="30"/>
  <c r="AB614" i="30"/>
  <c r="AB613" i="30"/>
  <c r="AB612" i="30"/>
  <c r="AB611" i="30"/>
  <c r="AB610" i="30"/>
  <c r="AB609" i="30"/>
  <c r="AB608" i="30"/>
  <c r="AB607" i="30"/>
  <c r="AB606" i="30"/>
  <c r="AB605" i="30"/>
  <c r="AB604" i="30"/>
  <c r="AB603" i="30"/>
  <c r="AB602" i="30"/>
  <c r="AB601" i="30"/>
  <c r="AB600" i="30"/>
  <c r="AB599" i="30"/>
  <c r="AB598" i="30"/>
  <c r="AB597" i="30"/>
  <c r="AB596" i="30"/>
  <c r="AB595" i="30"/>
  <c r="AB594" i="30"/>
  <c r="AB593" i="30"/>
  <c r="AB592" i="30"/>
  <c r="AB591" i="30"/>
  <c r="AB590" i="30"/>
  <c r="AB589" i="30"/>
  <c r="AB588" i="30"/>
  <c r="AB587" i="30"/>
  <c r="AB586" i="30"/>
  <c r="AB585" i="30"/>
  <c r="AB584" i="30"/>
  <c r="AB583" i="30"/>
  <c r="AB582" i="30"/>
  <c r="AB581" i="30"/>
  <c r="AB580" i="30"/>
  <c r="AB579" i="30"/>
  <c r="AB578" i="30"/>
  <c r="AB577" i="30"/>
  <c r="AB576" i="30"/>
  <c r="AB575" i="30"/>
  <c r="AB574" i="30"/>
  <c r="AB573" i="30"/>
  <c r="AB572" i="30"/>
  <c r="AB571" i="30"/>
  <c r="AB570" i="30"/>
  <c r="AB569" i="30"/>
  <c r="AB568" i="30"/>
  <c r="AB567" i="30"/>
  <c r="AB566" i="30"/>
  <c r="AB565" i="30"/>
  <c r="AB564" i="30"/>
  <c r="AB563" i="30"/>
  <c r="AB562" i="30"/>
  <c r="AB561" i="30"/>
  <c r="AB560" i="30"/>
  <c r="AB559" i="30"/>
  <c r="AB558" i="30"/>
  <c r="AB557" i="30"/>
  <c r="AB556" i="30"/>
  <c r="AB555" i="30"/>
  <c r="AB554" i="30"/>
  <c r="AB553" i="30"/>
  <c r="AB552" i="30"/>
  <c r="AB551" i="30"/>
  <c r="AB550" i="30"/>
  <c r="AB549" i="30"/>
  <c r="AB548" i="30"/>
  <c r="AB547" i="30"/>
  <c r="AB546" i="30"/>
  <c r="AB545" i="30"/>
  <c r="AB544" i="30"/>
  <c r="AB543" i="30"/>
  <c r="AB542" i="30"/>
  <c r="AB541" i="30"/>
  <c r="AB540" i="30"/>
  <c r="AB539" i="30"/>
  <c r="AB538" i="30"/>
  <c r="AB537" i="30"/>
  <c r="AB536" i="30"/>
  <c r="AB535" i="30"/>
  <c r="AB534" i="30"/>
  <c r="AB533" i="30"/>
  <c r="AB532" i="30"/>
  <c r="AB531" i="30"/>
  <c r="AB530" i="30"/>
  <c r="AB529" i="30"/>
  <c r="AB528" i="30"/>
  <c r="AB527" i="30"/>
  <c r="AB526" i="30"/>
  <c r="AB525" i="30"/>
  <c r="AB524" i="30"/>
  <c r="AB523" i="30"/>
  <c r="AB522" i="30"/>
  <c r="AB521" i="30"/>
  <c r="AB520" i="30"/>
  <c r="AB519" i="30"/>
  <c r="AB518" i="30"/>
  <c r="AB517" i="30"/>
  <c r="AB516" i="30"/>
  <c r="AB515" i="30"/>
  <c r="AB514" i="30"/>
  <c r="AB513" i="30"/>
  <c r="AB512" i="30"/>
  <c r="AB511" i="30"/>
  <c r="AB510" i="30"/>
  <c r="AB509" i="30"/>
  <c r="AB508" i="30"/>
  <c r="AB507" i="30"/>
  <c r="AB506" i="30"/>
  <c r="AB505" i="30"/>
  <c r="AB504" i="30"/>
  <c r="AB503" i="30"/>
  <c r="AB502" i="30"/>
  <c r="AB501" i="30"/>
  <c r="AB500" i="30"/>
  <c r="AB499" i="30"/>
  <c r="AB498" i="30"/>
  <c r="AB497" i="30"/>
  <c r="AB496" i="30"/>
  <c r="AB495" i="30"/>
  <c r="AB494" i="30"/>
  <c r="AB493" i="30"/>
  <c r="AB492" i="30"/>
  <c r="AB491" i="30"/>
  <c r="AB490" i="30"/>
  <c r="AB489" i="30"/>
  <c r="AB488" i="30"/>
  <c r="AB487" i="30"/>
  <c r="AB486" i="30"/>
  <c r="AB485" i="30"/>
  <c r="AB484" i="30"/>
  <c r="AB483" i="30"/>
  <c r="AB482" i="30"/>
  <c r="AB481" i="30"/>
  <c r="AB480" i="30"/>
  <c r="AB479" i="30"/>
  <c r="AB478" i="30"/>
  <c r="AB477" i="30"/>
  <c r="AB476" i="30"/>
  <c r="AB475" i="30"/>
  <c r="AB474" i="30"/>
  <c r="AB473" i="30"/>
  <c r="AB472" i="30"/>
  <c r="AB471" i="30"/>
  <c r="AB470" i="30"/>
  <c r="AB469" i="30"/>
  <c r="AB468" i="30"/>
  <c r="AB467" i="30"/>
  <c r="AB466" i="30"/>
  <c r="AB465" i="30"/>
  <c r="AB464" i="30"/>
  <c r="AB463" i="30"/>
  <c r="AB462" i="30"/>
  <c r="AB461" i="30"/>
  <c r="AB460" i="30"/>
  <c r="AB459" i="30"/>
  <c r="AB458" i="30"/>
  <c r="AB457" i="30"/>
  <c r="AB456" i="30"/>
  <c r="AB455" i="30"/>
  <c r="AB454" i="30"/>
  <c r="AB453" i="30"/>
  <c r="AB452" i="30"/>
  <c r="AB451" i="30"/>
  <c r="AB450" i="30"/>
  <c r="AB449" i="30"/>
  <c r="AB448" i="30"/>
  <c r="AB447" i="30"/>
  <c r="AB446" i="30"/>
  <c r="AB445" i="30"/>
  <c r="AB444" i="30"/>
  <c r="AB443" i="30"/>
  <c r="AB442" i="30"/>
  <c r="AB441" i="30"/>
  <c r="AB440" i="30"/>
  <c r="AB439" i="30"/>
  <c r="AB438" i="30"/>
  <c r="AB437" i="30"/>
  <c r="AB436" i="30"/>
  <c r="AB435" i="30"/>
  <c r="AB434" i="30"/>
  <c r="AB433" i="30"/>
  <c r="AB432" i="30"/>
  <c r="AB431" i="30"/>
  <c r="AB430" i="30"/>
  <c r="AB429" i="30"/>
  <c r="AB428" i="30"/>
  <c r="AB427" i="30"/>
  <c r="AB426" i="30"/>
  <c r="AB425" i="30"/>
  <c r="AB424" i="30"/>
  <c r="AB423" i="30"/>
  <c r="AB422" i="30"/>
  <c r="AB421" i="30"/>
  <c r="AB420" i="30"/>
  <c r="AB419" i="30"/>
  <c r="AB418" i="30"/>
  <c r="AB417" i="30"/>
  <c r="AB416" i="30"/>
  <c r="AB415" i="30"/>
  <c r="AB414" i="30"/>
  <c r="AB413" i="30"/>
  <c r="AB412" i="30"/>
  <c r="AB411" i="30"/>
  <c r="AB410" i="30"/>
  <c r="AB409" i="30"/>
  <c r="AB408" i="30"/>
  <c r="AB407" i="30"/>
  <c r="AB406" i="30"/>
  <c r="AB405" i="30"/>
  <c r="AB404" i="30"/>
  <c r="AB403" i="30"/>
  <c r="AB402" i="30"/>
  <c r="AB401" i="30"/>
  <c r="AB400" i="30"/>
  <c r="AB399" i="30"/>
  <c r="AB398" i="30"/>
  <c r="AB397" i="30"/>
  <c r="AB396" i="30"/>
  <c r="AB395" i="30"/>
  <c r="AB394" i="30"/>
  <c r="AB393" i="30"/>
  <c r="AB392" i="30"/>
  <c r="AB391" i="30"/>
  <c r="AB390" i="30"/>
  <c r="AB389" i="30"/>
  <c r="AB388" i="30"/>
  <c r="AB387" i="30"/>
  <c r="AB386" i="30"/>
  <c r="AB385" i="30"/>
  <c r="AB384" i="30"/>
  <c r="AB383" i="30"/>
  <c r="AB382" i="30"/>
  <c r="AB381" i="30"/>
  <c r="AB380" i="30"/>
  <c r="AB379" i="30"/>
  <c r="AB378" i="30"/>
  <c r="AB377" i="30"/>
  <c r="AB376" i="30"/>
  <c r="AB375" i="30"/>
  <c r="AB374" i="30"/>
  <c r="AB373" i="30"/>
  <c r="AB372" i="30"/>
  <c r="AB371" i="30"/>
  <c r="AB370" i="30"/>
  <c r="AB369" i="30"/>
  <c r="AB368" i="30"/>
  <c r="AB367" i="30"/>
  <c r="AB366" i="30"/>
  <c r="AB365" i="30"/>
  <c r="AB364" i="30"/>
  <c r="AB363" i="30"/>
  <c r="AB362" i="30"/>
  <c r="AB361" i="30"/>
  <c r="AB360" i="30"/>
  <c r="AB359" i="30"/>
  <c r="AB358" i="30"/>
  <c r="AB357" i="30"/>
  <c r="AB356" i="30"/>
  <c r="AB355" i="30"/>
  <c r="AB354" i="30"/>
  <c r="AB353" i="30"/>
  <c r="AB352" i="30"/>
  <c r="AB351" i="30"/>
  <c r="AB350" i="30"/>
  <c r="AB349" i="30"/>
  <c r="AB348" i="30"/>
  <c r="AB347" i="30"/>
  <c r="AB346" i="30"/>
  <c r="AB345" i="30"/>
  <c r="AB344" i="30"/>
  <c r="AB343" i="30"/>
  <c r="AB342" i="30"/>
  <c r="AB341" i="30"/>
  <c r="AB340" i="30"/>
  <c r="AB339" i="30"/>
  <c r="AB338" i="30"/>
  <c r="AB337" i="30"/>
  <c r="AB336" i="30"/>
  <c r="AB335" i="30"/>
  <c r="AB334" i="30"/>
  <c r="AB333" i="30"/>
  <c r="AB332" i="30"/>
  <c r="AB331" i="30"/>
  <c r="AB330" i="30"/>
  <c r="AB329" i="30"/>
  <c r="AB328" i="30"/>
  <c r="AB327" i="30"/>
  <c r="AB326" i="30"/>
  <c r="AB325" i="30"/>
  <c r="AB324" i="30"/>
  <c r="AB323" i="30"/>
  <c r="AB322" i="30"/>
  <c r="AB321" i="30"/>
  <c r="AB320" i="30"/>
  <c r="AB319" i="30"/>
  <c r="AB318" i="30"/>
  <c r="AB317" i="30"/>
  <c r="AB316" i="30"/>
  <c r="AB315" i="30"/>
  <c r="AB314" i="30"/>
  <c r="AB313" i="30"/>
  <c r="AB312" i="30"/>
  <c r="AB311" i="30"/>
  <c r="AB310" i="30"/>
  <c r="AB309" i="30"/>
  <c r="AB308" i="30"/>
  <c r="AB307"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B87" i="30"/>
  <c r="AB86" i="30"/>
  <c r="AB85" i="30"/>
  <c r="AB84" i="30"/>
  <c r="AB83" i="30"/>
  <c r="AB82" i="30"/>
  <c r="AB81" i="30"/>
  <c r="AB80" i="30"/>
  <c r="AB79" i="30"/>
  <c r="AB78" i="30"/>
  <c r="AB77" i="30"/>
  <c r="AB76" i="30"/>
  <c r="AB75" i="30"/>
  <c r="AB74" i="30"/>
  <c r="AB73" i="30"/>
  <c r="AB72" i="30"/>
  <c r="AB71" i="30"/>
  <c r="AB70" i="30"/>
  <c r="AB69" i="30"/>
  <c r="AB68" i="30"/>
  <c r="AB67" i="30"/>
  <c r="AB66" i="30"/>
  <c r="AB65" i="30"/>
  <c r="AB64" i="30"/>
  <c r="AB63" i="30"/>
  <c r="AB62"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1" i="30"/>
  <c r="AB30" i="30"/>
  <c r="AB29" i="30"/>
  <c r="AB28" i="30"/>
  <c r="AB27" i="30"/>
  <c r="AB26" i="30"/>
  <c r="AB25" i="30"/>
  <c r="AB24" i="30"/>
  <c r="AB23" i="30"/>
  <c r="AB22" i="30"/>
  <c r="AB21" i="30"/>
  <c r="AB20" i="30"/>
  <c r="AB19" i="30"/>
  <c r="AB18" i="30"/>
  <c r="AB17" i="30"/>
  <c r="AB16" i="30"/>
  <c r="AB15" i="30"/>
  <c r="AB14" i="30"/>
  <c r="AB13" i="30"/>
  <c r="AB12" i="30"/>
  <c r="AB11" i="30"/>
  <c r="AB9" i="30"/>
  <c r="AB8" i="30"/>
  <c r="AB7" i="30"/>
  <c r="AB6" i="30"/>
  <c r="AB5" i="30"/>
  <c r="AB4" i="30"/>
  <c r="AB3" i="30"/>
  <c r="AB2" i="30"/>
  <c r="E85" i="12" l="1"/>
  <c r="X18" i="30"/>
  <c r="X19" i="30" s="1"/>
  <c r="V18" i="30"/>
  <c r="V19" i="30" s="1"/>
  <c r="T18" i="30"/>
  <c r="T19" i="30" s="1"/>
  <c r="R18" i="30"/>
  <c r="R19" i="30" s="1"/>
  <c r="P18" i="30"/>
  <c r="P19" i="30" s="1"/>
  <c r="N18" i="30"/>
  <c r="N19" i="30" s="1"/>
  <c r="M18" i="30"/>
  <c r="M19" i="30" s="1"/>
  <c r="W18" i="30"/>
  <c r="W19" i="30" s="1"/>
  <c r="U18" i="30"/>
  <c r="U19" i="30" s="1"/>
  <c r="S18" i="30"/>
  <c r="S19" i="30" s="1"/>
  <c r="Q18" i="30"/>
  <c r="Q19" i="30" s="1"/>
  <c r="O18" i="30"/>
  <c r="O19" i="30" s="1"/>
  <c r="AG2" i="30"/>
  <c r="AE6237" i="30"/>
  <c r="AG6237" i="30" s="1"/>
  <c r="AE6235" i="30"/>
  <c r="AG6235" i="30" s="1"/>
  <c r="AE6233" i="30"/>
  <c r="AG6233" i="30" s="1"/>
  <c r="AE6231" i="30"/>
  <c r="AG6231" i="30" s="1"/>
  <c r="AE6229" i="30"/>
  <c r="AG6229" i="30" s="1"/>
  <c r="AE6227" i="30"/>
  <c r="AG6227" i="30" s="1"/>
  <c r="AE6225" i="30"/>
  <c r="AG6225" i="30" s="1"/>
  <c r="AE6223" i="30"/>
  <c r="AG6223" i="30" s="1"/>
  <c r="AE6221" i="30"/>
  <c r="AG6221" i="30" s="1"/>
  <c r="AE6219" i="30"/>
  <c r="AG6219" i="30" s="1"/>
  <c r="AE6217" i="30"/>
  <c r="AG6217" i="30" s="1"/>
  <c r="AE6215" i="30"/>
  <c r="AG6215" i="30" s="1"/>
  <c r="AE6213" i="30"/>
  <c r="AG6213" i="30" s="1"/>
  <c r="AE6211" i="30"/>
  <c r="AG6211" i="30" s="1"/>
  <c r="AE6209" i="30"/>
  <c r="AG6209" i="30" s="1"/>
  <c r="AE6207" i="30"/>
  <c r="AG6207" i="30" s="1"/>
  <c r="AE6205" i="30"/>
  <c r="AG6205" i="30" s="1"/>
  <c r="AE6203" i="30"/>
  <c r="AG6203" i="30" s="1"/>
  <c r="AE6201" i="30"/>
  <c r="AG6201" i="30" s="1"/>
  <c r="AE6199" i="30"/>
  <c r="AG6199" i="30" s="1"/>
  <c r="AE6197" i="30"/>
  <c r="AG6197" i="30" s="1"/>
  <c r="AE6195" i="30"/>
  <c r="AG6195" i="30" s="1"/>
  <c r="AE6193" i="30"/>
  <c r="AG6193" i="30" s="1"/>
  <c r="AE6191" i="30"/>
  <c r="AG6191" i="30" s="1"/>
  <c r="AE6189" i="30"/>
  <c r="AG6189" i="30" s="1"/>
  <c r="AE6187" i="30"/>
  <c r="AG6187" i="30" s="1"/>
  <c r="AE6185" i="30"/>
  <c r="AG6185" i="30" s="1"/>
  <c r="AE6183" i="30"/>
  <c r="AG6183" i="30" s="1"/>
  <c r="AE6181" i="30"/>
  <c r="AG6181" i="30" s="1"/>
  <c r="AE6179" i="30"/>
  <c r="AG6179" i="30" s="1"/>
  <c r="AE6177" i="30"/>
  <c r="AG6177" i="30" s="1"/>
  <c r="AE6175" i="30"/>
  <c r="AG6175" i="30" s="1"/>
  <c r="AE6173" i="30"/>
  <c r="AG6173" i="30" s="1"/>
  <c r="AE6171" i="30"/>
  <c r="AG6171" i="30" s="1"/>
  <c r="AE6169" i="30"/>
  <c r="AG6169" i="30" s="1"/>
  <c r="AE6167" i="30"/>
  <c r="AG6167" i="30" s="1"/>
  <c r="AE6165" i="30"/>
  <c r="AG6165" i="30" s="1"/>
  <c r="AE6163" i="30"/>
  <c r="AG6163" i="30" s="1"/>
  <c r="AE6161" i="30"/>
  <c r="AG6161" i="30" s="1"/>
  <c r="AE6159" i="30"/>
  <c r="AG6159" i="30" s="1"/>
  <c r="AE6157" i="30"/>
  <c r="AG6157" i="30" s="1"/>
  <c r="AE6155" i="30"/>
  <c r="AG6155" i="30" s="1"/>
  <c r="AE6153" i="30"/>
  <c r="AG6153" i="30" s="1"/>
  <c r="AE6151" i="30"/>
  <c r="AG6151" i="30" s="1"/>
  <c r="AE6149" i="30"/>
  <c r="AG6149" i="30" s="1"/>
  <c r="AE6147" i="30"/>
  <c r="AG6147" i="30" s="1"/>
  <c r="AE6145" i="30"/>
  <c r="AG6145" i="30" s="1"/>
  <c r="AE6143" i="30"/>
  <c r="AG6143" i="30" s="1"/>
  <c r="AE6141" i="30"/>
  <c r="AG6141" i="30" s="1"/>
  <c r="AE6139" i="30"/>
  <c r="AG6139" i="30" s="1"/>
  <c r="AE6137" i="30"/>
  <c r="AG6137" i="30" s="1"/>
  <c r="AE6135" i="30"/>
  <c r="AG6135" i="30" s="1"/>
  <c r="AE6133" i="30"/>
  <c r="AG6133" i="30" s="1"/>
  <c r="AE6131" i="30"/>
  <c r="AG6131" i="30" s="1"/>
  <c r="AE6129" i="30"/>
  <c r="AG6129" i="30" s="1"/>
  <c r="AE6127" i="30"/>
  <c r="AG6127" i="30" s="1"/>
  <c r="AE6125" i="30"/>
  <c r="AG6125" i="30" s="1"/>
  <c r="AE6123" i="30"/>
  <c r="AG6123" i="30" s="1"/>
  <c r="AE6121" i="30"/>
  <c r="AG6121" i="30" s="1"/>
  <c r="AE6119" i="30"/>
  <c r="AG6119" i="30" s="1"/>
  <c r="AE6117" i="30"/>
  <c r="AG6117" i="30" s="1"/>
  <c r="AE6115" i="30"/>
  <c r="AG6115" i="30" s="1"/>
  <c r="AE6113" i="30"/>
  <c r="AG6113" i="30" s="1"/>
  <c r="AE6111" i="30"/>
  <c r="AG6111" i="30" s="1"/>
  <c r="AE6109" i="30"/>
  <c r="AG6109" i="30" s="1"/>
  <c r="AE6107" i="30"/>
  <c r="AG6107" i="30" s="1"/>
  <c r="AE6105" i="30"/>
  <c r="AG6105" i="30" s="1"/>
  <c r="AE6103" i="30"/>
  <c r="AG6103" i="30" s="1"/>
  <c r="AE6101" i="30"/>
  <c r="AG6101" i="30" s="1"/>
  <c r="AE6099" i="30"/>
  <c r="AG6099" i="30" s="1"/>
  <c r="AE6097" i="30"/>
  <c r="AG6097" i="30" s="1"/>
  <c r="AE6095" i="30"/>
  <c r="AG6095" i="30" s="1"/>
  <c r="AE6093" i="30"/>
  <c r="AG6093" i="30" s="1"/>
  <c r="AE6091" i="30"/>
  <c r="AG6091" i="30" s="1"/>
  <c r="AE6089" i="30"/>
  <c r="AG6089" i="30" s="1"/>
  <c r="AE6087" i="30"/>
  <c r="AG6087" i="30" s="1"/>
  <c r="AE6085" i="30"/>
  <c r="AG6085" i="30" s="1"/>
  <c r="AE6083" i="30"/>
  <c r="AG6083" i="30" s="1"/>
  <c r="AE6081" i="30"/>
  <c r="AG6081" i="30" s="1"/>
  <c r="AE6079" i="30"/>
  <c r="AG6079" i="30" s="1"/>
  <c r="AE6077" i="30"/>
  <c r="AG6077" i="30" s="1"/>
  <c r="AE6075" i="30"/>
  <c r="AG6075" i="30" s="1"/>
  <c r="AE6073" i="30"/>
  <c r="AG6073" i="30" s="1"/>
  <c r="AE6071" i="30"/>
  <c r="AG6071" i="30" s="1"/>
  <c r="AE6069" i="30"/>
  <c r="AG6069" i="30" s="1"/>
  <c r="AE6067" i="30"/>
  <c r="AG6067" i="30" s="1"/>
  <c r="AE6065" i="30"/>
  <c r="AG6065" i="30" s="1"/>
  <c r="AE6063" i="30"/>
  <c r="AG6063" i="30" s="1"/>
  <c r="AE6061" i="30"/>
  <c r="AG6061" i="30" s="1"/>
  <c r="AE6059" i="30"/>
  <c r="AG6059" i="30" s="1"/>
  <c r="AE6057" i="30"/>
  <c r="AG6057" i="30" s="1"/>
  <c r="AE6055" i="30"/>
  <c r="AG6055" i="30" s="1"/>
  <c r="AE6053" i="30"/>
  <c r="AG6053" i="30" s="1"/>
  <c r="AE6051" i="30"/>
  <c r="AG6051" i="30" s="1"/>
  <c r="AE6049" i="30"/>
  <c r="AG6049" i="30" s="1"/>
  <c r="AE6047" i="30"/>
  <c r="AG6047" i="30" s="1"/>
  <c r="AE6045" i="30"/>
  <c r="AG6045" i="30" s="1"/>
  <c r="AE6043" i="30"/>
  <c r="AG6043" i="30" s="1"/>
  <c r="AE6041" i="30"/>
  <c r="AG6041" i="30" s="1"/>
  <c r="AE6039" i="30"/>
  <c r="AG6039" i="30" s="1"/>
  <c r="AE6037" i="30"/>
  <c r="AG6037" i="30" s="1"/>
  <c r="AE6035" i="30"/>
  <c r="AG6035" i="30" s="1"/>
  <c r="AE6033" i="30"/>
  <c r="AG6033" i="30" s="1"/>
  <c r="AE6031" i="30"/>
  <c r="AG6031" i="30" s="1"/>
  <c r="AE6029" i="30"/>
  <c r="AG6029" i="30" s="1"/>
  <c r="AE6027" i="30"/>
  <c r="AG6027" i="30" s="1"/>
  <c r="AE6025" i="30"/>
  <c r="AG6025" i="30" s="1"/>
  <c r="AE6023" i="30"/>
  <c r="AG6023" i="30" s="1"/>
  <c r="AE6021" i="30"/>
  <c r="AG6021" i="30" s="1"/>
  <c r="AE6019" i="30"/>
  <c r="AG6019" i="30" s="1"/>
  <c r="AE6017" i="30"/>
  <c r="AG6017" i="30" s="1"/>
  <c r="AE6015" i="30"/>
  <c r="AG6015" i="30" s="1"/>
  <c r="AE6013" i="30"/>
  <c r="AG6013" i="30" s="1"/>
  <c r="AE6011" i="30"/>
  <c r="AG6011" i="30" s="1"/>
  <c r="AE6009" i="30"/>
  <c r="AG6009" i="30" s="1"/>
  <c r="AE6007" i="30"/>
  <c r="AG6007" i="30" s="1"/>
  <c r="AE6005" i="30"/>
  <c r="AG6005" i="30" s="1"/>
  <c r="AE6003" i="30"/>
  <c r="AG6003" i="30" s="1"/>
  <c r="AE6001" i="30"/>
  <c r="AG6001" i="30" s="1"/>
  <c r="AE5999" i="30"/>
  <c r="AG5999" i="30" s="1"/>
  <c r="AE5997" i="30"/>
  <c r="AE5995" i="30"/>
  <c r="AE5993" i="30"/>
  <c r="AE5991" i="30"/>
  <c r="AE5989" i="30"/>
  <c r="AE5987" i="30"/>
  <c r="AE5985" i="30"/>
  <c r="AE5983" i="30"/>
  <c r="AE5981" i="30"/>
  <c r="AE5979" i="30"/>
  <c r="AE5977" i="30"/>
  <c r="AE5975" i="30"/>
  <c r="AE5973" i="30"/>
  <c r="AE5971" i="30"/>
  <c r="AE5969" i="30"/>
  <c r="AE5967" i="30"/>
  <c r="AE5965" i="30"/>
  <c r="AE5963" i="30"/>
  <c r="AE5961" i="30"/>
  <c r="AE5959" i="30"/>
  <c r="AE5957" i="30"/>
  <c r="AE5955" i="30"/>
  <c r="AE5953" i="30"/>
  <c r="AE5951" i="30"/>
  <c r="AE5949" i="30"/>
  <c r="AE5947" i="30"/>
  <c r="AE5945" i="30"/>
  <c r="AE5943" i="30"/>
  <c r="AE5941" i="30"/>
  <c r="AE5939" i="30"/>
  <c r="AE5937" i="30"/>
  <c r="AE5935" i="30"/>
  <c r="AE5933" i="30"/>
  <c r="AE5931" i="30"/>
  <c r="AE5929" i="30"/>
  <c r="AE5927" i="30"/>
  <c r="AE5925" i="30"/>
  <c r="AE5923" i="30"/>
  <c r="AE5921" i="30"/>
  <c r="AE5919" i="30"/>
  <c r="AE5917" i="30"/>
  <c r="AE5915" i="30"/>
  <c r="AE5913" i="30"/>
  <c r="AE5911" i="30"/>
  <c r="AE5909" i="30"/>
  <c r="AE5907" i="30"/>
  <c r="AE5905" i="30"/>
  <c r="AE5903" i="30"/>
  <c r="AE5901" i="30"/>
  <c r="AE5899" i="30"/>
  <c r="AE5897" i="30"/>
  <c r="AE5895" i="30"/>
  <c r="AE5893" i="30"/>
  <c r="AE5891" i="30"/>
  <c r="AE5889" i="30"/>
  <c r="AE5887" i="30"/>
  <c r="AE5885" i="30"/>
  <c r="AE5883" i="30"/>
  <c r="AE5881" i="30"/>
  <c r="AE5879" i="30"/>
  <c r="AE5877" i="30"/>
  <c r="AE5875" i="30"/>
  <c r="AE5873" i="30"/>
  <c r="AE5871" i="30"/>
  <c r="AE5869" i="30"/>
  <c r="AE5867" i="30"/>
  <c r="AE5865" i="30"/>
  <c r="AE5863" i="30"/>
  <c r="AE5861" i="30"/>
  <c r="AE5859" i="30"/>
  <c r="AE5857" i="30"/>
  <c r="AE5855" i="30"/>
  <c r="AE5853" i="30"/>
  <c r="AE5851" i="30"/>
  <c r="AE5849" i="30"/>
  <c r="AE5847" i="30"/>
  <c r="AE5845" i="30"/>
  <c r="AE5843" i="30"/>
  <c r="AE5841" i="30"/>
  <c r="AE5839" i="30"/>
  <c r="AE5837" i="30"/>
  <c r="AE5835" i="30"/>
  <c r="AE5833" i="30"/>
  <c r="AE5831" i="30"/>
  <c r="AE5829" i="30"/>
  <c r="AE5827" i="30"/>
  <c r="AE5825" i="30"/>
  <c r="AE5823" i="30"/>
  <c r="AE5821" i="30"/>
  <c r="AE5819" i="30"/>
  <c r="AE5817" i="30"/>
  <c r="AE5815" i="30"/>
  <c r="AE5813" i="30"/>
  <c r="AE5811" i="30"/>
  <c r="AE5809" i="30"/>
  <c r="AE5807" i="30"/>
  <c r="AE5805" i="30"/>
  <c r="AE5803" i="30"/>
  <c r="AE5801" i="30"/>
  <c r="AE5799" i="30"/>
  <c r="AE5797" i="30"/>
  <c r="AE5795" i="30"/>
  <c r="AE5793" i="30"/>
  <c r="AE5791" i="30"/>
  <c r="AE5789" i="30"/>
  <c r="AE5787" i="30"/>
  <c r="AE5785" i="30"/>
  <c r="AE5783" i="30"/>
  <c r="AE5781" i="30"/>
  <c r="AE5779" i="30"/>
  <c r="AE5777" i="30"/>
  <c r="AE5775" i="30"/>
  <c r="AE5773" i="30"/>
  <c r="AE5771" i="30"/>
  <c r="AE5769" i="30"/>
  <c r="AE5767" i="30"/>
  <c r="AE5765" i="30"/>
  <c r="AE5763" i="30"/>
  <c r="AE5762" i="30"/>
  <c r="AE5761" i="30"/>
  <c r="AE5760" i="30"/>
  <c r="AE5759" i="30"/>
  <c r="AE5758" i="30"/>
  <c r="AE5757" i="30"/>
  <c r="AE5756" i="30"/>
  <c r="AE5755" i="30"/>
  <c r="AE5754" i="30"/>
  <c r="AE5753" i="30"/>
  <c r="AE5752" i="30"/>
  <c r="AE5751" i="30"/>
  <c r="AE5750" i="30"/>
  <c r="AE5749" i="30"/>
  <c r="AE5748" i="30"/>
  <c r="AE5747" i="30"/>
  <c r="AE5746" i="30"/>
  <c r="AE5745" i="30"/>
  <c r="AE5744" i="30"/>
  <c r="AE5743" i="30"/>
  <c r="AE5742" i="30"/>
  <c r="AE5741" i="30"/>
  <c r="AE5740" i="30"/>
  <c r="AE5739" i="30"/>
  <c r="AE5738" i="30"/>
  <c r="AE5737" i="30"/>
  <c r="AE5736" i="30"/>
  <c r="AE5735" i="30"/>
  <c r="AE5734" i="30"/>
  <c r="AE5733" i="30"/>
  <c r="AE5732" i="30"/>
  <c r="AE5731" i="30"/>
  <c r="AE5730" i="30"/>
  <c r="AE5729" i="30"/>
  <c r="AE5728" i="30"/>
  <c r="AE5727" i="30"/>
  <c r="AE5726" i="30"/>
  <c r="AE5725" i="30"/>
  <c r="AE5724" i="30"/>
  <c r="AE5723" i="30"/>
  <c r="AE5722" i="30"/>
  <c r="AE5721" i="30"/>
  <c r="AE5720" i="30"/>
  <c r="AE5719" i="30"/>
  <c r="AE5718" i="30"/>
  <c r="AE5717" i="30"/>
  <c r="AE5716" i="30"/>
  <c r="AE5715" i="30"/>
  <c r="AE5714" i="30"/>
  <c r="AE5713" i="30"/>
  <c r="AE5712" i="30"/>
  <c r="AE5711" i="30"/>
  <c r="AE5710" i="30"/>
  <c r="AE5709" i="30"/>
  <c r="AE5708" i="30"/>
  <c r="AE5707" i="30"/>
  <c r="AE5706" i="30"/>
  <c r="AE5705" i="30"/>
  <c r="AE5704" i="30"/>
  <c r="AE5703" i="30"/>
  <c r="AE5702" i="30"/>
  <c r="AE5701" i="30"/>
  <c r="AE5700" i="30"/>
  <c r="AE5699" i="30"/>
  <c r="AE5698" i="30"/>
  <c r="AE5697" i="30"/>
  <c r="AE5696" i="30"/>
  <c r="AE5695" i="30"/>
  <c r="AE5694" i="30"/>
  <c r="AE5693" i="30"/>
  <c r="AE5692" i="30"/>
  <c r="AE5691" i="30"/>
  <c r="AE5690" i="30"/>
  <c r="AE5689" i="30"/>
  <c r="AE5688" i="30"/>
  <c r="AE5687" i="30"/>
  <c r="AE5686" i="30"/>
  <c r="AE5685" i="30"/>
  <c r="AE5684" i="30"/>
  <c r="AE5683" i="30"/>
  <c r="AE5682" i="30"/>
  <c r="AE5681" i="30"/>
  <c r="AE5680" i="30"/>
  <c r="AE5679" i="30"/>
  <c r="AE5678" i="30"/>
  <c r="AE5677" i="30"/>
  <c r="AE5676" i="30"/>
  <c r="AE5675" i="30"/>
  <c r="AE5674" i="30"/>
  <c r="AE5673" i="30"/>
  <c r="AE5672" i="30"/>
  <c r="AE5671" i="30"/>
  <c r="AE5670" i="30"/>
  <c r="AE5669" i="30"/>
  <c r="AE5668" i="30"/>
  <c r="AE5667" i="30"/>
  <c r="AE5666" i="30"/>
  <c r="AE5665" i="30"/>
  <c r="AE5664" i="30"/>
  <c r="AE5663" i="30"/>
  <c r="AE5662" i="30"/>
  <c r="AE5661" i="30"/>
  <c r="AE5660" i="30"/>
  <c r="AE5659" i="30"/>
  <c r="AE5658" i="30"/>
  <c r="AE5657" i="30"/>
  <c r="AE5656" i="30"/>
  <c r="AE5655" i="30"/>
  <c r="AE5654" i="30"/>
  <c r="AE5653" i="30"/>
  <c r="AE5652" i="30"/>
  <c r="AE5651" i="30"/>
  <c r="AE5650" i="30"/>
  <c r="AE5649" i="30"/>
  <c r="AE5648" i="30"/>
  <c r="AE5647" i="30"/>
  <c r="AE5646" i="30"/>
  <c r="AE5645" i="30"/>
  <c r="AE5644" i="30"/>
  <c r="AE5643" i="30"/>
  <c r="AE5642" i="30"/>
  <c r="AE5641" i="30"/>
  <c r="AE5640" i="30"/>
  <c r="AE5639" i="30"/>
  <c r="AE5638" i="30"/>
  <c r="AE5637" i="30"/>
  <c r="AE5636" i="30"/>
  <c r="AE5635" i="30"/>
  <c r="AE5634" i="30"/>
  <c r="AE5633" i="30"/>
  <c r="AE5632" i="30"/>
  <c r="AE5631" i="30"/>
  <c r="AE5630" i="30"/>
  <c r="AE5629" i="30"/>
  <c r="AE5628" i="30"/>
  <c r="AE5627" i="30"/>
  <c r="AE5626" i="30"/>
  <c r="AE5625" i="30"/>
  <c r="AE5624" i="30"/>
  <c r="AE5623" i="30"/>
  <c r="AE5622" i="30"/>
  <c r="AE5621" i="30"/>
  <c r="AE5620" i="30"/>
  <c r="AE5619" i="30"/>
  <c r="AE5618" i="30"/>
  <c r="AE5617" i="30"/>
  <c r="AE5616" i="30"/>
  <c r="AE5615" i="30"/>
  <c r="AE5614" i="30"/>
  <c r="AE5613" i="30"/>
  <c r="AE5612" i="30"/>
  <c r="AE5611" i="30"/>
  <c r="AE5610" i="30"/>
  <c r="AE5609" i="30"/>
  <c r="AE5608" i="30"/>
  <c r="AE5607" i="30"/>
  <c r="AE5606" i="30"/>
  <c r="AE5605" i="30"/>
  <c r="AE5604" i="30"/>
  <c r="AE5603" i="30"/>
  <c r="AE5602" i="30"/>
  <c r="AE5601" i="30"/>
  <c r="AE5600" i="30"/>
  <c r="AE5599" i="30"/>
  <c r="AE5598" i="30"/>
  <c r="AE5597" i="30"/>
  <c r="AE5596" i="30"/>
  <c r="AE5595" i="30"/>
  <c r="AE5594" i="30"/>
  <c r="AE5593" i="30"/>
  <c r="AE5592" i="30"/>
  <c r="AE5591" i="30"/>
  <c r="AE5590" i="30"/>
  <c r="AE5589" i="30"/>
  <c r="AE5588" i="30"/>
  <c r="AE5587" i="30"/>
  <c r="AE5586" i="30"/>
  <c r="AE5585" i="30"/>
  <c r="AE5584" i="30"/>
  <c r="AE5583" i="30"/>
  <c r="AE5582" i="30"/>
  <c r="AE5581" i="30"/>
  <c r="AE5580" i="30"/>
  <c r="AE5579" i="30"/>
  <c r="AE5578" i="30"/>
  <c r="AE5577" i="30"/>
  <c r="AE5576" i="30"/>
  <c r="AE5575" i="30"/>
  <c r="AE5574" i="30"/>
  <c r="AE5573" i="30"/>
  <c r="AE5572" i="30"/>
  <c r="AE5571" i="30"/>
  <c r="AE5570" i="30"/>
  <c r="AE5569" i="30"/>
  <c r="AE5568" i="30"/>
  <c r="AE5567" i="30"/>
  <c r="AE5566" i="30"/>
  <c r="AE5565" i="30"/>
  <c r="AE5564" i="30"/>
  <c r="AE5563" i="30"/>
  <c r="AE5562" i="30"/>
  <c r="AE5561" i="30"/>
  <c r="AE5560" i="30"/>
  <c r="AE5559" i="30"/>
  <c r="AE5558" i="30"/>
  <c r="AE5557" i="30"/>
  <c r="AE5556" i="30"/>
  <c r="AE5555" i="30"/>
  <c r="AE5554" i="30"/>
  <c r="AE5553" i="30"/>
  <c r="AE5552" i="30"/>
  <c r="AE5551" i="30"/>
  <c r="AE5550" i="30"/>
  <c r="AE5549" i="30"/>
  <c r="AE5548" i="30"/>
  <c r="AE5547" i="30"/>
  <c r="AE5546" i="30"/>
  <c r="AE5545" i="30"/>
  <c r="AE5544" i="30"/>
  <c r="AE5543" i="30"/>
  <c r="AE5542" i="30"/>
  <c r="AE5541" i="30"/>
  <c r="AE5540" i="30"/>
  <c r="AE5539" i="30"/>
  <c r="AE5538" i="30"/>
  <c r="AE5537" i="30"/>
  <c r="AE5536" i="30"/>
  <c r="AE5535" i="30"/>
  <c r="AE5534" i="30"/>
  <c r="AE5533" i="30"/>
  <c r="AE5532" i="30"/>
  <c r="AE5531" i="30"/>
  <c r="AE5530" i="30"/>
  <c r="AE5529" i="30"/>
  <c r="AE5528" i="30"/>
  <c r="AE5527" i="30"/>
  <c r="AE5526" i="30"/>
  <c r="AE5525" i="30"/>
  <c r="AE5524" i="30"/>
  <c r="AE5523" i="30"/>
  <c r="AE5522" i="30"/>
  <c r="AE5521" i="30"/>
  <c r="AE5520" i="30"/>
  <c r="AE5519" i="30"/>
  <c r="AE5518" i="30"/>
  <c r="AE5517" i="30"/>
  <c r="AE5516" i="30"/>
  <c r="AE5515" i="30"/>
  <c r="AE5514" i="30"/>
  <c r="AE5513" i="30"/>
  <c r="AE5512" i="30"/>
  <c r="AE5511" i="30"/>
  <c r="AE5510" i="30"/>
  <c r="AE5509" i="30"/>
  <c r="AE5508" i="30"/>
  <c r="AE5507" i="30"/>
  <c r="AE5506" i="30"/>
  <c r="AE5505" i="30"/>
  <c r="AE5504" i="30"/>
  <c r="AE5503" i="30"/>
  <c r="AE5502" i="30"/>
  <c r="AE5501" i="30"/>
  <c r="AE5500" i="30"/>
  <c r="AE5499" i="30"/>
  <c r="AE5498" i="30"/>
  <c r="AE5497" i="30"/>
  <c r="AE5496" i="30"/>
  <c r="AE5495" i="30"/>
  <c r="AE5494" i="30"/>
  <c r="AE5493" i="30"/>
  <c r="AE5492" i="30"/>
  <c r="AE5491" i="30"/>
  <c r="AE5490" i="30"/>
  <c r="AE5489" i="30"/>
  <c r="AE5488" i="30"/>
  <c r="AE5487" i="30"/>
  <c r="AE5486" i="30"/>
  <c r="AE5485" i="30"/>
  <c r="AE5484" i="30"/>
  <c r="AE5483" i="30"/>
  <c r="AE5482" i="30"/>
  <c r="AE5481" i="30"/>
  <c r="AE5480" i="30"/>
  <c r="AE5479" i="30"/>
  <c r="AE5478" i="30"/>
  <c r="AE5477" i="30"/>
  <c r="AE5476" i="30"/>
  <c r="AE5475" i="30"/>
  <c r="AE5474" i="30"/>
  <c r="AE5473" i="30"/>
  <c r="AE5472" i="30"/>
  <c r="AE5471" i="30"/>
  <c r="AE5470" i="30"/>
  <c r="AE5469" i="30"/>
  <c r="AE5468" i="30"/>
  <c r="AE5467" i="30"/>
  <c r="AE5466" i="30"/>
  <c r="AE5465" i="30"/>
  <c r="AE5464" i="30"/>
  <c r="AE5463" i="30"/>
  <c r="AE5462" i="30"/>
  <c r="AE5461" i="30"/>
  <c r="AE5460" i="30"/>
  <c r="AE5459" i="30"/>
  <c r="AE5458" i="30"/>
  <c r="AE5457" i="30"/>
  <c r="AE5456" i="30"/>
  <c r="AE5455" i="30"/>
  <c r="AE5454" i="30"/>
  <c r="AE5453" i="30"/>
  <c r="AE5452" i="30"/>
  <c r="AE5451" i="30"/>
  <c r="AE5450" i="30"/>
  <c r="AE5449" i="30"/>
  <c r="AE5448" i="30"/>
  <c r="AE5447" i="30"/>
  <c r="AE5446" i="30"/>
  <c r="AE5445" i="30"/>
  <c r="AE5444" i="30"/>
  <c r="AE5443" i="30"/>
  <c r="AE5442" i="30"/>
  <c r="AE5441" i="30"/>
  <c r="AE5440" i="30"/>
  <c r="AE5439" i="30"/>
  <c r="AE5438" i="30"/>
  <c r="AE5437" i="30"/>
  <c r="AE5436" i="30"/>
  <c r="AG5436" i="30" s="1"/>
  <c r="AE5435" i="30"/>
  <c r="AG5435" i="30" s="1"/>
  <c r="AE5434" i="30"/>
  <c r="AG5434" i="30" s="1"/>
  <c r="AE5433" i="30"/>
  <c r="AG5433" i="30" s="1"/>
  <c r="AE5432" i="30"/>
  <c r="AG5432" i="30" s="1"/>
  <c r="AE5431" i="30"/>
  <c r="AG5431" i="30" s="1"/>
  <c r="AE5430" i="30"/>
  <c r="AG5430" i="30" s="1"/>
  <c r="AE5429" i="30"/>
  <c r="AG5429" i="30" s="1"/>
  <c r="AE5428" i="30"/>
  <c r="AG5428" i="30" s="1"/>
  <c r="AE5427" i="30"/>
  <c r="AG5427" i="30" s="1"/>
  <c r="AE5426" i="30"/>
  <c r="AG5426" i="30" s="1"/>
  <c r="AE5425" i="30"/>
  <c r="AG5425" i="30" s="1"/>
  <c r="AE5424" i="30"/>
  <c r="AG5424" i="30" s="1"/>
  <c r="AE5423" i="30"/>
  <c r="AG5423" i="30" s="1"/>
  <c r="AE5422" i="30"/>
  <c r="AG5422" i="30" s="1"/>
  <c r="AE5421" i="30"/>
  <c r="AG5421" i="30" s="1"/>
  <c r="AE5420" i="30"/>
  <c r="AG5420" i="30" s="1"/>
  <c r="AE5419" i="30"/>
  <c r="AG5419" i="30" s="1"/>
  <c r="AE5418" i="30"/>
  <c r="AG5418" i="30" s="1"/>
  <c r="AE5417" i="30"/>
  <c r="AG5417" i="30" s="1"/>
  <c r="AE5416" i="30"/>
  <c r="AG5416" i="30" s="1"/>
  <c r="AE5415" i="30"/>
  <c r="AG5415" i="30" s="1"/>
  <c r="AE5414" i="30"/>
  <c r="AG5414" i="30" s="1"/>
  <c r="AE5413" i="30"/>
  <c r="AG5413" i="30" s="1"/>
  <c r="AE5412" i="30"/>
  <c r="AG5412" i="30" s="1"/>
  <c r="AE5411" i="30"/>
  <c r="AG5411" i="30" s="1"/>
  <c r="AE5410" i="30"/>
  <c r="AG5410" i="30" s="1"/>
  <c r="AE5409" i="30"/>
  <c r="AG5409" i="30" s="1"/>
  <c r="AE5408" i="30"/>
  <c r="AG5408" i="30" s="1"/>
  <c r="AE5407" i="30"/>
  <c r="AG5407" i="30" s="1"/>
  <c r="AE5406" i="30"/>
  <c r="AG5406" i="30" s="1"/>
  <c r="AE5405" i="30"/>
  <c r="AG5405" i="30" s="1"/>
  <c r="AE5404" i="30"/>
  <c r="AG5404" i="30" s="1"/>
  <c r="AE5403" i="30"/>
  <c r="AG5403" i="30" s="1"/>
  <c r="AE5402" i="30"/>
  <c r="AG5402" i="30" s="1"/>
  <c r="AE5401" i="30"/>
  <c r="AG5401" i="30" s="1"/>
  <c r="AE5400" i="30"/>
  <c r="AG5400" i="30" s="1"/>
  <c r="AE5399" i="30"/>
  <c r="AG5399" i="30" s="1"/>
  <c r="AE5398" i="30"/>
  <c r="AG5398" i="30" s="1"/>
  <c r="AE5397" i="30"/>
  <c r="AG5397" i="30" s="1"/>
  <c r="AE5396" i="30"/>
  <c r="AG5396" i="30" s="1"/>
  <c r="AE5395" i="30"/>
  <c r="AG5395" i="30" s="1"/>
  <c r="AE5394" i="30"/>
  <c r="AG5394" i="30" s="1"/>
  <c r="AE5393" i="30"/>
  <c r="AG5393" i="30" s="1"/>
  <c r="AE5392" i="30"/>
  <c r="AG5392" i="30" s="1"/>
  <c r="AE5391" i="30"/>
  <c r="AG5391" i="30" s="1"/>
  <c r="AE5390" i="30"/>
  <c r="AG5390" i="30" s="1"/>
  <c r="AE5389" i="30"/>
  <c r="AG5389" i="30" s="1"/>
  <c r="AE5388" i="30"/>
  <c r="AG5388" i="30" s="1"/>
  <c r="AE5387" i="30"/>
  <c r="AG5387" i="30" s="1"/>
  <c r="AE5386" i="30"/>
  <c r="AG5386" i="30" s="1"/>
  <c r="AE5385" i="30"/>
  <c r="AG5385" i="30" s="1"/>
  <c r="AE5384" i="30"/>
  <c r="AG5384" i="30" s="1"/>
  <c r="AE5383" i="30"/>
  <c r="AG5383" i="30" s="1"/>
  <c r="AE5382" i="30"/>
  <c r="AG5382" i="30" s="1"/>
  <c r="AE5381" i="30"/>
  <c r="AG5381" i="30" s="1"/>
  <c r="AE5380" i="30"/>
  <c r="AG5380" i="30" s="1"/>
  <c r="AE5379" i="30"/>
  <c r="AG5379" i="30" s="1"/>
  <c r="AE5378" i="30"/>
  <c r="AG5378" i="30" s="1"/>
  <c r="AE5377" i="30"/>
  <c r="AG5377" i="30" s="1"/>
  <c r="AE5376" i="30"/>
  <c r="AG5376" i="30" s="1"/>
  <c r="AE5375" i="30"/>
  <c r="AG5375" i="30" s="1"/>
  <c r="AE5374" i="30"/>
  <c r="AG5374" i="30" s="1"/>
  <c r="AE5373" i="30"/>
  <c r="AG5373" i="30" s="1"/>
  <c r="AE5372" i="30"/>
  <c r="AG5372" i="30" s="1"/>
  <c r="AE5371" i="30"/>
  <c r="AG5371" i="30" s="1"/>
  <c r="AE5370" i="30"/>
  <c r="AG5370" i="30" s="1"/>
  <c r="AE5369" i="30"/>
  <c r="AG5369" i="30" s="1"/>
  <c r="AE5368" i="30"/>
  <c r="AG5368" i="30" s="1"/>
  <c r="AE5367" i="30"/>
  <c r="AG5367" i="30" s="1"/>
  <c r="AE5366" i="30"/>
  <c r="AG5366" i="30" s="1"/>
  <c r="AE5365" i="30"/>
  <c r="AG5365" i="30" s="1"/>
  <c r="AE5364" i="30"/>
  <c r="AG5364" i="30" s="1"/>
  <c r="AE5363" i="30"/>
  <c r="AG5363" i="30" s="1"/>
  <c r="AE5362" i="30"/>
  <c r="AG5362" i="30" s="1"/>
  <c r="AE5361" i="30"/>
  <c r="AG5361" i="30" s="1"/>
  <c r="AE5360" i="30"/>
  <c r="AG5360" i="30" s="1"/>
  <c r="AE5359" i="30"/>
  <c r="AG5359" i="30" s="1"/>
  <c r="AE5358" i="30"/>
  <c r="AG5358" i="30" s="1"/>
  <c r="AE5357" i="30"/>
  <c r="AG5357" i="30" s="1"/>
  <c r="AE5356" i="30"/>
  <c r="AG5356" i="30" s="1"/>
  <c r="AE5355" i="30"/>
  <c r="AG5355" i="30" s="1"/>
  <c r="AE5354" i="30"/>
  <c r="AG5354" i="30" s="1"/>
  <c r="AE5353" i="30"/>
  <c r="AG5353" i="30" s="1"/>
  <c r="AE5352" i="30"/>
  <c r="AG5352" i="30" s="1"/>
  <c r="AE5351" i="30"/>
  <c r="AG5351" i="30" s="1"/>
  <c r="AE5350" i="30"/>
  <c r="AG5350" i="30" s="1"/>
  <c r="AE5349" i="30"/>
  <c r="AG5349" i="30" s="1"/>
  <c r="AE5348" i="30"/>
  <c r="AG5348" i="30" s="1"/>
  <c r="AE5347" i="30"/>
  <c r="AG5347" i="30" s="1"/>
  <c r="AE5346" i="30"/>
  <c r="AG5346" i="30" s="1"/>
  <c r="AE5345" i="30"/>
  <c r="AG5345" i="30" s="1"/>
  <c r="AE5344" i="30"/>
  <c r="AG5344" i="30" s="1"/>
  <c r="AE5343" i="30"/>
  <c r="AG5343" i="30" s="1"/>
  <c r="AE5342" i="30"/>
  <c r="AG5342" i="30" s="1"/>
  <c r="AE5341" i="30"/>
  <c r="AG5341" i="30" s="1"/>
  <c r="AE5340" i="30"/>
  <c r="AG5340" i="30" s="1"/>
  <c r="AE5339" i="30"/>
  <c r="AG5339" i="30" s="1"/>
  <c r="AE5338" i="30"/>
  <c r="AG5338" i="30" s="1"/>
  <c r="AE5337" i="30"/>
  <c r="AG5337" i="30" s="1"/>
  <c r="AE5336" i="30"/>
  <c r="AG5336" i="30" s="1"/>
  <c r="AE5335" i="30"/>
  <c r="AG5335" i="30" s="1"/>
  <c r="AE5334" i="30"/>
  <c r="AG5334" i="30" s="1"/>
  <c r="AE5333" i="30"/>
  <c r="AG5333" i="30" s="1"/>
  <c r="AE5332" i="30"/>
  <c r="AG5332" i="30" s="1"/>
  <c r="AE5331" i="30"/>
  <c r="AG5331" i="30" s="1"/>
  <c r="AE5330" i="30"/>
  <c r="AG5330" i="30" s="1"/>
  <c r="AE5329" i="30"/>
  <c r="AG5329" i="30" s="1"/>
  <c r="AE5328" i="30"/>
  <c r="AG5328" i="30" s="1"/>
  <c r="AE5327" i="30"/>
  <c r="AG5327" i="30" s="1"/>
  <c r="AE5326" i="30"/>
  <c r="AG5326" i="30" s="1"/>
  <c r="AE5325" i="30"/>
  <c r="AG5325" i="30" s="1"/>
  <c r="AE5324" i="30"/>
  <c r="AG5324" i="30" s="1"/>
  <c r="AE5323" i="30"/>
  <c r="AG5323" i="30" s="1"/>
  <c r="AE5322" i="30"/>
  <c r="AG5322" i="30" s="1"/>
  <c r="AE5321" i="30"/>
  <c r="AG5321" i="30" s="1"/>
  <c r="AE5320" i="30"/>
  <c r="AG5320" i="30" s="1"/>
  <c r="AE5319" i="30"/>
  <c r="AG5319" i="30" s="1"/>
  <c r="AE5318" i="30"/>
  <c r="AG5318" i="30" s="1"/>
  <c r="AE5317" i="30"/>
  <c r="AG5317" i="30" s="1"/>
  <c r="AE5316" i="30"/>
  <c r="AG5316" i="30" s="1"/>
  <c r="AE5315" i="30"/>
  <c r="AG5315" i="30" s="1"/>
  <c r="AE5314" i="30"/>
  <c r="AG5314" i="30" s="1"/>
  <c r="AE5313" i="30"/>
  <c r="AG5313" i="30" s="1"/>
  <c r="AE5312" i="30"/>
  <c r="AG5312" i="30" s="1"/>
  <c r="AE5311" i="30"/>
  <c r="AG5311" i="30" s="1"/>
  <c r="AE5310" i="30"/>
  <c r="AG5310" i="30" s="1"/>
  <c r="AE5309" i="30"/>
  <c r="AG5309" i="30" s="1"/>
  <c r="AE5308" i="30"/>
  <c r="AG5308" i="30" s="1"/>
  <c r="AE5307" i="30"/>
  <c r="AG5307" i="30" s="1"/>
  <c r="AE5306" i="30"/>
  <c r="AG5306" i="30" s="1"/>
  <c r="AE5305" i="30"/>
  <c r="AG5305" i="30" s="1"/>
  <c r="AE5304" i="30"/>
  <c r="AG5304" i="30" s="1"/>
  <c r="AE5303" i="30"/>
  <c r="AG5303" i="30" s="1"/>
  <c r="AE5302" i="30"/>
  <c r="AG5302" i="30" s="1"/>
  <c r="AE5301" i="30"/>
  <c r="AG5301" i="30" s="1"/>
  <c r="AE5300" i="30"/>
  <c r="AG5300" i="30" s="1"/>
  <c r="AE5299" i="30"/>
  <c r="AG5299" i="30" s="1"/>
  <c r="AE5298" i="30"/>
  <c r="AG5298" i="30" s="1"/>
  <c r="AE5297" i="30"/>
  <c r="AG5297" i="30" s="1"/>
  <c r="AE5296" i="30"/>
  <c r="AG5296" i="30" s="1"/>
  <c r="AE5295" i="30"/>
  <c r="AG5295" i="30" s="1"/>
  <c r="AE5294" i="30"/>
  <c r="AG5294" i="30" s="1"/>
  <c r="AE5293" i="30"/>
  <c r="AG5293" i="30" s="1"/>
  <c r="AE5292" i="30"/>
  <c r="AG5292" i="30" s="1"/>
  <c r="AE5291" i="30"/>
  <c r="AG5291" i="30" s="1"/>
  <c r="AE5290" i="30"/>
  <c r="AG5290" i="30" s="1"/>
  <c r="AE5289" i="30"/>
  <c r="AG5289" i="30" s="1"/>
  <c r="AE5288" i="30"/>
  <c r="AG5288" i="30" s="1"/>
  <c r="AE5287" i="30"/>
  <c r="AG5287" i="30" s="1"/>
  <c r="AE5286" i="30"/>
  <c r="AG5286" i="30" s="1"/>
  <c r="AE5285" i="30"/>
  <c r="AG5285" i="30" s="1"/>
  <c r="AE5284" i="30"/>
  <c r="AG5284" i="30" s="1"/>
  <c r="AE5283" i="30"/>
  <c r="AG5283" i="30" s="1"/>
  <c r="AE5282" i="30"/>
  <c r="AG5282" i="30" s="1"/>
  <c r="AE5281" i="30"/>
  <c r="AG5281" i="30" s="1"/>
  <c r="AE5280" i="30"/>
  <c r="AG5280" i="30" s="1"/>
  <c r="AE5279" i="30"/>
  <c r="AG5279" i="30" s="1"/>
  <c r="AE5278" i="30"/>
  <c r="AG5278" i="30" s="1"/>
  <c r="AE5277" i="30"/>
  <c r="AG5277" i="30" s="1"/>
  <c r="AE5276" i="30"/>
  <c r="AE5275" i="30"/>
  <c r="AE5274" i="30"/>
  <c r="AE5273" i="30"/>
  <c r="AE5272" i="30"/>
  <c r="AE5271" i="30"/>
  <c r="AE5270" i="30"/>
  <c r="AE5269" i="30"/>
  <c r="AE5268" i="30"/>
  <c r="AE5267" i="30"/>
  <c r="AE5266" i="30"/>
  <c r="AE5265" i="30"/>
  <c r="AE5264" i="30"/>
  <c r="AE5263" i="30"/>
  <c r="AE5262" i="30"/>
  <c r="AE5261" i="30"/>
  <c r="AE5260" i="30"/>
  <c r="AE5259" i="30"/>
  <c r="AE5258" i="30"/>
  <c r="AE5257" i="30"/>
  <c r="AE5256" i="30"/>
  <c r="AE5255" i="30"/>
  <c r="AE5254" i="30"/>
  <c r="AE5253" i="30"/>
  <c r="AE5252" i="30"/>
  <c r="AE5251" i="30"/>
  <c r="AE5250" i="30"/>
  <c r="AE5249" i="30"/>
  <c r="AE5248" i="30"/>
  <c r="AE5247" i="30"/>
  <c r="AE5246" i="30"/>
  <c r="AE5245" i="30"/>
  <c r="AE5244" i="30"/>
  <c r="AE5243" i="30"/>
  <c r="AE5242" i="30"/>
  <c r="AE5241" i="30"/>
  <c r="AE5240" i="30"/>
  <c r="AE5239" i="30"/>
  <c r="AE5238" i="30"/>
  <c r="AE5237" i="30"/>
  <c r="AE5236" i="30"/>
  <c r="AE5235" i="30"/>
  <c r="AE5234" i="30"/>
  <c r="AE5233" i="30"/>
  <c r="AE5232" i="30"/>
  <c r="AE5231" i="30"/>
  <c r="AE5230" i="30"/>
  <c r="AE5229" i="30"/>
  <c r="AE5228" i="30"/>
  <c r="AE5227" i="30"/>
  <c r="AE5226" i="30"/>
  <c r="AE5225" i="30"/>
  <c r="AE5224" i="30"/>
  <c r="AE5223" i="30"/>
  <c r="AE5222" i="30"/>
  <c r="AE5221" i="30"/>
  <c r="AE5220" i="30"/>
  <c r="AE5219" i="30"/>
  <c r="AE5218" i="30"/>
  <c r="AE5217" i="30"/>
  <c r="AE5216" i="30"/>
  <c r="AE5215" i="30"/>
  <c r="AE5214" i="30"/>
  <c r="AE5213" i="30"/>
  <c r="AE5212" i="30"/>
  <c r="AE5211" i="30"/>
  <c r="AE5210" i="30"/>
  <c r="AE5209" i="30"/>
  <c r="AE5208" i="30"/>
  <c r="AE5207" i="30"/>
  <c r="AE5206" i="30"/>
  <c r="AE5205" i="30"/>
  <c r="AE5204" i="30"/>
  <c r="AE5203" i="30"/>
  <c r="AE5202" i="30"/>
  <c r="AE5201" i="30"/>
  <c r="AE5200" i="30"/>
  <c r="AE5199" i="30"/>
  <c r="AE5198" i="30"/>
  <c r="AE5197" i="30"/>
  <c r="AE5196" i="30"/>
  <c r="AE5195" i="30"/>
  <c r="AE5194" i="30"/>
  <c r="AE5193" i="30"/>
  <c r="AE5192" i="30"/>
  <c r="AE5191" i="30"/>
  <c r="AE5190" i="30"/>
  <c r="AE5189" i="30"/>
  <c r="AE5188" i="30"/>
  <c r="AE5187" i="30"/>
  <c r="AE5186" i="30"/>
  <c r="AE5185" i="30"/>
  <c r="AE5184" i="30"/>
  <c r="AE5183" i="30"/>
  <c r="AE5182" i="30"/>
  <c r="AE5181" i="30"/>
  <c r="AE5180" i="30"/>
  <c r="AE5179" i="30"/>
  <c r="AE5178" i="30"/>
  <c r="AE5177" i="30"/>
  <c r="AE5176" i="30"/>
  <c r="AE5175" i="30"/>
  <c r="AE5174" i="30"/>
  <c r="AE5173" i="30"/>
  <c r="AE5172" i="30"/>
  <c r="AE5171" i="30"/>
  <c r="AE5170" i="30"/>
  <c r="AE5169" i="30"/>
  <c r="AE5168" i="30"/>
  <c r="AE5167" i="30"/>
  <c r="AE5166" i="30"/>
  <c r="AE5165" i="30"/>
  <c r="AE5164" i="30"/>
  <c r="AE5163" i="30"/>
  <c r="AE5162" i="30"/>
  <c r="AE5161" i="30"/>
  <c r="AE5160" i="30"/>
  <c r="AE5159" i="30"/>
  <c r="AE5158" i="30"/>
  <c r="AE5157" i="30"/>
  <c r="AE5156" i="30"/>
  <c r="AE5155" i="30"/>
  <c r="AE5154" i="30"/>
  <c r="AE5153" i="30"/>
  <c r="AE5152" i="30"/>
  <c r="AE5151" i="30"/>
  <c r="AE5150" i="30"/>
  <c r="AE5149" i="30"/>
  <c r="AE5148" i="30"/>
  <c r="AE5147" i="30"/>
  <c r="AE5146" i="30"/>
  <c r="AE5145" i="30"/>
  <c r="AE5144" i="30"/>
  <c r="AE5143" i="30"/>
  <c r="AE5142" i="30"/>
  <c r="AE5141" i="30"/>
  <c r="AE5140" i="30"/>
  <c r="AE5139" i="30"/>
  <c r="AE5138" i="30"/>
  <c r="AE5137" i="30"/>
  <c r="AE5136" i="30"/>
  <c r="AE5135" i="30"/>
  <c r="AE5134" i="30"/>
  <c r="AE5133" i="30"/>
  <c r="AE5132" i="30"/>
  <c r="AE5131" i="30"/>
  <c r="AE5130" i="30"/>
  <c r="AE5129" i="30"/>
  <c r="AE5128" i="30"/>
  <c r="AE5127" i="30"/>
  <c r="AE5126" i="30"/>
  <c r="AE5125" i="30"/>
  <c r="AE5124" i="30"/>
  <c r="AE5123" i="30"/>
  <c r="AE5122" i="30"/>
  <c r="AE5121" i="30"/>
  <c r="AE5120" i="30"/>
  <c r="AE5119" i="30"/>
  <c r="AE5118" i="30"/>
  <c r="AE5117" i="30"/>
  <c r="AE5116" i="30"/>
  <c r="AE5115" i="30"/>
  <c r="AE5114" i="30"/>
  <c r="AE5113" i="30"/>
  <c r="AE5112" i="30"/>
  <c r="AE5111" i="30"/>
  <c r="AE5110" i="30"/>
  <c r="AE5109" i="30"/>
  <c r="AE5108" i="30"/>
  <c r="AE5107" i="30"/>
  <c r="AE5106" i="30"/>
  <c r="AE5105" i="30"/>
  <c r="AE5104" i="30"/>
  <c r="AE5103" i="30"/>
  <c r="AE5102" i="30"/>
  <c r="AE5101" i="30"/>
  <c r="AE5100" i="30"/>
  <c r="AE5099" i="30"/>
  <c r="AE5098" i="30"/>
  <c r="AE5097" i="30"/>
  <c r="AE5096" i="30"/>
  <c r="AE5095" i="30"/>
  <c r="AE5094" i="30"/>
  <c r="AE5093" i="30"/>
  <c r="AE5092" i="30"/>
  <c r="AE5091" i="30"/>
  <c r="AE5090" i="30"/>
  <c r="AE5089" i="30"/>
  <c r="AE5088" i="30"/>
  <c r="AE5087" i="30"/>
  <c r="AE5086" i="30"/>
  <c r="AE5085" i="30"/>
  <c r="AE5084" i="30"/>
  <c r="AE5083" i="30"/>
  <c r="AE5082" i="30"/>
  <c r="AE5081" i="30"/>
  <c r="AE5080" i="30"/>
  <c r="AE5079" i="30"/>
  <c r="AE5078" i="30"/>
  <c r="AE5077" i="30"/>
  <c r="AE5076" i="30"/>
  <c r="AE5075" i="30"/>
  <c r="AE5074" i="30"/>
  <c r="AE5073" i="30"/>
  <c r="AE5072" i="30"/>
  <c r="AE5071" i="30"/>
  <c r="AE5070" i="30"/>
  <c r="AE5069" i="30"/>
  <c r="AE5068" i="30"/>
  <c r="AE5067" i="30"/>
  <c r="AE5066" i="30"/>
  <c r="AE5065" i="30"/>
  <c r="AE5064" i="30"/>
  <c r="AE5062" i="30"/>
  <c r="AE5060" i="30"/>
  <c r="AE5058" i="30"/>
  <c r="AE5056" i="30"/>
  <c r="AE5054" i="30"/>
  <c r="AE5052" i="30"/>
  <c r="AE5050" i="30"/>
  <c r="AE5048" i="30"/>
  <c r="AE5046" i="30"/>
  <c r="AE5044" i="30"/>
  <c r="AE5042" i="30"/>
  <c r="AE5040" i="30"/>
  <c r="AE5038" i="30"/>
  <c r="AE5036" i="30"/>
  <c r="AE5034" i="30"/>
  <c r="AE5032" i="30"/>
  <c r="AE5030" i="30"/>
  <c r="AE5028" i="30"/>
  <c r="AE5026" i="30"/>
  <c r="AE5024" i="30"/>
  <c r="AE5022" i="30"/>
  <c r="AE5020" i="30"/>
  <c r="AE5018" i="30"/>
  <c r="AE5016" i="30"/>
  <c r="AE5014" i="30"/>
  <c r="AE5012" i="30"/>
  <c r="AE5010" i="30"/>
  <c r="AE5008" i="30"/>
  <c r="AE5006" i="30"/>
  <c r="AE5004" i="30"/>
  <c r="AE5002" i="30"/>
  <c r="AE5000" i="30"/>
  <c r="AE4998" i="30"/>
  <c r="AE4996" i="30"/>
  <c r="AE4994" i="30"/>
  <c r="AE4992" i="30"/>
  <c r="AE4990" i="30"/>
  <c r="AE4988" i="30"/>
  <c r="AE4986" i="30"/>
  <c r="AE4984" i="30"/>
  <c r="AE4982" i="30"/>
  <c r="AE4980" i="30"/>
  <c r="AE4978" i="30"/>
  <c r="AE4976" i="30"/>
  <c r="AE4974" i="30"/>
  <c r="AE4972" i="30"/>
  <c r="AE4970" i="30"/>
  <c r="AE4968" i="30"/>
  <c r="AE4966" i="30"/>
  <c r="AE4964" i="30"/>
  <c r="AE4962" i="30"/>
  <c r="AE4960" i="30"/>
  <c r="AE4958" i="30"/>
  <c r="AE4956" i="30"/>
  <c r="AE4954" i="30"/>
  <c r="AE4952" i="30"/>
  <c r="AE4950" i="30"/>
  <c r="AE4948" i="30"/>
  <c r="AE4946" i="30"/>
  <c r="AE4944" i="30"/>
  <c r="AE4942" i="30"/>
  <c r="AE4940" i="30"/>
  <c r="AE4938" i="30"/>
  <c r="AE4936" i="30"/>
  <c r="AE4934" i="30"/>
  <c r="AE4932" i="30"/>
  <c r="AE4930" i="30"/>
  <c r="AE4928" i="30"/>
  <c r="AE4926" i="30"/>
  <c r="AE4924" i="30"/>
  <c r="AE4922" i="30"/>
  <c r="AE4920" i="30"/>
  <c r="AE4918" i="30"/>
  <c r="AE4916" i="30"/>
  <c r="AE4914" i="30"/>
  <c r="AE4912" i="30"/>
  <c r="AE4910" i="30"/>
  <c r="AE4908" i="30"/>
  <c r="AE4906" i="30"/>
  <c r="AE4904" i="30"/>
  <c r="AE4902" i="30"/>
  <c r="AE4900" i="30"/>
  <c r="AE4898" i="30"/>
  <c r="AE4896" i="30"/>
  <c r="AE4894" i="30"/>
  <c r="AE4892" i="30"/>
  <c r="AE4890" i="30"/>
  <c r="AE4888" i="30"/>
  <c r="AE4886" i="30"/>
  <c r="AE4884" i="30"/>
  <c r="AE4882" i="30"/>
  <c r="AE4880" i="30"/>
  <c r="AE4878" i="30"/>
  <c r="AE4876" i="30"/>
  <c r="AE4874" i="30"/>
  <c r="AE4872" i="30"/>
  <c r="AE4870" i="30"/>
  <c r="AE4868" i="30"/>
  <c r="AE4866" i="30"/>
  <c r="AE4864" i="30"/>
  <c r="AE4862" i="30"/>
  <c r="AE4860" i="30"/>
  <c r="AE4858" i="30"/>
  <c r="AE4856" i="30"/>
  <c r="AE4854" i="30"/>
  <c r="AE4852" i="30"/>
  <c r="AE4850" i="30"/>
  <c r="AE4848" i="30"/>
  <c r="AE4846" i="30"/>
  <c r="AE4844" i="30"/>
  <c r="AE4842" i="30"/>
  <c r="AE4840" i="30"/>
  <c r="AE4838" i="30"/>
  <c r="AE4836" i="30"/>
  <c r="AE4834" i="30"/>
  <c r="AE4832" i="30"/>
  <c r="AE4830" i="30"/>
  <c r="AE4828" i="30"/>
  <c r="AE4826" i="30"/>
  <c r="AE4824" i="30"/>
  <c r="AE4822" i="30"/>
  <c r="AE4820" i="30"/>
  <c r="AE4818" i="30"/>
  <c r="AE4816" i="30"/>
  <c r="AE4814" i="30"/>
  <c r="AE4812" i="30"/>
  <c r="AE4810" i="30"/>
  <c r="AE4808" i="30"/>
  <c r="AE4806" i="30"/>
  <c r="AE4804" i="30"/>
  <c r="AE4802" i="30"/>
  <c r="AE4800" i="30"/>
  <c r="AE4798" i="30"/>
  <c r="AE4796" i="30"/>
  <c r="AE4794" i="30"/>
  <c r="AE8762" i="30"/>
  <c r="AE8761" i="30"/>
  <c r="AE8760" i="30"/>
  <c r="AE8759" i="30"/>
  <c r="AE8758" i="30"/>
  <c r="AG8758" i="30" s="1"/>
  <c r="AE8757" i="30"/>
  <c r="AG8757" i="30" s="1"/>
  <c r="AE8756" i="30"/>
  <c r="AG8756" i="30" s="1"/>
  <c r="AE8755" i="30"/>
  <c r="AG8755" i="30" s="1"/>
  <c r="AE8754" i="30"/>
  <c r="AG8754" i="30" s="1"/>
  <c r="AE8753" i="30"/>
  <c r="AG8753" i="30" s="1"/>
  <c r="AE8752" i="30"/>
  <c r="AG8752" i="30" s="1"/>
  <c r="AE8751" i="30"/>
  <c r="AG8751" i="30" s="1"/>
  <c r="AE8750" i="30"/>
  <c r="AG8750" i="30" s="1"/>
  <c r="AE8749" i="30"/>
  <c r="AG8749" i="30" s="1"/>
  <c r="AE8748" i="30"/>
  <c r="AG8748" i="30" s="1"/>
  <c r="AE8747" i="30"/>
  <c r="AG8747" i="30" s="1"/>
  <c r="AE8746" i="30"/>
  <c r="AG8746" i="30" s="1"/>
  <c r="AE8745" i="30"/>
  <c r="AG8745" i="30" s="1"/>
  <c r="AE8744" i="30"/>
  <c r="AG8744" i="30" s="1"/>
  <c r="AE8743" i="30"/>
  <c r="AG8743" i="30" s="1"/>
  <c r="AE8742" i="30"/>
  <c r="AG8742" i="30" s="1"/>
  <c r="AE8741" i="30"/>
  <c r="AG8741" i="30" s="1"/>
  <c r="AE8740" i="30"/>
  <c r="AG8740" i="30" s="1"/>
  <c r="AE8739" i="30"/>
  <c r="AG8739" i="30" s="1"/>
  <c r="AE8738" i="30"/>
  <c r="AG8738" i="30" s="1"/>
  <c r="AE8737" i="30"/>
  <c r="AG8737" i="30" s="1"/>
  <c r="AE8736" i="30"/>
  <c r="AG8736" i="30" s="1"/>
  <c r="AE8735" i="30"/>
  <c r="AG8735" i="30" s="1"/>
  <c r="AE8734" i="30"/>
  <c r="AG8734" i="30" s="1"/>
  <c r="AE8733" i="30"/>
  <c r="AG8733" i="30" s="1"/>
  <c r="AE8732" i="30"/>
  <c r="AG8732" i="30" s="1"/>
  <c r="AE8731" i="30"/>
  <c r="AG8731" i="30" s="1"/>
  <c r="AE8730" i="30"/>
  <c r="AG8730" i="30" s="1"/>
  <c r="AE8729" i="30"/>
  <c r="AG8729" i="30" s="1"/>
  <c r="AE8728" i="30"/>
  <c r="AG8728" i="30" s="1"/>
  <c r="AE8727" i="30"/>
  <c r="AG8727" i="30" s="1"/>
  <c r="AE8726" i="30"/>
  <c r="AG8726" i="30" s="1"/>
  <c r="AE8725" i="30"/>
  <c r="AG8725" i="30" s="1"/>
  <c r="AE8724" i="30"/>
  <c r="AG8724" i="30" s="1"/>
  <c r="AE8723" i="30"/>
  <c r="AG8723" i="30" s="1"/>
  <c r="AE8722" i="30"/>
  <c r="AG8722" i="30" s="1"/>
  <c r="AE8721" i="30"/>
  <c r="AG8721" i="30" s="1"/>
  <c r="AE8720" i="30"/>
  <c r="AG8720" i="30" s="1"/>
  <c r="AE8719" i="30"/>
  <c r="AG8719" i="30" s="1"/>
  <c r="AE8718" i="30"/>
  <c r="AG8718" i="30" s="1"/>
  <c r="AE8717" i="30"/>
  <c r="AG8717" i="30" s="1"/>
  <c r="AE8716" i="30"/>
  <c r="AG8716" i="30" s="1"/>
  <c r="AE8715" i="30"/>
  <c r="AG8715" i="30" s="1"/>
  <c r="AE8714" i="30"/>
  <c r="AG8714" i="30" s="1"/>
  <c r="AE8713" i="30"/>
  <c r="AG8713" i="30" s="1"/>
  <c r="AE8712" i="30"/>
  <c r="AG8712" i="30" s="1"/>
  <c r="AE8711" i="30"/>
  <c r="AG8711" i="30" s="1"/>
  <c r="AE8710" i="30"/>
  <c r="AG8710" i="30" s="1"/>
  <c r="AE8709" i="30"/>
  <c r="AG8709" i="30" s="1"/>
  <c r="AE8708" i="30"/>
  <c r="AG8708" i="30" s="1"/>
  <c r="AE8707" i="30"/>
  <c r="AG8707" i="30" s="1"/>
  <c r="AE8706" i="30"/>
  <c r="AG8706" i="30" s="1"/>
  <c r="AE8705" i="30"/>
  <c r="AG8705" i="30" s="1"/>
  <c r="AE8704" i="30"/>
  <c r="AG8704" i="30" s="1"/>
  <c r="AE8703" i="30"/>
  <c r="AG8703" i="30" s="1"/>
  <c r="AE8702" i="30"/>
  <c r="AG8702" i="30" s="1"/>
  <c r="AE8701" i="30"/>
  <c r="AG8701" i="30" s="1"/>
  <c r="AE8700" i="30"/>
  <c r="AG8700" i="30" s="1"/>
  <c r="AE8699" i="30"/>
  <c r="AG8699" i="30" s="1"/>
  <c r="AE8698" i="30"/>
  <c r="AG8698" i="30" s="1"/>
  <c r="AE8697" i="30"/>
  <c r="AG8697" i="30" s="1"/>
  <c r="AE8696" i="30"/>
  <c r="AG8696" i="30" s="1"/>
  <c r="AE8695" i="30"/>
  <c r="AG8695" i="30" s="1"/>
  <c r="AE8694" i="30"/>
  <c r="AG8694" i="30" s="1"/>
  <c r="AE8693" i="30"/>
  <c r="AG8693" i="30" s="1"/>
  <c r="AE8692" i="30"/>
  <c r="AG8692" i="30" s="1"/>
  <c r="AE8691" i="30"/>
  <c r="AG8691" i="30" s="1"/>
  <c r="AE8690" i="30"/>
  <c r="AG8690" i="30" s="1"/>
  <c r="AE8689" i="30"/>
  <c r="AG8689" i="30" s="1"/>
  <c r="AE8688" i="30"/>
  <c r="AG8688" i="30" s="1"/>
  <c r="AE8687" i="30"/>
  <c r="AG8687" i="30" s="1"/>
  <c r="AE8686" i="30"/>
  <c r="AG8686" i="30" s="1"/>
  <c r="AE8685" i="30"/>
  <c r="AG8685" i="30" s="1"/>
  <c r="AE8684" i="30"/>
  <c r="AG8684" i="30" s="1"/>
  <c r="AE8683" i="30"/>
  <c r="AG8683" i="30" s="1"/>
  <c r="AE8682" i="30"/>
  <c r="AG8682" i="30" s="1"/>
  <c r="AE8681" i="30"/>
  <c r="AG8681" i="30" s="1"/>
  <c r="AE8680" i="30"/>
  <c r="AG8680" i="30" s="1"/>
  <c r="AE8679" i="30"/>
  <c r="AG8679" i="30" s="1"/>
  <c r="AE8678" i="30"/>
  <c r="AG8678" i="30" s="1"/>
  <c r="AE8677" i="30"/>
  <c r="AG8677" i="30" s="1"/>
  <c r="AE8676" i="30"/>
  <c r="AG8676" i="30" s="1"/>
  <c r="AE8675" i="30"/>
  <c r="AG8675" i="30" s="1"/>
  <c r="AE8674" i="30"/>
  <c r="AG8674" i="30" s="1"/>
  <c r="AE8673" i="30"/>
  <c r="AG8673" i="30" s="1"/>
  <c r="AE8672" i="30"/>
  <c r="AG8672" i="30" s="1"/>
  <c r="AE8671" i="30"/>
  <c r="AG8671" i="30" s="1"/>
  <c r="AE8670" i="30"/>
  <c r="AG8670" i="30" s="1"/>
  <c r="AE8669" i="30"/>
  <c r="AG8669" i="30" s="1"/>
  <c r="AE8668" i="30"/>
  <c r="AG8668" i="30" s="1"/>
  <c r="AE8667" i="30"/>
  <c r="AG8667" i="30" s="1"/>
  <c r="AE8666" i="30"/>
  <c r="AG8666" i="30" s="1"/>
  <c r="AE8665" i="30"/>
  <c r="AG8665" i="30" s="1"/>
  <c r="AE8664" i="30"/>
  <c r="AG8664" i="30" s="1"/>
  <c r="AE8663" i="30"/>
  <c r="AG8663" i="30" s="1"/>
  <c r="AE8662" i="30"/>
  <c r="AG8662" i="30" s="1"/>
  <c r="AE8661" i="30"/>
  <c r="AG8661" i="30" s="1"/>
  <c r="AE8660" i="30"/>
  <c r="AG8660" i="30" s="1"/>
  <c r="AE8659" i="30"/>
  <c r="AG8659" i="30" s="1"/>
  <c r="AE8658" i="30"/>
  <c r="AG8658" i="30" s="1"/>
  <c r="AE8657" i="30"/>
  <c r="AG8657" i="30" s="1"/>
  <c r="AE8656" i="30"/>
  <c r="AG8656" i="30" s="1"/>
  <c r="AE8655" i="30"/>
  <c r="AG8655" i="30" s="1"/>
  <c r="AE8654" i="30"/>
  <c r="AG8654" i="30" s="1"/>
  <c r="AE8653" i="30"/>
  <c r="AG8653" i="30" s="1"/>
  <c r="AE8652" i="30"/>
  <c r="AG8652" i="30" s="1"/>
  <c r="AE8651" i="30"/>
  <c r="AG8651" i="30" s="1"/>
  <c r="AE8650" i="30"/>
  <c r="AG8650" i="30" s="1"/>
  <c r="AE8649" i="30"/>
  <c r="AG8649" i="30" s="1"/>
  <c r="AE8648" i="30"/>
  <c r="AG8648" i="30" s="1"/>
  <c r="AE8647" i="30"/>
  <c r="AG8647" i="30" s="1"/>
  <c r="AE8646" i="30"/>
  <c r="AG8646" i="30" s="1"/>
  <c r="AE8645" i="30"/>
  <c r="AG8645" i="30" s="1"/>
  <c r="AE8644" i="30"/>
  <c r="AG8644" i="30" s="1"/>
  <c r="AE8643" i="30"/>
  <c r="AG8643" i="30" s="1"/>
  <c r="AE8642" i="30"/>
  <c r="AG8642" i="30" s="1"/>
  <c r="AE8641" i="30"/>
  <c r="AG8641" i="30" s="1"/>
  <c r="AE8640" i="30"/>
  <c r="AG8640" i="30" s="1"/>
  <c r="AE8639" i="30"/>
  <c r="AG8639" i="30" s="1"/>
  <c r="AE8638" i="30"/>
  <c r="AG8638" i="30" s="1"/>
  <c r="AE8637" i="30"/>
  <c r="AG8637" i="30" s="1"/>
  <c r="AE8636" i="30"/>
  <c r="AG8636" i="30" s="1"/>
  <c r="AE8635" i="30"/>
  <c r="AG8635" i="30" s="1"/>
  <c r="AE8634" i="30"/>
  <c r="AG8634" i="30" s="1"/>
  <c r="AE8633" i="30"/>
  <c r="AG8633" i="30" s="1"/>
  <c r="AE8632" i="30"/>
  <c r="AG8632" i="30" s="1"/>
  <c r="AE8631" i="30"/>
  <c r="AG8631" i="30" s="1"/>
  <c r="AE8630" i="30"/>
  <c r="AG8630" i="30" s="1"/>
  <c r="AE8629" i="30"/>
  <c r="AG8629" i="30" s="1"/>
  <c r="AE8628" i="30"/>
  <c r="AG8628" i="30" s="1"/>
  <c r="AE8627" i="30"/>
  <c r="AG8627" i="30" s="1"/>
  <c r="AE8626" i="30"/>
  <c r="AG8626" i="30" s="1"/>
  <c r="AE8625" i="30"/>
  <c r="AG8625" i="30" s="1"/>
  <c r="AE8624" i="30"/>
  <c r="AG8624" i="30" s="1"/>
  <c r="AE8623" i="30"/>
  <c r="AG8623" i="30" s="1"/>
  <c r="AE8622" i="30"/>
  <c r="AG8622" i="30" s="1"/>
  <c r="AE8621" i="30"/>
  <c r="AG8621" i="30" s="1"/>
  <c r="AE8620" i="30"/>
  <c r="AG8620" i="30" s="1"/>
  <c r="AE8619" i="30"/>
  <c r="AG8619" i="30" s="1"/>
  <c r="AE8618" i="30"/>
  <c r="AG8618" i="30" s="1"/>
  <c r="AE8617" i="30"/>
  <c r="AG8617" i="30" s="1"/>
  <c r="AE8616" i="30"/>
  <c r="AG8616" i="30" s="1"/>
  <c r="AE8615" i="30"/>
  <c r="AG8615" i="30" s="1"/>
  <c r="AE8614" i="30"/>
  <c r="AG8614" i="30" s="1"/>
  <c r="AE8613" i="30"/>
  <c r="AG8613" i="30" s="1"/>
  <c r="AE8612" i="30"/>
  <c r="AG8612" i="30" s="1"/>
  <c r="AE8611" i="30"/>
  <c r="AG8611" i="30" s="1"/>
  <c r="AE8610" i="30"/>
  <c r="AG8610" i="30" s="1"/>
  <c r="AE8609" i="30"/>
  <c r="AG8609" i="30" s="1"/>
  <c r="AE8608" i="30"/>
  <c r="AG8608" i="30" s="1"/>
  <c r="AE8607" i="30"/>
  <c r="AG8607" i="30" s="1"/>
  <c r="AE8606" i="30"/>
  <c r="AG8606" i="30" s="1"/>
  <c r="AE8605" i="30"/>
  <c r="AG8605" i="30" s="1"/>
  <c r="AE8604" i="30"/>
  <c r="AG8604" i="30" s="1"/>
  <c r="AE8603" i="30"/>
  <c r="AG8603" i="30" s="1"/>
  <c r="AE8602" i="30"/>
  <c r="AG8602" i="30" s="1"/>
  <c r="AE8601" i="30"/>
  <c r="AG8601" i="30" s="1"/>
  <c r="AE8600" i="30"/>
  <c r="AG8600" i="30" s="1"/>
  <c r="AE8599" i="30"/>
  <c r="AG8599" i="30" s="1"/>
  <c r="AE8598" i="30"/>
  <c r="AG8598" i="30" s="1"/>
  <c r="AE8597" i="30"/>
  <c r="AG8597" i="30" s="1"/>
  <c r="AE8596" i="30"/>
  <c r="AG8596" i="30" s="1"/>
  <c r="AE8595" i="30"/>
  <c r="AG8595" i="30" s="1"/>
  <c r="AE8594" i="30"/>
  <c r="AG8594" i="30" s="1"/>
  <c r="AE8593" i="30"/>
  <c r="AG8593" i="30" s="1"/>
  <c r="AE8592" i="30"/>
  <c r="AG8592" i="30" s="1"/>
  <c r="AE8591" i="30"/>
  <c r="AG8591" i="30" s="1"/>
  <c r="AE8590" i="30"/>
  <c r="AG8590" i="30" s="1"/>
  <c r="AE8589" i="30"/>
  <c r="AG8589" i="30" s="1"/>
  <c r="AE8588" i="30"/>
  <c r="AG8588" i="30" s="1"/>
  <c r="AE8587" i="30"/>
  <c r="AG8587" i="30" s="1"/>
  <c r="AE8586" i="30"/>
  <c r="AG8586" i="30" s="1"/>
  <c r="AE8585" i="30"/>
  <c r="AG8585" i="30" s="1"/>
  <c r="AE8584" i="30"/>
  <c r="AG8584" i="30" s="1"/>
  <c r="AE8583" i="30"/>
  <c r="AG8583" i="30" s="1"/>
  <c r="AE8582" i="30"/>
  <c r="AG8582" i="30" s="1"/>
  <c r="AE8581" i="30"/>
  <c r="AG8581" i="30" s="1"/>
  <c r="AE8580" i="30"/>
  <c r="AG8580" i="30" s="1"/>
  <c r="AE8579" i="30"/>
  <c r="AG8579" i="30" s="1"/>
  <c r="AE8578" i="30"/>
  <c r="AG8578" i="30" s="1"/>
  <c r="AE8577" i="30"/>
  <c r="AG8577" i="30" s="1"/>
  <c r="AE8576" i="30"/>
  <c r="AG8576" i="30" s="1"/>
  <c r="AE8575" i="30"/>
  <c r="AG8575" i="30" s="1"/>
  <c r="AE8574" i="30"/>
  <c r="AG8574" i="30" s="1"/>
  <c r="AE8573" i="30"/>
  <c r="AG8573" i="30" s="1"/>
  <c r="AE8572" i="30"/>
  <c r="AG8572" i="30" s="1"/>
  <c r="AE8571" i="30"/>
  <c r="AG8571" i="30" s="1"/>
  <c r="AE8570" i="30"/>
  <c r="AG8570" i="30" s="1"/>
  <c r="AE8569" i="30"/>
  <c r="AG8569" i="30" s="1"/>
  <c r="AE8568" i="30"/>
  <c r="AG8568" i="30" s="1"/>
  <c r="AE8567" i="30"/>
  <c r="AG8567" i="30" s="1"/>
  <c r="AE8566" i="30"/>
  <c r="AG8566" i="30" s="1"/>
  <c r="AE8565" i="30"/>
  <c r="AG8565" i="30" s="1"/>
  <c r="AE8564" i="30"/>
  <c r="AG8564" i="30" s="1"/>
  <c r="AE8563" i="30"/>
  <c r="AG8563" i="30" s="1"/>
  <c r="AE8562" i="30"/>
  <c r="AG8562" i="30" s="1"/>
  <c r="AE8561" i="30"/>
  <c r="AG8561" i="30" s="1"/>
  <c r="AE8560" i="30"/>
  <c r="AG8560" i="30" s="1"/>
  <c r="AE8559" i="30"/>
  <c r="AG8559" i="30" s="1"/>
  <c r="AE8558" i="30"/>
  <c r="AG8558" i="30" s="1"/>
  <c r="AE8557" i="30"/>
  <c r="AG8557" i="30" s="1"/>
  <c r="AE8556" i="30"/>
  <c r="AG8556" i="30" s="1"/>
  <c r="AE8555" i="30"/>
  <c r="AG8555" i="30" s="1"/>
  <c r="AE8554" i="30"/>
  <c r="AG8554" i="30" s="1"/>
  <c r="AE8553" i="30"/>
  <c r="AG8553" i="30" s="1"/>
  <c r="AE8552" i="30"/>
  <c r="AG8552" i="30" s="1"/>
  <c r="AE8551" i="30"/>
  <c r="AG8551" i="30" s="1"/>
  <c r="AE8550" i="30"/>
  <c r="AG8550" i="30" s="1"/>
  <c r="AE8549" i="30"/>
  <c r="AG8549" i="30" s="1"/>
  <c r="AE8548" i="30"/>
  <c r="AG8548" i="30" s="1"/>
  <c r="AE8547" i="30"/>
  <c r="AG8547" i="30" s="1"/>
  <c r="AE8546" i="30"/>
  <c r="AG8546" i="30" s="1"/>
  <c r="AE8545" i="30"/>
  <c r="AG8545" i="30" s="1"/>
  <c r="AE8544" i="30"/>
  <c r="AG8544" i="30" s="1"/>
  <c r="AE8543" i="30"/>
  <c r="AG8543" i="30" s="1"/>
  <c r="AE8542" i="30"/>
  <c r="AG8542" i="30" s="1"/>
  <c r="AE8541" i="30"/>
  <c r="AG8541" i="30" s="1"/>
  <c r="AE8540" i="30"/>
  <c r="AG8540" i="30" s="1"/>
  <c r="AE8539" i="30"/>
  <c r="AG8539" i="30" s="1"/>
  <c r="AE8538" i="30"/>
  <c r="AG8538" i="30" s="1"/>
  <c r="AE8537" i="30"/>
  <c r="AG8537" i="30" s="1"/>
  <c r="AE8536" i="30"/>
  <c r="AG8536" i="30" s="1"/>
  <c r="AE8535" i="30"/>
  <c r="AG8535" i="30" s="1"/>
  <c r="AE8534" i="30"/>
  <c r="AG8534" i="30" s="1"/>
  <c r="AE8533" i="30"/>
  <c r="AG8533" i="30" s="1"/>
  <c r="AE8532" i="30"/>
  <c r="AG8532" i="30" s="1"/>
  <c r="AE8531" i="30"/>
  <c r="AG8531" i="30" s="1"/>
  <c r="AE8530" i="30"/>
  <c r="AG8530" i="30" s="1"/>
  <c r="AE8529" i="30"/>
  <c r="AG8529" i="30" s="1"/>
  <c r="AE8528" i="30"/>
  <c r="AG8528" i="30" s="1"/>
  <c r="AE8527" i="30"/>
  <c r="AG8527" i="30" s="1"/>
  <c r="AE8526" i="30"/>
  <c r="AG8526" i="30" s="1"/>
  <c r="AE8525" i="30"/>
  <c r="AG8525" i="30" s="1"/>
  <c r="AE8524" i="30"/>
  <c r="AG8524" i="30" s="1"/>
  <c r="AE8523" i="30"/>
  <c r="AG8523" i="30" s="1"/>
  <c r="AE8522" i="30"/>
  <c r="AG8522" i="30" s="1"/>
  <c r="AE8521" i="30"/>
  <c r="AG8521" i="30" s="1"/>
  <c r="AE8520" i="30"/>
  <c r="AG8520" i="30" s="1"/>
  <c r="AE8519" i="30"/>
  <c r="AG8519" i="30" s="1"/>
  <c r="AE8518" i="30"/>
  <c r="AG8518" i="30" s="1"/>
  <c r="AE8517" i="30"/>
  <c r="AG8517" i="30" s="1"/>
  <c r="AE8516" i="30"/>
  <c r="AG8516" i="30" s="1"/>
  <c r="AE8515" i="30"/>
  <c r="AG8515" i="30" s="1"/>
  <c r="AE8514" i="30"/>
  <c r="AG8514" i="30" s="1"/>
  <c r="AE8513" i="30"/>
  <c r="AG8513" i="30" s="1"/>
  <c r="AE8512" i="30"/>
  <c r="AG8512" i="30" s="1"/>
  <c r="AE8511" i="30"/>
  <c r="AG8511" i="30" s="1"/>
  <c r="AE8510" i="30"/>
  <c r="AG8510" i="30" s="1"/>
  <c r="AE8509" i="30"/>
  <c r="AG8509" i="30" s="1"/>
  <c r="AE8508" i="30"/>
  <c r="AG8508" i="30" s="1"/>
  <c r="AE8507" i="30"/>
  <c r="AG8507" i="30" s="1"/>
  <c r="AE8506" i="30"/>
  <c r="AG8506" i="30" s="1"/>
  <c r="AE8505" i="30"/>
  <c r="AG8505" i="30" s="1"/>
  <c r="AE8504" i="30"/>
  <c r="AG8504" i="30" s="1"/>
  <c r="AE8503" i="30"/>
  <c r="AG8503" i="30" s="1"/>
  <c r="AE8502" i="30"/>
  <c r="AG8502" i="30" s="1"/>
  <c r="AE8501" i="30"/>
  <c r="AG8501" i="30" s="1"/>
  <c r="AE8500" i="30"/>
  <c r="AG8500" i="30" s="1"/>
  <c r="AE8499" i="30"/>
  <c r="AG8499" i="30" s="1"/>
  <c r="AE8498" i="30"/>
  <c r="AG8498" i="30" s="1"/>
  <c r="AE8497" i="30"/>
  <c r="AG8497" i="30" s="1"/>
  <c r="AE8496" i="30"/>
  <c r="AG8496" i="30" s="1"/>
  <c r="AE8495" i="30"/>
  <c r="AG8495" i="30" s="1"/>
  <c r="AE8494" i="30"/>
  <c r="AG8494" i="30" s="1"/>
  <c r="AE8493" i="30"/>
  <c r="AG8493" i="30" s="1"/>
  <c r="AE8492" i="30"/>
  <c r="AG8492" i="30" s="1"/>
  <c r="AE8491" i="30"/>
  <c r="AG8491" i="30" s="1"/>
  <c r="AE8490" i="30"/>
  <c r="AG8490" i="30" s="1"/>
  <c r="AE8489" i="30"/>
  <c r="AG8489" i="30" s="1"/>
  <c r="AE8488" i="30"/>
  <c r="AG8488" i="30" s="1"/>
  <c r="AE8487" i="30"/>
  <c r="AG8487" i="30" s="1"/>
  <c r="AE8486" i="30"/>
  <c r="AG8486" i="30" s="1"/>
  <c r="AE8485" i="30"/>
  <c r="AG8485" i="30" s="1"/>
  <c r="AE8484" i="30"/>
  <c r="AG8484" i="30" s="1"/>
  <c r="AE8483" i="30"/>
  <c r="AG8483" i="30" s="1"/>
  <c r="AE8482" i="30"/>
  <c r="AG8482" i="30" s="1"/>
  <c r="AE8481" i="30"/>
  <c r="AG8481" i="30" s="1"/>
  <c r="AE8480" i="30"/>
  <c r="AG8480" i="30" s="1"/>
  <c r="AE8479" i="30"/>
  <c r="AG8479" i="30" s="1"/>
  <c r="AE8478" i="30"/>
  <c r="AG8478" i="30" s="1"/>
  <c r="AE8477" i="30"/>
  <c r="AG8477" i="30" s="1"/>
  <c r="AE8476" i="30"/>
  <c r="AG8476" i="30" s="1"/>
  <c r="AE8475" i="30"/>
  <c r="AG8475" i="30" s="1"/>
  <c r="AE8474" i="30"/>
  <c r="AG8474" i="30" s="1"/>
  <c r="AE8473" i="30"/>
  <c r="AG8473" i="30" s="1"/>
  <c r="AE8472" i="30"/>
  <c r="AG8472" i="30" s="1"/>
  <c r="AE8471" i="30"/>
  <c r="AG8471" i="30" s="1"/>
  <c r="AE8470" i="30"/>
  <c r="AG8470" i="30" s="1"/>
  <c r="AE8469" i="30"/>
  <c r="AG8469" i="30" s="1"/>
  <c r="AE8468" i="30"/>
  <c r="AG8468" i="30" s="1"/>
  <c r="AE8467" i="30"/>
  <c r="AG8467" i="30" s="1"/>
  <c r="AE8466" i="30"/>
  <c r="AG8466" i="30" s="1"/>
  <c r="AE8465" i="30"/>
  <c r="AG8465" i="30" s="1"/>
  <c r="AE8464" i="30"/>
  <c r="AG8464" i="30" s="1"/>
  <c r="AE8463" i="30"/>
  <c r="AG8463" i="30" s="1"/>
  <c r="AE8462" i="30"/>
  <c r="AG8462" i="30" s="1"/>
  <c r="AE8461" i="30"/>
  <c r="AG8461" i="30" s="1"/>
  <c r="AE8460" i="30"/>
  <c r="AG8460" i="30" s="1"/>
  <c r="AE8459" i="30"/>
  <c r="AG8459" i="30" s="1"/>
  <c r="AE8458" i="30"/>
  <c r="AG8458" i="30" s="1"/>
  <c r="AE8457" i="30"/>
  <c r="AG8457" i="30" s="1"/>
  <c r="AE8456" i="30"/>
  <c r="AG8456" i="30" s="1"/>
  <c r="AE8455" i="30"/>
  <c r="AG8455" i="30" s="1"/>
  <c r="AE8454" i="30"/>
  <c r="AG8454" i="30" s="1"/>
  <c r="AE8453" i="30"/>
  <c r="AG8453" i="30" s="1"/>
  <c r="AE8452" i="30"/>
  <c r="AG8452" i="30" s="1"/>
  <c r="AE8451" i="30"/>
  <c r="AG8451" i="30" s="1"/>
  <c r="AE8450" i="30"/>
  <c r="AG8450" i="30" s="1"/>
  <c r="AE8449" i="30"/>
  <c r="AG8449" i="30" s="1"/>
  <c r="AE8448" i="30"/>
  <c r="AG8448" i="30" s="1"/>
  <c r="AE8447" i="30"/>
  <c r="AG8447" i="30" s="1"/>
  <c r="AE8446" i="30"/>
  <c r="AG8446" i="30" s="1"/>
  <c r="AE8445" i="30"/>
  <c r="AG8445" i="30" s="1"/>
  <c r="AE8444" i="30"/>
  <c r="AG8444" i="30" s="1"/>
  <c r="AE8443" i="30"/>
  <c r="AG8443" i="30" s="1"/>
  <c r="AE8442" i="30"/>
  <c r="AG8442" i="30" s="1"/>
  <c r="AE8441" i="30"/>
  <c r="AG8441" i="30" s="1"/>
  <c r="AE8440" i="30"/>
  <c r="AG8440" i="30" s="1"/>
  <c r="AE8439" i="30"/>
  <c r="AG8439" i="30" s="1"/>
  <c r="AE8438" i="30"/>
  <c r="AG8438" i="30" s="1"/>
  <c r="AE8437" i="30"/>
  <c r="AG8437" i="30" s="1"/>
  <c r="AE8436" i="30"/>
  <c r="AG8436" i="30" s="1"/>
  <c r="AE8435" i="30"/>
  <c r="AG8435" i="30" s="1"/>
  <c r="AE8434" i="30"/>
  <c r="AG8434" i="30" s="1"/>
  <c r="AE8433" i="30"/>
  <c r="AG8433" i="30" s="1"/>
  <c r="AE8432" i="30"/>
  <c r="AG8432" i="30" s="1"/>
  <c r="AE8431" i="30"/>
  <c r="AG8431" i="30" s="1"/>
  <c r="AE8430" i="30"/>
  <c r="AG8430" i="30" s="1"/>
  <c r="AE8429" i="30"/>
  <c r="AG8429" i="30" s="1"/>
  <c r="AE8428" i="30"/>
  <c r="AG8428" i="30" s="1"/>
  <c r="AE8427" i="30"/>
  <c r="AG8427" i="30" s="1"/>
  <c r="AE8426" i="30"/>
  <c r="AG8426" i="30" s="1"/>
  <c r="AE8425" i="30"/>
  <c r="AG8425" i="30" s="1"/>
  <c r="AE8424" i="30"/>
  <c r="AG8424" i="30" s="1"/>
  <c r="AE8423" i="30"/>
  <c r="AG8423" i="30" s="1"/>
  <c r="AE8422" i="30"/>
  <c r="AG8422" i="30" s="1"/>
  <c r="AE8421" i="30"/>
  <c r="AG8421" i="30" s="1"/>
  <c r="AE8420" i="30"/>
  <c r="AG8420" i="30" s="1"/>
  <c r="AE8419" i="30"/>
  <c r="AG8419" i="30" s="1"/>
  <c r="AE8418" i="30"/>
  <c r="AG8418" i="30" s="1"/>
  <c r="AE8417" i="30"/>
  <c r="AG8417" i="30" s="1"/>
  <c r="AE8416" i="30"/>
  <c r="AG8416" i="30" s="1"/>
  <c r="AE8415" i="30"/>
  <c r="AG8415" i="30" s="1"/>
  <c r="AE8414" i="30"/>
  <c r="AG8414" i="30" s="1"/>
  <c r="AE8413" i="30"/>
  <c r="AG8413" i="30" s="1"/>
  <c r="AE8412" i="30"/>
  <c r="AG8412" i="30" s="1"/>
  <c r="AE8411" i="30"/>
  <c r="AG8411" i="30" s="1"/>
  <c r="AE8410" i="30"/>
  <c r="AG8410" i="30" s="1"/>
  <c r="AE8409" i="30"/>
  <c r="AG8409" i="30" s="1"/>
  <c r="AE8408" i="30"/>
  <c r="AG8408" i="30" s="1"/>
  <c r="AE8407" i="30"/>
  <c r="AG8407" i="30" s="1"/>
  <c r="AE8406" i="30"/>
  <c r="AG8406" i="30" s="1"/>
  <c r="AE8405" i="30"/>
  <c r="AG8405" i="30" s="1"/>
  <c r="AE8404" i="30"/>
  <c r="AG8404" i="30" s="1"/>
  <c r="AE8403" i="30"/>
  <c r="AG8403" i="30" s="1"/>
  <c r="AE8402" i="30"/>
  <c r="AG8402" i="30" s="1"/>
  <c r="AE8401" i="30"/>
  <c r="AG8401" i="30" s="1"/>
  <c r="AE8400" i="30"/>
  <c r="AG8400" i="30" s="1"/>
  <c r="AE8399" i="30"/>
  <c r="AG8399" i="30" s="1"/>
  <c r="AE8398" i="30"/>
  <c r="AG8398" i="30" s="1"/>
  <c r="AE8397" i="30"/>
  <c r="AG8397" i="30" s="1"/>
  <c r="AE8396" i="30"/>
  <c r="AG8396" i="30" s="1"/>
  <c r="AE8395" i="30"/>
  <c r="AG8395" i="30" s="1"/>
  <c r="AE8394" i="30"/>
  <c r="AG8394" i="30" s="1"/>
  <c r="AE8393" i="30"/>
  <c r="AG8393" i="30" s="1"/>
  <c r="AE8392" i="30"/>
  <c r="AG8392" i="30" s="1"/>
  <c r="AE8391" i="30"/>
  <c r="AG8391" i="30" s="1"/>
  <c r="AE8390" i="30"/>
  <c r="AG8390" i="30" s="1"/>
  <c r="AE8389" i="30"/>
  <c r="AG8389" i="30" s="1"/>
  <c r="AE8388" i="30"/>
  <c r="AG8388" i="30" s="1"/>
  <c r="AE8387" i="30"/>
  <c r="AG8387" i="30" s="1"/>
  <c r="AE8386" i="30"/>
  <c r="AG8386" i="30" s="1"/>
  <c r="AE8385" i="30"/>
  <c r="AG8385" i="30" s="1"/>
  <c r="AE8384" i="30"/>
  <c r="AG8384" i="30" s="1"/>
  <c r="AE8383" i="30"/>
  <c r="AG8383" i="30" s="1"/>
  <c r="AE8382" i="30"/>
  <c r="AG8382" i="30" s="1"/>
  <c r="AE8381" i="30"/>
  <c r="AG8381" i="30" s="1"/>
  <c r="AE8380" i="30"/>
  <c r="AG8380" i="30" s="1"/>
  <c r="AE8379" i="30"/>
  <c r="AG8379" i="30" s="1"/>
  <c r="AE8378" i="30"/>
  <c r="AG8378" i="30" s="1"/>
  <c r="AE8377" i="30"/>
  <c r="AG8377" i="30" s="1"/>
  <c r="AE8376" i="30"/>
  <c r="AG8376" i="30" s="1"/>
  <c r="AE8375" i="30"/>
  <c r="AG8375" i="30" s="1"/>
  <c r="AE8374" i="30"/>
  <c r="AG8374" i="30" s="1"/>
  <c r="AE8373" i="30"/>
  <c r="AG8373" i="30" s="1"/>
  <c r="AE8372" i="30"/>
  <c r="AG8372" i="30" s="1"/>
  <c r="AE8371" i="30"/>
  <c r="AG8371" i="30" s="1"/>
  <c r="AE8370" i="30"/>
  <c r="AG8370" i="30" s="1"/>
  <c r="AE8369" i="30"/>
  <c r="AG8369" i="30" s="1"/>
  <c r="AE8368" i="30"/>
  <c r="AG8368" i="30" s="1"/>
  <c r="AE8367" i="30"/>
  <c r="AG8367" i="30" s="1"/>
  <c r="AE8366" i="30"/>
  <c r="AG8366" i="30" s="1"/>
  <c r="AE8365" i="30"/>
  <c r="AG8365" i="30" s="1"/>
  <c r="AE8364" i="30"/>
  <c r="AG8364" i="30" s="1"/>
  <c r="AE8363" i="30"/>
  <c r="AG8363" i="30" s="1"/>
  <c r="AE8362" i="30"/>
  <c r="AG8362" i="30" s="1"/>
  <c r="AE8361" i="30"/>
  <c r="AG8361" i="30" s="1"/>
  <c r="AE8360" i="30"/>
  <c r="AG8360" i="30" s="1"/>
  <c r="AE8359" i="30"/>
  <c r="AG8359" i="30" s="1"/>
  <c r="AE8358" i="30"/>
  <c r="AG8358" i="30" s="1"/>
  <c r="AE8357" i="30"/>
  <c r="AG8357" i="30" s="1"/>
  <c r="AE8356" i="30"/>
  <c r="AG8356" i="30" s="1"/>
  <c r="AE8355" i="30"/>
  <c r="AG8355" i="30" s="1"/>
  <c r="AE8354" i="30"/>
  <c r="AG8354" i="30" s="1"/>
  <c r="AE8353" i="30"/>
  <c r="AG8353" i="30" s="1"/>
  <c r="AE8352" i="30"/>
  <c r="AG8352" i="30" s="1"/>
  <c r="AE8351" i="30"/>
  <c r="AG8351" i="30" s="1"/>
  <c r="AE8350" i="30"/>
  <c r="AG8350" i="30" s="1"/>
  <c r="AE8349" i="30"/>
  <c r="AG8349" i="30" s="1"/>
  <c r="AE8348" i="30"/>
  <c r="AG8348" i="30" s="1"/>
  <c r="AE8347" i="30"/>
  <c r="AG8347" i="30" s="1"/>
  <c r="AE8346" i="30"/>
  <c r="AG8346" i="30" s="1"/>
  <c r="AE8345" i="30"/>
  <c r="AG8345" i="30" s="1"/>
  <c r="AE8344" i="30"/>
  <c r="AG8344" i="30" s="1"/>
  <c r="AE8343" i="30"/>
  <c r="AG8343" i="30" s="1"/>
  <c r="AE8342" i="30"/>
  <c r="AG8342" i="30" s="1"/>
  <c r="AE8341" i="30"/>
  <c r="AG8341" i="30" s="1"/>
  <c r="AE8340" i="30"/>
  <c r="AG8340" i="30" s="1"/>
  <c r="AE8339" i="30"/>
  <c r="AG8339" i="30" s="1"/>
  <c r="AE8338" i="30"/>
  <c r="AG8338" i="30" s="1"/>
  <c r="AE8337" i="30"/>
  <c r="AG8337" i="30" s="1"/>
  <c r="AE8336" i="30"/>
  <c r="AG8336" i="30" s="1"/>
  <c r="AE8335" i="30"/>
  <c r="AG8335" i="30" s="1"/>
  <c r="AE8334" i="30"/>
  <c r="AG8334" i="30" s="1"/>
  <c r="AE8333" i="30"/>
  <c r="AG8333" i="30" s="1"/>
  <c r="AE8332" i="30"/>
  <c r="AG8332" i="30" s="1"/>
  <c r="AE8331" i="30"/>
  <c r="AG8331" i="30" s="1"/>
  <c r="AE8330" i="30"/>
  <c r="AG8330" i="30" s="1"/>
  <c r="AE8329" i="30"/>
  <c r="AG8329" i="30" s="1"/>
  <c r="AE8328" i="30"/>
  <c r="AG8328" i="30" s="1"/>
  <c r="AE8327" i="30"/>
  <c r="AG8327" i="30" s="1"/>
  <c r="AE8326" i="30"/>
  <c r="AG8326" i="30" s="1"/>
  <c r="AE8325" i="30"/>
  <c r="AG8325" i="30" s="1"/>
  <c r="AE8324" i="30"/>
  <c r="AG8324" i="30" s="1"/>
  <c r="AE8323" i="30"/>
  <c r="AG8323" i="30" s="1"/>
  <c r="AE8322" i="30"/>
  <c r="AG8322" i="30" s="1"/>
  <c r="AE8321" i="30"/>
  <c r="AG8321" i="30" s="1"/>
  <c r="AE8320" i="30"/>
  <c r="AG8320" i="30" s="1"/>
  <c r="AE8319" i="30"/>
  <c r="AG8319" i="30" s="1"/>
  <c r="AE8318" i="30"/>
  <c r="AG8318" i="30" s="1"/>
  <c r="AE8317" i="30"/>
  <c r="AG8317" i="30" s="1"/>
  <c r="AE8316" i="30"/>
  <c r="AG8316" i="30" s="1"/>
  <c r="AE8315" i="30"/>
  <c r="AG8315" i="30" s="1"/>
  <c r="AE8314" i="30"/>
  <c r="AG8314" i="30" s="1"/>
  <c r="AE8313" i="30"/>
  <c r="AG8313" i="30" s="1"/>
  <c r="AE8312" i="30"/>
  <c r="AG8312" i="30" s="1"/>
  <c r="AE8311" i="30"/>
  <c r="AG8311" i="30" s="1"/>
  <c r="AE8310" i="30"/>
  <c r="AG8310" i="30" s="1"/>
  <c r="AE8309" i="30"/>
  <c r="AG8309" i="30" s="1"/>
  <c r="AE8308" i="30"/>
  <c r="AG8308" i="30" s="1"/>
  <c r="AE8307" i="30"/>
  <c r="AG8307" i="30" s="1"/>
  <c r="AE8306" i="30"/>
  <c r="AG8306" i="30" s="1"/>
  <c r="AE8305" i="30"/>
  <c r="AG8305" i="30" s="1"/>
  <c r="AE8304" i="30"/>
  <c r="AG8304" i="30" s="1"/>
  <c r="AE8303" i="30"/>
  <c r="AG8303" i="30" s="1"/>
  <c r="AE8302" i="30"/>
  <c r="AG8302" i="30" s="1"/>
  <c r="AE8301" i="30"/>
  <c r="AG8301" i="30" s="1"/>
  <c r="AE8300" i="30"/>
  <c r="AG8300" i="30" s="1"/>
  <c r="AE8299" i="30"/>
  <c r="AG8299" i="30" s="1"/>
  <c r="AE8298" i="30"/>
  <c r="AG8298" i="30" s="1"/>
  <c r="AE8297" i="30"/>
  <c r="AG8297" i="30" s="1"/>
  <c r="AE8296" i="30"/>
  <c r="AG8296" i="30" s="1"/>
  <c r="AE8295" i="30"/>
  <c r="AG8295" i="30" s="1"/>
  <c r="AE8294" i="30"/>
  <c r="AG8294" i="30" s="1"/>
  <c r="AE8293" i="30"/>
  <c r="AG8293" i="30" s="1"/>
  <c r="AE8292" i="30"/>
  <c r="AG8292" i="30" s="1"/>
  <c r="AE8291" i="30"/>
  <c r="AG8291" i="30" s="1"/>
  <c r="AE8290" i="30"/>
  <c r="AG8290" i="30" s="1"/>
  <c r="AE8289" i="30"/>
  <c r="AG8289" i="30" s="1"/>
  <c r="AE8288" i="30"/>
  <c r="AG8288" i="30" s="1"/>
  <c r="AE8287" i="30"/>
  <c r="AG8287" i="30" s="1"/>
  <c r="AE8286" i="30"/>
  <c r="AG8286" i="30" s="1"/>
  <c r="AE8285" i="30"/>
  <c r="AG8285" i="30" s="1"/>
  <c r="AE8284" i="30"/>
  <c r="AG8284" i="30" s="1"/>
  <c r="AE8283" i="30"/>
  <c r="AG8283" i="30" s="1"/>
  <c r="AE8282" i="30"/>
  <c r="AG8282" i="30" s="1"/>
  <c r="AE8281" i="30"/>
  <c r="AG8281" i="30" s="1"/>
  <c r="AE8280" i="30"/>
  <c r="AG8280" i="30" s="1"/>
  <c r="AE8279" i="30"/>
  <c r="AG8279" i="30" s="1"/>
  <c r="AE8278" i="30"/>
  <c r="AG8278" i="30" s="1"/>
  <c r="AE8277" i="30"/>
  <c r="AG8277" i="30" s="1"/>
  <c r="AE8276" i="30"/>
  <c r="AG8276" i="30" s="1"/>
  <c r="AE8275" i="30"/>
  <c r="AG8275" i="30" s="1"/>
  <c r="AE8274" i="30"/>
  <c r="AG8274" i="30" s="1"/>
  <c r="AE8273" i="30"/>
  <c r="AG8273" i="30" s="1"/>
  <c r="AE8272" i="30"/>
  <c r="AG8272" i="30" s="1"/>
  <c r="AE8271" i="30"/>
  <c r="AG8271" i="30" s="1"/>
  <c r="AE8270" i="30"/>
  <c r="AG8270" i="30" s="1"/>
  <c r="AE8269" i="30"/>
  <c r="AG8269" i="30" s="1"/>
  <c r="AE8268" i="30"/>
  <c r="AG8268" i="30" s="1"/>
  <c r="AE8267" i="30"/>
  <c r="AG8267" i="30" s="1"/>
  <c r="AE8266" i="30"/>
  <c r="AG8266" i="30" s="1"/>
  <c r="AE8265" i="30"/>
  <c r="AG8265" i="30" s="1"/>
  <c r="AE8264" i="30"/>
  <c r="AG8264" i="30" s="1"/>
  <c r="AE8263" i="30"/>
  <c r="AG8263" i="30" s="1"/>
  <c r="AE8262" i="30"/>
  <c r="AG8262" i="30" s="1"/>
  <c r="AE8261" i="30"/>
  <c r="AG8261" i="30" s="1"/>
  <c r="AE8260" i="30"/>
  <c r="AG8260" i="30" s="1"/>
  <c r="AE8259" i="30"/>
  <c r="AG8259" i="30" s="1"/>
  <c r="AE8258" i="30"/>
  <c r="AG8258" i="30" s="1"/>
  <c r="AE8257" i="30"/>
  <c r="AG8257" i="30" s="1"/>
  <c r="AE8256" i="30"/>
  <c r="AG8256" i="30" s="1"/>
  <c r="AE8255" i="30"/>
  <c r="AG8255" i="30" s="1"/>
  <c r="AE8254" i="30"/>
  <c r="AG8254" i="30" s="1"/>
  <c r="AE8253" i="30"/>
  <c r="AG8253" i="30" s="1"/>
  <c r="AE8252" i="30"/>
  <c r="AG8252" i="30" s="1"/>
  <c r="AE8251" i="30"/>
  <c r="AG8251" i="30" s="1"/>
  <c r="AE8250" i="30"/>
  <c r="AG8250" i="30" s="1"/>
  <c r="AE8249" i="30"/>
  <c r="AG8249" i="30" s="1"/>
  <c r="AE8248" i="30"/>
  <c r="AG8248" i="30" s="1"/>
  <c r="AE8247" i="30"/>
  <c r="AG8247" i="30" s="1"/>
  <c r="AE8246" i="30"/>
  <c r="AG8246" i="30" s="1"/>
  <c r="AE8245" i="30"/>
  <c r="AG8245" i="30" s="1"/>
  <c r="AE8244" i="30"/>
  <c r="AG8244" i="30" s="1"/>
  <c r="AE8243" i="30"/>
  <c r="AG8243" i="30" s="1"/>
  <c r="AE8242" i="30"/>
  <c r="AG8242" i="30" s="1"/>
  <c r="AE8241" i="30"/>
  <c r="AG8241" i="30" s="1"/>
  <c r="AE8240" i="30"/>
  <c r="AG8240" i="30" s="1"/>
  <c r="AE8239" i="30"/>
  <c r="AG8239" i="30" s="1"/>
  <c r="AE8238" i="30"/>
  <c r="AG8238" i="30" s="1"/>
  <c r="AE8237" i="30"/>
  <c r="AG8237" i="30" s="1"/>
  <c r="AE8236" i="30"/>
  <c r="AG8236" i="30" s="1"/>
  <c r="AE8235" i="30"/>
  <c r="AG8235" i="30" s="1"/>
  <c r="AE8234" i="30"/>
  <c r="AG8234" i="30" s="1"/>
  <c r="AE8233" i="30"/>
  <c r="AG8233" i="30" s="1"/>
  <c r="AE8232" i="30"/>
  <c r="AE8231" i="30"/>
  <c r="AE8230" i="30"/>
  <c r="AE8229" i="30"/>
  <c r="AE8228" i="30"/>
  <c r="AE8227" i="30"/>
  <c r="AE8226" i="30"/>
  <c r="AE8225" i="30"/>
  <c r="AE8224" i="30"/>
  <c r="AE8223" i="30"/>
  <c r="AE8222" i="30"/>
  <c r="AE8221" i="30"/>
  <c r="AE8220" i="30"/>
  <c r="AE8219" i="30"/>
  <c r="AE8218" i="30"/>
  <c r="AE8217" i="30"/>
  <c r="AE8216" i="30"/>
  <c r="AE8215" i="30"/>
  <c r="AE8214" i="30"/>
  <c r="AE8213" i="30"/>
  <c r="AE8212" i="30"/>
  <c r="AE8211" i="30"/>
  <c r="AE8210" i="30"/>
  <c r="AE8209" i="30"/>
  <c r="AE8208" i="30"/>
  <c r="AE8207" i="30"/>
  <c r="AE8206" i="30"/>
  <c r="AE8205" i="30"/>
  <c r="AE8204" i="30"/>
  <c r="AE8203" i="30"/>
  <c r="AE8202" i="30"/>
  <c r="AE8201" i="30"/>
  <c r="AE8200" i="30"/>
  <c r="AE8199" i="30"/>
  <c r="AE8198" i="30"/>
  <c r="AE8197" i="30"/>
  <c r="AE8196" i="30"/>
  <c r="AE8195" i="30"/>
  <c r="AE8194" i="30"/>
  <c r="AE8193" i="30"/>
  <c r="AE8192" i="30"/>
  <c r="AE8191" i="30"/>
  <c r="AE8190" i="30"/>
  <c r="AE8189" i="30"/>
  <c r="AE8188" i="30"/>
  <c r="AE8187" i="30"/>
  <c r="AE8186" i="30"/>
  <c r="AE8185" i="30"/>
  <c r="AE8184" i="30"/>
  <c r="AE8183" i="30"/>
  <c r="AE8182" i="30"/>
  <c r="AE8181" i="30"/>
  <c r="AE8180" i="30"/>
  <c r="AE8179" i="30"/>
  <c r="AE8178" i="30"/>
  <c r="AE8177" i="30"/>
  <c r="AE8176" i="30"/>
  <c r="AE8175" i="30"/>
  <c r="AE8174" i="30"/>
  <c r="AE8173" i="30"/>
  <c r="AE8172" i="30"/>
  <c r="AE8171" i="30"/>
  <c r="AE8170" i="30"/>
  <c r="AE8169" i="30"/>
  <c r="AE8168" i="30"/>
  <c r="AE8167" i="30"/>
  <c r="AE8166" i="30"/>
  <c r="AE8165" i="30"/>
  <c r="AE8164" i="30"/>
  <c r="AE8163" i="30"/>
  <c r="AE8162" i="30"/>
  <c r="AE8161" i="30"/>
  <c r="AE8160" i="30"/>
  <c r="AE8159" i="30"/>
  <c r="AE8158" i="30"/>
  <c r="AE8157" i="30"/>
  <c r="AE8156" i="30"/>
  <c r="AE8155" i="30"/>
  <c r="AE8154" i="30"/>
  <c r="AE8153" i="30"/>
  <c r="AE8152" i="30"/>
  <c r="AE8151" i="30"/>
  <c r="AE8150" i="30"/>
  <c r="AE8149" i="30"/>
  <c r="AE8148" i="30"/>
  <c r="AE8147" i="30"/>
  <c r="AE8146" i="30"/>
  <c r="AE8145" i="30"/>
  <c r="AE8144" i="30"/>
  <c r="AE8143" i="30"/>
  <c r="AE8142" i="30"/>
  <c r="AE8141" i="30"/>
  <c r="AE8140" i="30"/>
  <c r="AE8139" i="30"/>
  <c r="AE8138" i="30"/>
  <c r="AE8137" i="30"/>
  <c r="AE8136" i="30"/>
  <c r="AE8135" i="30"/>
  <c r="AE8134" i="30"/>
  <c r="AE8133" i="30"/>
  <c r="AE8132" i="30"/>
  <c r="AE8131" i="30"/>
  <c r="AE8130" i="30"/>
  <c r="AE8129" i="30"/>
  <c r="AE8128" i="30"/>
  <c r="AE8127" i="30"/>
  <c r="AE8126" i="30"/>
  <c r="AE8125" i="30"/>
  <c r="AE8124" i="30"/>
  <c r="AE8123" i="30"/>
  <c r="AE8122" i="30"/>
  <c r="AE8121" i="30"/>
  <c r="AE8120" i="30"/>
  <c r="AE8119" i="30"/>
  <c r="AE8118" i="30"/>
  <c r="AE8117" i="30"/>
  <c r="AE8116" i="30"/>
  <c r="AE8115" i="30"/>
  <c r="AE8114" i="30"/>
  <c r="AE8113" i="30"/>
  <c r="AE8112" i="30"/>
  <c r="AE8111" i="30"/>
  <c r="AE8110" i="30"/>
  <c r="AE8109" i="30"/>
  <c r="AE8108" i="30"/>
  <c r="AE8107" i="30"/>
  <c r="AE8106" i="30"/>
  <c r="AE8105" i="30"/>
  <c r="AE8104" i="30"/>
  <c r="AE8103" i="30"/>
  <c r="AE8102" i="30"/>
  <c r="AE8101" i="30"/>
  <c r="AE8100" i="30"/>
  <c r="AE8099" i="30"/>
  <c r="AE8098" i="30"/>
  <c r="AE8097" i="30"/>
  <c r="AE8096" i="30"/>
  <c r="AE8095" i="30"/>
  <c r="AE8094" i="30"/>
  <c r="AE8093" i="30"/>
  <c r="AE8092" i="30"/>
  <c r="AE8091" i="30"/>
  <c r="AE8090" i="30"/>
  <c r="AE8089" i="30"/>
  <c r="AE8088" i="30"/>
  <c r="AE8087" i="30"/>
  <c r="AE8086" i="30"/>
  <c r="AE8085" i="30"/>
  <c r="AE8084" i="30"/>
  <c r="AE8083" i="30"/>
  <c r="AE8082" i="30"/>
  <c r="AE8081" i="30"/>
  <c r="AE8080" i="30"/>
  <c r="AE8079" i="30"/>
  <c r="AE8078" i="30"/>
  <c r="AE8077" i="30"/>
  <c r="AE8076" i="30"/>
  <c r="AE8075" i="30"/>
  <c r="AE8074" i="30"/>
  <c r="AE8073" i="30"/>
  <c r="AE8072" i="30"/>
  <c r="AE8071" i="30"/>
  <c r="AE8070" i="30"/>
  <c r="AE8069" i="30"/>
  <c r="AE8068" i="30"/>
  <c r="AE8067" i="30"/>
  <c r="AE8066" i="30"/>
  <c r="AE8065" i="30"/>
  <c r="AE8064" i="30"/>
  <c r="AE8063" i="30"/>
  <c r="AE8062" i="30"/>
  <c r="AE8061" i="30"/>
  <c r="AE8060" i="30"/>
  <c r="AE8059" i="30"/>
  <c r="AE8058" i="30"/>
  <c r="AE8057" i="30"/>
  <c r="AE8056" i="30"/>
  <c r="AE8055" i="30"/>
  <c r="AE8054" i="30"/>
  <c r="AE8053" i="30"/>
  <c r="AE8052" i="30"/>
  <c r="AE8051" i="30"/>
  <c r="AE8050" i="30"/>
  <c r="AE8049" i="30"/>
  <c r="AE8048" i="30"/>
  <c r="AE8047" i="30"/>
  <c r="AE8046" i="30"/>
  <c r="AE8045" i="30"/>
  <c r="AE8044" i="30"/>
  <c r="AE8043" i="30"/>
  <c r="AE8042" i="30"/>
  <c r="AE8041" i="30"/>
  <c r="AE8040" i="30"/>
  <c r="AE8039" i="30"/>
  <c r="AE8038" i="30"/>
  <c r="AE8037" i="30"/>
  <c r="AE8036" i="30"/>
  <c r="AE8035" i="30"/>
  <c r="AE8034" i="30"/>
  <c r="AE8033" i="30"/>
  <c r="AE8032" i="30"/>
  <c r="AE8031" i="30"/>
  <c r="AE8030" i="30"/>
  <c r="AE8029" i="30"/>
  <c r="AE8028" i="30"/>
  <c r="AE8027" i="30"/>
  <c r="AE8026" i="30"/>
  <c r="AE8025" i="30"/>
  <c r="AE8024" i="30"/>
  <c r="AE8023" i="30"/>
  <c r="AE8022" i="30"/>
  <c r="AE8021" i="30"/>
  <c r="AE8020" i="30"/>
  <c r="AE8019" i="30"/>
  <c r="AE8018" i="30"/>
  <c r="AE8017" i="30"/>
  <c r="AE8016" i="30"/>
  <c r="AE8015" i="30"/>
  <c r="AE8014" i="30"/>
  <c r="AE8013" i="30"/>
  <c r="AE8012" i="30"/>
  <c r="AE8011" i="30"/>
  <c r="AE8010" i="30"/>
  <c r="AE8009" i="30"/>
  <c r="AE8008" i="30"/>
  <c r="AE8007" i="30"/>
  <c r="AE8006" i="30"/>
  <c r="AE8005" i="30"/>
  <c r="AE8004" i="30"/>
  <c r="AE8003" i="30"/>
  <c r="AE8002" i="30"/>
  <c r="AE8001" i="30"/>
  <c r="AE8000" i="30"/>
  <c r="AE7999" i="30"/>
  <c r="AE7998" i="30"/>
  <c r="AE7997" i="30"/>
  <c r="AE7996" i="30"/>
  <c r="AE7995" i="30"/>
  <c r="AE7994" i="30"/>
  <c r="AE7993" i="30"/>
  <c r="AE7992" i="30"/>
  <c r="AE7991" i="30"/>
  <c r="AE7990" i="30"/>
  <c r="AE7989" i="30"/>
  <c r="AE7988" i="30"/>
  <c r="AE7987" i="30"/>
  <c r="AE7986" i="30"/>
  <c r="AE7985" i="30"/>
  <c r="AE7984" i="30"/>
  <c r="AE7983" i="30"/>
  <c r="AE7982" i="30"/>
  <c r="AE7981" i="30"/>
  <c r="AE7980" i="30"/>
  <c r="AE7979" i="30"/>
  <c r="AE7978" i="30"/>
  <c r="AE7977" i="30"/>
  <c r="AE7976" i="30"/>
  <c r="AE7975" i="30"/>
  <c r="AE7974" i="30"/>
  <c r="AE7973" i="30"/>
  <c r="AE7972" i="30"/>
  <c r="AE7971" i="30"/>
  <c r="AE7970" i="30"/>
  <c r="AE7969" i="30"/>
  <c r="AE7968" i="30"/>
  <c r="AE7967" i="30"/>
  <c r="AE7966" i="30"/>
  <c r="AE7965" i="30"/>
  <c r="AE7964" i="30"/>
  <c r="AE7963" i="30"/>
  <c r="AE7962" i="30"/>
  <c r="AE7961" i="30"/>
  <c r="AE7960" i="30"/>
  <c r="AE7959" i="30"/>
  <c r="AE7958" i="30"/>
  <c r="AE7957" i="30"/>
  <c r="AE7956" i="30"/>
  <c r="AE7955" i="30"/>
  <c r="AE7954" i="30"/>
  <c r="AE7953" i="30"/>
  <c r="AE7952" i="30"/>
  <c r="AE7951" i="30"/>
  <c r="AE7950" i="30"/>
  <c r="AE7949" i="30"/>
  <c r="AE7948" i="30"/>
  <c r="AE7947" i="30"/>
  <c r="AE7946" i="30"/>
  <c r="AE7945" i="30"/>
  <c r="AE7944" i="30"/>
  <c r="AE7943" i="30"/>
  <c r="AE7942" i="30"/>
  <c r="AE7941" i="30"/>
  <c r="AE7940" i="30"/>
  <c r="AE7939" i="30"/>
  <c r="AE7938" i="30"/>
  <c r="AE7937" i="30"/>
  <c r="AE7936" i="30"/>
  <c r="AE7935" i="30"/>
  <c r="AE7934" i="30"/>
  <c r="AE7933" i="30"/>
  <c r="AE7932" i="30"/>
  <c r="AE7931" i="30"/>
  <c r="AE7930" i="30"/>
  <c r="AE7929" i="30"/>
  <c r="AE7928" i="30"/>
  <c r="AE7927" i="30"/>
  <c r="AE7926" i="30"/>
  <c r="AE7925" i="30"/>
  <c r="AE7924" i="30"/>
  <c r="AE7923" i="30"/>
  <c r="AE7922" i="30"/>
  <c r="AE7921" i="30"/>
  <c r="AE7920" i="30"/>
  <c r="AE7919" i="30"/>
  <c r="AE7918" i="30"/>
  <c r="AE7917" i="30"/>
  <c r="AE7916" i="30"/>
  <c r="AE7915" i="30"/>
  <c r="AE7914" i="30"/>
  <c r="AE7913" i="30"/>
  <c r="AE7912" i="30"/>
  <c r="AE7911" i="30"/>
  <c r="AE7910" i="30"/>
  <c r="AE7909" i="30"/>
  <c r="AE7908" i="30"/>
  <c r="AE7907" i="30"/>
  <c r="AE7906" i="30"/>
  <c r="AE7905" i="30"/>
  <c r="AE7904" i="30"/>
  <c r="AE7903" i="30"/>
  <c r="AE7902" i="30"/>
  <c r="AE7901" i="30"/>
  <c r="AE7900" i="30"/>
  <c r="AE7899" i="30"/>
  <c r="AE7898" i="30"/>
  <c r="AE7897" i="30"/>
  <c r="AE7896" i="30"/>
  <c r="AE7895" i="30"/>
  <c r="AE7894" i="30"/>
  <c r="AE7893" i="30"/>
  <c r="AE7892" i="30"/>
  <c r="AE7891" i="30"/>
  <c r="AE7890" i="30"/>
  <c r="AE7889" i="30"/>
  <c r="AE7888" i="30"/>
  <c r="AE7887" i="30"/>
  <c r="AE7886" i="30"/>
  <c r="AE7885" i="30"/>
  <c r="AE7884" i="30"/>
  <c r="AE7883" i="30"/>
  <c r="AE7882" i="30"/>
  <c r="AE7881" i="30"/>
  <c r="AE7880" i="30"/>
  <c r="AE7879" i="30"/>
  <c r="AE7878" i="30"/>
  <c r="AE7877" i="30"/>
  <c r="AE7876" i="30"/>
  <c r="AE7875" i="30"/>
  <c r="AE7874" i="30"/>
  <c r="AE7873" i="30"/>
  <c r="AE7872" i="30"/>
  <c r="AE7871" i="30"/>
  <c r="AE7870" i="30"/>
  <c r="AE7869" i="30"/>
  <c r="AE7868" i="30"/>
  <c r="AE7867" i="30"/>
  <c r="AE7866" i="30"/>
  <c r="AE7865" i="30"/>
  <c r="AE7864" i="30"/>
  <c r="AE7863" i="30"/>
  <c r="AE7862" i="30"/>
  <c r="AE7861" i="30"/>
  <c r="AE7860" i="30"/>
  <c r="AE7859" i="30"/>
  <c r="AE7858" i="30"/>
  <c r="AE7857" i="30"/>
  <c r="AE7856" i="30"/>
  <c r="AE7855" i="30"/>
  <c r="AE7854" i="30"/>
  <c r="AE7853" i="30"/>
  <c r="AE7852" i="30"/>
  <c r="AE7851" i="30"/>
  <c r="AE7850" i="30"/>
  <c r="AE7849" i="30"/>
  <c r="AE7848" i="30"/>
  <c r="AE7847" i="30"/>
  <c r="AE7846" i="30"/>
  <c r="AE7845" i="30"/>
  <c r="AE7844" i="30"/>
  <c r="AE7843" i="30"/>
  <c r="AE7842" i="30"/>
  <c r="AE7841" i="30"/>
  <c r="AE7840" i="30"/>
  <c r="AE7839" i="30"/>
  <c r="AE7838" i="30"/>
  <c r="AE7837" i="30"/>
  <c r="AE7836" i="30"/>
  <c r="AE7835" i="30"/>
  <c r="AE7834" i="30"/>
  <c r="AE7833" i="30"/>
  <c r="AE7832" i="30"/>
  <c r="AE7831" i="30"/>
  <c r="AE7830" i="30"/>
  <c r="AE7829" i="30"/>
  <c r="AE7828" i="30"/>
  <c r="AE7827" i="30"/>
  <c r="AE7826" i="30"/>
  <c r="AE7825" i="30"/>
  <c r="AE7824" i="30"/>
  <c r="AE7823" i="30"/>
  <c r="AE7822" i="30"/>
  <c r="AE7821" i="30"/>
  <c r="AE7820" i="30"/>
  <c r="AE7819" i="30"/>
  <c r="AE7818" i="30"/>
  <c r="AE7817" i="30"/>
  <c r="AE7816" i="30"/>
  <c r="AE7815" i="30"/>
  <c r="AE7814" i="30"/>
  <c r="AE7813" i="30"/>
  <c r="AE7812" i="30"/>
  <c r="AE7811" i="30"/>
  <c r="AE7810" i="30"/>
  <c r="AE7809" i="30"/>
  <c r="AE7808" i="30"/>
  <c r="AE7807" i="30"/>
  <c r="AE7806" i="30"/>
  <c r="AE7805" i="30"/>
  <c r="AE7804" i="30"/>
  <c r="AE7803" i="30"/>
  <c r="AE7802" i="30"/>
  <c r="AE7801" i="30"/>
  <c r="AE7800" i="30"/>
  <c r="AE7799" i="30"/>
  <c r="AE7798" i="30"/>
  <c r="AE7797" i="30"/>
  <c r="AE7796" i="30"/>
  <c r="AE7795" i="30"/>
  <c r="AE7794" i="30"/>
  <c r="AE7793" i="30"/>
  <c r="AE7792" i="30"/>
  <c r="AE7791" i="30"/>
  <c r="AE7790" i="30"/>
  <c r="AE7789" i="30"/>
  <c r="AE7788" i="30"/>
  <c r="AE7787" i="30"/>
  <c r="AE7786" i="30"/>
  <c r="AE7785" i="30"/>
  <c r="AE7784" i="30"/>
  <c r="AE7783" i="30"/>
  <c r="AE7782" i="30"/>
  <c r="AE7781" i="30"/>
  <c r="AE7780" i="30"/>
  <c r="AE7779" i="30"/>
  <c r="AE7778" i="30"/>
  <c r="AE7777" i="30"/>
  <c r="AE7776" i="30"/>
  <c r="AE7775" i="30"/>
  <c r="AE7774" i="30"/>
  <c r="AE7773" i="30"/>
  <c r="AE7772" i="30"/>
  <c r="AE7771" i="30"/>
  <c r="AE7770" i="30"/>
  <c r="AE7769" i="30"/>
  <c r="AE7768" i="30"/>
  <c r="AE7767" i="30"/>
  <c r="AE7766" i="30"/>
  <c r="AE7765" i="30"/>
  <c r="AE7764" i="30"/>
  <c r="AE7763" i="30"/>
  <c r="AE7762" i="30"/>
  <c r="AE7761" i="30"/>
  <c r="AE7760" i="30"/>
  <c r="AE7759" i="30"/>
  <c r="AE7758" i="30"/>
  <c r="AE7757" i="30"/>
  <c r="AE7756" i="30"/>
  <c r="AE7755" i="30"/>
  <c r="AE7754" i="30"/>
  <c r="AE7753" i="30"/>
  <c r="AE7752" i="30"/>
  <c r="AE7751" i="30"/>
  <c r="AE7750" i="30"/>
  <c r="AE7749" i="30"/>
  <c r="AE7748" i="30"/>
  <c r="AE7747" i="30"/>
  <c r="AE7746" i="30"/>
  <c r="AE7745" i="30"/>
  <c r="AE7744" i="30"/>
  <c r="AE7743" i="30"/>
  <c r="AE7742" i="30"/>
  <c r="AE7741" i="30"/>
  <c r="AE7740" i="30"/>
  <c r="AE7739" i="30"/>
  <c r="AE7738" i="30"/>
  <c r="AE7737" i="30"/>
  <c r="AE7736" i="30"/>
  <c r="AE7735" i="30"/>
  <c r="AE7734" i="30"/>
  <c r="AE7733" i="30"/>
  <c r="AE7732" i="30"/>
  <c r="AE7731" i="30"/>
  <c r="AE7730" i="30"/>
  <c r="AE7729" i="30"/>
  <c r="AE7728" i="30"/>
  <c r="AE7727" i="30"/>
  <c r="AE7726" i="30"/>
  <c r="AE7725" i="30"/>
  <c r="AE7724" i="30"/>
  <c r="AE7723" i="30"/>
  <c r="AE7722" i="30"/>
  <c r="AE7721" i="30"/>
  <c r="AE7720" i="30"/>
  <c r="AE7719" i="30"/>
  <c r="AE7718" i="30"/>
  <c r="AE7717" i="30"/>
  <c r="AE7716" i="30"/>
  <c r="AE7715" i="30"/>
  <c r="AE7714" i="30"/>
  <c r="AE7713" i="30"/>
  <c r="AE7712" i="30"/>
  <c r="AE7711" i="30"/>
  <c r="AE7710" i="30"/>
  <c r="AE7709" i="30"/>
  <c r="AE7708" i="30"/>
  <c r="AE7707" i="30"/>
  <c r="AE7706" i="30"/>
  <c r="AE7705" i="30"/>
  <c r="AE7704" i="30"/>
  <c r="AE7703" i="30"/>
  <c r="AE7702" i="30"/>
  <c r="AE7701" i="30"/>
  <c r="AE7700" i="30"/>
  <c r="AE7699" i="30"/>
  <c r="AE7698" i="30"/>
  <c r="AE7697" i="30"/>
  <c r="AE7696" i="30"/>
  <c r="AE7695" i="30"/>
  <c r="AE7694" i="30"/>
  <c r="AE7693" i="30"/>
  <c r="AE7692" i="30"/>
  <c r="AE7691" i="30"/>
  <c r="AE7690" i="30"/>
  <c r="AE7689" i="30"/>
  <c r="AE7688" i="30"/>
  <c r="AE7687" i="30"/>
  <c r="AE7686" i="30"/>
  <c r="AE7685" i="30"/>
  <c r="AE7684" i="30"/>
  <c r="AE7683" i="30"/>
  <c r="AE7682" i="30"/>
  <c r="AE7681" i="30"/>
  <c r="AE7680" i="30"/>
  <c r="AE7679" i="30"/>
  <c r="AE7678" i="30"/>
  <c r="AE7677" i="30"/>
  <c r="AE7676" i="30"/>
  <c r="AE7675" i="30"/>
  <c r="AE7674" i="30"/>
  <c r="AE7673" i="30"/>
  <c r="AE7672" i="30"/>
  <c r="AE7671" i="30"/>
  <c r="AE7670" i="30"/>
  <c r="AE7669" i="30"/>
  <c r="AE7668" i="30"/>
  <c r="AE7667" i="30"/>
  <c r="AE7666" i="30"/>
  <c r="AE7665" i="30"/>
  <c r="AE7664" i="30"/>
  <c r="AE7663" i="30"/>
  <c r="AE7662" i="30"/>
  <c r="AE7661" i="30"/>
  <c r="AE7660" i="30"/>
  <c r="AE7659" i="30"/>
  <c r="AE7658" i="30"/>
  <c r="AE7657" i="30"/>
  <c r="AE7656" i="30"/>
  <c r="AE7655" i="30"/>
  <c r="AE7654" i="30"/>
  <c r="AE7653" i="30"/>
  <c r="AE7652" i="30"/>
  <c r="AE7651" i="30"/>
  <c r="AE7650" i="30"/>
  <c r="AE7649" i="30"/>
  <c r="AE7648" i="30"/>
  <c r="AE7647" i="30"/>
  <c r="AE7646" i="30"/>
  <c r="AE7645" i="30"/>
  <c r="AE7644" i="30"/>
  <c r="AE7643" i="30"/>
  <c r="AE7642" i="30"/>
  <c r="AE7641" i="30"/>
  <c r="AE7640" i="30"/>
  <c r="AE7639" i="30"/>
  <c r="AE7638" i="30"/>
  <c r="AE7637" i="30"/>
  <c r="AE7636" i="30"/>
  <c r="AE7635" i="30"/>
  <c r="AE7634" i="30"/>
  <c r="AE7633" i="30"/>
  <c r="AE7632" i="30"/>
  <c r="AE7631" i="30"/>
  <c r="AE7630" i="30"/>
  <c r="AE7629" i="30"/>
  <c r="AE7628" i="30"/>
  <c r="AE7627" i="30"/>
  <c r="AE7626" i="30"/>
  <c r="AE7625" i="30"/>
  <c r="AE7624" i="30"/>
  <c r="AE7623" i="30"/>
  <c r="AE7622" i="30"/>
  <c r="AE7621" i="30"/>
  <c r="AE7620" i="30"/>
  <c r="AE7619" i="30"/>
  <c r="AE7618" i="30"/>
  <c r="AE7617" i="30"/>
  <c r="AE7616" i="30"/>
  <c r="AE7615" i="30"/>
  <c r="AE7614" i="30"/>
  <c r="AE7613" i="30"/>
  <c r="AE7612" i="30"/>
  <c r="AE7611" i="30"/>
  <c r="AE7610" i="30"/>
  <c r="AE7609" i="30"/>
  <c r="AE7608" i="30"/>
  <c r="AE7607" i="30"/>
  <c r="AE7606" i="30"/>
  <c r="AE7605" i="30"/>
  <c r="AE7604" i="30"/>
  <c r="AE7603" i="30"/>
  <c r="AE7602" i="30"/>
  <c r="AE7601" i="30"/>
  <c r="AE7600" i="30"/>
  <c r="AE7599" i="30"/>
  <c r="AE7598" i="30"/>
  <c r="AE7597" i="30"/>
  <c r="AE7596" i="30"/>
  <c r="AE7595" i="30"/>
  <c r="AE7594" i="30"/>
  <c r="AE7593" i="30"/>
  <c r="AE7592" i="30"/>
  <c r="AE7591" i="30"/>
  <c r="AE7590" i="30"/>
  <c r="AE7589" i="30"/>
  <c r="AE7588" i="30"/>
  <c r="AE7587" i="30"/>
  <c r="AE7586" i="30"/>
  <c r="AE7585" i="30"/>
  <c r="AE7584" i="30"/>
  <c r="AE7583" i="30"/>
  <c r="AE7582" i="30"/>
  <c r="AE7581" i="30"/>
  <c r="AE7580" i="30"/>
  <c r="AE7579" i="30"/>
  <c r="AE7578" i="30"/>
  <c r="AE7577" i="30"/>
  <c r="AE7576" i="30"/>
  <c r="AE7575" i="30"/>
  <c r="AE7574" i="30"/>
  <c r="AE7573" i="30"/>
  <c r="AE7572" i="30"/>
  <c r="AE7571" i="30"/>
  <c r="AE7570" i="30"/>
  <c r="AE7569" i="30"/>
  <c r="AE7568" i="30"/>
  <c r="AE7567" i="30"/>
  <c r="AE7566" i="30"/>
  <c r="AE7565" i="30"/>
  <c r="AE7564" i="30"/>
  <c r="AE7563" i="30"/>
  <c r="AE7562" i="30"/>
  <c r="AE7561" i="30"/>
  <c r="AE7560" i="30"/>
  <c r="AE7559" i="30"/>
  <c r="AE7558" i="30"/>
  <c r="AE7557" i="30"/>
  <c r="AE7556" i="30"/>
  <c r="AE7555" i="30"/>
  <c r="AE7554" i="30"/>
  <c r="AE7553" i="30"/>
  <c r="AE7552" i="30"/>
  <c r="AE7551" i="30"/>
  <c r="AE7550" i="30"/>
  <c r="AE7549" i="30"/>
  <c r="AE7548" i="30"/>
  <c r="AE7547" i="30"/>
  <c r="AE7546" i="30"/>
  <c r="AE7545" i="30"/>
  <c r="AE7544" i="30"/>
  <c r="AE7543" i="30"/>
  <c r="AE7542" i="30"/>
  <c r="AE7541" i="30"/>
  <c r="AE7540" i="30"/>
  <c r="AE7539" i="30"/>
  <c r="AE7538" i="30"/>
  <c r="AE7537" i="30"/>
  <c r="AE7536" i="30"/>
  <c r="AE7535" i="30"/>
  <c r="AE7534" i="30"/>
  <c r="AE7533" i="30"/>
  <c r="AE7532" i="30"/>
  <c r="AE7531" i="30"/>
  <c r="AE7530" i="30"/>
  <c r="AE7529" i="30"/>
  <c r="AE7528" i="30"/>
  <c r="AE7527" i="30"/>
  <c r="AE7526" i="30"/>
  <c r="AE7525" i="30"/>
  <c r="AE7524" i="30"/>
  <c r="AE7523" i="30"/>
  <c r="AE7522" i="30"/>
  <c r="AE7521" i="30"/>
  <c r="AE7520" i="30"/>
  <c r="AE7519" i="30"/>
  <c r="AE7518" i="30"/>
  <c r="AE7517" i="30"/>
  <c r="AE7516" i="30"/>
  <c r="AE7515" i="30"/>
  <c r="AE7514" i="30"/>
  <c r="AE7513" i="30"/>
  <c r="AE7512" i="30"/>
  <c r="AE7511" i="30"/>
  <c r="AE7510" i="30"/>
  <c r="AE7509" i="30"/>
  <c r="AE7508" i="30"/>
  <c r="AE7507" i="30"/>
  <c r="AE7506" i="30"/>
  <c r="AE7505" i="30"/>
  <c r="AE7504" i="30"/>
  <c r="AE7503" i="30"/>
  <c r="AE7502" i="30"/>
  <c r="AE7501" i="30"/>
  <c r="AE7500" i="30"/>
  <c r="AE7499" i="30"/>
  <c r="AE7498" i="30"/>
  <c r="AE7497" i="30"/>
  <c r="AE7496" i="30"/>
  <c r="AE7495" i="30"/>
  <c r="AE7494" i="30"/>
  <c r="AE7493" i="30"/>
  <c r="AE7492" i="30"/>
  <c r="AE7491" i="30"/>
  <c r="AE7490" i="30"/>
  <c r="AE7489" i="30"/>
  <c r="AE7488" i="30"/>
  <c r="AE7487" i="30"/>
  <c r="AE7486" i="30"/>
  <c r="AE7485" i="30"/>
  <c r="AE7484" i="30"/>
  <c r="AE7483" i="30"/>
  <c r="AE7482" i="30"/>
  <c r="AE7481" i="30"/>
  <c r="AE7480" i="30"/>
  <c r="AE7479" i="30"/>
  <c r="AE7478" i="30"/>
  <c r="AE7477" i="30"/>
  <c r="AE7476" i="30"/>
  <c r="AE7475" i="30"/>
  <c r="AE7474" i="30"/>
  <c r="AG7474" i="30" s="1"/>
  <c r="AE7473" i="30"/>
  <c r="AG7473" i="30" s="1"/>
  <c r="AE7472" i="30"/>
  <c r="AG7472" i="30" s="1"/>
  <c r="AE7471" i="30"/>
  <c r="AG7471" i="30" s="1"/>
  <c r="AE7470" i="30"/>
  <c r="AG7470" i="30" s="1"/>
  <c r="AE7469" i="30"/>
  <c r="AG7469" i="30" s="1"/>
  <c r="AE7468" i="30"/>
  <c r="AG7468" i="30" s="1"/>
  <c r="AE7467" i="30"/>
  <c r="AG7467" i="30" s="1"/>
  <c r="AE7466" i="30"/>
  <c r="AG7466" i="30" s="1"/>
  <c r="AE7465" i="30"/>
  <c r="AG7465" i="30" s="1"/>
  <c r="AE7464" i="30"/>
  <c r="AG7464" i="30" s="1"/>
  <c r="AE7463" i="30"/>
  <c r="AG7463" i="30" s="1"/>
  <c r="AE7462" i="30"/>
  <c r="AG7462" i="30" s="1"/>
  <c r="AE7461" i="30"/>
  <c r="AG7461" i="30" s="1"/>
  <c r="AE7460" i="30"/>
  <c r="AG7460" i="30" s="1"/>
  <c r="AE7459" i="30"/>
  <c r="AG7459" i="30" s="1"/>
  <c r="AE7458" i="30"/>
  <c r="AG7458" i="30" s="1"/>
  <c r="AE7457" i="30"/>
  <c r="AG7457" i="30" s="1"/>
  <c r="AE7456" i="30"/>
  <c r="AG7456" i="30" s="1"/>
  <c r="AE7455" i="30"/>
  <c r="AG7455" i="30" s="1"/>
  <c r="AE7454" i="30"/>
  <c r="AG7454" i="30" s="1"/>
  <c r="AE7453" i="30"/>
  <c r="AG7453" i="30" s="1"/>
  <c r="AE7452" i="30"/>
  <c r="AG7452" i="30" s="1"/>
  <c r="AE7451" i="30"/>
  <c r="AG7451" i="30" s="1"/>
  <c r="AE7450" i="30"/>
  <c r="AG7450" i="30" s="1"/>
  <c r="AE7449" i="30"/>
  <c r="AG7449" i="30" s="1"/>
  <c r="AE7448" i="30"/>
  <c r="AG7448" i="30" s="1"/>
  <c r="AE7447" i="30"/>
  <c r="AG7447" i="30" s="1"/>
  <c r="AE7446" i="30"/>
  <c r="AG7446" i="30" s="1"/>
  <c r="AE7445" i="30"/>
  <c r="AG7445" i="30" s="1"/>
  <c r="AE7444" i="30"/>
  <c r="AG7444" i="30" s="1"/>
  <c r="AE7443" i="30"/>
  <c r="AG7443" i="30" s="1"/>
  <c r="AE7442" i="30"/>
  <c r="AG7442" i="30" s="1"/>
  <c r="AE7441" i="30"/>
  <c r="AG7441" i="30" s="1"/>
  <c r="AE7440" i="30"/>
  <c r="AG7440" i="30" s="1"/>
  <c r="AE7439" i="30"/>
  <c r="AG7439" i="30" s="1"/>
  <c r="AE7438" i="30"/>
  <c r="AG7438" i="30" s="1"/>
  <c r="AE7437" i="30"/>
  <c r="AG7437" i="30" s="1"/>
  <c r="AE7436" i="30"/>
  <c r="AG7436" i="30" s="1"/>
  <c r="AE7435" i="30"/>
  <c r="AG7435" i="30" s="1"/>
  <c r="AE7434" i="30"/>
  <c r="AG7434" i="30" s="1"/>
  <c r="AE7433" i="30"/>
  <c r="AG7433" i="30" s="1"/>
  <c r="AE7432" i="30"/>
  <c r="AG7432" i="30" s="1"/>
  <c r="AE7431" i="30"/>
  <c r="AG7431" i="30" s="1"/>
  <c r="AE7430" i="30"/>
  <c r="AG7430" i="30" s="1"/>
  <c r="AE7429" i="30"/>
  <c r="AG7429" i="30" s="1"/>
  <c r="AE7428" i="30"/>
  <c r="AG7428" i="30" s="1"/>
  <c r="AE7427" i="30"/>
  <c r="AG7427" i="30" s="1"/>
  <c r="AE7426" i="30"/>
  <c r="AG7426" i="30" s="1"/>
  <c r="AE7425" i="30"/>
  <c r="AG7425" i="30" s="1"/>
  <c r="AE7424" i="30"/>
  <c r="AG7424" i="30" s="1"/>
  <c r="AE7423" i="30"/>
  <c r="AG7423" i="30" s="1"/>
  <c r="AE7422" i="30"/>
  <c r="AG7422" i="30" s="1"/>
  <c r="AE7421" i="30"/>
  <c r="AG7421" i="30" s="1"/>
  <c r="AE7420" i="30"/>
  <c r="AG7420" i="30" s="1"/>
  <c r="AE7419" i="30"/>
  <c r="AG7419" i="30" s="1"/>
  <c r="AE7418" i="30"/>
  <c r="AG7418" i="30" s="1"/>
  <c r="AE7417" i="30"/>
  <c r="AG7417" i="30" s="1"/>
  <c r="AE7416" i="30"/>
  <c r="AG7416" i="30" s="1"/>
  <c r="AE7415" i="30"/>
  <c r="AG7415" i="30" s="1"/>
  <c r="AE7414" i="30"/>
  <c r="AG7414" i="30" s="1"/>
  <c r="AE7413" i="30"/>
  <c r="AG7413" i="30" s="1"/>
  <c r="AE7412" i="30"/>
  <c r="AG7412" i="30" s="1"/>
  <c r="AE7411" i="30"/>
  <c r="AG7411" i="30" s="1"/>
  <c r="AE7410" i="30"/>
  <c r="AG7410" i="30" s="1"/>
  <c r="AE7409" i="30"/>
  <c r="AG7409" i="30" s="1"/>
  <c r="AE7408" i="30"/>
  <c r="AG7408" i="30" s="1"/>
  <c r="AE7407" i="30"/>
  <c r="AG7407" i="30" s="1"/>
  <c r="AE7406" i="30"/>
  <c r="AG7406" i="30" s="1"/>
  <c r="AE7405" i="30"/>
  <c r="AG7405" i="30" s="1"/>
  <c r="AE7404" i="30"/>
  <c r="AG7404" i="30" s="1"/>
  <c r="AE7403" i="30"/>
  <c r="AG7403" i="30" s="1"/>
  <c r="AE7402" i="30"/>
  <c r="AG7402" i="30" s="1"/>
  <c r="AE7401" i="30"/>
  <c r="AG7401" i="30" s="1"/>
  <c r="AE7400" i="30"/>
  <c r="AG7400" i="30" s="1"/>
  <c r="AE7399" i="30"/>
  <c r="AG7399" i="30" s="1"/>
  <c r="AE7398" i="30"/>
  <c r="AG7398" i="30" s="1"/>
  <c r="AE7397" i="30"/>
  <c r="AG7397" i="30" s="1"/>
  <c r="AE7396" i="30"/>
  <c r="AG7396" i="30" s="1"/>
  <c r="AE7395" i="30"/>
  <c r="AG7395" i="30" s="1"/>
  <c r="AE7394" i="30"/>
  <c r="AG7394" i="30" s="1"/>
  <c r="AE7393" i="30"/>
  <c r="AG7393" i="30" s="1"/>
  <c r="AE7392" i="30"/>
  <c r="AG7392" i="30" s="1"/>
  <c r="AE7391" i="30"/>
  <c r="AG7391" i="30" s="1"/>
  <c r="AE7390" i="30"/>
  <c r="AG7390" i="30" s="1"/>
  <c r="AE7389" i="30"/>
  <c r="AG7389" i="30" s="1"/>
  <c r="AE7388" i="30"/>
  <c r="AG7388" i="30" s="1"/>
  <c r="AE7387" i="30"/>
  <c r="AG7387" i="30" s="1"/>
  <c r="AE7386" i="30"/>
  <c r="AG7386" i="30" s="1"/>
  <c r="AE7385" i="30"/>
  <c r="AG7385" i="30" s="1"/>
  <c r="AE7384" i="30"/>
  <c r="AG7384" i="30" s="1"/>
  <c r="AE7383" i="30"/>
  <c r="AG7383" i="30" s="1"/>
  <c r="AE7382" i="30"/>
  <c r="AG7382" i="30" s="1"/>
  <c r="AE7381" i="30"/>
  <c r="AG7381" i="30" s="1"/>
  <c r="AE7380" i="30"/>
  <c r="AG7380" i="30" s="1"/>
  <c r="AE7379" i="30"/>
  <c r="AG7379" i="30" s="1"/>
  <c r="AE7378" i="30"/>
  <c r="AG7378" i="30" s="1"/>
  <c r="AE7377" i="30"/>
  <c r="AG7377" i="30" s="1"/>
  <c r="AE7376" i="30"/>
  <c r="AG7376" i="30" s="1"/>
  <c r="AE7375" i="30"/>
  <c r="AG7375" i="30" s="1"/>
  <c r="AE7374" i="30"/>
  <c r="AG7374" i="30" s="1"/>
  <c r="AE7373" i="30"/>
  <c r="AG7373" i="30" s="1"/>
  <c r="AE7372" i="30"/>
  <c r="AG7372" i="30" s="1"/>
  <c r="AE7371" i="30"/>
  <c r="AG7371" i="30" s="1"/>
  <c r="AE7370" i="30"/>
  <c r="AG7370" i="30" s="1"/>
  <c r="AE7369" i="30"/>
  <c r="AG7369" i="30" s="1"/>
  <c r="AE7368" i="30"/>
  <c r="AG7368" i="30" s="1"/>
  <c r="AE7367" i="30"/>
  <c r="AG7367" i="30" s="1"/>
  <c r="AE7366" i="30"/>
  <c r="AG7366" i="30" s="1"/>
  <c r="AE7365" i="30"/>
  <c r="AG7365" i="30" s="1"/>
  <c r="AE7364" i="30"/>
  <c r="AG7364" i="30" s="1"/>
  <c r="AE7363" i="30"/>
  <c r="AG7363" i="30" s="1"/>
  <c r="AE7362" i="30"/>
  <c r="AG7362" i="30" s="1"/>
  <c r="AE7361" i="30"/>
  <c r="AG7361" i="30" s="1"/>
  <c r="AE7360" i="30"/>
  <c r="AG7360" i="30" s="1"/>
  <c r="AE7359" i="30"/>
  <c r="AG7359" i="30" s="1"/>
  <c r="AE7358" i="30"/>
  <c r="AG7358" i="30" s="1"/>
  <c r="AE7357" i="30"/>
  <c r="AG7357" i="30" s="1"/>
  <c r="AE7356" i="30"/>
  <c r="AG7356" i="30" s="1"/>
  <c r="AE7355" i="30"/>
  <c r="AG7355" i="30" s="1"/>
  <c r="AE7354" i="30"/>
  <c r="AG7354" i="30" s="1"/>
  <c r="AE7353" i="30"/>
  <c r="AG7353" i="30" s="1"/>
  <c r="AE7352" i="30"/>
  <c r="AG7352" i="30" s="1"/>
  <c r="AE7351" i="30"/>
  <c r="AG7351" i="30" s="1"/>
  <c r="AE7350" i="30"/>
  <c r="AG7350" i="30" s="1"/>
  <c r="AE7349" i="30"/>
  <c r="AG7349" i="30" s="1"/>
  <c r="AE7348" i="30"/>
  <c r="AG7348" i="30" s="1"/>
  <c r="AE7347" i="30"/>
  <c r="AG7347" i="30" s="1"/>
  <c r="AE7346" i="30"/>
  <c r="AG7346" i="30" s="1"/>
  <c r="AE7345" i="30"/>
  <c r="AG7345" i="30" s="1"/>
  <c r="AE7344" i="30"/>
  <c r="AG7344" i="30" s="1"/>
  <c r="AE7343" i="30"/>
  <c r="AG7343" i="30" s="1"/>
  <c r="AE7342" i="30"/>
  <c r="AG7342" i="30" s="1"/>
  <c r="AE7341" i="30"/>
  <c r="AG7341" i="30" s="1"/>
  <c r="AE7340" i="30"/>
  <c r="AG7340" i="30" s="1"/>
  <c r="AE7339" i="30"/>
  <c r="AG7339" i="30" s="1"/>
  <c r="AE7338" i="30"/>
  <c r="AG7338" i="30" s="1"/>
  <c r="AE7337" i="30"/>
  <c r="AG7337" i="30" s="1"/>
  <c r="AE7336" i="30"/>
  <c r="AG7336" i="30" s="1"/>
  <c r="AE7335" i="30"/>
  <c r="AG7335" i="30" s="1"/>
  <c r="AE7334" i="30"/>
  <c r="AG7334" i="30" s="1"/>
  <c r="AE7333" i="30"/>
  <c r="AG7333" i="30" s="1"/>
  <c r="AE7332" i="30"/>
  <c r="AG7332" i="30" s="1"/>
  <c r="AE7331" i="30"/>
  <c r="AG7331" i="30" s="1"/>
  <c r="AE7330" i="30"/>
  <c r="AG7330" i="30" s="1"/>
  <c r="AE7329" i="30"/>
  <c r="AG7329" i="30" s="1"/>
  <c r="AE7328" i="30"/>
  <c r="AG7328" i="30" s="1"/>
  <c r="AE7327" i="30"/>
  <c r="AG7327" i="30" s="1"/>
  <c r="AE7326" i="30"/>
  <c r="AG7326" i="30" s="1"/>
  <c r="AE7325" i="30"/>
  <c r="AG7325" i="30" s="1"/>
  <c r="AE7324" i="30"/>
  <c r="AG7324" i="30" s="1"/>
  <c r="AE7323" i="30"/>
  <c r="AG7323" i="30" s="1"/>
  <c r="AE7322" i="30"/>
  <c r="AG7322" i="30" s="1"/>
  <c r="AE7321" i="30"/>
  <c r="AG7321" i="30" s="1"/>
  <c r="AE7320" i="30"/>
  <c r="AG7320" i="30" s="1"/>
  <c r="AE7319" i="30"/>
  <c r="AG7319" i="30" s="1"/>
  <c r="AE7318" i="30"/>
  <c r="AG7318" i="30" s="1"/>
  <c r="AE7317" i="30"/>
  <c r="AG7317" i="30" s="1"/>
  <c r="AE7316" i="30"/>
  <c r="AG7316" i="30" s="1"/>
  <c r="AE7315" i="30"/>
  <c r="AG7315" i="30" s="1"/>
  <c r="AE7314" i="30"/>
  <c r="AG7314" i="30" s="1"/>
  <c r="AE7313" i="30"/>
  <c r="AG7313" i="30" s="1"/>
  <c r="AE7312" i="30"/>
  <c r="AG7312" i="30" s="1"/>
  <c r="AE7311" i="30"/>
  <c r="AG7311" i="30" s="1"/>
  <c r="AE7310" i="30"/>
  <c r="AG7310" i="30" s="1"/>
  <c r="AE7309" i="30"/>
  <c r="AG7309" i="30" s="1"/>
  <c r="AE7308" i="30"/>
  <c r="AG7308" i="30" s="1"/>
  <c r="AE7307" i="30"/>
  <c r="AG7307" i="30" s="1"/>
  <c r="AE7306" i="30"/>
  <c r="AG7306" i="30" s="1"/>
  <c r="AE7305" i="30"/>
  <c r="AG7305" i="30" s="1"/>
  <c r="AE7304" i="30"/>
  <c r="AG7304" i="30" s="1"/>
  <c r="AE7303" i="30"/>
  <c r="AG7303" i="30" s="1"/>
  <c r="AE7302" i="30"/>
  <c r="AG7302" i="30" s="1"/>
  <c r="AE7301" i="30"/>
  <c r="AG7301" i="30" s="1"/>
  <c r="AE7300" i="30"/>
  <c r="AG7300" i="30" s="1"/>
  <c r="AE7299" i="30"/>
  <c r="AG7299" i="30" s="1"/>
  <c r="AE7298" i="30"/>
  <c r="AG7298" i="30" s="1"/>
  <c r="AE7297" i="30"/>
  <c r="AG7297" i="30" s="1"/>
  <c r="AE7296" i="30"/>
  <c r="AG7296" i="30" s="1"/>
  <c r="AE7295" i="30"/>
  <c r="AG7295" i="30" s="1"/>
  <c r="AE7294" i="30"/>
  <c r="AG7294" i="30" s="1"/>
  <c r="AE7293" i="30"/>
  <c r="AG7293" i="30" s="1"/>
  <c r="AE7292" i="30"/>
  <c r="AG7292" i="30" s="1"/>
  <c r="AE7291" i="30"/>
  <c r="AG7291" i="30" s="1"/>
  <c r="AE7290" i="30"/>
  <c r="AG7290" i="30" s="1"/>
  <c r="AE7289" i="30"/>
  <c r="AG7289" i="30" s="1"/>
  <c r="AE7288" i="30"/>
  <c r="AG7288" i="30" s="1"/>
  <c r="AE7287" i="30"/>
  <c r="AG7287" i="30" s="1"/>
  <c r="AE7286" i="30"/>
  <c r="AG7286" i="30" s="1"/>
  <c r="AE7285" i="30"/>
  <c r="AG7285" i="30" s="1"/>
  <c r="AE7284" i="30"/>
  <c r="AG7284" i="30" s="1"/>
  <c r="AE7283" i="30"/>
  <c r="AG7283" i="30" s="1"/>
  <c r="AE7282" i="30"/>
  <c r="AG7282" i="30" s="1"/>
  <c r="AE7281" i="30"/>
  <c r="AG7281" i="30" s="1"/>
  <c r="AE7280" i="30"/>
  <c r="AG7280" i="30" s="1"/>
  <c r="AE7279" i="30"/>
  <c r="AG7279" i="30" s="1"/>
  <c r="AE7278" i="30"/>
  <c r="AG7278" i="30" s="1"/>
  <c r="AE7277" i="30"/>
  <c r="AG7277" i="30" s="1"/>
  <c r="AE7276" i="30"/>
  <c r="AG7276" i="30" s="1"/>
  <c r="AE7275" i="30"/>
  <c r="AG7275" i="30" s="1"/>
  <c r="AE7274" i="30"/>
  <c r="AG7274" i="30" s="1"/>
  <c r="AE7273" i="30"/>
  <c r="AG7273" i="30" s="1"/>
  <c r="AE7272" i="30"/>
  <c r="AG7272" i="30" s="1"/>
  <c r="AE7271" i="30"/>
  <c r="AG7271" i="30" s="1"/>
  <c r="AE7270" i="30"/>
  <c r="AG7270" i="30" s="1"/>
  <c r="AE7269" i="30"/>
  <c r="AG7269" i="30" s="1"/>
  <c r="AE7268" i="30"/>
  <c r="AG7268" i="30" s="1"/>
  <c r="AE7267" i="30"/>
  <c r="AG7267" i="30" s="1"/>
  <c r="AE7266" i="30"/>
  <c r="AG7266" i="30" s="1"/>
  <c r="AE7265" i="30"/>
  <c r="AG7265" i="30" s="1"/>
  <c r="AE7264" i="30"/>
  <c r="AG7264" i="30" s="1"/>
  <c r="AE7263" i="30"/>
  <c r="AG7263" i="30" s="1"/>
  <c r="AE7262" i="30"/>
  <c r="AG7262" i="30" s="1"/>
  <c r="AE7261" i="30"/>
  <c r="AG7261" i="30" s="1"/>
  <c r="AE7260" i="30"/>
  <c r="AG7260" i="30" s="1"/>
  <c r="AE7259" i="30"/>
  <c r="AG7259" i="30" s="1"/>
  <c r="AE7258" i="30"/>
  <c r="AG7258" i="30" s="1"/>
  <c r="AE7257" i="30"/>
  <c r="AG7257" i="30" s="1"/>
  <c r="AE7256" i="30"/>
  <c r="AG7256" i="30" s="1"/>
  <c r="AE7255" i="30"/>
  <c r="AG7255" i="30" s="1"/>
  <c r="AE7254" i="30"/>
  <c r="AG7254" i="30" s="1"/>
  <c r="AE7253" i="30"/>
  <c r="AG7253" i="30" s="1"/>
  <c r="AE7252" i="30"/>
  <c r="AG7252" i="30" s="1"/>
  <c r="AE7251" i="30"/>
  <c r="AG7251" i="30" s="1"/>
  <c r="AE7250" i="30"/>
  <c r="AG7250" i="30" s="1"/>
  <c r="AE7249" i="30"/>
  <c r="AG7249" i="30" s="1"/>
  <c r="AE7248" i="30"/>
  <c r="AG7248" i="30" s="1"/>
  <c r="AE7247" i="30"/>
  <c r="AG7247" i="30" s="1"/>
  <c r="AE7246" i="30"/>
  <c r="AG7246" i="30" s="1"/>
  <c r="AE7245" i="30"/>
  <c r="AG7245" i="30" s="1"/>
  <c r="AE7244" i="30"/>
  <c r="AG7244" i="30" s="1"/>
  <c r="AE7243" i="30"/>
  <c r="AG7243" i="30" s="1"/>
  <c r="AE7242" i="30"/>
  <c r="AG7242" i="30" s="1"/>
  <c r="AE7241" i="30"/>
  <c r="AG7241" i="30" s="1"/>
  <c r="AE7240" i="30"/>
  <c r="AG7240" i="30" s="1"/>
  <c r="AE7239" i="30"/>
  <c r="AG7239" i="30" s="1"/>
  <c r="AE7238" i="30"/>
  <c r="AG7238" i="30" s="1"/>
  <c r="AE7237" i="30"/>
  <c r="AG7237" i="30" s="1"/>
  <c r="AE7236" i="30"/>
  <c r="AG7236" i="30" s="1"/>
  <c r="AE7235" i="30"/>
  <c r="AG7235" i="30" s="1"/>
  <c r="AE7234" i="30"/>
  <c r="AG7234" i="30" s="1"/>
  <c r="AE7233" i="30"/>
  <c r="AG7233" i="30" s="1"/>
  <c r="AE7232" i="30"/>
  <c r="AG7232" i="30" s="1"/>
  <c r="AE7231" i="30"/>
  <c r="AG7231" i="30" s="1"/>
  <c r="AE7230" i="30"/>
  <c r="AG7230" i="30" s="1"/>
  <c r="AE7229" i="30"/>
  <c r="AG7229" i="30" s="1"/>
  <c r="AE7228" i="30"/>
  <c r="AG7228" i="30" s="1"/>
  <c r="AE7227" i="30"/>
  <c r="AG7227" i="30" s="1"/>
  <c r="AE7226" i="30"/>
  <c r="AG7226" i="30" s="1"/>
  <c r="AE7225" i="30"/>
  <c r="AG7225" i="30" s="1"/>
  <c r="AE7224" i="30"/>
  <c r="AG7224" i="30" s="1"/>
  <c r="AE7223" i="30"/>
  <c r="AG7223" i="30" s="1"/>
  <c r="AE7222" i="30"/>
  <c r="AG7222" i="30" s="1"/>
  <c r="AE7221" i="30"/>
  <c r="AG7221" i="30" s="1"/>
  <c r="AE7220" i="30"/>
  <c r="AG7220" i="30" s="1"/>
  <c r="AE7219" i="30"/>
  <c r="AG7219" i="30" s="1"/>
  <c r="AE7218" i="30"/>
  <c r="AG7218" i="30" s="1"/>
  <c r="AE7217" i="30"/>
  <c r="AG7217" i="30" s="1"/>
  <c r="AE7216" i="30"/>
  <c r="AG7216" i="30" s="1"/>
  <c r="AE7215" i="30"/>
  <c r="AG7215" i="30" s="1"/>
  <c r="AE7214" i="30"/>
  <c r="AG7214" i="30" s="1"/>
  <c r="AE7213" i="30"/>
  <c r="AG7213" i="30" s="1"/>
  <c r="AE7212" i="30"/>
  <c r="AG7212" i="30" s="1"/>
  <c r="AE7211" i="30"/>
  <c r="AG7211" i="30" s="1"/>
  <c r="AE7210" i="30"/>
  <c r="AG7210" i="30" s="1"/>
  <c r="AE7209" i="30"/>
  <c r="AG7209" i="30" s="1"/>
  <c r="AE7208" i="30"/>
  <c r="AG7208" i="30" s="1"/>
  <c r="AE7207" i="30"/>
  <c r="AG7207" i="30" s="1"/>
  <c r="AE7206" i="30"/>
  <c r="AG7206" i="30" s="1"/>
  <c r="AE7205" i="30"/>
  <c r="AG7205" i="30" s="1"/>
  <c r="AE7204" i="30"/>
  <c r="AG7204" i="30" s="1"/>
  <c r="AE7203" i="30"/>
  <c r="AG7203" i="30" s="1"/>
  <c r="AE7202" i="30"/>
  <c r="AG7202" i="30" s="1"/>
  <c r="AE7201" i="30"/>
  <c r="AG7201" i="30" s="1"/>
  <c r="AE7200" i="30"/>
  <c r="AG7200" i="30" s="1"/>
  <c r="AE7199" i="30"/>
  <c r="AG7199" i="30" s="1"/>
  <c r="AE7198" i="30"/>
  <c r="AG7198" i="30" s="1"/>
  <c r="AE7197" i="30"/>
  <c r="AG7197" i="30" s="1"/>
  <c r="AE7196" i="30"/>
  <c r="AG7196" i="30" s="1"/>
  <c r="AE7195" i="30"/>
  <c r="AG7195" i="30" s="1"/>
  <c r="AE7194" i="30"/>
  <c r="AG7194" i="30" s="1"/>
  <c r="AE7193" i="30"/>
  <c r="AG7193" i="30" s="1"/>
  <c r="AE7192" i="30"/>
  <c r="AG7192" i="30" s="1"/>
  <c r="AE7191" i="30"/>
  <c r="AG7191" i="30" s="1"/>
  <c r="AE7190" i="30"/>
  <c r="AG7190" i="30" s="1"/>
  <c r="AE7189" i="30"/>
  <c r="AG7189" i="30" s="1"/>
  <c r="AE7188" i="30"/>
  <c r="AG7188" i="30" s="1"/>
  <c r="AE7187" i="30"/>
  <c r="AG7187" i="30" s="1"/>
  <c r="AE7186" i="30"/>
  <c r="AG7186" i="30" s="1"/>
  <c r="AE7185" i="30"/>
  <c r="AG7185" i="30" s="1"/>
  <c r="AE7184" i="30"/>
  <c r="AG7184" i="30" s="1"/>
  <c r="AE7183" i="30"/>
  <c r="AG7183" i="30" s="1"/>
  <c r="AE7182" i="30"/>
  <c r="AG7182" i="30" s="1"/>
  <c r="AE7181" i="30"/>
  <c r="AG7181" i="30" s="1"/>
  <c r="AE7180" i="30"/>
  <c r="AG7180" i="30" s="1"/>
  <c r="AE7179" i="30"/>
  <c r="AG7179" i="30" s="1"/>
  <c r="AE7178" i="30"/>
  <c r="AG7178" i="30" s="1"/>
  <c r="AE7177" i="30"/>
  <c r="AG7177" i="30" s="1"/>
  <c r="AE7176" i="30"/>
  <c r="AG7176" i="30" s="1"/>
  <c r="AE7175" i="30"/>
  <c r="AG7175" i="30" s="1"/>
  <c r="AE7174" i="30"/>
  <c r="AG7174" i="30" s="1"/>
  <c r="AE7173" i="30"/>
  <c r="AG7173" i="30" s="1"/>
  <c r="AE7172" i="30"/>
  <c r="AG7172" i="30" s="1"/>
  <c r="AE7171" i="30"/>
  <c r="AG7171" i="30" s="1"/>
  <c r="AE7170" i="30"/>
  <c r="AG7170" i="30" s="1"/>
  <c r="AE7169" i="30"/>
  <c r="AG7169" i="30" s="1"/>
  <c r="AE7168" i="30"/>
  <c r="AG7168" i="30" s="1"/>
  <c r="AE7167" i="30"/>
  <c r="AG7167" i="30" s="1"/>
  <c r="AE7166" i="30"/>
  <c r="AG7166" i="30" s="1"/>
  <c r="AE7165" i="30"/>
  <c r="AG7165" i="30" s="1"/>
  <c r="AE7164" i="30"/>
  <c r="AG7164" i="30" s="1"/>
  <c r="AE7163" i="30"/>
  <c r="AG7163" i="30" s="1"/>
  <c r="AE7162" i="30"/>
  <c r="AG7162" i="30" s="1"/>
  <c r="AE7161" i="30"/>
  <c r="AG7161" i="30" s="1"/>
  <c r="AE7160" i="30"/>
  <c r="AG7160" i="30" s="1"/>
  <c r="AE7159" i="30"/>
  <c r="AG7159" i="30" s="1"/>
  <c r="AE7158" i="30"/>
  <c r="AG7158" i="30" s="1"/>
  <c r="AE7157" i="30"/>
  <c r="AG7157" i="30" s="1"/>
  <c r="AE7156" i="30"/>
  <c r="AG7156" i="30" s="1"/>
  <c r="AE7155" i="30"/>
  <c r="AG7155" i="30" s="1"/>
  <c r="AE7154" i="30"/>
  <c r="AG7154" i="30" s="1"/>
  <c r="AE7153" i="30"/>
  <c r="AG7153" i="30" s="1"/>
  <c r="AE7152" i="30"/>
  <c r="AG7152" i="30" s="1"/>
  <c r="AE7151" i="30"/>
  <c r="AG7151" i="30" s="1"/>
  <c r="AE7150" i="30"/>
  <c r="AG7150" i="30" s="1"/>
  <c r="AE7149" i="30"/>
  <c r="AG7149" i="30" s="1"/>
  <c r="AE7148" i="30"/>
  <c r="AG7148" i="30" s="1"/>
  <c r="AE7147" i="30"/>
  <c r="AG7147" i="30" s="1"/>
  <c r="AE7146" i="30"/>
  <c r="AG7146" i="30" s="1"/>
  <c r="AE7145" i="30"/>
  <c r="AG7145" i="30" s="1"/>
  <c r="AE7144" i="30"/>
  <c r="AG7144" i="30" s="1"/>
  <c r="AE7143" i="30"/>
  <c r="AG7143" i="30" s="1"/>
  <c r="AE7142" i="30"/>
  <c r="AG7142" i="30" s="1"/>
  <c r="AE7141" i="30"/>
  <c r="AG7141" i="30" s="1"/>
  <c r="AE7140" i="30"/>
  <c r="AG7140" i="30" s="1"/>
  <c r="AE7139" i="30"/>
  <c r="AG7139" i="30" s="1"/>
  <c r="AE7138" i="30"/>
  <c r="AG7138" i="30" s="1"/>
  <c r="AE7137" i="30"/>
  <c r="AG7137" i="30" s="1"/>
  <c r="AE7136" i="30"/>
  <c r="AG7136" i="30" s="1"/>
  <c r="AE7135" i="30"/>
  <c r="AG7135" i="30" s="1"/>
  <c r="AE7134" i="30"/>
  <c r="AG7134" i="30" s="1"/>
  <c r="AE7133" i="30"/>
  <c r="AG7133" i="30" s="1"/>
  <c r="AE7132" i="30"/>
  <c r="AG7132" i="30" s="1"/>
  <c r="AE7131" i="30"/>
  <c r="AG7131" i="30" s="1"/>
  <c r="AE7130" i="30"/>
  <c r="AG7130" i="30" s="1"/>
  <c r="AE7129" i="30"/>
  <c r="AG7129" i="30" s="1"/>
  <c r="AE7128" i="30"/>
  <c r="AG7128" i="30" s="1"/>
  <c r="AE7127" i="30"/>
  <c r="AG7127" i="30" s="1"/>
  <c r="AE7126" i="30"/>
  <c r="AG7126" i="30" s="1"/>
  <c r="AE7125" i="30"/>
  <c r="AG7125" i="30" s="1"/>
  <c r="AE7124" i="30"/>
  <c r="AG7124" i="30" s="1"/>
  <c r="AE7123" i="30"/>
  <c r="AG7123" i="30" s="1"/>
  <c r="AE7122" i="30"/>
  <c r="AG7122" i="30" s="1"/>
  <c r="AE7121" i="30"/>
  <c r="AG7121" i="30" s="1"/>
  <c r="AE7120" i="30"/>
  <c r="AG7120" i="30" s="1"/>
  <c r="AE7119" i="30"/>
  <c r="AG7119" i="30" s="1"/>
  <c r="AE7118" i="30"/>
  <c r="AG7118" i="30" s="1"/>
  <c r="AE7117" i="30"/>
  <c r="AG7117" i="30" s="1"/>
  <c r="AE7116" i="30"/>
  <c r="AG7116" i="30" s="1"/>
  <c r="AE7115" i="30"/>
  <c r="AG7115" i="30" s="1"/>
  <c r="AE7114" i="30"/>
  <c r="AG7114" i="30" s="1"/>
  <c r="AE7113" i="30"/>
  <c r="AG7113" i="30" s="1"/>
  <c r="AE7112" i="30"/>
  <c r="AG7112" i="30" s="1"/>
  <c r="AE7111" i="30"/>
  <c r="AG7111" i="30" s="1"/>
  <c r="AE7110" i="30"/>
  <c r="AG7110" i="30" s="1"/>
  <c r="AE7109" i="30"/>
  <c r="AG7109" i="30" s="1"/>
  <c r="AE7108" i="30"/>
  <c r="AG7108" i="30" s="1"/>
  <c r="AE7107" i="30"/>
  <c r="AG7107" i="30" s="1"/>
  <c r="AE7106" i="30"/>
  <c r="AG7106" i="30" s="1"/>
  <c r="AE7105" i="30"/>
  <c r="AG7105" i="30" s="1"/>
  <c r="AE7104" i="30"/>
  <c r="AG7104" i="30" s="1"/>
  <c r="AE7103" i="30"/>
  <c r="AG7103" i="30" s="1"/>
  <c r="AE7102" i="30"/>
  <c r="AG7102" i="30" s="1"/>
  <c r="AE7101" i="30"/>
  <c r="AG7101" i="30" s="1"/>
  <c r="AE7100" i="30"/>
  <c r="AG7100" i="30" s="1"/>
  <c r="AE7099" i="30"/>
  <c r="AG7099" i="30" s="1"/>
  <c r="AE7098" i="30"/>
  <c r="AG7098" i="30" s="1"/>
  <c r="AE7097" i="30"/>
  <c r="AG7097" i="30" s="1"/>
  <c r="AE7096" i="30"/>
  <c r="AG7096" i="30" s="1"/>
  <c r="AE7095" i="30"/>
  <c r="AG7095" i="30" s="1"/>
  <c r="AE7094" i="30"/>
  <c r="AG7094" i="30" s="1"/>
  <c r="AE7093" i="30"/>
  <c r="AG7093" i="30" s="1"/>
  <c r="AE7092" i="30"/>
  <c r="AG7092" i="30" s="1"/>
  <c r="AE7091" i="30"/>
  <c r="AG7091" i="30" s="1"/>
  <c r="AE7090" i="30"/>
  <c r="AG7090" i="30" s="1"/>
  <c r="AE7089" i="30"/>
  <c r="AG7089" i="30" s="1"/>
  <c r="AE7088" i="30"/>
  <c r="AG7088" i="30" s="1"/>
  <c r="AE7087" i="30"/>
  <c r="AG7087" i="30" s="1"/>
  <c r="AE7086" i="30"/>
  <c r="AG7086" i="30" s="1"/>
  <c r="AE7085" i="30"/>
  <c r="AG7085" i="30" s="1"/>
  <c r="AE7084" i="30"/>
  <c r="AG7084" i="30" s="1"/>
  <c r="AE7083" i="30"/>
  <c r="AG7083" i="30" s="1"/>
  <c r="AE7082" i="30"/>
  <c r="AG7082" i="30" s="1"/>
  <c r="AE7081" i="30"/>
  <c r="AG7081" i="30" s="1"/>
  <c r="AE7080" i="30"/>
  <c r="AG7080" i="30" s="1"/>
  <c r="AE7079" i="30"/>
  <c r="AG7079" i="30" s="1"/>
  <c r="AE7078" i="30"/>
  <c r="AG7078" i="30" s="1"/>
  <c r="AE7077" i="30"/>
  <c r="AG7077" i="30" s="1"/>
  <c r="AE7076" i="30"/>
  <c r="AG7076" i="30" s="1"/>
  <c r="AE7075" i="30"/>
  <c r="AG7075" i="30" s="1"/>
  <c r="AE7074" i="30"/>
  <c r="AG7074" i="30" s="1"/>
  <c r="AE7073" i="30"/>
  <c r="AG7073" i="30" s="1"/>
  <c r="AE7072" i="30"/>
  <c r="AG7072" i="30" s="1"/>
  <c r="AE7071" i="30"/>
  <c r="AG7071" i="30" s="1"/>
  <c r="AE7070" i="30"/>
  <c r="AG7070" i="30" s="1"/>
  <c r="AE7069" i="30"/>
  <c r="AG7069" i="30" s="1"/>
  <c r="AE7068" i="30"/>
  <c r="AG7068" i="30" s="1"/>
  <c r="AE7067" i="30"/>
  <c r="AG7067" i="30" s="1"/>
  <c r="AE7066" i="30"/>
  <c r="AG7066" i="30" s="1"/>
  <c r="AE7065" i="30"/>
  <c r="AG7065" i="30" s="1"/>
  <c r="AE7064" i="30"/>
  <c r="AG7064" i="30" s="1"/>
  <c r="AE7063" i="30"/>
  <c r="AG7063" i="30" s="1"/>
  <c r="AE7062" i="30"/>
  <c r="AG7062" i="30" s="1"/>
  <c r="AE7061" i="30"/>
  <c r="AG7061" i="30" s="1"/>
  <c r="AE7060" i="30"/>
  <c r="AG7060" i="30" s="1"/>
  <c r="AE7059" i="30"/>
  <c r="AG7059" i="30" s="1"/>
  <c r="AE7058" i="30"/>
  <c r="AG7058" i="30" s="1"/>
  <c r="AE7057" i="30"/>
  <c r="AG7057" i="30" s="1"/>
  <c r="AE7056" i="30"/>
  <c r="AG7056" i="30" s="1"/>
  <c r="AE7055" i="30"/>
  <c r="AG7055" i="30" s="1"/>
  <c r="AE7054" i="30"/>
  <c r="AG7054" i="30" s="1"/>
  <c r="AE7053" i="30"/>
  <c r="AG7053" i="30" s="1"/>
  <c r="AE7052" i="30"/>
  <c r="AG7052" i="30" s="1"/>
  <c r="AE7051" i="30"/>
  <c r="AG7051" i="30" s="1"/>
  <c r="AE7050" i="30"/>
  <c r="AG7050" i="30" s="1"/>
  <c r="AE7049" i="30"/>
  <c r="AG7049" i="30" s="1"/>
  <c r="AE7048" i="30"/>
  <c r="AG7048" i="30" s="1"/>
  <c r="AE7047" i="30"/>
  <c r="AG7047" i="30" s="1"/>
  <c r="AE7046" i="30"/>
  <c r="AG7046" i="30" s="1"/>
  <c r="AE7045" i="30"/>
  <c r="AG7045" i="30" s="1"/>
  <c r="AE7044" i="30"/>
  <c r="AG7044" i="30" s="1"/>
  <c r="AE7043" i="30"/>
  <c r="AG7043" i="30" s="1"/>
  <c r="AE7042" i="30"/>
  <c r="AG7042" i="30" s="1"/>
  <c r="AE7041" i="30"/>
  <c r="AG7041" i="30" s="1"/>
  <c r="AE7040" i="30"/>
  <c r="AG7040" i="30" s="1"/>
  <c r="AE7039" i="30"/>
  <c r="AG7039" i="30" s="1"/>
  <c r="AE7038" i="30"/>
  <c r="AG7038" i="30" s="1"/>
  <c r="AE7037" i="30"/>
  <c r="AG7037" i="30" s="1"/>
  <c r="AE7036" i="30"/>
  <c r="AG7036" i="30" s="1"/>
  <c r="AE7035" i="30"/>
  <c r="AG7035" i="30" s="1"/>
  <c r="AE7034" i="30"/>
  <c r="AG7034" i="30" s="1"/>
  <c r="AE7033" i="30"/>
  <c r="AG7033" i="30" s="1"/>
  <c r="AE7032" i="30"/>
  <c r="AG7032" i="30" s="1"/>
  <c r="AE7031" i="30"/>
  <c r="AG7031" i="30" s="1"/>
  <c r="AE7030" i="30"/>
  <c r="AG7030" i="30" s="1"/>
  <c r="AE7029" i="30"/>
  <c r="AG7029" i="30" s="1"/>
  <c r="AE7028" i="30"/>
  <c r="AG7028" i="30" s="1"/>
  <c r="AE7027" i="30"/>
  <c r="AG7027" i="30" s="1"/>
  <c r="AE7026" i="30"/>
  <c r="AG7026" i="30" s="1"/>
  <c r="AE7025" i="30"/>
  <c r="AG7025" i="30" s="1"/>
  <c r="AE7024" i="30"/>
  <c r="AG7024" i="30" s="1"/>
  <c r="AE7023" i="30"/>
  <c r="AG7023" i="30" s="1"/>
  <c r="AE7022" i="30"/>
  <c r="AG7022" i="30" s="1"/>
  <c r="AE7021" i="30"/>
  <c r="AG7021" i="30" s="1"/>
  <c r="AE7020" i="30"/>
  <c r="AG7020" i="30" s="1"/>
  <c r="AE7019" i="30"/>
  <c r="AG7019" i="30" s="1"/>
  <c r="AE7018" i="30"/>
  <c r="AG7018" i="30" s="1"/>
  <c r="AE7017" i="30"/>
  <c r="AG7017" i="30" s="1"/>
  <c r="AE7016" i="30"/>
  <c r="AG7016" i="30" s="1"/>
  <c r="AE7015" i="30"/>
  <c r="AG7015" i="30" s="1"/>
  <c r="AE7014" i="30"/>
  <c r="AG7014" i="30" s="1"/>
  <c r="AE7013" i="30"/>
  <c r="AG7013" i="30" s="1"/>
  <c r="AE7012" i="30"/>
  <c r="AG7012" i="30" s="1"/>
  <c r="AE7011" i="30"/>
  <c r="AG7011" i="30" s="1"/>
  <c r="AE7010" i="30"/>
  <c r="AG7010" i="30" s="1"/>
  <c r="AE7009" i="30"/>
  <c r="AG7009" i="30" s="1"/>
  <c r="AE7008" i="30"/>
  <c r="AG7008" i="30" s="1"/>
  <c r="AE7007" i="30"/>
  <c r="AG7007" i="30" s="1"/>
  <c r="AE7006" i="30"/>
  <c r="AG7006" i="30" s="1"/>
  <c r="AE7005" i="30"/>
  <c r="AG7005" i="30" s="1"/>
  <c r="AE7004" i="30"/>
  <c r="AG7004" i="30" s="1"/>
  <c r="AE7003" i="30"/>
  <c r="AG7003" i="30" s="1"/>
  <c r="AE7002" i="30"/>
  <c r="AG7002" i="30" s="1"/>
  <c r="AE7001" i="30"/>
  <c r="AG7001" i="30" s="1"/>
  <c r="AE7000" i="30"/>
  <c r="AG7000" i="30" s="1"/>
  <c r="AE6999" i="30"/>
  <c r="AG6999" i="30" s="1"/>
  <c r="AE6998" i="30"/>
  <c r="AG6998" i="30" s="1"/>
  <c r="AE6997" i="30"/>
  <c r="AG6997" i="30" s="1"/>
  <c r="AE6996" i="30"/>
  <c r="AG6996" i="30" s="1"/>
  <c r="AE6995" i="30"/>
  <c r="AG6995" i="30" s="1"/>
  <c r="AE6994" i="30"/>
  <c r="AG6994" i="30" s="1"/>
  <c r="AE6993" i="30"/>
  <c r="AG6993" i="30" s="1"/>
  <c r="AE6992" i="30"/>
  <c r="AG6992" i="30" s="1"/>
  <c r="AE6991" i="30"/>
  <c r="AG6991" i="30" s="1"/>
  <c r="AE6990" i="30"/>
  <c r="AG6990" i="30" s="1"/>
  <c r="AE6989" i="30"/>
  <c r="AG6989" i="30" s="1"/>
  <c r="AE6988" i="30"/>
  <c r="AG6988" i="30" s="1"/>
  <c r="AE6987" i="30"/>
  <c r="AG6987" i="30" s="1"/>
  <c r="AE6986" i="30"/>
  <c r="AG6986" i="30" s="1"/>
  <c r="AE6985" i="30"/>
  <c r="AG6985" i="30" s="1"/>
  <c r="AE6984" i="30"/>
  <c r="AG6984" i="30" s="1"/>
  <c r="AE6983" i="30"/>
  <c r="AG6983" i="30" s="1"/>
  <c r="AE6982" i="30"/>
  <c r="AG6982" i="30" s="1"/>
  <c r="AE6981" i="30"/>
  <c r="AG6981" i="30" s="1"/>
  <c r="AE6980" i="30"/>
  <c r="AG6980" i="30" s="1"/>
  <c r="AE6979" i="30"/>
  <c r="AG6979" i="30" s="1"/>
  <c r="AE6978" i="30"/>
  <c r="AG6978" i="30" s="1"/>
  <c r="AE6977" i="30"/>
  <c r="AG6977" i="30" s="1"/>
  <c r="AE6976" i="30"/>
  <c r="AG6976" i="30" s="1"/>
  <c r="AE6975" i="30"/>
  <c r="AG6975" i="30" s="1"/>
  <c r="AE6974" i="30"/>
  <c r="AG6974" i="30" s="1"/>
  <c r="AE6973" i="30"/>
  <c r="AG6973" i="30" s="1"/>
  <c r="AE6972" i="30"/>
  <c r="AG6972" i="30" s="1"/>
  <c r="AE6971" i="30"/>
  <c r="AG6971" i="30" s="1"/>
  <c r="AE6970" i="30"/>
  <c r="AG6970" i="30" s="1"/>
  <c r="AE6969" i="30"/>
  <c r="AG6969" i="30" s="1"/>
  <c r="AE6968" i="30"/>
  <c r="AG6968" i="30" s="1"/>
  <c r="AE6967" i="30"/>
  <c r="AG6967" i="30" s="1"/>
  <c r="AE6966" i="30"/>
  <c r="AG6966" i="30" s="1"/>
  <c r="AE6965" i="30"/>
  <c r="AG6965" i="30" s="1"/>
  <c r="AE6964" i="30"/>
  <c r="AG6964" i="30" s="1"/>
  <c r="AE6963" i="30"/>
  <c r="AG6963" i="30" s="1"/>
  <c r="AE6962" i="30"/>
  <c r="AG6962" i="30" s="1"/>
  <c r="AE6961" i="30"/>
  <c r="AG6961" i="30" s="1"/>
  <c r="AE6960" i="30"/>
  <c r="AG6960" i="30" s="1"/>
  <c r="AE6959" i="30"/>
  <c r="AG6959" i="30" s="1"/>
  <c r="AE6958" i="30"/>
  <c r="AG6958" i="30" s="1"/>
  <c r="AE6957" i="30"/>
  <c r="AG6957" i="30" s="1"/>
  <c r="AE6956" i="30"/>
  <c r="AG6956" i="30" s="1"/>
  <c r="AE6955" i="30"/>
  <c r="AG6955" i="30" s="1"/>
  <c r="AE6954" i="30"/>
  <c r="AG6954" i="30" s="1"/>
  <c r="AE6953" i="30"/>
  <c r="AG6953" i="30" s="1"/>
  <c r="AE6952" i="30"/>
  <c r="AG6952" i="30" s="1"/>
  <c r="AE6951" i="30"/>
  <c r="AG6951" i="30" s="1"/>
  <c r="AE6950" i="30"/>
  <c r="AG6950" i="30" s="1"/>
  <c r="AE6949" i="30"/>
  <c r="AG6949" i="30" s="1"/>
  <c r="AE6948" i="30"/>
  <c r="AG6948" i="30" s="1"/>
  <c r="AE6947" i="30"/>
  <c r="AG6947" i="30" s="1"/>
  <c r="AE6946" i="30"/>
  <c r="AG6946" i="30" s="1"/>
  <c r="AE6945" i="30"/>
  <c r="AG6945" i="30" s="1"/>
  <c r="AE6944" i="30"/>
  <c r="AG6944" i="30" s="1"/>
  <c r="AE6943" i="30"/>
  <c r="AG6943" i="30" s="1"/>
  <c r="AE6942" i="30"/>
  <c r="AG6942" i="30" s="1"/>
  <c r="AE6941" i="30"/>
  <c r="AG6941" i="30" s="1"/>
  <c r="AE6940" i="30"/>
  <c r="AG6940" i="30" s="1"/>
  <c r="AE6939" i="30"/>
  <c r="AG6939" i="30" s="1"/>
  <c r="AE6938" i="30"/>
  <c r="AG6938" i="30" s="1"/>
  <c r="AE6937" i="30"/>
  <c r="AG6937" i="30" s="1"/>
  <c r="AE6936" i="30"/>
  <c r="AG6936" i="30" s="1"/>
  <c r="AE6935" i="30"/>
  <c r="AG6935" i="30" s="1"/>
  <c r="AE6934" i="30"/>
  <c r="AG6934" i="30" s="1"/>
  <c r="AE6933" i="30"/>
  <c r="AG6933" i="30" s="1"/>
  <c r="AE6932" i="30"/>
  <c r="AG6932" i="30" s="1"/>
  <c r="AE6931" i="30"/>
  <c r="AG6931" i="30" s="1"/>
  <c r="AE6930" i="30"/>
  <c r="AG6930" i="30" s="1"/>
  <c r="AE6929" i="30"/>
  <c r="AG6929" i="30" s="1"/>
  <c r="AE6928" i="30"/>
  <c r="AG6928" i="30" s="1"/>
  <c r="AE6927" i="30"/>
  <c r="AG6927" i="30" s="1"/>
  <c r="AE6926" i="30"/>
  <c r="AG6926" i="30" s="1"/>
  <c r="AE6925" i="30"/>
  <c r="AG6925" i="30" s="1"/>
  <c r="AE6924" i="30"/>
  <c r="AG6924" i="30" s="1"/>
  <c r="AE6923" i="30"/>
  <c r="AG6923" i="30" s="1"/>
  <c r="AE6922" i="30"/>
  <c r="AG6922" i="30" s="1"/>
  <c r="AE6921" i="30"/>
  <c r="AG6921" i="30" s="1"/>
  <c r="AE6920" i="30"/>
  <c r="AG6920" i="30" s="1"/>
  <c r="AE6919" i="30"/>
  <c r="AG6919" i="30" s="1"/>
  <c r="AE6918" i="30"/>
  <c r="AG6918" i="30" s="1"/>
  <c r="AE6917" i="30"/>
  <c r="AG6917" i="30" s="1"/>
  <c r="AE6916" i="30"/>
  <c r="AG6916" i="30" s="1"/>
  <c r="AE6915" i="30"/>
  <c r="AG6915" i="30" s="1"/>
  <c r="AE6914" i="30"/>
  <c r="AG6914" i="30" s="1"/>
  <c r="AE6913" i="30"/>
  <c r="AG6913" i="30" s="1"/>
  <c r="AE6912" i="30"/>
  <c r="AE6911" i="30"/>
  <c r="AE6910" i="30"/>
  <c r="AE6909" i="30"/>
  <c r="AE6908" i="30"/>
  <c r="AE6907" i="30"/>
  <c r="AE6906" i="30"/>
  <c r="AE6905" i="30"/>
  <c r="AE6904" i="30"/>
  <c r="AE6903" i="30"/>
  <c r="AE6902" i="30"/>
  <c r="AE6901" i="30"/>
  <c r="AE6900" i="30"/>
  <c r="AE6899" i="30"/>
  <c r="AE6898" i="30"/>
  <c r="AE6897" i="30"/>
  <c r="AE6896" i="30"/>
  <c r="AE6895" i="30"/>
  <c r="AE6894" i="30"/>
  <c r="AE6893" i="30"/>
  <c r="AE6892" i="30"/>
  <c r="AE6891" i="30"/>
  <c r="AE6890" i="30"/>
  <c r="AE6889" i="30"/>
  <c r="AE6888" i="30"/>
  <c r="AE6887" i="30"/>
  <c r="AE6886" i="30"/>
  <c r="AE6885" i="30"/>
  <c r="AE6884" i="30"/>
  <c r="AE6883" i="30"/>
  <c r="AE6882" i="30"/>
  <c r="AE6881" i="30"/>
  <c r="AE6880" i="30"/>
  <c r="AE6879" i="30"/>
  <c r="AE6878" i="30"/>
  <c r="AE6877" i="30"/>
  <c r="AE6876" i="30"/>
  <c r="AE6875" i="30"/>
  <c r="AE6874" i="30"/>
  <c r="AE6873" i="30"/>
  <c r="AE6872" i="30"/>
  <c r="AE6871" i="30"/>
  <c r="AE6870" i="30"/>
  <c r="AE6869" i="30"/>
  <c r="AE6868" i="30"/>
  <c r="AE6867" i="30"/>
  <c r="AE6866" i="30"/>
  <c r="AE6865" i="30"/>
  <c r="AE6864" i="30"/>
  <c r="AE6863" i="30"/>
  <c r="AE6862" i="30"/>
  <c r="AE6861" i="30"/>
  <c r="AE6860" i="30"/>
  <c r="AE6859" i="30"/>
  <c r="AE6858" i="30"/>
  <c r="AE6857" i="30"/>
  <c r="AE6856" i="30"/>
  <c r="AE6855" i="30"/>
  <c r="AE6854" i="30"/>
  <c r="AE6853" i="30"/>
  <c r="AE6852" i="30"/>
  <c r="AE6851" i="30"/>
  <c r="AE6850" i="30"/>
  <c r="AE6849" i="30"/>
  <c r="AE6848" i="30"/>
  <c r="AE6847" i="30"/>
  <c r="AE6846" i="30"/>
  <c r="AE6845" i="30"/>
  <c r="AE6844" i="30"/>
  <c r="AE6843" i="30"/>
  <c r="AE6842" i="30"/>
  <c r="AE6841" i="30"/>
  <c r="AE6840" i="30"/>
  <c r="AE6839" i="30"/>
  <c r="AE6838" i="30"/>
  <c r="AE6837" i="30"/>
  <c r="AE6836" i="30"/>
  <c r="AE6835" i="30"/>
  <c r="AE6834" i="30"/>
  <c r="AE6833" i="30"/>
  <c r="AE6832" i="30"/>
  <c r="AE6831" i="30"/>
  <c r="AE6830" i="30"/>
  <c r="AE6829" i="30"/>
  <c r="AE6828" i="30"/>
  <c r="AE6827" i="30"/>
  <c r="AE6826" i="30"/>
  <c r="AE6825" i="30"/>
  <c r="AE6824" i="30"/>
  <c r="AE6823" i="30"/>
  <c r="AE6822" i="30"/>
  <c r="AE6821" i="30"/>
  <c r="AE6820" i="30"/>
  <c r="AE6819" i="30"/>
  <c r="AE6818" i="30"/>
  <c r="AE6817" i="30"/>
  <c r="AE6816" i="30"/>
  <c r="AE6815" i="30"/>
  <c r="AE6814" i="30"/>
  <c r="AE6813" i="30"/>
  <c r="AE6812" i="30"/>
  <c r="AE6811" i="30"/>
  <c r="AE6810" i="30"/>
  <c r="AE6809" i="30"/>
  <c r="AE6808" i="30"/>
  <c r="AE6807" i="30"/>
  <c r="AE6806" i="30"/>
  <c r="AE6805" i="30"/>
  <c r="AE6804" i="30"/>
  <c r="AE6803" i="30"/>
  <c r="AE6802" i="30"/>
  <c r="AE6801" i="30"/>
  <c r="AE6800" i="30"/>
  <c r="AE6799" i="30"/>
  <c r="AE6798" i="30"/>
  <c r="AE6797" i="30"/>
  <c r="AE6796" i="30"/>
  <c r="AE6795" i="30"/>
  <c r="AE6794" i="30"/>
  <c r="AE6793" i="30"/>
  <c r="AE6792" i="30"/>
  <c r="AE6791" i="30"/>
  <c r="AE6790" i="30"/>
  <c r="AE6789" i="30"/>
  <c r="AE6788" i="30"/>
  <c r="AE6787" i="30"/>
  <c r="AE6786" i="30"/>
  <c r="AE6785" i="30"/>
  <c r="AE6784" i="30"/>
  <c r="AE6783" i="30"/>
  <c r="AE6782" i="30"/>
  <c r="AE6781" i="30"/>
  <c r="AE6780" i="30"/>
  <c r="AE6779" i="30"/>
  <c r="AE6778" i="30"/>
  <c r="AE6777" i="30"/>
  <c r="AE6776" i="30"/>
  <c r="AE6775" i="30"/>
  <c r="AE6774" i="30"/>
  <c r="AE6773" i="30"/>
  <c r="AE6772" i="30"/>
  <c r="AE6771" i="30"/>
  <c r="AE6770" i="30"/>
  <c r="AE6769" i="30"/>
  <c r="AE6768" i="30"/>
  <c r="AE6767" i="30"/>
  <c r="AE6766" i="30"/>
  <c r="AE6765" i="30"/>
  <c r="AE6764" i="30"/>
  <c r="AE6763" i="30"/>
  <c r="AE6762" i="30"/>
  <c r="AE6761" i="30"/>
  <c r="AE6760" i="30"/>
  <c r="AE6759" i="30"/>
  <c r="AE6758" i="30"/>
  <c r="AE6757" i="30"/>
  <c r="AE6756" i="30"/>
  <c r="AE6755" i="30"/>
  <c r="AE6754" i="30"/>
  <c r="AE6753" i="30"/>
  <c r="AE6752" i="30"/>
  <c r="AE6751" i="30"/>
  <c r="AE6750" i="30"/>
  <c r="AE6749" i="30"/>
  <c r="AE6748" i="30"/>
  <c r="AE6747" i="30"/>
  <c r="AE6746" i="30"/>
  <c r="AE6745" i="30"/>
  <c r="AE6744" i="30"/>
  <c r="AE6743" i="30"/>
  <c r="AE6742" i="30"/>
  <c r="AE6741" i="30"/>
  <c r="AE6740" i="30"/>
  <c r="AE6739" i="30"/>
  <c r="AE6738" i="30"/>
  <c r="AE6737" i="30"/>
  <c r="AE6736" i="30"/>
  <c r="AE6735" i="30"/>
  <c r="AE6734" i="30"/>
  <c r="AE6733" i="30"/>
  <c r="AE6732" i="30"/>
  <c r="AE6731" i="30"/>
  <c r="AE6730" i="30"/>
  <c r="AE6729" i="30"/>
  <c r="AE6728" i="30"/>
  <c r="AE6727" i="30"/>
  <c r="AE6726" i="30"/>
  <c r="AE6725" i="30"/>
  <c r="AE6724" i="30"/>
  <c r="AE6723" i="30"/>
  <c r="AE6722" i="30"/>
  <c r="AE6721" i="30"/>
  <c r="AE6720" i="30"/>
  <c r="AE6719" i="30"/>
  <c r="AE6718" i="30"/>
  <c r="AE6717" i="30"/>
  <c r="AE6716" i="30"/>
  <c r="AE6715" i="30"/>
  <c r="AE6714" i="30"/>
  <c r="AE6713" i="30"/>
  <c r="AE6712" i="30"/>
  <c r="AE6711" i="30"/>
  <c r="AE6710" i="30"/>
  <c r="AE6709" i="30"/>
  <c r="AE6708" i="30"/>
  <c r="AE6707" i="30"/>
  <c r="AE6706" i="30"/>
  <c r="AE6705" i="30"/>
  <c r="AE6704" i="30"/>
  <c r="AE6703" i="30"/>
  <c r="AE6702" i="30"/>
  <c r="AE6701" i="30"/>
  <c r="AE6700" i="30"/>
  <c r="AE6699" i="30"/>
  <c r="AE6698" i="30"/>
  <c r="AE6697" i="30"/>
  <c r="AE6696" i="30"/>
  <c r="AE6695" i="30"/>
  <c r="AE6694" i="30"/>
  <c r="AE6693" i="30"/>
  <c r="AE6692" i="30"/>
  <c r="AE6691" i="30"/>
  <c r="AE6690" i="30"/>
  <c r="AE6689" i="30"/>
  <c r="AE6688" i="30"/>
  <c r="AE6687" i="30"/>
  <c r="AE6686" i="30"/>
  <c r="AE6685" i="30"/>
  <c r="AE6684" i="30"/>
  <c r="AE6683" i="30"/>
  <c r="AE6682" i="30"/>
  <c r="AE6681" i="30"/>
  <c r="AE6680" i="30"/>
  <c r="AE6679" i="30"/>
  <c r="AE6678" i="30"/>
  <c r="AE6677" i="30"/>
  <c r="AE6676" i="30"/>
  <c r="AE6675" i="30"/>
  <c r="AE6674" i="30"/>
  <c r="AE6673" i="30"/>
  <c r="AE6672" i="30"/>
  <c r="AE6671" i="30"/>
  <c r="AE6670" i="30"/>
  <c r="AE6669" i="30"/>
  <c r="AE6668" i="30"/>
  <c r="AE6667" i="30"/>
  <c r="AE6666" i="30"/>
  <c r="AE6665" i="30"/>
  <c r="AE6664" i="30"/>
  <c r="AE6663" i="30"/>
  <c r="AE6662" i="30"/>
  <c r="AE6661" i="30"/>
  <c r="AE6660" i="30"/>
  <c r="AE6659" i="30"/>
  <c r="AE6658" i="30"/>
  <c r="AE6657" i="30"/>
  <c r="AE6656" i="30"/>
  <c r="AE6655" i="30"/>
  <c r="AE6654" i="30"/>
  <c r="AE6653" i="30"/>
  <c r="AE6652" i="30"/>
  <c r="AE6651" i="30"/>
  <c r="AE6650" i="30"/>
  <c r="AE6649" i="30"/>
  <c r="AE6648" i="30"/>
  <c r="AE6647" i="30"/>
  <c r="AE6646" i="30"/>
  <c r="AE6645" i="30"/>
  <c r="AE6644" i="30"/>
  <c r="AE6643" i="30"/>
  <c r="AE6642" i="30"/>
  <c r="AE6641" i="30"/>
  <c r="AE6640" i="30"/>
  <c r="AE6639" i="30"/>
  <c r="AE6638" i="30"/>
  <c r="AE6637" i="30"/>
  <c r="AE6636" i="30"/>
  <c r="AE6635" i="30"/>
  <c r="AE6634" i="30"/>
  <c r="AE6633" i="30"/>
  <c r="AE6632" i="30"/>
  <c r="AE6631" i="30"/>
  <c r="AE6630" i="30"/>
  <c r="AE6629" i="30"/>
  <c r="AE6628" i="30"/>
  <c r="AE6627" i="30"/>
  <c r="AE6626" i="30"/>
  <c r="AE6625" i="30"/>
  <c r="AE6624" i="30"/>
  <c r="AE6623" i="30"/>
  <c r="AE6622" i="30"/>
  <c r="AE6621" i="30"/>
  <c r="AE6620" i="30"/>
  <c r="AE6619" i="30"/>
  <c r="AE6618" i="30"/>
  <c r="AE6617" i="30"/>
  <c r="AE6616" i="30"/>
  <c r="AE6615" i="30"/>
  <c r="AE6614" i="30"/>
  <c r="AE6613" i="30"/>
  <c r="AE6612" i="30"/>
  <c r="AE6611" i="30"/>
  <c r="AE6610" i="30"/>
  <c r="AE6609" i="30"/>
  <c r="AE6608" i="30"/>
  <c r="AE6607" i="30"/>
  <c r="AE6606" i="30"/>
  <c r="AE6605" i="30"/>
  <c r="AE6604" i="30"/>
  <c r="AE6603" i="30"/>
  <c r="AE6602" i="30"/>
  <c r="AE6601" i="30"/>
  <c r="AE6600" i="30"/>
  <c r="AE6599" i="30"/>
  <c r="AE6598" i="30"/>
  <c r="AE6597" i="30"/>
  <c r="AE6596" i="30"/>
  <c r="AE6595" i="30"/>
  <c r="AE6594" i="30"/>
  <c r="AE6593" i="30"/>
  <c r="AE6592" i="30"/>
  <c r="AE6591" i="30"/>
  <c r="AE6590" i="30"/>
  <c r="AE6589" i="30"/>
  <c r="AE6588" i="30"/>
  <c r="AE6587" i="30"/>
  <c r="AE6586" i="30"/>
  <c r="AE6585" i="30"/>
  <c r="AE6584" i="30"/>
  <c r="AE6583" i="30"/>
  <c r="AE6582" i="30"/>
  <c r="AE6581" i="30"/>
  <c r="AE6580" i="30"/>
  <c r="AE6579" i="30"/>
  <c r="AE6578" i="30"/>
  <c r="AE6577" i="30"/>
  <c r="AE6576" i="30"/>
  <c r="AE6575" i="30"/>
  <c r="AE6574" i="30"/>
  <c r="AE6573" i="30"/>
  <c r="AE6572" i="30"/>
  <c r="AE6571" i="30"/>
  <c r="AE6570" i="30"/>
  <c r="AE6569" i="30"/>
  <c r="AE6568" i="30"/>
  <c r="AE6567" i="30"/>
  <c r="AE6566" i="30"/>
  <c r="AE6565" i="30"/>
  <c r="AE6564" i="30"/>
  <c r="AE6563" i="30"/>
  <c r="AE6562" i="30"/>
  <c r="AE6561" i="30"/>
  <c r="AE6560" i="30"/>
  <c r="AE6559" i="30"/>
  <c r="AE6558" i="30"/>
  <c r="AE6557" i="30"/>
  <c r="AE6556" i="30"/>
  <c r="AE6555" i="30"/>
  <c r="AE6554" i="30"/>
  <c r="AE6553" i="30"/>
  <c r="AE6552" i="30"/>
  <c r="AE6551" i="30"/>
  <c r="AE6550" i="30"/>
  <c r="AE6549" i="30"/>
  <c r="AE6548" i="30"/>
  <c r="AE6547" i="30"/>
  <c r="AE6546" i="30"/>
  <c r="AE6545" i="30"/>
  <c r="AE6544" i="30"/>
  <c r="AE6543" i="30"/>
  <c r="AE6542" i="30"/>
  <c r="AE6541" i="30"/>
  <c r="AE6540" i="30"/>
  <c r="AE6539" i="30"/>
  <c r="AE6538" i="30"/>
  <c r="AE6537" i="30"/>
  <c r="AE6536" i="30"/>
  <c r="AE6535" i="30"/>
  <c r="AE6534" i="30"/>
  <c r="AE6533" i="30"/>
  <c r="AE6532" i="30"/>
  <c r="AE6531" i="30"/>
  <c r="AE6530" i="30"/>
  <c r="AE6529" i="30"/>
  <c r="AE6528" i="30"/>
  <c r="AE6527" i="30"/>
  <c r="AE6526" i="30"/>
  <c r="AE6525" i="30"/>
  <c r="AE6524" i="30"/>
  <c r="AE6523" i="30"/>
  <c r="AE6522" i="30"/>
  <c r="AE6521" i="30"/>
  <c r="AE6520" i="30"/>
  <c r="AE6519" i="30"/>
  <c r="AE6518" i="30"/>
  <c r="AE6517" i="30"/>
  <c r="AE6516" i="30"/>
  <c r="AE6515" i="30"/>
  <c r="AE6514" i="30"/>
  <c r="AE6513" i="30"/>
  <c r="AE6512" i="30"/>
  <c r="AE6511" i="30"/>
  <c r="AE6510" i="30"/>
  <c r="AE6509" i="30"/>
  <c r="AE6508" i="30"/>
  <c r="AE6507" i="30"/>
  <c r="AE6506" i="30"/>
  <c r="AE6505" i="30"/>
  <c r="AE6504" i="30"/>
  <c r="AE6503" i="30"/>
  <c r="AE6502" i="30"/>
  <c r="AE6501" i="30"/>
  <c r="AE6500" i="30"/>
  <c r="AE6499" i="30"/>
  <c r="AE6498" i="30"/>
  <c r="AE6497" i="30"/>
  <c r="AE6496" i="30"/>
  <c r="AE6495" i="30"/>
  <c r="AE6494" i="30"/>
  <c r="AE6493" i="30"/>
  <c r="AE6492" i="30"/>
  <c r="AE6491" i="30"/>
  <c r="AE6490" i="30"/>
  <c r="AE6489" i="30"/>
  <c r="AE6488" i="30"/>
  <c r="AE6487" i="30"/>
  <c r="AE6486" i="30"/>
  <c r="AE6485" i="30"/>
  <c r="AE6484" i="30"/>
  <c r="AE6483" i="30"/>
  <c r="AE6482" i="30"/>
  <c r="AE6481" i="30"/>
  <c r="AE6480" i="30"/>
  <c r="AE6479" i="30"/>
  <c r="AE6478" i="30"/>
  <c r="AE6477" i="30"/>
  <c r="AE6476" i="30"/>
  <c r="AE6475" i="30"/>
  <c r="AE6474" i="30"/>
  <c r="AE6473" i="30"/>
  <c r="AE6472" i="30"/>
  <c r="AE6471" i="30"/>
  <c r="AE6470" i="30"/>
  <c r="AE6469" i="30"/>
  <c r="AE6468" i="30"/>
  <c r="AE6467" i="30"/>
  <c r="AE6466" i="30"/>
  <c r="AE6465" i="30"/>
  <c r="AE6464" i="30"/>
  <c r="AE6463" i="30"/>
  <c r="AE6462" i="30"/>
  <c r="AE6461" i="30"/>
  <c r="AE6460" i="30"/>
  <c r="AE6459" i="30"/>
  <c r="AE6458" i="30"/>
  <c r="AE6457" i="30"/>
  <c r="AE6456" i="30"/>
  <c r="AE6455" i="30"/>
  <c r="AE6454" i="30"/>
  <c r="AE6453" i="30"/>
  <c r="AE6452" i="30"/>
  <c r="AE6451" i="30"/>
  <c r="AE6450" i="30"/>
  <c r="AE6449" i="30"/>
  <c r="AE6448" i="30"/>
  <c r="AE6447" i="30"/>
  <c r="AE6446" i="30"/>
  <c r="AE6445" i="30"/>
  <c r="AE6444" i="30"/>
  <c r="AE6443" i="30"/>
  <c r="AE6442" i="30"/>
  <c r="AE6441" i="30"/>
  <c r="AE6440" i="30"/>
  <c r="AE6439" i="30"/>
  <c r="AE6438" i="30"/>
  <c r="AE6437" i="30"/>
  <c r="AE6436" i="30"/>
  <c r="AE6435" i="30"/>
  <c r="AE6434" i="30"/>
  <c r="AE6433" i="30"/>
  <c r="AE6432" i="30"/>
  <c r="AE6431" i="30"/>
  <c r="AE6430" i="30"/>
  <c r="AE6429" i="30"/>
  <c r="AE6428" i="30"/>
  <c r="AE6427" i="30"/>
  <c r="AE6426" i="30"/>
  <c r="AE6425" i="30"/>
  <c r="AE6424" i="30"/>
  <c r="AE6423" i="30"/>
  <c r="AE6422" i="30"/>
  <c r="AE6421" i="30"/>
  <c r="AE6420" i="30"/>
  <c r="AE6419" i="30"/>
  <c r="AE6418" i="30"/>
  <c r="AE6417" i="30"/>
  <c r="AE6416" i="30"/>
  <c r="AE6415" i="30"/>
  <c r="AE6414" i="30"/>
  <c r="AE6413" i="30"/>
  <c r="AE6412" i="30"/>
  <c r="AE6411" i="30"/>
  <c r="AE6410" i="30"/>
  <c r="AE6409" i="30"/>
  <c r="AE6408" i="30"/>
  <c r="AE6407" i="30"/>
  <c r="AE6406" i="30"/>
  <c r="AE6405" i="30"/>
  <c r="AE6404" i="30"/>
  <c r="AE6403" i="30"/>
  <c r="AE6402" i="30"/>
  <c r="AE6401" i="30"/>
  <c r="AE6400" i="30"/>
  <c r="AE6399" i="30"/>
  <c r="AE6398" i="30"/>
  <c r="AE6397" i="30"/>
  <c r="AE6396" i="30"/>
  <c r="AE6395" i="30"/>
  <c r="AE6394" i="30"/>
  <c r="AE6393" i="30"/>
  <c r="AE6392" i="30"/>
  <c r="AE6391" i="30"/>
  <c r="AE6390" i="30"/>
  <c r="AE6389" i="30"/>
  <c r="AE6388" i="30"/>
  <c r="AE6387" i="30"/>
  <c r="AE6386" i="30"/>
  <c r="AE6385" i="30"/>
  <c r="AE6384" i="30"/>
  <c r="AE6383" i="30"/>
  <c r="AE6382" i="30"/>
  <c r="AE6381" i="30"/>
  <c r="AE6380" i="30"/>
  <c r="AE6379" i="30"/>
  <c r="AE6378" i="30"/>
  <c r="AE6377" i="30"/>
  <c r="AE6376" i="30"/>
  <c r="AE6375" i="30"/>
  <c r="AE6374" i="30"/>
  <c r="AE6373" i="30"/>
  <c r="AE6372" i="30"/>
  <c r="AE6371" i="30"/>
  <c r="AE6370" i="30"/>
  <c r="AE6369" i="30"/>
  <c r="AE6368" i="30"/>
  <c r="AE6367" i="30"/>
  <c r="AE6366" i="30"/>
  <c r="AE6365" i="30"/>
  <c r="AE6364" i="30"/>
  <c r="AE6363" i="30"/>
  <c r="AE6362" i="30"/>
  <c r="AE6361" i="30"/>
  <c r="AE6360" i="30"/>
  <c r="AE6359" i="30"/>
  <c r="AE6358" i="30"/>
  <c r="AE6357" i="30"/>
  <c r="AE6356" i="30"/>
  <c r="AE6355" i="30"/>
  <c r="AE6354" i="30"/>
  <c r="AE6353" i="30"/>
  <c r="AE6352" i="30"/>
  <c r="AE6351" i="30"/>
  <c r="AE6350" i="30"/>
  <c r="AE6349" i="30"/>
  <c r="AE6348" i="30"/>
  <c r="AE6347" i="30"/>
  <c r="AE6346" i="30"/>
  <c r="AE6345" i="30"/>
  <c r="AE6344" i="30"/>
  <c r="AE6343" i="30"/>
  <c r="AE6342" i="30"/>
  <c r="AE6341" i="30"/>
  <c r="AE6340" i="30"/>
  <c r="AE6339" i="30"/>
  <c r="AE6338" i="30"/>
  <c r="AE6337" i="30"/>
  <c r="AE6336" i="30"/>
  <c r="AE6335" i="30"/>
  <c r="AE6334" i="30"/>
  <c r="AE6333" i="30"/>
  <c r="AE6332" i="30"/>
  <c r="AE6331" i="30"/>
  <c r="AE6330" i="30"/>
  <c r="AE6329" i="30"/>
  <c r="AE6328" i="30"/>
  <c r="AE6327" i="30"/>
  <c r="AE6326" i="30"/>
  <c r="AE6325" i="30"/>
  <c r="AE6324" i="30"/>
  <c r="AE6323" i="30"/>
  <c r="AE6322" i="30"/>
  <c r="AE6321" i="30"/>
  <c r="AE6320" i="30"/>
  <c r="AE6319" i="30"/>
  <c r="AE6318" i="30"/>
  <c r="AE6317" i="30"/>
  <c r="AE6316" i="30"/>
  <c r="AE6315" i="30"/>
  <c r="AE6314" i="30"/>
  <c r="AE6313" i="30"/>
  <c r="AE6312" i="30"/>
  <c r="AE6311" i="30"/>
  <c r="AE6310" i="30"/>
  <c r="AE6309" i="30"/>
  <c r="AE6308" i="30"/>
  <c r="AE6307" i="30"/>
  <c r="AE6306" i="30"/>
  <c r="AE6305" i="30"/>
  <c r="AE6304" i="30"/>
  <c r="AE6303" i="30"/>
  <c r="AE6302" i="30"/>
  <c r="AE6301" i="30"/>
  <c r="AE6300" i="30"/>
  <c r="AE6299" i="30"/>
  <c r="AE6298" i="30"/>
  <c r="AE6297" i="30"/>
  <c r="AE6296" i="30"/>
  <c r="AE6295" i="30"/>
  <c r="AE6294" i="30"/>
  <c r="AE6293" i="30"/>
  <c r="AE6292" i="30"/>
  <c r="AE6291" i="30"/>
  <c r="AE6290" i="30"/>
  <c r="AE6289" i="30"/>
  <c r="AE6288" i="30"/>
  <c r="AE6287" i="30"/>
  <c r="AE6286" i="30"/>
  <c r="AE6285" i="30"/>
  <c r="AE6284" i="30"/>
  <c r="AE6283" i="30"/>
  <c r="AE6282" i="30"/>
  <c r="AE6281" i="30"/>
  <c r="AE6280" i="30"/>
  <c r="AE6279" i="30"/>
  <c r="AE6278" i="30"/>
  <c r="AE6277" i="30"/>
  <c r="AE6276" i="30"/>
  <c r="AE6275" i="30"/>
  <c r="AE6274" i="30"/>
  <c r="AE6273" i="30"/>
  <c r="AE6272" i="30"/>
  <c r="AE6271" i="30"/>
  <c r="AE6270" i="30"/>
  <c r="AE6269" i="30"/>
  <c r="AE6268" i="30"/>
  <c r="AE6267" i="30"/>
  <c r="AE6266" i="30"/>
  <c r="AE6265" i="30"/>
  <c r="AE6264" i="30"/>
  <c r="AE6263" i="30"/>
  <c r="AE6262" i="30"/>
  <c r="AE6261" i="30"/>
  <c r="AE6260" i="30"/>
  <c r="AE6259" i="30"/>
  <c r="AE6258" i="30"/>
  <c r="AE6257" i="30"/>
  <c r="AE6256" i="30"/>
  <c r="AE6255" i="30"/>
  <c r="AE6254" i="30"/>
  <c r="AE6253" i="30"/>
  <c r="AE6252" i="30"/>
  <c r="AE6251" i="30"/>
  <c r="AE6250" i="30"/>
  <c r="AE6249" i="30"/>
  <c r="AE6248" i="30"/>
  <c r="AE6247" i="30"/>
  <c r="AE6246" i="30"/>
  <c r="AE6245" i="30"/>
  <c r="AE6244" i="30"/>
  <c r="AE6243" i="30"/>
  <c r="AE6242" i="30"/>
  <c r="AE6241" i="30"/>
  <c r="AE6240" i="30"/>
  <c r="AE6239" i="30"/>
  <c r="AE6238" i="30"/>
  <c r="AE6236" i="30"/>
  <c r="AE6234" i="30"/>
  <c r="AE6232" i="30"/>
  <c r="AE6230" i="30"/>
  <c r="AE6228" i="30"/>
  <c r="AE6226" i="30"/>
  <c r="AE6224" i="30"/>
  <c r="AE6222" i="30"/>
  <c r="AE6220" i="30"/>
  <c r="AE6218" i="30"/>
  <c r="AE6216" i="30"/>
  <c r="AE6214" i="30"/>
  <c r="AE6212" i="30"/>
  <c r="AE6210" i="30"/>
  <c r="AE6208" i="30"/>
  <c r="AE6206" i="30"/>
  <c r="AE6204" i="30"/>
  <c r="AE6202" i="30"/>
  <c r="AE6200" i="30"/>
  <c r="AE6198" i="30"/>
  <c r="AE6196" i="30"/>
  <c r="AE6194" i="30"/>
  <c r="AE6192" i="30"/>
  <c r="AE6190" i="30"/>
  <c r="AE6188" i="30"/>
  <c r="AE6186" i="30"/>
  <c r="AE6184" i="30"/>
  <c r="AE6182" i="30"/>
  <c r="AE6180" i="30"/>
  <c r="AE6178" i="30"/>
  <c r="AE6176" i="30"/>
  <c r="AE6174" i="30"/>
  <c r="AE6172" i="30"/>
  <c r="AE6170" i="30"/>
  <c r="AE6168" i="30"/>
  <c r="AE6166" i="30"/>
  <c r="AE6164" i="30"/>
  <c r="AE6162" i="30"/>
  <c r="AE6160" i="30"/>
  <c r="AE6158" i="30"/>
  <c r="AE6156" i="30"/>
  <c r="AE6154" i="30"/>
  <c r="AE6152" i="30"/>
  <c r="AE6150" i="30"/>
  <c r="AE6148" i="30"/>
  <c r="AE6146" i="30"/>
  <c r="AE6144" i="30"/>
  <c r="AE6142" i="30"/>
  <c r="AE6140" i="30"/>
  <c r="AE6138" i="30"/>
  <c r="AE6136" i="30"/>
  <c r="AE6134" i="30"/>
  <c r="AE6132" i="30"/>
  <c r="AE6130" i="30"/>
  <c r="AE6128" i="30"/>
  <c r="AE6126" i="30"/>
  <c r="AE6124" i="30"/>
  <c r="AE6122" i="30"/>
  <c r="AE6120" i="30"/>
  <c r="AE6118" i="30"/>
  <c r="AE6116" i="30"/>
  <c r="AE6114" i="30"/>
  <c r="AE6112" i="30"/>
  <c r="AE6110" i="30"/>
  <c r="AE6108" i="30"/>
  <c r="AE6106" i="30"/>
  <c r="AE6104" i="30"/>
  <c r="AE6102" i="30"/>
  <c r="AE6100" i="30"/>
  <c r="AE6098" i="30"/>
  <c r="AE6096" i="30"/>
  <c r="AE6094" i="30"/>
  <c r="AE6092" i="30"/>
  <c r="AE6090" i="30"/>
  <c r="AE6088" i="30"/>
  <c r="AE6086" i="30"/>
  <c r="AE6084" i="30"/>
  <c r="AE6082" i="30"/>
  <c r="AE6080" i="30"/>
  <c r="AE6078" i="30"/>
  <c r="AE6076" i="30"/>
  <c r="AE6074" i="30"/>
  <c r="AE6072" i="30"/>
  <c r="AE6070" i="30"/>
  <c r="AE6068" i="30"/>
  <c r="AE6066" i="30"/>
  <c r="AE6064" i="30"/>
  <c r="AE6062" i="30"/>
  <c r="AE6060" i="30"/>
  <c r="AE6058" i="30"/>
  <c r="AE6056" i="30"/>
  <c r="AE6054" i="30"/>
  <c r="AE6052" i="30"/>
  <c r="AE6050" i="30"/>
  <c r="AE6048" i="30"/>
  <c r="AE6046" i="30"/>
  <c r="AE6044" i="30"/>
  <c r="AE6042" i="30"/>
  <c r="AE6040" i="30"/>
  <c r="AE6038" i="30"/>
  <c r="AE6036" i="30"/>
  <c r="AE6034" i="30"/>
  <c r="AE6032" i="30"/>
  <c r="AE6030" i="30"/>
  <c r="AE6028" i="30"/>
  <c r="AE6026" i="30"/>
  <c r="AE6024" i="30"/>
  <c r="AE6022" i="30"/>
  <c r="AE6020" i="30"/>
  <c r="AE6018" i="30"/>
  <c r="AE6016" i="30"/>
  <c r="AE6014" i="30"/>
  <c r="AE6012" i="30"/>
  <c r="AE6010" i="30"/>
  <c r="AE6008" i="30"/>
  <c r="AE6006" i="30"/>
  <c r="AE6004" i="30"/>
  <c r="AE6002" i="30"/>
  <c r="AE6000" i="30"/>
  <c r="AE5998" i="30"/>
  <c r="AE5996" i="30"/>
  <c r="AE5994" i="30"/>
  <c r="AE5992" i="30"/>
  <c r="AE5990" i="30"/>
  <c r="AE5988" i="30"/>
  <c r="AE5986" i="30"/>
  <c r="AE5984" i="30"/>
  <c r="AE5982" i="30"/>
  <c r="AE5980" i="30"/>
  <c r="AE5978" i="30"/>
  <c r="AE5976" i="30"/>
  <c r="AE5974" i="30"/>
  <c r="AE5972" i="30"/>
  <c r="AE5970" i="30"/>
  <c r="AE5968" i="30"/>
  <c r="AE5966" i="30"/>
  <c r="AE5964" i="30"/>
  <c r="AE5962" i="30"/>
  <c r="AE5960" i="30"/>
  <c r="AE5958" i="30"/>
  <c r="AE5956" i="30"/>
  <c r="AE5954" i="30"/>
  <c r="AE5952" i="30"/>
  <c r="AE5950" i="30"/>
  <c r="AE5948" i="30"/>
  <c r="AE5946" i="30"/>
  <c r="AE5944" i="30"/>
  <c r="AE5942" i="30"/>
  <c r="AE5940" i="30"/>
  <c r="AE5938" i="30"/>
  <c r="AE5936" i="30"/>
  <c r="AE5934" i="30"/>
  <c r="AE5932" i="30"/>
  <c r="AE5930" i="30"/>
  <c r="AE5928" i="30"/>
  <c r="AE5926" i="30"/>
  <c r="AE5924" i="30"/>
  <c r="AE5922" i="30"/>
  <c r="AE5920" i="30"/>
  <c r="AE5918" i="30"/>
  <c r="AE5916" i="30"/>
  <c r="AE5914" i="30"/>
  <c r="AE5912" i="30"/>
  <c r="AE5910" i="30"/>
  <c r="AE5908" i="30"/>
  <c r="AE5906" i="30"/>
  <c r="AE5904" i="30"/>
  <c r="AE5902" i="30"/>
  <c r="AE5900" i="30"/>
  <c r="AE5898" i="30"/>
  <c r="AE5896" i="30"/>
  <c r="AE5894" i="30"/>
  <c r="AE5892" i="30"/>
  <c r="AE5890" i="30"/>
  <c r="AE5888" i="30"/>
  <c r="AE5886" i="30"/>
  <c r="AE5884" i="30"/>
  <c r="AE5882" i="30"/>
  <c r="AE5880" i="30"/>
  <c r="AE5878" i="30"/>
  <c r="AE5876" i="30"/>
  <c r="AE5874" i="30"/>
  <c r="AE5872" i="30"/>
  <c r="AE5870" i="30"/>
  <c r="AE5868" i="30"/>
  <c r="AE5866" i="30"/>
  <c r="AE5864" i="30"/>
  <c r="AE5862" i="30"/>
  <c r="AE5860" i="30"/>
  <c r="AE5858" i="30"/>
  <c r="AE5856" i="30"/>
  <c r="AE5854" i="30"/>
  <c r="AE5852" i="30"/>
  <c r="AE5850" i="30"/>
  <c r="AE5848" i="30"/>
  <c r="AE5846" i="30"/>
  <c r="AE5844" i="30"/>
  <c r="AE5842" i="30"/>
  <c r="AE5840" i="30"/>
  <c r="AE5838" i="30"/>
  <c r="AE5836" i="30"/>
  <c r="AE5834" i="30"/>
  <c r="AE5832" i="30"/>
  <c r="AE5830" i="30"/>
  <c r="AE5828" i="30"/>
  <c r="AE5826" i="30"/>
  <c r="AE5824" i="30"/>
  <c r="AE5822" i="30"/>
  <c r="AE5820" i="30"/>
  <c r="AE5818" i="30"/>
  <c r="AE5816" i="30"/>
  <c r="AE5814" i="30"/>
  <c r="AE5812" i="30"/>
  <c r="AE5810" i="30"/>
  <c r="AE5808" i="30"/>
  <c r="AE5806" i="30"/>
  <c r="AE5804" i="30"/>
  <c r="AE5802" i="30"/>
  <c r="AE5800" i="30"/>
  <c r="AE5798" i="30"/>
  <c r="AE5796" i="30"/>
  <c r="AE5794" i="30"/>
  <c r="AE5792" i="30"/>
  <c r="AE5790" i="30"/>
  <c r="AE5788" i="30"/>
  <c r="AE5786" i="30"/>
  <c r="AE5784" i="30"/>
  <c r="AE5782" i="30"/>
  <c r="AE5780" i="30"/>
  <c r="AE5778" i="30"/>
  <c r="AE5776" i="30"/>
  <c r="AE5774" i="30"/>
  <c r="AE5772" i="30"/>
  <c r="AE5770" i="30"/>
  <c r="AE5768" i="30"/>
  <c r="AE5766" i="30"/>
  <c r="AE5764" i="30"/>
  <c r="AE5063" i="30"/>
  <c r="AE5061" i="30"/>
  <c r="AE5059" i="30"/>
  <c r="AE5057" i="30"/>
  <c r="AE5055" i="30"/>
  <c r="AE5053" i="30"/>
  <c r="AE5051" i="30"/>
  <c r="AE5049" i="30"/>
  <c r="AE5047" i="30"/>
  <c r="AE5045" i="30"/>
  <c r="AE5043" i="30"/>
  <c r="AE5041" i="30"/>
  <c r="AE5039" i="30"/>
  <c r="AE5037" i="30"/>
  <c r="AE5035" i="30"/>
  <c r="AE5033" i="30"/>
  <c r="AE5031" i="30"/>
  <c r="AE5029" i="30"/>
  <c r="AE5027" i="30"/>
  <c r="AE5025" i="30"/>
  <c r="AE5023" i="30"/>
  <c r="AE5021" i="30"/>
  <c r="AE5019" i="30"/>
  <c r="AE5017" i="30"/>
  <c r="AE5015" i="30"/>
  <c r="AE5013" i="30"/>
  <c r="AE5011" i="30"/>
  <c r="AE5009" i="30"/>
  <c r="AE5007" i="30"/>
  <c r="AE5005" i="30"/>
  <c r="AE5003" i="30"/>
  <c r="AE5001" i="30"/>
  <c r="AE4999" i="30"/>
  <c r="AE4997" i="30"/>
  <c r="AE4995" i="30"/>
  <c r="AE4993" i="30"/>
  <c r="AE4991" i="30"/>
  <c r="AE4989" i="30"/>
  <c r="AE4987" i="30"/>
  <c r="AE4985" i="30"/>
  <c r="AE4983" i="30"/>
  <c r="AE4981" i="30"/>
  <c r="AE4979" i="30"/>
  <c r="AE4977" i="30"/>
  <c r="AE4975" i="30"/>
  <c r="AE4973" i="30"/>
  <c r="AE4971" i="30"/>
  <c r="AE4969" i="30"/>
  <c r="AE4967" i="30"/>
  <c r="AE4965" i="30"/>
  <c r="AE4963" i="30"/>
  <c r="AE4961" i="30"/>
  <c r="AE4959" i="30"/>
  <c r="AE4957" i="30"/>
  <c r="AE4955" i="30"/>
  <c r="AE4953" i="30"/>
  <c r="AE4951" i="30"/>
  <c r="AE4949" i="30"/>
  <c r="AE4947" i="30"/>
  <c r="AE4945" i="30"/>
  <c r="AE4943" i="30"/>
  <c r="AE4941" i="30"/>
  <c r="AE4939" i="30"/>
  <c r="AE4937" i="30"/>
  <c r="AE4935" i="30"/>
  <c r="AE4933" i="30"/>
  <c r="AE4931" i="30"/>
  <c r="AE4929" i="30"/>
  <c r="AE4927" i="30"/>
  <c r="AE4925" i="30"/>
  <c r="AE4923" i="30"/>
  <c r="AE4921" i="30"/>
  <c r="AE4919" i="30"/>
  <c r="AE4917" i="30"/>
  <c r="AE4915" i="30"/>
  <c r="AE4913" i="30"/>
  <c r="AE4911" i="30"/>
  <c r="AE4909" i="30"/>
  <c r="AE4907" i="30"/>
  <c r="AE4905" i="30"/>
  <c r="AE4903" i="30"/>
  <c r="AE4901" i="30"/>
  <c r="AE4899" i="30"/>
  <c r="AE4897" i="30"/>
  <c r="AE4895" i="30"/>
  <c r="AE4893" i="30"/>
  <c r="AE4891" i="30"/>
  <c r="AE4889" i="30"/>
  <c r="AE4887" i="30"/>
  <c r="AE4885" i="30"/>
  <c r="AE4883" i="30"/>
  <c r="AE4881" i="30"/>
  <c r="AE4879" i="30"/>
  <c r="AE4877" i="30"/>
  <c r="AE4875" i="30"/>
  <c r="AE4873" i="30"/>
  <c r="AE4871" i="30"/>
  <c r="AE4869" i="30"/>
  <c r="AE4867" i="30"/>
  <c r="AE4865" i="30"/>
  <c r="AE4863" i="30"/>
  <c r="AE4861" i="30"/>
  <c r="AE4859" i="30"/>
  <c r="AE4857" i="30"/>
  <c r="AE4855" i="30"/>
  <c r="AE4853" i="30"/>
  <c r="AE4851" i="30"/>
  <c r="AE4849" i="30"/>
  <c r="AE4847" i="30"/>
  <c r="AE4845" i="30"/>
  <c r="AE4843" i="30"/>
  <c r="AE4841" i="30"/>
  <c r="AE4839" i="30"/>
  <c r="AE4837" i="30"/>
  <c r="AE4835" i="30"/>
  <c r="AE4833" i="30"/>
  <c r="AE4831" i="30"/>
  <c r="AE4829" i="30"/>
  <c r="AE4827" i="30"/>
  <c r="AE4825" i="30"/>
  <c r="AE4823" i="30"/>
  <c r="AE4821" i="30"/>
  <c r="AE4819" i="30"/>
  <c r="AE4817" i="30"/>
  <c r="AE4815" i="30"/>
  <c r="AE4813" i="30"/>
  <c r="AE4811" i="30"/>
  <c r="AE4809" i="30"/>
  <c r="AE4807" i="30"/>
  <c r="AE4805" i="30"/>
  <c r="AE4803" i="30"/>
  <c r="AE4801" i="30"/>
  <c r="AE4799" i="30"/>
  <c r="AE4797" i="30"/>
  <c r="AE4795" i="30"/>
  <c r="AE4793" i="30"/>
  <c r="AE4792" i="30"/>
  <c r="AE4791" i="30"/>
  <c r="AE4790" i="30"/>
  <c r="AE4789" i="30"/>
  <c r="AE4788" i="30"/>
  <c r="AE4787" i="30"/>
  <c r="AE4786" i="30"/>
  <c r="AE4785" i="30"/>
  <c r="AE4784" i="30"/>
  <c r="AE4783" i="30"/>
  <c r="AE4782" i="30"/>
  <c r="AE4781" i="30"/>
  <c r="AE4780" i="30"/>
  <c r="AE4779" i="30"/>
  <c r="AE4778" i="30"/>
  <c r="AE4777" i="30"/>
  <c r="AE4776" i="30"/>
  <c r="AE4775" i="30"/>
  <c r="AE4774" i="30"/>
  <c r="AE4773" i="30"/>
  <c r="AE4772" i="30"/>
  <c r="AE4771" i="30"/>
  <c r="AE4770" i="30"/>
  <c r="AE4769" i="30"/>
  <c r="AE4768" i="30"/>
  <c r="AE4767" i="30"/>
  <c r="AE4766" i="30"/>
  <c r="AE4765" i="30"/>
  <c r="AE4764" i="30"/>
  <c r="AE4763" i="30"/>
  <c r="AE4762" i="30"/>
  <c r="AE4761" i="30"/>
  <c r="AE4760" i="30"/>
  <c r="AE4759" i="30"/>
  <c r="AE4758" i="30"/>
  <c r="AE4757" i="30"/>
  <c r="AE4756" i="30"/>
  <c r="AE4755" i="30"/>
  <c r="AE4754" i="30"/>
  <c r="AE4753" i="30"/>
  <c r="AE4752" i="30"/>
  <c r="AE4751" i="30"/>
  <c r="AE4750" i="30"/>
  <c r="AE4749" i="30"/>
  <c r="AE4748" i="30"/>
  <c r="AE4747" i="30"/>
  <c r="AE4746" i="30"/>
  <c r="AE4745" i="30"/>
  <c r="AE4744" i="30"/>
  <c r="AE4743" i="30"/>
  <c r="AE4742" i="30"/>
  <c r="AE4741" i="30"/>
  <c r="AE4740" i="30"/>
  <c r="AE4739" i="30"/>
  <c r="AE4738" i="30"/>
  <c r="AE4737" i="30"/>
  <c r="AE4736" i="30"/>
  <c r="AE4735" i="30"/>
  <c r="AE4734" i="30"/>
  <c r="AE4733" i="30"/>
  <c r="AE4732" i="30"/>
  <c r="AE4731" i="30"/>
  <c r="AE4730" i="30"/>
  <c r="AE4729" i="30"/>
  <c r="AE4728" i="30"/>
  <c r="AE4727" i="30"/>
  <c r="AE4726" i="30"/>
  <c r="AE4725" i="30"/>
  <c r="AE4724" i="30"/>
  <c r="AE4723" i="30"/>
  <c r="AE4722" i="30"/>
  <c r="AE4721" i="30"/>
  <c r="AE4720" i="30"/>
  <c r="AE4719" i="30"/>
  <c r="AE4718" i="30"/>
  <c r="AE4717" i="30"/>
  <c r="AE4716" i="30"/>
  <c r="AE4715" i="30"/>
  <c r="AE4714" i="30"/>
  <c r="AE4713" i="30"/>
  <c r="AE4712" i="30"/>
  <c r="AE4711" i="30"/>
  <c r="AE4710" i="30"/>
  <c r="AE4709" i="30"/>
  <c r="AE4708" i="30"/>
  <c r="AE4707" i="30"/>
  <c r="AE4706" i="30"/>
  <c r="AE4705" i="30"/>
  <c r="AE4704" i="30"/>
  <c r="AE4703" i="30"/>
  <c r="AE4702" i="30"/>
  <c r="AE4701" i="30"/>
  <c r="AE4700" i="30"/>
  <c r="AE4699" i="30"/>
  <c r="AE4698" i="30"/>
  <c r="AE4697" i="30"/>
  <c r="AE4696" i="30"/>
  <c r="AE4695" i="30"/>
  <c r="AE4694" i="30"/>
  <c r="AE4693" i="30"/>
  <c r="AE4692" i="30"/>
  <c r="AE4691" i="30"/>
  <c r="AE4690" i="30"/>
  <c r="AE4689" i="30"/>
  <c r="AE4688" i="30"/>
  <c r="AE4687" i="30"/>
  <c r="AE4686" i="30"/>
  <c r="AE4685" i="30"/>
  <c r="AE4684" i="30"/>
  <c r="AE4683" i="30"/>
  <c r="AE4682" i="30"/>
  <c r="AE4681" i="30"/>
  <c r="AE4680" i="30"/>
  <c r="AE4679" i="30"/>
  <c r="AE4678" i="30"/>
  <c r="AE4677" i="30"/>
  <c r="AE4676" i="30"/>
  <c r="AE4675" i="30"/>
  <c r="AE4674" i="30"/>
  <c r="AE4673" i="30"/>
  <c r="AE4672" i="30"/>
  <c r="AE4671" i="30"/>
  <c r="AE4670" i="30"/>
  <c r="AE4669" i="30"/>
  <c r="AE4668" i="30"/>
  <c r="AE4667" i="30"/>
  <c r="AE4666" i="30"/>
  <c r="AE4665" i="30"/>
  <c r="AE4664" i="30"/>
  <c r="AE4663" i="30"/>
  <c r="AE4662" i="30"/>
  <c r="AE4661" i="30"/>
  <c r="AE4660" i="30"/>
  <c r="AE4659" i="30"/>
  <c r="AE4658" i="30"/>
  <c r="AE4657" i="30"/>
  <c r="AE4656" i="30"/>
  <c r="AE4655" i="30"/>
  <c r="AE4654" i="30"/>
  <c r="AE4653" i="30"/>
  <c r="AE4652" i="30"/>
  <c r="AE4651" i="30"/>
  <c r="AE4650" i="30"/>
  <c r="AE4649" i="30"/>
  <c r="AE4648" i="30"/>
  <c r="AE4647" i="30"/>
  <c r="AE4646" i="30"/>
  <c r="AE4645" i="30"/>
  <c r="AE4644" i="30"/>
  <c r="AE4643" i="30"/>
  <c r="AE4642" i="30"/>
  <c r="AE4641" i="30"/>
  <c r="AE4640" i="30"/>
  <c r="AE4639" i="30"/>
  <c r="AE4638" i="30"/>
  <c r="AE4637" i="30"/>
  <c r="AE4636" i="30"/>
  <c r="AE4635" i="30"/>
  <c r="AE4634" i="30"/>
  <c r="AE4633" i="30"/>
  <c r="AE4632" i="30"/>
  <c r="AE4631" i="30"/>
  <c r="AE4630" i="30"/>
  <c r="AE4629" i="30"/>
  <c r="AE4628" i="30"/>
  <c r="AE4627" i="30"/>
  <c r="AE4626" i="30"/>
  <c r="AE4625" i="30"/>
  <c r="AE4624" i="30"/>
  <c r="AE4623" i="30"/>
  <c r="AE4622" i="30"/>
  <c r="AE4621" i="30"/>
  <c r="AE4620" i="30"/>
  <c r="AE4619" i="30"/>
  <c r="AE4618" i="30"/>
  <c r="AE4617" i="30"/>
  <c r="AE4616" i="30"/>
  <c r="AE4615" i="30"/>
  <c r="AE4614" i="30"/>
  <c r="AE4613" i="30"/>
  <c r="AE4612" i="30"/>
  <c r="AE4611" i="30"/>
  <c r="AE4610" i="30"/>
  <c r="AE4609" i="30"/>
  <c r="AE4608" i="30"/>
  <c r="AE4607" i="30"/>
  <c r="AE4606" i="30"/>
  <c r="AE4605" i="30"/>
  <c r="AE4604" i="30"/>
  <c r="AE4603" i="30"/>
  <c r="AE4602" i="30"/>
  <c r="AE4601" i="30"/>
  <c r="AE4600" i="30"/>
  <c r="AE4599" i="30"/>
  <c r="AE4598" i="30"/>
  <c r="AE4597" i="30"/>
  <c r="AE4596" i="30"/>
  <c r="AE4595" i="30"/>
  <c r="AE4594" i="30"/>
  <c r="AE4593" i="30"/>
  <c r="AE4592" i="30"/>
  <c r="AE4591" i="30"/>
  <c r="AE4590" i="30"/>
  <c r="AE4589" i="30"/>
  <c r="AE4588" i="30"/>
  <c r="AE4587" i="30"/>
  <c r="AE4586" i="30"/>
  <c r="AE4585" i="30"/>
  <c r="AE4584" i="30"/>
  <c r="AE4583" i="30"/>
  <c r="AE4582" i="30"/>
  <c r="AE4581" i="30"/>
  <c r="AE4580" i="30"/>
  <c r="AE4579" i="30"/>
  <c r="AE4578" i="30"/>
  <c r="AE4577" i="30"/>
  <c r="AE4576" i="30"/>
  <c r="AE4575" i="30"/>
  <c r="AE4574" i="30"/>
  <c r="AE4573" i="30"/>
  <c r="AE4572" i="30"/>
  <c r="AE4571" i="30"/>
  <c r="AE4570" i="30"/>
  <c r="AE4569" i="30"/>
  <c r="AE4568" i="30"/>
  <c r="AE4567" i="30"/>
  <c r="AE4566" i="30"/>
  <c r="AE4565" i="30"/>
  <c r="AE4564" i="30"/>
  <c r="AE4563" i="30"/>
  <c r="AE4562" i="30"/>
  <c r="AE4561" i="30"/>
  <c r="AE4560" i="30"/>
  <c r="AE4559" i="30"/>
  <c r="AE4558" i="30"/>
  <c r="AE4557" i="30"/>
  <c r="AE4556" i="30"/>
  <c r="AE4555" i="30"/>
  <c r="AE4554" i="30"/>
  <c r="AE4553" i="30"/>
  <c r="AE4552" i="30"/>
  <c r="AE4551" i="30"/>
  <c r="AE4550" i="30"/>
  <c r="AE4549" i="30"/>
  <c r="AE4548" i="30"/>
  <c r="AE4547" i="30"/>
  <c r="AE4546" i="30"/>
  <c r="AE4545" i="30"/>
  <c r="AE4544" i="30"/>
  <c r="AE4543" i="30"/>
  <c r="AE4542" i="30"/>
  <c r="AE4541" i="30"/>
  <c r="AE4540" i="30"/>
  <c r="AE4539" i="30"/>
  <c r="AE4538" i="30"/>
  <c r="AE4537" i="30"/>
  <c r="AE4536" i="30"/>
  <c r="AE4535" i="30"/>
  <c r="AE4534" i="30"/>
  <c r="AE4533" i="30"/>
  <c r="AE4532" i="30"/>
  <c r="AE4531" i="30"/>
  <c r="AE4530" i="30"/>
  <c r="AE4529" i="30"/>
  <c r="AE4528" i="30"/>
  <c r="AE4527" i="30"/>
  <c r="AE4526" i="30"/>
  <c r="AE4525" i="30"/>
  <c r="AE4524" i="30"/>
  <c r="AE4523" i="30"/>
  <c r="AE4522" i="30"/>
  <c r="AE4521" i="30"/>
  <c r="AE4520" i="30"/>
  <c r="AE4519" i="30"/>
  <c r="AE4518" i="30"/>
  <c r="AE4517" i="30"/>
  <c r="AE4516" i="30"/>
  <c r="AE4515" i="30"/>
  <c r="AE4514" i="30"/>
  <c r="AE4513" i="30"/>
  <c r="AE4512" i="30"/>
  <c r="AE4511" i="30"/>
  <c r="AE4510" i="30"/>
  <c r="AE4509" i="30"/>
  <c r="AE4508" i="30"/>
  <c r="AE4507" i="30"/>
  <c r="AE4506" i="30"/>
  <c r="AE4505" i="30"/>
  <c r="AE4504" i="30"/>
  <c r="AE4503" i="30"/>
  <c r="AE4502" i="30"/>
  <c r="AE4501" i="30"/>
  <c r="AE4500" i="30"/>
  <c r="AE4499" i="30"/>
  <c r="AE4498" i="30"/>
  <c r="AE4497" i="30"/>
  <c r="AE4496" i="30"/>
  <c r="AE4495" i="30"/>
  <c r="AE4494" i="30"/>
  <c r="AE4493" i="30"/>
  <c r="AE4492" i="30"/>
  <c r="AE4491" i="30"/>
  <c r="AE4490" i="30"/>
  <c r="AE4489" i="30"/>
  <c r="AE4488" i="30"/>
  <c r="AE4487" i="30"/>
  <c r="AE4486" i="30"/>
  <c r="AE4485" i="30"/>
  <c r="AE4484" i="30"/>
  <c r="AE4483" i="30"/>
  <c r="AE4482" i="30"/>
  <c r="AE4481" i="30"/>
  <c r="AE4480" i="30"/>
  <c r="AE4479" i="30"/>
  <c r="AE4478" i="30"/>
  <c r="AE4477" i="30"/>
  <c r="AE4476" i="30"/>
  <c r="AE4475" i="30"/>
  <c r="AE4474" i="30"/>
  <c r="AE4473" i="30"/>
  <c r="AE4472" i="30"/>
  <c r="AE4471" i="30"/>
  <c r="AE4470" i="30"/>
  <c r="AE4469" i="30"/>
  <c r="AE4468" i="30"/>
  <c r="AE4467" i="30"/>
  <c r="AE4466" i="30"/>
  <c r="AE4465" i="30"/>
  <c r="AE4464" i="30"/>
  <c r="AE4463" i="30"/>
  <c r="AE4462" i="30"/>
  <c r="AE4461" i="30"/>
  <c r="AE4460" i="30"/>
  <c r="AE4459" i="30"/>
  <c r="AE4458" i="30"/>
  <c r="AE4457" i="30"/>
  <c r="AE4456" i="30"/>
  <c r="AE4455" i="30"/>
  <c r="AE4454" i="30"/>
  <c r="AE4453" i="30"/>
  <c r="AE4452" i="30"/>
  <c r="AE4451" i="30"/>
  <c r="AE4450" i="30"/>
  <c r="AE4449" i="30"/>
  <c r="AE4448" i="30"/>
  <c r="AE4447" i="30"/>
  <c r="AE4446" i="30"/>
  <c r="AE4445" i="30"/>
  <c r="AE4444" i="30"/>
  <c r="AE4443" i="30"/>
  <c r="AE4442" i="30"/>
  <c r="AE4441" i="30"/>
  <c r="AE4440" i="30"/>
  <c r="AE4439" i="30"/>
  <c r="AE4438" i="30"/>
  <c r="AE4437" i="30"/>
  <c r="AE4436" i="30"/>
  <c r="AE4435" i="30"/>
  <c r="AE4434" i="30"/>
  <c r="AE4433" i="30"/>
  <c r="AE4432" i="30"/>
  <c r="AE4431" i="30"/>
  <c r="AE4430" i="30"/>
  <c r="AE4429" i="30"/>
  <c r="AE4428" i="30"/>
  <c r="AE4427" i="30"/>
  <c r="AE4426" i="30"/>
  <c r="AE4425" i="30"/>
  <c r="AE4424" i="30"/>
  <c r="AE4423" i="30"/>
  <c r="AE4422" i="30"/>
  <c r="AE4421" i="30"/>
  <c r="AE4420" i="30"/>
  <c r="AE4419" i="30"/>
  <c r="AE4418" i="30"/>
  <c r="AE4417" i="30"/>
  <c r="AE4416" i="30"/>
  <c r="AE4415" i="30"/>
  <c r="AE4414" i="30"/>
  <c r="AE4413" i="30"/>
  <c r="AE4412" i="30"/>
  <c r="AE4411" i="30"/>
  <c r="AE4410" i="30"/>
  <c r="AE4409" i="30"/>
  <c r="AE4408" i="30"/>
  <c r="AE4407" i="30"/>
  <c r="AE4406" i="30"/>
  <c r="AE4405" i="30"/>
  <c r="AE4404" i="30"/>
  <c r="AE4403" i="30"/>
  <c r="AE4402" i="30"/>
  <c r="AE4401" i="30"/>
  <c r="AE4400" i="30"/>
  <c r="AE4399" i="30"/>
  <c r="AE4398" i="30"/>
  <c r="AE4397" i="30"/>
  <c r="AE4396" i="30"/>
  <c r="AE4395" i="30"/>
  <c r="AE4394" i="30"/>
  <c r="AE4393" i="30"/>
  <c r="AE4392" i="30"/>
  <c r="AE4391" i="30"/>
  <c r="AE4390" i="30"/>
  <c r="AE4389" i="30"/>
  <c r="AE4388" i="30"/>
  <c r="AE4387" i="30"/>
  <c r="AE4386" i="30"/>
  <c r="AE4385" i="30"/>
  <c r="AE4384" i="30"/>
  <c r="AE4383" i="30"/>
  <c r="AE4382" i="30"/>
  <c r="AE4381" i="30"/>
  <c r="AE4380" i="30"/>
  <c r="AE4379" i="30"/>
  <c r="AE4378" i="30"/>
  <c r="AE4377" i="30"/>
  <c r="AE4376" i="30"/>
  <c r="AE4375" i="30"/>
  <c r="AE4374" i="30"/>
  <c r="AE4373" i="30"/>
  <c r="AE4372" i="30"/>
  <c r="AE4371" i="30"/>
  <c r="AE4370" i="30"/>
  <c r="AE4369" i="30"/>
  <c r="AE4368" i="30"/>
  <c r="AE4367" i="30"/>
  <c r="AE4366" i="30"/>
  <c r="AE4365" i="30"/>
  <c r="AE4364" i="30"/>
  <c r="AE4363" i="30"/>
  <c r="AE4362" i="30"/>
  <c r="AE4361" i="30"/>
  <c r="AE4360" i="30"/>
  <c r="AE4359" i="30"/>
  <c r="AE4358" i="30"/>
  <c r="AE4357" i="30"/>
  <c r="AE4356" i="30"/>
  <c r="AE4355" i="30"/>
  <c r="AE4354" i="30"/>
  <c r="AG4354" i="30" s="1"/>
  <c r="AE4353" i="30"/>
  <c r="AG4353" i="30" s="1"/>
  <c r="AE4352" i="30"/>
  <c r="AG4352" i="30" s="1"/>
  <c r="AE4351" i="30"/>
  <c r="AG4351" i="30" s="1"/>
  <c r="AE4350" i="30"/>
  <c r="AG4350" i="30" s="1"/>
  <c r="AE4349" i="30"/>
  <c r="AG4349" i="30" s="1"/>
  <c r="AE4348" i="30"/>
  <c r="AG4348" i="30" s="1"/>
  <c r="AE4347" i="30"/>
  <c r="AG4347" i="30" s="1"/>
  <c r="AE4346" i="30"/>
  <c r="AG4346" i="30" s="1"/>
  <c r="AE4345" i="30"/>
  <c r="AG4345" i="30" s="1"/>
  <c r="AE4344" i="30"/>
  <c r="AG4344" i="30" s="1"/>
  <c r="AE4343" i="30"/>
  <c r="AG4343" i="30" s="1"/>
  <c r="AE4342" i="30"/>
  <c r="AG4342" i="30" s="1"/>
  <c r="AE4341" i="30"/>
  <c r="AG4341" i="30" s="1"/>
  <c r="AE4340" i="30"/>
  <c r="AG4340" i="30" s="1"/>
  <c r="AE4339" i="30"/>
  <c r="AG4339" i="30" s="1"/>
  <c r="AE4338" i="30"/>
  <c r="AG4338" i="30" s="1"/>
  <c r="AE4337" i="30"/>
  <c r="AG4337" i="30" s="1"/>
  <c r="AE4336" i="30"/>
  <c r="AG4336" i="30" s="1"/>
  <c r="AE4335" i="30"/>
  <c r="AG4335" i="30" s="1"/>
  <c r="AE4334" i="30"/>
  <c r="AG4334" i="30" s="1"/>
  <c r="AE4333" i="30"/>
  <c r="AG4333" i="30" s="1"/>
  <c r="AE4332" i="30"/>
  <c r="AG4332" i="30" s="1"/>
  <c r="AE4331" i="30"/>
  <c r="AG4331" i="30" s="1"/>
  <c r="AE4330" i="30"/>
  <c r="AG4330" i="30" s="1"/>
  <c r="AE4329" i="30"/>
  <c r="AG4329" i="30" s="1"/>
  <c r="AE4328" i="30"/>
  <c r="AG4328" i="30" s="1"/>
  <c r="AE4327" i="30"/>
  <c r="AG4327" i="30" s="1"/>
  <c r="AE4326" i="30"/>
  <c r="AG4326" i="30" s="1"/>
  <c r="AE4325" i="30"/>
  <c r="AG4325" i="30" s="1"/>
  <c r="AE4324" i="30"/>
  <c r="AG4324" i="30" s="1"/>
  <c r="AE4323" i="30"/>
  <c r="AG4323" i="30" s="1"/>
  <c r="AE4322" i="30"/>
  <c r="AG4322" i="30" s="1"/>
  <c r="AE4321" i="30"/>
  <c r="AG4321" i="30" s="1"/>
  <c r="AE4320" i="30"/>
  <c r="AG4320" i="30" s="1"/>
  <c r="AE4319" i="30"/>
  <c r="AG4319" i="30" s="1"/>
  <c r="AE4318" i="30"/>
  <c r="AG4318" i="30" s="1"/>
  <c r="AE4317" i="30"/>
  <c r="AG4317" i="30" s="1"/>
  <c r="AE4316" i="30"/>
  <c r="AG4316" i="30" s="1"/>
  <c r="AE4315" i="30"/>
  <c r="AG4315" i="30" s="1"/>
  <c r="AE4314" i="30"/>
  <c r="AG4314" i="30" s="1"/>
  <c r="AE4313" i="30"/>
  <c r="AG4313" i="30" s="1"/>
  <c r="AE4312" i="30"/>
  <c r="AG4312" i="30" s="1"/>
  <c r="AE4311" i="30"/>
  <c r="AG4311" i="30" s="1"/>
  <c r="AE4310" i="30"/>
  <c r="AG4310" i="30" s="1"/>
  <c r="AE4309" i="30"/>
  <c r="AG4309" i="30" s="1"/>
  <c r="AE4308" i="30"/>
  <c r="AG4308" i="30" s="1"/>
  <c r="AE4307" i="30"/>
  <c r="AG4307" i="30" s="1"/>
  <c r="AE4306" i="30"/>
  <c r="AG4306" i="30" s="1"/>
  <c r="AE4305" i="30"/>
  <c r="AG4305" i="30" s="1"/>
  <c r="AE4304" i="30"/>
  <c r="AG4304" i="30" s="1"/>
  <c r="AE4303" i="30"/>
  <c r="AG4303" i="30" s="1"/>
  <c r="AE4302" i="30"/>
  <c r="AG4302" i="30" s="1"/>
  <c r="AE4301" i="30"/>
  <c r="AG4301" i="30" s="1"/>
  <c r="AE4300" i="30"/>
  <c r="AG4300" i="30" s="1"/>
  <c r="AE4299" i="30"/>
  <c r="AG4299" i="30" s="1"/>
  <c r="AE4298" i="30"/>
  <c r="AG4298" i="30" s="1"/>
  <c r="AE4297" i="30"/>
  <c r="AG4297" i="30" s="1"/>
  <c r="AE4296" i="30"/>
  <c r="AG4296" i="30" s="1"/>
  <c r="AE4295" i="30"/>
  <c r="AG4295" i="30" s="1"/>
  <c r="AE4294" i="30"/>
  <c r="AG4294" i="30" s="1"/>
  <c r="AE4293" i="30"/>
  <c r="AG4293" i="30" s="1"/>
  <c r="AE4292" i="30"/>
  <c r="AG4292" i="30" s="1"/>
  <c r="AE4291" i="30"/>
  <c r="AG4291" i="30" s="1"/>
  <c r="AE4290" i="30"/>
  <c r="AG4290" i="30" s="1"/>
  <c r="AE4289" i="30"/>
  <c r="AG4289" i="30" s="1"/>
  <c r="AE4288" i="30"/>
  <c r="AG4288" i="30" s="1"/>
  <c r="AE4287" i="30"/>
  <c r="AG4287" i="30" s="1"/>
  <c r="AE4286" i="30"/>
  <c r="AG4286" i="30" s="1"/>
  <c r="AE4285" i="30"/>
  <c r="AG4285" i="30" s="1"/>
  <c r="AE4284" i="30"/>
  <c r="AG4284" i="30" s="1"/>
  <c r="AE4283" i="30"/>
  <c r="AG4283" i="30" s="1"/>
  <c r="AE4282" i="30"/>
  <c r="AG4282" i="30" s="1"/>
  <c r="AE4281" i="30"/>
  <c r="AG4281" i="30" s="1"/>
  <c r="AE4280" i="30"/>
  <c r="AG4280" i="30" s="1"/>
  <c r="AE4279" i="30"/>
  <c r="AG4279" i="30" s="1"/>
  <c r="AE4278" i="30"/>
  <c r="AG4278" i="30" s="1"/>
  <c r="AE4277" i="30"/>
  <c r="AG4277" i="30" s="1"/>
  <c r="AE4276" i="30"/>
  <c r="AG4276" i="30" s="1"/>
  <c r="AE4275" i="30"/>
  <c r="AG4275" i="30" s="1"/>
  <c r="AE4274" i="30"/>
  <c r="AG4274" i="30" s="1"/>
  <c r="AE4273" i="30"/>
  <c r="AG4273" i="30" s="1"/>
  <c r="AE4272" i="30"/>
  <c r="AG4272" i="30" s="1"/>
  <c r="AE4271" i="30"/>
  <c r="AG4271" i="30" s="1"/>
  <c r="AE4270" i="30"/>
  <c r="AG4270" i="30" s="1"/>
  <c r="AE4269" i="30"/>
  <c r="AG4269" i="30" s="1"/>
  <c r="AE4268" i="30"/>
  <c r="AG4268" i="30" s="1"/>
  <c r="AE4267" i="30"/>
  <c r="AG4267" i="30" s="1"/>
  <c r="AE4266" i="30"/>
  <c r="AG4266" i="30" s="1"/>
  <c r="AE4265" i="30"/>
  <c r="AG4265" i="30" s="1"/>
  <c r="AE4264" i="30"/>
  <c r="AG4264" i="30" s="1"/>
  <c r="AE4263" i="30"/>
  <c r="AG4263" i="30" s="1"/>
  <c r="AE4262" i="30"/>
  <c r="AG4262" i="30" s="1"/>
  <c r="AE4261" i="30"/>
  <c r="AG4261" i="30" s="1"/>
  <c r="AE4260" i="30"/>
  <c r="AG4260" i="30" s="1"/>
  <c r="AE4259" i="30"/>
  <c r="AG4259" i="30" s="1"/>
  <c r="AE4258" i="30"/>
  <c r="AG4258" i="30" s="1"/>
  <c r="AE4257" i="30"/>
  <c r="AG4257" i="30" s="1"/>
  <c r="AE4256" i="30"/>
  <c r="AG4256" i="30" s="1"/>
  <c r="AE4255" i="30"/>
  <c r="AG4255" i="30" s="1"/>
  <c r="AE4254" i="30"/>
  <c r="AG4254" i="30" s="1"/>
  <c r="AE4253" i="30"/>
  <c r="AG4253" i="30" s="1"/>
  <c r="AE4252" i="30"/>
  <c r="AG4252" i="30" s="1"/>
  <c r="AE4251" i="30"/>
  <c r="AG4251" i="30" s="1"/>
  <c r="AE4250" i="30"/>
  <c r="AG4250" i="30" s="1"/>
  <c r="AE4249" i="30"/>
  <c r="AG4249" i="30" s="1"/>
  <c r="AE4248" i="30"/>
  <c r="AG4248" i="30" s="1"/>
  <c r="AE4247" i="30"/>
  <c r="AG4247" i="30" s="1"/>
  <c r="AE4246" i="30"/>
  <c r="AG4246" i="30" s="1"/>
  <c r="AE4245" i="30"/>
  <c r="AG4245" i="30" s="1"/>
  <c r="AE4244" i="30"/>
  <c r="AG4244" i="30" s="1"/>
  <c r="AE4243" i="30"/>
  <c r="AG4243" i="30" s="1"/>
  <c r="AE4242" i="30"/>
  <c r="AG4242" i="30" s="1"/>
  <c r="AE4241" i="30"/>
  <c r="AG4241" i="30" s="1"/>
  <c r="AE4240" i="30"/>
  <c r="AG4240" i="30" s="1"/>
  <c r="AE4239" i="30"/>
  <c r="AG4239" i="30" s="1"/>
  <c r="AE4238" i="30"/>
  <c r="AG4238" i="30" s="1"/>
  <c r="AE4237" i="30"/>
  <c r="AG4237" i="30" s="1"/>
  <c r="AE4236" i="30"/>
  <c r="AG4236" i="30" s="1"/>
  <c r="AE4235" i="30"/>
  <c r="AG4235" i="30" s="1"/>
  <c r="AE4234" i="30"/>
  <c r="AG4234" i="30" s="1"/>
  <c r="AE4233" i="30"/>
  <c r="AG4233" i="30" s="1"/>
  <c r="AE4232" i="30"/>
  <c r="AG4232" i="30" s="1"/>
  <c r="AE4231" i="30"/>
  <c r="AG4231" i="30" s="1"/>
  <c r="AE4230" i="30"/>
  <c r="AG4230" i="30" s="1"/>
  <c r="AE4229" i="30"/>
  <c r="AG4229" i="30" s="1"/>
  <c r="AE4228" i="30"/>
  <c r="AG4228" i="30" s="1"/>
  <c r="AE4227" i="30"/>
  <c r="AG4227" i="30" s="1"/>
  <c r="AE4226" i="30"/>
  <c r="AG4226" i="30" s="1"/>
  <c r="AE4225" i="30"/>
  <c r="AG4225" i="30" s="1"/>
  <c r="AE4224" i="30"/>
  <c r="AG4224" i="30" s="1"/>
  <c r="AE4223" i="30"/>
  <c r="AG4223" i="30" s="1"/>
  <c r="AE4222" i="30"/>
  <c r="AG4222" i="30" s="1"/>
  <c r="AE4221" i="30"/>
  <c r="AG4221" i="30" s="1"/>
  <c r="AE4220" i="30"/>
  <c r="AG4220" i="30" s="1"/>
  <c r="AE4219" i="30"/>
  <c r="AG4219" i="30" s="1"/>
  <c r="AE4218" i="30"/>
  <c r="AG4218" i="30" s="1"/>
  <c r="AE4217" i="30"/>
  <c r="AG4217" i="30" s="1"/>
  <c r="AE4216" i="30"/>
  <c r="AG4216" i="30" s="1"/>
  <c r="AE4215" i="30"/>
  <c r="AG4215" i="30" s="1"/>
  <c r="AE4214" i="30"/>
  <c r="AG4214" i="30" s="1"/>
  <c r="AE4213" i="30"/>
  <c r="AG4213" i="30" s="1"/>
  <c r="AE4212" i="30"/>
  <c r="AG4212" i="30" s="1"/>
  <c r="AE4211" i="30"/>
  <c r="AG4211" i="30" s="1"/>
  <c r="AE4210" i="30"/>
  <c r="AG4210" i="30" s="1"/>
  <c r="AE4209" i="30"/>
  <c r="AG4209" i="30" s="1"/>
  <c r="AE4208" i="30"/>
  <c r="AG4208" i="30" s="1"/>
  <c r="AE4207" i="30"/>
  <c r="AG4207" i="30" s="1"/>
  <c r="AE4206" i="30"/>
  <c r="AG4206" i="30" s="1"/>
  <c r="AE4205" i="30"/>
  <c r="AG4205" i="30" s="1"/>
  <c r="AE4204" i="30"/>
  <c r="AG4204" i="30" s="1"/>
  <c r="AE4203" i="30"/>
  <c r="AG4203" i="30" s="1"/>
  <c r="AE4202" i="30"/>
  <c r="AG4202" i="30" s="1"/>
  <c r="AE4201" i="30"/>
  <c r="AG4201" i="30" s="1"/>
  <c r="AE4200" i="30"/>
  <c r="AG4200" i="30" s="1"/>
  <c r="AE4199" i="30"/>
  <c r="AG4199" i="30" s="1"/>
  <c r="AE4198" i="30"/>
  <c r="AG4198" i="30" s="1"/>
  <c r="AE4197" i="30"/>
  <c r="AG4197" i="30" s="1"/>
  <c r="AE4196" i="30"/>
  <c r="AG4196" i="30" s="1"/>
  <c r="AE4195" i="30"/>
  <c r="AG4195" i="30" s="1"/>
  <c r="AE4194" i="30"/>
  <c r="AG4194" i="30" s="1"/>
  <c r="AE4193" i="30"/>
  <c r="AG4193" i="30" s="1"/>
  <c r="AE4192" i="30"/>
  <c r="AG4192" i="30" s="1"/>
  <c r="AE4191" i="30"/>
  <c r="AG4191" i="30" s="1"/>
  <c r="AE4190" i="30"/>
  <c r="AG4190" i="30" s="1"/>
  <c r="AE4189" i="30"/>
  <c r="AG4189" i="30" s="1"/>
  <c r="AE4188" i="30"/>
  <c r="AG4188" i="30" s="1"/>
  <c r="AE4187" i="30"/>
  <c r="AG4187" i="30" s="1"/>
  <c r="AE4186" i="30"/>
  <c r="AG4186" i="30" s="1"/>
  <c r="AE4185" i="30"/>
  <c r="AG4185" i="30" s="1"/>
  <c r="AE4184" i="30"/>
  <c r="AG4184" i="30" s="1"/>
  <c r="AE4183" i="30"/>
  <c r="AG4183" i="30" s="1"/>
  <c r="AE4182" i="30"/>
  <c r="AG4182" i="30" s="1"/>
  <c r="AE4181" i="30"/>
  <c r="AG4181" i="30" s="1"/>
  <c r="AE4180" i="30"/>
  <c r="AG4180" i="30" s="1"/>
  <c r="AE4179" i="30"/>
  <c r="AG4179" i="30" s="1"/>
  <c r="AE4178" i="30"/>
  <c r="AG4178" i="30" s="1"/>
  <c r="AE4177" i="30"/>
  <c r="AG4177" i="30" s="1"/>
  <c r="AE4176" i="30"/>
  <c r="AG4176" i="30" s="1"/>
  <c r="AE4175" i="30"/>
  <c r="AG4175" i="30" s="1"/>
  <c r="AE4174" i="30"/>
  <c r="AG4174" i="30" s="1"/>
  <c r="AE4173" i="30"/>
  <c r="AG4173" i="30" s="1"/>
  <c r="AE4172" i="30"/>
  <c r="AG4172" i="30" s="1"/>
  <c r="AE4171" i="30"/>
  <c r="AG4171" i="30" s="1"/>
  <c r="AE4170" i="30"/>
  <c r="AG4170" i="30" s="1"/>
  <c r="AE4169" i="30"/>
  <c r="AG4169" i="30" s="1"/>
  <c r="AE4168" i="30"/>
  <c r="AG4168" i="30" s="1"/>
  <c r="AE4167" i="30"/>
  <c r="AG4167" i="30" s="1"/>
  <c r="AE4166" i="30"/>
  <c r="AG4166" i="30" s="1"/>
  <c r="AE4165" i="30"/>
  <c r="AG4165" i="30" s="1"/>
  <c r="AE4164" i="30"/>
  <c r="AG4164" i="30" s="1"/>
  <c r="AE4163" i="30"/>
  <c r="AG4163" i="30" s="1"/>
  <c r="AE4162" i="30"/>
  <c r="AG4162" i="30" s="1"/>
  <c r="AE4161" i="30"/>
  <c r="AG4161" i="30" s="1"/>
  <c r="AE4160" i="30"/>
  <c r="AG4160" i="30" s="1"/>
  <c r="AE4159" i="30"/>
  <c r="AG4159" i="30" s="1"/>
  <c r="AE4158" i="30"/>
  <c r="AG4158" i="30" s="1"/>
  <c r="AE4157" i="30"/>
  <c r="AG4157" i="30" s="1"/>
  <c r="AE4156" i="30"/>
  <c r="AG4156" i="30" s="1"/>
  <c r="AE4155" i="30"/>
  <c r="AG4155" i="30" s="1"/>
  <c r="AE4154" i="30"/>
  <c r="AG4154" i="30" s="1"/>
  <c r="AE4153" i="30"/>
  <c r="AG4153" i="30" s="1"/>
  <c r="AE4152" i="30"/>
  <c r="AG4152" i="30" s="1"/>
  <c r="AE4151" i="30"/>
  <c r="AG4151" i="30" s="1"/>
  <c r="AE4150" i="30"/>
  <c r="AG4150" i="30" s="1"/>
  <c r="AE4149" i="30"/>
  <c r="AG4149" i="30" s="1"/>
  <c r="AE4148" i="30"/>
  <c r="AG4148" i="30" s="1"/>
  <c r="AE4147" i="30"/>
  <c r="AG4147" i="30" s="1"/>
  <c r="AE4146" i="30"/>
  <c r="AG4146" i="30" s="1"/>
  <c r="AE4145" i="30"/>
  <c r="AG4145" i="30" s="1"/>
  <c r="AE4144" i="30"/>
  <c r="AG4144" i="30" s="1"/>
  <c r="AE4143" i="30"/>
  <c r="AG4143" i="30" s="1"/>
  <c r="AE4142" i="30"/>
  <c r="AG4142" i="30" s="1"/>
  <c r="AE4141" i="30"/>
  <c r="AG4141" i="30" s="1"/>
  <c r="AE4140" i="30"/>
  <c r="AG4140" i="30" s="1"/>
  <c r="AE4139" i="30"/>
  <c r="AG4139" i="30" s="1"/>
  <c r="AE4138" i="30"/>
  <c r="AG4138" i="30" s="1"/>
  <c r="AE4137" i="30"/>
  <c r="AG4137" i="30" s="1"/>
  <c r="AE4136" i="30"/>
  <c r="AG4136" i="30" s="1"/>
  <c r="AE4135" i="30"/>
  <c r="AG4135" i="30" s="1"/>
  <c r="AE4134" i="30"/>
  <c r="AG4134" i="30" s="1"/>
  <c r="AE4133" i="30"/>
  <c r="AG4133" i="30" s="1"/>
  <c r="AE4132" i="30"/>
  <c r="AG4132" i="30" s="1"/>
  <c r="AE4131" i="30"/>
  <c r="AG4131" i="30" s="1"/>
  <c r="AE4130" i="30"/>
  <c r="AG4130" i="30" s="1"/>
  <c r="AE4129" i="30"/>
  <c r="AG4129" i="30" s="1"/>
  <c r="AE4128" i="30"/>
  <c r="AG4128" i="30" s="1"/>
  <c r="AE4127" i="30"/>
  <c r="AG4127" i="30" s="1"/>
  <c r="AE4126" i="30"/>
  <c r="AG4126" i="30" s="1"/>
  <c r="AE4125" i="30"/>
  <c r="AG4125" i="30" s="1"/>
  <c r="AE4124" i="30"/>
  <c r="AG4124" i="30" s="1"/>
  <c r="AE4123" i="30"/>
  <c r="AG4123" i="30" s="1"/>
  <c r="AE4122" i="30"/>
  <c r="AG4122" i="30" s="1"/>
  <c r="AE4121" i="30"/>
  <c r="AG4121" i="30" s="1"/>
  <c r="AE4120" i="30"/>
  <c r="AG4120" i="30" s="1"/>
  <c r="AE4119" i="30"/>
  <c r="AG4119" i="30" s="1"/>
  <c r="AE4118" i="30"/>
  <c r="AG4118" i="30" s="1"/>
  <c r="AE4117" i="30"/>
  <c r="AG4117" i="30" s="1"/>
  <c r="AE4116" i="30"/>
  <c r="AG4116" i="30" s="1"/>
  <c r="AE4115" i="30"/>
  <c r="AG4115" i="30" s="1"/>
  <c r="AE4114" i="30"/>
  <c r="AG4114" i="30" s="1"/>
  <c r="AE4113" i="30"/>
  <c r="AG4113" i="30" s="1"/>
  <c r="AE4112" i="30"/>
  <c r="AG4112" i="30" s="1"/>
  <c r="AE4111" i="30"/>
  <c r="AG4111" i="30" s="1"/>
  <c r="AE4110" i="30"/>
  <c r="AG4110" i="30" s="1"/>
  <c r="AE4109" i="30"/>
  <c r="AG4109" i="30" s="1"/>
  <c r="AE4108" i="30"/>
  <c r="AG4108" i="30" s="1"/>
  <c r="AE4107" i="30"/>
  <c r="AG4107" i="30" s="1"/>
  <c r="AE4106" i="30"/>
  <c r="AG4106" i="30" s="1"/>
  <c r="AE4105" i="30"/>
  <c r="AG4105" i="30" s="1"/>
  <c r="AE4104" i="30"/>
  <c r="AG4104" i="30" s="1"/>
  <c r="AE4103" i="30"/>
  <c r="AG4103" i="30" s="1"/>
  <c r="AE4102" i="30"/>
  <c r="AG4102" i="30" s="1"/>
  <c r="AE4101" i="30"/>
  <c r="AG4101" i="30" s="1"/>
  <c r="AE4100" i="30"/>
  <c r="AG4100" i="30" s="1"/>
  <c r="AE4099" i="30"/>
  <c r="AG4099" i="30" s="1"/>
  <c r="AE4098" i="30"/>
  <c r="AG4098" i="30" s="1"/>
  <c r="AE4097" i="30"/>
  <c r="AG4097" i="30" s="1"/>
  <c r="AE4096" i="30"/>
  <c r="AG4096" i="30" s="1"/>
  <c r="AE4095" i="30"/>
  <c r="AG4095" i="30" s="1"/>
  <c r="AE4094" i="30"/>
  <c r="AG4094" i="30" s="1"/>
  <c r="AE4093" i="30"/>
  <c r="AG4093" i="30" s="1"/>
  <c r="AE4092" i="30"/>
  <c r="AG4092" i="30" s="1"/>
  <c r="AE4091" i="30"/>
  <c r="AG4091" i="30" s="1"/>
  <c r="AE4090" i="30"/>
  <c r="AG4090" i="30" s="1"/>
  <c r="AE4089" i="30"/>
  <c r="AG4089" i="30" s="1"/>
  <c r="AE4088" i="30"/>
  <c r="AG4088" i="30" s="1"/>
  <c r="AE4087" i="30"/>
  <c r="AG4087" i="30" s="1"/>
  <c r="AE4086" i="30"/>
  <c r="AG4086" i="30" s="1"/>
  <c r="AE4085" i="30"/>
  <c r="AG4085" i="30" s="1"/>
  <c r="AE4084" i="30"/>
  <c r="AG4084" i="30" s="1"/>
  <c r="AE4083" i="30"/>
  <c r="AG4083" i="30" s="1"/>
  <c r="AE4082" i="30"/>
  <c r="AG4082" i="30" s="1"/>
  <c r="AE4081" i="30"/>
  <c r="AG4081" i="30" s="1"/>
  <c r="AE4080" i="30"/>
  <c r="AG4080" i="30" s="1"/>
  <c r="AE4079" i="30"/>
  <c r="AG4079" i="30" s="1"/>
  <c r="AE4078" i="30"/>
  <c r="AG4078" i="30" s="1"/>
  <c r="AE4077" i="30"/>
  <c r="AG4077" i="30" s="1"/>
  <c r="AE4076" i="30"/>
  <c r="AG4076" i="30" s="1"/>
  <c r="AE4075" i="30"/>
  <c r="AG4075" i="30" s="1"/>
  <c r="AE4074" i="30"/>
  <c r="AG4074" i="30" s="1"/>
  <c r="AE4073" i="30"/>
  <c r="AG4073" i="30" s="1"/>
  <c r="AE4072" i="30"/>
  <c r="AG4072" i="30" s="1"/>
  <c r="AE4071" i="30"/>
  <c r="AG4071" i="30" s="1"/>
  <c r="AE4070" i="30"/>
  <c r="AG4070" i="30" s="1"/>
  <c r="AE4069" i="30"/>
  <c r="AG4069" i="30" s="1"/>
  <c r="AE4068" i="30"/>
  <c r="AG4068" i="30" s="1"/>
  <c r="AE4067" i="30"/>
  <c r="AG4067" i="30" s="1"/>
  <c r="AE4066" i="30"/>
  <c r="AG4066" i="30" s="1"/>
  <c r="AE4065" i="30"/>
  <c r="AG4065" i="30" s="1"/>
  <c r="AE4064" i="30"/>
  <c r="AG4064" i="30" s="1"/>
  <c r="AE4063" i="30"/>
  <c r="AG4063" i="30" s="1"/>
  <c r="AE4062" i="30"/>
  <c r="AG4062" i="30" s="1"/>
  <c r="AE4061" i="30"/>
  <c r="AG4061" i="30" s="1"/>
  <c r="AE4060" i="30"/>
  <c r="AG4060" i="30" s="1"/>
  <c r="AE4059" i="30"/>
  <c r="AG4059" i="30" s="1"/>
  <c r="AE4058" i="30"/>
  <c r="AG4058" i="30" s="1"/>
  <c r="AE4057" i="30"/>
  <c r="AG4057" i="30" s="1"/>
  <c r="AE4056" i="30"/>
  <c r="AG4056" i="30" s="1"/>
  <c r="AE4055" i="30"/>
  <c r="AG4055" i="30" s="1"/>
  <c r="AE4054" i="30"/>
  <c r="AG4054" i="30" s="1"/>
  <c r="AE4053" i="30"/>
  <c r="AG4053" i="30" s="1"/>
  <c r="AE4052" i="30"/>
  <c r="AG4052" i="30" s="1"/>
  <c r="AE4051" i="30"/>
  <c r="AG4051" i="30" s="1"/>
  <c r="AE4050" i="30"/>
  <c r="AG4050" i="30" s="1"/>
  <c r="AE4049" i="30"/>
  <c r="AG4049" i="30" s="1"/>
  <c r="AE4048" i="30"/>
  <c r="AG4048" i="30" s="1"/>
  <c r="AE4047" i="30"/>
  <c r="AG4047" i="30" s="1"/>
  <c r="AE4046" i="30"/>
  <c r="AG4046" i="30" s="1"/>
  <c r="AE4045" i="30"/>
  <c r="AG4045" i="30" s="1"/>
  <c r="AE4044" i="30"/>
  <c r="AG4044" i="30" s="1"/>
  <c r="AE4043" i="30"/>
  <c r="AG4043" i="30" s="1"/>
  <c r="AE4042" i="30"/>
  <c r="AG4042" i="30" s="1"/>
  <c r="AE4041" i="30"/>
  <c r="AG4041" i="30" s="1"/>
  <c r="AE4040" i="30"/>
  <c r="AG4040" i="30" s="1"/>
  <c r="AE4039" i="30"/>
  <c r="AG4039" i="30" s="1"/>
  <c r="AE4038" i="30"/>
  <c r="AG4038" i="30" s="1"/>
  <c r="AE4037" i="30"/>
  <c r="AG4037" i="30" s="1"/>
  <c r="AE4036" i="30"/>
  <c r="AG4036" i="30" s="1"/>
  <c r="AE4035" i="30"/>
  <c r="AG4035" i="30" s="1"/>
  <c r="AE4034" i="30"/>
  <c r="AG4034" i="30" s="1"/>
  <c r="AE4033" i="30"/>
  <c r="AG4033" i="30" s="1"/>
  <c r="AE4032" i="30"/>
  <c r="AG4032" i="30" s="1"/>
  <c r="AE4031" i="30"/>
  <c r="AG4031" i="30" s="1"/>
  <c r="AE4030" i="30"/>
  <c r="AG4030" i="30" s="1"/>
  <c r="AE4029" i="30"/>
  <c r="AG4029" i="30" s="1"/>
  <c r="AE4028" i="30"/>
  <c r="AG4028" i="30" s="1"/>
  <c r="AE4027" i="30"/>
  <c r="AG4027" i="30" s="1"/>
  <c r="AE4026" i="30"/>
  <c r="AG4026" i="30" s="1"/>
  <c r="AE4025" i="30"/>
  <c r="AG4025" i="30" s="1"/>
  <c r="AE4024" i="30"/>
  <c r="AG4024" i="30" s="1"/>
  <c r="AE4023" i="30"/>
  <c r="AG4023" i="30" s="1"/>
  <c r="AE4022" i="30"/>
  <c r="AG4022" i="30" s="1"/>
  <c r="AE4021" i="30"/>
  <c r="AG4021" i="30" s="1"/>
  <c r="AE4020" i="30"/>
  <c r="AG4020" i="30" s="1"/>
  <c r="AE4019" i="30"/>
  <c r="AG4019" i="30" s="1"/>
  <c r="AE4018" i="30"/>
  <c r="AG4018" i="30" s="1"/>
  <c r="AE4017" i="30"/>
  <c r="AG4017" i="30" s="1"/>
  <c r="AE4016" i="30"/>
  <c r="AG4016" i="30" s="1"/>
  <c r="AE4015" i="30"/>
  <c r="AG4015" i="30" s="1"/>
  <c r="AE4014" i="30"/>
  <c r="AG4014" i="30" s="1"/>
  <c r="AE4013" i="30"/>
  <c r="AG4013" i="30" s="1"/>
  <c r="AE4012" i="30"/>
  <c r="AG4012" i="30" s="1"/>
  <c r="AE4011" i="30"/>
  <c r="AG4011" i="30" s="1"/>
  <c r="AE4010" i="30"/>
  <c r="AG4010" i="30" s="1"/>
  <c r="AE4009" i="30"/>
  <c r="AG4009" i="30" s="1"/>
  <c r="AE4008" i="30"/>
  <c r="AG4008" i="30" s="1"/>
  <c r="AE4007" i="30"/>
  <c r="AG4007" i="30" s="1"/>
  <c r="AE4006" i="30"/>
  <c r="AG4006" i="30" s="1"/>
  <c r="AE4005" i="30"/>
  <c r="AG4005" i="30" s="1"/>
  <c r="AE4004" i="30"/>
  <c r="AG4004" i="30" s="1"/>
  <c r="AE4003" i="30"/>
  <c r="AG4003" i="30" s="1"/>
  <c r="AE4002" i="30"/>
  <c r="AG4002" i="30" s="1"/>
  <c r="AE4001" i="30"/>
  <c r="AG4001" i="30" s="1"/>
  <c r="AE4000" i="30"/>
  <c r="AG4000" i="30" s="1"/>
  <c r="AE3999" i="30"/>
  <c r="AG3999" i="30" s="1"/>
  <c r="AE3998" i="30"/>
  <c r="AG3998" i="30" s="1"/>
  <c r="AE3997" i="30"/>
  <c r="AG3997" i="30" s="1"/>
  <c r="AE3996" i="30"/>
  <c r="AG3996" i="30" s="1"/>
  <c r="AE3995" i="30"/>
  <c r="AG3995" i="30" s="1"/>
  <c r="AE3994" i="30"/>
  <c r="AG3994" i="30" s="1"/>
  <c r="AE3993" i="30"/>
  <c r="AG3993" i="30" s="1"/>
  <c r="AE3992" i="30"/>
  <c r="AG3992" i="30" s="1"/>
  <c r="AE3991" i="30"/>
  <c r="AG3991" i="30" s="1"/>
  <c r="AE3990" i="30"/>
  <c r="AG3990" i="30" s="1"/>
  <c r="AE3989" i="30"/>
  <c r="AG3989" i="30" s="1"/>
  <c r="AE3988" i="30"/>
  <c r="AG3988" i="30" s="1"/>
  <c r="AE3987" i="30"/>
  <c r="AG3987" i="30" s="1"/>
  <c r="AE3986" i="30"/>
  <c r="AG3986" i="30" s="1"/>
  <c r="AE3985" i="30"/>
  <c r="AG3985" i="30" s="1"/>
  <c r="AE3984" i="30"/>
  <c r="AG3984" i="30" s="1"/>
  <c r="AE3983" i="30"/>
  <c r="AG3983" i="30" s="1"/>
  <c r="AE3982" i="30"/>
  <c r="AG3982" i="30" s="1"/>
  <c r="AE3981" i="30"/>
  <c r="AG3981" i="30" s="1"/>
  <c r="AE3980" i="30"/>
  <c r="AG3980" i="30" s="1"/>
  <c r="AE3979" i="30"/>
  <c r="AG3979" i="30" s="1"/>
  <c r="AE3978" i="30"/>
  <c r="AG3978" i="30" s="1"/>
  <c r="AE3977" i="30"/>
  <c r="AG3977" i="30" s="1"/>
  <c r="AE3976" i="30"/>
  <c r="AG3976" i="30" s="1"/>
  <c r="AE3975" i="30"/>
  <c r="AG3975" i="30" s="1"/>
  <c r="AE3974" i="30"/>
  <c r="AG3974" i="30" s="1"/>
  <c r="AE3973" i="30"/>
  <c r="AG3973" i="30" s="1"/>
  <c r="AE3972" i="30"/>
  <c r="AG3972" i="30" s="1"/>
  <c r="AE3971" i="30"/>
  <c r="AG3971" i="30" s="1"/>
  <c r="AE3970" i="30"/>
  <c r="AG3970" i="30" s="1"/>
  <c r="AE3969" i="30"/>
  <c r="AG3969" i="30" s="1"/>
  <c r="AE3968" i="30"/>
  <c r="AG3968" i="30" s="1"/>
  <c r="AE3967" i="30"/>
  <c r="AG3967" i="30" s="1"/>
  <c r="AE3966" i="30"/>
  <c r="AG3966" i="30" s="1"/>
  <c r="AE3965" i="30"/>
  <c r="AG3965" i="30" s="1"/>
  <c r="AE3964" i="30"/>
  <c r="AG3964" i="30" s="1"/>
  <c r="AE3963" i="30"/>
  <c r="AG3963" i="30" s="1"/>
  <c r="AE3962" i="30"/>
  <c r="AG3962" i="30" s="1"/>
  <c r="AE3961" i="30"/>
  <c r="AG3961" i="30" s="1"/>
  <c r="AE3960" i="30"/>
  <c r="AG3960" i="30" s="1"/>
  <c r="AE3959" i="30"/>
  <c r="AG3959" i="30" s="1"/>
  <c r="AE3958" i="30"/>
  <c r="AG3958" i="30" s="1"/>
  <c r="AE3957" i="30"/>
  <c r="AG3957" i="30" s="1"/>
  <c r="AE3956" i="30"/>
  <c r="AG3956" i="30" s="1"/>
  <c r="AE3955" i="30"/>
  <c r="AG3955" i="30" s="1"/>
  <c r="AE3954" i="30"/>
  <c r="AG3954" i="30" s="1"/>
  <c r="AE3953" i="30"/>
  <c r="AG3953" i="30" s="1"/>
  <c r="AE3952" i="30"/>
  <c r="AG3952" i="30" s="1"/>
  <c r="AE3951" i="30"/>
  <c r="AG3951" i="30" s="1"/>
  <c r="AE3950" i="30"/>
  <c r="AG3950" i="30" s="1"/>
  <c r="AE3949" i="30"/>
  <c r="AG3949" i="30" s="1"/>
  <c r="AE3948" i="30"/>
  <c r="AG3948" i="30" s="1"/>
  <c r="AE3947" i="30"/>
  <c r="AG3947" i="30" s="1"/>
  <c r="AE3946" i="30"/>
  <c r="AG3946" i="30" s="1"/>
  <c r="AE3945" i="30"/>
  <c r="AG3945" i="30" s="1"/>
  <c r="AE3944" i="30"/>
  <c r="AG3944" i="30" s="1"/>
  <c r="AE3943" i="30"/>
  <c r="AG3943" i="30" s="1"/>
  <c r="AE3942" i="30"/>
  <c r="AG3942" i="30" s="1"/>
  <c r="AE3941" i="30"/>
  <c r="AG3941" i="30" s="1"/>
  <c r="AE3940" i="30"/>
  <c r="AG3940" i="30" s="1"/>
  <c r="AE3939" i="30"/>
  <c r="AG3939" i="30" s="1"/>
  <c r="AE3938" i="30"/>
  <c r="AG3938" i="30" s="1"/>
  <c r="AE3937" i="30"/>
  <c r="AG3937" i="30" s="1"/>
  <c r="AE3936" i="30"/>
  <c r="AG3936" i="30" s="1"/>
  <c r="AE3935" i="30"/>
  <c r="AG3935" i="30" s="1"/>
  <c r="AE3934" i="30"/>
  <c r="AG3934" i="30" s="1"/>
  <c r="AE3933" i="30"/>
  <c r="AG3933" i="30" s="1"/>
  <c r="AE3932" i="30"/>
  <c r="AG3932" i="30" s="1"/>
  <c r="AE3931" i="30"/>
  <c r="AG3931" i="30" s="1"/>
  <c r="AE3930" i="30"/>
  <c r="AG3930" i="30" s="1"/>
  <c r="AE3929" i="30"/>
  <c r="AG3929" i="30" s="1"/>
  <c r="AE3928" i="30"/>
  <c r="AG3928" i="30" s="1"/>
  <c r="AE3927" i="30"/>
  <c r="AG3927" i="30" s="1"/>
  <c r="AE3926" i="30"/>
  <c r="AG3926" i="30" s="1"/>
  <c r="AE3925" i="30"/>
  <c r="AG3925" i="30" s="1"/>
  <c r="AE3924" i="30"/>
  <c r="AG3924" i="30" s="1"/>
  <c r="AE3923" i="30"/>
  <c r="AG3923" i="30" s="1"/>
  <c r="AE3922" i="30"/>
  <c r="AG3922" i="30" s="1"/>
  <c r="AE3921" i="30"/>
  <c r="AG3921" i="30" s="1"/>
  <c r="AE3920" i="30"/>
  <c r="AG3920" i="30" s="1"/>
  <c r="AE3919" i="30"/>
  <c r="AG3919" i="30" s="1"/>
  <c r="AE3918" i="30"/>
  <c r="AG3918" i="30" s="1"/>
  <c r="AE3917" i="30"/>
  <c r="AG3917" i="30" s="1"/>
  <c r="AE3916" i="30"/>
  <c r="AG3916" i="30" s="1"/>
  <c r="AE3915" i="30"/>
  <c r="AG3915" i="30" s="1"/>
  <c r="AE3914" i="30"/>
  <c r="AG3914" i="30" s="1"/>
  <c r="AE3913" i="30"/>
  <c r="AG3913" i="30" s="1"/>
  <c r="AE3912" i="30"/>
  <c r="AG3912" i="30" s="1"/>
  <c r="AE3911" i="30"/>
  <c r="AG3911" i="30" s="1"/>
  <c r="AE3910" i="30"/>
  <c r="AG3910" i="30" s="1"/>
  <c r="AE3909" i="30"/>
  <c r="AG3909" i="30" s="1"/>
  <c r="AE3908" i="30"/>
  <c r="AG3908" i="30" s="1"/>
  <c r="AE3907" i="30"/>
  <c r="AG3907" i="30" s="1"/>
  <c r="AE3906" i="30"/>
  <c r="AG3906" i="30" s="1"/>
  <c r="AE3905" i="30"/>
  <c r="AG3905" i="30" s="1"/>
  <c r="AE3904" i="30"/>
  <c r="AG3904" i="30" s="1"/>
  <c r="AE3903" i="30"/>
  <c r="AG3903" i="30" s="1"/>
  <c r="AE3902" i="30"/>
  <c r="AG3902" i="30" s="1"/>
  <c r="AE3901" i="30"/>
  <c r="AG3901" i="30" s="1"/>
  <c r="AE3900" i="30"/>
  <c r="AG3900" i="30" s="1"/>
  <c r="AE3899" i="30"/>
  <c r="AG3899" i="30" s="1"/>
  <c r="AE3898" i="30"/>
  <c r="AG3898" i="30" s="1"/>
  <c r="AE3897" i="30"/>
  <c r="AG3897" i="30" s="1"/>
  <c r="AE3896" i="30"/>
  <c r="AG3896" i="30" s="1"/>
  <c r="AE3895" i="30"/>
  <c r="AG3895" i="30" s="1"/>
  <c r="AE3894" i="30"/>
  <c r="AG3894" i="30" s="1"/>
  <c r="AE3893" i="30"/>
  <c r="AG3893" i="30" s="1"/>
  <c r="AE3892" i="30"/>
  <c r="AG3892" i="30" s="1"/>
  <c r="AE3891" i="30"/>
  <c r="AG3891" i="30" s="1"/>
  <c r="AE3890" i="30"/>
  <c r="AG3890" i="30" s="1"/>
  <c r="AE3889" i="30"/>
  <c r="AG3889" i="30" s="1"/>
  <c r="AE3888" i="30"/>
  <c r="AG3888" i="30" s="1"/>
  <c r="AE3887" i="30"/>
  <c r="AG3887" i="30" s="1"/>
  <c r="AE3886" i="30"/>
  <c r="AG3886" i="30" s="1"/>
  <c r="AE3885" i="30"/>
  <c r="AG3885" i="30" s="1"/>
  <c r="AE3884" i="30"/>
  <c r="AG3884" i="30" s="1"/>
  <c r="AE3883" i="30"/>
  <c r="AG3883" i="30" s="1"/>
  <c r="AE3882" i="30"/>
  <c r="AG3882" i="30" s="1"/>
  <c r="AE3881" i="30"/>
  <c r="AG3881" i="30" s="1"/>
  <c r="AE3880" i="30"/>
  <c r="AG3880" i="30" s="1"/>
  <c r="AE3879" i="30"/>
  <c r="AG3879" i="30" s="1"/>
  <c r="AE3878" i="30"/>
  <c r="AG3878" i="30" s="1"/>
  <c r="AE3877" i="30"/>
  <c r="AG3877" i="30" s="1"/>
  <c r="AE3876" i="30"/>
  <c r="AG3876" i="30" s="1"/>
  <c r="AE3875" i="30"/>
  <c r="AG3875" i="30" s="1"/>
  <c r="AE3874" i="30"/>
  <c r="AG3874" i="30" s="1"/>
  <c r="AE3873" i="30"/>
  <c r="AG3873" i="30" s="1"/>
  <c r="AE3872" i="30"/>
  <c r="AG3872" i="30" s="1"/>
  <c r="AE3871" i="30"/>
  <c r="AG3871" i="30" s="1"/>
  <c r="AE3870" i="30"/>
  <c r="AG3870" i="30" s="1"/>
  <c r="AE3869" i="30"/>
  <c r="AG3869" i="30" s="1"/>
  <c r="AE3868" i="30"/>
  <c r="AG3868" i="30" s="1"/>
  <c r="AE3867" i="30"/>
  <c r="AG3867" i="30" s="1"/>
  <c r="AE3866" i="30"/>
  <c r="AG3866" i="30" s="1"/>
  <c r="AE3865" i="30"/>
  <c r="AG3865" i="30" s="1"/>
  <c r="AE3864" i="30"/>
  <c r="AG3864" i="30" s="1"/>
  <c r="AE3863" i="30"/>
  <c r="AG3863" i="30" s="1"/>
  <c r="AE3862" i="30"/>
  <c r="AG3862" i="30" s="1"/>
  <c r="AE3861" i="30"/>
  <c r="AG3861" i="30" s="1"/>
  <c r="AE3860" i="30"/>
  <c r="AG3860" i="30" s="1"/>
  <c r="AE3859" i="30"/>
  <c r="AG3859" i="30" s="1"/>
  <c r="AE3858" i="30"/>
  <c r="AG3858" i="30" s="1"/>
  <c r="AE3857" i="30"/>
  <c r="AG3857" i="30" s="1"/>
  <c r="AE3856" i="30"/>
  <c r="AG3856" i="30" s="1"/>
  <c r="AE3855" i="30"/>
  <c r="AG3855" i="30" s="1"/>
  <c r="AE3854" i="30"/>
  <c r="AG3854" i="30" s="1"/>
  <c r="AE3853" i="30"/>
  <c r="AG3853" i="30" s="1"/>
  <c r="AE3852" i="30"/>
  <c r="AG3852" i="30" s="1"/>
  <c r="AE3851" i="30"/>
  <c r="AG3851" i="30" s="1"/>
  <c r="AE3850" i="30"/>
  <c r="AG3850" i="30" s="1"/>
  <c r="AE3849" i="30"/>
  <c r="AG3849" i="30" s="1"/>
  <c r="AE3848" i="30"/>
  <c r="AG3848" i="30" s="1"/>
  <c r="AE3847" i="30"/>
  <c r="AG3847" i="30" s="1"/>
  <c r="AE3846" i="30"/>
  <c r="AG3846" i="30" s="1"/>
  <c r="AE3845" i="30"/>
  <c r="AG3845" i="30" s="1"/>
  <c r="AE3844" i="30"/>
  <c r="AG3844" i="30" s="1"/>
  <c r="AE3843" i="30"/>
  <c r="AG3843" i="30" s="1"/>
  <c r="AE3842" i="30"/>
  <c r="AG3842" i="30" s="1"/>
  <c r="AE3841" i="30"/>
  <c r="AG3841" i="30" s="1"/>
  <c r="AE3840" i="30"/>
  <c r="AG3840" i="30" s="1"/>
  <c r="AE3839" i="30"/>
  <c r="AG3839" i="30" s="1"/>
  <c r="AE3838" i="30"/>
  <c r="AG3838" i="30" s="1"/>
  <c r="AE3837" i="30"/>
  <c r="AG3837" i="30" s="1"/>
  <c r="AE3836" i="30"/>
  <c r="AG3836" i="30" s="1"/>
  <c r="AE3835" i="30"/>
  <c r="AG3835" i="30" s="1"/>
  <c r="AE3834" i="30"/>
  <c r="AG3834" i="30" s="1"/>
  <c r="AE3833" i="30"/>
  <c r="AG3833" i="30" s="1"/>
  <c r="AE3832" i="30"/>
  <c r="AG3832" i="30" s="1"/>
  <c r="AE3831" i="30"/>
  <c r="AG3831" i="30" s="1"/>
  <c r="AE3830" i="30"/>
  <c r="AG3830" i="30" s="1"/>
  <c r="AE3829" i="30"/>
  <c r="AG3829" i="30" s="1"/>
  <c r="AE3828" i="30"/>
  <c r="AG3828" i="30" s="1"/>
  <c r="AE3827" i="30"/>
  <c r="AG3827" i="30" s="1"/>
  <c r="AE3826" i="30"/>
  <c r="AG3826" i="30" s="1"/>
  <c r="AE3825" i="30"/>
  <c r="AG3825" i="30" s="1"/>
  <c r="AE3824" i="30"/>
  <c r="AG3824" i="30" s="1"/>
  <c r="AE3823" i="30"/>
  <c r="AG3823" i="30" s="1"/>
  <c r="AE3822" i="30"/>
  <c r="AG3822" i="30" s="1"/>
  <c r="AE3821" i="30"/>
  <c r="AG3821" i="30" s="1"/>
  <c r="AE3820" i="30"/>
  <c r="AG3820" i="30" s="1"/>
  <c r="AE3819" i="30"/>
  <c r="AG3819" i="30" s="1"/>
  <c r="AE3818" i="30"/>
  <c r="AG3818" i="30" s="1"/>
  <c r="AE3817" i="30"/>
  <c r="AG3817" i="30" s="1"/>
  <c r="AE3816" i="30"/>
  <c r="AG3816" i="30" s="1"/>
  <c r="AE3815" i="30"/>
  <c r="AG3815" i="30" s="1"/>
  <c r="AE3814" i="30"/>
  <c r="AG3814" i="30" s="1"/>
  <c r="AE3813" i="30"/>
  <c r="AG3813" i="30" s="1"/>
  <c r="AE3812" i="30"/>
  <c r="AG3812" i="30" s="1"/>
  <c r="AE3811" i="30"/>
  <c r="AG3811" i="30" s="1"/>
  <c r="AE3810" i="30"/>
  <c r="AG3810" i="30" s="1"/>
  <c r="AE3809" i="30"/>
  <c r="AG3809" i="30" s="1"/>
  <c r="AE3808" i="30"/>
  <c r="AG3808" i="30" s="1"/>
  <c r="AE3807" i="30"/>
  <c r="AG3807" i="30" s="1"/>
  <c r="AE3806" i="30"/>
  <c r="AG3806" i="30" s="1"/>
  <c r="AE3805" i="30"/>
  <c r="AG3805" i="30" s="1"/>
  <c r="AE3804" i="30"/>
  <c r="AG3804" i="30" s="1"/>
  <c r="AE3803" i="30"/>
  <c r="AG3803" i="30" s="1"/>
  <c r="AE3802" i="30"/>
  <c r="AG3802" i="30" s="1"/>
  <c r="AE3801" i="30"/>
  <c r="AG3801" i="30" s="1"/>
  <c r="AE3800" i="30"/>
  <c r="AG3800" i="30" s="1"/>
  <c r="AE3799" i="30"/>
  <c r="AG3799" i="30" s="1"/>
  <c r="AE3798" i="30"/>
  <c r="AG3798" i="30" s="1"/>
  <c r="AE3797" i="30"/>
  <c r="AG3797" i="30" s="1"/>
  <c r="AE3796" i="30"/>
  <c r="AG3796" i="30" s="1"/>
  <c r="AE3795" i="30"/>
  <c r="AG3795" i="30" s="1"/>
  <c r="AE3794" i="30"/>
  <c r="AG3794" i="30" s="1"/>
  <c r="AE3793" i="30"/>
  <c r="AG3793" i="30" s="1"/>
  <c r="AE3792" i="30"/>
  <c r="AG3792" i="30" s="1"/>
  <c r="AE3791" i="30"/>
  <c r="AG3791" i="30" s="1"/>
  <c r="AE3790" i="30"/>
  <c r="AG3790" i="30" s="1"/>
  <c r="AE3789" i="30"/>
  <c r="AG3789" i="30" s="1"/>
  <c r="AE3788" i="30"/>
  <c r="AG3788" i="30" s="1"/>
  <c r="AE3787" i="30"/>
  <c r="AG3787" i="30" s="1"/>
  <c r="AE3786" i="30"/>
  <c r="AG3786" i="30" s="1"/>
  <c r="AE3785" i="30"/>
  <c r="AG3785" i="30" s="1"/>
  <c r="AE3784" i="30"/>
  <c r="AG3784" i="30" s="1"/>
  <c r="AE3783" i="30"/>
  <c r="AG3783" i="30" s="1"/>
  <c r="AE3782" i="30"/>
  <c r="AG3782" i="30" s="1"/>
  <c r="AE3781" i="30"/>
  <c r="AG3781" i="30" s="1"/>
  <c r="AE3780" i="30"/>
  <c r="AG3780" i="30" s="1"/>
  <c r="AE3779" i="30"/>
  <c r="AG3779" i="30" s="1"/>
  <c r="AE3778" i="30"/>
  <c r="AG3778" i="30" s="1"/>
  <c r="AE3777" i="30"/>
  <c r="AG3777" i="30" s="1"/>
  <c r="AE3776" i="30"/>
  <c r="AG3776" i="30" s="1"/>
  <c r="AE3775" i="30"/>
  <c r="AG3775" i="30" s="1"/>
  <c r="AE3774" i="30"/>
  <c r="AG3774" i="30" s="1"/>
  <c r="AE3773" i="30"/>
  <c r="AG3773" i="30" s="1"/>
  <c r="AE3772" i="30"/>
  <c r="AG3772" i="30" s="1"/>
  <c r="AE3771" i="30"/>
  <c r="AG3771" i="30" s="1"/>
  <c r="AE3770" i="30"/>
  <c r="AG3770" i="30" s="1"/>
  <c r="AE3769" i="30"/>
  <c r="AG3769" i="30" s="1"/>
  <c r="AE3768" i="30"/>
  <c r="AG3768" i="30" s="1"/>
  <c r="AE3767" i="30"/>
  <c r="AG3767" i="30" s="1"/>
  <c r="AE3766" i="30"/>
  <c r="AG3766" i="30" s="1"/>
  <c r="AE3765" i="30"/>
  <c r="AG3765" i="30" s="1"/>
  <c r="AE3764" i="30"/>
  <c r="AG3764" i="30" s="1"/>
  <c r="AE3763" i="30"/>
  <c r="AG3763" i="30" s="1"/>
  <c r="AE3762" i="30"/>
  <c r="AG3762" i="30" s="1"/>
  <c r="AE3761" i="30"/>
  <c r="AG3761" i="30" s="1"/>
  <c r="AE3760" i="30"/>
  <c r="AG3760" i="30" s="1"/>
  <c r="AE3759" i="30"/>
  <c r="AG3759" i="30" s="1"/>
  <c r="AE3758" i="30"/>
  <c r="AG3758" i="30" s="1"/>
  <c r="AE3757" i="30"/>
  <c r="AG3757" i="30" s="1"/>
  <c r="AE3756" i="30"/>
  <c r="AG3756" i="30" s="1"/>
  <c r="AE3755" i="30"/>
  <c r="AG3755" i="30" s="1"/>
  <c r="AE3754" i="30"/>
  <c r="AG3754" i="30" s="1"/>
  <c r="AE3753" i="30"/>
  <c r="AG3753" i="30" s="1"/>
  <c r="AE3752" i="30"/>
  <c r="AG3752" i="30" s="1"/>
  <c r="AE3751" i="30"/>
  <c r="AG3751" i="30" s="1"/>
  <c r="AE3750" i="30"/>
  <c r="AG3750" i="30" s="1"/>
  <c r="AE3749" i="30"/>
  <c r="AG3749" i="30" s="1"/>
  <c r="AE3748" i="30"/>
  <c r="AG3748" i="30" s="1"/>
  <c r="AE3747" i="30"/>
  <c r="AG3747" i="30" s="1"/>
  <c r="AE3746" i="30"/>
  <c r="AG3746" i="30" s="1"/>
  <c r="AE3745" i="30"/>
  <c r="AG3745" i="30" s="1"/>
  <c r="AE3744" i="30"/>
  <c r="AG3744" i="30" s="1"/>
  <c r="AE3743" i="30"/>
  <c r="AG3743" i="30" s="1"/>
  <c r="AE3742" i="30"/>
  <c r="AG3742" i="30" s="1"/>
  <c r="AE3741" i="30"/>
  <c r="AG3741" i="30" s="1"/>
  <c r="AE3740" i="30"/>
  <c r="AG3740" i="30" s="1"/>
  <c r="AE3739" i="30"/>
  <c r="AG3739" i="30" s="1"/>
  <c r="AE3738" i="30"/>
  <c r="AG3738" i="30" s="1"/>
  <c r="AE3737" i="30"/>
  <c r="AG3737" i="30" s="1"/>
  <c r="AE3736" i="30"/>
  <c r="AG3736" i="30" s="1"/>
  <c r="AE3735" i="30"/>
  <c r="AG3735" i="30" s="1"/>
  <c r="AE3734" i="30"/>
  <c r="AE3733" i="30"/>
  <c r="AE3732" i="30"/>
  <c r="AE3731" i="30"/>
  <c r="AE3730" i="30"/>
  <c r="AE3729" i="30"/>
  <c r="AE3728" i="30"/>
  <c r="AE3727" i="30"/>
  <c r="AE3726" i="30"/>
  <c r="AE3725" i="30"/>
  <c r="AE3724" i="30"/>
  <c r="AE3723" i="30"/>
  <c r="AE3722" i="30"/>
  <c r="AE3721" i="30"/>
  <c r="AE3720" i="30"/>
  <c r="AE3719" i="30"/>
  <c r="AE3718" i="30"/>
  <c r="AE3717" i="30"/>
  <c r="AE3716" i="30"/>
  <c r="AE3715" i="30"/>
  <c r="AE3714" i="30"/>
  <c r="AE3713" i="30"/>
  <c r="AE3712" i="30"/>
  <c r="AE3711" i="30"/>
  <c r="AE3710" i="30"/>
  <c r="AE3709" i="30"/>
  <c r="AE3708" i="30"/>
  <c r="AE3707" i="30"/>
  <c r="AE3706" i="30"/>
  <c r="AE3705" i="30"/>
  <c r="AE3704" i="30"/>
  <c r="AE3703" i="30"/>
  <c r="AE3702" i="30"/>
  <c r="AE3701" i="30"/>
  <c r="AE3700" i="30"/>
  <c r="AE3699" i="30"/>
  <c r="AE3698" i="30"/>
  <c r="AE3697" i="30"/>
  <c r="AE3696" i="30"/>
  <c r="AE3695" i="30"/>
  <c r="AE3694" i="30"/>
  <c r="AE3693" i="30"/>
  <c r="AE3692" i="30"/>
  <c r="AE3691" i="30"/>
  <c r="AE3690" i="30"/>
  <c r="AE3689" i="30"/>
  <c r="AE3688" i="30"/>
  <c r="AE3687" i="30"/>
  <c r="AE3686" i="30"/>
  <c r="AE3685" i="30"/>
  <c r="AE3684" i="30"/>
  <c r="AE3683" i="30"/>
  <c r="AE3682" i="30"/>
  <c r="AE3681" i="30"/>
  <c r="AE3680" i="30"/>
  <c r="AE3679" i="30"/>
  <c r="AE3678" i="30"/>
  <c r="AE3677" i="30"/>
  <c r="AE3676" i="30"/>
  <c r="AE3675" i="30"/>
  <c r="AE3674" i="30"/>
  <c r="AE3673" i="30"/>
  <c r="AE3672" i="30"/>
  <c r="AE3671" i="30"/>
  <c r="AE3670" i="30"/>
  <c r="AE3669" i="30"/>
  <c r="AE3668" i="30"/>
  <c r="AE3667" i="30"/>
  <c r="AE3666" i="30"/>
  <c r="AE3665" i="30"/>
  <c r="AE3664" i="30"/>
  <c r="AE3663" i="30"/>
  <c r="AE3662" i="30"/>
  <c r="AE3661" i="30"/>
  <c r="AE3660" i="30"/>
  <c r="AE3659" i="30"/>
  <c r="AE3658" i="30"/>
  <c r="AE3657" i="30"/>
  <c r="AE3656" i="30"/>
  <c r="AE3655" i="30"/>
  <c r="AE3654" i="30"/>
  <c r="AE3653" i="30"/>
  <c r="AE3652" i="30"/>
  <c r="AE3651" i="30"/>
  <c r="AE3650" i="30"/>
  <c r="AE3649" i="30"/>
  <c r="AE3648" i="30"/>
  <c r="AE3647" i="30"/>
  <c r="AE3646" i="30"/>
  <c r="AE3645" i="30"/>
  <c r="AE3644" i="30"/>
  <c r="AE3643" i="30"/>
  <c r="AE3642" i="30"/>
  <c r="AE3641" i="30"/>
  <c r="AE3640" i="30"/>
  <c r="AE3639" i="30"/>
  <c r="AE3638" i="30"/>
  <c r="AE3637" i="30"/>
  <c r="AE3636" i="30"/>
  <c r="AE3635" i="30"/>
  <c r="AE3634" i="30"/>
  <c r="AE3633" i="30"/>
  <c r="AE3632" i="30"/>
  <c r="AE3631" i="30"/>
  <c r="AE3630" i="30"/>
  <c r="AE3629" i="30"/>
  <c r="AE3628" i="30"/>
  <c r="AE3627" i="30"/>
  <c r="AE3626" i="30"/>
  <c r="AE3625" i="30"/>
  <c r="AE3624" i="30"/>
  <c r="AE3623" i="30"/>
  <c r="AE3622" i="30"/>
  <c r="AE3621" i="30"/>
  <c r="AE3620" i="30"/>
  <c r="AE3619" i="30"/>
  <c r="AE3618" i="30"/>
  <c r="AE3617" i="30"/>
  <c r="AE3616" i="30"/>
  <c r="AE3615" i="30"/>
  <c r="AE3614" i="30"/>
  <c r="AE3613" i="30"/>
  <c r="AE3612" i="30"/>
  <c r="AE3611" i="30"/>
  <c r="AE3610" i="30"/>
  <c r="AE3609" i="30"/>
  <c r="AE3608" i="30"/>
  <c r="AE3607" i="30"/>
  <c r="AE3606" i="30"/>
  <c r="AE3605" i="30"/>
  <c r="AE3604" i="30"/>
  <c r="AE3603" i="30"/>
  <c r="AE3602" i="30"/>
  <c r="AE3601" i="30"/>
  <c r="AE3600" i="30"/>
  <c r="AE3599" i="30"/>
  <c r="AE3598" i="30"/>
  <c r="AE3597" i="30"/>
  <c r="AE3596" i="30"/>
  <c r="AE3595" i="30"/>
  <c r="AE3594" i="30"/>
  <c r="AE3593" i="30"/>
  <c r="AE3592" i="30"/>
  <c r="AE3591" i="30"/>
  <c r="AE3590" i="30"/>
  <c r="AE3589" i="30"/>
  <c r="AE3588" i="30"/>
  <c r="AE3587" i="30"/>
  <c r="AE3586" i="30"/>
  <c r="AE3585" i="30"/>
  <c r="AE3584" i="30"/>
  <c r="AE3583" i="30"/>
  <c r="AE3582" i="30"/>
  <c r="AE3581" i="30"/>
  <c r="AE3580" i="30"/>
  <c r="AE3579" i="30"/>
  <c r="AE3578" i="30"/>
  <c r="AE3577" i="30"/>
  <c r="AE3576" i="30"/>
  <c r="AE3575" i="30"/>
  <c r="AE3574" i="30"/>
  <c r="AE3573" i="30"/>
  <c r="AE3572" i="30"/>
  <c r="AE3571" i="30"/>
  <c r="AE3570" i="30"/>
  <c r="AE3569" i="30"/>
  <c r="AE3568" i="30"/>
  <c r="AE3567" i="30"/>
  <c r="AE3566" i="30"/>
  <c r="AE3565" i="30"/>
  <c r="AG3565" i="30" s="1"/>
  <c r="AE3564" i="30"/>
  <c r="AG3564" i="30" s="1"/>
  <c r="AE3563" i="30"/>
  <c r="AG3563" i="30" s="1"/>
  <c r="AE3562" i="30"/>
  <c r="AG3562" i="30" s="1"/>
  <c r="AE3561" i="30"/>
  <c r="AG3561" i="30" s="1"/>
  <c r="AE3560" i="30"/>
  <c r="AG3560" i="30" s="1"/>
  <c r="AE3559" i="30"/>
  <c r="AG3559" i="30" s="1"/>
  <c r="AE3558" i="30"/>
  <c r="AG3558" i="30" s="1"/>
  <c r="AE3557" i="30"/>
  <c r="AG3557" i="30" s="1"/>
  <c r="AE3556" i="30"/>
  <c r="AG3556" i="30" s="1"/>
  <c r="AE3555" i="30"/>
  <c r="AG3555" i="30" s="1"/>
  <c r="AE3554" i="30"/>
  <c r="AG3554" i="30" s="1"/>
  <c r="AE3553" i="30"/>
  <c r="AG3553" i="30" s="1"/>
  <c r="AE3552" i="30"/>
  <c r="AG3552" i="30" s="1"/>
  <c r="AE3551" i="30"/>
  <c r="AG3551" i="30" s="1"/>
  <c r="AE3550" i="30"/>
  <c r="AG3550" i="30" s="1"/>
  <c r="AE3549" i="30"/>
  <c r="AG3549" i="30" s="1"/>
  <c r="AE3548" i="30"/>
  <c r="AG3548" i="30" s="1"/>
  <c r="AE3547" i="30"/>
  <c r="AG3547" i="30" s="1"/>
  <c r="AE3546" i="30"/>
  <c r="AG3546" i="30" s="1"/>
  <c r="AE3545" i="30"/>
  <c r="AG3545" i="30" s="1"/>
  <c r="AE3544" i="30"/>
  <c r="AG3544" i="30" s="1"/>
  <c r="AE3543" i="30"/>
  <c r="AG3543" i="30" s="1"/>
  <c r="AE3542" i="30"/>
  <c r="AG3542" i="30" s="1"/>
  <c r="AE3541" i="30"/>
  <c r="AG3541" i="30" s="1"/>
  <c r="AE3540" i="30"/>
  <c r="AG3540" i="30" s="1"/>
  <c r="AE3539" i="30"/>
  <c r="AG3539" i="30" s="1"/>
  <c r="AE3538" i="30"/>
  <c r="AG3538" i="30" s="1"/>
  <c r="AE3537" i="30"/>
  <c r="AG3537" i="30" s="1"/>
  <c r="AE3536" i="30"/>
  <c r="AG3536" i="30" s="1"/>
  <c r="AE3535" i="30"/>
  <c r="AG3535" i="30" s="1"/>
  <c r="AE3534" i="30"/>
  <c r="AG3534" i="30" s="1"/>
  <c r="AE3533" i="30"/>
  <c r="AG3533" i="30" s="1"/>
  <c r="AE3532" i="30"/>
  <c r="AG3532" i="30" s="1"/>
  <c r="AE3531" i="30"/>
  <c r="AG3531" i="30" s="1"/>
  <c r="AE3530" i="30"/>
  <c r="AG3530" i="30" s="1"/>
  <c r="AE3529" i="30"/>
  <c r="AG3529" i="30" s="1"/>
  <c r="AE3528" i="30"/>
  <c r="AG3528" i="30" s="1"/>
  <c r="AE3527" i="30"/>
  <c r="AG3527" i="30" s="1"/>
  <c r="AE3526" i="30"/>
  <c r="AG3526" i="30" s="1"/>
  <c r="AE3525" i="30"/>
  <c r="AG3525" i="30" s="1"/>
  <c r="AE3524" i="30"/>
  <c r="AG3524" i="30" s="1"/>
  <c r="AE3523" i="30"/>
  <c r="AG3523" i="30" s="1"/>
  <c r="AE3522" i="30"/>
  <c r="AG3522" i="30" s="1"/>
  <c r="AE3521" i="30"/>
  <c r="AG3521" i="30" s="1"/>
  <c r="AE3520" i="30"/>
  <c r="AG3520" i="30" s="1"/>
  <c r="AE3519" i="30"/>
  <c r="AG3519" i="30" s="1"/>
  <c r="AE3518" i="30"/>
  <c r="AG3518" i="30" s="1"/>
  <c r="AE3517" i="30"/>
  <c r="AG3517" i="30" s="1"/>
  <c r="AE3516" i="30"/>
  <c r="AG3516" i="30" s="1"/>
  <c r="AE3515" i="30"/>
  <c r="AG3515" i="30" s="1"/>
  <c r="AE3514" i="30"/>
  <c r="AG3514" i="30" s="1"/>
  <c r="AE3513" i="30"/>
  <c r="AG3513" i="30" s="1"/>
  <c r="AE3512" i="30"/>
  <c r="AG3512" i="30" s="1"/>
  <c r="AE3511" i="30"/>
  <c r="AG3511" i="30" s="1"/>
  <c r="AE3510" i="30"/>
  <c r="AG3510" i="30" s="1"/>
  <c r="AE3509" i="30"/>
  <c r="AG3509" i="30" s="1"/>
  <c r="AE3508" i="30"/>
  <c r="AG3508" i="30" s="1"/>
  <c r="AE3507" i="30"/>
  <c r="AG3507" i="30" s="1"/>
  <c r="AE3506" i="30"/>
  <c r="AG3506" i="30" s="1"/>
  <c r="AE3505" i="30"/>
  <c r="AG3505" i="30" s="1"/>
  <c r="AE3504" i="30"/>
  <c r="AG3504" i="30" s="1"/>
  <c r="AE3503" i="30"/>
  <c r="AG3503" i="30" s="1"/>
  <c r="AE3502" i="30"/>
  <c r="AG3502" i="30" s="1"/>
  <c r="AE3501" i="30"/>
  <c r="AG3501" i="30" s="1"/>
  <c r="AE3500" i="30"/>
  <c r="AG3500" i="30" s="1"/>
  <c r="AE3499" i="30"/>
  <c r="AG3499" i="30" s="1"/>
  <c r="AE3498" i="30"/>
  <c r="AG3498" i="30" s="1"/>
  <c r="AE3497" i="30"/>
  <c r="AG3497" i="30" s="1"/>
  <c r="AE3496" i="30"/>
  <c r="AG3496" i="30" s="1"/>
  <c r="AE3495" i="30"/>
  <c r="AG3495" i="30" s="1"/>
  <c r="AE3494" i="30"/>
  <c r="AG3494" i="30" s="1"/>
  <c r="AE3493" i="30"/>
  <c r="AG3493" i="30" s="1"/>
  <c r="AE3492" i="30"/>
  <c r="AG3492" i="30" s="1"/>
  <c r="AE3491" i="30"/>
  <c r="AG3491" i="30" s="1"/>
  <c r="AE3490" i="30"/>
  <c r="AG3490" i="30" s="1"/>
  <c r="AE3489" i="30"/>
  <c r="AG3489" i="30" s="1"/>
  <c r="AE3488" i="30"/>
  <c r="AG3488" i="30" s="1"/>
  <c r="AE3487" i="30"/>
  <c r="AG3487" i="30" s="1"/>
  <c r="AE3486" i="30"/>
  <c r="AG3486" i="30" s="1"/>
  <c r="AE3485" i="30"/>
  <c r="AG3485" i="30" s="1"/>
  <c r="AE3484" i="30"/>
  <c r="AG3484" i="30" s="1"/>
  <c r="AE3483" i="30"/>
  <c r="AG3483" i="30" s="1"/>
  <c r="AE3482" i="30"/>
  <c r="AG3482" i="30" s="1"/>
  <c r="AE3481" i="30"/>
  <c r="AG3481" i="30" s="1"/>
  <c r="AE3480" i="30"/>
  <c r="AG3480" i="30" s="1"/>
  <c r="AE3479" i="30"/>
  <c r="AG3479" i="30" s="1"/>
  <c r="AE3478" i="30"/>
  <c r="AG3478" i="30" s="1"/>
  <c r="AE3477" i="30"/>
  <c r="AG3477" i="30" s="1"/>
  <c r="AE3476" i="30"/>
  <c r="AG3476" i="30" s="1"/>
  <c r="AE3475" i="30"/>
  <c r="AG3475" i="30" s="1"/>
  <c r="AE3474" i="30"/>
  <c r="AG3474" i="30" s="1"/>
  <c r="AE3473" i="30"/>
  <c r="AG3473" i="30" s="1"/>
  <c r="AE3472" i="30"/>
  <c r="AG3472" i="30" s="1"/>
  <c r="AE3471" i="30"/>
  <c r="AG3471" i="30" s="1"/>
  <c r="AE3470" i="30"/>
  <c r="AG3470" i="30" s="1"/>
  <c r="AE3469" i="30"/>
  <c r="AG3469" i="30" s="1"/>
  <c r="AE3468" i="30"/>
  <c r="AG3468" i="30" s="1"/>
  <c r="AE3467" i="30"/>
  <c r="AG3467" i="30" s="1"/>
  <c r="AE3466" i="30"/>
  <c r="AG3466" i="30" s="1"/>
  <c r="AE3465" i="30"/>
  <c r="AG3465" i="30" s="1"/>
  <c r="AE3464" i="30"/>
  <c r="AG3464" i="30" s="1"/>
  <c r="AE3463" i="30"/>
  <c r="AG3463" i="30" s="1"/>
  <c r="AE3462" i="30"/>
  <c r="AG3462" i="30" s="1"/>
  <c r="AE3461" i="30"/>
  <c r="AG3461" i="30" s="1"/>
  <c r="AE3460" i="30"/>
  <c r="AG3460" i="30" s="1"/>
  <c r="AE3459" i="30"/>
  <c r="AG3459" i="30" s="1"/>
  <c r="AE3458" i="30"/>
  <c r="AG3458" i="30" s="1"/>
  <c r="AE3457" i="30"/>
  <c r="AG3457" i="30" s="1"/>
  <c r="AE3456" i="30"/>
  <c r="AG3456" i="30" s="1"/>
  <c r="AE3455" i="30"/>
  <c r="AG3455" i="30" s="1"/>
  <c r="AE3454" i="30"/>
  <c r="AG3454" i="30" s="1"/>
  <c r="AE3453" i="30"/>
  <c r="AG3453" i="30" s="1"/>
  <c r="AE3452" i="30"/>
  <c r="AG3452" i="30" s="1"/>
  <c r="AE3451" i="30"/>
  <c r="AG3451" i="30" s="1"/>
  <c r="AE3450" i="30"/>
  <c r="AG3450" i="30" s="1"/>
  <c r="AE3449" i="30"/>
  <c r="AG3449" i="30" s="1"/>
  <c r="AE3448" i="30"/>
  <c r="AG3448" i="30" s="1"/>
  <c r="AE3447" i="30"/>
  <c r="AG3447" i="30" s="1"/>
  <c r="AE3446" i="30"/>
  <c r="AG3446" i="30" s="1"/>
  <c r="AE3445" i="30"/>
  <c r="AG3445" i="30" s="1"/>
  <c r="AE3444" i="30"/>
  <c r="AG3444" i="30" s="1"/>
  <c r="AE3443" i="30"/>
  <c r="AG3443" i="30" s="1"/>
  <c r="AE3442" i="30"/>
  <c r="AG3442" i="30" s="1"/>
  <c r="AE3441" i="30"/>
  <c r="AG3441" i="30" s="1"/>
  <c r="AE3440" i="30"/>
  <c r="AG3440" i="30" s="1"/>
  <c r="AE3439" i="30"/>
  <c r="AG3439" i="30" s="1"/>
  <c r="AE3438" i="30"/>
  <c r="AG3438" i="30" s="1"/>
  <c r="AE3437" i="30"/>
  <c r="AG3437" i="30" s="1"/>
  <c r="AE3436" i="30"/>
  <c r="AG3436" i="30" s="1"/>
  <c r="AE3435" i="30"/>
  <c r="AG3435" i="30" s="1"/>
  <c r="AE3434" i="30"/>
  <c r="AG3434" i="30" s="1"/>
  <c r="AE3433" i="30"/>
  <c r="AG3433" i="30" s="1"/>
  <c r="AE3432" i="30"/>
  <c r="AG3432" i="30" s="1"/>
  <c r="AE3431" i="30"/>
  <c r="AG3431" i="30" s="1"/>
  <c r="AE3430" i="30"/>
  <c r="AG3430" i="30" s="1"/>
  <c r="AE3429" i="30"/>
  <c r="AG3429" i="30" s="1"/>
  <c r="AE3428" i="30"/>
  <c r="AG3428" i="30" s="1"/>
  <c r="AE3427" i="30"/>
  <c r="AG3427" i="30" s="1"/>
  <c r="AE3426" i="30"/>
  <c r="AG3426" i="30" s="1"/>
  <c r="AE3425" i="30"/>
  <c r="AG3425" i="30" s="1"/>
  <c r="AE3424" i="30"/>
  <c r="AG3424" i="30" s="1"/>
  <c r="AE3423" i="30"/>
  <c r="AG3423" i="30" s="1"/>
  <c r="AE3422" i="30"/>
  <c r="AG3422" i="30" s="1"/>
  <c r="AE3421" i="30"/>
  <c r="AG3421" i="30" s="1"/>
  <c r="AE3420" i="30"/>
  <c r="AG3420" i="30" s="1"/>
  <c r="AE3419" i="30"/>
  <c r="AG3419" i="30" s="1"/>
  <c r="AE3418" i="30"/>
  <c r="AG3418" i="30" s="1"/>
  <c r="AE3417" i="30"/>
  <c r="AG3417" i="30" s="1"/>
  <c r="AE3416" i="30"/>
  <c r="AG3416" i="30" s="1"/>
  <c r="AE3415" i="30"/>
  <c r="AG3415" i="30" s="1"/>
  <c r="AE3414" i="30"/>
  <c r="AG3414" i="30" s="1"/>
  <c r="AE3413" i="30"/>
  <c r="AG3413" i="30" s="1"/>
  <c r="AE3412" i="30"/>
  <c r="AG3412" i="30" s="1"/>
  <c r="AE3411" i="30"/>
  <c r="AG3411" i="30" s="1"/>
  <c r="AE3410" i="30"/>
  <c r="AG3410" i="30" s="1"/>
  <c r="AE3409" i="30"/>
  <c r="AG3409" i="30" s="1"/>
  <c r="AE3408" i="30"/>
  <c r="AG3408" i="30" s="1"/>
  <c r="AE3407" i="30"/>
  <c r="AG3407" i="30" s="1"/>
  <c r="AE3406" i="30"/>
  <c r="AG3406" i="30" s="1"/>
  <c r="AE3405" i="30"/>
  <c r="AG3405" i="30" s="1"/>
  <c r="AE3404" i="30"/>
  <c r="AG3404" i="30" s="1"/>
  <c r="AE3403" i="30"/>
  <c r="AG3403" i="30" s="1"/>
  <c r="AE3402" i="30"/>
  <c r="AG3402" i="30" s="1"/>
  <c r="AE3401" i="30"/>
  <c r="AG3401" i="30" s="1"/>
  <c r="AE3400" i="30"/>
  <c r="AG3400" i="30" s="1"/>
  <c r="AE3399" i="30"/>
  <c r="AG3399" i="30" s="1"/>
  <c r="AE3398" i="30"/>
  <c r="AG3398" i="30" s="1"/>
  <c r="AE3397" i="30"/>
  <c r="AG3397" i="30" s="1"/>
  <c r="AE3396" i="30"/>
  <c r="AG3396" i="30" s="1"/>
  <c r="AE3395" i="30"/>
  <c r="AG3395" i="30" s="1"/>
  <c r="AE3394" i="30"/>
  <c r="AG3394" i="30" s="1"/>
  <c r="AE3393" i="30"/>
  <c r="AG3393" i="30" s="1"/>
  <c r="AE3392" i="30"/>
  <c r="AG3392" i="30" s="1"/>
  <c r="AE3391" i="30"/>
  <c r="AG3391" i="30" s="1"/>
  <c r="AE3390" i="30"/>
  <c r="AG3390" i="30" s="1"/>
  <c r="AE3389" i="30"/>
  <c r="AG3389" i="30" s="1"/>
  <c r="AE3388" i="30"/>
  <c r="AG3388" i="30" s="1"/>
  <c r="AE3387" i="30"/>
  <c r="AG3387" i="30" s="1"/>
  <c r="AE3386" i="30"/>
  <c r="AG3386" i="30" s="1"/>
  <c r="AE3385" i="30"/>
  <c r="AG3385" i="30" s="1"/>
  <c r="AE3384" i="30"/>
  <c r="AG3384" i="30" s="1"/>
  <c r="AE3383" i="30"/>
  <c r="AG3383" i="30" s="1"/>
  <c r="AE3382" i="30"/>
  <c r="AG3382" i="30" s="1"/>
  <c r="AE3381" i="30"/>
  <c r="AG3381" i="30" s="1"/>
  <c r="AE3380" i="30"/>
  <c r="AG3380" i="30" s="1"/>
  <c r="AE3379" i="30"/>
  <c r="AG3379" i="30" s="1"/>
  <c r="AE3378" i="30"/>
  <c r="AG3378" i="30" s="1"/>
  <c r="AE3377" i="30"/>
  <c r="AG3377" i="30" s="1"/>
  <c r="AE3376" i="30"/>
  <c r="AG3376" i="30" s="1"/>
  <c r="AE3375" i="30"/>
  <c r="AG3375" i="30" s="1"/>
  <c r="AE3374" i="30"/>
  <c r="AG3374" i="30" s="1"/>
  <c r="AE3373" i="30"/>
  <c r="AG3373" i="30" s="1"/>
  <c r="AE3372" i="30"/>
  <c r="AG3372" i="30" s="1"/>
  <c r="AE3371" i="30"/>
  <c r="AG3371" i="30" s="1"/>
  <c r="AE3370" i="30"/>
  <c r="AG3370" i="30" s="1"/>
  <c r="AE3369" i="30"/>
  <c r="AG3369" i="30" s="1"/>
  <c r="AE3368" i="30"/>
  <c r="AG3368" i="30" s="1"/>
  <c r="AE3367" i="30"/>
  <c r="AG3367" i="30" s="1"/>
  <c r="AE3366" i="30"/>
  <c r="AG3366" i="30" s="1"/>
  <c r="AE3365" i="30"/>
  <c r="AG3365" i="30" s="1"/>
  <c r="AE3364" i="30"/>
  <c r="AG3364" i="30" s="1"/>
  <c r="AE3363" i="30"/>
  <c r="AG3363" i="30" s="1"/>
  <c r="AE3362" i="30"/>
  <c r="AG3362" i="30" s="1"/>
  <c r="AE3361" i="30"/>
  <c r="AG3361" i="30" s="1"/>
  <c r="AE3360" i="30"/>
  <c r="AG3360" i="30" s="1"/>
  <c r="AE3359" i="30"/>
  <c r="AG3359" i="30" s="1"/>
  <c r="AE3358" i="30"/>
  <c r="AG3358" i="30" s="1"/>
  <c r="AE3357" i="30"/>
  <c r="AG3357" i="30" s="1"/>
  <c r="AE3356" i="30"/>
  <c r="AG3356" i="30" s="1"/>
  <c r="AE3355" i="30"/>
  <c r="AG3355" i="30" s="1"/>
  <c r="AE3354" i="30"/>
  <c r="AG3354" i="30" s="1"/>
  <c r="AE3353" i="30"/>
  <c r="AG3353" i="30" s="1"/>
  <c r="AE3352" i="30"/>
  <c r="AG3352" i="30" s="1"/>
  <c r="AE3351" i="30"/>
  <c r="AG3351" i="30" s="1"/>
  <c r="AE3350" i="30"/>
  <c r="AG3350" i="30" s="1"/>
  <c r="AE3349" i="30"/>
  <c r="AG3349" i="30" s="1"/>
  <c r="AE3348" i="30"/>
  <c r="AG3348" i="30" s="1"/>
  <c r="AE3347" i="30"/>
  <c r="AG3347" i="30" s="1"/>
  <c r="AE3346" i="30"/>
  <c r="AG3346" i="30" s="1"/>
  <c r="AE3345" i="30"/>
  <c r="AG3345" i="30" s="1"/>
  <c r="AE3344" i="30"/>
  <c r="AG3344" i="30" s="1"/>
  <c r="AE3343" i="30"/>
  <c r="AG3343" i="30" s="1"/>
  <c r="AE3342" i="30"/>
  <c r="AG3342" i="30" s="1"/>
  <c r="AE3341" i="30"/>
  <c r="AG3341" i="30" s="1"/>
  <c r="AE3340" i="30"/>
  <c r="AG3340" i="30" s="1"/>
  <c r="AE3339" i="30"/>
  <c r="AG3339" i="30" s="1"/>
  <c r="AE3338" i="30"/>
  <c r="AG3338" i="30" s="1"/>
  <c r="AE3337" i="30"/>
  <c r="AG3337" i="30" s="1"/>
  <c r="AE3336" i="30"/>
  <c r="AG3336" i="30" s="1"/>
  <c r="AE3335" i="30"/>
  <c r="AG3335" i="30" s="1"/>
  <c r="AE3334" i="30"/>
  <c r="AG3334" i="30" s="1"/>
  <c r="AE3333" i="30"/>
  <c r="AG3333" i="30" s="1"/>
  <c r="AE3332" i="30"/>
  <c r="AG3332" i="30" s="1"/>
  <c r="AE3331" i="30"/>
  <c r="AG3331" i="30" s="1"/>
  <c r="AE3330" i="30"/>
  <c r="AG3330" i="30" s="1"/>
  <c r="AE3329" i="30"/>
  <c r="AG3329" i="30" s="1"/>
  <c r="AE3328" i="30"/>
  <c r="AG3328" i="30" s="1"/>
  <c r="AE3327" i="30"/>
  <c r="AG3327" i="30" s="1"/>
  <c r="AE3326" i="30"/>
  <c r="AG3326" i="30" s="1"/>
  <c r="AE3325" i="30"/>
  <c r="AG3325" i="30" s="1"/>
  <c r="AE3324" i="30"/>
  <c r="AG3324" i="30" s="1"/>
  <c r="AE3323" i="30"/>
  <c r="AG3323" i="30" s="1"/>
  <c r="AE3322" i="30"/>
  <c r="AG3322" i="30" s="1"/>
  <c r="AE3321" i="30"/>
  <c r="AG3321" i="30" s="1"/>
  <c r="AE3320" i="30"/>
  <c r="AG3320" i="30" s="1"/>
  <c r="AE3319" i="30"/>
  <c r="AG3319" i="30" s="1"/>
  <c r="AE3318" i="30"/>
  <c r="AG3318" i="30" s="1"/>
  <c r="AE3317" i="30"/>
  <c r="AG3317" i="30" s="1"/>
  <c r="AE3316" i="30"/>
  <c r="AG3316" i="30" s="1"/>
  <c r="AE3315" i="30"/>
  <c r="AG3315" i="30" s="1"/>
  <c r="AE3314" i="30"/>
  <c r="AG3314" i="30" s="1"/>
  <c r="AE3313" i="30"/>
  <c r="AG3313" i="30" s="1"/>
  <c r="AE3312" i="30"/>
  <c r="AG3312" i="30" s="1"/>
  <c r="AE3311" i="30"/>
  <c r="AG3311" i="30" s="1"/>
  <c r="AE3310" i="30"/>
  <c r="AG3310" i="30" s="1"/>
  <c r="AE3309" i="30"/>
  <c r="AG3309" i="30" s="1"/>
  <c r="AE3308" i="30"/>
  <c r="AG3308" i="30" s="1"/>
  <c r="AE3307" i="30"/>
  <c r="AG3307" i="30" s="1"/>
  <c r="AE3306" i="30"/>
  <c r="AG3306" i="30" s="1"/>
  <c r="AE3305" i="30"/>
  <c r="AG3305" i="30" s="1"/>
  <c r="AE3304" i="30"/>
  <c r="AG3304" i="30" s="1"/>
  <c r="AE3303" i="30"/>
  <c r="AG3303" i="30" s="1"/>
  <c r="AE3302" i="30"/>
  <c r="AG3302" i="30" s="1"/>
  <c r="AE3301" i="30"/>
  <c r="AG3301" i="30" s="1"/>
  <c r="AE3300" i="30"/>
  <c r="AG3300" i="30" s="1"/>
  <c r="AE3299" i="30"/>
  <c r="AG3299" i="30" s="1"/>
  <c r="AE3298" i="30"/>
  <c r="AG3298" i="30" s="1"/>
  <c r="AE3297" i="30"/>
  <c r="AG3297" i="30" s="1"/>
  <c r="AE3296" i="30"/>
  <c r="AG3296" i="30" s="1"/>
  <c r="AE3295" i="30"/>
  <c r="AG3295" i="30" s="1"/>
  <c r="AE3294" i="30"/>
  <c r="AG3294" i="30" s="1"/>
  <c r="AE3293" i="30"/>
  <c r="AG3293" i="30" s="1"/>
  <c r="AE3292" i="30"/>
  <c r="AG3292" i="30" s="1"/>
  <c r="AE3291" i="30"/>
  <c r="AG3291" i="30" s="1"/>
  <c r="AE3290" i="30"/>
  <c r="AG3290" i="30" s="1"/>
  <c r="AE3289" i="30"/>
  <c r="AG3289" i="30" s="1"/>
  <c r="AE3288" i="30"/>
  <c r="AG3288" i="30" s="1"/>
  <c r="AE3287" i="30"/>
  <c r="AG3287" i="30" s="1"/>
  <c r="AE3286" i="30"/>
  <c r="AG3286" i="30" s="1"/>
  <c r="AE3285" i="30"/>
  <c r="AG3285" i="30" s="1"/>
  <c r="AE3284" i="30"/>
  <c r="AG3284" i="30" s="1"/>
  <c r="AE3283" i="30"/>
  <c r="AG3283" i="30" s="1"/>
  <c r="AE3282" i="30"/>
  <c r="AG3282" i="30" s="1"/>
  <c r="AE3281" i="30"/>
  <c r="AG3281" i="30" s="1"/>
  <c r="AE3280" i="30"/>
  <c r="AG3280" i="30" s="1"/>
  <c r="AE3279" i="30"/>
  <c r="AG3279" i="30" s="1"/>
  <c r="AE3278" i="30"/>
  <c r="AG3278" i="30" s="1"/>
  <c r="AE3277" i="30"/>
  <c r="AG3277" i="30" s="1"/>
  <c r="AE3276" i="30"/>
  <c r="AG3276" i="30" s="1"/>
  <c r="AE3275" i="30"/>
  <c r="AG3275" i="30" s="1"/>
  <c r="AE3274" i="30"/>
  <c r="AG3274" i="30" s="1"/>
  <c r="AE3273" i="30"/>
  <c r="AG3273" i="30" s="1"/>
  <c r="AE3272" i="30"/>
  <c r="AG3272" i="30" s="1"/>
  <c r="AE3271" i="30"/>
  <c r="AG3271" i="30" s="1"/>
  <c r="AE3270" i="30"/>
  <c r="AG3270" i="30" s="1"/>
  <c r="AE3269" i="30"/>
  <c r="AG3269" i="30" s="1"/>
  <c r="AE3268" i="30"/>
  <c r="AG3268" i="30" s="1"/>
  <c r="AE3267" i="30"/>
  <c r="AG3267" i="30" s="1"/>
  <c r="AE3266" i="30"/>
  <c r="AG3266" i="30" s="1"/>
  <c r="AE3265" i="30"/>
  <c r="AG3265" i="30" s="1"/>
  <c r="AE3264" i="30"/>
  <c r="AG3264" i="30" s="1"/>
  <c r="AE3263" i="30"/>
  <c r="AG3263" i="30" s="1"/>
  <c r="AE3262" i="30"/>
  <c r="AG3262" i="30" s="1"/>
  <c r="AE3261" i="30"/>
  <c r="AG3261" i="30" s="1"/>
  <c r="AE3260" i="30"/>
  <c r="AG3260" i="30" s="1"/>
  <c r="AE3259" i="30"/>
  <c r="AG3259" i="30" s="1"/>
  <c r="AE3258" i="30"/>
  <c r="AG3258" i="30" s="1"/>
  <c r="AE3257" i="30"/>
  <c r="AG3257" i="30" s="1"/>
  <c r="AE3256" i="30"/>
  <c r="AG3256" i="30" s="1"/>
  <c r="AE3255" i="30"/>
  <c r="AG3255" i="30" s="1"/>
  <c r="AE3254" i="30"/>
  <c r="AG3254" i="30" s="1"/>
  <c r="AE3253" i="30"/>
  <c r="AG3253" i="30" s="1"/>
  <c r="AE3252" i="30"/>
  <c r="AG3252" i="30" s="1"/>
  <c r="AE3251" i="30"/>
  <c r="AG3251" i="30" s="1"/>
  <c r="AE3250" i="30"/>
  <c r="AG3250" i="30" s="1"/>
  <c r="AE3249" i="30"/>
  <c r="AG3249" i="30" s="1"/>
  <c r="AE3248" i="30"/>
  <c r="AG3248" i="30" s="1"/>
  <c r="AE3247" i="30"/>
  <c r="AG3247" i="30" s="1"/>
  <c r="AE3246" i="30"/>
  <c r="AG3246" i="30" s="1"/>
  <c r="AE3245" i="30"/>
  <c r="AG3245" i="30" s="1"/>
  <c r="AE3244" i="30"/>
  <c r="AG3244" i="30" s="1"/>
  <c r="AE3243" i="30"/>
  <c r="AG3243" i="30" s="1"/>
  <c r="AE3242" i="30"/>
  <c r="AG3242" i="30" s="1"/>
  <c r="AE3241" i="30"/>
  <c r="AG3241" i="30" s="1"/>
  <c r="AE3240" i="30"/>
  <c r="AG3240" i="30" s="1"/>
  <c r="AE3239" i="30"/>
  <c r="AG3239" i="30" s="1"/>
  <c r="AE3238" i="30"/>
  <c r="AG3238" i="30" s="1"/>
  <c r="AE3237" i="30"/>
  <c r="AG3237" i="30" s="1"/>
  <c r="AE3236" i="30"/>
  <c r="AG3236" i="30" s="1"/>
  <c r="AE3235" i="30"/>
  <c r="AG3235" i="30" s="1"/>
  <c r="AE3234" i="30"/>
  <c r="AG3234" i="30" s="1"/>
  <c r="AE3233" i="30"/>
  <c r="AG3233" i="30" s="1"/>
  <c r="AE3232" i="30"/>
  <c r="AG3232" i="30" s="1"/>
  <c r="AE3231" i="30"/>
  <c r="AG3231" i="30" s="1"/>
  <c r="AE3230" i="30"/>
  <c r="AG3230" i="30" s="1"/>
  <c r="AE3229" i="30"/>
  <c r="AG3229" i="30" s="1"/>
  <c r="AE3228" i="30"/>
  <c r="AG3228" i="30" s="1"/>
  <c r="AE3227" i="30"/>
  <c r="AG3227" i="30" s="1"/>
  <c r="AE3226" i="30"/>
  <c r="AG3226" i="30" s="1"/>
  <c r="AE3225" i="30"/>
  <c r="AG3225" i="30" s="1"/>
  <c r="AE3224" i="30"/>
  <c r="AG3224" i="30" s="1"/>
  <c r="AE3223" i="30"/>
  <c r="AG3223" i="30" s="1"/>
  <c r="AE3222" i="30"/>
  <c r="AG3222" i="30" s="1"/>
  <c r="AE3221" i="30"/>
  <c r="AG3221" i="30" s="1"/>
  <c r="AE3220" i="30"/>
  <c r="AG3220" i="30" s="1"/>
  <c r="AE3219" i="30"/>
  <c r="AG3219" i="30" s="1"/>
  <c r="AE3218" i="30"/>
  <c r="AG3218" i="30" s="1"/>
  <c r="AE3217" i="30"/>
  <c r="AG3217" i="30" s="1"/>
  <c r="AE3216" i="30"/>
  <c r="AG3216" i="30" s="1"/>
  <c r="AE3215" i="30"/>
  <c r="AG3215" i="30" s="1"/>
  <c r="AE3214" i="30"/>
  <c r="AG3214" i="30" s="1"/>
  <c r="AE3213" i="30"/>
  <c r="AG3213" i="30" s="1"/>
  <c r="AE3212" i="30"/>
  <c r="AG3212" i="30" s="1"/>
  <c r="AE3211" i="30"/>
  <c r="AG3211" i="30" s="1"/>
  <c r="AE3210" i="30"/>
  <c r="AG3210" i="30" s="1"/>
  <c r="AE3209" i="30"/>
  <c r="AG3209" i="30" s="1"/>
  <c r="AE3208" i="30"/>
  <c r="AG3208" i="30" s="1"/>
  <c r="AE3207" i="30"/>
  <c r="AG3207" i="30" s="1"/>
  <c r="AE3206" i="30"/>
  <c r="AG3206" i="30" s="1"/>
  <c r="AE3205" i="30"/>
  <c r="AG3205" i="30" s="1"/>
  <c r="AE3204" i="30"/>
  <c r="AG3204" i="30" s="1"/>
  <c r="AE3203" i="30"/>
  <c r="AG3203" i="30" s="1"/>
  <c r="AE3202" i="30"/>
  <c r="AG3202" i="30" s="1"/>
  <c r="AE3201" i="30"/>
  <c r="AG3201" i="30" s="1"/>
  <c r="AE3200" i="30"/>
  <c r="AG3200" i="30" s="1"/>
  <c r="AE3199" i="30"/>
  <c r="AG3199" i="30" s="1"/>
  <c r="AE3198" i="30"/>
  <c r="AG3198" i="30" s="1"/>
  <c r="AE3197" i="30"/>
  <c r="AG3197" i="30" s="1"/>
  <c r="AE3196" i="30"/>
  <c r="AE3195" i="30"/>
  <c r="AE3194" i="30"/>
  <c r="AE3193" i="30"/>
  <c r="AE3192" i="30"/>
  <c r="AE3191" i="30"/>
  <c r="AE3190" i="30"/>
  <c r="AE3189" i="30"/>
  <c r="AE3188" i="30"/>
  <c r="AE3187" i="30"/>
  <c r="AE3186" i="30"/>
  <c r="AE3185" i="30"/>
  <c r="AE3184" i="30"/>
  <c r="AE3183" i="30"/>
  <c r="AE3182" i="30"/>
  <c r="AE3181" i="30"/>
  <c r="AE3180" i="30"/>
  <c r="AE3179" i="30"/>
  <c r="AE3178" i="30"/>
  <c r="AE3177" i="30"/>
  <c r="AE3176" i="30"/>
  <c r="AE3175" i="30"/>
  <c r="AE3174" i="30"/>
  <c r="AE3173" i="30"/>
  <c r="AE3172" i="30"/>
  <c r="AE3171" i="30"/>
  <c r="AE3170" i="30"/>
  <c r="AE3169" i="30"/>
  <c r="AE3168" i="30"/>
  <c r="AE3167" i="30"/>
  <c r="AE3166" i="30"/>
  <c r="AE3165" i="30"/>
  <c r="AE3164" i="30"/>
  <c r="AE3163" i="30"/>
  <c r="AE3162" i="30"/>
  <c r="AE3161" i="30"/>
  <c r="AE3160" i="30"/>
  <c r="AE3159" i="30"/>
  <c r="AE3158" i="30"/>
  <c r="AE3157" i="30"/>
  <c r="AE3156" i="30"/>
  <c r="AE3155" i="30"/>
  <c r="AE3154" i="30"/>
  <c r="AE3153" i="30"/>
  <c r="AE3152" i="30"/>
  <c r="AE3151" i="30"/>
  <c r="AE3150" i="30"/>
  <c r="AE3149" i="30"/>
  <c r="AE3148" i="30"/>
  <c r="AE3147" i="30"/>
  <c r="AE3146" i="30"/>
  <c r="AE3145" i="30"/>
  <c r="AE3144" i="30"/>
  <c r="AE3143" i="30"/>
  <c r="AE3142" i="30"/>
  <c r="AE3141" i="30"/>
  <c r="AE3140" i="30"/>
  <c r="AE3139" i="30"/>
  <c r="AE3138" i="30"/>
  <c r="AE3137" i="30"/>
  <c r="AE3136" i="30"/>
  <c r="AE3135" i="30"/>
  <c r="AE3134" i="30"/>
  <c r="AE3133" i="30"/>
  <c r="AE3132" i="30"/>
  <c r="AE3131" i="30"/>
  <c r="AE3130" i="30"/>
  <c r="AE3129" i="30"/>
  <c r="AE3128" i="30"/>
  <c r="AE3127" i="30"/>
  <c r="AE3126" i="30"/>
  <c r="AE3125" i="30"/>
  <c r="AE3124" i="30"/>
  <c r="AE3123" i="30"/>
  <c r="AE3122" i="30"/>
  <c r="AE3121" i="30"/>
  <c r="AE3120" i="30"/>
  <c r="AE3119" i="30"/>
  <c r="AE3118" i="30"/>
  <c r="AE3117" i="30"/>
  <c r="AE3116" i="30"/>
  <c r="AE3115" i="30"/>
  <c r="AE3114" i="30"/>
  <c r="AE3113" i="30"/>
  <c r="AE3112" i="30"/>
  <c r="AE3111" i="30"/>
  <c r="AE3110" i="30"/>
  <c r="AE3109" i="30"/>
  <c r="AE3108" i="30"/>
  <c r="AE3107" i="30"/>
  <c r="AE3106" i="30"/>
  <c r="AE3105" i="30"/>
  <c r="AE3104" i="30"/>
  <c r="AE3103" i="30"/>
  <c r="AE3102" i="30"/>
  <c r="AE3101" i="30"/>
  <c r="AE3100" i="30"/>
  <c r="AE3099" i="30"/>
  <c r="AE3098" i="30"/>
  <c r="AE3097" i="30"/>
  <c r="AE3096" i="30"/>
  <c r="AE3095" i="30"/>
  <c r="AE3094" i="30"/>
  <c r="AE3093" i="30"/>
  <c r="AE3092" i="30"/>
  <c r="AE3091" i="30"/>
  <c r="AE3090" i="30"/>
  <c r="AE3089" i="30"/>
  <c r="AE3088" i="30"/>
  <c r="AE3087" i="30"/>
  <c r="AE3086" i="30"/>
  <c r="AE3085" i="30"/>
  <c r="AE3084" i="30"/>
  <c r="AE3083" i="30"/>
  <c r="AE3082" i="30"/>
  <c r="AE3081" i="30"/>
  <c r="AE3080" i="30"/>
  <c r="AE3079" i="30"/>
  <c r="AE3078" i="30"/>
  <c r="AE3077" i="30"/>
  <c r="AE3076" i="30"/>
  <c r="AE3075" i="30"/>
  <c r="AE3074" i="30"/>
  <c r="AE3073" i="30"/>
  <c r="AE3072" i="30"/>
  <c r="AE3071" i="30"/>
  <c r="AE3070" i="30"/>
  <c r="AE3069" i="30"/>
  <c r="AE3068" i="30"/>
  <c r="AE3067" i="30"/>
  <c r="AE3066" i="30"/>
  <c r="AE3065" i="30"/>
  <c r="AE3064" i="30"/>
  <c r="AE3063" i="30"/>
  <c r="AE3062" i="30"/>
  <c r="AE3061" i="30"/>
  <c r="AE3060" i="30"/>
  <c r="AE3059" i="30"/>
  <c r="AE3058" i="30"/>
  <c r="AE3057" i="30"/>
  <c r="AE3056" i="30"/>
  <c r="AE3055" i="30"/>
  <c r="AE3054" i="30"/>
  <c r="AE3053" i="30"/>
  <c r="AE3052" i="30"/>
  <c r="AE3051" i="30"/>
  <c r="AE3050" i="30"/>
  <c r="AE3049" i="30"/>
  <c r="AE3048" i="30"/>
  <c r="AE3047" i="30"/>
  <c r="AE3046" i="30"/>
  <c r="AE3045" i="30"/>
  <c r="AE3044" i="30"/>
  <c r="AE3043" i="30"/>
  <c r="AE3042" i="30"/>
  <c r="AE3041" i="30"/>
  <c r="AE3040" i="30"/>
  <c r="AE3039" i="30"/>
  <c r="AE3038" i="30"/>
  <c r="AE3037" i="30"/>
  <c r="AE3036" i="30"/>
  <c r="AE3035" i="30"/>
  <c r="AE3034" i="30"/>
  <c r="AE3033" i="30"/>
  <c r="AE3032" i="30"/>
  <c r="AE3031" i="30"/>
  <c r="AE3030" i="30"/>
  <c r="AE3029" i="30"/>
  <c r="AE3028" i="30"/>
  <c r="AE3027" i="30"/>
  <c r="AE3026" i="30"/>
  <c r="AE3025" i="30"/>
  <c r="AE3024" i="30"/>
  <c r="AE3023" i="30"/>
  <c r="AE3022" i="30"/>
  <c r="AE3021" i="30"/>
  <c r="AE3020" i="30"/>
  <c r="AE3019" i="30"/>
  <c r="AE3018" i="30"/>
  <c r="AE3017" i="30"/>
  <c r="AE3016" i="30"/>
  <c r="AE3015" i="30"/>
  <c r="AE3014" i="30"/>
  <c r="AE3013" i="30"/>
  <c r="AE3012" i="30"/>
  <c r="AE3011" i="30"/>
  <c r="AE3010" i="30"/>
  <c r="AE3009" i="30"/>
  <c r="AE3008" i="30"/>
  <c r="AE3007" i="30"/>
  <c r="AE3006" i="30"/>
  <c r="AE3005" i="30"/>
  <c r="AE3004" i="30"/>
  <c r="AE3003" i="30"/>
  <c r="AE3002" i="30"/>
  <c r="AE3001" i="30"/>
  <c r="AE3000" i="30"/>
  <c r="AE2999" i="30"/>
  <c r="AE2998" i="30"/>
  <c r="AE2997" i="30"/>
  <c r="AE2996" i="30"/>
  <c r="AE2995" i="30"/>
  <c r="AE2994" i="30"/>
  <c r="AE2993" i="30"/>
  <c r="AE2992" i="30"/>
  <c r="AE2991" i="30"/>
  <c r="AE2990" i="30"/>
  <c r="AE2989" i="30"/>
  <c r="AE2988" i="30"/>
  <c r="AE2987" i="30"/>
  <c r="AE2986" i="30"/>
  <c r="AE2985" i="30"/>
  <c r="AE2984" i="30"/>
  <c r="AE2983" i="30"/>
  <c r="AE2982" i="30"/>
  <c r="AE2981" i="30"/>
  <c r="AE2980" i="30"/>
  <c r="AE2979" i="30"/>
  <c r="AE2978" i="30"/>
  <c r="AE2977" i="30"/>
  <c r="AE2976" i="30"/>
  <c r="AE2975" i="30"/>
  <c r="AE2974" i="30"/>
  <c r="AE2973" i="30"/>
  <c r="AE2972" i="30"/>
  <c r="AE2971" i="30"/>
  <c r="AE2970" i="30"/>
  <c r="AE2969" i="30"/>
  <c r="AE2968" i="30"/>
  <c r="AE2967" i="30"/>
  <c r="AE2966" i="30"/>
  <c r="AE2965" i="30"/>
  <c r="AE2964" i="30"/>
  <c r="AE2963" i="30"/>
  <c r="AE2962" i="30"/>
  <c r="AE2961" i="30"/>
  <c r="AE2960" i="30"/>
  <c r="AE2959" i="30"/>
  <c r="AE2958" i="30"/>
  <c r="AE2957" i="30"/>
  <c r="AE2956" i="30"/>
  <c r="AE2955" i="30"/>
  <c r="AE2954" i="30"/>
  <c r="AE2953" i="30"/>
  <c r="AE2952" i="30"/>
  <c r="AE2951" i="30"/>
  <c r="AE2950" i="30"/>
  <c r="AE2949" i="30"/>
  <c r="AE2948" i="30"/>
  <c r="AE2947" i="30"/>
  <c r="AE2946" i="30"/>
  <c r="AE2945" i="30"/>
  <c r="AE2944" i="30"/>
  <c r="AE2943" i="30"/>
  <c r="AE2942" i="30"/>
  <c r="AE2941" i="30"/>
  <c r="AE2940" i="30"/>
  <c r="AE2939" i="30"/>
  <c r="AE2938" i="30"/>
  <c r="AE2937" i="30"/>
  <c r="AE2936" i="30"/>
  <c r="AE2935" i="30"/>
  <c r="AE2934" i="30"/>
  <c r="AE2933" i="30"/>
  <c r="AE2932" i="30"/>
  <c r="AE2931" i="30"/>
  <c r="AE2930" i="30"/>
  <c r="AE2929" i="30"/>
  <c r="AE2928" i="30"/>
  <c r="AE2927" i="30"/>
  <c r="AE2926" i="30"/>
  <c r="AE2925" i="30"/>
  <c r="AE2924" i="30"/>
  <c r="AE2923" i="30"/>
  <c r="AE2922" i="30"/>
  <c r="AE2921" i="30"/>
  <c r="AE2920" i="30"/>
  <c r="AE2919" i="30"/>
  <c r="AE2918" i="30"/>
  <c r="AE2917" i="30"/>
  <c r="AE2916" i="30"/>
  <c r="AE2915" i="30"/>
  <c r="AE2914" i="30"/>
  <c r="AE2913" i="30"/>
  <c r="AE2912" i="30"/>
  <c r="AE2911" i="30"/>
  <c r="AE2910" i="30"/>
  <c r="AE2909" i="30"/>
  <c r="AE2908" i="30"/>
  <c r="AE2907" i="30"/>
  <c r="AE2906" i="30"/>
  <c r="AE2905" i="30"/>
  <c r="AE2904" i="30"/>
  <c r="AE2903" i="30"/>
  <c r="AE2902" i="30"/>
  <c r="AE2901" i="30"/>
  <c r="AE2900" i="30"/>
  <c r="AE2899" i="30"/>
  <c r="AE2898" i="30"/>
  <c r="AE2897" i="30"/>
  <c r="AE2896" i="30"/>
  <c r="AE2895" i="30"/>
  <c r="AE2894" i="30"/>
  <c r="AE2893" i="30"/>
  <c r="AE2892" i="30"/>
  <c r="AE2891" i="30"/>
  <c r="AE2890" i="30"/>
  <c r="AE2889" i="30"/>
  <c r="AE2888" i="30"/>
  <c r="AE2887" i="30"/>
  <c r="AE2886" i="30"/>
  <c r="AE2885" i="30"/>
  <c r="AE2884" i="30"/>
  <c r="AE2883" i="30"/>
  <c r="AE2882" i="30"/>
  <c r="AE2881" i="30"/>
  <c r="AE2880" i="30"/>
  <c r="AE2879" i="30"/>
  <c r="AE2878" i="30"/>
  <c r="AE2877" i="30"/>
  <c r="AE2876" i="30"/>
  <c r="AE2875" i="30"/>
  <c r="AE2874" i="30"/>
  <c r="AE2873" i="30"/>
  <c r="AE2872" i="30"/>
  <c r="AE2871" i="30"/>
  <c r="AE2870" i="30"/>
  <c r="AE2869" i="30"/>
  <c r="AE2868" i="30"/>
  <c r="AE2867" i="30"/>
  <c r="AE2866" i="30"/>
  <c r="AE2865" i="30"/>
  <c r="AE2864" i="30"/>
  <c r="AE2863" i="30"/>
  <c r="AE2862" i="30"/>
  <c r="AE2861" i="30"/>
  <c r="AE2860" i="30"/>
  <c r="AE2859" i="30"/>
  <c r="AE2858" i="30"/>
  <c r="AE2857" i="30"/>
  <c r="AE2856" i="30"/>
  <c r="AE2855" i="30"/>
  <c r="AE2854" i="30"/>
  <c r="AE2853" i="30"/>
  <c r="AE2852" i="30"/>
  <c r="AE2851" i="30"/>
  <c r="AE2850" i="30"/>
  <c r="AE2849" i="30"/>
  <c r="AE2848" i="30"/>
  <c r="AE2847" i="30"/>
  <c r="AE2846" i="30"/>
  <c r="AE2845" i="30"/>
  <c r="AE2844" i="30"/>
  <c r="AE2843" i="30"/>
  <c r="AE2842" i="30"/>
  <c r="AE2841" i="30"/>
  <c r="AE2840" i="30"/>
  <c r="AE2839" i="30"/>
  <c r="AE2838" i="30"/>
  <c r="AG2838" i="30" s="1"/>
  <c r="AE2837" i="30"/>
  <c r="AG2837" i="30" s="1"/>
  <c r="AE2836" i="30"/>
  <c r="AG2836" i="30" s="1"/>
  <c r="AE2835" i="30"/>
  <c r="AG2835" i="30" s="1"/>
  <c r="AE2834" i="30"/>
  <c r="AG2834" i="30" s="1"/>
  <c r="AE2833" i="30"/>
  <c r="AG2833" i="30" s="1"/>
  <c r="AE2832" i="30"/>
  <c r="AG2832" i="30" s="1"/>
  <c r="AE2831" i="30"/>
  <c r="AG2831" i="30" s="1"/>
  <c r="AE2830" i="30"/>
  <c r="AG2830" i="30" s="1"/>
  <c r="AE2829" i="30"/>
  <c r="AG2829" i="30" s="1"/>
  <c r="AE2828" i="30"/>
  <c r="AG2828" i="30" s="1"/>
  <c r="AE2827" i="30"/>
  <c r="AG2827" i="30" s="1"/>
  <c r="AE2826" i="30"/>
  <c r="AG2826" i="30" s="1"/>
  <c r="AE2825" i="30"/>
  <c r="AG2825" i="30" s="1"/>
  <c r="AE2824" i="30"/>
  <c r="AG2824" i="30" s="1"/>
  <c r="AE2823" i="30"/>
  <c r="AG2823" i="30" s="1"/>
  <c r="AE2822" i="30"/>
  <c r="AG2822" i="30" s="1"/>
  <c r="AE2821" i="30"/>
  <c r="AG2821" i="30" s="1"/>
  <c r="AE2820" i="30"/>
  <c r="AG2820" i="30" s="1"/>
  <c r="AE2819" i="30"/>
  <c r="AG2819" i="30" s="1"/>
  <c r="AE2818" i="30"/>
  <c r="AG2818" i="30" s="1"/>
  <c r="AE2817" i="30"/>
  <c r="AG2817" i="30" s="1"/>
  <c r="AE2816" i="30"/>
  <c r="AG2816" i="30" s="1"/>
  <c r="AE2815" i="30"/>
  <c r="AG2815" i="30" s="1"/>
  <c r="AE2814" i="30"/>
  <c r="AG2814" i="30" s="1"/>
  <c r="AE2813" i="30"/>
  <c r="AG2813" i="30" s="1"/>
  <c r="AE2812" i="30"/>
  <c r="AG2812" i="30" s="1"/>
  <c r="AE2811" i="30"/>
  <c r="AG2811" i="30" s="1"/>
  <c r="AE2810" i="30"/>
  <c r="AG2810" i="30" s="1"/>
  <c r="AE2809" i="30"/>
  <c r="AG2809" i="30" s="1"/>
  <c r="AE2808" i="30"/>
  <c r="AG2808" i="30" s="1"/>
  <c r="AE2807" i="30"/>
  <c r="AG2807" i="30" s="1"/>
  <c r="AE2806" i="30"/>
  <c r="AG2806" i="30" s="1"/>
  <c r="AE2805" i="30"/>
  <c r="AG2805" i="30" s="1"/>
  <c r="AE2804" i="30"/>
  <c r="AG2804" i="30" s="1"/>
  <c r="AE2803" i="30"/>
  <c r="AG2803" i="30" s="1"/>
  <c r="AE2802" i="30"/>
  <c r="AG2802" i="30" s="1"/>
  <c r="AE2801" i="30"/>
  <c r="AG2801" i="30" s="1"/>
  <c r="AE2800" i="30"/>
  <c r="AG2800" i="30" s="1"/>
  <c r="AE2799" i="30"/>
  <c r="AG2799" i="30" s="1"/>
  <c r="AE2798" i="30"/>
  <c r="AG2798" i="30" s="1"/>
  <c r="AE2797" i="30"/>
  <c r="AG2797" i="30" s="1"/>
  <c r="AE2796" i="30"/>
  <c r="AG2796" i="30" s="1"/>
  <c r="AE2795" i="30"/>
  <c r="AG2795" i="30" s="1"/>
  <c r="AE2794" i="30"/>
  <c r="AG2794" i="30" s="1"/>
  <c r="AE2793" i="30"/>
  <c r="AG2793" i="30" s="1"/>
  <c r="AE2792" i="30"/>
  <c r="AG2792" i="30" s="1"/>
  <c r="AE2791" i="30"/>
  <c r="AG2791" i="30" s="1"/>
  <c r="AE2790" i="30"/>
  <c r="AG2790" i="30" s="1"/>
  <c r="AE2789" i="30"/>
  <c r="AG2789" i="30" s="1"/>
  <c r="AE2788" i="30"/>
  <c r="AG2788" i="30" s="1"/>
  <c r="AE2787" i="30"/>
  <c r="AG2787" i="30" s="1"/>
  <c r="AE2786" i="30"/>
  <c r="AG2786" i="30" s="1"/>
  <c r="AE2785" i="30"/>
  <c r="AG2785" i="30" s="1"/>
  <c r="AE2784" i="30"/>
  <c r="AG2784" i="30" s="1"/>
  <c r="AE2783" i="30"/>
  <c r="AG2783" i="30" s="1"/>
  <c r="AE2782" i="30"/>
  <c r="AG2782" i="30" s="1"/>
  <c r="AE2781" i="30"/>
  <c r="AG2781" i="30" s="1"/>
  <c r="AE2780" i="30"/>
  <c r="AG2780" i="30" s="1"/>
  <c r="AE2779" i="30"/>
  <c r="AG2779" i="30" s="1"/>
  <c r="AE2778" i="30"/>
  <c r="AG2778" i="30" s="1"/>
  <c r="AE2777" i="30"/>
  <c r="AG2777" i="30" s="1"/>
  <c r="AE2776" i="30"/>
  <c r="AG2776" i="30" s="1"/>
  <c r="AE2775" i="30"/>
  <c r="AG2775" i="30" s="1"/>
  <c r="AE2774" i="30"/>
  <c r="AG2774" i="30" s="1"/>
  <c r="AE2773" i="30"/>
  <c r="AG2773" i="30" s="1"/>
  <c r="AE2772" i="30"/>
  <c r="AG2772" i="30" s="1"/>
  <c r="AE2771" i="30"/>
  <c r="AG2771" i="30" s="1"/>
  <c r="AE2770" i="30"/>
  <c r="AG2770" i="30" s="1"/>
  <c r="AE2769" i="30"/>
  <c r="AG2769" i="30" s="1"/>
  <c r="AE2768" i="30"/>
  <c r="AG2768" i="30" s="1"/>
  <c r="AE2767" i="30"/>
  <c r="AG2767" i="30" s="1"/>
  <c r="AE2766" i="30"/>
  <c r="AG2766" i="30" s="1"/>
  <c r="AE2765" i="30"/>
  <c r="AG2765" i="30" s="1"/>
  <c r="AE2764" i="30"/>
  <c r="AG2764" i="30" s="1"/>
  <c r="AE2763" i="30"/>
  <c r="AG2763" i="30" s="1"/>
  <c r="AE2762" i="30"/>
  <c r="AG2762" i="30" s="1"/>
  <c r="AE2761" i="30"/>
  <c r="AG2761" i="30" s="1"/>
  <c r="AE2760" i="30"/>
  <c r="AG2760" i="30" s="1"/>
  <c r="AE2759" i="30"/>
  <c r="AG2759" i="30" s="1"/>
  <c r="AE2758" i="30"/>
  <c r="AG2758" i="30" s="1"/>
  <c r="AE2757" i="30"/>
  <c r="AG2757" i="30" s="1"/>
  <c r="AE2756" i="30"/>
  <c r="AG2756" i="30" s="1"/>
  <c r="AE2755" i="30"/>
  <c r="AG2755" i="30" s="1"/>
  <c r="AE2754" i="30"/>
  <c r="AG2754" i="30" s="1"/>
  <c r="AE2753" i="30"/>
  <c r="AG2753" i="30" s="1"/>
  <c r="AE2752" i="30"/>
  <c r="AG2752" i="30" s="1"/>
  <c r="AE2751" i="30"/>
  <c r="AG2751" i="30" s="1"/>
  <c r="AE2750" i="30"/>
  <c r="AG2750" i="30" s="1"/>
  <c r="AE2749" i="30"/>
  <c r="AG2749" i="30" s="1"/>
  <c r="AE2748" i="30"/>
  <c r="AG2748" i="30" s="1"/>
  <c r="AE2747" i="30"/>
  <c r="AG2747" i="30" s="1"/>
  <c r="AE2746" i="30"/>
  <c r="AG2746" i="30" s="1"/>
  <c r="AE2745" i="30"/>
  <c r="AG2745" i="30" s="1"/>
  <c r="AE2744" i="30"/>
  <c r="AG2744" i="30" s="1"/>
  <c r="AE2743" i="30"/>
  <c r="AG2743" i="30" s="1"/>
  <c r="AE2742" i="30"/>
  <c r="AG2742" i="30" s="1"/>
  <c r="AE2741" i="30"/>
  <c r="AG2741" i="30" s="1"/>
  <c r="AE2740" i="30"/>
  <c r="AG2740" i="30" s="1"/>
  <c r="AE2739" i="30"/>
  <c r="AG2739" i="30" s="1"/>
  <c r="AE2738" i="30"/>
  <c r="AG2738" i="30" s="1"/>
  <c r="AE2737" i="30"/>
  <c r="AG2737" i="30" s="1"/>
  <c r="AE2736" i="30"/>
  <c r="AG2736" i="30" s="1"/>
  <c r="AE2735" i="30"/>
  <c r="AG2735" i="30" s="1"/>
  <c r="AE2734" i="30"/>
  <c r="AG2734" i="30" s="1"/>
  <c r="AE2733" i="30"/>
  <c r="AG2733" i="30" s="1"/>
  <c r="AE2732" i="30"/>
  <c r="AG2732" i="30" s="1"/>
  <c r="AE2731" i="30"/>
  <c r="AG2731" i="30" s="1"/>
  <c r="AE2730" i="30"/>
  <c r="AG2730" i="30" s="1"/>
  <c r="AE2729" i="30"/>
  <c r="AG2729" i="30" s="1"/>
  <c r="AE2728" i="30"/>
  <c r="AG2728" i="30" s="1"/>
  <c r="AE2727" i="30"/>
  <c r="AG2727" i="30" s="1"/>
  <c r="AE2726" i="30"/>
  <c r="AG2726" i="30" s="1"/>
  <c r="AE2725" i="30"/>
  <c r="AG2725" i="30" s="1"/>
  <c r="AE2724" i="30"/>
  <c r="AG2724" i="30" s="1"/>
  <c r="AE2723" i="30"/>
  <c r="AG2723" i="30" s="1"/>
  <c r="AE2722" i="30"/>
  <c r="AG2722" i="30" s="1"/>
  <c r="AE2721" i="30"/>
  <c r="AG2721" i="30" s="1"/>
  <c r="AE2720" i="30"/>
  <c r="AG2720" i="30" s="1"/>
  <c r="AE2719" i="30"/>
  <c r="AG2719" i="30" s="1"/>
  <c r="AE2718" i="30"/>
  <c r="AG2718" i="30" s="1"/>
  <c r="AE2717" i="30"/>
  <c r="AG2717" i="30" s="1"/>
  <c r="AE2716" i="30"/>
  <c r="AG2716" i="30" s="1"/>
  <c r="AE2715" i="30"/>
  <c r="AG2715" i="30" s="1"/>
  <c r="AE2714" i="30"/>
  <c r="AG2714" i="30" s="1"/>
  <c r="AE2713" i="30"/>
  <c r="AG2713" i="30" s="1"/>
  <c r="AE2712" i="30"/>
  <c r="AG2712" i="30" s="1"/>
  <c r="AE2711" i="30"/>
  <c r="AG2711" i="30" s="1"/>
  <c r="AE2710" i="30"/>
  <c r="AG2710" i="30" s="1"/>
  <c r="AE2709" i="30"/>
  <c r="AG2709" i="30" s="1"/>
  <c r="AE2708" i="30"/>
  <c r="AG2708" i="30" s="1"/>
  <c r="AE2707" i="30"/>
  <c r="AG2707" i="30" s="1"/>
  <c r="AE2706" i="30"/>
  <c r="AG2706" i="30" s="1"/>
  <c r="AE2705" i="30"/>
  <c r="AG2705" i="30" s="1"/>
  <c r="AE2704" i="30"/>
  <c r="AG2704" i="30" s="1"/>
  <c r="AE2703" i="30"/>
  <c r="AG2703" i="30" s="1"/>
  <c r="AE2702" i="30"/>
  <c r="AG2702" i="30" s="1"/>
  <c r="AE2701" i="30"/>
  <c r="AG2701" i="30" s="1"/>
  <c r="AE2700" i="30"/>
  <c r="AG2700" i="30" s="1"/>
  <c r="AE2699" i="30"/>
  <c r="AG2699" i="30" s="1"/>
  <c r="AE2698" i="30"/>
  <c r="AG2698" i="30" s="1"/>
  <c r="AE2697" i="30"/>
  <c r="AG2697" i="30" s="1"/>
  <c r="AE2696" i="30"/>
  <c r="AG2696" i="30" s="1"/>
  <c r="AE2695" i="30"/>
  <c r="AG2695" i="30" s="1"/>
  <c r="AE2694" i="30"/>
  <c r="AG2694" i="30" s="1"/>
  <c r="AE2693" i="30"/>
  <c r="AG2693" i="30" s="1"/>
  <c r="AE2692" i="30"/>
  <c r="AG2692" i="30" s="1"/>
  <c r="AE2691" i="30"/>
  <c r="AG2691" i="30" s="1"/>
  <c r="AE2690" i="30"/>
  <c r="AG2690" i="30" s="1"/>
  <c r="AE2689" i="30"/>
  <c r="AG2689" i="30" s="1"/>
  <c r="AE2688" i="30"/>
  <c r="AG2688" i="30" s="1"/>
  <c r="AE2687" i="30"/>
  <c r="AG2687" i="30" s="1"/>
  <c r="AE2686" i="30"/>
  <c r="AG2686" i="30" s="1"/>
  <c r="AE2685" i="30"/>
  <c r="AG2685" i="30" s="1"/>
  <c r="AE2684" i="30"/>
  <c r="AG2684" i="30" s="1"/>
  <c r="AE2683" i="30"/>
  <c r="AG2683" i="30" s="1"/>
  <c r="AE2682" i="30"/>
  <c r="AG2682" i="30" s="1"/>
  <c r="AE2681" i="30"/>
  <c r="AG2681" i="30" s="1"/>
  <c r="AE2680" i="30"/>
  <c r="AG2680" i="30" s="1"/>
  <c r="AE2679" i="30"/>
  <c r="AG2679" i="30" s="1"/>
  <c r="AE2678" i="30"/>
  <c r="AG2678" i="30" s="1"/>
  <c r="AE2677" i="30"/>
  <c r="AG2677" i="30" s="1"/>
  <c r="AE2676" i="30"/>
  <c r="AG2676" i="30" s="1"/>
  <c r="AE2675" i="30"/>
  <c r="AG2675" i="30" s="1"/>
  <c r="AE2674" i="30"/>
  <c r="AG2674" i="30" s="1"/>
  <c r="AE2673" i="30"/>
  <c r="AG2673" i="30" s="1"/>
  <c r="AE2672" i="30"/>
  <c r="AG2672" i="30" s="1"/>
  <c r="AE2671" i="30"/>
  <c r="AG2671" i="30" s="1"/>
  <c r="AE2670" i="30"/>
  <c r="AG2670" i="30" s="1"/>
  <c r="AE2669" i="30"/>
  <c r="AG2669" i="30" s="1"/>
  <c r="AE2668" i="30"/>
  <c r="AG2668" i="30" s="1"/>
  <c r="AE2667" i="30"/>
  <c r="AG2667" i="30" s="1"/>
  <c r="AE2666" i="30"/>
  <c r="AG2666" i="30" s="1"/>
  <c r="AE2665" i="30"/>
  <c r="AG2665" i="30" s="1"/>
  <c r="AE2664" i="30"/>
  <c r="AG2664" i="30" s="1"/>
  <c r="AE2663" i="30"/>
  <c r="AG2663" i="30" s="1"/>
  <c r="AE2662" i="30"/>
  <c r="AG2662" i="30" s="1"/>
  <c r="AE2661" i="30"/>
  <c r="AG2661" i="30" s="1"/>
  <c r="AE2660" i="30"/>
  <c r="AG2660" i="30" s="1"/>
  <c r="AE2659" i="30"/>
  <c r="AG2659" i="30" s="1"/>
  <c r="AE2658" i="30"/>
  <c r="AG2658" i="30" s="1"/>
  <c r="AE2657" i="30"/>
  <c r="AG2657" i="30" s="1"/>
  <c r="AE2656" i="30"/>
  <c r="AG2656" i="30" s="1"/>
  <c r="AE2655" i="30"/>
  <c r="AG2655" i="30" s="1"/>
  <c r="AE2654" i="30"/>
  <c r="AG2654" i="30" s="1"/>
  <c r="AE2653" i="30"/>
  <c r="AG2653" i="30" s="1"/>
  <c r="AE2652" i="30"/>
  <c r="AG2652" i="30" s="1"/>
  <c r="AE2651" i="30"/>
  <c r="AG2651" i="30" s="1"/>
  <c r="AE2650" i="30"/>
  <c r="AG2650" i="30" s="1"/>
  <c r="AE2649" i="30"/>
  <c r="AG2649" i="30" s="1"/>
  <c r="AE2648" i="30"/>
  <c r="AG2648" i="30" s="1"/>
  <c r="AE2647" i="30"/>
  <c r="AG2647" i="30" s="1"/>
  <c r="AE2646" i="30"/>
  <c r="AG2646" i="30" s="1"/>
  <c r="AE2645" i="30"/>
  <c r="AG2645" i="30" s="1"/>
  <c r="AE2644" i="30"/>
  <c r="AG2644" i="30" s="1"/>
  <c r="AE2643" i="30"/>
  <c r="AG2643" i="30" s="1"/>
  <c r="AE2642" i="30"/>
  <c r="AG2642" i="30" s="1"/>
  <c r="AE2641" i="30"/>
  <c r="AG2641" i="30" s="1"/>
  <c r="AE2640" i="30"/>
  <c r="AG2640" i="30" s="1"/>
  <c r="AE2639" i="30"/>
  <c r="AG2639" i="30" s="1"/>
  <c r="AE2638" i="30"/>
  <c r="AG2638" i="30" s="1"/>
  <c r="AE2637" i="30"/>
  <c r="AG2637" i="30" s="1"/>
  <c r="AE2636" i="30"/>
  <c r="AG2636" i="30" s="1"/>
  <c r="AE2635" i="30"/>
  <c r="AG2635" i="30" s="1"/>
  <c r="AE2634" i="30"/>
  <c r="AG2634" i="30" s="1"/>
  <c r="AE2633" i="30"/>
  <c r="AG2633" i="30" s="1"/>
  <c r="AE2632" i="30"/>
  <c r="AG2632" i="30" s="1"/>
  <c r="AE2631" i="30"/>
  <c r="AG2631" i="30" s="1"/>
  <c r="AE2630" i="30"/>
  <c r="AG2630" i="30" s="1"/>
  <c r="AE2629" i="30"/>
  <c r="AG2629" i="30" s="1"/>
  <c r="AE2628" i="30"/>
  <c r="AG2628" i="30" s="1"/>
  <c r="AE2627" i="30"/>
  <c r="AG2627" i="30" s="1"/>
  <c r="AE2626" i="30"/>
  <c r="AG2626" i="30" s="1"/>
  <c r="AE2625" i="30"/>
  <c r="AG2625" i="30" s="1"/>
  <c r="AE2624" i="30"/>
  <c r="AG2624" i="30" s="1"/>
  <c r="AE2623" i="30"/>
  <c r="AG2623" i="30" s="1"/>
  <c r="AE2622" i="30"/>
  <c r="AG2622" i="30" s="1"/>
  <c r="AE2621" i="30"/>
  <c r="AG2621" i="30" s="1"/>
  <c r="AE2620" i="30"/>
  <c r="AG2620" i="30" s="1"/>
  <c r="AE2619" i="30"/>
  <c r="AG2619" i="30" s="1"/>
  <c r="AE2618" i="30"/>
  <c r="AG2618" i="30" s="1"/>
  <c r="AE2617" i="30"/>
  <c r="AG2617" i="30" s="1"/>
  <c r="AE2616" i="30"/>
  <c r="AG2616" i="30" s="1"/>
  <c r="AE2615" i="30"/>
  <c r="AG2615" i="30" s="1"/>
  <c r="AE2614" i="30"/>
  <c r="AG2614" i="30" s="1"/>
  <c r="AE2613" i="30"/>
  <c r="AG2613" i="30" s="1"/>
  <c r="AE2612" i="30"/>
  <c r="AG2612" i="30" s="1"/>
  <c r="AE2611" i="30"/>
  <c r="AG2611" i="30" s="1"/>
  <c r="AE2610" i="30"/>
  <c r="AG2610" i="30" s="1"/>
  <c r="AE2609" i="30"/>
  <c r="AG2609" i="30" s="1"/>
  <c r="AE2608" i="30"/>
  <c r="AG2608" i="30" s="1"/>
  <c r="AE2607" i="30"/>
  <c r="AG2607" i="30" s="1"/>
  <c r="AE2606" i="30"/>
  <c r="AG2606" i="30" s="1"/>
  <c r="AE2605" i="30"/>
  <c r="AG2605" i="30" s="1"/>
  <c r="AE2604" i="30"/>
  <c r="AG2604" i="30" s="1"/>
  <c r="AE2603" i="30"/>
  <c r="AG2603" i="30" s="1"/>
  <c r="AE2602" i="30"/>
  <c r="AG2602" i="30" s="1"/>
  <c r="AE2601" i="30"/>
  <c r="AG2601" i="30" s="1"/>
  <c r="AE2600" i="30"/>
  <c r="AG2600" i="30" s="1"/>
  <c r="AE2599" i="30"/>
  <c r="AG2599" i="30" s="1"/>
  <c r="AE2598" i="30"/>
  <c r="AG2598" i="30" s="1"/>
  <c r="AE2597" i="30"/>
  <c r="AG2597" i="30" s="1"/>
  <c r="AE2596" i="30"/>
  <c r="AG2596" i="30" s="1"/>
  <c r="AE2595" i="30"/>
  <c r="AG2595" i="30" s="1"/>
  <c r="AE2594" i="30"/>
  <c r="AG2594" i="30" s="1"/>
  <c r="AE2593" i="30"/>
  <c r="AG2593" i="30" s="1"/>
  <c r="AE2592" i="30"/>
  <c r="AG2592" i="30" s="1"/>
  <c r="AE2591" i="30"/>
  <c r="AG2591" i="30" s="1"/>
  <c r="AE2590" i="30"/>
  <c r="AG2590" i="30" s="1"/>
  <c r="AE2589" i="30"/>
  <c r="AG2589" i="30" s="1"/>
  <c r="AE2588" i="30"/>
  <c r="AG2588" i="30" s="1"/>
  <c r="AE2587" i="30"/>
  <c r="AG2587" i="30" s="1"/>
  <c r="AE2586" i="30"/>
  <c r="AG2586" i="30" s="1"/>
  <c r="AE2585" i="30"/>
  <c r="AG2585" i="30" s="1"/>
  <c r="AE2584" i="30"/>
  <c r="AG2584" i="30" s="1"/>
  <c r="AE2583" i="30"/>
  <c r="AG2583" i="30" s="1"/>
  <c r="AE2582" i="30"/>
  <c r="AG2582" i="30" s="1"/>
  <c r="AE2581" i="30"/>
  <c r="AG2581" i="30" s="1"/>
  <c r="AE2580" i="30"/>
  <c r="AG2580" i="30" s="1"/>
  <c r="AE2579" i="30"/>
  <c r="AG2579" i="30" s="1"/>
  <c r="AE2578" i="30"/>
  <c r="AG2578" i="30" s="1"/>
  <c r="AE2577" i="30"/>
  <c r="AG2577" i="30" s="1"/>
  <c r="AE2576" i="30"/>
  <c r="AG2576" i="30" s="1"/>
  <c r="AE2575" i="30"/>
  <c r="AG2575" i="30" s="1"/>
  <c r="AE2574" i="30"/>
  <c r="AG2574" i="30" s="1"/>
  <c r="AE2573" i="30"/>
  <c r="AG2573" i="30" s="1"/>
  <c r="AE2572" i="30"/>
  <c r="AG2572" i="30" s="1"/>
  <c r="AE2571" i="30"/>
  <c r="AG2571" i="30" s="1"/>
  <c r="AE2570" i="30"/>
  <c r="AG2570" i="30" s="1"/>
  <c r="AE2569" i="30"/>
  <c r="AG2569" i="30" s="1"/>
  <c r="AE2568" i="30"/>
  <c r="AG2568" i="30" s="1"/>
  <c r="AE2567" i="30"/>
  <c r="AG2567" i="30" s="1"/>
  <c r="AE2566" i="30"/>
  <c r="AG2566" i="30" s="1"/>
  <c r="AE2565" i="30"/>
  <c r="AG2565" i="30" s="1"/>
  <c r="AE2564" i="30"/>
  <c r="AG2564" i="30" s="1"/>
  <c r="AE2563" i="30"/>
  <c r="AG2563" i="30" s="1"/>
  <c r="AE2562" i="30"/>
  <c r="AG2562" i="30" s="1"/>
  <c r="AE2561" i="30"/>
  <c r="AG2561" i="30" s="1"/>
  <c r="AE2560" i="30"/>
  <c r="AG2560" i="30" s="1"/>
  <c r="AE2559" i="30"/>
  <c r="AG2559" i="30" s="1"/>
  <c r="AE2558" i="30"/>
  <c r="AG2558" i="30" s="1"/>
  <c r="AE2557" i="30"/>
  <c r="AG2557" i="30" s="1"/>
  <c r="AE2556" i="30"/>
  <c r="AG2556" i="30" s="1"/>
  <c r="AE2555" i="30"/>
  <c r="AG2555" i="30" s="1"/>
  <c r="AE2554" i="30"/>
  <c r="AG2554" i="30" s="1"/>
  <c r="AE2553" i="30"/>
  <c r="AG2553" i="30" s="1"/>
  <c r="AE2552" i="30"/>
  <c r="AG2552" i="30" s="1"/>
  <c r="AE2551" i="30"/>
  <c r="AG2551" i="30" s="1"/>
  <c r="AE2550" i="30"/>
  <c r="AG2550" i="30" s="1"/>
  <c r="AE2549" i="30"/>
  <c r="AG2549" i="30" s="1"/>
  <c r="AE2548" i="30"/>
  <c r="AG2548" i="30" s="1"/>
  <c r="AE2547" i="30"/>
  <c r="AG2547" i="30" s="1"/>
  <c r="AE2546" i="30"/>
  <c r="AG2546" i="30" s="1"/>
  <c r="AE2545" i="30"/>
  <c r="AG2545" i="30" s="1"/>
  <c r="AE2544" i="30"/>
  <c r="AG2544" i="30" s="1"/>
  <c r="AE2543" i="30"/>
  <c r="AG2543" i="30" s="1"/>
  <c r="AE2542" i="30"/>
  <c r="AG2542" i="30" s="1"/>
  <c r="AE2541" i="30"/>
  <c r="AG2541" i="30" s="1"/>
  <c r="AE2540" i="30"/>
  <c r="AG2540" i="30" s="1"/>
  <c r="AE2539" i="30"/>
  <c r="AG2539" i="30" s="1"/>
  <c r="AE2538" i="30"/>
  <c r="AG2538" i="30" s="1"/>
  <c r="AE2537" i="30"/>
  <c r="AG2537" i="30" s="1"/>
  <c r="AE2536" i="30"/>
  <c r="AG2536" i="30" s="1"/>
  <c r="AE2535" i="30"/>
  <c r="AG2535" i="30" s="1"/>
  <c r="AE2534" i="30"/>
  <c r="AG2534" i="30" s="1"/>
  <c r="AE2533" i="30"/>
  <c r="AG2533" i="30" s="1"/>
  <c r="AE2532" i="30"/>
  <c r="AG2532" i="30" s="1"/>
  <c r="AE2531" i="30"/>
  <c r="AG2531" i="30" s="1"/>
  <c r="AE2530" i="30"/>
  <c r="AG2530" i="30" s="1"/>
  <c r="AE2529" i="30"/>
  <c r="AG2529" i="30" s="1"/>
  <c r="AE2528" i="30"/>
  <c r="AG2528" i="30" s="1"/>
  <c r="AE2527" i="30"/>
  <c r="AG2527" i="30" s="1"/>
  <c r="AE2526" i="30"/>
  <c r="AG2526" i="30" s="1"/>
  <c r="AE2525" i="30"/>
  <c r="AG2525" i="30" s="1"/>
  <c r="AE2524" i="30"/>
  <c r="AG2524" i="30" s="1"/>
  <c r="AE2523" i="30"/>
  <c r="AG2523" i="30" s="1"/>
  <c r="AE2522" i="30"/>
  <c r="AG2522" i="30" s="1"/>
  <c r="AE2521" i="30"/>
  <c r="AG2521" i="30" s="1"/>
  <c r="AE2520" i="30"/>
  <c r="AG2520" i="30" s="1"/>
  <c r="AE2519" i="30"/>
  <c r="AG2519" i="30" s="1"/>
  <c r="AE2518" i="30"/>
  <c r="AG2518" i="30" s="1"/>
  <c r="AE2517" i="30"/>
  <c r="AG2517" i="30" s="1"/>
  <c r="AE2516" i="30"/>
  <c r="AG2516" i="30" s="1"/>
  <c r="AE2515" i="30"/>
  <c r="AG2515" i="30" s="1"/>
  <c r="AE2514" i="30"/>
  <c r="AG2514" i="30" s="1"/>
  <c r="AE2513" i="30"/>
  <c r="AG2513" i="30" s="1"/>
  <c r="AE2512" i="30"/>
  <c r="AG2512" i="30" s="1"/>
  <c r="AE2511" i="30"/>
  <c r="AG2511" i="30" s="1"/>
  <c r="AE2510" i="30"/>
  <c r="AG2510" i="30" s="1"/>
  <c r="AE2509" i="30"/>
  <c r="AG2509" i="30" s="1"/>
  <c r="AE2508" i="30"/>
  <c r="AG2508" i="30" s="1"/>
  <c r="AE2507" i="30"/>
  <c r="AG2507" i="30" s="1"/>
  <c r="AE2506" i="30"/>
  <c r="AG2506" i="30" s="1"/>
  <c r="AE2505" i="30"/>
  <c r="AG2505" i="30" s="1"/>
  <c r="AE2504" i="30"/>
  <c r="AG2504" i="30" s="1"/>
  <c r="AE2503" i="30"/>
  <c r="AG2503" i="30" s="1"/>
  <c r="AE2502" i="30"/>
  <c r="AG2502" i="30" s="1"/>
  <c r="AE2501" i="30"/>
  <c r="AG2501" i="30" s="1"/>
  <c r="AE2500" i="30"/>
  <c r="AG2500" i="30" s="1"/>
  <c r="AE2499" i="30"/>
  <c r="AG2499" i="30" s="1"/>
  <c r="AE2498" i="30"/>
  <c r="AG2498" i="30" s="1"/>
  <c r="AE2497" i="30"/>
  <c r="AG2497" i="30" s="1"/>
  <c r="AE2496" i="30"/>
  <c r="AG2496" i="30" s="1"/>
  <c r="AE2495" i="30"/>
  <c r="AG2495" i="30" s="1"/>
  <c r="AE2494" i="30"/>
  <c r="AG2494" i="30" s="1"/>
  <c r="AE2493" i="30"/>
  <c r="AG2493" i="30" s="1"/>
  <c r="AE2492" i="30"/>
  <c r="AG2492" i="30" s="1"/>
  <c r="AE2491" i="30"/>
  <c r="AG2491" i="30" s="1"/>
  <c r="AE2490" i="30"/>
  <c r="AG2490" i="30" s="1"/>
  <c r="AE2489" i="30"/>
  <c r="AG2489" i="30" s="1"/>
  <c r="AE2488" i="30"/>
  <c r="AG2488" i="30" s="1"/>
  <c r="AE2487" i="30"/>
  <c r="AG2487" i="30" s="1"/>
  <c r="AE2486" i="30"/>
  <c r="AG2486" i="30" s="1"/>
  <c r="AE2485" i="30"/>
  <c r="AG2485" i="30" s="1"/>
  <c r="AE2484" i="30"/>
  <c r="AG2484" i="30" s="1"/>
  <c r="AE2483" i="30"/>
  <c r="AG2483" i="30" s="1"/>
  <c r="AE2482" i="30"/>
  <c r="AG2482" i="30" s="1"/>
  <c r="AE2481" i="30"/>
  <c r="AG2481" i="30" s="1"/>
  <c r="AE2480" i="30"/>
  <c r="AG2480" i="30" s="1"/>
  <c r="AE2479" i="30"/>
  <c r="AG2479" i="30" s="1"/>
  <c r="AE2478" i="30"/>
  <c r="AG2478" i="30" s="1"/>
  <c r="AE2477" i="30"/>
  <c r="AG2477" i="30" s="1"/>
  <c r="AE2476" i="30"/>
  <c r="AG2476" i="30" s="1"/>
  <c r="AE2475" i="30"/>
  <c r="AG2475" i="30" s="1"/>
  <c r="AE2474" i="30"/>
  <c r="AG2474" i="30" s="1"/>
  <c r="AE2473" i="30"/>
  <c r="AG2473" i="30" s="1"/>
  <c r="AE2472" i="30"/>
  <c r="AG2472" i="30" s="1"/>
  <c r="AE2471" i="30"/>
  <c r="AG2471" i="30" s="1"/>
  <c r="AE2470" i="30"/>
  <c r="AG2470" i="30" s="1"/>
  <c r="AE2469" i="30"/>
  <c r="AG2469" i="30" s="1"/>
  <c r="AE2468" i="30"/>
  <c r="AG2468" i="30" s="1"/>
  <c r="AE2467" i="30"/>
  <c r="AE2466" i="30"/>
  <c r="AE2465" i="30"/>
  <c r="AE2464" i="30"/>
  <c r="AE2463" i="30"/>
  <c r="AE2462" i="30"/>
  <c r="AE2461" i="30"/>
  <c r="AE2460" i="30"/>
  <c r="AE2459" i="30"/>
  <c r="AE2458" i="30"/>
  <c r="AE2457" i="30"/>
  <c r="AE2456" i="30"/>
  <c r="AE2455" i="30"/>
  <c r="AE2454" i="30"/>
  <c r="AE2453" i="30"/>
  <c r="AE2452" i="30"/>
  <c r="AE2451" i="30"/>
  <c r="AE2450" i="30"/>
  <c r="AE2449" i="30"/>
  <c r="AE2448" i="30"/>
  <c r="AE2447" i="30"/>
  <c r="AE2446" i="30"/>
  <c r="AE2445" i="30"/>
  <c r="AE2444" i="30"/>
  <c r="AE2443" i="30"/>
  <c r="AE2442" i="30"/>
  <c r="AE2441" i="30"/>
  <c r="AE2440" i="30"/>
  <c r="AE2439" i="30"/>
  <c r="AE2438" i="30"/>
  <c r="AE2437" i="30"/>
  <c r="AE2436" i="30"/>
  <c r="AE2435" i="30"/>
  <c r="AE2434" i="30"/>
  <c r="AE2433" i="30"/>
  <c r="AE2432" i="30"/>
  <c r="AE2431" i="30"/>
  <c r="AE2430" i="30"/>
  <c r="AE2429" i="30"/>
  <c r="AE2428" i="30"/>
  <c r="AE2427" i="30"/>
  <c r="AE2426" i="30"/>
  <c r="AE2425" i="30"/>
  <c r="AE2424" i="30"/>
  <c r="AE2423" i="30"/>
  <c r="AE2422" i="30"/>
  <c r="AE2421" i="30"/>
  <c r="AE2420" i="30"/>
  <c r="AE2419" i="30"/>
  <c r="AE2418" i="30"/>
  <c r="AE2417" i="30"/>
  <c r="AE2416" i="30"/>
  <c r="AE2415" i="30"/>
  <c r="AE2414" i="30"/>
  <c r="AE2413" i="30"/>
  <c r="AE2412" i="30"/>
  <c r="AE2411" i="30"/>
  <c r="AE2410" i="30"/>
  <c r="AE2409" i="30"/>
  <c r="AE2408" i="30"/>
  <c r="AE2407" i="30"/>
  <c r="AE2406" i="30"/>
  <c r="AE2405" i="30"/>
  <c r="AE2404" i="30"/>
  <c r="AE2403" i="30"/>
  <c r="AE2402" i="30"/>
  <c r="AE2401" i="30"/>
  <c r="AE2400" i="30"/>
  <c r="AE2399" i="30"/>
  <c r="AE2398" i="30"/>
  <c r="AE2397" i="30"/>
  <c r="AE2396" i="30"/>
  <c r="AE2395" i="30"/>
  <c r="AE2394" i="30"/>
  <c r="AE2393" i="30"/>
  <c r="AE2392" i="30"/>
  <c r="AE2391" i="30"/>
  <c r="AE2390" i="30"/>
  <c r="AE2389" i="30"/>
  <c r="AE2388" i="30"/>
  <c r="AE2387" i="30"/>
  <c r="AE2386" i="30"/>
  <c r="AE2385" i="30"/>
  <c r="AE2384" i="30"/>
  <c r="AE2383" i="30"/>
  <c r="AE2382" i="30"/>
  <c r="AE2381" i="30"/>
  <c r="AE2380" i="30"/>
  <c r="AE2379" i="30"/>
  <c r="AE2378" i="30"/>
  <c r="AE2377" i="30"/>
  <c r="AE2376" i="30"/>
  <c r="AE2375" i="30"/>
  <c r="AE2374" i="30"/>
  <c r="AE2373" i="30"/>
  <c r="AE2372" i="30"/>
  <c r="AE2371" i="30"/>
  <c r="AE2370" i="30"/>
  <c r="AE2369" i="30"/>
  <c r="AE2368" i="30"/>
  <c r="AE2367" i="30"/>
  <c r="AE2366" i="30"/>
  <c r="AE2365" i="30"/>
  <c r="AE2364" i="30"/>
  <c r="AE2363" i="30"/>
  <c r="AE2362" i="30"/>
  <c r="AE2361" i="30"/>
  <c r="AE2360" i="30"/>
  <c r="AE2359" i="30"/>
  <c r="AE2358" i="30"/>
  <c r="AE2357" i="30"/>
  <c r="AE2356" i="30"/>
  <c r="AE2355" i="30"/>
  <c r="AE2354" i="30"/>
  <c r="AE2353" i="30"/>
  <c r="AE2352" i="30"/>
  <c r="AE2351" i="30"/>
  <c r="AE2350" i="30"/>
  <c r="AE2349" i="30"/>
  <c r="AE2348" i="30"/>
  <c r="AE2347" i="30"/>
  <c r="AE2346" i="30"/>
  <c r="AE2345" i="30"/>
  <c r="AE2344" i="30"/>
  <c r="AE2343" i="30"/>
  <c r="AE2342" i="30"/>
  <c r="AE2341" i="30"/>
  <c r="AE2340" i="30"/>
  <c r="AE2339" i="30"/>
  <c r="AE2338" i="30"/>
  <c r="AE2337" i="30"/>
  <c r="AE2336" i="30"/>
  <c r="AE2335" i="30"/>
  <c r="AE2334" i="30"/>
  <c r="AE2333" i="30"/>
  <c r="AE2332" i="30"/>
  <c r="AE2331" i="30"/>
  <c r="AE2330" i="30"/>
  <c r="AE2329" i="30"/>
  <c r="AE2328" i="30"/>
  <c r="AE2327" i="30"/>
  <c r="AE2326" i="30"/>
  <c r="AE2325" i="30"/>
  <c r="AE2324" i="30"/>
  <c r="AE2323" i="30"/>
  <c r="AE2322" i="30"/>
  <c r="AE2321" i="30"/>
  <c r="AE2320" i="30"/>
  <c r="AE2319" i="30"/>
  <c r="AE2318" i="30"/>
  <c r="AE2317" i="30"/>
  <c r="AE2316" i="30"/>
  <c r="AE2315" i="30"/>
  <c r="AE2314" i="30"/>
  <c r="AE2313" i="30"/>
  <c r="AE2312" i="30"/>
  <c r="AE2311" i="30"/>
  <c r="AE2310" i="30"/>
  <c r="AE2309" i="30"/>
  <c r="AE2308" i="30"/>
  <c r="AE2307" i="30"/>
  <c r="AE2306" i="30"/>
  <c r="AE2305" i="30"/>
  <c r="AE2304" i="30"/>
  <c r="AE2303" i="30"/>
  <c r="AE2302" i="30"/>
  <c r="AE2301" i="30"/>
  <c r="AE2300" i="30"/>
  <c r="AE2299" i="30"/>
  <c r="AE2298" i="30"/>
  <c r="AE2297" i="30"/>
  <c r="AE2296" i="30"/>
  <c r="AE2295" i="30"/>
  <c r="AE2294" i="30"/>
  <c r="AE2293" i="30"/>
  <c r="AE2292" i="30"/>
  <c r="AE2291" i="30"/>
  <c r="AE2290" i="30"/>
  <c r="AE2289" i="30"/>
  <c r="AE2288" i="30"/>
  <c r="AE2287" i="30"/>
  <c r="AE2286" i="30"/>
  <c r="AE2285" i="30"/>
  <c r="AE2284" i="30"/>
  <c r="AE2283" i="30"/>
  <c r="AE2282" i="30"/>
  <c r="AE2281" i="30"/>
  <c r="AE2280" i="30"/>
  <c r="AE2279" i="30"/>
  <c r="AE2278" i="30"/>
  <c r="AE2277" i="30"/>
  <c r="AE2276" i="30"/>
  <c r="AE2275" i="30"/>
  <c r="AE2274" i="30"/>
  <c r="AE2273" i="30"/>
  <c r="AE2272" i="30"/>
  <c r="AE2271" i="30"/>
  <c r="AE2270" i="30"/>
  <c r="AE2269" i="30"/>
  <c r="AE2268" i="30"/>
  <c r="AE2267" i="30"/>
  <c r="AE2266" i="30"/>
  <c r="AE2265" i="30"/>
  <c r="AE2264" i="30"/>
  <c r="AE2263" i="30"/>
  <c r="AE2262" i="30"/>
  <c r="AE2261" i="30"/>
  <c r="AE2260" i="30"/>
  <c r="AE2259" i="30"/>
  <c r="AE2258" i="30"/>
  <c r="AE2257" i="30"/>
  <c r="AE2256" i="30"/>
  <c r="AE2255" i="30"/>
  <c r="AE2254" i="30"/>
  <c r="AE2253" i="30"/>
  <c r="AE2252" i="30"/>
  <c r="AE2251" i="30"/>
  <c r="AE2250" i="30"/>
  <c r="AE2249" i="30"/>
  <c r="AE2248" i="30"/>
  <c r="AE2247" i="30"/>
  <c r="AE2246" i="30"/>
  <c r="AE2245" i="30"/>
  <c r="AE2244" i="30"/>
  <c r="AE2243" i="30"/>
  <c r="AE2242" i="30"/>
  <c r="AE2241" i="30"/>
  <c r="AE2240" i="30"/>
  <c r="AE2239" i="30"/>
  <c r="AE2238" i="30"/>
  <c r="AE2237" i="30"/>
  <c r="AE2236" i="30"/>
  <c r="AE2235" i="30"/>
  <c r="AE2234" i="30"/>
  <c r="AE2233" i="30"/>
  <c r="AE2232" i="30"/>
  <c r="AE2231" i="30"/>
  <c r="AE2230" i="30"/>
  <c r="AE2229" i="30"/>
  <c r="AE2228" i="30"/>
  <c r="AE2227" i="30"/>
  <c r="AE2226" i="30"/>
  <c r="AE2225" i="30"/>
  <c r="AE2224" i="30"/>
  <c r="AE2223" i="30"/>
  <c r="AE2222" i="30"/>
  <c r="AE2221" i="30"/>
  <c r="AE2220" i="30"/>
  <c r="AE2219" i="30"/>
  <c r="AE2218" i="30"/>
  <c r="AE2217" i="30"/>
  <c r="AE2216" i="30"/>
  <c r="AE2215" i="30"/>
  <c r="AE2214" i="30"/>
  <c r="AE2213" i="30"/>
  <c r="AE2212" i="30"/>
  <c r="AE2211" i="30"/>
  <c r="AE2210" i="30"/>
  <c r="AE2209" i="30"/>
  <c r="AE2208" i="30"/>
  <c r="AE2207" i="30"/>
  <c r="AE2206" i="30"/>
  <c r="AE2205" i="30"/>
  <c r="AE2204" i="30"/>
  <c r="AE2203" i="30"/>
  <c r="AE2202" i="30"/>
  <c r="AE2201" i="30"/>
  <c r="AE2200" i="30"/>
  <c r="AE2199" i="30"/>
  <c r="AE2198" i="30"/>
  <c r="AE2197" i="30"/>
  <c r="AE2196" i="30"/>
  <c r="AE2195" i="30"/>
  <c r="AE2194" i="30"/>
  <c r="AE2193" i="30"/>
  <c r="AE2192" i="30"/>
  <c r="AE2191" i="30"/>
  <c r="AE2190" i="30"/>
  <c r="AE2189" i="30"/>
  <c r="AE2188" i="30"/>
  <c r="AE2187" i="30"/>
  <c r="AE2186" i="30"/>
  <c r="AE2185" i="30"/>
  <c r="AE2184" i="30"/>
  <c r="AE2183" i="30"/>
  <c r="AE2182" i="30"/>
  <c r="AE2181" i="30"/>
  <c r="AE2180" i="30"/>
  <c r="AE2179" i="30"/>
  <c r="AE2178" i="30"/>
  <c r="AE2177" i="30"/>
  <c r="AE2176" i="30"/>
  <c r="AE2175" i="30"/>
  <c r="AE2174" i="30"/>
  <c r="AE2173" i="30"/>
  <c r="AE2172" i="30"/>
  <c r="AE2171" i="30"/>
  <c r="AE2170" i="30"/>
  <c r="AE2169" i="30"/>
  <c r="AE2168" i="30"/>
  <c r="AE2167" i="30"/>
  <c r="AE2166" i="30"/>
  <c r="AE2165" i="30"/>
  <c r="AE2164" i="30"/>
  <c r="AE2163" i="30"/>
  <c r="AE2162" i="30"/>
  <c r="AE2161" i="30"/>
  <c r="AE2160" i="30"/>
  <c r="AE2159" i="30"/>
  <c r="AE2158" i="30"/>
  <c r="AE2157" i="30"/>
  <c r="AE2156" i="30"/>
  <c r="AE2155" i="30"/>
  <c r="AE2154" i="30"/>
  <c r="AE2153" i="30"/>
  <c r="AE2152" i="30"/>
  <c r="AE2151" i="30"/>
  <c r="AE2150" i="30"/>
  <c r="AE2149" i="30"/>
  <c r="AE2148" i="30"/>
  <c r="AE2147" i="30"/>
  <c r="AE2146" i="30"/>
  <c r="AE2145" i="30"/>
  <c r="AE2144" i="30"/>
  <c r="AE2143" i="30"/>
  <c r="AE2142" i="30"/>
  <c r="AE2141" i="30"/>
  <c r="AE2140" i="30"/>
  <c r="AE2139" i="30"/>
  <c r="AE2138" i="30"/>
  <c r="AE2137" i="30"/>
  <c r="AE2136" i="30"/>
  <c r="AE2135" i="30"/>
  <c r="AE2134" i="30"/>
  <c r="AE2133" i="30"/>
  <c r="AE2132" i="30"/>
  <c r="AE2131" i="30"/>
  <c r="AE2130" i="30"/>
  <c r="AE2129" i="30"/>
  <c r="AE2128" i="30"/>
  <c r="AE2127" i="30"/>
  <c r="AE2126" i="30"/>
  <c r="AE2125" i="30"/>
  <c r="AE2124" i="30"/>
  <c r="AE2123" i="30"/>
  <c r="AE2122" i="30"/>
  <c r="AE2121" i="30"/>
  <c r="AE2120" i="30"/>
  <c r="AE2119" i="30"/>
  <c r="AE2118" i="30"/>
  <c r="AE2117" i="30"/>
  <c r="AE2116" i="30"/>
  <c r="AE2115" i="30"/>
  <c r="AE2114" i="30"/>
  <c r="AE2113" i="30"/>
  <c r="AE2112" i="30"/>
  <c r="AE2111" i="30"/>
  <c r="AE2110" i="30"/>
  <c r="AE2109" i="30"/>
  <c r="AE2108" i="30"/>
  <c r="AE2107" i="30"/>
  <c r="AE2106" i="30"/>
  <c r="AE2105" i="30"/>
  <c r="AE2104" i="30"/>
  <c r="AE2103" i="30"/>
  <c r="AE2102" i="30"/>
  <c r="AE2101" i="30"/>
  <c r="AE2100" i="30"/>
  <c r="AE2099" i="30"/>
  <c r="AE2098" i="30"/>
  <c r="AE2097" i="30"/>
  <c r="AE2096" i="30"/>
  <c r="AE2095" i="30"/>
  <c r="AE2094" i="30"/>
  <c r="AE2093" i="30"/>
  <c r="AE2092" i="30"/>
  <c r="AE2091" i="30"/>
  <c r="AE2090" i="30"/>
  <c r="AE2089" i="30"/>
  <c r="AE2088" i="30"/>
  <c r="AE2087" i="30"/>
  <c r="AE2086" i="30"/>
  <c r="AE2085" i="30"/>
  <c r="AE2084" i="30"/>
  <c r="AE2083" i="30"/>
  <c r="AE2082" i="30"/>
  <c r="AE2081" i="30"/>
  <c r="AE2080" i="30"/>
  <c r="AE2079" i="30"/>
  <c r="AE2078" i="30"/>
  <c r="AE2077" i="30"/>
  <c r="AE2076" i="30"/>
  <c r="AE2075" i="30"/>
  <c r="AE2074" i="30"/>
  <c r="AE2073" i="30"/>
  <c r="AE2072" i="30"/>
  <c r="AE2071" i="30"/>
  <c r="AE2070" i="30"/>
  <c r="AE2069" i="30"/>
  <c r="AE2068" i="30"/>
  <c r="AE2067" i="30"/>
  <c r="AE2066" i="30"/>
  <c r="AE2065" i="30"/>
  <c r="AE2064" i="30"/>
  <c r="AE2063" i="30"/>
  <c r="AE2062" i="30"/>
  <c r="AE2061" i="30"/>
  <c r="AE2060" i="30"/>
  <c r="AE2059" i="30"/>
  <c r="AE2058" i="30"/>
  <c r="AE2057" i="30"/>
  <c r="AE2056" i="30"/>
  <c r="AE2055" i="30"/>
  <c r="AE2054" i="30"/>
  <c r="AE2053" i="30"/>
  <c r="AE2052" i="30"/>
  <c r="AE2051" i="30"/>
  <c r="AE2050" i="30"/>
  <c r="AE2049" i="30"/>
  <c r="AE2048" i="30"/>
  <c r="AE2047" i="30"/>
  <c r="AE2046" i="30"/>
  <c r="AE2045" i="30"/>
  <c r="AE2044" i="30"/>
  <c r="AE2043" i="30"/>
  <c r="AE2042" i="30"/>
  <c r="AE2041" i="30"/>
  <c r="AE2040" i="30"/>
  <c r="AE2039" i="30"/>
  <c r="AE2038" i="30"/>
  <c r="AE2037" i="30"/>
  <c r="AE2036" i="30"/>
  <c r="AE2035" i="30"/>
  <c r="AE2034" i="30"/>
  <c r="AE2033" i="30"/>
  <c r="AE2032" i="30"/>
  <c r="AE2031" i="30"/>
  <c r="AE2030" i="30"/>
  <c r="AE2029" i="30"/>
  <c r="AE2028" i="30"/>
  <c r="AE2027" i="30"/>
  <c r="AE2026" i="30"/>
  <c r="AE2025" i="30"/>
  <c r="AE2024" i="30"/>
  <c r="AE2023" i="30"/>
  <c r="AE2022" i="30"/>
  <c r="AE2021" i="30"/>
  <c r="AE2020" i="30"/>
  <c r="AE2019" i="30"/>
  <c r="AE2018" i="30"/>
  <c r="AE2017" i="30"/>
  <c r="AE2016" i="30"/>
  <c r="AE2015" i="30"/>
  <c r="AE2014" i="30"/>
  <c r="AE2013" i="30"/>
  <c r="AE2012" i="30"/>
  <c r="AE2011" i="30"/>
  <c r="AE2010" i="30"/>
  <c r="AE2009" i="30"/>
  <c r="AE2008" i="30"/>
  <c r="AE2007" i="30"/>
  <c r="AE2006" i="30"/>
  <c r="AE2005" i="30"/>
  <c r="AE2004" i="30"/>
  <c r="AE2003" i="30"/>
  <c r="AE2002" i="30"/>
  <c r="AE2001" i="30"/>
  <c r="AE2000" i="30"/>
  <c r="AE1999" i="30"/>
  <c r="AE1998" i="30"/>
  <c r="AE1997" i="30"/>
  <c r="AE1996" i="30"/>
  <c r="AE1995" i="30"/>
  <c r="AE1994" i="30"/>
  <c r="AE1993" i="30"/>
  <c r="AE1992" i="30"/>
  <c r="AE1991" i="30"/>
  <c r="AE1990" i="30"/>
  <c r="AE1989" i="30"/>
  <c r="AE1988" i="30"/>
  <c r="AE1987" i="30"/>
  <c r="AE1986" i="30"/>
  <c r="AE1985" i="30"/>
  <c r="AE1984" i="30"/>
  <c r="AE1983" i="30"/>
  <c r="AE1982" i="30"/>
  <c r="AE1981" i="30"/>
  <c r="AE1980" i="30"/>
  <c r="AE1979" i="30"/>
  <c r="AE1978" i="30"/>
  <c r="AE1977" i="30"/>
  <c r="AE1976" i="30"/>
  <c r="AE1975" i="30"/>
  <c r="AE1974" i="30"/>
  <c r="AE1973" i="30"/>
  <c r="AE1972" i="30"/>
  <c r="AE1971" i="30"/>
  <c r="AE1970" i="30"/>
  <c r="AE1969" i="30"/>
  <c r="AE1968" i="30"/>
  <c r="AE1967" i="30"/>
  <c r="AE1966" i="30"/>
  <c r="AE1965" i="30"/>
  <c r="AE1964" i="30"/>
  <c r="AE1963" i="30"/>
  <c r="AE1962" i="30"/>
  <c r="AE1961" i="30"/>
  <c r="AE1960" i="30"/>
  <c r="AE1959" i="30"/>
  <c r="AE1958" i="30"/>
  <c r="AE1957" i="30"/>
  <c r="AE1956" i="30"/>
  <c r="AE1955" i="30"/>
  <c r="AE1954" i="30"/>
  <c r="AE1953" i="30"/>
  <c r="AE1952" i="30"/>
  <c r="AE1951" i="30"/>
  <c r="AE1950" i="30"/>
  <c r="AE1949" i="30"/>
  <c r="AE1948" i="30"/>
  <c r="AE1947" i="30"/>
  <c r="AE1946" i="30"/>
  <c r="AE1945" i="30"/>
  <c r="AE1944" i="30"/>
  <c r="AE1943" i="30"/>
  <c r="AE1942" i="30"/>
  <c r="AE1941" i="30"/>
  <c r="AE1940" i="30"/>
  <c r="AE1939" i="30"/>
  <c r="AE1938" i="30"/>
  <c r="AE1937" i="30"/>
  <c r="AE1936" i="30"/>
  <c r="AE1935" i="30"/>
  <c r="AE1934" i="30"/>
  <c r="AE1933" i="30"/>
  <c r="AE1932" i="30"/>
  <c r="AE1931" i="30"/>
  <c r="AE1930" i="30"/>
  <c r="AE1929" i="30"/>
  <c r="AE1928" i="30"/>
  <c r="AE1927" i="30"/>
  <c r="AE1926" i="30"/>
  <c r="AE1925" i="30"/>
  <c r="AE1924" i="30"/>
  <c r="AE1923" i="30"/>
  <c r="AE1922" i="30"/>
  <c r="AE1921" i="30"/>
  <c r="AE1920" i="30"/>
  <c r="AE1919" i="30"/>
  <c r="AE1918" i="30"/>
  <c r="AE1917" i="30"/>
  <c r="AE1916" i="30"/>
  <c r="AE1915" i="30"/>
  <c r="AE1914" i="30"/>
  <c r="AE1913" i="30"/>
  <c r="AE1912" i="30"/>
  <c r="AE1911" i="30"/>
  <c r="AE1910" i="30"/>
  <c r="AE1909" i="30"/>
  <c r="AE1908" i="30"/>
  <c r="AE1907" i="30"/>
  <c r="AE1906" i="30"/>
  <c r="AE1905" i="30"/>
  <c r="AE1904" i="30"/>
  <c r="AE1903" i="30"/>
  <c r="AE1902" i="30"/>
  <c r="AE1901" i="30"/>
  <c r="AE1900" i="30"/>
  <c r="AE1899" i="30"/>
  <c r="AE1898" i="30"/>
  <c r="AE1897" i="30"/>
  <c r="AE1896" i="30"/>
  <c r="AE1895" i="30"/>
  <c r="AE1894" i="30"/>
  <c r="AE1893" i="30"/>
  <c r="AE1892" i="30"/>
  <c r="AE1891" i="30"/>
  <c r="AE1890" i="30"/>
  <c r="AE1889" i="30"/>
  <c r="AE1888" i="30"/>
  <c r="AE1887" i="30"/>
  <c r="AE1886" i="30"/>
  <c r="AE1885" i="30"/>
  <c r="AE1884" i="30"/>
  <c r="AE1883" i="30"/>
  <c r="AE1882" i="30"/>
  <c r="AE1881" i="30"/>
  <c r="AE1880" i="30"/>
  <c r="AE1879" i="30"/>
  <c r="AE1878" i="30"/>
  <c r="AE1877" i="30"/>
  <c r="AE1876" i="30"/>
  <c r="AE1875" i="30"/>
  <c r="AE1874" i="30"/>
  <c r="AE1873" i="30"/>
  <c r="AE1872" i="30"/>
  <c r="AE1871" i="30"/>
  <c r="AE1870" i="30"/>
  <c r="AE1869" i="30"/>
  <c r="AE1868" i="30"/>
  <c r="AE1867" i="30"/>
  <c r="AE1866" i="30"/>
  <c r="AE1865" i="30"/>
  <c r="AE1864" i="30"/>
  <c r="AE1863" i="30"/>
  <c r="AE1862" i="30"/>
  <c r="AE1861" i="30"/>
  <c r="AE1860" i="30"/>
  <c r="AE1859" i="30"/>
  <c r="AE1858" i="30"/>
  <c r="AE1857" i="30"/>
  <c r="AE1856" i="30"/>
  <c r="AE1855" i="30"/>
  <c r="AE1854" i="30"/>
  <c r="AE1853" i="30"/>
  <c r="AE1852" i="30"/>
  <c r="AE1851" i="30"/>
  <c r="AE1850" i="30"/>
  <c r="AE1849" i="30"/>
  <c r="AE1848" i="30"/>
  <c r="AE1847" i="30"/>
  <c r="AE1846" i="30"/>
  <c r="AE1845" i="30"/>
  <c r="AE1844" i="30"/>
  <c r="AE1843" i="30"/>
  <c r="AE1842" i="30"/>
  <c r="AE1841" i="30"/>
  <c r="AE1840" i="30"/>
  <c r="AE1839" i="30"/>
  <c r="AE1838" i="30"/>
  <c r="AE1837" i="30"/>
  <c r="AE1836" i="30"/>
  <c r="AE1835" i="30"/>
  <c r="AE1834" i="30"/>
  <c r="AE1833" i="30"/>
  <c r="AE1832" i="30"/>
  <c r="AE1831" i="30"/>
  <c r="AE1830" i="30"/>
  <c r="AE1829" i="30"/>
  <c r="AE1828" i="30"/>
  <c r="AE1827" i="30"/>
  <c r="AE1826" i="30"/>
  <c r="AE1825" i="30"/>
  <c r="AE1824" i="30"/>
  <c r="AE1823" i="30"/>
  <c r="AE1822" i="30"/>
  <c r="AE1821" i="30"/>
  <c r="AE1820" i="30"/>
  <c r="AE1819" i="30"/>
  <c r="AE1818" i="30"/>
  <c r="AE1817" i="30"/>
  <c r="AE1816" i="30"/>
  <c r="AE1815" i="30"/>
  <c r="AE1814" i="30"/>
  <c r="AE1813" i="30"/>
  <c r="AE1812" i="30"/>
  <c r="AE1811" i="30"/>
  <c r="AE1810" i="30"/>
  <c r="AE1809" i="30"/>
  <c r="AE1808" i="30"/>
  <c r="AE1807" i="30"/>
  <c r="AE1806" i="30"/>
  <c r="AE1805" i="30"/>
  <c r="AE1804" i="30"/>
  <c r="AE1803" i="30"/>
  <c r="AE1802" i="30"/>
  <c r="AE1801" i="30"/>
  <c r="AE1800" i="30"/>
  <c r="AE1799" i="30"/>
  <c r="AE1798" i="30"/>
  <c r="AE1797" i="30"/>
  <c r="AE1796" i="30"/>
  <c r="AE1795" i="30"/>
  <c r="AE1794" i="30"/>
  <c r="AE1793" i="30"/>
  <c r="AE1792" i="30"/>
  <c r="AE1791" i="30"/>
  <c r="AE1790" i="30"/>
  <c r="AE1789" i="30"/>
  <c r="AE1788" i="30"/>
  <c r="AE1787" i="30"/>
  <c r="AE1786" i="30"/>
  <c r="AE1785" i="30"/>
  <c r="AE1784" i="30"/>
  <c r="AE1783" i="30"/>
  <c r="AE1782" i="30"/>
  <c r="AE1781" i="30"/>
  <c r="AE1780" i="30"/>
  <c r="AE1779" i="30"/>
  <c r="AE1778" i="30"/>
  <c r="AE1777" i="30"/>
  <c r="AE1776" i="30"/>
  <c r="AE1775" i="30"/>
  <c r="AE1774" i="30"/>
  <c r="AE1773" i="30"/>
  <c r="AE1772" i="30"/>
  <c r="AE1771" i="30"/>
  <c r="AE1770" i="30"/>
  <c r="AE1769" i="30"/>
  <c r="AE1768" i="30"/>
  <c r="AE1767" i="30"/>
  <c r="AE1766" i="30"/>
  <c r="AE1765" i="30"/>
  <c r="AE1764" i="30"/>
  <c r="AE1763" i="30"/>
  <c r="AE1762" i="30"/>
  <c r="AE1761" i="30"/>
  <c r="AE1760" i="30"/>
  <c r="AE1759" i="30"/>
  <c r="AE1758" i="30"/>
  <c r="AE1757" i="30"/>
  <c r="AE1756" i="30"/>
  <c r="AE1755" i="30"/>
  <c r="AE1754" i="30"/>
  <c r="AE1753" i="30"/>
  <c r="AE1752" i="30"/>
  <c r="AE1751" i="30"/>
  <c r="AE1750" i="30"/>
  <c r="AG1750" i="30" s="1"/>
  <c r="AE1749" i="30"/>
  <c r="AG1749" i="30" s="1"/>
  <c r="AE1748" i="30"/>
  <c r="AG1748" i="30" s="1"/>
  <c r="AE1747" i="30"/>
  <c r="AG1747" i="30" s="1"/>
  <c r="AE1746" i="30"/>
  <c r="AG1746" i="30" s="1"/>
  <c r="AE1745" i="30"/>
  <c r="AG1745" i="30" s="1"/>
  <c r="AE1744" i="30"/>
  <c r="AG1744" i="30" s="1"/>
  <c r="AE1743" i="30"/>
  <c r="AG1743" i="30" s="1"/>
  <c r="AE1742" i="30"/>
  <c r="AG1742" i="30" s="1"/>
  <c r="AE1741" i="30"/>
  <c r="AG1741" i="30" s="1"/>
  <c r="AE1740" i="30"/>
  <c r="AG1740" i="30" s="1"/>
  <c r="AE1739" i="30"/>
  <c r="AG1739" i="30" s="1"/>
  <c r="AE1738" i="30"/>
  <c r="AG1738" i="30" s="1"/>
  <c r="AE1737" i="30"/>
  <c r="AG1737" i="30" s="1"/>
  <c r="AE1736" i="30"/>
  <c r="AG1736" i="30" s="1"/>
  <c r="AE1735" i="30"/>
  <c r="AG1735" i="30" s="1"/>
  <c r="AE1734" i="30"/>
  <c r="AG1734" i="30" s="1"/>
  <c r="AE1733" i="30"/>
  <c r="AG1733" i="30" s="1"/>
  <c r="AE1732" i="30"/>
  <c r="AG1732" i="30" s="1"/>
  <c r="AE1731" i="30"/>
  <c r="AG1731" i="30" s="1"/>
  <c r="AE1730" i="30"/>
  <c r="AG1730" i="30" s="1"/>
  <c r="AE1729" i="30"/>
  <c r="AG1729" i="30" s="1"/>
  <c r="AE1728" i="30"/>
  <c r="AG1728" i="30" s="1"/>
  <c r="AE1727" i="30"/>
  <c r="AG1727" i="30" s="1"/>
  <c r="AE1726" i="30"/>
  <c r="AG1726" i="30" s="1"/>
  <c r="AE1725" i="30"/>
  <c r="AG1725" i="30" s="1"/>
  <c r="AE1724" i="30"/>
  <c r="AG1724" i="30" s="1"/>
  <c r="AE1723" i="30"/>
  <c r="AG1723" i="30" s="1"/>
  <c r="AE1722" i="30"/>
  <c r="AG1722" i="30" s="1"/>
  <c r="AE1721" i="30"/>
  <c r="AG1721" i="30" s="1"/>
  <c r="AE1720" i="30"/>
  <c r="AG1720" i="30" s="1"/>
  <c r="AE1719" i="30"/>
  <c r="AG1719" i="30" s="1"/>
  <c r="AE1718" i="30"/>
  <c r="AG1718" i="30" s="1"/>
  <c r="AE1717" i="30"/>
  <c r="AG1717" i="30" s="1"/>
  <c r="AE1716" i="30"/>
  <c r="AG1716" i="30" s="1"/>
  <c r="AE1715" i="30"/>
  <c r="AG1715" i="30" s="1"/>
  <c r="AE1714" i="30"/>
  <c r="AG1714" i="30" s="1"/>
  <c r="AE1713" i="30"/>
  <c r="AG1713" i="30" s="1"/>
  <c r="AE1712" i="30"/>
  <c r="AG1712" i="30" s="1"/>
  <c r="AE1711" i="30"/>
  <c r="AG1711" i="30" s="1"/>
  <c r="AE1710" i="30"/>
  <c r="AG1710" i="30" s="1"/>
  <c r="AE1709" i="30"/>
  <c r="AG1709" i="30" s="1"/>
  <c r="AE1708" i="30"/>
  <c r="AG1708" i="30" s="1"/>
  <c r="AE1707" i="30"/>
  <c r="AG1707" i="30" s="1"/>
  <c r="AE1706" i="30"/>
  <c r="AG1706" i="30" s="1"/>
  <c r="AE1705" i="30"/>
  <c r="AG1705" i="30" s="1"/>
  <c r="AE1704" i="30"/>
  <c r="AG1704" i="30" s="1"/>
  <c r="AE1703" i="30"/>
  <c r="AG1703" i="30" s="1"/>
  <c r="AE1702" i="30"/>
  <c r="AG1702" i="30" s="1"/>
  <c r="AE1701" i="30"/>
  <c r="AG1701" i="30" s="1"/>
  <c r="AE1700" i="30"/>
  <c r="AG1700" i="30" s="1"/>
  <c r="AE1699" i="30"/>
  <c r="AG1699" i="30" s="1"/>
  <c r="AE1698" i="30"/>
  <c r="AG1698" i="30" s="1"/>
  <c r="AE1697" i="30"/>
  <c r="AG1697" i="30" s="1"/>
  <c r="AE1696" i="30"/>
  <c r="AG1696" i="30" s="1"/>
  <c r="AE1695" i="30"/>
  <c r="AG1695" i="30" s="1"/>
  <c r="AE1694" i="30"/>
  <c r="AG1694" i="30" s="1"/>
  <c r="AE1693" i="30"/>
  <c r="AG1693" i="30" s="1"/>
  <c r="AE1692" i="30"/>
  <c r="AG1692" i="30" s="1"/>
  <c r="AE1691" i="30"/>
  <c r="AG1691" i="30" s="1"/>
  <c r="AE1690" i="30"/>
  <c r="AG1690" i="30" s="1"/>
  <c r="AE1689" i="30"/>
  <c r="AG1689" i="30" s="1"/>
  <c r="AE1688" i="30"/>
  <c r="AG1688" i="30" s="1"/>
  <c r="AE1687" i="30"/>
  <c r="AG1687" i="30" s="1"/>
  <c r="AE1686" i="30"/>
  <c r="AG1686" i="30" s="1"/>
  <c r="AE1685" i="30"/>
  <c r="AG1685" i="30" s="1"/>
  <c r="AE1684" i="30"/>
  <c r="AG1684" i="30" s="1"/>
  <c r="AE1683" i="30"/>
  <c r="AG1683" i="30" s="1"/>
  <c r="AE1682" i="30"/>
  <c r="AG1682" i="30" s="1"/>
  <c r="AE1681" i="30"/>
  <c r="AG1681" i="30" s="1"/>
  <c r="AE1680" i="30"/>
  <c r="AG1680" i="30" s="1"/>
  <c r="AE1679" i="30"/>
  <c r="AG1679" i="30" s="1"/>
  <c r="AE1678" i="30"/>
  <c r="AG1678" i="30" s="1"/>
  <c r="AE1677" i="30"/>
  <c r="AG1677" i="30" s="1"/>
  <c r="AE1676" i="30"/>
  <c r="AG1676" i="30" s="1"/>
  <c r="AE1675" i="30"/>
  <c r="AG1675" i="30" s="1"/>
  <c r="AE1674" i="30"/>
  <c r="AG1674" i="30" s="1"/>
  <c r="AE1673" i="30"/>
  <c r="AG1673" i="30" s="1"/>
  <c r="AE1672" i="30"/>
  <c r="AG1672" i="30" s="1"/>
  <c r="AE1671" i="30"/>
  <c r="AG1671" i="30" s="1"/>
  <c r="AE1670" i="30"/>
  <c r="AG1670" i="30" s="1"/>
  <c r="AE1669" i="30"/>
  <c r="AG1669" i="30" s="1"/>
  <c r="AE1668" i="30"/>
  <c r="AG1668" i="30" s="1"/>
  <c r="AE1667" i="30"/>
  <c r="AG1667" i="30" s="1"/>
  <c r="AE1666" i="30"/>
  <c r="AG1666" i="30" s="1"/>
  <c r="AE1665" i="30"/>
  <c r="AG1665" i="30" s="1"/>
  <c r="AE1664" i="30"/>
  <c r="AG1664" i="30" s="1"/>
  <c r="AE1663" i="30"/>
  <c r="AG1663" i="30" s="1"/>
  <c r="AE1662" i="30"/>
  <c r="AG1662" i="30" s="1"/>
  <c r="AE1661" i="30"/>
  <c r="AG1661" i="30" s="1"/>
  <c r="AE1660" i="30"/>
  <c r="AG1660" i="30" s="1"/>
  <c r="AE1659" i="30"/>
  <c r="AG1659" i="30" s="1"/>
  <c r="AE1658" i="30"/>
  <c r="AG1658" i="30" s="1"/>
  <c r="AE1657" i="30"/>
  <c r="AG1657" i="30" s="1"/>
  <c r="AE1656" i="30"/>
  <c r="AG1656" i="30" s="1"/>
  <c r="AE1655" i="30"/>
  <c r="AG1655" i="30" s="1"/>
  <c r="AE1654" i="30"/>
  <c r="AG1654" i="30" s="1"/>
  <c r="AE1653" i="30"/>
  <c r="AG1653" i="30" s="1"/>
  <c r="AE1652" i="30"/>
  <c r="AG1652" i="30" s="1"/>
  <c r="AE1651" i="30"/>
  <c r="AG1651" i="30" s="1"/>
  <c r="AE1650" i="30"/>
  <c r="AG1650" i="30" s="1"/>
  <c r="AE1649" i="30"/>
  <c r="AG1649" i="30" s="1"/>
  <c r="AE1648" i="30"/>
  <c r="AG1648" i="30" s="1"/>
  <c r="AE1647" i="30"/>
  <c r="AG1647" i="30" s="1"/>
  <c r="AE1646" i="30"/>
  <c r="AG1646" i="30" s="1"/>
  <c r="AE1645" i="30"/>
  <c r="AG1645" i="30" s="1"/>
  <c r="AE1644" i="30"/>
  <c r="AG1644" i="30" s="1"/>
  <c r="AE1643" i="30"/>
  <c r="AG1643" i="30" s="1"/>
  <c r="AE1642" i="30"/>
  <c r="AG1642" i="30" s="1"/>
  <c r="AE1641" i="30"/>
  <c r="AG1641" i="30" s="1"/>
  <c r="AE1640" i="30"/>
  <c r="AG1640" i="30" s="1"/>
  <c r="AE1639" i="30"/>
  <c r="AG1639" i="30" s="1"/>
  <c r="AE1638" i="30"/>
  <c r="AG1638" i="30" s="1"/>
  <c r="AE1637" i="30"/>
  <c r="AG1637" i="30" s="1"/>
  <c r="AE1636" i="30"/>
  <c r="AG1636" i="30" s="1"/>
  <c r="AE1635" i="30"/>
  <c r="AG1635" i="30" s="1"/>
  <c r="AE1634" i="30"/>
  <c r="AG1634" i="30" s="1"/>
  <c r="AE1633" i="30"/>
  <c r="AG1633" i="30" s="1"/>
  <c r="AE1632" i="30"/>
  <c r="AG1632" i="30" s="1"/>
  <c r="AE1631" i="30"/>
  <c r="AG1631" i="30" s="1"/>
  <c r="AE1630" i="30"/>
  <c r="AG1630" i="30" s="1"/>
  <c r="AE1629" i="30"/>
  <c r="AG1629" i="30" s="1"/>
  <c r="AE1628" i="30"/>
  <c r="AG1628" i="30" s="1"/>
  <c r="AE1627" i="30"/>
  <c r="AG1627" i="30" s="1"/>
  <c r="AE1626" i="30"/>
  <c r="AG1626" i="30" s="1"/>
  <c r="AE1625" i="30"/>
  <c r="AG1625" i="30" s="1"/>
  <c r="AE1624" i="30"/>
  <c r="AG1624" i="30" s="1"/>
  <c r="AE1623" i="30"/>
  <c r="AG1623" i="30" s="1"/>
  <c r="AE1622" i="30"/>
  <c r="AG1622" i="30" s="1"/>
  <c r="AE1621" i="30"/>
  <c r="AG1621" i="30" s="1"/>
  <c r="AE1620" i="30"/>
  <c r="AG1620" i="30" s="1"/>
  <c r="AE1619" i="30"/>
  <c r="AG1619" i="30" s="1"/>
  <c r="AE1618" i="30"/>
  <c r="AG1618" i="30" s="1"/>
  <c r="AE1617" i="30"/>
  <c r="AG1617" i="30" s="1"/>
  <c r="AE1616" i="30"/>
  <c r="AG1616" i="30" s="1"/>
  <c r="AE1615" i="30"/>
  <c r="AG1615" i="30" s="1"/>
  <c r="AE1614" i="30"/>
  <c r="AG1614" i="30" s="1"/>
  <c r="AE1613" i="30"/>
  <c r="AG1613" i="30" s="1"/>
  <c r="AE1612" i="30"/>
  <c r="AG1612" i="30" s="1"/>
  <c r="AE1611" i="30"/>
  <c r="AG1611" i="30" s="1"/>
  <c r="AE1610" i="30"/>
  <c r="AG1610" i="30" s="1"/>
  <c r="AE1609" i="30"/>
  <c r="AG1609" i="30" s="1"/>
  <c r="AE1608" i="30"/>
  <c r="AG1608" i="30" s="1"/>
  <c r="AE1607" i="30"/>
  <c r="AG1607" i="30" s="1"/>
  <c r="AE1606" i="30"/>
  <c r="AG1606" i="30" s="1"/>
  <c r="AE1605" i="30"/>
  <c r="AG1605" i="30" s="1"/>
  <c r="AE1604" i="30"/>
  <c r="AG1604" i="30" s="1"/>
  <c r="AE1603" i="30"/>
  <c r="AG1603" i="30" s="1"/>
  <c r="AE1602" i="30"/>
  <c r="AG1602" i="30" s="1"/>
  <c r="AE1601" i="30"/>
  <c r="AG1601" i="30" s="1"/>
  <c r="AE1600" i="30"/>
  <c r="AG1600" i="30" s="1"/>
  <c r="AE1599" i="30"/>
  <c r="AG1599" i="30" s="1"/>
  <c r="AE1598" i="30"/>
  <c r="AG1598" i="30" s="1"/>
  <c r="AE1597" i="30"/>
  <c r="AG1597" i="30" s="1"/>
  <c r="AE1596" i="30"/>
  <c r="AG1596" i="30" s="1"/>
  <c r="AE1595" i="30"/>
  <c r="AG1595" i="30" s="1"/>
  <c r="AE1594" i="30"/>
  <c r="AG1594" i="30" s="1"/>
  <c r="AE1593" i="30"/>
  <c r="AG1593" i="30" s="1"/>
  <c r="AE1592" i="30"/>
  <c r="AG1592" i="30" s="1"/>
  <c r="AE1591" i="30"/>
  <c r="AG1591" i="30" s="1"/>
  <c r="AE1590" i="30"/>
  <c r="AG1590" i="30" s="1"/>
  <c r="AE1589" i="30"/>
  <c r="AG1589" i="30" s="1"/>
  <c r="AE1588" i="30"/>
  <c r="AG1588" i="30" s="1"/>
  <c r="AE1587" i="30"/>
  <c r="AG1587" i="30" s="1"/>
  <c r="AE1586" i="30"/>
  <c r="AG1586" i="30" s="1"/>
  <c r="AE1585" i="30"/>
  <c r="AG1585" i="30" s="1"/>
  <c r="AE1584" i="30"/>
  <c r="AG1584" i="30" s="1"/>
  <c r="AE1583" i="30"/>
  <c r="AG1583" i="30" s="1"/>
  <c r="AE1582" i="30"/>
  <c r="AG1582" i="30" s="1"/>
  <c r="AE1581" i="30"/>
  <c r="AG1581" i="30" s="1"/>
  <c r="AE1580" i="30"/>
  <c r="AG1580" i="30" s="1"/>
  <c r="AE1579" i="30"/>
  <c r="AG1579" i="30" s="1"/>
  <c r="AE1578" i="30"/>
  <c r="AG1578" i="30" s="1"/>
  <c r="AE1577" i="30"/>
  <c r="AG1577" i="30" s="1"/>
  <c r="AE1576" i="30"/>
  <c r="AG1576" i="30" s="1"/>
  <c r="AE1575" i="30"/>
  <c r="AG1575" i="30" s="1"/>
  <c r="AE1574" i="30"/>
  <c r="AG1574" i="30" s="1"/>
  <c r="AE1573" i="30"/>
  <c r="AG1573" i="30" s="1"/>
  <c r="AE1572" i="30"/>
  <c r="AG1572" i="30" s="1"/>
  <c r="AE1571" i="30"/>
  <c r="AG1571" i="30" s="1"/>
  <c r="AE1570" i="30"/>
  <c r="AG1570" i="30" s="1"/>
  <c r="AE1569" i="30"/>
  <c r="AG1569" i="30" s="1"/>
  <c r="AE1568" i="30"/>
  <c r="AG1568" i="30" s="1"/>
  <c r="AE1567" i="30"/>
  <c r="AG1567" i="30" s="1"/>
  <c r="AE1566" i="30"/>
  <c r="AG1566" i="30" s="1"/>
  <c r="AE1565" i="30"/>
  <c r="AG1565" i="30" s="1"/>
  <c r="AE1564" i="30"/>
  <c r="AG1564" i="30" s="1"/>
  <c r="AE1563" i="30"/>
  <c r="AG1563" i="30" s="1"/>
  <c r="AE1562" i="30"/>
  <c r="AG1562" i="30" s="1"/>
  <c r="AE1561" i="30"/>
  <c r="AG1561" i="30" s="1"/>
  <c r="AE1560" i="30"/>
  <c r="AG1560" i="30" s="1"/>
  <c r="AE1559" i="30"/>
  <c r="AG1559" i="30" s="1"/>
  <c r="AE1558" i="30"/>
  <c r="AG1558" i="30" s="1"/>
  <c r="AE1557" i="30"/>
  <c r="AG1557" i="30" s="1"/>
  <c r="AE1556" i="30"/>
  <c r="AG1556" i="30" s="1"/>
  <c r="AE1555" i="30"/>
  <c r="AG1555" i="30" s="1"/>
  <c r="AE1554" i="30"/>
  <c r="AG1554" i="30" s="1"/>
  <c r="AE1553" i="30"/>
  <c r="AG1553" i="30" s="1"/>
  <c r="AE1552" i="30"/>
  <c r="AG1552" i="30" s="1"/>
  <c r="AE1551" i="30"/>
  <c r="AG1551" i="30" s="1"/>
  <c r="AE1550" i="30"/>
  <c r="AG1550" i="30" s="1"/>
  <c r="AE1549" i="30"/>
  <c r="AG1549" i="30" s="1"/>
  <c r="AE1548" i="30"/>
  <c r="AG1548" i="30" s="1"/>
  <c r="AE1547" i="30"/>
  <c r="AG1547" i="30" s="1"/>
  <c r="AE1546" i="30"/>
  <c r="AG1546" i="30" s="1"/>
  <c r="AE1545" i="30"/>
  <c r="AG1545" i="30" s="1"/>
  <c r="AE1544" i="30"/>
  <c r="AG1544" i="30" s="1"/>
  <c r="AE1543" i="30"/>
  <c r="AG1543" i="30" s="1"/>
  <c r="AE1542" i="30"/>
  <c r="AG1542" i="30" s="1"/>
  <c r="AE1541" i="30"/>
  <c r="AG1541" i="30" s="1"/>
  <c r="AE1540" i="30"/>
  <c r="AG1540" i="30" s="1"/>
  <c r="AE1539" i="30"/>
  <c r="AG1539" i="30" s="1"/>
  <c r="AE1538" i="30"/>
  <c r="AG1538" i="30" s="1"/>
  <c r="AE1537" i="30"/>
  <c r="AG1537" i="30" s="1"/>
  <c r="AE1536" i="30"/>
  <c r="AG1536" i="30" s="1"/>
  <c r="AE1535" i="30"/>
  <c r="AG1535" i="30" s="1"/>
  <c r="AE1534" i="30"/>
  <c r="AG1534" i="30" s="1"/>
  <c r="AE1533" i="30"/>
  <c r="AG1533" i="30" s="1"/>
  <c r="AE1532" i="30"/>
  <c r="AG1532" i="30" s="1"/>
  <c r="AE1531" i="30"/>
  <c r="AG1531" i="30" s="1"/>
  <c r="AE1530" i="30"/>
  <c r="AG1530" i="30" s="1"/>
  <c r="AE1529" i="30"/>
  <c r="AG1529" i="30" s="1"/>
  <c r="AE1528" i="30"/>
  <c r="AG1528" i="30" s="1"/>
  <c r="AE1527" i="30"/>
  <c r="AG1527" i="30" s="1"/>
  <c r="AE1526" i="30"/>
  <c r="AG1526" i="30" s="1"/>
  <c r="AE1525" i="30"/>
  <c r="AG1525" i="30" s="1"/>
  <c r="AE1524" i="30"/>
  <c r="AG1524" i="30" s="1"/>
  <c r="AE1523" i="30"/>
  <c r="AG1523" i="30" s="1"/>
  <c r="AE1522" i="30"/>
  <c r="AG1522" i="30" s="1"/>
  <c r="AE1521" i="30"/>
  <c r="AG1521" i="30" s="1"/>
  <c r="AE1520" i="30"/>
  <c r="AG1520" i="30" s="1"/>
  <c r="AE1519" i="30"/>
  <c r="AG1519" i="30" s="1"/>
  <c r="AE1518" i="30"/>
  <c r="AG1518" i="30" s="1"/>
  <c r="AE1517" i="30"/>
  <c r="AG1517" i="30" s="1"/>
  <c r="AE1516" i="30"/>
  <c r="AG1516" i="30" s="1"/>
  <c r="AE1515" i="30"/>
  <c r="AG1515" i="30" s="1"/>
  <c r="AE1514" i="30"/>
  <c r="AG1514" i="30" s="1"/>
  <c r="AE1513" i="30"/>
  <c r="AG1513" i="30" s="1"/>
  <c r="AE1512" i="30"/>
  <c r="AG1512" i="30" s="1"/>
  <c r="AE1511" i="30"/>
  <c r="AG1511" i="30" s="1"/>
  <c r="AE1510" i="30"/>
  <c r="AG1510" i="30" s="1"/>
  <c r="AE1509" i="30"/>
  <c r="AG1509" i="30" s="1"/>
  <c r="AE1508" i="30"/>
  <c r="AG1508" i="30" s="1"/>
  <c r="AE1507" i="30"/>
  <c r="AG1507" i="30" s="1"/>
  <c r="AE1506" i="30"/>
  <c r="AG1506" i="30" s="1"/>
  <c r="AE1505" i="30"/>
  <c r="AG1505" i="30" s="1"/>
  <c r="AE1504" i="30"/>
  <c r="AG1504" i="30" s="1"/>
  <c r="AE1503" i="30"/>
  <c r="AG1503" i="30" s="1"/>
  <c r="AE1502" i="30"/>
  <c r="AG1502" i="30" s="1"/>
  <c r="AE1501" i="30"/>
  <c r="AG1501" i="30" s="1"/>
  <c r="AE1500" i="30"/>
  <c r="AG1500" i="30" s="1"/>
  <c r="AE1499" i="30"/>
  <c r="AG1499" i="30" s="1"/>
  <c r="AE1498" i="30"/>
  <c r="AG1498" i="30" s="1"/>
  <c r="AE1497" i="30"/>
  <c r="AG1497" i="30" s="1"/>
  <c r="AE1496" i="30"/>
  <c r="AG1496" i="30" s="1"/>
  <c r="AE1495" i="30"/>
  <c r="AG1495" i="30" s="1"/>
  <c r="AE1494" i="30"/>
  <c r="AG1494" i="30" s="1"/>
  <c r="AE1493" i="30"/>
  <c r="AG1493" i="30" s="1"/>
  <c r="AE1492" i="30"/>
  <c r="AG1492" i="30" s="1"/>
  <c r="AE1491" i="30"/>
  <c r="AG1491" i="30" s="1"/>
  <c r="AE1490" i="30"/>
  <c r="AG1490" i="30" s="1"/>
  <c r="AE1489" i="30"/>
  <c r="AG1489" i="30" s="1"/>
  <c r="AE1488" i="30"/>
  <c r="AG1488" i="30" s="1"/>
  <c r="AE1487" i="30"/>
  <c r="AG1487" i="30" s="1"/>
  <c r="AE1486" i="30"/>
  <c r="AG1486" i="30" s="1"/>
  <c r="AE1485" i="30"/>
  <c r="AG1485" i="30" s="1"/>
  <c r="AE1484" i="30"/>
  <c r="AG1484" i="30" s="1"/>
  <c r="AE1483" i="30"/>
  <c r="AG1483" i="30" s="1"/>
  <c r="AE1482" i="30"/>
  <c r="AG1482" i="30" s="1"/>
  <c r="AE1481" i="30"/>
  <c r="AG1481" i="30" s="1"/>
  <c r="AE1480" i="30"/>
  <c r="AG1480" i="30" s="1"/>
  <c r="AE1479" i="30"/>
  <c r="AG1479" i="30" s="1"/>
  <c r="AE1478" i="30"/>
  <c r="AG1478" i="30" s="1"/>
  <c r="AE1477" i="30"/>
  <c r="AG1477" i="30" s="1"/>
  <c r="AE1476" i="30"/>
  <c r="AG1476" i="30" s="1"/>
  <c r="AE1475" i="30"/>
  <c r="AG1475" i="30" s="1"/>
  <c r="AE1474" i="30"/>
  <c r="AG1474" i="30" s="1"/>
  <c r="AE1473" i="30"/>
  <c r="AG1473" i="30" s="1"/>
  <c r="AE1472" i="30"/>
  <c r="AG1472" i="30" s="1"/>
  <c r="AE1471" i="30"/>
  <c r="AG1471" i="30" s="1"/>
  <c r="AE1470" i="30"/>
  <c r="AG1470" i="30" s="1"/>
  <c r="AE1469" i="30"/>
  <c r="AG1469" i="30" s="1"/>
  <c r="AE1468" i="30"/>
  <c r="AG1468" i="30" s="1"/>
  <c r="AE1467" i="30"/>
  <c r="AG1467" i="30" s="1"/>
  <c r="AE1466" i="30"/>
  <c r="AG1466" i="30" s="1"/>
  <c r="AE1465" i="30"/>
  <c r="AG1465" i="30" s="1"/>
  <c r="AE1464" i="30"/>
  <c r="AG1464" i="30" s="1"/>
  <c r="AE1463" i="30"/>
  <c r="AG1463" i="30" s="1"/>
  <c r="AE1462" i="30"/>
  <c r="AG1462" i="30" s="1"/>
  <c r="AE1461" i="30"/>
  <c r="AG1461" i="30" s="1"/>
  <c r="AE1460" i="30"/>
  <c r="AG1460" i="30" s="1"/>
  <c r="AE1459" i="30"/>
  <c r="AG1459" i="30" s="1"/>
  <c r="AE1458" i="30"/>
  <c r="AG1458" i="30" s="1"/>
  <c r="AE1457" i="30"/>
  <c r="AG1457" i="30" s="1"/>
  <c r="AE1456" i="30"/>
  <c r="AG1456" i="30" s="1"/>
  <c r="AE1455" i="30"/>
  <c r="AG1455" i="30" s="1"/>
  <c r="AE1454" i="30"/>
  <c r="AG1454" i="30" s="1"/>
  <c r="AE1453" i="30"/>
  <c r="AG1453" i="30" s="1"/>
  <c r="AE1452" i="30"/>
  <c r="AG1452" i="30" s="1"/>
  <c r="AE1451" i="30"/>
  <c r="AG1451" i="30" s="1"/>
  <c r="AE1450" i="30"/>
  <c r="AG1450" i="30" s="1"/>
  <c r="AE1449" i="30"/>
  <c r="AG1449" i="30" s="1"/>
  <c r="AE1448" i="30"/>
  <c r="AG1448" i="30" s="1"/>
  <c r="AE1447" i="30"/>
  <c r="AG1447" i="30" s="1"/>
  <c r="AE1446" i="30"/>
  <c r="AG1446" i="30" s="1"/>
  <c r="AE1445" i="30"/>
  <c r="AG1445" i="30" s="1"/>
  <c r="AE1444" i="30"/>
  <c r="AG1444" i="30" s="1"/>
  <c r="AE1443" i="30"/>
  <c r="AG1443" i="30" s="1"/>
  <c r="AE1442" i="30"/>
  <c r="AG1442" i="30" s="1"/>
  <c r="AE1441" i="30"/>
  <c r="AG1441" i="30" s="1"/>
  <c r="AE1440" i="30"/>
  <c r="AG1440" i="30" s="1"/>
  <c r="AE1439" i="30"/>
  <c r="AG1439" i="30" s="1"/>
  <c r="AE1438" i="30"/>
  <c r="AG1438" i="30" s="1"/>
  <c r="AE1437" i="30"/>
  <c r="AG1437" i="30" s="1"/>
  <c r="AE1436" i="30"/>
  <c r="AG1436" i="30" s="1"/>
  <c r="AE1435" i="30"/>
  <c r="AG1435" i="30" s="1"/>
  <c r="AE1434" i="30"/>
  <c r="AG1434" i="30" s="1"/>
  <c r="AE1433" i="30"/>
  <c r="AG1433" i="30" s="1"/>
  <c r="AE1432" i="30"/>
  <c r="AG1432" i="30" s="1"/>
  <c r="AE1431" i="30"/>
  <c r="AG1431" i="30" s="1"/>
  <c r="AE1430" i="30"/>
  <c r="AG1430" i="30" s="1"/>
  <c r="AE1429" i="30"/>
  <c r="AG1429" i="30" s="1"/>
  <c r="AE1428" i="30"/>
  <c r="AG1428" i="30" s="1"/>
  <c r="AE1427" i="30"/>
  <c r="AG1427" i="30" s="1"/>
  <c r="AE1426" i="30"/>
  <c r="AG1426" i="30" s="1"/>
  <c r="AE1425" i="30"/>
  <c r="AG1425" i="30" s="1"/>
  <c r="AE1424" i="30"/>
  <c r="AG1424" i="30" s="1"/>
  <c r="AE1423" i="30"/>
  <c r="AG1423" i="30" s="1"/>
  <c r="AE1422" i="30"/>
  <c r="AG1422" i="30" s="1"/>
  <c r="AE1421" i="30"/>
  <c r="AG1421" i="30" s="1"/>
  <c r="AE1420" i="30"/>
  <c r="AG1420" i="30" s="1"/>
  <c r="AE1419" i="30"/>
  <c r="AG1419" i="30" s="1"/>
  <c r="AE1418" i="30"/>
  <c r="AG1418" i="30" s="1"/>
  <c r="AE1417" i="30"/>
  <c r="AG1417" i="30" s="1"/>
  <c r="AE1416" i="30"/>
  <c r="AG1416" i="30" s="1"/>
  <c r="AE1415" i="30"/>
  <c r="AG1415" i="30" s="1"/>
  <c r="AE1414" i="30"/>
  <c r="AG1414" i="30" s="1"/>
  <c r="AE1413" i="30"/>
  <c r="AG1413" i="30" s="1"/>
  <c r="AE1412" i="30"/>
  <c r="AG1412" i="30" s="1"/>
  <c r="AE1411" i="30"/>
  <c r="AG1411" i="30" s="1"/>
  <c r="AE1410" i="30"/>
  <c r="AG1410" i="30" s="1"/>
  <c r="AE1409" i="30"/>
  <c r="AG1409" i="30" s="1"/>
  <c r="AE1408" i="30"/>
  <c r="AG1408" i="30" s="1"/>
  <c r="AE1407" i="30"/>
  <c r="AG1407" i="30" s="1"/>
  <c r="AE1406" i="30"/>
  <c r="AG1406" i="30" s="1"/>
  <c r="AE1405" i="30"/>
  <c r="AG1405" i="30" s="1"/>
  <c r="AE1404" i="30"/>
  <c r="AG1404" i="30" s="1"/>
  <c r="AE1403" i="30"/>
  <c r="AG1403" i="30" s="1"/>
  <c r="AE1402" i="30"/>
  <c r="AG1402" i="30" s="1"/>
  <c r="AE1401" i="30"/>
  <c r="AG1401" i="30" s="1"/>
  <c r="AE1400" i="30"/>
  <c r="AG1400" i="30" s="1"/>
  <c r="AE1399" i="30"/>
  <c r="AG1399" i="30" s="1"/>
  <c r="AE1398" i="30"/>
  <c r="AG1398" i="30" s="1"/>
  <c r="AE1397" i="30"/>
  <c r="AG1397" i="30" s="1"/>
  <c r="AE1396" i="30"/>
  <c r="AG1396" i="30" s="1"/>
  <c r="AE1395" i="30"/>
  <c r="AG1395" i="30" s="1"/>
  <c r="AE1394" i="30"/>
  <c r="AG1394" i="30" s="1"/>
  <c r="AE1393" i="30"/>
  <c r="AG1393" i="30" s="1"/>
  <c r="AE1392" i="30"/>
  <c r="AG1392" i="30" s="1"/>
  <c r="AE1391" i="30"/>
  <c r="AG1391" i="30" s="1"/>
  <c r="AE1390" i="30"/>
  <c r="AG1390" i="30" s="1"/>
  <c r="AE1389" i="30"/>
  <c r="AG1389" i="30" s="1"/>
  <c r="AE1388" i="30"/>
  <c r="AG1388" i="30" s="1"/>
  <c r="AE1387" i="30"/>
  <c r="AG1387" i="30" s="1"/>
  <c r="AE1386" i="30"/>
  <c r="AG1386" i="30" s="1"/>
  <c r="AE1385" i="30"/>
  <c r="AG1385" i="30" s="1"/>
  <c r="AE1384" i="30"/>
  <c r="AG1384" i="30" s="1"/>
  <c r="AE1383" i="30"/>
  <c r="AG1383" i="30" s="1"/>
  <c r="AE1382" i="30"/>
  <c r="AG1382" i="30" s="1"/>
  <c r="AE1381" i="30"/>
  <c r="AG1381" i="30" s="1"/>
  <c r="AE1380" i="30"/>
  <c r="AG1380" i="30" s="1"/>
  <c r="AE1379" i="30"/>
  <c r="AG1379" i="30" s="1"/>
  <c r="AE1378" i="30"/>
  <c r="AG1378" i="30" s="1"/>
  <c r="AE1377" i="30"/>
  <c r="AG1377" i="30" s="1"/>
  <c r="AE1376" i="30"/>
  <c r="AG1376" i="30" s="1"/>
  <c r="AE1375" i="30"/>
  <c r="AG1375" i="30" s="1"/>
  <c r="AE1374" i="30"/>
  <c r="AG1374" i="30" s="1"/>
  <c r="AE1373" i="30"/>
  <c r="AG1373" i="30" s="1"/>
  <c r="AE1372" i="30"/>
  <c r="AG1372" i="30" s="1"/>
  <c r="AE1371" i="30"/>
  <c r="AG1371" i="30" s="1"/>
  <c r="AE1370" i="30"/>
  <c r="AG1370" i="30" s="1"/>
  <c r="AE1369" i="30"/>
  <c r="AG1369" i="30" s="1"/>
  <c r="AE1368" i="30"/>
  <c r="AG1368" i="30" s="1"/>
  <c r="AE1367" i="30"/>
  <c r="AG1367" i="30" s="1"/>
  <c r="AE1366" i="30"/>
  <c r="AG1366" i="30" s="1"/>
  <c r="AE1365" i="30"/>
  <c r="AG1365" i="30" s="1"/>
  <c r="AE1364" i="30"/>
  <c r="AG1364" i="30" s="1"/>
  <c r="AE1363" i="30"/>
  <c r="AG1363" i="30" s="1"/>
  <c r="AE1362" i="30"/>
  <c r="AG1362" i="30" s="1"/>
  <c r="AE1361" i="30"/>
  <c r="AG1361" i="30" s="1"/>
  <c r="AE1360" i="30"/>
  <c r="AG1360" i="30" s="1"/>
  <c r="AE1359" i="30"/>
  <c r="AG1359" i="30" s="1"/>
  <c r="AE1358" i="30"/>
  <c r="AG1358" i="30" s="1"/>
  <c r="AE1357" i="30"/>
  <c r="AG1357" i="30" s="1"/>
  <c r="AE1356" i="30"/>
  <c r="AG1356" i="30" s="1"/>
  <c r="AE1355" i="30"/>
  <c r="AG1355" i="30" s="1"/>
  <c r="AE1354" i="30"/>
  <c r="AG1354" i="30" s="1"/>
  <c r="AE1353" i="30"/>
  <c r="AG1353" i="30" s="1"/>
  <c r="AE1352" i="30"/>
  <c r="AG1352" i="30" s="1"/>
  <c r="AE1351" i="30"/>
  <c r="AG1351" i="30" s="1"/>
  <c r="AE1350" i="30"/>
  <c r="AG1350" i="30" s="1"/>
  <c r="AE1349" i="30"/>
  <c r="AG1349" i="30" s="1"/>
  <c r="AE1348" i="30"/>
  <c r="AG1348" i="30" s="1"/>
  <c r="AE1347" i="30"/>
  <c r="AG1347" i="30" s="1"/>
  <c r="AE1346" i="30"/>
  <c r="AG1346" i="30" s="1"/>
  <c r="AE1345" i="30"/>
  <c r="AG1345" i="30" s="1"/>
  <c r="AE1344" i="30"/>
  <c r="AG1344" i="30" s="1"/>
  <c r="AE1343" i="30"/>
  <c r="AG1343" i="30" s="1"/>
  <c r="AE1342" i="30"/>
  <c r="AG1342" i="30" s="1"/>
  <c r="AE1341" i="30"/>
  <c r="AG1341" i="30" s="1"/>
  <c r="AE1340" i="30"/>
  <c r="AG1340" i="30" s="1"/>
  <c r="AE1339" i="30"/>
  <c r="AG1339" i="30" s="1"/>
  <c r="AE1338" i="30"/>
  <c r="AG1338" i="30" s="1"/>
  <c r="AE1337" i="30"/>
  <c r="AG1337" i="30" s="1"/>
  <c r="AE1336" i="30"/>
  <c r="AG1336" i="30" s="1"/>
  <c r="AE1335" i="30"/>
  <c r="AG1335" i="30" s="1"/>
  <c r="AE1334" i="30"/>
  <c r="AG1334" i="30" s="1"/>
  <c r="AE1333" i="30"/>
  <c r="AG1333" i="30" s="1"/>
  <c r="AE1332" i="30"/>
  <c r="AG1332" i="30" s="1"/>
  <c r="AE1331" i="30"/>
  <c r="AG1331" i="30" s="1"/>
  <c r="AE1330" i="30"/>
  <c r="AG1330" i="30" s="1"/>
  <c r="AE1329" i="30"/>
  <c r="AG1329" i="30" s="1"/>
  <c r="AE1328" i="30"/>
  <c r="AG1328" i="30" s="1"/>
  <c r="AE1327" i="30"/>
  <c r="AG1327" i="30" s="1"/>
  <c r="AE1326" i="30"/>
  <c r="AG1326" i="30" s="1"/>
  <c r="AE1325" i="30"/>
  <c r="AG1325" i="30" s="1"/>
  <c r="AE1324" i="30"/>
  <c r="AG1324" i="30" s="1"/>
  <c r="AE1323" i="30"/>
  <c r="AG1323" i="30" s="1"/>
  <c r="AE1322" i="30"/>
  <c r="AG1322" i="30" s="1"/>
  <c r="AE1321" i="30"/>
  <c r="AG1321" i="30" s="1"/>
  <c r="AE1320" i="30"/>
  <c r="AG1320" i="30" s="1"/>
  <c r="AE1319" i="30"/>
  <c r="AG1319" i="30" s="1"/>
  <c r="AE1318" i="30"/>
  <c r="AG1318" i="30" s="1"/>
  <c r="AE1317" i="30"/>
  <c r="AG1317" i="30" s="1"/>
  <c r="AE1316" i="30"/>
  <c r="AG1316" i="30" s="1"/>
  <c r="AE1315" i="30"/>
  <c r="AG1315" i="30" s="1"/>
  <c r="AE1314" i="30"/>
  <c r="AG1314" i="30" s="1"/>
  <c r="AE1313" i="30"/>
  <c r="AG1313" i="30" s="1"/>
  <c r="AE1312" i="30"/>
  <c r="AG1312" i="30" s="1"/>
  <c r="AE1311" i="30"/>
  <c r="AG1311" i="30" s="1"/>
  <c r="AE1310" i="30"/>
  <c r="AG1310" i="30" s="1"/>
  <c r="AE1309" i="30"/>
  <c r="AG1309" i="30" s="1"/>
  <c r="AE1308" i="30"/>
  <c r="AG1308" i="30" s="1"/>
  <c r="AE1307" i="30"/>
  <c r="AG1307" i="30" s="1"/>
  <c r="AE1306" i="30"/>
  <c r="AG1306" i="30" s="1"/>
  <c r="AE1305" i="30"/>
  <c r="AG1305" i="30" s="1"/>
  <c r="AE1304" i="30"/>
  <c r="AG1304" i="30" s="1"/>
  <c r="AE1303" i="30"/>
  <c r="AG1303" i="30" s="1"/>
  <c r="AE1302" i="30"/>
  <c r="AG1302" i="30" s="1"/>
  <c r="AE1301" i="30"/>
  <c r="AG1301" i="30" s="1"/>
  <c r="AE1300" i="30"/>
  <c r="AG1300" i="30" s="1"/>
  <c r="AE1299" i="30"/>
  <c r="AG1299" i="30" s="1"/>
  <c r="AE1298" i="30"/>
  <c r="AG1298" i="30" s="1"/>
  <c r="AE1297" i="30"/>
  <c r="AG1297" i="30" s="1"/>
  <c r="AE1296" i="30"/>
  <c r="AG1296" i="30" s="1"/>
  <c r="AE1295" i="30"/>
  <c r="AG1295" i="30" s="1"/>
  <c r="AE1294" i="30"/>
  <c r="AG1294" i="30" s="1"/>
  <c r="AE1293" i="30"/>
  <c r="AG1293" i="30" s="1"/>
  <c r="AE1292" i="30"/>
  <c r="AG1292" i="30" s="1"/>
  <c r="AE1291" i="30"/>
  <c r="AG1291" i="30" s="1"/>
  <c r="AE1290" i="30"/>
  <c r="AG1290" i="30" s="1"/>
  <c r="AE1289" i="30"/>
  <c r="AG1289" i="30" s="1"/>
  <c r="AE1288" i="30"/>
  <c r="AG1288" i="30" s="1"/>
  <c r="AE1287" i="30"/>
  <c r="AG1287" i="30" s="1"/>
  <c r="AE1286" i="30"/>
  <c r="AG1286" i="30" s="1"/>
  <c r="AE1285" i="30"/>
  <c r="AG1285" i="30" s="1"/>
  <c r="AE1284" i="30"/>
  <c r="AG1284" i="30" s="1"/>
  <c r="AE1283" i="30"/>
  <c r="AG1283" i="30" s="1"/>
  <c r="AE1282" i="30"/>
  <c r="AG1282" i="30" s="1"/>
  <c r="AE1281" i="30"/>
  <c r="AG1281" i="30" s="1"/>
  <c r="AE1280" i="30"/>
  <c r="AG1280" i="30" s="1"/>
  <c r="AE1279" i="30"/>
  <c r="AG1279" i="30" s="1"/>
  <c r="AE1278" i="30"/>
  <c r="AG1278" i="30" s="1"/>
  <c r="AE1277" i="30"/>
  <c r="AG1277" i="30" s="1"/>
  <c r="AE1276" i="30"/>
  <c r="AG1276" i="30" s="1"/>
  <c r="AE1275" i="30"/>
  <c r="AG1275" i="30" s="1"/>
  <c r="AE1274" i="30"/>
  <c r="AG1274" i="30" s="1"/>
  <c r="AE1273" i="30"/>
  <c r="AG1273" i="30" s="1"/>
  <c r="AE1272" i="30"/>
  <c r="AG1272" i="30" s="1"/>
  <c r="AE1271" i="30"/>
  <c r="AG1271" i="30" s="1"/>
  <c r="AE1270" i="30"/>
  <c r="AG1270" i="30" s="1"/>
  <c r="AE1269" i="30"/>
  <c r="AG1269" i="30" s="1"/>
  <c r="AE1268" i="30"/>
  <c r="AG1268" i="30" s="1"/>
  <c r="AE1267" i="30"/>
  <c r="AG1267" i="30" s="1"/>
  <c r="AE1266" i="30"/>
  <c r="AG1266" i="30" s="1"/>
  <c r="AE1265" i="30"/>
  <c r="AG1265" i="30" s="1"/>
  <c r="AE1264" i="30"/>
  <c r="AG1264" i="30" s="1"/>
  <c r="AE1263" i="30"/>
  <c r="AG1263" i="30" s="1"/>
  <c r="AE1262" i="30"/>
  <c r="AG1262" i="30" s="1"/>
  <c r="AE1261" i="30"/>
  <c r="AG1261" i="30" s="1"/>
  <c r="AE1260" i="30"/>
  <c r="AG1260" i="30" s="1"/>
  <c r="AE1259" i="30"/>
  <c r="AG1259" i="30" s="1"/>
  <c r="AE1258" i="30"/>
  <c r="AG1258" i="30" s="1"/>
  <c r="AE1257" i="30"/>
  <c r="AG1257" i="30" s="1"/>
  <c r="AE1256" i="30"/>
  <c r="AG1256" i="30" s="1"/>
  <c r="AE1255" i="30"/>
  <c r="AG1255" i="30" s="1"/>
  <c r="AE1254" i="30"/>
  <c r="AG1254" i="30" s="1"/>
  <c r="AE1253" i="30"/>
  <c r="AG1253" i="30" s="1"/>
  <c r="AE1252" i="30"/>
  <c r="AG1252" i="30" s="1"/>
  <c r="AE1251" i="30"/>
  <c r="AG1251" i="30" s="1"/>
  <c r="AE1250" i="30"/>
  <c r="AG1250" i="30" s="1"/>
  <c r="AE1249" i="30"/>
  <c r="AG1249" i="30" s="1"/>
  <c r="AE1248" i="30"/>
  <c r="AG1248" i="30" s="1"/>
  <c r="AE1247" i="30"/>
  <c r="AG1247" i="30" s="1"/>
  <c r="AE1246" i="30"/>
  <c r="AG1246" i="30" s="1"/>
  <c r="AE1245" i="30"/>
  <c r="AG1245" i="30" s="1"/>
  <c r="AE1244" i="30"/>
  <c r="AG1244" i="30" s="1"/>
  <c r="AE1243" i="30"/>
  <c r="AG1243" i="30" s="1"/>
  <c r="AE1242" i="30"/>
  <c r="AG1242" i="30" s="1"/>
  <c r="AE1241" i="30"/>
  <c r="AG1241" i="30" s="1"/>
  <c r="AE1240" i="30"/>
  <c r="AG1240" i="30" s="1"/>
  <c r="AE1239" i="30"/>
  <c r="AG1239" i="30" s="1"/>
  <c r="AE1238" i="30"/>
  <c r="AG1238" i="30" s="1"/>
  <c r="AE1237" i="30"/>
  <c r="AG1237" i="30" s="1"/>
  <c r="AE1236" i="30"/>
  <c r="AG1236" i="30" s="1"/>
  <c r="AE1235" i="30"/>
  <c r="AG1235" i="30" s="1"/>
  <c r="AE1234" i="30"/>
  <c r="AG1234" i="30" s="1"/>
  <c r="AE1233" i="30"/>
  <c r="AG1233" i="30" s="1"/>
  <c r="AE1232" i="30"/>
  <c r="AG1232" i="30" s="1"/>
  <c r="AE1231" i="30"/>
  <c r="AG1231" i="30" s="1"/>
  <c r="AE1230" i="30"/>
  <c r="AG1230" i="30" s="1"/>
  <c r="AE1229" i="30"/>
  <c r="AG1229" i="30" s="1"/>
  <c r="AE1228" i="30"/>
  <c r="AG1228" i="30" s="1"/>
  <c r="AE1227" i="30"/>
  <c r="AG1227" i="30" s="1"/>
  <c r="AE1226" i="30"/>
  <c r="AG1226" i="30" s="1"/>
  <c r="AE1225" i="30"/>
  <c r="AG1225" i="30" s="1"/>
  <c r="AE1224" i="30"/>
  <c r="AG1224" i="30" s="1"/>
  <c r="AE1223" i="30"/>
  <c r="AG1223" i="30" s="1"/>
  <c r="AE1222" i="30"/>
  <c r="AG1222" i="30" s="1"/>
  <c r="AE1221" i="30"/>
  <c r="AG1221" i="30" s="1"/>
  <c r="AE1220" i="30"/>
  <c r="AG1220" i="30" s="1"/>
  <c r="AE1219" i="30"/>
  <c r="AG1219" i="30" s="1"/>
  <c r="AE1218" i="30"/>
  <c r="AG1218" i="30" s="1"/>
  <c r="AE1217" i="30"/>
  <c r="AG1217" i="30" s="1"/>
  <c r="AE1216" i="30"/>
  <c r="AG1216" i="30" s="1"/>
  <c r="AE1215" i="30"/>
  <c r="AG1215" i="30" s="1"/>
  <c r="AE1214" i="30"/>
  <c r="AG1214" i="30" s="1"/>
  <c r="AE1213" i="30"/>
  <c r="AG1213" i="30" s="1"/>
  <c r="AE1212" i="30"/>
  <c r="AG1212" i="30" s="1"/>
  <c r="AE1211" i="30"/>
  <c r="AG1211" i="30" s="1"/>
  <c r="AE1210" i="30"/>
  <c r="AG1210" i="30" s="1"/>
  <c r="AE1209" i="30"/>
  <c r="AG1209" i="30" s="1"/>
  <c r="AE1208" i="30"/>
  <c r="AG1208" i="30" s="1"/>
  <c r="AE1207" i="30"/>
  <c r="AG1207" i="30" s="1"/>
  <c r="AE1206" i="30"/>
  <c r="AG1206" i="30" s="1"/>
  <c r="AE1205" i="30"/>
  <c r="AG1205" i="30" s="1"/>
  <c r="AE1204" i="30"/>
  <c r="AG1204" i="30" s="1"/>
  <c r="AE1203" i="30"/>
  <c r="AG1203" i="30" s="1"/>
  <c r="AE1202" i="30"/>
  <c r="AG1202" i="30" s="1"/>
  <c r="AE1201" i="30"/>
  <c r="AG1201" i="30" s="1"/>
  <c r="AE1200" i="30"/>
  <c r="AG1200" i="30" s="1"/>
  <c r="AE1199" i="30"/>
  <c r="AG1199" i="30" s="1"/>
  <c r="AE1198" i="30"/>
  <c r="AG1198" i="30" s="1"/>
  <c r="AE1197" i="30"/>
  <c r="AG1197" i="30" s="1"/>
  <c r="AE1196" i="30"/>
  <c r="AG1196" i="30" s="1"/>
  <c r="AE1195" i="30"/>
  <c r="AG1195" i="30" s="1"/>
  <c r="AE1194" i="30"/>
  <c r="AG1194" i="30" s="1"/>
  <c r="AE1193" i="30"/>
  <c r="AG1193" i="30" s="1"/>
  <c r="AE1192" i="30"/>
  <c r="AG1192" i="30" s="1"/>
  <c r="AE1191" i="30"/>
  <c r="AG1191" i="30" s="1"/>
  <c r="AE1190" i="30"/>
  <c r="AG1190" i="30" s="1"/>
  <c r="AE1189" i="30"/>
  <c r="AG1189" i="30" s="1"/>
  <c r="AE1188" i="30"/>
  <c r="AG1188" i="30" s="1"/>
  <c r="AE1187" i="30"/>
  <c r="AG1187" i="30" s="1"/>
  <c r="AE1186" i="30"/>
  <c r="AG1186" i="30" s="1"/>
  <c r="AE1185" i="30"/>
  <c r="AG1185" i="30" s="1"/>
  <c r="AE1184" i="30"/>
  <c r="AG1184" i="30" s="1"/>
  <c r="AE1183" i="30"/>
  <c r="AG1183" i="30" s="1"/>
  <c r="AE1182" i="30"/>
  <c r="AG1182" i="30" s="1"/>
  <c r="AE1181" i="30"/>
  <c r="AG1181" i="30" s="1"/>
  <c r="AE1180" i="30"/>
  <c r="AG1180" i="30" s="1"/>
  <c r="AE1179" i="30"/>
  <c r="AG1179" i="30" s="1"/>
  <c r="AE1178" i="30"/>
  <c r="AG1178" i="30" s="1"/>
  <c r="AE1177" i="30"/>
  <c r="AG1177" i="30" s="1"/>
  <c r="AE1176" i="30"/>
  <c r="AG1176" i="30" s="1"/>
  <c r="AE1175" i="30"/>
  <c r="AG1175" i="30" s="1"/>
  <c r="AE1174" i="30"/>
  <c r="AG1174" i="30" s="1"/>
  <c r="AE1173" i="30"/>
  <c r="AG1173" i="30" s="1"/>
  <c r="AE1172" i="30"/>
  <c r="AG1172" i="30" s="1"/>
  <c r="AE1171" i="30"/>
  <c r="AG1171" i="30" s="1"/>
  <c r="AE1170" i="30"/>
  <c r="AG1170" i="30" s="1"/>
  <c r="AE1169" i="30"/>
  <c r="AG1169" i="30" s="1"/>
  <c r="AE1168" i="30"/>
  <c r="AG1168" i="30" s="1"/>
  <c r="AE1167" i="30"/>
  <c r="AG1167" i="30" s="1"/>
  <c r="AE1166" i="30"/>
  <c r="AG1166" i="30" s="1"/>
  <c r="AE1165" i="30"/>
  <c r="AG1165" i="30" s="1"/>
  <c r="AE1164" i="30"/>
  <c r="AG1164" i="30" s="1"/>
  <c r="AE1163" i="30"/>
  <c r="AG1163" i="30" s="1"/>
  <c r="AE1162" i="30"/>
  <c r="AG1162" i="30" s="1"/>
  <c r="AE1161" i="30"/>
  <c r="AG1161" i="30" s="1"/>
  <c r="AE1160" i="30"/>
  <c r="AG1160" i="30" s="1"/>
  <c r="AE1159" i="30"/>
  <c r="AG1159" i="30" s="1"/>
  <c r="AE1158" i="30"/>
  <c r="AG1158" i="30" s="1"/>
  <c r="AE1157" i="30"/>
  <c r="AG1157" i="30" s="1"/>
  <c r="AE1156" i="30"/>
  <c r="AG1156" i="30" s="1"/>
  <c r="AE1155" i="30"/>
  <c r="AG1155" i="30" s="1"/>
  <c r="AE1154" i="30"/>
  <c r="AG1154" i="30" s="1"/>
  <c r="AE1153" i="30"/>
  <c r="AG1153" i="30" s="1"/>
  <c r="AE1152" i="30"/>
  <c r="AG1152" i="30" s="1"/>
  <c r="AE1151" i="30"/>
  <c r="AG1151" i="30" s="1"/>
  <c r="AE1150" i="30"/>
  <c r="AG1150" i="30" s="1"/>
  <c r="AE1149" i="30"/>
  <c r="AG1149" i="30" s="1"/>
  <c r="AE1148" i="30"/>
  <c r="AG1148" i="30" s="1"/>
  <c r="AE1147" i="30"/>
  <c r="AG1147" i="30" s="1"/>
  <c r="AE1146" i="30"/>
  <c r="AG1146" i="30" s="1"/>
  <c r="AE1145" i="30"/>
  <c r="AG1145" i="30" s="1"/>
  <c r="AE1144" i="30"/>
  <c r="AG1144" i="30" s="1"/>
  <c r="AE1143" i="30"/>
  <c r="AG1143" i="30" s="1"/>
  <c r="AE1142" i="30"/>
  <c r="AG1142" i="30" s="1"/>
  <c r="AE1141" i="30"/>
  <c r="AG1141" i="30" s="1"/>
  <c r="AE1140" i="30"/>
  <c r="AG1140" i="30" s="1"/>
  <c r="AE1139" i="30"/>
  <c r="AG1139" i="30" s="1"/>
  <c r="AE1138" i="30"/>
  <c r="AG1138" i="30" s="1"/>
  <c r="AE1137" i="30"/>
  <c r="AG1137" i="30" s="1"/>
  <c r="AE1136" i="30"/>
  <c r="AG1136" i="30" s="1"/>
  <c r="AE1135" i="30"/>
  <c r="AG1135" i="30" s="1"/>
  <c r="AE1134" i="30"/>
  <c r="AG1134" i="30" s="1"/>
  <c r="AE1133" i="30"/>
  <c r="AG1133" i="30" s="1"/>
  <c r="AE1132" i="30"/>
  <c r="AG1132" i="30" s="1"/>
  <c r="AE1131" i="30"/>
  <c r="AG1131" i="30" s="1"/>
  <c r="AE1130" i="30"/>
  <c r="AG1130" i="30" s="1"/>
  <c r="AE1129" i="30"/>
  <c r="AG1129" i="30" s="1"/>
  <c r="AE1128" i="30"/>
  <c r="AG1128" i="30" s="1"/>
  <c r="AE1127" i="30"/>
  <c r="AG1127" i="30" s="1"/>
  <c r="AE1126" i="30"/>
  <c r="AG1126" i="30" s="1"/>
  <c r="AE1125" i="30"/>
  <c r="AG1125" i="30" s="1"/>
  <c r="AE1124" i="30"/>
  <c r="AG1124" i="30" s="1"/>
  <c r="AE1123" i="30"/>
  <c r="AG1123" i="30" s="1"/>
  <c r="AE1122" i="30"/>
  <c r="AG1122" i="30" s="1"/>
  <c r="AE1121" i="30"/>
  <c r="AG1121" i="30" s="1"/>
  <c r="AE1120" i="30"/>
  <c r="AG1120" i="30" s="1"/>
  <c r="AE1119" i="30"/>
  <c r="AG1119" i="30" s="1"/>
  <c r="AE1118" i="30"/>
  <c r="AG1118" i="30" s="1"/>
  <c r="AE1117" i="30"/>
  <c r="AG1117" i="30" s="1"/>
  <c r="AE1116" i="30"/>
  <c r="AG1116" i="30" s="1"/>
  <c r="AE1115" i="30"/>
  <c r="AG1115" i="30" s="1"/>
  <c r="AE1114" i="30"/>
  <c r="AG1114" i="30" s="1"/>
  <c r="AE1113" i="30"/>
  <c r="AG1113" i="30" s="1"/>
  <c r="AE1112" i="30"/>
  <c r="AG1112" i="30" s="1"/>
  <c r="AE1111" i="30"/>
  <c r="AG1111" i="30" s="1"/>
  <c r="AE1110" i="30"/>
  <c r="AG1110" i="30" s="1"/>
  <c r="AE1109" i="30"/>
  <c r="AG1109" i="30" s="1"/>
  <c r="AE1108" i="30"/>
  <c r="AG1108" i="30" s="1"/>
  <c r="AE1107" i="30"/>
  <c r="AG1107" i="30" s="1"/>
  <c r="AE1106" i="30"/>
  <c r="AG1106" i="30" s="1"/>
  <c r="AE1105" i="30"/>
  <c r="AG1105" i="30" s="1"/>
  <c r="AE1104" i="30"/>
  <c r="AG1104" i="30" s="1"/>
  <c r="AE1103" i="30"/>
  <c r="AG1103" i="30" s="1"/>
  <c r="AE1102" i="30"/>
  <c r="AG1102" i="30" s="1"/>
  <c r="AE1101" i="30"/>
  <c r="AG1101" i="30" s="1"/>
  <c r="AE1100" i="30"/>
  <c r="AG1100" i="30" s="1"/>
  <c r="AE1099" i="30"/>
  <c r="AG1099" i="30" s="1"/>
  <c r="AE1098" i="30"/>
  <c r="AG1098" i="30" s="1"/>
  <c r="AE1097" i="30"/>
  <c r="AG1097" i="30" s="1"/>
  <c r="AE1096" i="30"/>
  <c r="AG1096" i="30" s="1"/>
  <c r="AE1095" i="30"/>
  <c r="AG1095" i="30" s="1"/>
  <c r="AE1094" i="30"/>
  <c r="AG1094" i="30" s="1"/>
  <c r="AE1093" i="30"/>
  <c r="AG1093" i="30" s="1"/>
  <c r="AE1092" i="30"/>
  <c r="AG1092" i="30" s="1"/>
  <c r="AE1091" i="30"/>
  <c r="AG1091" i="30" s="1"/>
  <c r="AE1090" i="30"/>
  <c r="AG1090" i="30" s="1"/>
  <c r="AE1089" i="30"/>
  <c r="AG1089" i="30" s="1"/>
  <c r="AE1088" i="30"/>
  <c r="AG1088" i="30" s="1"/>
  <c r="AE1087" i="30"/>
  <c r="AG1087" i="30" s="1"/>
  <c r="AE1086" i="30"/>
  <c r="AG1086" i="30" s="1"/>
  <c r="AE1085" i="30"/>
  <c r="AG1085" i="30" s="1"/>
  <c r="AE1084" i="30"/>
  <c r="AG1084" i="30" s="1"/>
  <c r="AE1083" i="30"/>
  <c r="AG1083" i="30" s="1"/>
  <c r="AE1082" i="30"/>
  <c r="AG1082" i="30" s="1"/>
  <c r="AE1081" i="30"/>
  <c r="AG1081" i="30" s="1"/>
  <c r="AE1080" i="30"/>
  <c r="AG1080" i="30" s="1"/>
  <c r="AE1079" i="30"/>
  <c r="AG1079" i="30" s="1"/>
  <c r="AE1078" i="30"/>
  <c r="AG1078" i="30" s="1"/>
  <c r="AE1077" i="30"/>
  <c r="AG1077" i="30" s="1"/>
  <c r="AE1076" i="30"/>
  <c r="AG1076" i="30" s="1"/>
  <c r="AE1075" i="30"/>
  <c r="AG1075" i="30" s="1"/>
  <c r="AE1074" i="30"/>
  <c r="AG1074" i="30" s="1"/>
  <c r="AE1073" i="30"/>
  <c r="AG1073" i="30" s="1"/>
  <c r="AE1072" i="30"/>
  <c r="AG1072" i="30" s="1"/>
  <c r="AE1071" i="30"/>
  <c r="AG1071" i="30" s="1"/>
  <c r="AE1070" i="30"/>
  <c r="AG1070" i="30" s="1"/>
  <c r="AE1069" i="30"/>
  <c r="AG1069" i="30" s="1"/>
  <c r="AE1068" i="30"/>
  <c r="AG1068" i="30" s="1"/>
  <c r="AE1067" i="30"/>
  <c r="AG1067" i="30" s="1"/>
  <c r="AE1066" i="30"/>
  <c r="AG1066" i="30" s="1"/>
  <c r="AE1065" i="30"/>
  <c r="AG1065" i="30" s="1"/>
  <c r="AE1064" i="30"/>
  <c r="AG1064" i="30" s="1"/>
  <c r="AE1063" i="30"/>
  <c r="AG1063" i="30" s="1"/>
  <c r="AE1062" i="30"/>
  <c r="AG1062" i="30" s="1"/>
  <c r="AE1061" i="30"/>
  <c r="AG1061" i="30" s="1"/>
  <c r="AE1060" i="30"/>
  <c r="AG1060" i="30" s="1"/>
  <c r="AE1059" i="30"/>
  <c r="AG1059" i="30" s="1"/>
  <c r="AE1058" i="30"/>
  <c r="AG1058" i="30" s="1"/>
  <c r="AE1057" i="30"/>
  <c r="AG1057" i="30" s="1"/>
  <c r="AE1056" i="30"/>
  <c r="AG1056" i="30" s="1"/>
  <c r="AE1055" i="30"/>
  <c r="AG1055" i="30" s="1"/>
  <c r="AE1054" i="30"/>
  <c r="AG1054" i="30" s="1"/>
  <c r="AE1053" i="30"/>
  <c r="AG1053" i="30" s="1"/>
  <c r="AE1052" i="30"/>
  <c r="AG1052" i="30" s="1"/>
  <c r="AE1051" i="30"/>
  <c r="AG1051" i="30" s="1"/>
  <c r="AE1050" i="30"/>
  <c r="AG1050" i="30" s="1"/>
  <c r="AE1049" i="30"/>
  <c r="AG1049" i="30" s="1"/>
  <c r="AE1048" i="30"/>
  <c r="AG1048" i="30" s="1"/>
  <c r="AE1047" i="30"/>
  <c r="AG1047" i="30" s="1"/>
  <c r="AE1046" i="30"/>
  <c r="AG1046" i="30" s="1"/>
  <c r="AE1045" i="30"/>
  <c r="AG1045" i="30" s="1"/>
  <c r="AE1044" i="30"/>
  <c r="AG1044" i="30" s="1"/>
  <c r="AE1043" i="30"/>
  <c r="AG1043" i="30" s="1"/>
  <c r="AE1042" i="30"/>
  <c r="AG1042" i="30" s="1"/>
  <c r="AE1041" i="30"/>
  <c r="AG1041" i="30" s="1"/>
  <c r="AE1040" i="30"/>
  <c r="AG1040" i="30" s="1"/>
  <c r="AE1039" i="30"/>
  <c r="AG1039" i="30" s="1"/>
  <c r="AE1038" i="30"/>
  <c r="AG1038" i="30" s="1"/>
  <c r="AE1037" i="30"/>
  <c r="AG1037" i="30" s="1"/>
  <c r="AE1036" i="30"/>
  <c r="AG1036" i="30" s="1"/>
  <c r="AE1035" i="30"/>
  <c r="AG1035" i="30" s="1"/>
  <c r="AE1034" i="30"/>
  <c r="AG1034" i="30" s="1"/>
  <c r="AE1033" i="30"/>
  <c r="AG1033" i="30" s="1"/>
  <c r="AE1032" i="30"/>
  <c r="AG1032" i="30" s="1"/>
  <c r="AE1031" i="30"/>
  <c r="AG1031" i="30" s="1"/>
  <c r="AE1030" i="30"/>
  <c r="AG1030" i="30" s="1"/>
  <c r="AE1029" i="30"/>
  <c r="AG1029" i="30" s="1"/>
  <c r="AE1028" i="30"/>
  <c r="AG1028" i="30" s="1"/>
  <c r="AE1027" i="30"/>
  <c r="AG1027" i="30" s="1"/>
  <c r="AE1026" i="30"/>
  <c r="AG1026" i="30" s="1"/>
  <c r="AE1025" i="30"/>
  <c r="AG1025" i="30" s="1"/>
  <c r="AE1024" i="30"/>
  <c r="AG1024" i="30" s="1"/>
  <c r="AE1023" i="30"/>
  <c r="AG1023" i="30" s="1"/>
  <c r="AE1022" i="30"/>
  <c r="AG1022" i="30" s="1"/>
  <c r="AE1021" i="30"/>
  <c r="AG1021" i="30" s="1"/>
  <c r="AE1020" i="30"/>
  <c r="AG1020" i="30" s="1"/>
  <c r="AE1019" i="30"/>
  <c r="AG1019" i="30" s="1"/>
  <c r="AE1018" i="30"/>
  <c r="AG1018" i="30" s="1"/>
  <c r="AE1017" i="30"/>
  <c r="AG1017" i="30" s="1"/>
  <c r="AE1016" i="30"/>
  <c r="AG1016" i="30" s="1"/>
  <c r="AE1015" i="30"/>
  <c r="AG1015" i="30" s="1"/>
  <c r="AE1014" i="30"/>
  <c r="AG1014" i="30" s="1"/>
  <c r="AE1013" i="30"/>
  <c r="AG1013" i="30" s="1"/>
  <c r="AE1012" i="30"/>
  <c r="AG1012" i="30" s="1"/>
  <c r="AE1011" i="30"/>
  <c r="AG1011" i="30" s="1"/>
  <c r="AE1010" i="30"/>
  <c r="AG1010" i="30" s="1"/>
  <c r="AE1009" i="30"/>
  <c r="AG1009" i="30" s="1"/>
  <c r="AE1008" i="30"/>
  <c r="AG1008" i="30" s="1"/>
  <c r="AE1007" i="30"/>
  <c r="AG1007" i="30" s="1"/>
  <c r="AE1006" i="30"/>
  <c r="AG1006" i="30" s="1"/>
  <c r="AE1005" i="30"/>
  <c r="AG1005" i="30" s="1"/>
  <c r="AE1004" i="30"/>
  <c r="AG1004" i="30" s="1"/>
  <c r="AE1003" i="30"/>
  <c r="AG1003" i="30" s="1"/>
  <c r="AE1002" i="30"/>
  <c r="AG1002" i="30" s="1"/>
  <c r="AE1001" i="30"/>
  <c r="AG1001" i="30" s="1"/>
  <c r="AE1000" i="30"/>
  <c r="AG1000" i="30" s="1"/>
  <c r="AE999" i="30"/>
  <c r="AG999" i="30" s="1"/>
  <c r="AE998" i="30"/>
  <c r="AG998" i="30" s="1"/>
  <c r="AE997" i="30"/>
  <c r="AG997" i="30" s="1"/>
  <c r="AE996" i="30"/>
  <c r="AG996" i="30" s="1"/>
  <c r="AE995" i="30"/>
  <c r="AG995" i="30" s="1"/>
  <c r="AE994" i="30"/>
  <c r="AG994" i="30" s="1"/>
  <c r="AE993" i="30"/>
  <c r="AG993" i="30" s="1"/>
  <c r="AE992" i="30"/>
  <c r="AG992" i="30" s="1"/>
  <c r="AE991" i="30"/>
  <c r="AG991" i="30" s="1"/>
  <c r="AE990" i="30"/>
  <c r="AG990" i="30" s="1"/>
  <c r="AE989" i="30"/>
  <c r="AG989" i="30" s="1"/>
  <c r="AE988" i="30"/>
  <c r="AG988" i="30" s="1"/>
  <c r="AE987" i="30"/>
  <c r="AG987" i="30" s="1"/>
  <c r="AE986" i="30"/>
  <c r="AG986" i="30" s="1"/>
  <c r="AE985" i="30"/>
  <c r="AG985" i="30" s="1"/>
  <c r="AE984" i="30"/>
  <c r="AG984" i="30" s="1"/>
  <c r="AE983" i="30"/>
  <c r="AG983" i="30" s="1"/>
  <c r="AE982" i="30"/>
  <c r="AG982" i="30" s="1"/>
  <c r="AE981" i="30"/>
  <c r="AG981" i="30" s="1"/>
  <c r="AE980" i="30"/>
  <c r="AG980" i="30" s="1"/>
  <c r="AE979" i="30"/>
  <c r="AG979" i="30" s="1"/>
  <c r="AE978" i="30"/>
  <c r="AG978" i="30" s="1"/>
  <c r="AE977" i="30"/>
  <c r="AG977" i="30" s="1"/>
  <c r="AE976" i="30"/>
  <c r="AG976" i="30" s="1"/>
  <c r="AE975" i="30"/>
  <c r="AG975" i="30" s="1"/>
  <c r="AE974" i="30"/>
  <c r="AG974" i="30" s="1"/>
  <c r="AE973" i="30"/>
  <c r="AG973" i="30" s="1"/>
  <c r="AE972" i="30"/>
  <c r="AG972" i="30" s="1"/>
  <c r="AE971" i="30"/>
  <c r="AG971" i="30" s="1"/>
  <c r="AE970" i="30"/>
  <c r="AG970" i="30" s="1"/>
  <c r="AE969" i="30"/>
  <c r="AG969" i="30" s="1"/>
  <c r="AE968" i="30"/>
  <c r="AG968" i="30" s="1"/>
  <c r="AE967" i="30"/>
  <c r="AG967" i="30" s="1"/>
  <c r="AE966" i="30"/>
  <c r="AG966" i="30" s="1"/>
  <c r="AE965" i="30"/>
  <c r="AG965" i="30" s="1"/>
  <c r="AE964" i="30"/>
  <c r="AG964" i="30" s="1"/>
  <c r="AE963" i="30"/>
  <c r="AG963" i="30" s="1"/>
  <c r="AE962" i="30"/>
  <c r="AG962" i="30" s="1"/>
  <c r="AE961" i="30"/>
  <c r="AG961" i="30" s="1"/>
  <c r="AE960" i="30"/>
  <c r="AG960" i="30" s="1"/>
  <c r="AE959" i="30"/>
  <c r="AG959" i="30" s="1"/>
  <c r="AE958" i="30"/>
  <c r="AG958" i="30" s="1"/>
  <c r="AE957" i="30"/>
  <c r="AG957" i="30" s="1"/>
  <c r="AE956" i="30"/>
  <c r="AG956" i="30" s="1"/>
  <c r="AE955" i="30"/>
  <c r="AG955" i="30" s="1"/>
  <c r="AE954" i="30"/>
  <c r="AG954" i="30" s="1"/>
  <c r="AE953" i="30"/>
  <c r="AG953" i="30" s="1"/>
  <c r="AE952" i="30"/>
  <c r="AG952" i="30" s="1"/>
  <c r="AE951" i="30"/>
  <c r="AG951" i="30" s="1"/>
  <c r="AE950" i="30"/>
  <c r="AG950" i="30" s="1"/>
  <c r="AE949" i="30"/>
  <c r="AG949" i="30" s="1"/>
  <c r="AE948" i="30"/>
  <c r="AG948" i="30" s="1"/>
  <c r="AE947" i="30"/>
  <c r="AG947" i="30" s="1"/>
  <c r="AE946" i="30"/>
  <c r="AG946" i="30" s="1"/>
  <c r="AE945" i="30"/>
  <c r="AG945" i="30" s="1"/>
  <c r="AE944" i="30"/>
  <c r="AG944" i="30" s="1"/>
  <c r="AE943" i="30"/>
  <c r="AG943" i="30" s="1"/>
  <c r="AE942" i="30"/>
  <c r="AG942" i="30" s="1"/>
  <c r="AE941" i="30"/>
  <c r="AG941" i="30" s="1"/>
  <c r="AE940" i="30"/>
  <c r="AG940" i="30" s="1"/>
  <c r="AE939" i="30"/>
  <c r="AG939" i="30" s="1"/>
  <c r="AE938" i="30"/>
  <c r="AG938" i="30" s="1"/>
  <c r="AE937" i="30"/>
  <c r="AG937" i="30" s="1"/>
  <c r="AE936" i="30"/>
  <c r="AG936" i="30" s="1"/>
  <c r="AE935" i="30"/>
  <c r="AG935" i="30" s="1"/>
  <c r="AE934" i="30"/>
  <c r="AG934" i="30" s="1"/>
  <c r="AE933" i="30"/>
  <c r="AG933" i="30" s="1"/>
  <c r="AE932" i="30"/>
  <c r="AG932" i="30" s="1"/>
  <c r="AE931" i="30"/>
  <c r="AG931" i="30" s="1"/>
  <c r="AE930" i="30"/>
  <c r="AG930" i="30" s="1"/>
  <c r="AE929" i="30"/>
  <c r="AG929" i="30" s="1"/>
  <c r="AE928" i="30"/>
  <c r="AG928" i="30" s="1"/>
  <c r="AE927" i="30"/>
  <c r="AG927" i="30" s="1"/>
  <c r="AE926" i="30"/>
  <c r="AG926" i="30" s="1"/>
  <c r="AE925" i="30"/>
  <c r="AG925" i="30" s="1"/>
  <c r="AE924" i="30"/>
  <c r="AG924" i="30" s="1"/>
  <c r="AE923" i="30"/>
  <c r="AG923" i="30" s="1"/>
  <c r="AE922" i="30"/>
  <c r="AG922" i="30" s="1"/>
  <c r="AE921" i="30"/>
  <c r="AG921" i="30" s="1"/>
  <c r="AE920" i="30"/>
  <c r="AG920" i="30" s="1"/>
  <c r="AE919" i="30"/>
  <c r="AG919" i="30" s="1"/>
  <c r="AE918" i="30"/>
  <c r="AG918" i="30" s="1"/>
  <c r="AE917" i="30"/>
  <c r="AG917" i="30" s="1"/>
  <c r="AE916" i="30"/>
  <c r="AG916" i="30" s="1"/>
  <c r="AE915" i="30"/>
  <c r="AG915" i="30" s="1"/>
  <c r="AE914" i="30"/>
  <c r="AG914" i="30" s="1"/>
  <c r="AE913" i="30"/>
  <c r="AG913" i="30" s="1"/>
  <c r="AE912" i="30"/>
  <c r="AG912" i="30" s="1"/>
  <c r="AE911" i="30"/>
  <c r="AG911" i="30" s="1"/>
  <c r="AE910" i="30"/>
  <c r="AG910" i="30" s="1"/>
  <c r="AE909" i="30"/>
  <c r="AG909" i="30" s="1"/>
  <c r="AE908" i="30"/>
  <c r="AG908" i="30" s="1"/>
  <c r="AE907" i="30"/>
  <c r="AG907" i="30" s="1"/>
  <c r="AE906" i="30"/>
  <c r="AG906" i="30" s="1"/>
  <c r="AE905" i="30"/>
  <c r="AG905" i="30" s="1"/>
  <c r="AE904" i="30"/>
  <c r="AG904" i="30" s="1"/>
  <c r="AE903" i="30"/>
  <c r="AG903" i="30" s="1"/>
  <c r="AE902" i="30"/>
  <c r="AG902" i="30" s="1"/>
  <c r="AE901" i="30"/>
  <c r="AG901" i="30" s="1"/>
  <c r="AE900" i="30"/>
  <c r="AG900" i="30" s="1"/>
  <c r="AE899" i="30"/>
  <c r="AG899" i="30" s="1"/>
  <c r="AE898" i="30"/>
  <c r="AG898" i="30" s="1"/>
  <c r="AE897" i="30"/>
  <c r="AG897" i="30" s="1"/>
  <c r="AE896" i="30"/>
  <c r="AG896" i="30" s="1"/>
  <c r="AE895" i="30"/>
  <c r="AG895" i="30" s="1"/>
  <c r="AE894" i="30"/>
  <c r="AG894" i="30" s="1"/>
  <c r="AE893" i="30"/>
  <c r="AG893" i="30" s="1"/>
  <c r="AE892" i="30"/>
  <c r="AG892" i="30" s="1"/>
  <c r="AE891" i="30"/>
  <c r="AG891" i="30" s="1"/>
  <c r="AE890" i="30"/>
  <c r="AG890" i="30" s="1"/>
  <c r="AE889" i="30"/>
  <c r="AG889" i="30" s="1"/>
  <c r="AE888" i="30"/>
  <c r="AG888" i="30" s="1"/>
  <c r="AE887" i="30"/>
  <c r="AG887" i="30" s="1"/>
  <c r="AE886" i="30"/>
  <c r="AG886" i="30" s="1"/>
  <c r="AE885" i="30"/>
  <c r="AG885" i="30" s="1"/>
  <c r="AE884" i="30"/>
  <c r="AG884" i="30" s="1"/>
  <c r="AE883" i="30"/>
  <c r="AG883" i="30" s="1"/>
  <c r="AE882" i="30"/>
  <c r="AG882" i="30" s="1"/>
  <c r="AE881" i="30"/>
  <c r="AG881" i="30" s="1"/>
  <c r="AE880" i="30"/>
  <c r="AG880" i="30" s="1"/>
  <c r="AE879" i="30"/>
  <c r="AG879" i="30" s="1"/>
  <c r="AE878" i="30"/>
  <c r="AG878" i="30" s="1"/>
  <c r="AE877" i="30"/>
  <c r="AG877" i="30" s="1"/>
  <c r="AE876" i="30"/>
  <c r="AG876" i="30" s="1"/>
  <c r="AE875" i="30"/>
  <c r="AG875" i="30" s="1"/>
  <c r="AE874" i="30"/>
  <c r="AG874" i="30" s="1"/>
  <c r="AE873" i="30"/>
  <c r="AG873" i="30" s="1"/>
  <c r="AE872" i="30"/>
  <c r="AG872" i="30" s="1"/>
  <c r="AE871" i="30"/>
  <c r="AG871" i="30" s="1"/>
  <c r="AE870" i="30"/>
  <c r="AG870" i="30" s="1"/>
  <c r="AE869" i="30"/>
  <c r="AG869" i="30" s="1"/>
  <c r="AE868" i="30"/>
  <c r="AG868" i="30" s="1"/>
  <c r="AE867" i="30"/>
  <c r="AG867" i="30" s="1"/>
  <c r="AE866" i="30"/>
  <c r="AG866" i="30" s="1"/>
  <c r="AE865" i="30"/>
  <c r="AG865" i="30" s="1"/>
  <c r="AE864" i="30"/>
  <c r="AG864" i="30" s="1"/>
  <c r="AE863" i="30"/>
  <c r="AG863" i="30" s="1"/>
  <c r="AE862" i="30"/>
  <c r="AG862" i="30" s="1"/>
  <c r="AE861" i="30"/>
  <c r="AG861" i="30" s="1"/>
  <c r="AE860" i="30"/>
  <c r="AG860" i="30" s="1"/>
  <c r="AE859" i="30"/>
  <c r="AG859" i="30" s="1"/>
  <c r="AE858" i="30"/>
  <c r="AG858" i="30" s="1"/>
  <c r="AE857" i="30"/>
  <c r="AG857" i="30" s="1"/>
  <c r="AE856" i="30"/>
  <c r="AG856" i="30" s="1"/>
  <c r="AE855" i="30"/>
  <c r="AG855" i="30" s="1"/>
  <c r="AE854" i="30"/>
  <c r="AG854" i="30" s="1"/>
  <c r="AE853" i="30"/>
  <c r="AG853" i="30" s="1"/>
  <c r="AE852" i="30"/>
  <c r="AG852" i="30" s="1"/>
  <c r="AE851" i="30"/>
  <c r="AG851" i="30" s="1"/>
  <c r="AE850" i="30"/>
  <c r="AG850" i="30" s="1"/>
  <c r="AE849" i="30"/>
  <c r="AG849" i="30" s="1"/>
  <c r="AE848" i="30"/>
  <c r="AG848" i="30" s="1"/>
  <c r="AE847" i="30"/>
  <c r="AG847" i="30" s="1"/>
  <c r="AE846" i="30"/>
  <c r="AG846" i="30" s="1"/>
  <c r="AE845" i="30"/>
  <c r="AG845" i="30" s="1"/>
  <c r="AE844" i="30"/>
  <c r="AG844" i="30" s="1"/>
  <c r="AE843" i="30"/>
  <c r="AG843" i="30" s="1"/>
  <c r="AE842" i="30"/>
  <c r="AG842" i="30" s="1"/>
  <c r="AE841" i="30"/>
  <c r="AG841" i="30" s="1"/>
  <c r="AE840" i="30"/>
  <c r="AG840" i="30" s="1"/>
  <c r="AE839" i="30"/>
  <c r="AG839" i="30" s="1"/>
  <c r="AE838" i="30"/>
  <c r="AG838" i="30" s="1"/>
  <c r="AE837" i="30"/>
  <c r="AG837" i="30" s="1"/>
  <c r="AE836" i="30"/>
  <c r="AG836" i="30" s="1"/>
  <c r="AE835" i="30"/>
  <c r="AG835" i="30" s="1"/>
  <c r="AE834" i="30"/>
  <c r="AG834" i="30" s="1"/>
  <c r="AE833" i="30"/>
  <c r="AG833" i="30" s="1"/>
  <c r="AE832" i="30"/>
  <c r="AG832" i="30" s="1"/>
  <c r="AE831" i="30"/>
  <c r="AG831" i="30" s="1"/>
  <c r="AE830" i="30"/>
  <c r="AG830" i="30" s="1"/>
  <c r="AE829" i="30"/>
  <c r="AG829" i="30" s="1"/>
  <c r="AE828" i="30"/>
  <c r="AG828" i="30" s="1"/>
  <c r="AE827" i="30"/>
  <c r="AG827" i="30" s="1"/>
  <c r="AE826" i="30"/>
  <c r="AG826" i="30" s="1"/>
  <c r="AE825" i="30"/>
  <c r="AG825" i="30" s="1"/>
  <c r="AE824" i="30"/>
  <c r="AG824" i="30" s="1"/>
  <c r="AE823" i="30"/>
  <c r="AG823" i="30" s="1"/>
  <c r="AE822" i="30"/>
  <c r="AG822" i="30" s="1"/>
  <c r="AE821" i="30"/>
  <c r="AG821" i="30" s="1"/>
  <c r="AE820" i="30"/>
  <c r="AG820" i="30" s="1"/>
  <c r="AE819" i="30"/>
  <c r="AG819" i="30" s="1"/>
  <c r="AE818" i="30"/>
  <c r="AG818" i="30" s="1"/>
  <c r="AE817" i="30"/>
  <c r="AG817" i="30" s="1"/>
  <c r="AE816" i="30"/>
  <c r="AG816" i="30" s="1"/>
  <c r="AE815" i="30"/>
  <c r="AG815" i="30" s="1"/>
  <c r="AE814" i="30"/>
  <c r="AG814" i="30" s="1"/>
  <c r="AE813" i="30"/>
  <c r="AG813" i="30" s="1"/>
  <c r="AE812" i="30"/>
  <c r="AG812" i="30" s="1"/>
  <c r="AE811" i="30"/>
  <c r="AG811" i="30" s="1"/>
  <c r="AE810" i="30"/>
  <c r="AG810" i="30" s="1"/>
  <c r="AE809" i="30"/>
  <c r="AG809" i="30" s="1"/>
  <c r="AE808" i="30"/>
  <c r="AG808" i="30" s="1"/>
  <c r="AE807" i="30"/>
  <c r="AG807" i="30" s="1"/>
  <c r="AE806" i="30"/>
  <c r="AG806" i="30" s="1"/>
  <c r="AE805" i="30"/>
  <c r="AG805" i="30" s="1"/>
  <c r="AE804" i="30"/>
  <c r="AG804" i="30" s="1"/>
  <c r="AE803" i="30"/>
  <c r="AG803" i="30" s="1"/>
  <c r="AE802" i="30"/>
  <c r="AG802" i="30" s="1"/>
  <c r="AE801" i="30"/>
  <c r="AG801" i="30" s="1"/>
  <c r="AE800" i="30"/>
  <c r="AG800" i="30" s="1"/>
  <c r="AE799" i="30"/>
  <c r="AG799" i="30" s="1"/>
  <c r="AE798" i="30"/>
  <c r="AG798" i="30" s="1"/>
  <c r="AE797" i="30"/>
  <c r="AG797" i="30" s="1"/>
  <c r="AE796" i="30"/>
  <c r="AG796" i="30" s="1"/>
  <c r="AE795" i="30"/>
  <c r="AG795" i="30" s="1"/>
  <c r="AE794" i="30"/>
  <c r="AG794" i="30" s="1"/>
  <c r="AE793" i="30"/>
  <c r="AG793" i="30" s="1"/>
  <c r="AE792" i="30"/>
  <c r="AG792" i="30" s="1"/>
  <c r="AE791" i="30"/>
  <c r="AG791" i="30" s="1"/>
  <c r="AE790" i="30"/>
  <c r="AG790" i="30" s="1"/>
  <c r="AE789" i="30"/>
  <c r="AG789" i="30" s="1"/>
  <c r="AE788" i="30"/>
  <c r="AG788" i="30" s="1"/>
  <c r="AE787" i="30"/>
  <c r="AG787" i="30" s="1"/>
  <c r="AE786" i="30"/>
  <c r="AG786" i="30" s="1"/>
  <c r="AE785" i="30"/>
  <c r="AG785" i="30" s="1"/>
  <c r="AE784" i="30"/>
  <c r="AG784" i="30" s="1"/>
  <c r="AE783" i="30"/>
  <c r="AG783" i="30" s="1"/>
  <c r="AE782" i="30"/>
  <c r="AG782" i="30" s="1"/>
  <c r="AE781" i="30"/>
  <c r="AG781" i="30" s="1"/>
  <c r="AE780" i="30"/>
  <c r="AG780" i="30" s="1"/>
  <c r="AE779" i="30"/>
  <c r="AG779" i="30" s="1"/>
  <c r="AE778" i="30"/>
  <c r="AG778" i="30" s="1"/>
  <c r="AE777" i="30"/>
  <c r="AG777" i="30" s="1"/>
  <c r="AE776" i="30"/>
  <c r="AG776" i="30" s="1"/>
  <c r="AE775" i="30"/>
  <c r="AG775" i="30" s="1"/>
  <c r="AE774" i="30"/>
  <c r="AG774" i="30" s="1"/>
  <c r="AE773" i="30"/>
  <c r="AG773" i="30" s="1"/>
  <c r="AE772" i="30"/>
  <c r="AG772" i="30" s="1"/>
  <c r="AE771" i="30"/>
  <c r="AG771" i="30" s="1"/>
  <c r="AE770" i="30"/>
  <c r="AG770" i="30" s="1"/>
  <c r="AE769" i="30"/>
  <c r="AG769" i="30" s="1"/>
  <c r="AE768" i="30"/>
  <c r="AG768" i="30" s="1"/>
  <c r="AE767" i="30"/>
  <c r="AG767" i="30" s="1"/>
  <c r="AE766" i="30"/>
  <c r="AG766" i="30" s="1"/>
  <c r="AE765" i="30"/>
  <c r="AG765" i="30" s="1"/>
  <c r="AE764" i="30"/>
  <c r="AG764" i="30" s="1"/>
  <c r="AE763" i="30"/>
  <c r="AG763" i="30" s="1"/>
  <c r="AE762" i="30"/>
  <c r="AG762" i="30" s="1"/>
  <c r="AE761" i="30"/>
  <c r="AG761" i="30" s="1"/>
  <c r="AE760" i="30"/>
  <c r="AG760" i="30" s="1"/>
  <c r="AE759" i="30"/>
  <c r="AG759" i="30" s="1"/>
  <c r="AE758" i="30"/>
  <c r="AG758" i="30" s="1"/>
  <c r="AE757" i="30"/>
  <c r="AG757" i="30" s="1"/>
  <c r="AE756" i="30"/>
  <c r="AG756" i="30" s="1"/>
  <c r="AE755" i="30"/>
  <c r="AG755" i="30" s="1"/>
  <c r="AE754" i="30"/>
  <c r="AG754" i="30" s="1"/>
  <c r="AE753" i="30"/>
  <c r="AG753" i="30" s="1"/>
  <c r="AE752" i="30"/>
  <c r="AG752" i="30" s="1"/>
  <c r="AE751" i="30"/>
  <c r="AG751" i="30" s="1"/>
  <c r="AE750" i="30"/>
  <c r="AG750" i="30" s="1"/>
  <c r="AE749" i="30"/>
  <c r="AG749" i="30" s="1"/>
  <c r="AE748" i="30"/>
  <c r="AG748" i="30" s="1"/>
  <c r="AE747" i="30"/>
  <c r="AG747" i="30" s="1"/>
  <c r="AE746" i="30"/>
  <c r="AG746" i="30" s="1"/>
  <c r="AE745" i="30"/>
  <c r="AG745" i="30" s="1"/>
  <c r="AE744" i="30"/>
  <c r="AG744" i="30" s="1"/>
  <c r="AE743" i="30"/>
  <c r="AG743" i="30" s="1"/>
  <c r="AE742" i="30"/>
  <c r="AG742" i="30" s="1"/>
  <c r="AE741" i="30"/>
  <c r="AG741" i="30" s="1"/>
  <c r="AE740" i="30"/>
  <c r="AG740" i="30" s="1"/>
  <c r="AE739" i="30"/>
  <c r="AG739" i="30" s="1"/>
  <c r="AE738" i="30"/>
  <c r="AG738" i="30" s="1"/>
  <c r="AE737" i="30"/>
  <c r="AG737" i="30" s="1"/>
  <c r="AE736" i="30"/>
  <c r="AG736" i="30" s="1"/>
  <c r="AE735" i="30"/>
  <c r="AG735" i="30" s="1"/>
  <c r="AE734" i="30"/>
  <c r="AG734" i="30" s="1"/>
  <c r="AE733" i="30"/>
  <c r="AG733" i="30" s="1"/>
  <c r="AE732" i="30"/>
  <c r="AG732" i="30" s="1"/>
  <c r="AE731" i="30"/>
  <c r="AG731" i="30" s="1"/>
  <c r="AE730" i="30"/>
  <c r="AG730" i="30" s="1"/>
  <c r="AE729" i="30"/>
  <c r="AG729" i="30" s="1"/>
  <c r="AE728" i="30"/>
  <c r="AG728" i="30" s="1"/>
  <c r="AE727" i="30"/>
  <c r="AG727" i="30" s="1"/>
  <c r="AE726" i="30"/>
  <c r="AG726" i="30" s="1"/>
  <c r="AE725" i="30"/>
  <c r="AG725" i="30" s="1"/>
  <c r="AE724" i="30"/>
  <c r="AG724" i="30" s="1"/>
  <c r="AE723" i="30"/>
  <c r="AG723" i="30" s="1"/>
  <c r="AE722" i="30"/>
  <c r="AG722" i="30" s="1"/>
  <c r="AE721" i="30"/>
  <c r="AG721" i="30" s="1"/>
  <c r="AE720" i="30"/>
  <c r="AG720" i="30" s="1"/>
  <c r="AE719" i="30"/>
  <c r="AG719" i="30" s="1"/>
  <c r="AE718" i="30"/>
  <c r="AG718" i="30" s="1"/>
  <c r="AE717" i="30"/>
  <c r="AG717" i="30" s="1"/>
  <c r="AE716" i="30"/>
  <c r="AG716" i="30" s="1"/>
  <c r="AE715" i="30"/>
  <c r="AG715" i="30" s="1"/>
  <c r="AE714" i="30"/>
  <c r="AG714" i="30" s="1"/>
  <c r="AE713" i="30"/>
  <c r="AG713" i="30" s="1"/>
  <c r="AE712" i="30"/>
  <c r="AG712" i="30" s="1"/>
  <c r="AE711" i="30"/>
  <c r="AG711" i="30" s="1"/>
  <c r="AE710" i="30"/>
  <c r="AG710" i="30" s="1"/>
  <c r="AE709" i="30"/>
  <c r="AG709" i="30" s="1"/>
  <c r="AE708" i="30"/>
  <c r="AG708" i="30" s="1"/>
  <c r="AE707" i="30"/>
  <c r="AG707" i="30" s="1"/>
  <c r="AE706" i="30"/>
  <c r="AG706" i="30" s="1"/>
  <c r="AE705" i="30"/>
  <c r="AG705" i="30" s="1"/>
  <c r="AE704" i="30"/>
  <c r="AG704" i="30" s="1"/>
  <c r="AE703" i="30"/>
  <c r="AG703" i="30" s="1"/>
  <c r="AE702" i="30"/>
  <c r="AG702" i="30" s="1"/>
  <c r="AE701" i="30"/>
  <c r="AG701" i="30" s="1"/>
  <c r="AE700" i="30"/>
  <c r="AG700" i="30" s="1"/>
  <c r="AE699" i="30"/>
  <c r="AG699" i="30" s="1"/>
  <c r="AE698" i="30"/>
  <c r="AG698" i="30" s="1"/>
  <c r="AE697" i="30"/>
  <c r="AG697" i="30" s="1"/>
  <c r="AE696" i="30"/>
  <c r="AG696" i="30" s="1"/>
  <c r="AE695" i="30"/>
  <c r="AG695" i="30" s="1"/>
  <c r="AE694" i="30"/>
  <c r="AG694" i="30" s="1"/>
  <c r="AE693" i="30"/>
  <c r="AG693" i="30" s="1"/>
  <c r="AE692" i="30"/>
  <c r="AG692" i="30" s="1"/>
  <c r="AE691" i="30"/>
  <c r="AG691" i="30" s="1"/>
  <c r="AE690" i="30"/>
  <c r="AG690" i="30" s="1"/>
  <c r="AE689" i="30"/>
  <c r="AG689" i="30" s="1"/>
  <c r="AE688" i="30"/>
  <c r="AG688" i="30" s="1"/>
  <c r="AE687" i="30"/>
  <c r="AG687" i="30" s="1"/>
  <c r="AE686" i="30"/>
  <c r="AG686" i="30" s="1"/>
  <c r="AE685" i="30"/>
  <c r="AG685" i="30" s="1"/>
  <c r="AE684" i="30"/>
  <c r="AG684" i="30" s="1"/>
  <c r="AE683" i="30"/>
  <c r="AG683" i="30" s="1"/>
  <c r="AE682" i="30"/>
  <c r="AG682" i="30" s="1"/>
  <c r="AE681" i="30"/>
  <c r="AG681" i="30" s="1"/>
  <c r="AE680" i="30"/>
  <c r="AG680" i="30" s="1"/>
  <c r="AE679" i="30"/>
  <c r="AG679" i="30" s="1"/>
  <c r="AE678" i="30"/>
  <c r="AG678" i="30" s="1"/>
  <c r="AE677" i="30"/>
  <c r="AG677" i="30" s="1"/>
  <c r="AE676" i="30"/>
  <c r="AG676" i="30" s="1"/>
  <c r="AE675" i="30"/>
  <c r="AG675" i="30" s="1"/>
  <c r="AE674" i="30"/>
  <c r="AG674" i="30" s="1"/>
  <c r="AE673" i="30"/>
  <c r="AG673" i="30" s="1"/>
  <c r="AE672" i="30"/>
  <c r="AG672" i="30" s="1"/>
  <c r="AE671" i="30"/>
  <c r="AG671" i="30" s="1"/>
  <c r="AE670" i="30"/>
  <c r="AG670" i="30" s="1"/>
  <c r="AE669" i="30"/>
  <c r="AG669" i="30" s="1"/>
  <c r="AE668" i="30"/>
  <c r="AG668" i="30" s="1"/>
  <c r="AE667" i="30"/>
  <c r="AG667" i="30" s="1"/>
  <c r="AE666" i="30"/>
  <c r="AG666" i="30" s="1"/>
  <c r="AE665" i="30"/>
  <c r="AG665" i="30" s="1"/>
  <c r="AE664" i="30"/>
  <c r="AG664" i="30" s="1"/>
  <c r="AE663" i="30"/>
  <c r="AG663" i="30" s="1"/>
  <c r="AE662" i="30"/>
  <c r="AG662" i="30" s="1"/>
  <c r="AE661" i="30"/>
  <c r="AG661" i="30" s="1"/>
  <c r="AE660" i="30"/>
  <c r="AG660" i="30" s="1"/>
  <c r="AE659" i="30"/>
  <c r="AG659" i="30" s="1"/>
  <c r="AE658" i="30"/>
  <c r="AG658" i="30" s="1"/>
  <c r="AE657" i="30"/>
  <c r="AG657" i="30" s="1"/>
  <c r="AE656" i="30"/>
  <c r="AG656" i="30" s="1"/>
  <c r="AE655" i="30"/>
  <c r="AG655" i="30" s="1"/>
  <c r="AE654" i="30"/>
  <c r="AG654" i="30" s="1"/>
  <c r="AE653" i="30"/>
  <c r="AG653" i="30" s="1"/>
  <c r="AE652" i="30"/>
  <c r="AG652" i="30" s="1"/>
  <c r="AE651" i="30"/>
  <c r="AG651" i="30" s="1"/>
  <c r="AE650" i="30"/>
  <c r="AG650" i="30" s="1"/>
  <c r="AE649" i="30"/>
  <c r="AG649" i="30" s="1"/>
  <c r="AE648" i="30"/>
  <c r="AG648" i="30" s="1"/>
  <c r="AE647" i="30"/>
  <c r="AG647" i="30" s="1"/>
  <c r="AE646" i="30"/>
  <c r="AG646" i="30" s="1"/>
  <c r="AE645" i="30"/>
  <c r="AG645" i="30" s="1"/>
  <c r="AE644" i="30"/>
  <c r="AG644" i="30" s="1"/>
  <c r="AE643" i="30"/>
  <c r="AG643" i="30" s="1"/>
  <c r="AE642" i="30"/>
  <c r="AG642" i="30" s="1"/>
  <c r="AE641" i="30"/>
  <c r="AG641" i="30" s="1"/>
  <c r="AE640" i="30"/>
  <c r="AG640" i="30" s="1"/>
  <c r="AE639" i="30"/>
  <c r="AG639" i="30" s="1"/>
  <c r="AE638" i="30"/>
  <c r="AG638" i="30" s="1"/>
  <c r="AE637" i="30"/>
  <c r="AG637" i="30" s="1"/>
  <c r="AE636" i="30"/>
  <c r="AG636" i="30" s="1"/>
  <c r="AE635" i="30"/>
  <c r="AG635" i="30" s="1"/>
  <c r="AE634" i="30"/>
  <c r="AG634" i="30" s="1"/>
  <c r="AE633" i="30"/>
  <c r="AG633" i="30" s="1"/>
  <c r="AE632" i="30"/>
  <c r="AG632" i="30" s="1"/>
  <c r="AE631" i="30"/>
  <c r="AG631" i="30" s="1"/>
  <c r="AE630" i="30"/>
  <c r="AG630" i="30" s="1"/>
  <c r="AE629" i="30"/>
  <c r="AG629" i="30" s="1"/>
  <c r="AE628" i="30"/>
  <c r="AG628" i="30" s="1"/>
  <c r="AE627" i="30"/>
  <c r="AG627" i="30" s="1"/>
  <c r="AE626" i="30"/>
  <c r="AG626" i="30" s="1"/>
  <c r="AE625" i="30"/>
  <c r="AG625" i="30" s="1"/>
  <c r="AE624" i="30"/>
  <c r="AG624" i="30" s="1"/>
  <c r="AE623" i="30"/>
  <c r="AG623" i="30" s="1"/>
  <c r="AE622" i="30"/>
  <c r="AG622" i="30" s="1"/>
  <c r="AE621" i="30"/>
  <c r="AG621" i="30" s="1"/>
  <c r="AE620" i="30"/>
  <c r="AG620" i="30" s="1"/>
  <c r="AE619" i="30"/>
  <c r="AG619" i="30" s="1"/>
  <c r="AE618" i="30"/>
  <c r="AG618" i="30" s="1"/>
  <c r="AE617" i="30"/>
  <c r="AG617" i="30" s="1"/>
  <c r="AE616" i="30"/>
  <c r="AG616" i="30" s="1"/>
  <c r="AE615" i="30"/>
  <c r="AG615" i="30" s="1"/>
  <c r="AE614" i="30"/>
  <c r="AG614" i="30" s="1"/>
  <c r="AE613" i="30"/>
  <c r="AG613" i="30" s="1"/>
  <c r="AE612" i="30"/>
  <c r="AG612" i="30" s="1"/>
  <c r="AE611" i="30"/>
  <c r="AG611" i="30" s="1"/>
  <c r="AE610" i="30"/>
  <c r="AG610" i="30" s="1"/>
  <c r="AE609" i="30"/>
  <c r="AG609" i="30" s="1"/>
  <c r="AE608" i="30"/>
  <c r="AG608" i="30" s="1"/>
  <c r="AE607" i="30"/>
  <c r="AG607" i="30" s="1"/>
  <c r="AE606" i="30"/>
  <c r="AG606" i="30" s="1"/>
  <c r="AE605" i="30"/>
  <c r="AG605" i="30" s="1"/>
  <c r="AE604" i="30"/>
  <c r="AG604" i="30" s="1"/>
  <c r="AE603" i="30"/>
  <c r="AG603" i="30" s="1"/>
  <c r="AE602" i="30"/>
  <c r="AG602" i="30" s="1"/>
  <c r="AE601" i="30"/>
  <c r="AG601" i="30" s="1"/>
  <c r="AE600" i="30"/>
  <c r="AG600" i="30" s="1"/>
  <c r="AE599" i="30"/>
  <c r="AG599" i="30" s="1"/>
  <c r="AE598" i="30"/>
  <c r="AG598" i="30" s="1"/>
  <c r="AE597" i="30"/>
  <c r="AG597" i="30" s="1"/>
  <c r="AE596" i="30"/>
  <c r="AG596" i="30" s="1"/>
  <c r="AE595" i="30"/>
  <c r="AG595" i="30" s="1"/>
  <c r="AE594" i="30"/>
  <c r="AG594" i="30" s="1"/>
  <c r="AE593" i="30"/>
  <c r="AG593" i="30" s="1"/>
  <c r="AE592" i="30"/>
  <c r="AG592" i="30" s="1"/>
  <c r="AE591" i="30"/>
  <c r="AG591" i="30" s="1"/>
  <c r="AE590" i="30"/>
  <c r="AG590" i="30" s="1"/>
  <c r="AE589" i="30"/>
  <c r="AG589" i="30" s="1"/>
  <c r="AE588" i="30"/>
  <c r="AG588" i="30" s="1"/>
  <c r="AE587" i="30"/>
  <c r="AG587" i="30" s="1"/>
  <c r="AE586" i="30"/>
  <c r="AG586" i="30" s="1"/>
  <c r="AE585" i="30"/>
  <c r="AG585" i="30" s="1"/>
  <c r="AE584" i="30"/>
  <c r="AG584" i="30" s="1"/>
  <c r="AE583" i="30"/>
  <c r="AG583" i="30" s="1"/>
  <c r="AE582" i="30"/>
  <c r="AG582" i="30" s="1"/>
  <c r="AE581" i="30"/>
  <c r="AG581" i="30" s="1"/>
  <c r="AE580" i="30"/>
  <c r="AG580" i="30" s="1"/>
  <c r="AE579" i="30"/>
  <c r="AG579" i="30" s="1"/>
  <c r="AE578" i="30"/>
  <c r="AG578" i="30" s="1"/>
  <c r="AE577" i="30"/>
  <c r="AG577" i="30" s="1"/>
  <c r="AE576" i="30"/>
  <c r="AG576" i="30" s="1"/>
  <c r="AE575" i="30"/>
  <c r="AG575" i="30" s="1"/>
  <c r="AE574" i="30"/>
  <c r="AG574" i="30" s="1"/>
  <c r="AE573" i="30"/>
  <c r="AG573" i="30" s="1"/>
  <c r="AE572" i="30"/>
  <c r="AG572" i="30" s="1"/>
  <c r="AE571" i="30"/>
  <c r="AG571" i="30" s="1"/>
  <c r="AE570" i="30"/>
  <c r="AG570" i="30" s="1"/>
  <c r="AE569" i="30"/>
  <c r="AG569" i="30" s="1"/>
  <c r="AE568" i="30"/>
  <c r="AG568" i="30" s="1"/>
  <c r="AE567" i="30"/>
  <c r="AG567" i="30" s="1"/>
  <c r="AE566" i="30"/>
  <c r="AG566" i="30" s="1"/>
  <c r="AE565" i="30"/>
  <c r="AG565" i="30" s="1"/>
  <c r="AE564" i="30"/>
  <c r="AG564" i="30" s="1"/>
  <c r="AE563" i="30"/>
  <c r="AG563" i="30" s="1"/>
  <c r="AE562" i="30"/>
  <c r="AG562" i="30" s="1"/>
  <c r="AE561" i="30"/>
  <c r="AG561" i="30" s="1"/>
  <c r="AE560" i="30"/>
  <c r="AG560" i="30" s="1"/>
  <c r="AE559" i="30"/>
  <c r="AG559" i="30" s="1"/>
  <c r="AE558" i="30"/>
  <c r="AG558" i="30" s="1"/>
  <c r="AE557" i="30"/>
  <c r="AG557" i="30" s="1"/>
  <c r="AE556" i="30"/>
  <c r="AG556" i="30" s="1"/>
  <c r="AE555" i="30"/>
  <c r="AG555" i="30" s="1"/>
  <c r="AE554" i="30"/>
  <c r="AG554" i="30" s="1"/>
  <c r="AE553" i="30"/>
  <c r="AG553" i="30" s="1"/>
  <c r="AE552" i="30"/>
  <c r="AG552" i="30" s="1"/>
  <c r="AE551" i="30"/>
  <c r="AG551" i="30" s="1"/>
  <c r="AE550" i="30"/>
  <c r="AG550" i="30" s="1"/>
  <c r="AE549" i="30"/>
  <c r="AG549" i="30" s="1"/>
  <c r="AE548" i="30"/>
  <c r="AG548" i="30" s="1"/>
  <c r="AE547" i="30"/>
  <c r="AG547" i="30" s="1"/>
  <c r="AE546" i="30"/>
  <c r="AG546" i="30" s="1"/>
  <c r="AE545" i="30"/>
  <c r="AG545" i="30" s="1"/>
  <c r="AE544" i="30"/>
  <c r="AG544" i="30" s="1"/>
  <c r="AE543" i="30"/>
  <c r="AG543" i="30" s="1"/>
  <c r="AE542" i="30"/>
  <c r="AG542" i="30" s="1"/>
  <c r="AE541" i="30"/>
  <c r="AG541" i="30" s="1"/>
  <c r="AE540" i="30"/>
  <c r="AG540" i="30" s="1"/>
  <c r="AE539" i="30"/>
  <c r="AG539" i="30" s="1"/>
  <c r="AE538" i="30"/>
  <c r="AG538" i="30" s="1"/>
  <c r="AE537" i="30"/>
  <c r="AG537" i="30" s="1"/>
  <c r="AE536" i="30"/>
  <c r="AG536" i="30" s="1"/>
  <c r="AE535" i="30"/>
  <c r="AG535" i="30" s="1"/>
  <c r="AE534" i="30"/>
  <c r="AG534" i="30" s="1"/>
  <c r="AE533" i="30"/>
  <c r="AG533" i="30" s="1"/>
  <c r="AE532" i="30"/>
  <c r="AG532" i="30" s="1"/>
  <c r="AE531" i="30"/>
  <c r="AG531" i="30" s="1"/>
  <c r="AE530" i="30"/>
  <c r="AG530" i="30" s="1"/>
  <c r="AE529" i="30"/>
  <c r="AG529" i="30" s="1"/>
  <c r="AE528" i="30"/>
  <c r="AG528" i="30" s="1"/>
  <c r="AE527" i="30"/>
  <c r="AG527" i="30" s="1"/>
  <c r="AE526" i="30"/>
  <c r="AG526" i="30" s="1"/>
  <c r="AE525" i="30"/>
  <c r="AG525" i="30" s="1"/>
  <c r="AE524" i="30"/>
  <c r="AG524" i="30" s="1"/>
  <c r="AE523" i="30"/>
  <c r="AG523" i="30" s="1"/>
  <c r="AE522" i="30"/>
  <c r="AG522" i="30" s="1"/>
  <c r="AE521" i="30"/>
  <c r="AG521" i="30" s="1"/>
  <c r="AE520" i="30"/>
  <c r="AG520" i="30" s="1"/>
  <c r="AE519" i="30"/>
  <c r="AG519" i="30" s="1"/>
  <c r="AE518" i="30"/>
  <c r="AG518" i="30" s="1"/>
  <c r="AE517" i="30"/>
  <c r="AG517" i="30" s="1"/>
  <c r="AE516" i="30"/>
  <c r="AG516" i="30" s="1"/>
  <c r="AE515" i="30"/>
  <c r="AG515" i="30" s="1"/>
  <c r="AE514" i="30"/>
  <c r="AG514" i="30" s="1"/>
  <c r="AE513" i="30"/>
  <c r="AG513" i="30" s="1"/>
  <c r="AE512" i="30"/>
  <c r="AG512" i="30" s="1"/>
  <c r="AE511" i="30"/>
  <c r="AG511" i="30" s="1"/>
  <c r="AE510" i="30"/>
  <c r="AG510" i="30" s="1"/>
  <c r="AE509" i="30"/>
  <c r="AG509" i="30" s="1"/>
  <c r="AE508" i="30"/>
  <c r="AG508" i="30" s="1"/>
  <c r="AE507" i="30"/>
  <c r="AG507" i="30" s="1"/>
  <c r="AE506" i="30"/>
  <c r="AG506" i="30" s="1"/>
  <c r="AE505" i="30"/>
  <c r="AG505" i="30" s="1"/>
  <c r="AE504" i="30"/>
  <c r="AG504" i="30" s="1"/>
  <c r="AE503" i="30"/>
  <c r="AG503" i="30" s="1"/>
  <c r="AE502" i="30"/>
  <c r="AG502" i="30" s="1"/>
  <c r="AE501" i="30"/>
  <c r="AG501" i="30" s="1"/>
  <c r="AE500" i="30"/>
  <c r="AG500" i="30" s="1"/>
  <c r="AE499" i="30"/>
  <c r="AG499" i="30" s="1"/>
  <c r="AE498" i="30"/>
  <c r="AG498" i="30" s="1"/>
  <c r="AE497" i="30"/>
  <c r="AG497" i="30" s="1"/>
  <c r="AE496" i="30"/>
  <c r="AG496" i="30" s="1"/>
  <c r="AE495" i="30"/>
  <c r="AG495" i="30" s="1"/>
  <c r="AE494" i="30"/>
  <c r="AG494" i="30" s="1"/>
  <c r="AE493" i="30"/>
  <c r="AG493" i="30" s="1"/>
  <c r="AE492" i="30"/>
  <c r="AG492" i="30" s="1"/>
  <c r="AE491" i="30"/>
  <c r="AG491" i="30" s="1"/>
  <c r="AE490" i="30"/>
  <c r="AG490" i="30" s="1"/>
  <c r="AE489" i="30"/>
  <c r="AG489" i="30" s="1"/>
  <c r="AE488" i="30"/>
  <c r="AG488" i="30" s="1"/>
  <c r="AE487" i="30"/>
  <c r="AG487" i="30" s="1"/>
  <c r="AE486" i="30"/>
  <c r="AG486" i="30" s="1"/>
  <c r="AE485" i="30"/>
  <c r="AG485" i="30" s="1"/>
  <c r="AE484" i="30"/>
  <c r="AG484" i="30" s="1"/>
  <c r="AE483" i="30"/>
  <c r="AG483" i="30" s="1"/>
  <c r="AE482" i="30"/>
  <c r="AG482" i="30" s="1"/>
  <c r="AE481" i="30"/>
  <c r="AG481" i="30" s="1"/>
  <c r="AE480" i="30"/>
  <c r="AG480" i="30" s="1"/>
  <c r="AE479" i="30"/>
  <c r="AG479" i="30" s="1"/>
  <c r="AE478" i="30"/>
  <c r="AG478" i="30" s="1"/>
  <c r="AE477" i="30"/>
  <c r="AG477" i="30" s="1"/>
  <c r="AE476" i="30"/>
  <c r="AG476" i="30" s="1"/>
  <c r="AE475" i="30"/>
  <c r="AG475" i="30" s="1"/>
  <c r="AE474" i="30"/>
  <c r="AG474" i="30" s="1"/>
  <c r="AE473" i="30"/>
  <c r="AG473" i="30" s="1"/>
  <c r="AE472" i="30"/>
  <c r="AG472" i="30" s="1"/>
  <c r="AE471" i="30"/>
  <c r="AG471" i="30" s="1"/>
  <c r="AE470" i="30"/>
  <c r="AG470" i="30" s="1"/>
  <c r="AE469" i="30"/>
  <c r="AG469" i="30" s="1"/>
  <c r="AE468" i="30"/>
  <c r="AG468" i="30" s="1"/>
  <c r="AE467" i="30"/>
  <c r="AG467" i="30" s="1"/>
  <c r="AE466" i="30"/>
  <c r="AG466" i="30" s="1"/>
  <c r="AE465" i="30"/>
  <c r="AG465" i="30" s="1"/>
  <c r="AE464" i="30"/>
  <c r="AG464" i="30" s="1"/>
  <c r="AE463" i="30"/>
  <c r="AG463" i="30" s="1"/>
  <c r="AE462" i="30"/>
  <c r="AG462" i="30" s="1"/>
  <c r="AE461" i="30"/>
  <c r="AG461" i="30" s="1"/>
  <c r="AE460" i="30"/>
  <c r="AG460" i="30" s="1"/>
  <c r="AE459" i="30"/>
  <c r="AG459" i="30" s="1"/>
  <c r="AE458" i="30"/>
  <c r="AG458" i="30" s="1"/>
  <c r="AE457" i="30"/>
  <c r="AG457" i="30" s="1"/>
  <c r="AE456" i="30"/>
  <c r="AG456" i="30" s="1"/>
  <c r="AE455" i="30"/>
  <c r="AG455" i="30" s="1"/>
  <c r="AE454" i="30"/>
  <c r="AG454" i="30" s="1"/>
  <c r="AE453" i="30"/>
  <c r="AG453" i="30" s="1"/>
  <c r="AE452" i="30"/>
  <c r="AG452" i="30" s="1"/>
  <c r="AE451" i="30"/>
  <c r="AG451" i="30" s="1"/>
  <c r="AE450" i="30"/>
  <c r="AG450" i="30" s="1"/>
  <c r="AE449" i="30"/>
  <c r="AG449" i="30" s="1"/>
  <c r="AE448" i="30"/>
  <c r="AG448" i="30" s="1"/>
  <c r="AE447" i="30"/>
  <c r="AG447" i="30" s="1"/>
  <c r="AE446" i="30"/>
  <c r="AG446" i="30" s="1"/>
  <c r="AE445" i="30"/>
  <c r="AG445" i="30" s="1"/>
  <c r="AE444" i="30"/>
  <c r="AG444" i="30" s="1"/>
  <c r="AE443" i="30"/>
  <c r="AG443" i="30" s="1"/>
  <c r="AE442" i="30"/>
  <c r="AG442" i="30" s="1"/>
  <c r="AE441" i="30"/>
  <c r="AG441" i="30" s="1"/>
  <c r="AE440" i="30"/>
  <c r="AG440" i="30" s="1"/>
  <c r="AE439" i="30"/>
  <c r="AG439" i="30" s="1"/>
  <c r="AE438" i="30"/>
  <c r="AG438" i="30" s="1"/>
  <c r="AE437" i="30"/>
  <c r="AG437" i="30" s="1"/>
  <c r="AE436" i="30"/>
  <c r="AG436" i="30" s="1"/>
  <c r="AE435" i="30"/>
  <c r="AG435" i="30" s="1"/>
  <c r="AE434" i="30"/>
  <c r="AG434" i="30" s="1"/>
  <c r="AE433" i="30"/>
  <c r="AG433" i="30" s="1"/>
  <c r="AE432" i="30"/>
  <c r="AG432" i="30" s="1"/>
  <c r="AE431" i="30"/>
  <c r="AG431" i="30" s="1"/>
  <c r="AE430" i="30"/>
  <c r="AG430" i="30" s="1"/>
  <c r="AE429" i="30"/>
  <c r="AG429" i="30" s="1"/>
  <c r="AE428" i="30"/>
  <c r="AG428" i="30" s="1"/>
  <c r="AE427" i="30"/>
  <c r="AG427" i="30" s="1"/>
  <c r="AE426" i="30"/>
  <c r="AG426" i="30" s="1"/>
  <c r="AE425" i="30"/>
  <c r="AG425" i="30" s="1"/>
  <c r="AE424" i="30"/>
  <c r="AG424" i="30" s="1"/>
  <c r="AE423" i="30"/>
  <c r="AG423" i="30" s="1"/>
  <c r="AE422" i="30"/>
  <c r="AG422" i="30" s="1"/>
  <c r="AE421" i="30"/>
  <c r="AG421" i="30" s="1"/>
  <c r="AE420" i="30"/>
  <c r="AG420" i="30" s="1"/>
  <c r="AE419" i="30"/>
  <c r="AG419" i="30" s="1"/>
  <c r="AE418" i="30"/>
  <c r="AG418" i="30" s="1"/>
  <c r="AE417" i="30"/>
  <c r="AG417" i="30" s="1"/>
  <c r="AE416" i="30"/>
  <c r="AG416" i="30" s="1"/>
  <c r="AE415" i="30"/>
  <c r="AG415" i="30" s="1"/>
  <c r="AE414" i="30"/>
  <c r="AG414" i="30" s="1"/>
  <c r="AE413" i="30"/>
  <c r="AG413" i="30" s="1"/>
  <c r="AE412" i="30"/>
  <c r="AG412" i="30" s="1"/>
  <c r="AE411" i="30"/>
  <c r="AG411" i="30" s="1"/>
  <c r="AE410" i="30"/>
  <c r="AG410" i="30" s="1"/>
  <c r="AE409" i="30"/>
  <c r="AG409" i="30" s="1"/>
  <c r="AE408" i="30"/>
  <c r="AG408" i="30" s="1"/>
  <c r="AE407" i="30"/>
  <c r="AG407" i="30" s="1"/>
  <c r="AE406" i="30"/>
  <c r="AG406" i="30" s="1"/>
  <c r="AE405" i="30"/>
  <c r="AG405" i="30" s="1"/>
  <c r="AE404" i="30"/>
  <c r="AG404" i="30" s="1"/>
  <c r="AE403" i="30"/>
  <c r="AG403" i="30" s="1"/>
  <c r="AE402" i="30"/>
  <c r="AG402" i="30" s="1"/>
  <c r="AE401" i="30"/>
  <c r="AG401" i="30" s="1"/>
  <c r="AE400" i="30"/>
  <c r="AG400" i="30" s="1"/>
  <c r="AE399" i="30"/>
  <c r="AG399" i="30" s="1"/>
  <c r="AE398" i="30"/>
  <c r="AG398" i="30" s="1"/>
  <c r="AE397" i="30"/>
  <c r="AG397" i="30" s="1"/>
  <c r="AE396" i="30"/>
  <c r="AG396" i="30" s="1"/>
  <c r="AE395" i="30"/>
  <c r="AG395" i="30" s="1"/>
  <c r="AE394" i="30"/>
  <c r="AG394" i="30" s="1"/>
  <c r="AE393" i="30"/>
  <c r="AG393" i="30" s="1"/>
  <c r="AE392" i="30"/>
  <c r="AG392" i="30" s="1"/>
  <c r="AE391" i="30"/>
  <c r="AG391" i="30" s="1"/>
  <c r="AE390" i="30"/>
  <c r="AG390" i="30" s="1"/>
  <c r="AE389" i="30"/>
  <c r="AG389" i="30" s="1"/>
  <c r="AE388" i="30"/>
  <c r="AG388" i="30" s="1"/>
  <c r="AE387" i="30"/>
  <c r="AG387" i="30" s="1"/>
  <c r="AE386" i="30"/>
  <c r="AG386" i="30" s="1"/>
  <c r="AE385" i="30"/>
  <c r="AG385" i="30" s="1"/>
  <c r="AE384" i="30"/>
  <c r="AG384" i="30" s="1"/>
  <c r="AE383" i="30"/>
  <c r="AG383" i="30" s="1"/>
  <c r="AE382" i="30"/>
  <c r="AG382" i="30" s="1"/>
  <c r="AE381" i="30"/>
  <c r="AG381" i="30" s="1"/>
  <c r="AE380" i="30"/>
  <c r="AG380" i="30" s="1"/>
  <c r="AE379" i="30"/>
  <c r="AG379" i="30" s="1"/>
  <c r="AE378" i="30"/>
  <c r="AG378" i="30" s="1"/>
  <c r="AE377" i="30"/>
  <c r="AG377" i="30" s="1"/>
  <c r="AE376" i="30"/>
  <c r="AG376" i="30" s="1"/>
  <c r="AE375" i="30"/>
  <c r="AG375" i="30" s="1"/>
  <c r="AE374" i="30"/>
  <c r="AG374" i="30" s="1"/>
  <c r="AE373" i="30"/>
  <c r="AG373" i="30" s="1"/>
  <c r="AE372" i="30"/>
  <c r="AG372" i="30" s="1"/>
  <c r="AE371" i="30"/>
  <c r="AG371" i="30" s="1"/>
  <c r="AE370" i="30"/>
  <c r="AG370" i="30" s="1"/>
  <c r="AE369" i="30"/>
  <c r="AG369" i="30" s="1"/>
  <c r="AE368" i="30"/>
  <c r="AG368" i="30" s="1"/>
  <c r="AE367" i="30"/>
  <c r="AG367" i="30" s="1"/>
  <c r="AE366" i="30"/>
  <c r="AG366" i="30" s="1"/>
  <c r="AE365" i="30"/>
  <c r="AG365" i="30" s="1"/>
  <c r="AE364" i="30"/>
  <c r="AG364" i="30" s="1"/>
  <c r="AE363" i="30"/>
  <c r="AG363" i="30" s="1"/>
  <c r="AE362" i="30"/>
  <c r="AG362" i="30" s="1"/>
  <c r="AE361" i="30"/>
  <c r="AG361" i="30" s="1"/>
  <c r="AE360" i="30"/>
  <c r="AG360" i="30" s="1"/>
  <c r="AE359" i="30"/>
  <c r="AG359" i="30" s="1"/>
  <c r="AE358" i="30"/>
  <c r="AG358" i="30" s="1"/>
  <c r="AE357" i="30"/>
  <c r="AG357" i="30" s="1"/>
  <c r="AE356" i="30"/>
  <c r="AG356" i="30" s="1"/>
  <c r="AE355" i="30"/>
  <c r="AG355" i="30" s="1"/>
  <c r="AE354" i="30"/>
  <c r="AG354" i="30" s="1"/>
  <c r="AE353" i="30"/>
  <c r="AG353" i="30" s="1"/>
  <c r="AE352" i="30"/>
  <c r="AG352" i="30" s="1"/>
  <c r="AE351" i="30"/>
  <c r="AG351" i="30" s="1"/>
  <c r="AE350" i="30"/>
  <c r="AG350" i="30" s="1"/>
  <c r="AE349" i="30"/>
  <c r="AG349" i="30" s="1"/>
  <c r="AE348" i="30"/>
  <c r="AG348" i="30" s="1"/>
  <c r="AE347" i="30"/>
  <c r="AG347" i="30" s="1"/>
  <c r="AE346" i="30"/>
  <c r="AG346" i="30" s="1"/>
  <c r="AE345" i="30"/>
  <c r="AG345" i="30" s="1"/>
  <c r="AE344" i="30"/>
  <c r="AG344" i="30" s="1"/>
  <c r="AE343" i="30"/>
  <c r="AG343" i="30" s="1"/>
  <c r="AE342" i="30"/>
  <c r="AG342" i="30" s="1"/>
  <c r="AE341" i="30"/>
  <c r="AG341" i="30" s="1"/>
  <c r="AE340" i="30"/>
  <c r="AG340" i="30" s="1"/>
  <c r="AE339" i="30"/>
  <c r="AG339" i="30" s="1"/>
  <c r="AE338" i="30"/>
  <c r="AG338" i="30" s="1"/>
  <c r="AE337" i="30"/>
  <c r="AG337" i="30" s="1"/>
  <c r="AE336" i="30"/>
  <c r="AG336" i="30" s="1"/>
  <c r="AE335" i="30"/>
  <c r="AG335" i="30" s="1"/>
  <c r="AE334" i="30"/>
  <c r="AG334" i="30" s="1"/>
  <c r="AE333" i="30"/>
  <c r="AG333" i="30" s="1"/>
  <c r="AE332" i="30"/>
  <c r="AG332" i="30" s="1"/>
  <c r="AE331" i="30"/>
  <c r="AG331" i="30" s="1"/>
  <c r="AE330" i="30"/>
  <c r="AG330" i="30" s="1"/>
  <c r="AE329" i="30"/>
  <c r="AG329" i="30" s="1"/>
  <c r="AE328" i="30"/>
  <c r="AG328" i="30" s="1"/>
  <c r="AE327" i="30"/>
  <c r="AG327" i="30" s="1"/>
  <c r="AE326" i="30"/>
  <c r="AG326" i="30" s="1"/>
  <c r="AE325" i="30"/>
  <c r="AG325" i="30" s="1"/>
  <c r="AE324" i="30"/>
  <c r="AG324" i="30" s="1"/>
  <c r="AE323" i="30"/>
  <c r="AG323" i="30" s="1"/>
  <c r="AE322" i="30"/>
  <c r="AG322" i="30" s="1"/>
  <c r="AE321" i="30"/>
  <c r="AG321" i="30" s="1"/>
  <c r="AE320" i="30"/>
  <c r="AG320" i="30" s="1"/>
  <c r="AE319" i="30"/>
  <c r="AG319" i="30" s="1"/>
  <c r="AE318" i="30"/>
  <c r="AG318" i="30" s="1"/>
  <c r="AE317" i="30"/>
  <c r="AG317" i="30" s="1"/>
  <c r="AE316" i="30"/>
  <c r="AG316" i="30" s="1"/>
  <c r="AE315" i="30"/>
  <c r="AG315" i="30" s="1"/>
  <c r="AE314" i="30"/>
  <c r="AG314" i="30" s="1"/>
  <c r="AE313" i="30"/>
  <c r="AG313" i="30" s="1"/>
  <c r="AE312" i="30"/>
  <c r="AG312" i="30" s="1"/>
  <c r="AE311" i="30"/>
  <c r="AG311" i="30" s="1"/>
  <c r="AE310" i="30"/>
  <c r="AG310" i="30" s="1"/>
  <c r="AE309" i="30"/>
  <c r="AG309" i="30" s="1"/>
  <c r="AE308" i="30"/>
  <c r="AG308" i="30" s="1"/>
  <c r="AE307" i="30"/>
  <c r="AG307" i="30" s="1"/>
  <c r="AE306" i="30"/>
  <c r="AG306" i="30" s="1"/>
  <c r="AE305" i="30"/>
  <c r="AG305" i="30" s="1"/>
  <c r="AE304" i="30"/>
  <c r="AG304" i="30" s="1"/>
  <c r="AE303" i="30"/>
  <c r="AG303" i="30" s="1"/>
  <c r="AE302" i="30"/>
  <c r="AG302" i="30" s="1"/>
  <c r="AE301" i="30"/>
  <c r="AG301" i="30" s="1"/>
  <c r="AE300" i="30"/>
  <c r="AG300" i="30" s="1"/>
  <c r="AE299" i="30"/>
  <c r="AG299" i="30" s="1"/>
  <c r="AE298" i="30"/>
  <c r="AG298" i="30" s="1"/>
  <c r="AE297" i="30"/>
  <c r="AG297" i="30" s="1"/>
  <c r="AE296" i="30"/>
  <c r="AG296" i="30" s="1"/>
  <c r="AE295" i="30"/>
  <c r="AG295" i="30" s="1"/>
  <c r="AE294" i="30"/>
  <c r="AG294" i="30" s="1"/>
  <c r="AE293" i="30"/>
  <c r="AG293" i="30" s="1"/>
  <c r="AE292" i="30"/>
  <c r="AG292" i="30" s="1"/>
  <c r="AE291" i="30"/>
  <c r="AG291" i="30" s="1"/>
  <c r="AE290" i="30"/>
  <c r="AG290" i="30" s="1"/>
  <c r="AE289" i="30"/>
  <c r="AG289" i="30" s="1"/>
  <c r="AE288" i="30"/>
  <c r="AG288" i="30" s="1"/>
  <c r="AE287" i="30"/>
  <c r="AG287" i="30" s="1"/>
  <c r="AE286" i="30"/>
  <c r="AG286" i="30" s="1"/>
  <c r="AE285" i="30"/>
  <c r="AG285" i="30" s="1"/>
  <c r="AE284" i="30"/>
  <c r="AG284" i="30" s="1"/>
  <c r="AE283" i="30"/>
  <c r="AG283" i="30" s="1"/>
  <c r="AE282" i="30"/>
  <c r="AG282" i="30" s="1"/>
  <c r="AE281" i="30"/>
  <c r="AG281" i="30" s="1"/>
  <c r="AE280" i="30"/>
  <c r="AG280" i="30" s="1"/>
  <c r="AE279" i="30"/>
  <c r="AG279" i="30" s="1"/>
  <c r="AE278" i="30"/>
  <c r="AG278" i="30" s="1"/>
  <c r="AE277" i="30"/>
  <c r="AG277" i="30" s="1"/>
  <c r="AE276" i="30"/>
  <c r="AG276" i="30" s="1"/>
  <c r="AE275" i="30"/>
  <c r="AG275" i="30" s="1"/>
  <c r="AE274" i="30"/>
  <c r="AG274" i="30" s="1"/>
  <c r="AE273" i="30"/>
  <c r="AG273" i="30" s="1"/>
  <c r="AE272" i="30"/>
  <c r="AG272" i="30" s="1"/>
  <c r="AE271" i="30"/>
  <c r="AG271" i="30" s="1"/>
  <c r="AE270" i="30"/>
  <c r="AG270" i="30" s="1"/>
  <c r="AE269" i="30"/>
  <c r="AG269" i="30" s="1"/>
  <c r="AE268" i="30"/>
  <c r="AG268" i="30" s="1"/>
  <c r="AE267" i="30"/>
  <c r="AG267" i="30" s="1"/>
  <c r="AE266" i="30"/>
  <c r="AG266" i="30" s="1"/>
  <c r="AE265" i="30"/>
  <c r="AG265" i="30" s="1"/>
  <c r="AE264" i="30"/>
  <c r="AG264" i="30" s="1"/>
  <c r="AE263" i="30"/>
  <c r="AG263" i="30" s="1"/>
  <c r="AE262" i="30"/>
  <c r="AG262" i="30" s="1"/>
  <c r="AE261" i="30"/>
  <c r="AG261" i="30" s="1"/>
  <c r="AE260" i="30"/>
  <c r="AG260" i="30" s="1"/>
  <c r="AE259" i="30"/>
  <c r="AG259" i="30" s="1"/>
  <c r="AE258" i="30"/>
  <c r="AG258" i="30" s="1"/>
  <c r="AE257" i="30"/>
  <c r="AG257" i="30" s="1"/>
  <c r="AE256" i="30"/>
  <c r="AG256" i="30" s="1"/>
  <c r="AE255" i="30"/>
  <c r="AG255" i="30" s="1"/>
  <c r="AE254" i="30"/>
  <c r="AG254" i="30" s="1"/>
  <c r="AE253" i="30"/>
  <c r="AG253" i="30" s="1"/>
  <c r="AE252" i="30"/>
  <c r="AG252" i="30" s="1"/>
  <c r="AE251" i="30"/>
  <c r="AG251" i="30" s="1"/>
  <c r="AE250" i="30"/>
  <c r="AG250" i="30" s="1"/>
  <c r="AE249" i="30"/>
  <c r="AG249" i="30" s="1"/>
  <c r="AE248" i="30"/>
  <c r="AG248" i="30" s="1"/>
  <c r="AE247" i="30"/>
  <c r="AG247" i="30" s="1"/>
  <c r="AE246" i="30"/>
  <c r="AG246" i="30" s="1"/>
  <c r="AE245" i="30"/>
  <c r="AG245" i="30" s="1"/>
  <c r="AE244" i="30"/>
  <c r="AG244" i="30" s="1"/>
  <c r="AE243" i="30"/>
  <c r="AG243" i="30" s="1"/>
  <c r="AE242" i="30"/>
  <c r="AG242" i="30" s="1"/>
  <c r="AE241" i="30"/>
  <c r="AG241" i="30" s="1"/>
  <c r="AE240" i="30"/>
  <c r="AG240" i="30" s="1"/>
  <c r="AE239" i="30"/>
  <c r="AG239" i="30" s="1"/>
  <c r="AE238" i="30"/>
  <c r="AG238" i="30" s="1"/>
  <c r="AE237" i="30"/>
  <c r="AG237" i="30" s="1"/>
  <c r="AE236" i="30"/>
  <c r="AG236" i="30" s="1"/>
  <c r="AE235" i="30"/>
  <c r="AG235" i="30" s="1"/>
  <c r="AE234" i="30"/>
  <c r="AG234" i="30" s="1"/>
  <c r="AE233" i="30"/>
  <c r="AG233" i="30" s="1"/>
  <c r="AE232" i="30"/>
  <c r="AG232" i="30" s="1"/>
  <c r="AE231" i="30"/>
  <c r="AG231" i="30" s="1"/>
  <c r="AE230" i="30"/>
  <c r="AG230" i="30" s="1"/>
  <c r="AE229" i="30"/>
  <c r="AG229" i="30" s="1"/>
  <c r="AE228" i="30"/>
  <c r="AG228" i="30" s="1"/>
  <c r="AE227" i="30"/>
  <c r="AG227" i="30" s="1"/>
  <c r="AE226" i="30"/>
  <c r="AG226" i="30" s="1"/>
  <c r="AE225" i="30"/>
  <c r="AG225" i="30" s="1"/>
  <c r="AE224" i="30"/>
  <c r="AG224" i="30" s="1"/>
  <c r="AE223" i="30"/>
  <c r="AG223" i="30" s="1"/>
  <c r="AE222" i="30"/>
  <c r="AG222" i="30" s="1"/>
  <c r="AE221" i="30"/>
  <c r="AG221" i="30" s="1"/>
  <c r="AE220" i="30"/>
  <c r="AG220" i="30" s="1"/>
  <c r="AE219" i="30"/>
  <c r="AG219" i="30" s="1"/>
  <c r="AE218" i="30"/>
  <c r="AG218" i="30" s="1"/>
  <c r="AE217" i="30"/>
  <c r="AG217" i="30" s="1"/>
  <c r="AE216" i="30"/>
  <c r="AG216" i="30" s="1"/>
  <c r="AE215" i="30"/>
  <c r="AG215" i="30" s="1"/>
  <c r="AE214" i="30"/>
  <c r="AG214" i="30" s="1"/>
  <c r="AE213" i="30"/>
  <c r="AG213" i="30" s="1"/>
  <c r="AE212" i="30"/>
  <c r="AG212" i="30" s="1"/>
  <c r="AE211" i="30"/>
  <c r="AG211" i="30" s="1"/>
  <c r="AE210" i="30"/>
  <c r="AG210" i="30" s="1"/>
  <c r="AE209" i="30"/>
  <c r="AG209" i="30" s="1"/>
  <c r="AE208" i="30"/>
  <c r="AG208" i="30" s="1"/>
  <c r="AE207" i="30"/>
  <c r="AG207" i="30" s="1"/>
  <c r="AE206" i="30"/>
  <c r="AG206" i="30" s="1"/>
  <c r="AE205" i="30"/>
  <c r="AG205" i="30" s="1"/>
  <c r="AE204" i="30"/>
  <c r="AG204" i="30" s="1"/>
  <c r="AE203" i="30"/>
  <c r="AG203" i="30" s="1"/>
  <c r="AE202" i="30"/>
  <c r="AG202" i="30" s="1"/>
  <c r="AE201" i="30"/>
  <c r="AG201" i="30" s="1"/>
  <c r="AE200" i="30"/>
  <c r="AG200" i="30" s="1"/>
  <c r="AE199" i="30"/>
  <c r="AG199" i="30" s="1"/>
  <c r="AE198" i="30"/>
  <c r="AG198" i="30" s="1"/>
  <c r="AE197" i="30"/>
  <c r="AG197" i="30" s="1"/>
  <c r="AE196" i="30"/>
  <c r="AG196" i="30" s="1"/>
  <c r="AE195" i="30"/>
  <c r="AG195" i="30" s="1"/>
  <c r="AE194" i="30"/>
  <c r="AG194" i="30" s="1"/>
  <c r="AE193" i="30"/>
  <c r="AG193" i="30" s="1"/>
  <c r="AE192" i="30"/>
  <c r="AG192" i="30" s="1"/>
  <c r="AE191" i="30"/>
  <c r="AG191" i="30" s="1"/>
  <c r="AE190" i="30"/>
  <c r="AG190" i="30" s="1"/>
  <c r="AE189" i="30"/>
  <c r="AG189" i="30" s="1"/>
  <c r="AE188" i="30"/>
  <c r="AG188" i="30" s="1"/>
  <c r="AE187" i="30"/>
  <c r="AG187" i="30" s="1"/>
  <c r="AE186" i="30"/>
  <c r="AG186" i="30" s="1"/>
  <c r="AE185" i="30"/>
  <c r="AG185" i="30" s="1"/>
  <c r="AE184" i="30"/>
  <c r="AG184" i="30" s="1"/>
  <c r="AE183" i="30"/>
  <c r="AG183" i="30" s="1"/>
  <c r="AE182" i="30"/>
  <c r="AG182" i="30" s="1"/>
  <c r="AE181" i="30"/>
  <c r="AG181" i="30" s="1"/>
  <c r="AE180" i="30"/>
  <c r="AG180" i="30" s="1"/>
  <c r="AE179" i="30"/>
  <c r="AG179" i="30" s="1"/>
  <c r="AE178" i="30"/>
  <c r="AG178" i="30" s="1"/>
  <c r="AE177" i="30"/>
  <c r="AG177" i="30" s="1"/>
  <c r="AE176" i="30"/>
  <c r="AG176" i="30" s="1"/>
  <c r="AE175" i="30"/>
  <c r="AG175" i="30" s="1"/>
  <c r="AE174" i="30"/>
  <c r="AG174" i="30" s="1"/>
  <c r="AE173" i="30"/>
  <c r="AG173" i="30" s="1"/>
  <c r="AE172" i="30"/>
  <c r="AG172" i="30" s="1"/>
  <c r="AE171" i="30"/>
  <c r="AG171" i="30" s="1"/>
  <c r="AE170" i="30"/>
  <c r="AG170" i="30" s="1"/>
  <c r="AE169" i="30"/>
  <c r="AG169" i="30" s="1"/>
  <c r="AE168" i="30"/>
  <c r="AG168" i="30" s="1"/>
  <c r="AE167" i="30"/>
  <c r="AG167" i="30" s="1"/>
  <c r="AE166" i="30"/>
  <c r="AG166" i="30" s="1"/>
  <c r="AE165" i="30"/>
  <c r="AG165" i="30" s="1"/>
  <c r="AE164" i="30"/>
  <c r="AG164" i="30" s="1"/>
  <c r="AE163" i="30"/>
  <c r="AG163" i="30" s="1"/>
  <c r="AE162" i="30"/>
  <c r="AG162" i="30" s="1"/>
  <c r="AE161" i="30"/>
  <c r="AG161" i="30" s="1"/>
  <c r="AE160" i="30"/>
  <c r="AG160" i="30" s="1"/>
  <c r="AE159" i="30"/>
  <c r="AG159" i="30" s="1"/>
  <c r="AE158" i="30"/>
  <c r="AG158" i="30" s="1"/>
  <c r="AE157" i="30"/>
  <c r="AG157" i="30" s="1"/>
  <c r="AE156" i="30"/>
  <c r="AG156" i="30" s="1"/>
  <c r="AE155" i="30"/>
  <c r="AG155" i="30" s="1"/>
  <c r="AE154" i="30"/>
  <c r="AG154" i="30" s="1"/>
  <c r="AE153" i="30"/>
  <c r="AG153" i="30" s="1"/>
  <c r="AE152" i="30"/>
  <c r="AG152" i="30" s="1"/>
  <c r="AE151" i="30"/>
  <c r="AG151" i="30" s="1"/>
  <c r="AE150" i="30"/>
  <c r="AG150" i="30" s="1"/>
  <c r="AE149" i="30"/>
  <c r="AG149" i="30" s="1"/>
  <c r="AE148" i="30"/>
  <c r="AG148" i="30" s="1"/>
  <c r="AE147" i="30"/>
  <c r="AG147" i="30" s="1"/>
  <c r="AE146" i="30"/>
  <c r="AG146" i="30" s="1"/>
  <c r="AE145" i="30"/>
  <c r="AG145" i="30" s="1"/>
  <c r="AE144" i="30"/>
  <c r="AG144" i="30" s="1"/>
  <c r="AE143" i="30"/>
  <c r="AG143" i="30" s="1"/>
  <c r="AE142" i="30"/>
  <c r="AG142" i="30" s="1"/>
  <c r="AE141" i="30"/>
  <c r="AG141" i="30" s="1"/>
  <c r="AE140" i="30"/>
  <c r="AG140" i="30" s="1"/>
  <c r="AE139" i="30"/>
  <c r="AG139" i="30" s="1"/>
  <c r="AE138" i="30"/>
  <c r="AG138" i="30" s="1"/>
  <c r="AE137" i="30"/>
  <c r="AG137" i="30" s="1"/>
  <c r="AE136" i="30"/>
  <c r="AG136" i="30" s="1"/>
  <c r="AE135" i="30"/>
  <c r="AG135" i="30" s="1"/>
  <c r="AE134" i="30"/>
  <c r="AG134" i="30" s="1"/>
  <c r="AE133" i="30"/>
  <c r="AG133" i="30" s="1"/>
  <c r="AE132" i="30"/>
  <c r="AG132" i="30" s="1"/>
  <c r="AE131" i="30"/>
  <c r="AG131" i="30" s="1"/>
  <c r="AE130" i="30"/>
  <c r="AG130" i="30" s="1"/>
  <c r="AE129" i="30"/>
  <c r="AG129" i="30" s="1"/>
  <c r="AE128" i="30"/>
  <c r="AG128" i="30" s="1"/>
  <c r="AE127" i="30"/>
  <c r="AG127" i="30" s="1"/>
  <c r="AE126" i="30"/>
  <c r="AG126" i="30" s="1"/>
  <c r="AE125" i="30"/>
  <c r="AG125" i="30" s="1"/>
  <c r="AE124" i="30"/>
  <c r="AG124" i="30" s="1"/>
  <c r="AE123" i="30"/>
  <c r="AG123" i="30" s="1"/>
  <c r="AE122" i="30"/>
  <c r="AG122" i="30" s="1"/>
  <c r="AE121" i="30"/>
  <c r="AG121" i="30" s="1"/>
  <c r="AE120" i="30"/>
  <c r="AG120" i="30" s="1"/>
  <c r="AE119" i="30"/>
  <c r="AG119" i="30" s="1"/>
  <c r="AE118" i="30"/>
  <c r="AG118" i="30" s="1"/>
  <c r="AE117" i="30"/>
  <c r="AG117" i="30" s="1"/>
  <c r="AE116" i="30"/>
  <c r="AG116" i="30" s="1"/>
  <c r="AE115" i="30"/>
  <c r="AG115" i="30" s="1"/>
  <c r="AE114" i="30"/>
  <c r="AG114" i="30" s="1"/>
  <c r="AE113" i="30"/>
  <c r="AG113" i="30" s="1"/>
  <c r="AE112" i="30"/>
  <c r="AG112" i="30" s="1"/>
  <c r="AE111" i="30"/>
  <c r="AG111" i="30" s="1"/>
  <c r="AE110" i="30"/>
  <c r="AG110" i="30" s="1"/>
  <c r="AE109" i="30"/>
  <c r="AG109" i="30" s="1"/>
  <c r="AE108" i="30"/>
  <c r="AG108" i="30" s="1"/>
  <c r="AE107" i="30"/>
  <c r="AG107" i="30" s="1"/>
  <c r="AE106" i="30"/>
  <c r="AG106" i="30" s="1"/>
  <c r="AE105" i="30"/>
  <c r="AG105" i="30" s="1"/>
  <c r="AE104" i="30"/>
  <c r="AG104" i="30" s="1"/>
  <c r="AE103" i="30"/>
  <c r="AG103" i="30" s="1"/>
  <c r="AE102" i="30"/>
  <c r="AG102" i="30" s="1"/>
  <c r="AE101" i="30"/>
  <c r="AG101" i="30" s="1"/>
  <c r="AE100" i="30"/>
  <c r="AG100" i="30" s="1"/>
  <c r="AE99" i="30"/>
  <c r="AG99" i="30" s="1"/>
  <c r="AE98" i="30"/>
  <c r="AG98" i="30" s="1"/>
  <c r="AE97" i="30"/>
  <c r="AG97" i="30" s="1"/>
  <c r="AE96" i="30"/>
  <c r="AG96" i="30" s="1"/>
  <c r="AE95" i="30"/>
  <c r="AG95" i="30" s="1"/>
  <c r="AE94" i="30"/>
  <c r="AG94" i="30" s="1"/>
  <c r="AE93" i="30"/>
  <c r="AG93" i="30" s="1"/>
  <c r="AE92" i="30"/>
  <c r="AG92" i="30" s="1"/>
  <c r="AE91" i="30"/>
  <c r="AG91" i="30" s="1"/>
  <c r="AE90" i="30"/>
  <c r="AG90" i="30" s="1"/>
  <c r="AE89" i="30"/>
  <c r="AG89" i="30" s="1"/>
  <c r="AE88" i="30"/>
  <c r="AG88" i="30" s="1"/>
  <c r="AE87" i="30"/>
  <c r="AG87" i="30" s="1"/>
  <c r="AE86" i="30"/>
  <c r="AG86" i="30" s="1"/>
  <c r="AE85" i="30"/>
  <c r="AG85" i="30" s="1"/>
  <c r="AE84" i="30"/>
  <c r="AG84" i="30" s="1"/>
  <c r="AE83" i="30"/>
  <c r="AG83" i="30" s="1"/>
  <c r="AE82" i="30"/>
  <c r="AG82" i="30" s="1"/>
  <c r="AE81" i="30"/>
  <c r="AG81" i="30" s="1"/>
  <c r="AE80" i="30"/>
  <c r="AG80" i="30" s="1"/>
  <c r="AE79" i="30"/>
  <c r="AG79" i="30" s="1"/>
  <c r="AE78" i="30"/>
  <c r="AG78" i="30" s="1"/>
  <c r="AE77" i="30"/>
  <c r="AG77" i="30" s="1"/>
  <c r="AE76" i="30"/>
  <c r="AG76" i="30" s="1"/>
  <c r="AE75" i="30"/>
  <c r="AG75" i="30" s="1"/>
  <c r="AE74" i="30"/>
  <c r="AG74" i="30" s="1"/>
  <c r="AE73" i="30"/>
  <c r="AG73" i="30" s="1"/>
  <c r="AE72" i="30"/>
  <c r="AG72" i="30" s="1"/>
  <c r="AE71" i="30"/>
  <c r="AG71" i="30" s="1"/>
  <c r="AE70" i="30"/>
  <c r="AG70" i="30" s="1"/>
  <c r="AE69" i="30"/>
  <c r="AG69" i="30" s="1"/>
  <c r="AE68" i="30"/>
  <c r="AG68" i="30" s="1"/>
  <c r="AE67" i="30"/>
  <c r="AG67" i="30" s="1"/>
  <c r="AE66" i="30"/>
  <c r="AG66" i="30" s="1"/>
  <c r="AE65" i="30"/>
  <c r="AG65" i="30" s="1"/>
  <c r="AE64" i="30"/>
  <c r="AG64" i="30" s="1"/>
  <c r="AE63" i="30"/>
  <c r="AG63" i="30" s="1"/>
  <c r="AE62" i="30"/>
  <c r="AG62" i="30" s="1"/>
  <c r="AE61" i="30"/>
  <c r="AG61" i="30" s="1"/>
  <c r="AE60" i="30"/>
  <c r="AG60" i="30" s="1"/>
  <c r="AE59" i="30"/>
  <c r="AG59" i="30" s="1"/>
  <c r="AE58" i="30"/>
  <c r="AG58" i="30" s="1"/>
  <c r="AE57" i="30"/>
  <c r="AG57" i="30" s="1"/>
  <c r="AE56" i="30"/>
  <c r="AG56" i="30" s="1"/>
  <c r="AE55" i="30"/>
  <c r="AG55" i="30" s="1"/>
  <c r="AE54" i="30"/>
  <c r="AG54" i="30" s="1"/>
  <c r="AE53" i="30"/>
  <c r="AG53" i="30" s="1"/>
  <c r="AE52" i="30"/>
  <c r="AG52" i="30" s="1"/>
  <c r="AE51" i="30"/>
  <c r="AG51" i="30" s="1"/>
  <c r="AE50" i="30"/>
  <c r="AG50" i="30" s="1"/>
  <c r="AE49" i="30"/>
  <c r="AG49" i="30" s="1"/>
  <c r="AE48" i="30"/>
  <c r="AG48" i="30" s="1"/>
  <c r="AE47" i="30"/>
  <c r="AG47" i="30" s="1"/>
  <c r="AE46" i="30"/>
  <c r="AG46" i="30" s="1"/>
  <c r="AE45" i="30"/>
  <c r="AG45" i="30" s="1"/>
  <c r="AE44" i="30"/>
  <c r="AG44" i="30" s="1"/>
  <c r="AE43" i="30"/>
  <c r="AG43" i="30" s="1"/>
  <c r="AE42" i="30"/>
  <c r="AG42" i="30" s="1"/>
  <c r="AE41" i="30"/>
  <c r="AG41" i="30" s="1"/>
  <c r="AE40" i="30"/>
  <c r="AG40" i="30" s="1"/>
  <c r="AE39" i="30"/>
  <c r="AG39" i="30" s="1"/>
  <c r="AE38" i="30"/>
  <c r="AG38" i="30" s="1"/>
  <c r="AE37" i="30"/>
  <c r="AG37" i="30" s="1"/>
  <c r="AE36" i="30"/>
  <c r="AG36" i="30" s="1"/>
  <c r="AE35" i="30"/>
  <c r="AG35" i="30" s="1"/>
  <c r="AE34" i="30"/>
  <c r="AG34" i="30" s="1"/>
  <c r="AE33" i="30"/>
  <c r="AG33" i="30" s="1"/>
  <c r="AE32" i="30"/>
  <c r="AG32" i="30" s="1"/>
  <c r="AE31" i="30"/>
  <c r="AG31" i="30" s="1"/>
  <c r="AE30" i="30"/>
  <c r="AG30" i="30" s="1"/>
  <c r="AE29" i="30"/>
  <c r="AG29" i="30" s="1"/>
  <c r="AE28" i="30"/>
  <c r="AG28" i="30" s="1"/>
  <c r="AE27" i="30"/>
  <c r="AG27" i="30" s="1"/>
  <c r="AE26" i="30"/>
  <c r="AG26" i="30" s="1"/>
  <c r="AE25" i="30"/>
  <c r="AG25" i="30" s="1"/>
  <c r="AE24" i="30"/>
  <c r="AG24" i="30" s="1"/>
  <c r="AE23" i="30"/>
  <c r="AG23" i="30" s="1"/>
  <c r="AE22" i="30"/>
  <c r="AG22" i="30" s="1"/>
  <c r="AE21" i="30"/>
  <c r="AG21" i="30" s="1"/>
  <c r="AE20" i="30"/>
  <c r="AG20" i="30" s="1"/>
  <c r="AE19" i="30"/>
  <c r="AG19" i="30" s="1"/>
  <c r="AE18" i="30"/>
  <c r="AG18" i="30" s="1"/>
  <c r="AE17" i="30"/>
  <c r="AG17" i="30" s="1"/>
  <c r="AE16" i="30"/>
  <c r="AG16" i="30" s="1"/>
  <c r="AE15" i="30"/>
  <c r="AG15" i="30" s="1"/>
  <c r="AE14" i="30"/>
  <c r="AG14" i="30" s="1"/>
  <c r="AE13" i="30"/>
  <c r="AG13" i="30" s="1"/>
  <c r="AE12" i="30"/>
  <c r="AG12" i="30" s="1"/>
  <c r="AE11" i="30"/>
  <c r="AG11" i="30" s="1"/>
  <c r="AE10" i="30"/>
  <c r="AG10" i="30" s="1"/>
  <c r="AE9" i="30"/>
  <c r="AG9" i="30" s="1"/>
  <c r="AE8" i="30"/>
  <c r="AG8" i="30" s="1"/>
  <c r="AE7" i="30"/>
  <c r="AG7" i="30" s="1"/>
  <c r="AE6" i="30"/>
  <c r="AG6" i="30" s="1"/>
  <c r="AE5" i="30"/>
  <c r="AG5" i="30" s="1"/>
  <c r="AE4" i="30"/>
  <c r="AG4" i="30" s="1"/>
  <c r="AE3" i="30"/>
  <c r="AG3" i="30" s="1"/>
  <c r="AF2" i="30"/>
  <c r="AH2" i="30" s="1"/>
  <c r="E73" i="12"/>
  <c r="B73" i="12" s="1"/>
  <c r="B256" i="12"/>
  <c r="E277" i="12"/>
  <c r="B277" i="12" s="1"/>
  <c r="B252" i="12"/>
  <c r="B253" i="12"/>
  <c r="B254" i="12"/>
  <c r="E69" i="12"/>
  <c r="B69" i="12" s="1"/>
  <c r="E68" i="12"/>
  <c r="E94" i="12" s="1"/>
  <c r="AF8667" i="30" l="1"/>
  <c r="AH8667" i="30" s="1"/>
  <c r="AF8736" i="30"/>
  <c r="AH8736" i="30" s="1"/>
  <c r="AF8737" i="30"/>
  <c r="AH8737" i="30" s="1"/>
  <c r="AF8738" i="30"/>
  <c r="AH8738" i="30" s="1"/>
  <c r="AF8739" i="30"/>
  <c r="AH8739" i="30" s="1"/>
  <c r="AF8740" i="30"/>
  <c r="AH8740" i="30" s="1"/>
  <c r="AF8741" i="30"/>
  <c r="AH8741" i="30" s="1"/>
  <c r="AF8742" i="30"/>
  <c r="AH8742" i="30" s="1"/>
  <c r="AF8743" i="30"/>
  <c r="AH8743" i="30" s="1"/>
  <c r="AF8744" i="30"/>
  <c r="AH8744" i="30" s="1"/>
  <c r="AF8745" i="30"/>
  <c r="AH8745" i="30" s="1"/>
  <c r="AF8746" i="30"/>
  <c r="AH8746" i="30" s="1"/>
  <c r="AF8747" i="30"/>
  <c r="AH8747" i="30" s="1"/>
  <c r="AF8748" i="30"/>
  <c r="AH8748" i="30" s="1"/>
  <c r="AF8749" i="30"/>
  <c r="AH8749" i="30" s="1"/>
  <c r="AF8750" i="30"/>
  <c r="AH8750" i="30" s="1"/>
  <c r="AF8751" i="30"/>
  <c r="AH8751" i="30" s="1"/>
  <c r="AF8752" i="30"/>
  <c r="AH8752" i="30" s="1"/>
  <c r="AF8753" i="30"/>
  <c r="AH8753" i="30" s="1"/>
  <c r="AF8754" i="30"/>
  <c r="AH8754" i="30" s="1"/>
  <c r="AF8755" i="30"/>
  <c r="AH8755" i="30" s="1"/>
  <c r="AF8756" i="30"/>
  <c r="AH8756" i="30" s="1"/>
  <c r="AF8757" i="30"/>
  <c r="AH8757" i="30" s="1"/>
  <c r="AF8758" i="30"/>
  <c r="AH8758" i="30" s="1"/>
  <c r="T5" i="32"/>
  <c r="AF6193" i="30"/>
  <c r="AH6193" i="30" s="1"/>
  <c r="AF6195" i="30"/>
  <c r="AH6195" i="30" s="1"/>
  <c r="AF6197" i="30"/>
  <c r="AH6197" i="30" s="1"/>
  <c r="AF6199" i="30"/>
  <c r="AH6199" i="30" s="1"/>
  <c r="AF6201" i="30"/>
  <c r="AH6201" i="30" s="1"/>
  <c r="AF6203" i="30"/>
  <c r="AH6203" i="30" s="1"/>
  <c r="AF6205" i="30"/>
  <c r="AH6205" i="30" s="1"/>
  <c r="AF6207" i="30"/>
  <c r="AH6207" i="30" s="1"/>
  <c r="AF6209" i="30"/>
  <c r="AH6209" i="30" s="1"/>
  <c r="AF6211" i="30"/>
  <c r="AH6211" i="30" s="1"/>
  <c r="AF6213" i="30"/>
  <c r="AH6213" i="30" s="1"/>
  <c r="AF6215" i="30"/>
  <c r="AH6215" i="30" s="1"/>
  <c r="AF6217" i="30"/>
  <c r="AH6217" i="30" s="1"/>
  <c r="AF6219" i="30"/>
  <c r="AH6219" i="30" s="1"/>
  <c r="AF6221" i="30"/>
  <c r="AH6221" i="30" s="1"/>
  <c r="AF6223" i="30"/>
  <c r="AH6223" i="30" s="1"/>
  <c r="AF6225" i="30"/>
  <c r="AH6225" i="30" s="1"/>
  <c r="AF6227" i="30"/>
  <c r="AH6227" i="30" s="1"/>
  <c r="AF6229" i="30"/>
  <c r="AH6229" i="30" s="1"/>
  <c r="AF6231" i="30"/>
  <c r="AH6231" i="30" s="1"/>
  <c r="AF6233" i="30"/>
  <c r="AH6233" i="30" s="1"/>
  <c r="AF6235" i="30"/>
  <c r="AH6235" i="30" s="1"/>
  <c r="AF6237" i="30"/>
  <c r="AH6237" i="30" s="1"/>
  <c r="AF8669" i="30"/>
  <c r="AH8669" i="30" s="1"/>
  <c r="AF8670" i="30"/>
  <c r="AH8670" i="30" s="1"/>
  <c r="AF8671" i="30"/>
  <c r="AH8671" i="30" s="1"/>
  <c r="AF8672" i="30"/>
  <c r="AH8672" i="30" s="1"/>
  <c r="AF8673" i="30"/>
  <c r="AH8673" i="30" s="1"/>
  <c r="AF8674" i="30"/>
  <c r="AH8674" i="30" s="1"/>
  <c r="AF8675" i="30"/>
  <c r="AH8675" i="30" s="1"/>
  <c r="AF8676" i="30"/>
  <c r="AH8676" i="30" s="1"/>
  <c r="AF8677" i="30"/>
  <c r="AH8677" i="30" s="1"/>
  <c r="AF8678" i="30"/>
  <c r="AH8678" i="30" s="1"/>
  <c r="AF8679" i="30"/>
  <c r="AH8679" i="30" s="1"/>
  <c r="AF8680" i="30"/>
  <c r="AH8680" i="30" s="1"/>
  <c r="AF8681" i="30"/>
  <c r="AH8681" i="30" s="1"/>
  <c r="AF8682" i="30"/>
  <c r="AH8682" i="30" s="1"/>
  <c r="AF8683" i="30"/>
  <c r="AH8683" i="30" s="1"/>
  <c r="AF8684" i="30"/>
  <c r="AH8684" i="30" s="1"/>
  <c r="AF8685" i="30"/>
  <c r="AH8685" i="30" s="1"/>
  <c r="AF8686" i="30"/>
  <c r="AH8686" i="30" s="1"/>
  <c r="AF8687" i="30"/>
  <c r="AH8687" i="30" s="1"/>
  <c r="AF8688" i="30"/>
  <c r="AH8688" i="30" s="1"/>
  <c r="AF8689" i="30"/>
  <c r="AH8689" i="30" s="1"/>
  <c r="AF8690" i="30"/>
  <c r="AH8690" i="30" s="1"/>
  <c r="AF8691" i="30"/>
  <c r="AH8691" i="30" s="1"/>
  <c r="AF8692" i="30"/>
  <c r="AH8692" i="30" s="1"/>
  <c r="AF8693" i="30"/>
  <c r="AH8693" i="30" s="1"/>
  <c r="AF8694" i="30"/>
  <c r="AH8694" i="30" s="1"/>
  <c r="AF8695" i="30"/>
  <c r="AH8695" i="30" s="1"/>
  <c r="AF8696" i="30"/>
  <c r="AH8696" i="30" s="1"/>
  <c r="AF8697" i="30"/>
  <c r="AH8697" i="30" s="1"/>
  <c r="AF8698" i="30"/>
  <c r="AH8698" i="30" s="1"/>
  <c r="AF8699" i="30"/>
  <c r="AH8699" i="30" s="1"/>
  <c r="AF8700" i="30"/>
  <c r="AH8700" i="30" s="1"/>
  <c r="AF8701" i="30"/>
  <c r="AH8701" i="30" s="1"/>
  <c r="AF8702" i="30"/>
  <c r="AH8702" i="30" s="1"/>
  <c r="AF8703" i="30"/>
  <c r="AH8703" i="30" s="1"/>
  <c r="AF8704" i="30"/>
  <c r="AH8704" i="30" s="1"/>
  <c r="AF8705" i="30"/>
  <c r="AH8705" i="30" s="1"/>
  <c r="AF8706" i="30"/>
  <c r="AH8706" i="30" s="1"/>
  <c r="AF8707" i="30"/>
  <c r="AH8707" i="30" s="1"/>
  <c r="AF8708" i="30"/>
  <c r="AH8708" i="30" s="1"/>
  <c r="AF8709" i="30"/>
  <c r="AH8709" i="30" s="1"/>
  <c r="AF8710" i="30"/>
  <c r="AH8710" i="30" s="1"/>
  <c r="AF8711" i="30"/>
  <c r="AH8711" i="30" s="1"/>
  <c r="AF8712" i="30"/>
  <c r="AH8712" i="30" s="1"/>
  <c r="AF8713" i="30"/>
  <c r="AH8713" i="30" s="1"/>
  <c r="AF8714" i="30"/>
  <c r="AH8714" i="30" s="1"/>
  <c r="AF8715" i="30"/>
  <c r="AH8715" i="30" s="1"/>
  <c r="AF8716" i="30"/>
  <c r="AH8716" i="30" s="1"/>
  <c r="AF8717" i="30"/>
  <c r="AH8717" i="30" s="1"/>
  <c r="AF8718" i="30"/>
  <c r="AH8718" i="30" s="1"/>
  <c r="AF8719" i="30"/>
  <c r="AH8719" i="30" s="1"/>
  <c r="AF8720" i="30"/>
  <c r="AH8720" i="30" s="1"/>
  <c r="AF8721" i="30"/>
  <c r="AH8721" i="30" s="1"/>
  <c r="AF8722" i="30"/>
  <c r="AH8722" i="30" s="1"/>
  <c r="AF8723" i="30"/>
  <c r="AH8723" i="30" s="1"/>
  <c r="AF8724" i="30"/>
  <c r="AH8724" i="30" s="1"/>
  <c r="AF8725" i="30"/>
  <c r="AH8725" i="30" s="1"/>
  <c r="AF8726" i="30"/>
  <c r="AH8726" i="30" s="1"/>
  <c r="AF8727" i="30"/>
  <c r="AH8727" i="30" s="1"/>
  <c r="AF8728" i="30"/>
  <c r="AH8728" i="30" s="1"/>
  <c r="AF8729" i="30"/>
  <c r="AH8729" i="30" s="1"/>
  <c r="AF8730" i="30"/>
  <c r="AH8730" i="30" s="1"/>
  <c r="AF8731" i="30"/>
  <c r="AH8731" i="30" s="1"/>
  <c r="AF8732" i="30"/>
  <c r="AH8732" i="30" s="1"/>
  <c r="AF8733" i="30"/>
  <c r="AH8733" i="30" s="1"/>
  <c r="AF8734" i="30"/>
  <c r="AH8734" i="30" s="1"/>
  <c r="AF8735" i="30"/>
  <c r="AH8735" i="30" s="1"/>
  <c r="AF6133" i="30"/>
  <c r="AH6133" i="30" s="1"/>
  <c r="AF6135" i="30"/>
  <c r="AH6135" i="30" s="1"/>
  <c r="AF6137" i="30"/>
  <c r="AH6137" i="30" s="1"/>
  <c r="AF6139" i="30"/>
  <c r="AH6139" i="30" s="1"/>
  <c r="AF6141" i="30"/>
  <c r="AH6141" i="30" s="1"/>
  <c r="AF6143" i="30"/>
  <c r="AH6143" i="30" s="1"/>
  <c r="AF6145" i="30"/>
  <c r="AH6145" i="30" s="1"/>
  <c r="AF6147" i="30"/>
  <c r="AH6147" i="30" s="1"/>
  <c r="AF6149" i="30"/>
  <c r="AH6149" i="30" s="1"/>
  <c r="AF6151" i="30"/>
  <c r="AH6151" i="30" s="1"/>
  <c r="AF6153" i="30"/>
  <c r="AH6153" i="30" s="1"/>
  <c r="AF6155" i="30"/>
  <c r="AH6155" i="30" s="1"/>
  <c r="AF6157" i="30"/>
  <c r="AH6157" i="30" s="1"/>
  <c r="AF6159" i="30"/>
  <c r="AH6159" i="30" s="1"/>
  <c r="AF6161" i="30"/>
  <c r="AH6161" i="30" s="1"/>
  <c r="AF6163" i="30"/>
  <c r="AH6163" i="30" s="1"/>
  <c r="AF6165" i="30"/>
  <c r="AH6165" i="30" s="1"/>
  <c r="AF6167" i="30"/>
  <c r="AH6167" i="30" s="1"/>
  <c r="AF6169" i="30"/>
  <c r="AH6169" i="30" s="1"/>
  <c r="AF6171" i="30"/>
  <c r="AH6171" i="30" s="1"/>
  <c r="AF6173" i="30"/>
  <c r="AH6173" i="30" s="1"/>
  <c r="AF6175" i="30"/>
  <c r="AH6175" i="30" s="1"/>
  <c r="AF6177" i="30"/>
  <c r="AH6177" i="30" s="1"/>
  <c r="AF6179" i="30"/>
  <c r="AH6179" i="30" s="1"/>
  <c r="AF6181" i="30"/>
  <c r="AH6181" i="30" s="1"/>
  <c r="AF6183" i="30"/>
  <c r="AH6183" i="30" s="1"/>
  <c r="AF6185" i="30"/>
  <c r="AH6185" i="30" s="1"/>
  <c r="AF6187" i="30"/>
  <c r="AH6187" i="30" s="1"/>
  <c r="AF6189" i="30"/>
  <c r="AH6189" i="30" s="1"/>
  <c r="AF6191" i="30"/>
  <c r="AH6191" i="30" s="1"/>
  <c r="AF8499" i="30"/>
  <c r="AH8499" i="30" s="1"/>
  <c r="AF8500" i="30"/>
  <c r="AH8500" i="30" s="1"/>
  <c r="AF8501" i="30"/>
  <c r="AH8501" i="30" s="1"/>
  <c r="AF8502" i="30"/>
  <c r="AH8502" i="30" s="1"/>
  <c r="AF8503" i="30"/>
  <c r="AH8503" i="30" s="1"/>
  <c r="AF8504" i="30"/>
  <c r="AH8504" i="30" s="1"/>
  <c r="AF8505" i="30"/>
  <c r="AH8505" i="30" s="1"/>
  <c r="AF8506" i="30"/>
  <c r="AH8506" i="30" s="1"/>
  <c r="AF8507" i="30"/>
  <c r="AH8507" i="30" s="1"/>
  <c r="AF8508" i="30"/>
  <c r="AH8508" i="30" s="1"/>
  <c r="AF8509" i="30"/>
  <c r="AH8509" i="30" s="1"/>
  <c r="AF8510" i="30"/>
  <c r="AH8510" i="30" s="1"/>
  <c r="AF8511" i="30"/>
  <c r="AH8511" i="30" s="1"/>
  <c r="AF8512" i="30"/>
  <c r="AH8512" i="30" s="1"/>
  <c r="AF8513" i="30"/>
  <c r="AH8513" i="30" s="1"/>
  <c r="AF8514" i="30"/>
  <c r="AH8514" i="30" s="1"/>
  <c r="AF8515" i="30"/>
  <c r="AH8515" i="30" s="1"/>
  <c r="AF8516" i="30"/>
  <c r="AH8516" i="30" s="1"/>
  <c r="AF8517" i="30"/>
  <c r="AH8517" i="30" s="1"/>
  <c r="AF8518" i="30"/>
  <c r="AH8518" i="30" s="1"/>
  <c r="AF8519" i="30"/>
  <c r="AH8519" i="30" s="1"/>
  <c r="AF8520" i="30"/>
  <c r="AH8520" i="30" s="1"/>
  <c r="AF8521" i="30"/>
  <c r="AH8521" i="30" s="1"/>
  <c r="AF8522" i="30"/>
  <c r="AH8522" i="30" s="1"/>
  <c r="AF8523" i="30"/>
  <c r="AH8523" i="30" s="1"/>
  <c r="AF8524" i="30"/>
  <c r="AH8524" i="30" s="1"/>
  <c r="AF8525" i="30"/>
  <c r="AH8525" i="30" s="1"/>
  <c r="AF8526" i="30"/>
  <c r="AH8526" i="30" s="1"/>
  <c r="AF8527" i="30"/>
  <c r="AH8527" i="30" s="1"/>
  <c r="AF8528" i="30"/>
  <c r="AH8528" i="30" s="1"/>
  <c r="AF8529" i="30"/>
  <c r="AH8529" i="30" s="1"/>
  <c r="AF8530" i="30"/>
  <c r="AH8530" i="30" s="1"/>
  <c r="AF8531" i="30"/>
  <c r="AH8531" i="30" s="1"/>
  <c r="AF8532" i="30"/>
  <c r="AH8532" i="30" s="1"/>
  <c r="AF8533" i="30"/>
  <c r="AH8533" i="30" s="1"/>
  <c r="AF8534" i="30"/>
  <c r="AH8534" i="30" s="1"/>
  <c r="AF8535" i="30"/>
  <c r="AH8535" i="30" s="1"/>
  <c r="AF8536" i="30"/>
  <c r="AH8536" i="30" s="1"/>
  <c r="AF8537" i="30"/>
  <c r="AH8537" i="30" s="1"/>
  <c r="AF8538" i="30"/>
  <c r="AH8538" i="30" s="1"/>
  <c r="AF8539" i="30"/>
  <c r="AH8539" i="30" s="1"/>
  <c r="AF8540" i="30"/>
  <c r="AH8540" i="30" s="1"/>
  <c r="AF8541" i="30"/>
  <c r="AH8541" i="30" s="1"/>
  <c r="AF8542" i="30"/>
  <c r="AH8542" i="30" s="1"/>
  <c r="AF8543" i="30"/>
  <c r="AH8543" i="30" s="1"/>
  <c r="AF8544" i="30"/>
  <c r="AH8544" i="30" s="1"/>
  <c r="AF8545" i="30"/>
  <c r="AH8545" i="30" s="1"/>
  <c r="AF8546" i="30"/>
  <c r="AH8546" i="30" s="1"/>
  <c r="AF8547" i="30"/>
  <c r="AH8547" i="30" s="1"/>
  <c r="AF8548" i="30"/>
  <c r="AH8548" i="30" s="1"/>
  <c r="AF8549" i="30"/>
  <c r="AH8549" i="30" s="1"/>
  <c r="AF8550" i="30"/>
  <c r="AH8550" i="30" s="1"/>
  <c r="AF8551" i="30"/>
  <c r="AH8551" i="30" s="1"/>
  <c r="AF8552" i="30"/>
  <c r="AH8552" i="30" s="1"/>
  <c r="AF8553" i="30"/>
  <c r="AH8553" i="30" s="1"/>
  <c r="AF8554" i="30"/>
  <c r="AH8554" i="30" s="1"/>
  <c r="AF8555" i="30"/>
  <c r="AH8555" i="30" s="1"/>
  <c r="AF8556" i="30"/>
  <c r="AH8556" i="30" s="1"/>
  <c r="AF8557" i="30"/>
  <c r="AH8557" i="30" s="1"/>
  <c r="AF8558" i="30"/>
  <c r="AH8558" i="30" s="1"/>
  <c r="AF8559" i="30"/>
  <c r="AH8559" i="30" s="1"/>
  <c r="AF8560" i="30"/>
  <c r="AH8560" i="30" s="1"/>
  <c r="AF8561" i="30"/>
  <c r="AH8561" i="30" s="1"/>
  <c r="AF8562" i="30"/>
  <c r="AH8562" i="30" s="1"/>
  <c r="AF8563" i="30"/>
  <c r="AH8563" i="30" s="1"/>
  <c r="AF8564" i="30"/>
  <c r="AH8564" i="30" s="1"/>
  <c r="AF8565" i="30"/>
  <c r="AH8565" i="30" s="1"/>
  <c r="AF8566" i="30"/>
  <c r="AH8566" i="30" s="1"/>
  <c r="AF8567" i="30"/>
  <c r="AH8567" i="30" s="1"/>
  <c r="AF8568" i="30"/>
  <c r="AH8568" i="30" s="1"/>
  <c r="AF8569" i="30"/>
  <c r="AH8569" i="30" s="1"/>
  <c r="AF8570" i="30"/>
  <c r="AH8570" i="30" s="1"/>
  <c r="AF8571" i="30"/>
  <c r="AH8571" i="30" s="1"/>
  <c r="AF8572" i="30"/>
  <c r="AH8572" i="30" s="1"/>
  <c r="AF8573" i="30"/>
  <c r="AH8573" i="30" s="1"/>
  <c r="AF8574" i="30"/>
  <c r="AH8574" i="30" s="1"/>
  <c r="AF8575" i="30"/>
  <c r="AH8575" i="30" s="1"/>
  <c r="AF8576" i="30"/>
  <c r="AH8576" i="30" s="1"/>
  <c r="AF8577" i="30"/>
  <c r="AH8577" i="30" s="1"/>
  <c r="AF8578" i="30"/>
  <c r="AH8578" i="30" s="1"/>
  <c r="AF8579" i="30"/>
  <c r="AH8579" i="30" s="1"/>
  <c r="AF8580" i="30"/>
  <c r="AH8580" i="30" s="1"/>
  <c r="AF8581" i="30"/>
  <c r="AH8581" i="30" s="1"/>
  <c r="AF8582" i="30"/>
  <c r="AH8582" i="30" s="1"/>
  <c r="AF8583" i="30"/>
  <c r="AH8583" i="30" s="1"/>
  <c r="AF8584" i="30"/>
  <c r="AH8584" i="30" s="1"/>
  <c r="AF8585" i="30"/>
  <c r="AH8585" i="30" s="1"/>
  <c r="AF8586" i="30"/>
  <c r="AH8586" i="30" s="1"/>
  <c r="AF8587" i="30"/>
  <c r="AH8587" i="30" s="1"/>
  <c r="AF8588" i="30"/>
  <c r="AH8588" i="30" s="1"/>
  <c r="AF8589" i="30"/>
  <c r="AH8589" i="30" s="1"/>
  <c r="AF8590" i="30"/>
  <c r="AH8590" i="30" s="1"/>
  <c r="AF8591" i="30"/>
  <c r="AH8591" i="30" s="1"/>
  <c r="AF8592" i="30"/>
  <c r="AH8592" i="30" s="1"/>
  <c r="AF8593" i="30"/>
  <c r="AH8593" i="30" s="1"/>
  <c r="AF8594" i="30"/>
  <c r="AH8594" i="30" s="1"/>
  <c r="AF8595" i="30"/>
  <c r="AH8595" i="30" s="1"/>
  <c r="AF8596" i="30"/>
  <c r="AH8596" i="30" s="1"/>
  <c r="AF8597" i="30"/>
  <c r="AH8597" i="30" s="1"/>
  <c r="AF8598" i="30"/>
  <c r="AH8598" i="30" s="1"/>
  <c r="AF8599" i="30"/>
  <c r="AH8599" i="30" s="1"/>
  <c r="AF8600" i="30"/>
  <c r="AH8600" i="30" s="1"/>
  <c r="AF8601" i="30"/>
  <c r="AH8601" i="30" s="1"/>
  <c r="AF8602" i="30"/>
  <c r="AH8602" i="30" s="1"/>
  <c r="AF8603" i="30"/>
  <c r="AH8603" i="30" s="1"/>
  <c r="AF8604" i="30"/>
  <c r="AH8604" i="30" s="1"/>
  <c r="AF8605" i="30"/>
  <c r="AH8605" i="30" s="1"/>
  <c r="AF8606" i="30"/>
  <c r="AH8606" i="30" s="1"/>
  <c r="AF8607" i="30"/>
  <c r="AH8607" i="30" s="1"/>
  <c r="AF8608" i="30"/>
  <c r="AH8608" i="30" s="1"/>
  <c r="AF8609" i="30"/>
  <c r="AH8609" i="30" s="1"/>
  <c r="AF8610" i="30"/>
  <c r="AH8610" i="30" s="1"/>
  <c r="AF8611" i="30"/>
  <c r="AH8611" i="30" s="1"/>
  <c r="AF8612" i="30"/>
  <c r="AH8612" i="30" s="1"/>
  <c r="AF8613" i="30"/>
  <c r="AH8613" i="30" s="1"/>
  <c r="AF8614" i="30"/>
  <c r="AH8614" i="30" s="1"/>
  <c r="AF8615" i="30"/>
  <c r="AH8615" i="30" s="1"/>
  <c r="AF8616" i="30"/>
  <c r="AH8616" i="30" s="1"/>
  <c r="AF8617" i="30"/>
  <c r="AH8617" i="30" s="1"/>
  <c r="AF8618" i="30"/>
  <c r="AH8618" i="30" s="1"/>
  <c r="AF8619" i="30"/>
  <c r="AH8619" i="30" s="1"/>
  <c r="AF8620" i="30"/>
  <c r="AH8620" i="30" s="1"/>
  <c r="AF8621" i="30"/>
  <c r="AH8621" i="30" s="1"/>
  <c r="AF8622" i="30"/>
  <c r="AH8622" i="30" s="1"/>
  <c r="AF8623" i="30"/>
  <c r="AH8623" i="30" s="1"/>
  <c r="AF8624" i="30"/>
  <c r="AH8624" i="30" s="1"/>
  <c r="AF8625" i="30"/>
  <c r="AH8625" i="30" s="1"/>
  <c r="AF8626" i="30"/>
  <c r="AH8626" i="30" s="1"/>
  <c r="AF8627" i="30"/>
  <c r="AH8627" i="30" s="1"/>
  <c r="AF8628" i="30"/>
  <c r="AH8628" i="30" s="1"/>
  <c r="AF8629" i="30"/>
  <c r="AH8629" i="30" s="1"/>
  <c r="AF8630" i="30"/>
  <c r="AH8630" i="30" s="1"/>
  <c r="AF8631" i="30"/>
  <c r="AH8631" i="30" s="1"/>
  <c r="AF8632" i="30"/>
  <c r="AH8632" i="30" s="1"/>
  <c r="AF8633" i="30"/>
  <c r="AH8633" i="30" s="1"/>
  <c r="AF8634" i="30"/>
  <c r="AH8634" i="30" s="1"/>
  <c r="AF8635" i="30"/>
  <c r="AH8635" i="30" s="1"/>
  <c r="AF8636" i="30"/>
  <c r="AH8636" i="30" s="1"/>
  <c r="AF8637" i="30"/>
  <c r="AH8637" i="30" s="1"/>
  <c r="AF8638" i="30"/>
  <c r="AH8638" i="30" s="1"/>
  <c r="AF8639" i="30"/>
  <c r="AH8639" i="30" s="1"/>
  <c r="AF8640" i="30"/>
  <c r="AH8640" i="30" s="1"/>
  <c r="AF8641" i="30"/>
  <c r="AH8641" i="30" s="1"/>
  <c r="AF8642" i="30"/>
  <c r="AH8642" i="30" s="1"/>
  <c r="AF8643" i="30"/>
  <c r="AH8643" i="30" s="1"/>
  <c r="AF8644" i="30"/>
  <c r="AH8644" i="30" s="1"/>
  <c r="AF8645" i="30"/>
  <c r="AH8645" i="30" s="1"/>
  <c r="AF8646" i="30"/>
  <c r="AH8646" i="30" s="1"/>
  <c r="AF8647" i="30"/>
  <c r="AH8647" i="30" s="1"/>
  <c r="AF8648" i="30"/>
  <c r="AH8648" i="30" s="1"/>
  <c r="AF8649" i="30"/>
  <c r="AH8649" i="30" s="1"/>
  <c r="AF8650" i="30"/>
  <c r="AH8650" i="30" s="1"/>
  <c r="AF8651" i="30"/>
  <c r="AH8651" i="30" s="1"/>
  <c r="AF8652" i="30"/>
  <c r="AH8652" i="30" s="1"/>
  <c r="AF8653" i="30"/>
  <c r="AH8653" i="30" s="1"/>
  <c r="AF8654" i="30"/>
  <c r="AH8654" i="30" s="1"/>
  <c r="AF8655" i="30"/>
  <c r="AH8655" i="30" s="1"/>
  <c r="AF8656" i="30"/>
  <c r="AH8656" i="30" s="1"/>
  <c r="AF8657" i="30"/>
  <c r="AH8657" i="30" s="1"/>
  <c r="AF8658" i="30"/>
  <c r="AH8658" i="30" s="1"/>
  <c r="AF8659" i="30"/>
  <c r="AH8659" i="30" s="1"/>
  <c r="AF8660" i="30"/>
  <c r="AH8660" i="30" s="1"/>
  <c r="AF8661" i="30"/>
  <c r="AH8661" i="30" s="1"/>
  <c r="AF8662" i="30"/>
  <c r="AH8662" i="30" s="1"/>
  <c r="AF8663" i="30"/>
  <c r="AH8663" i="30" s="1"/>
  <c r="AF8664" i="30"/>
  <c r="AH8664" i="30" s="1"/>
  <c r="AF8665" i="30"/>
  <c r="AH8665" i="30" s="1"/>
  <c r="AF8666" i="30"/>
  <c r="AH8666" i="30" s="1"/>
  <c r="AF8668" i="30"/>
  <c r="AH8668" i="30" s="1"/>
  <c r="AG4356" i="30"/>
  <c r="AF4356" i="30"/>
  <c r="AH4356" i="30" s="1"/>
  <c r="AG4358" i="30"/>
  <c r="AF4358" i="30"/>
  <c r="AH4358" i="30" s="1"/>
  <c r="AG4360" i="30"/>
  <c r="AF4360" i="30"/>
  <c r="AH4360" i="30" s="1"/>
  <c r="AG4362" i="30"/>
  <c r="AF4362" i="30"/>
  <c r="AH4362" i="30" s="1"/>
  <c r="AG4364" i="30"/>
  <c r="AF4364" i="30"/>
  <c r="AH4364" i="30" s="1"/>
  <c r="AG4366" i="30"/>
  <c r="AF4366" i="30"/>
  <c r="AH4366" i="30" s="1"/>
  <c r="AG4368" i="30"/>
  <c r="AF4368" i="30"/>
  <c r="AH4368" i="30" s="1"/>
  <c r="AG4370" i="30"/>
  <c r="AF4370" i="30"/>
  <c r="AH4370" i="30" s="1"/>
  <c r="AG4372" i="30"/>
  <c r="AF4372" i="30"/>
  <c r="AH4372" i="30" s="1"/>
  <c r="AG4374" i="30"/>
  <c r="AF4374" i="30"/>
  <c r="AH4374" i="30" s="1"/>
  <c r="AG4376" i="30"/>
  <c r="AF4376" i="30"/>
  <c r="AH4376" i="30" s="1"/>
  <c r="AG4378" i="30"/>
  <c r="AF4378" i="30"/>
  <c r="AH4378" i="30" s="1"/>
  <c r="AG4380" i="30"/>
  <c r="AF4380" i="30"/>
  <c r="AH4380" i="30" s="1"/>
  <c r="AG4382" i="30"/>
  <c r="AF4382" i="30"/>
  <c r="AH4382" i="30" s="1"/>
  <c r="AG4384" i="30"/>
  <c r="AF4384" i="30"/>
  <c r="AH4384" i="30" s="1"/>
  <c r="AG4386" i="30"/>
  <c r="AF4386" i="30"/>
  <c r="AH4386" i="30" s="1"/>
  <c r="AG4388" i="30"/>
  <c r="AF4388" i="30"/>
  <c r="AH4388" i="30" s="1"/>
  <c r="AG4390" i="30"/>
  <c r="AF4390" i="30"/>
  <c r="AH4390" i="30" s="1"/>
  <c r="AG4392" i="30"/>
  <c r="AF4392" i="30"/>
  <c r="AH4392" i="30" s="1"/>
  <c r="AG4394" i="30"/>
  <c r="AF4394" i="30"/>
  <c r="AH4394" i="30" s="1"/>
  <c r="AG4396" i="30"/>
  <c r="AF4396" i="30"/>
  <c r="AH4396" i="30" s="1"/>
  <c r="AG4398" i="30"/>
  <c r="AF4398" i="30"/>
  <c r="AH4398" i="30" s="1"/>
  <c r="AG4400" i="30"/>
  <c r="AF4400" i="30"/>
  <c r="AH4400" i="30" s="1"/>
  <c r="AG4402" i="30"/>
  <c r="AF4402" i="30"/>
  <c r="AH4402" i="30" s="1"/>
  <c r="AG4404" i="30"/>
  <c r="AF4404" i="30"/>
  <c r="AH4404" i="30" s="1"/>
  <c r="AG4406" i="30"/>
  <c r="AF4406" i="30"/>
  <c r="AH4406" i="30" s="1"/>
  <c r="AG4408" i="30"/>
  <c r="AF4408" i="30"/>
  <c r="AH4408" i="30" s="1"/>
  <c r="AG4410" i="30"/>
  <c r="AF4410" i="30"/>
  <c r="AH4410" i="30" s="1"/>
  <c r="AG4412" i="30"/>
  <c r="AF4412" i="30"/>
  <c r="AH4412" i="30" s="1"/>
  <c r="AG4414" i="30"/>
  <c r="AF4414" i="30"/>
  <c r="AH4414" i="30" s="1"/>
  <c r="AG4416" i="30"/>
  <c r="AF4416" i="30"/>
  <c r="AH4416" i="30" s="1"/>
  <c r="AG4418" i="30"/>
  <c r="AF4418" i="30"/>
  <c r="AH4418" i="30" s="1"/>
  <c r="AG4420" i="30"/>
  <c r="AF4420" i="30"/>
  <c r="AH4420" i="30" s="1"/>
  <c r="AG4422" i="30"/>
  <c r="AF4422" i="30"/>
  <c r="AH4422" i="30" s="1"/>
  <c r="AG4424" i="30"/>
  <c r="AF4424" i="30"/>
  <c r="AH4424" i="30" s="1"/>
  <c r="AG4426" i="30"/>
  <c r="AF4426" i="30"/>
  <c r="AH4426" i="30" s="1"/>
  <c r="AG4428" i="30"/>
  <c r="AF4428" i="30"/>
  <c r="AH4428" i="30" s="1"/>
  <c r="AG4430" i="30"/>
  <c r="AF4430" i="30"/>
  <c r="AH4430" i="30" s="1"/>
  <c r="AG4432" i="30"/>
  <c r="AF4432" i="30"/>
  <c r="AH4432" i="30" s="1"/>
  <c r="AG4434" i="30"/>
  <c r="AF4434" i="30"/>
  <c r="AH4434" i="30" s="1"/>
  <c r="AG4436" i="30"/>
  <c r="AF4436" i="30"/>
  <c r="AH4436" i="30" s="1"/>
  <c r="AG4438" i="30"/>
  <c r="AF4438" i="30"/>
  <c r="AH4438" i="30" s="1"/>
  <c r="AG4440" i="30"/>
  <c r="AF4440" i="30"/>
  <c r="AH4440" i="30" s="1"/>
  <c r="AG4442" i="30"/>
  <c r="AF4442" i="30"/>
  <c r="AH4442" i="30" s="1"/>
  <c r="AG4444" i="30"/>
  <c r="AF4444" i="30"/>
  <c r="AH4444" i="30" s="1"/>
  <c r="AG4446" i="30"/>
  <c r="AF4446" i="30"/>
  <c r="AH4446" i="30" s="1"/>
  <c r="AG4448" i="30"/>
  <c r="AF4448" i="30"/>
  <c r="AH4448" i="30" s="1"/>
  <c r="AG4450" i="30"/>
  <c r="AF4450" i="30"/>
  <c r="AH4450" i="30" s="1"/>
  <c r="AG4452" i="30"/>
  <c r="AF4452" i="30"/>
  <c r="AH4452" i="30" s="1"/>
  <c r="AG4454" i="30"/>
  <c r="AF4454" i="30"/>
  <c r="AH4454" i="30" s="1"/>
  <c r="AG4456" i="30"/>
  <c r="AF4456" i="30"/>
  <c r="AH4456" i="30" s="1"/>
  <c r="AG4458" i="30"/>
  <c r="AF4458" i="30"/>
  <c r="AH4458" i="30" s="1"/>
  <c r="AG4460" i="30"/>
  <c r="AF4460" i="30"/>
  <c r="AH4460" i="30" s="1"/>
  <c r="AG4462" i="30"/>
  <c r="AF4462" i="30"/>
  <c r="AH4462" i="30" s="1"/>
  <c r="AG4464" i="30"/>
  <c r="AF4464" i="30"/>
  <c r="AH4464" i="30" s="1"/>
  <c r="AG4466" i="30"/>
  <c r="AF4466" i="30"/>
  <c r="AH4466" i="30" s="1"/>
  <c r="AG4468" i="30"/>
  <c r="AF4468" i="30"/>
  <c r="AH4468" i="30" s="1"/>
  <c r="AG4470" i="30"/>
  <c r="AF4470" i="30"/>
  <c r="AH4470" i="30" s="1"/>
  <c r="AG4472" i="30"/>
  <c r="AF4472" i="30"/>
  <c r="AH4472" i="30" s="1"/>
  <c r="AG4474" i="30"/>
  <c r="AF4474" i="30"/>
  <c r="AH4474" i="30" s="1"/>
  <c r="AG4476" i="30"/>
  <c r="AF4476" i="30"/>
  <c r="AH4476" i="30" s="1"/>
  <c r="AG4478" i="30"/>
  <c r="AF4478" i="30"/>
  <c r="AH4478" i="30" s="1"/>
  <c r="AG4480" i="30"/>
  <c r="AF4480" i="30"/>
  <c r="AH4480" i="30" s="1"/>
  <c r="AG4482" i="30"/>
  <c r="AF4482" i="30"/>
  <c r="AH4482" i="30" s="1"/>
  <c r="AG4484" i="30"/>
  <c r="AF4484" i="30"/>
  <c r="AH4484" i="30" s="1"/>
  <c r="AG4486" i="30"/>
  <c r="AF4486" i="30"/>
  <c r="AH4486" i="30" s="1"/>
  <c r="AG4488" i="30"/>
  <c r="AF4488" i="30"/>
  <c r="AH4488" i="30" s="1"/>
  <c r="AG4490" i="30"/>
  <c r="AF4490" i="30"/>
  <c r="AH4490" i="30" s="1"/>
  <c r="AG4492" i="30"/>
  <c r="AF4492" i="30"/>
  <c r="AH4492" i="30" s="1"/>
  <c r="AG4494" i="30"/>
  <c r="AF4494" i="30"/>
  <c r="AH4494" i="30" s="1"/>
  <c r="AG4496" i="30"/>
  <c r="AF4496" i="30"/>
  <c r="AH4496" i="30" s="1"/>
  <c r="AG4498" i="30"/>
  <c r="AF4498" i="30"/>
  <c r="AH4498" i="30" s="1"/>
  <c r="AG4500" i="30"/>
  <c r="AF4500" i="30"/>
  <c r="AH4500" i="30" s="1"/>
  <c r="AG4502" i="30"/>
  <c r="AF4502" i="30"/>
  <c r="AH4502" i="30" s="1"/>
  <c r="AG4504" i="30"/>
  <c r="AF4504" i="30"/>
  <c r="AH4504" i="30" s="1"/>
  <c r="AG4506" i="30"/>
  <c r="AF4506" i="30"/>
  <c r="AH4506" i="30" s="1"/>
  <c r="AG4508" i="30"/>
  <c r="AF4508" i="30"/>
  <c r="AH4508" i="30" s="1"/>
  <c r="AG4510" i="30"/>
  <c r="AF4510" i="30"/>
  <c r="AH4510" i="30" s="1"/>
  <c r="AG4512" i="30"/>
  <c r="AF4512" i="30"/>
  <c r="AH4512" i="30" s="1"/>
  <c r="AG4514" i="30"/>
  <c r="AF4514" i="30"/>
  <c r="AH4514" i="30" s="1"/>
  <c r="AG4516" i="30"/>
  <c r="AF4516" i="30"/>
  <c r="AH4516" i="30" s="1"/>
  <c r="AG4518" i="30"/>
  <c r="AF4518" i="30"/>
  <c r="AH4518" i="30" s="1"/>
  <c r="AG4520" i="30"/>
  <c r="AF4520" i="30"/>
  <c r="AH4520" i="30" s="1"/>
  <c r="AG4522" i="30"/>
  <c r="AF4522" i="30"/>
  <c r="AH4522" i="30" s="1"/>
  <c r="AG4524" i="30"/>
  <c r="AF4524" i="30"/>
  <c r="AH4524" i="30" s="1"/>
  <c r="AG4526" i="30"/>
  <c r="AF4526" i="30"/>
  <c r="AH4526" i="30" s="1"/>
  <c r="AG4528" i="30"/>
  <c r="AF4528" i="30"/>
  <c r="AH4528" i="30" s="1"/>
  <c r="AG4530" i="30"/>
  <c r="AF4530" i="30"/>
  <c r="AH4530" i="30" s="1"/>
  <c r="AG4532" i="30"/>
  <c r="AF4532" i="30"/>
  <c r="AH4532" i="30" s="1"/>
  <c r="AG4534" i="30"/>
  <c r="AF4534" i="30"/>
  <c r="AH4534" i="30" s="1"/>
  <c r="AG4536" i="30"/>
  <c r="AF4536" i="30"/>
  <c r="AH4536" i="30" s="1"/>
  <c r="AG4538" i="30"/>
  <c r="AF4538" i="30"/>
  <c r="AH4538" i="30" s="1"/>
  <c r="AG4540" i="30"/>
  <c r="AF4540" i="30"/>
  <c r="AH4540" i="30" s="1"/>
  <c r="AG4542" i="30"/>
  <c r="AF4542" i="30"/>
  <c r="AH4542" i="30" s="1"/>
  <c r="AG4544" i="30"/>
  <c r="AF4544" i="30"/>
  <c r="AH4544" i="30" s="1"/>
  <c r="AG4546" i="30"/>
  <c r="AF4546" i="30"/>
  <c r="AH4546" i="30" s="1"/>
  <c r="AG4548" i="30"/>
  <c r="AF4548" i="30"/>
  <c r="AH4548" i="30" s="1"/>
  <c r="AG4550" i="30"/>
  <c r="AF4550" i="30"/>
  <c r="AH4550" i="30" s="1"/>
  <c r="AG4552" i="30"/>
  <c r="AF4552" i="30"/>
  <c r="AH4552" i="30" s="1"/>
  <c r="AG4554" i="30"/>
  <c r="AF4554" i="30"/>
  <c r="AH4554" i="30" s="1"/>
  <c r="AG4556" i="30"/>
  <c r="AF4556" i="30"/>
  <c r="AH4556" i="30" s="1"/>
  <c r="AG4558" i="30"/>
  <c r="AF4558" i="30"/>
  <c r="AH4558" i="30" s="1"/>
  <c r="AG4560" i="30"/>
  <c r="AF4560" i="30"/>
  <c r="AH4560" i="30" s="1"/>
  <c r="AG4562" i="30"/>
  <c r="AF4562" i="30"/>
  <c r="AH4562" i="30" s="1"/>
  <c r="AG4564" i="30"/>
  <c r="AF4564" i="30"/>
  <c r="AH4564" i="30" s="1"/>
  <c r="AG4566" i="30"/>
  <c r="AF4566" i="30"/>
  <c r="AH4566" i="30" s="1"/>
  <c r="AG4568" i="30"/>
  <c r="AF4568" i="30"/>
  <c r="AH4568" i="30" s="1"/>
  <c r="AG4570" i="30"/>
  <c r="AF4570" i="30"/>
  <c r="AH4570" i="30" s="1"/>
  <c r="AG4572" i="30"/>
  <c r="AF4572" i="30"/>
  <c r="AH4572" i="30" s="1"/>
  <c r="AG4574" i="30"/>
  <c r="AF4574" i="30"/>
  <c r="AH4574" i="30" s="1"/>
  <c r="AG4576" i="30"/>
  <c r="AF4576" i="30"/>
  <c r="AH4576" i="30" s="1"/>
  <c r="AG4578" i="30"/>
  <c r="AF4578" i="30"/>
  <c r="AH4578" i="30" s="1"/>
  <c r="AG4580" i="30"/>
  <c r="AF4580" i="30"/>
  <c r="AH4580" i="30" s="1"/>
  <c r="AG4582" i="30"/>
  <c r="AF4582" i="30"/>
  <c r="AH4582" i="30" s="1"/>
  <c r="AG4584" i="30"/>
  <c r="AF4584" i="30"/>
  <c r="AH4584" i="30" s="1"/>
  <c r="AG4586" i="30"/>
  <c r="AF4586" i="30"/>
  <c r="AH4586" i="30" s="1"/>
  <c r="AG4588" i="30"/>
  <c r="AF4588" i="30"/>
  <c r="AH4588" i="30" s="1"/>
  <c r="AG4590" i="30"/>
  <c r="AF4590" i="30"/>
  <c r="AH4590" i="30" s="1"/>
  <c r="AG4592" i="30"/>
  <c r="AF4592" i="30"/>
  <c r="AH4592" i="30" s="1"/>
  <c r="AG4594" i="30"/>
  <c r="AF4594" i="30"/>
  <c r="AH4594" i="30" s="1"/>
  <c r="AG4596" i="30"/>
  <c r="AF4596" i="30"/>
  <c r="AH4596" i="30" s="1"/>
  <c r="AG4598" i="30"/>
  <c r="AF4598" i="30"/>
  <c r="AH4598" i="30" s="1"/>
  <c r="AG4600" i="30"/>
  <c r="AF4600" i="30"/>
  <c r="AH4600" i="30" s="1"/>
  <c r="AG4602" i="30"/>
  <c r="AF4602" i="30"/>
  <c r="AH4602" i="30" s="1"/>
  <c r="AG4604" i="30"/>
  <c r="AF4604" i="30"/>
  <c r="AH4604" i="30" s="1"/>
  <c r="AG4606" i="30"/>
  <c r="AF4606" i="30"/>
  <c r="AH4606" i="30" s="1"/>
  <c r="AG4608" i="30"/>
  <c r="AF4608" i="30"/>
  <c r="AH4608" i="30" s="1"/>
  <c r="AG4610" i="30"/>
  <c r="AF4610" i="30"/>
  <c r="AH4610" i="30" s="1"/>
  <c r="AG4612" i="30"/>
  <c r="AF4612" i="30"/>
  <c r="AH4612" i="30" s="1"/>
  <c r="AG4614" i="30"/>
  <c r="AF4614" i="30"/>
  <c r="AH4614" i="30" s="1"/>
  <c r="AG4616" i="30"/>
  <c r="AF4616" i="30"/>
  <c r="AH4616" i="30" s="1"/>
  <c r="AG4618" i="30"/>
  <c r="AF4618" i="30"/>
  <c r="AH4618" i="30" s="1"/>
  <c r="AG4620" i="30"/>
  <c r="AF4620" i="30"/>
  <c r="AH4620" i="30" s="1"/>
  <c r="AG4622" i="30"/>
  <c r="AF4622" i="30"/>
  <c r="AH4622" i="30" s="1"/>
  <c r="AG4624" i="30"/>
  <c r="AF4624" i="30"/>
  <c r="AH4624" i="30" s="1"/>
  <c r="AG4626" i="30"/>
  <c r="AF4626" i="30"/>
  <c r="AH4626" i="30" s="1"/>
  <c r="AG4628" i="30"/>
  <c r="AF4628" i="30"/>
  <c r="AH4628" i="30" s="1"/>
  <c r="AG4630" i="30"/>
  <c r="AF4630" i="30"/>
  <c r="AH4630" i="30" s="1"/>
  <c r="AG4632" i="30"/>
  <c r="AF4632" i="30"/>
  <c r="AH4632" i="30" s="1"/>
  <c r="AG4634" i="30"/>
  <c r="AF4634" i="30"/>
  <c r="AH4634" i="30" s="1"/>
  <c r="AG4636" i="30"/>
  <c r="AF4636" i="30"/>
  <c r="AH4636" i="30" s="1"/>
  <c r="AG4638" i="30"/>
  <c r="AF4638" i="30"/>
  <c r="AH4638" i="30" s="1"/>
  <c r="AG4640" i="30"/>
  <c r="AF4640" i="30"/>
  <c r="AH4640" i="30" s="1"/>
  <c r="AG4642" i="30"/>
  <c r="AF4642" i="30"/>
  <c r="AH4642" i="30" s="1"/>
  <c r="AG4644" i="30"/>
  <c r="AF4644" i="30"/>
  <c r="AH4644" i="30" s="1"/>
  <c r="AG4646" i="30"/>
  <c r="AF4646" i="30"/>
  <c r="AH4646" i="30" s="1"/>
  <c r="AG4648" i="30"/>
  <c r="AF4648" i="30"/>
  <c r="AH4648" i="30" s="1"/>
  <c r="AG4650" i="30"/>
  <c r="AF4650" i="30"/>
  <c r="AH4650" i="30" s="1"/>
  <c r="AG4652" i="30"/>
  <c r="AF4652" i="30"/>
  <c r="AH4652" i="30" s="1"/>
  <c r="AG4654" i="30"/>
  <c r="AF4654" i="30"/>
  <c r="AH4654" i="30" s="1"/>
  <c r="AG4656" i="30"/>
  <c r="AF4656" i="30"/>
  <c r="AH4656" i="30" s="1"/>
  <c r="AG4658" i="30"/>
  <c r="AF4658" i="30"/>
  <c r="AH4658" i="30" s="1"/>
  <c r="AG4660" i="30"/>
  <c r="AF4660" i="30"/>
  <c r="AH4660" i="30" s="1"/>
  <c r="AG4662" i="30"/>
  <c r="AF4662" i="30"/>
  <c r="AH4662" i="30" s="1"/>
  <c r="AG4664" i="30"/>
  <c r="AF4664" i="30"/>
  <c r="AH4664" i="30" s="1"/>
  <c r="AG4666" i="30"/>
  <c r="AF4666" i="30"/>
  <c r="AH4666" i="30" s="1"/>
  <c r="AG4668" i="30"/>
  <c r="AF4668" i="30"/>
  <c r="AH4668" i="30" s="1"/>
  <c r="AG4670" i="30"/>
  <c r="AF4670" i="30"/>
  <c r="AH4670" i="30" s="1"/>
  <c r="AG4672" i="30"/>
  <c r="AF4672" i="30"/>
  <c r="AH4672" i="30" s="1"/>
  <c r="AG4674" i="30"/>
  <c r="AF4674" i="30"/>
  <c r="AH4674" i="30" s="1"/>
  <c r="AG4676" i="30"/>
  <c r="AF4676" i="30"/>
  <c r="AH4676" i="30" s="1"/>
  <c r="AG4678" i="30"/>
  <c r="AF4678" i="30"/>
  <c r="AH4678" i="30" s="1"/>
  <c r="AG4680" i="30"/>
  <c r="AF4680" i="30"/>
  <c r="AH4680" i="30" s="1"/>
  <c r="AG4682" i="30"/>
  <c r="AF4682" i="30"/>
  <c r="AH4682" i="30" s="1"/>
  <c r="AG4684" i="30"/>
  <c r="AF4684" i="30"/>
  <c r="AH4684" i="30" s="1"/>
  <c r="AG4686" i="30"/>
  <c r="AF4686" i="30"/>
  <c r="AH4686" i="30" s="1"/>
  <c r="AG4688" i="30"/>
  <c r="AF4688" i="30"/>
  <c r="AH4688" i="30" s="1"/>
  <c r="AG4690" i="30"/>
  <c r="AF4690" i="30"/>
  <c r="AH4690" i="30" s="1"/>
  <c r="AG4692" i="30"/>
  <c r="AF4692" i="30"/>
  <c r="AH4692" i="30" s="1"/>
  <c r="AG4694" i="30"/>
  <c r="AF4694" i="30"/>
  <c r="AH4694" i="30" s="1"/>
  <c r="AG4696" i="30"/>
  <c r="AF4696" i="30"/>
  <c r="AH4696" i="30" s="1"/>
  <c r="AG4698" i="30"/>
  <c r="AF4698" i="30"/>
  <c r="AH4698" i="30" s="1"/>
  <c r="AG4700" i="30"/>
  <c r="AF4700" i="30"/>
  <c r="AH4700" i="30" s="1"/>
  <c r="AG4702" i="30"/>
  <c r="AF4702" i="30"/>
  <c r="AH4702" i="30" s="1"/>
  <c r="AG4704" i="30"/>
  <c r="AF4704" i="30"/>
  <c r="AH4704" i="30" s="1"/>
  <c r="AG4706" i="30"/>
  <c r="AF4706" i="30"/>
  <c r="AH4706" i="30" s="1"/>
  <c r="AG4708" i="30"/>
  <c r="AF4708" i="30"/>
  <c r="AH4708" i="30" s="1"/>
  <c r="AG4710" i="30"/>
  <c r="AF4710" i="30"/>
  <c r="AH4710" i="30" s="1"/>
  <c r="AG4712" i="30"/>
  <c r="AF4712" i="30"/>
  <c r="AH4712" i="30" s="1"/>
  <c r="AG4714" i="30"/>
  <c r="AF4714" i="30"/>
  <c r="AH4714" i="30" s="1"/>
  <c r="AG4716" i="30"/>
  <c r="AF4716" i="30"/>
  <c r="AH4716" i="30" s="1"/>
  <c r="AG4718" i="30"/>
  <c r="AF4718" i="30"/>
  <c r="AH4718" i="30" s="1"/>
  <c r="AG4720" i="30"/>
  <c r="AF4720" i="30"/>
  <c r="AH4720" i="30" s="1"/>
  <c r="AG4722" i="30"/>
  <c r="AF4722" i="30"/>
  <c r="AH4722" i="30" s="1"/>
  <c r="AG4724" i="30"/>
  <c r="AF4724" i="30"/>
  <c r="AH4724" i="30" s="1"/>
  <c r="AG4726" i="30"/>
  <c r="AF4726" i="30"/>
  <c r="AH4726" i="30" s="1"/>
  <c r="AG4728" i="30"/>
  <c r="AF4728" i="30"/>
  <c r="AH4728" i="30" s="1"/>
  <c r="AG4730" i="30"/>
  <c r="AF4730" i="30"/>
  <c r="AH4730" i="30" s="1"/>
  <c r="AG4732" i="30"/>
  <c r="AF4732" i="30"/>
  <c r="AH4732" i="30" s="1"/>
  <c r="AG4734" i="30"/>
  <c r="AF4734" i="30"/>
  <c r="AH4734" i="30" s="1"/>
  <c r="AG4736" i="30"/>
  <c r="AF4736" i="30"/>
  <c r="AH4736" i="30" s="1"/>
  <c r="AG4738" i="30"/>
  <c r="AF4738" i="30"/>
  <c r="AH4738" i="30" s="1"/>
  <c r="AG4740" i="30"/>
  <c r="AF4740" i="30"/>
  <c r="AH4740" i="30" s="1"/>
  <c r="AG4742" i="30"/>
  <c r="AF4742" i="30"/>
  <c r="AH4742" i="30" s="1"/>
  <c r="AG4744" i="30"/>
  <c r="AF4744" i="30"/>
  <c r="AH4744" i="30" s="1"/>
  <c r="AG4746" i="30"/>
  <c r="AF4746" i="30"/>
  <c r="AH4746" i="30" s="1"/>
  <c r="AG4748" i="30"/>
  <c r="AF4748" i="30"/>
  <c r="AH4748" i="30" s="1"/>
  <c r="AG4750" i="30"/>
  <c r="AF4750" i="30"/>
  <c r="AH4750" i="30" s="1"/>
  <c r="AG4752" i="30"/>
  <c r="AF4752" i="30"/>
  <c r="AH4752" i="30" s="1"/>
  <c r="AG4754" i="30"/>
  <c r="AF4754" i="30"/>
  <c r="AH4754" i="30" s="1"/>
  <c r="AG4756" i="30"/>
  <c r="AF4756" i="30"/>
  <c r="AH4756" i="30" s="1"/>
  <c r="AG4758" i="30"/>
  <c r="AF4758" i="30"/>
  <c r="AH4758" i="30" s="1"/>
  <c r="AG4760" i="30"/>
  <c r="AF4760" i="30"/>
  <c r="AH4760" i="30" s="1"/>
  <c r="AG4762" i="30"/>
  <c r="AF4762" i="30"/>
  <c r="AH4762" i="30" s="1"/>
  <c r="AG4764" i="30"/>
  <c r="AF4764" i="30"/>
  <c r="AH4764" i="30" s="1"/>
  <c r="AG4766" i="30"/>
  <c r="AF4766" i="30"/>
  <c r="AH4766" i="30" s="1"/>
  <c r="AG4768" i="30"/>
  <c r="AF4768" i="30"/>
  <c r="AH4768" i="30" s="1"/>
  <c r="AG4770" i="30"/>
  <c r="AF4770" i="30"/>
  <c r="AH4770" i="30" s="1"/>
  <c r="AG4772" i="30"/>
  <c r="AF4772" i="30"/>
  <c r="AH4772" i="30" s="1"/>
  <c r="AG4774" i="30"/>
  <c r="AF4774" i="30"/>
  <c r="AH4774" i="30" s="1"/>
  <c r="AG4776" i="30"/>
  <c r="AF4776" i="30"/>
  <c r="AH4776" i="30" s="1"/>
  <c r="AG4778" i="30"/>
  <c r="AF4778" i="30"/>
  <c r="AH4778" i="30" s="1"/>
  <c r="AG4780" i="30"/>
  <c r="AF4780" i="30"/>
  <c r="AH4780" i="30" s="1"/>
  <c r="AG4782" i="30"/>
  <c r="AF4782" i="30"/>
  <c r="AH4782" i="30" s="1"/>
  <c r="AG4784" i="30"/>
  <c r="AF4784" i="30"/>
  <c r="AH4784" i="30" s="1"/>
  <c r="AG4786" i="30"/>
  <c r="AF4786" i="30"/>
  <c r="AH4786" i="30" s="1"/>
  <c r="AG4788" i="30"/>
  <c r="AF4788" i="30"/>
  <c r="AH4788" i="30" s="1"/>
  <c r="AG4790" i="30"/>
  <c r="AF4790" i="30"/>
  <c r="AH4790" i="30" s="1"/>
  <c r="AG4792" i="30"/>
  <c r="AF4792" i="30"/>
  <c r="AH4792" i="30" s="1"/>
  <c r="AG4795" i="30"/>
  <c r="AF4795" i="30"/>
  <c r="AH4795" i="30" s="1"/>
  <c r="AG4799" i="30"/>
  <c r="AF4799" i="30"/>
  <c r="AH4799" i="30" s="1"/>
  <c r="AG4803" i="30"/>
  <c r="AF4803" i="30"/>
  <c r="AH4803" i="30" s="1"/>
  <c r="AG4807" i="30"/>
  <c r="AF4807" i="30"/>
  <c r="AH4807" i="30" s="1"/>
  <c r="AG4811" i="30"/>
  <c r="AF4811" i="30"/>
  <c r="AH4811" i="30" s="1"/>
  <c r="AG4815" i="30"/>
  <c r="AF4815" i="30"/>
  <c r="AH4815" i="30" s="1"/>
  <c r="AG4819" i="30"/>
  <c r="AF4819" i="30"/>
  <c r="AH4819" i="30" s="1"/>
  <c r="AG4823" i="30"/>
  <c r="AF4823" i="30"/>
  <c r="AH4823" i="30" s="1"/>
  <c r="AG4827" i="30"/>
  <c r="AF4827" i="30"/>
  <c r="AH4827" i="30" s="1"/>
  <c r="AG4831" i="30"/>
  <c r="AF4831" i="30"/>
  <c r="AH4831" i="30" s="1"/>
  <c r="AG4835" i="30"/>
  <c r="AF4835" i="30"/>
  <c r="AH4835" i="30" s="1"/>
  <c r="AG4839" i="30"/>
  <c r="AF4839" i="30"/>
  <c r="AH4839" i="30" s="1"/>
  <c r="AG4843" i="30"/>
  <c r="AF4843" i="30"/>
  <c r="AH4843" i="30" s="1"/>
  <c r="AG4847" i="30"/>
  <c r="AF4847" i="30"/>
  <c r="AH4847" i="30" s="1"/>
  <c r="AG4851" i="30"/>
  <c r="AF4851" i="30"/>
  <c r="AH4851" i="30" s="1"/>
  <c r="AG4855" i="30"/>
  <c r="AF4855" i="30"/>
  <c r="AH4855" i="30" s="1"/>
  <c r="AG4859" i="30"/>
  <c r="AF4859" i="30"/>
  <c r="AH4859" i="30" s="1"/>
  <c r="AG4863" i="30"/>
  <c r="AF4863" i="30"/>
  <c r="AH4863" i="30" s="1"/>
  <c r="AG4867" i="30"/>
  <c r="AF4867" i="30"/>
  <c r="AH4867" i="30" s="1"/>
  <c r="AG4871" i="30"/>
  <c r="AF4871" i="30"/>
  <c r="AH4871" i="30" s="1"/>
  <c r="AG4875" i="30"/>
  <c r="AF4875" i="30"/>
  <c r="AH4875" i="30" s="1"/>
  <c r="AG4879" i="30"/>
  <c r="AF4879" i="30"/>
  <c r="AH4879" i="30" s="1"/>
  <c r="AG4883" i="30"/>
  <c r="AF4883" i="30"/>
  <c r="AH4883" i="30" s="1"/>
  <c r="AG4887" i="30"/>
  <c r="AF4887" i="30"/>
  <c r="AH4887" i="30" s="1"/>
  <c r="AG4891" i="30"/>
  <c r="AF4891" i="30"/>
  <c r="AH4891" i="30" s="1"/>
  <c r="AG4895" i="30"/>
  <c r="AF4895" i="30"/>
  <c r="AH4895" i="30" s="1"/>
  <c r="AG4899" i="30"/>
  <c r="AF4899" i="30"/>
  <c r="AH4899" i="30" s="1"/>
  <c r="AG4903" i="30"/>
  <c r="AF4903" i="30"/>
  <c r="AH4903" i="30" s="1"/>
  <c r="AG4907" i="30"/>
  <c r="AF4907" i="30"/>
  <c r="AH4907" i="30" s="1"/>
  <c r="AG4911" i="30"/>
  <c r="AF4911" i="30"/>
  <c r="AH4911" i="30" s="1"/>
  <c r="AG4915" i="30"/>
  <c r="AF4915" i="30"/>
  <c r="AH4915" i="30" s="1"/>
  <c r="AG4919" i="30"/>
  <c r="AF4919" i="30"/>
  <c r="AH4919" i="30" s="1"/>
  <c r="AG4923" i="30"/>
  <c r="AF4923" i="30"/>
  <c r="AH4923" i="30" s="1"/>
  <c r="AG4927" i="30"/>
  <c r="AF4927" i="30"/>
  <c r="AH4927" i="30" s="1"/>
  <c r="AG4931" i="30"/>
  <c r="AF4931" i="30"/>
  <c r="AH4931" i="30" s="1"/>
  <c r="AG4935" i="30"/>
  <c r="AF4935" i="30"/>
  <c r="AH4935" i="30" s="1"/>
  <c r="AG4939" i="30"/>
  <c r="AF4939" i="30"/>
  <c r="AH4939" i="30" s="1"/>
  <c r="AG4943" i="30"/>
  <c r="AF4943" i="30"/>
  <c r="AH4943" i="30" s="1"/>
  <c r="AG4947" i="30"/>
  <c r="AF4947" i="30"/>
  <c r="AH4947" i="30" s="1"/>
  <c r="AG4951" i="30"/>
  <c r="AF4951" i="30"/>
  <c r="AH4951" i="30" s="1"/>
  <c r="AG4955" i="30"/>
  <c r="AF4955" i="30"/>
  <c r="AH4955" i="30" s="1"/>
  <c r="AG4959" i="30"/>
  <c r="AF4959" i="30"/>
  <c r="AH4959" i="30" s="1"/>
  <c r="AG4963" i="30"/>
  <c r="AF4963" i="30"/>
  <c r="AH4963" i="30" s="1"/>
  <c r="AG4967" i="30"/>
  <c r="AF4967" i="30"/>
  <c r="AH4967" i="30" s="1"/>
  <c r="AG4971" i="30"/>
  <c r="AF4971" i="30"/>
  <c r="AH4971" i="30" s="1"/>
  <c r="AG4975" i="30"/>
  <c r="AF4975" i="30"/>
  <c r="AH4975" i="30" s="1"/>
  <c r="AG4979" i="30"/>
  <c r="AF4979" i="30"/>
  <c r="AH4979" i="30" s="1"/>
  <c r="AG4983" i="30"/>
  <c r="AF4983" i="30"/>
  <c r="AH4983" i="30" s="1"/>
  <c r="AG4987" i="30"/>
  <c r="AF4987" i="30"/>
  <c r="AH4987" i="30" s="1"/>
  <c r="AG4991" i="30"/>
  <c r="AF4991" i="30"/>
  <c r="AH4991" i="30" s="1"/>
  <c r="AG4995" i="30"/>
  <c r="AF4995" i="30"/>
  <c r="AH4995" i="30" s="1"/>
  <c r="AG4999" i="30"/>
  <c r="AF4999" i="30"/>
  <c r="AH4999" i="30" s="1"/>
  <c r="AG5003" i="30"/>
  <c r="AF5003" i="30"/>
  <c r="AH5003" i="30" s="1"/>
  <c r="AG5007" i="30"/>
  <c r="AF5007" i="30"/>
  <c r="AH5007" i="30" s="1"/>
  <c r="AG5011" i="30"/>
  <c r="AF5011" i="30"/>
  <c r="AH5011" i="30" s="1"/>
  <c r="AG5015" i="30"/>
  <c r="AF5015" i="30"/>
  <c r="AH5015" i="30" s="1"/>
  <c r="AG5019" i="30"/>
  <c r="AF5019" i="30"/>
  <c r="AH5019" i="30" s="1"/>
  <c r="AG5023" i="30"/>
  <c r="AF5023" i="30"/>
  <c r="AH5023" i="30" s="1"/>
  <c r="AG5027" i="30"/>
  <c r="AF5027" i="30"/>
  <c r="AH5027" i="30" s="1"/>
  <c r="AG5031" i="30"/>
  <c r="AF5031" i="30"/>
  <c r="AH5031" i="30" s="1"/>
  <c r="AG5035" i="30"/>
  <c r="AF5035" i="30"/>
  <c r="AH5035" i="30" s="1"/>
  <c r="AG5039" i="30"/>
  <c r="AF5039" i="30"/>
  <c r="AH5039" i="30" s="1"/>
  <c r="AG5043" i="30"/>
  <c r="AF5043" i="30"/>
  <c r="AH5043" i="30" s="1"/>
  <c r="AG5047" i="30"/>
  <c r="AF5047" i="30"/>
  <c r="AH5047" i="30" s="1"/>
  <c r="AG5051" i="30"/>
  <c r="AF5051" i="30"/>
  <c r="AH5051" i="30" s="1"/>
  <c r="AG5055" i="30"/>
  <c r="AF5055" i="30"/>
  <c r="AH5055" i="30" s="1"/>
  <c r="AG5059" i="30"/>
  <c r="AF5059" i="30"/>
  <c r="AH5059" i="30" s="1"/>
  <c r="AG5063" i="30"/>
  <c r="AF5063" i="30"/>
  <c r="AH5063" i="30" s="1"/>
  <c r="AG5766" i="30"/>
  <c r="AF5766" i="30"/>
  <c r="AH5766" i="30" s="1"/>
  <c r="AG5770" i="30"/>
  <c r="AF5770" i="30"/>
  <c r="AH5770" i="30" s="1"/>
  <c r="AG5774" i="30"/>
  <c r="AF5774" i="30"/>
  <c r="AH5774" i="30" s="1"/>
  <c r="AG5778" i="30"/>
  <c r="AF5778" i="30"/>
  <c r="AH5778" i="30" s="1"/>
  <c r="AG5782" i="30"/>
  <c r="AF5782" i="30"/>
  <c r="AH5782" i="30" s="1"/>
  <c r="AG5786" i="30"/>
  <c r="AF5786" i="30"/>
  <c r="AH5786" i="30" s="1"/>
  <c r="AG5790" i="30"/>
  <c r="AF5790" i="30"/>
  <c r="AH5790" i="30" s="1"/>
  <c r="AG5794" i="30"/>
  <c r="AF5794" i="30"/>
  <c r="AH5794" i="30" s="1"/>
  <c r="AG5798" i="30"/>
  <c r="AF5798" i="30"/>
  <c r="AH5798" i="30" s="1"/>
  <c r="AG5802" i="30"/>
  <c r="AF5802" i="30"/>
  <c r="AH5802" i="30" s="1"/>
  <c r="AG5806" i="30"/>
  <c r="AF5806" i="30"/>
  <c r="AH5806" i="30" s="1"/>
  <c r="AG5810" i="30"/>
  <c r="AF5810" i="30"/>
  <c r="AH5810" i="30" s="1"/>
  <c r="AG5814" i="30"/>
  <c r="AF5814" i="30"/>
  <c r="AH5814" i="30" s="1"/>
  <c r="AG5818" i="30"/>
  <c r="AF5818" i="30"/>
  <c r="AH5818" i="30" s="1"/>
  <c r="AG5822" i="30"/>
  <c r="AF5822" i="30"/>
  <c r="AH5822" i="30" s="1"/>
  <c r="AG5826" i="30"/>
  <c r="AF5826" i="30"/>
  <c r="AH5826" i="30" s="1"/>
  <c r="AG5830" i="30"/>
  <c r="AF5830" i="30"/>
  <c r="AH5830" i="30" s="1"/>
  <c r="AG5834" i="30"/>
  <c r="AF5834" i="30"/>
  <c r="AH5834" i="30" s="1"/>
  <c r="AG5838" i="30"/>
  <c r="AF5838" i="30"/>
  <c r="AH5838" i="30" s="1"/>
  <c r="AG5842" i="30"/>
  <c r="AF5842" i="30"/>
  <c r="AH5842" i="30" s="1"/>
  <c r="AG5846" i="30"/>
  <c r="AF5846" i="30"/>
  <c r="AH5846" i="30" s="1"/>
  <c r="AG5850" i="30"/>
  <c r="AF5850" i="30"/>
  <c r="AH5850" i="30" s="1"/>
  <c r="AG5854" i="30"/>
  <c r="AF5854" i="30"/>
  <c r="AH5854" i="30" s="1"/>
  <c r="AG5858" i="30"/>
  <c r="AF5858" i="30"/>
  <c r="AH5858" i="30" s="1"/>
  <c r="AG5862" i="30"/>
  <c r="AF5862" i="30"/>
  <c r="AH5862" i="30" s="1"/>
  <c r="AG5866" i="30"/>
  <c r="AF5866" i="30"/>
  <c r="AH5866" i="30" s="1"/>
  <c r="AG5870" i="30"/>
  <c r="AF5870" i="30"/>
  <c r="AH5870" i="30" s="1"/>
  <c r="AG5874" i="30"/>
  <c r="AF5874" i="30"/>
  <c r="AH5874" i="30" s="1"/>
  <c r="AG5878" i="30"/>
  <c r="AF5878" i="30"/>
  <c r="AH5878" i="30" s="1"/>
  <c r="AG5882" i="30"/>
  <c r="AF5882" i="30"/>
  <c r="AH5882" i="30" s="1"/>
  <c r="AG5886" i="30"/>
  <c r="AF5886" i="30"/>
  <c r="AH5886" i="30" s="1"/>
  <c r="AG5890" i="30"/>
  <c r="AF5890" i="30"/>
  <c r="AH5890" i="30" s="1"/>
  <c r="AG5894" i="30"/>
  <c r="AF5894" i="30"/>
  <c r="AH5894" i="30" s="1"/>
  <c r="AG5898" i="30"/>
  <c r="AF5898" i="30"/>
  <c r="AH5898" i="30" s="1"/>
  <c r="AG5902" i="30"/>
  <c r="AF5902" i="30"/>
  <c r="AH5902" i="30" s="1"/>
  <c r="AG5906" i="30"/>
  <c r="AF5906" i="30"/>
  <c r="AH5906" i="30" s="1"/>
  <c r="AG5910" i="30"/>
  <c r="AF5910" i="30"/>
  <c r="AH5910" i="30" s="1"/>
  <c r="AG5914" i="30"/>
  <c r="AF5914" i="30"/>
  <c r="AH5914" i="30" s="1"/>
  <c r="AG5918" i="30"/>
  <c r="AF5918" i="30"/>
  <c r="AH5918" i="30" s="1"/>
  <c r="AG5922" i="30"/>
  <c r="AF5922" i="30"/>
  <c r="AH5922" i="30" s="1"/>
  <c r="AG5926" i="30"/>
  <c r="AF5926" i="30"/>
  <c r="AH5926" i="30" s="1"/>
  <c r="AG5930" i="30"/>
  <c r="AF5930" i="30"/>
  <c r="AH5930" i="30" s="1"/>
  <c r="AG5934" i="30"/>
  <c r="AF5934" i="30"/>
  <c r="AH5934" i="30" s="1"/>
  <c r="AG5938" i="30"/>
  <c r="AF5938" i="30"/>
  <c r="AH5938" i="30" s="1"/>
  <c r="AG5942" i="30"/>
  <c r="AF5942" i="30"/>
  <c r="AH5942" i="30" s="1"/>
  <c r="AG5946" i="30"/>
  <c r="AF5946" i="30"/>
  <c r="AH5946" i="30" s="1"/>
  <c r="AG5950" i="30"/>
  <c r="AF5950" i="30"/>
  <c r="AH5950" i="30" s="1"/>
  <c r="AG5954" i="30"/>
  <c r="AF5954" i="30"/>
  <c r="AH5954" i="30" s="1"/>
  <c r="AG5958" i="30"/>
  <c r="AF5958" i="30"/>
  <c r="AH5958" i="30" s="1"/>
  <c r="AG5962" i="30"/>
  <c r="AF5962" i="30"/>
  <c r="AH5962" i="30" s="1"/>
  <c r="AG5966" i="30"/>
  <c r="AF5966" i="30"/>
  <c r="AH5966" i="30" s="1"/>
  <c r="AG5970" i="30"/>
  <c r="AF5970" i="30"/>
  <c r="AH5970" i="30" s="1"/>
  <c r="AG5974" i="30"/>
  <c r="AF5974" i="30"/>
  <c r="AH5974" i="30" s="1"/>
  <c r="AG5978" i="30"/>
  <c r="AF5978" i="30"/>
  <c r="AH5978" i="30" s="1"/>
  <c r="AG5982" i="30"/>
  <c r="AF5982" i="30"/>
  <c r="AH5982" i="30" s="1"/>
  <c r="AG5986" i="30"/>
  <c r="AF5986" i="30"/>
  <c r="AH5986" i="30" s="1"/>
  <c r="AG5990" i="30"/>
  <c r="AF5990" i="30"/>
  <c r="AH5990" i="30" s="1"/>
  <c r="AG5994" i="30"/>
  <c r="AF5994" i="30"/>
  <c r="AH5994" i="30" s="1"/>
  <c r="AG5998" i="30"/>
  <c r="AF5998" i="30"/>
  <c r="AH5998" i="30" s="1"/>
  <c r="AG6002" i="30"/>
  <c r="AF6002" i="30"/>
  <c r="AH6002" i="30" s="1"/>
  <c r="AG6006" i="30"/>
  <c r="AF6006" i="30"/>
  <c r="AH6006" i="30" s="1"/>
  <c r="AG6010" i="30"/>
  <c r="AF6010" i="30"/>
  <c r="AH6010" i="30" s="1"/>
  <c r="AG6014" i="30"/>
  <c r="AF6014" i="30"/>
  <c r="AH6014" i="30" s="1"/>
  <c r="AG6018" i="30"/>
  <c r="AF6018" i="30"/>
  <c r="AH6018" i="30" s="1"/>
  <c r="AG6022" i="30"/>
  <c r="AF6022" i="30"/>
  <c r="AH6022" i="30" s="1"/>
  <c r="AG6026" i="30"/>
  <c r="AF6026" i="30"/>
  <c r="AH6026" i="30" s="1"/>
  <c r="AG6030" i="30"/>
  <c r="AF6030" i="30"/>
  <c r="AH6030" i="30" s="1"/>
  <c r="AG6034" i="30"/>
  <c r="AF6034" i="30"/>
  <c r="AH6034" i="30" s="1"/>
  <c r="AG6038" i="30"/>
  <c r="AF6038" i="30"/>
  <c r="AH6038" i="30" s="1"/>
  <c r="AG6042" i="30"/>
  <c r="AF6042" i="30"/>
  <c r="AH6042" i="30" s="1"/>
  <c r="AG6046" i="30"/>
  <c r="AF6046" i="30"/>
  <c r="AH6046" i="30" s="1"/>
  <c r="AG6050" i="30"/>
  <c r="AF6050" i="30"/>
  <c r="AH6050" i="30" s="1"/>
  <c r="AG6054" i="30"/>
  <c r="AF6054" i="30"/>
  <c r="AH6054" i="30" s="1"/>
  <c r="AG6058" i="30"/>
  <c r="AF6058" i="30"/>
  <c r="AH6058" i="30" s="1"/>
  <c r="AG6062" i="30"/>
  <c r="AF6062" i="30"/>
  <c r="AH6062" i="30" s="1"/>
  <c r="AG6066" i="30"/>
  <c r="AF6066" i="30"/>
  <c r="AH6066" i="30" s="1"/>
  <c r="AG6070" i="30"/>
  <c r="AF6070" i="30"/>
  <c r="AH6070" i="30" s="1"/>
  <c r="AG6074" i="30"/>
  <c r="AF6074" i="30"/>
  <c r="AH6074" i="30" s="1"/>
  <c r="AG6078" i="30"/>
  <c r="AF6078" i="30"/>
  <c r="AH6078" i="30" s="1"/>
  <c r="AG6082" i="30"/>
  <c r="AF6082" i="30"/>
  <c r="AH6082" i="30" s="1"/>
  <c r="AG6086" i="30"/>
  <c r="AF6086" i="30"/>
  <c r="AH6086" i="30" s="1"/>
  <c r="AG6090" i="30"/>
  <c r="AF6090" i="30"/>
  <c r="AH6090" i="30" s="1"/>
  <c r="AG6094" i="30"/>
  <c r="AF6094" i="30"/>
  <c r="AH6094" i="30" s="1"/>
  <c r="AG6098" i="30"/>
  <c r="AF6098" i="30"/>
  <c r="AH6098" i="30" s="1"/>
  <c r="AG6102" i="30"/>
  <c r="AF6102" i="30"/>
  <c r="AH6102" i="30" s="1"/>
  <c r="AG6106" i="30"/>
  <c r="AF6106" i="30"/>
  <c r="AH6106" i="30" s="1"/>
  <c r="AG6110" i="30"/>
  <c r="AF6110" i="30"/>
  <c r="AH6110" i="30" s="1"/>
  <c r="AG6114" i="30"/>
  <c r="AF6114" i="30"/>
  <c r="AH6114" i="30" s="1"/>
  <c r="AG6118" i="30"/>
  <c r="AF6118" i="30"/>
  <c r="AH6118" i="30" s="1"/>
  <c r="AG6122" i="30"/>
  <c r="AF6122" i="30"/>
  <c r="AH6122" i="30" s="1"/>
  <c r="AG6126" i="30"/>
  <c r="AF6126" i="30"/>
  <c r="AH6126" i="30" s="1"/>
  <c r="AG6130" i="30"/>
  <c r="AF6130" i="30"/>
  <c r="AH6130" i="30" s="1"/>
  <c r="AG6134" i="30"/>
  <c r="AF6134" i="30"/>
  <c r="AH6134" i="30" s="1"/>
  <c r="AG6138" i="30"/>
  <c r="AF6138" i="30"/>
  <c r="AH6138" i="30" s="1"/>
  <c r="AG6142" i="30"/>
  <c r="AF6142" i="30"/>
  <c r="AH6142" i="30" s="1"/>
  <c r="AG6146" i="30"/>
  <c r="AF6146" i="30"/>
  <c r="AH6146" i="30" s="1"/>
  <c r="AG6150" i="30"/>
  <c r="AF6150" i="30"/>
  <c r="AH6150" i="30" s="1"/>
  <c r="AG6154" i="30"/>
  <c r="AF6154" i="30"/>
  <c r="AH6154" i="30" s="1"/>
  <c r="AG6158" i="30"/>
  <c r="AF6158" i="30"/>
  <c r="AH6158" i="30" s="1"/>
  <c r="AG6162" i="30"/>
  <c r="AF6162" i="30"/>
  <c r="AH6162" i="30" s="1"/>
  <c r="AG6166" i="30"/>
  <c r="AF6166" i="30"/>
  <c r="AH6166" i="30" s="1"/>
  <c r="AG6170" i="30"/>
  <c r="AF6170" i="30"/>
  <c r="AH6170" i="30" s="1"/>
  <c r="AG6174" i="30"/>
  <c r="AF6174" i="30"/>
  <c r="AH6174" i="30" s="1"/>
  <c r="AG6178" i="30"/>
  <c r="AF6178" i="30"/>
  <c r="AH6178" i="30" s="1"/>
  <c r="AG6182" i="30"/>
  <c r="AF6182" i="30"/>
  <c r="AH6182" i="30" s="1"/>
  <c r="AG6186" i="30"/>
  <c r="AF6186" i="30"/>
  <c r="AH6186" i="30" s="1"/>
  <c r="AG6190" i="30"/>
  <c r="AF6190" i="30"/>
  <c r="AH6190" i="30" s="1"/>
  <c r="AG6194" i="30"/>
  <c r="AF6194" i="30"/>
  <c r="AH6194" i="30" s="1"/>
  <c r="AG6198" i="30"/>
  <c r="AF6198" i="30"/>
  <c r="AH6198" i="30" s="1"/>
  <c r="AG6202" i="30"/>
  <c r="AF6202" i="30"/>
  <c r="AH6202" i="30" s="1"/>
  <c r="AG6206" i="30"/>
  <c r="AF6206" i="30"/>
  <c r="AH6206" i="30" s="1"/>
  <c r="AG6210" i="30"/>
  <c r="AF6210" i="30"/>
  <c r="AH6210" i="30" s="1"/>
  <c r="AG6214" i="30"/>
  <c r="AF6214" i="30"/>
  <c r="AH6214" i="30" s="1"/>
  <c r="AG6218" i="30"/>
  <c r="AF6218" i="30"/>
  <c r="AH6218" i="30" s="1"/>
  <c r="AG6222" i="30"/>
  <c r="AF6222" i="30"/>
  <c r="AH6222" i="30" s="1"/>
  <c r="AG6226" i="30"/>
  <c r="AF6226" i="30"/>
  <c r="AH6226" i="30" s="1"/>
  <c r="AG6230" i="30"/>
  <c r="AF6230" i="30"/>
  <c r="AH6230" i="30" s="1"/>
  <c r="AG6234" i="30"/>
  <c r="AF6234" i="30"/>
  <c r="AH6234" i="30" s="1"/>
  <c r="AG6238" i="30"/>
  <c r="AF6238" i="30"/>
  <c r="AH6238" i="30" s="1"/>
  <c r="AG6240" i="30"/>
  <c r="AF6240" i="30"/>
  <c r="AH6240" i="30" s="1"/>
  <c r="AG6242" i="30"/>
  <c r="AF6242" i="30"/>
  <c r="AH6242" i="30" s="1"/>
  <c r="AG6244" i="30"/>
  <c r="AF6244" i="30"/>
  <c r="AH6244" i="30" s="1"/>
  <c r="AG6246" i="30"/>
  <c r="AF6246" i="30"/>
  <c r="AH6246" i="30" s="1"/>
  <c r="AG6248" i="30"/>
  <c r="AF6248" i="30"/>
  <c r="AH6248" i="30" s="1"/>
  <c r="AG6250" i="30"/>
  <c r="AF6250" i="30"/>
  <c r="AH6250" i="30" s="1"/>
  <c r="AG6252" i="30"/>
  <c r="AF6252" i="30"/>
  <c r="AH6252" i="30" s="1"/>
  <c r="AG6254" i="30"/>
  <c r="AF6254" i="30"/>
  <c r="AH6254" i="30" s="1"/>
  <c r="AG6256" i="30"/>
  <c r="AF6256" i="30"/>
  <c r="AH6256" i="30" s="1"/>
  <c r="AG6258" i="30"/>
  <c r="AF6258" i="30"/>
  <c r="AH6258" i="30" s="1"/>
  <c r="AG6260" i="30"/>
  <c r="AF6260" i="30"/>
  <c r="AH6260" i="30" s="1"/>
  <c r="AG6262" i="30"/>
  <c r="AF6262" i="30"/>
  <c r="AH6262" i="30" s="1"/>
  <c r="AG6264" i="30"/>
  <c r="AF6264" i="30"/>
  <c r="AH6264" i="30" s="1"/>
  <c r="AG6266" i="30"/>
  <c r="AF6266" i="30"/>
  <c r="AH6266" i="30" s="1"/>
  <c r="AG6268" i="30"/>
  <c r="AF6268" i="30"/>
  <c r="AH6268" i="30" s="1"/>
  <c r="AG6270" i="30"/>
  <c r="AF6270" i="30"/>
  <c r="AH6270" i="30" s="1"/>
  <c r="AG6272" i="30"/>
  <c r="AF6272" i="30"/>
  <c r="AH6272" i="30" s="1"/>
  <c r="AG6274" i="30"/>
  <c r="AF6274" i="30"/>
  <c r="AH6274" i="30" s="1"/>
  <c r="AG6276" i="30"/>
  <c r="AF6276" i="30"/>
  <c r="AH6276" i="30" s="1"/>
  <c r="AG6278" i="30"/>
  <c r="AF6278" i="30"/>
  <c r="AH6278" i="30" s="1"/>
  <c r="AG6280" i="30"/>
  <c r="AF6280" i="30"/>
  <c r="AH6280" i="30" s="1"/>
  <c r="AG6282" i="30"/>
  <c r="AF6282" i="30"/>
  <c r="AH6282" i="30" s="1"/>
  <c r="AG6284" i="30"/>
  <c r="AF6284" i="30"/>
  <c r="AH6284" i="30" s="1"/>
  <c r="AG6286" i="30"/>
  <c r="AF6286" i="30"/>
  <c r="AH6286" i="30" s="1"/>
  <c r="AG6288" i="30"/>
  <c r="AF6288" i="30"/>
  <c r="AH6288" i="30" s="1"/>
  <c r="AG6290" i="30"/>
  <c r="AF6290" i="30"/>
  <c r="AH6290" i="30" s="1"/>
  <c r="AG6292" i="30"/>
  <c r="AF6292" i="30"/>
  <c r="AH6292" i="30" s="1"/>
  <c r="AG6294" i="30"/>
  <c r="AF6294" i="30"/>
  <c r="AH6294" i="30" s="1"/>
  <c r="AG6296" i="30"/>
  <c r="AF6296" i="30"/>
  <c r="AH6296" i="30" s="1"/>
  <c r="AG6298" i="30"/>
  <c r="AF6298" i="30"/>
  <c r="AH6298" i="30" s="1"/>
  <c r="AG6300" i="30"/>
  <c r="AF6300" i="30"/>
  <c r="AH6300" i="30" s="1"/>
  <c r="AG6302" i="30"/>
  <c r="AF6302" i="30"/>
  <c r="AH6302" i="30" s="1"/>
  <c r="AG6304" i="30"/>
  <c r="AF6304" i="30"/>
  <c r="AH6304" i="30" s="1"/>
  <c r="AG6306" i="30"/>
  <c r="AF6306" i="30"/>
  <c r="AH6306" i="30" s="1"/>
  <c r="AG6308" i="30"/>
  <c r="AF6308" i="30"/>
  <c r="AH6308" i="30" s="1"/>
  <c r="AG6310" i="30"/>
  <c r="AF6310" i="30"/>
  <c r="AH6310" i="30" s="1"/>
  <c r="AG6312" i="30"/>
  <c r="AF6312" i="30"/>
  <c r="AH6312" i="30" s="1"/>
  <c r="AG6314" i="30"/>
  <c r="AF6314" i="30"/>
  <c r="AH6314" i="30" s="1"/>
  <c r="AG6316" i="30"/>
  <c r="AF6316" i="30"/>
  <c r="AH6316" i="30" s="1"/>
  <c r="AG6318" i="30"/>
  <c r="AF6318" i="30"/>
  <c r="AH6318" i="30" s="1"/>
  <c r="AG6320" i="30"/>
  <c r="AF6320" i="30"/>
  <c r="AH6320" i="30" s="1"/>
  <c r="AG6322" i="30"/>
  <c r="AF6322" i="30"/>
  <c r="AH6322" i="30" s="1"/>
  <c r="AG6324" i="30"/>
  <c r="AF6324" i="30"/>
  <c r="AH6324" i="30" s="1"/>
  <c r="AG6326" i="30"/>
  <c r="AF6326" i="30"/>
  <c r="AH6326" i="30" s="1"/>
  <c r="AG6328" i="30"/>
  <c r="AF6328" i="30"/>
  <c r="AH6328" i="30" s="1"/>
  <c r="AG6330" i="30"/>
  <c r="AF6330" i="30"/>
  <c r="AH6330" i="30" s="1"/>
  <c r="AG6332" i="30"/>
  <c r="AF6332" i="30"/>
  <c r="AH6332" i="30" s="1"/>
  <c r="AG6334" i="30"/>
  <c r="AF6334" i="30"/>
  <c r="AH6334" i="30" s="1"/>
  <c r="AG6336" i="30"/>
  <c r="AF6336" i="30"/>
  <c r="AH6336" i="30" s="1"/>
  <c r="AG6338" i="30"/>
  <c r="AF6338" i="30"/>
  <c r="AH6338" i="30" s="1"/>
  <c r="AG6340" i="30"/>
  <c r="AF6340" i="30"/>
  <c r="AH6340" i="30" s="1"/>
  <c r="AG6342" i="30"/>
  <c r="AF6342" i="30"/>
  <c r="AH6342" i="30" s="1"/>
  <c r="AG6344" i="30"/>
  <c r="AF6344" i="30"/>
  <c r="AH6344" i="30" s="1"/>
  <c r="AG6346" i="30"/>
  <c r="AF6346" i="30"/>
  <c r="AH6346" i="30" s="1"/>
  <c r="AG6348" i="30"/>
  <c r="AF6348" i="30"/>
  <c r="AH6348" i="30" s="1"/>
  <c r="AG6350" i="30"/>
  <c r="AF6350" i="30"/>
  <c r="AH6350" i="30" s="1"/>
  <c r="AG6352" i="30"/>
  <c r="AF6352" i="30"/>
  <c r="AH6352" i="30" s="1"/>
  <c r="AG6354" i="30"/>
  <c r="AF6354" i="30"/>
  <c r="AH6354" i="30" s="1"/>
  <c r="AG6356" i="30"/>
  <c r="AF6356" i="30"/>
  <c r="AH6356" i="30" s="1"/>
  <c r="AG6358" i="30"/>
  <c r="AF6358" i="30"/>
  <c r="AH6358" i="30" s="1"/>
  <c r="AG6360" i="30"/>
  <c r="AF6360" i="30"/>
  <c r="AH6360" i="30" s="1"/>
  <c r="AG6362" i="30"/>
  <c r="AF6362" i="30"/>
  <c r="AH6362" i="30" s="1"/>
  <c r="AG6364" i="30"/>
  <c r="AF6364" i="30"/>
  <c r="AH6364" i="30" s="1"/>
  <c r="AG6366" i="30"/>
  <c r="AF6366" i="30"/>
  <c r="AH6366" i="30" s="1"/>
  <c r="AG6368" i="30"/>
  <c r="AF6368" i="30"/>
  <c r="AH6368" i="30" s="1"/>
  <c r="AG6370" i="30"/>
  <c r="AF6370" i="30"/>
  <c r="AH6370" i="30" s="1"/>
  <c r="AG6372" i="30"/>
  <c r="AF6372" i="30"/>
  <c r="AH6372" i="30" s="1"/>
  <c r="AG6374" i="30"/>
  <c r="AF6374" i="30"/>
  <c r="AH6374" i="30" s="1"/>
  <c r="AG6376" i="30"/>
  <c r="AF6376" i="30"/>
  <c r="AH6376" i="30" s="1"/>
  <c r="AG6378" i="30"/>
  <c r="AF6378" i="30"/>
  <c r="AH6378" i="30" s="1"/>
  <c r="AG6380" i="30"/>
  <c r="AF6380" i="30"/>
  <c r="AH6380" i="30" s="1"/>
  <c r="AG6382" i="30"/>
  <c r="AF6382" i="30"/>
  <c r="AH6382" i="30" s="1"/>
  <c r="AG6384" i="30"/>
  <c r="AF6384" i="30"/>
  <c r="AH6384" i="30" s="1"/>
  <c r="AG6386" i="30"/>
  <c r="AF6386" i="30"/>
  <c r="AH6386" i="30" s="1"/>
  <c r="AG6388" i="30"/>
  <c r="AF6388" i="30"/>
  <c r="AH6388" i="30" s="1"/>
  <c r="AG6390" i="30"/>
  <c r="AF6390" i="30"/>
  <c r="AH6390" i="30" s="1"/>
  <c r="AG6392" i="30"/>
  <c r="AF6392" i="30"/>
  <c r="AH6392" i="30" s="1"/>
  <c r="AG6394" i="30"/>
  <c r="AF6394" i="30"/>
  <c r="AH6394" i="30" s="1"/>
  <c r="AG6396" i="30"/>
  <c r="AF6396" i="30"/>
  <c r="AH6396" i="30" s="1"/>
  <c r="AG6398" i="30"/>
  <c r="AF6398" i="30"/>
  <c r="AH6398" i="30" s="1"/>
  <c r="AG6400" i="30"/>
  <c r="AF6400" i="30"/>
  <c r="AH6400" i="30" s="1"/>
  <c r="AG4355" i="30"/>
  <c r="AF4355" i="30"/>
  <c r="AH4355" i="30" s="1"/>
  <c r="AG4357" i="30"/>
  <c r="AF4357" i="30"/>
  <c r="AH4357" i="30" s="1"/>
  <c r="AG4359" i="30"/>
  <c r="AF4359" i="30"/>
  <c r="AH4359" i="30" s="1"/>
  <c r="AG4361" i="30"/>
  <c r="AF4361" i="30"/>
  <c r="AH4361" i="30" s="1"/>
  <c r="AG4363" i="30"/>
  <c r="AF4363" i="30"/>
  <c r="AH4363" i="30" s="1"/>
  <c r="AG4365" i="30"/>
  <c r="AF4365" i="30"/>
  <c r="AH4365" i="30" s="1"/>
  <c r="AG4367" i="30"/>
  <c r="AF4367" i="30"/>
  <c r="AH4367" i="30" s="1"/>
  <c r="AG4369" i="30"/>
  <c r="AF4369" i="30"/>
  <c r="AH4369" i="30" s="1"/>
  <c r="AG4371" i="30"/>
  <c r="AF4371" i="30"/>
  <c r="AH4371" i="30" s="1"/>
  <c r="AG4373" i="30"/>
  <c r="AF4373" i="30"/>
  <c r="AH4373" i="30" s="1"/>
  <c r="AG4375" i="30"/>
  <c r="AF4375" i="30"/>
  <c r="AH4375" i="30" s="1"/>
  <c r="AG4377" i="30"/>
  <c r="AF4377" i="30"/>
  <c r="AH4377" i="30" s="1"/>
  <c r="AG4379" i="30"/>
  <c r="AF4379" i="30"/>
  <c r="AH4379" i="30" s="1"/>
  <c r="AG4381" i="30"/>
  <c r="AF4381" i="30"/>
  <c r="AH4381" i="30" s="1"/>
  <c r="AG4383" i="30"/>
  <c r="AF4383" i="30"/>
  <c r="AH4383" i="30" s="1"/>
  <c r="AG4385" i="30"/>
  <c r="AF4385" i="30"/>
  <c r="AH4385" i="30" s="1"/>
  <c r="AG4387" i="30"/>
  <c r="AF4387" i="30"/>
  <c r="AH4387" i="30" s="1"/>
  <c r="AG4389" i="30"/>
  <c r="AF4389" i="30"/>
  <c r="AH4389" i="30" s="1"/>
  <c r="AG4391" i="30"/>
  <c r="AF4391" i="30"/>
  <c r="AH4391" i="30" s="1"/>
  <c r="AG4393" i="30"/>
  <c r="AF4393" i="30"/>
  <c r="AH4393" i="30" s="1"/>
  <c r="AG4395" i="30"/>
  <c r="AF4395" i="30"/>
  <c r="AH4395" i="30" s="1"/>
  <c r="AG4397" i="30"/>
  <c r="AF4397" i="30"/>
  <c r="AH4397" i="30" s="1"/>
  <c r="AG4399" i="30"/>
  <c r="AF4399" i="30"/>
  <c r="AH4399" i="30" s="1"/>
  <c r="AG4401" i="30"/>
  <c r="AF4401" i="30"/>
  <c r="AH4401" i="30" s="1"/>
  <c r="AG4403" i="30"/>
  <c r="AF4403" i="30"/>
  <c r="AH4403" i="30" s="1"/>
  <c r="AG4405" i="30"/>
  <c r="AF4405" i="30"/>
  <c r="AH4405" i="30" s="1"/>
  <c r="AG4407" i="30"/>
  <c r="AF4407" i="30"/>
  <c r="AH4407" i="30" s="1"/>
  <c r="AG4409" i="30"/>
  <c r="AF4409" i="30"/>
  <c r="AH4409" i="30" s="1"/>
  <c r="AG4411" i="30"/>
  <c r="AF4411" i="30"/>
  <c r="AH4411" i="30" s="1"/>
  <c r="AG4413" i="30"/>
  <c r="AF4413" i="30"/>
  <c r="AH4413" i="30" s="1"/>
  <c r="AG4415" i="30"/>
  <c r="AF4415" i="30"/>
  <c r="AH4415" i="30" s="1"/>
  <c r="AG4417" i="30"/>
  <c r="AF4417" i="30"/>
  <c r="AH4417" i="30" s="1"/>
  <c r="AG4419" i="30"/>
  <c r="AF4419" i="30"/>
  <c r="AH4419" i="30" s="1"/>
  <c r="AG4421" i="30"/>
  <c r="AF4421" i="30"/>
  <c r="AH4421" i="30" s="1"/>
  <c r="AG4423" i="30"/>
  <c r="AF4423" i="30"/>
  <c r="AH4423" i="30" s="1"/>
  <c r="AG4425" i="30"/>
  <c r="AF4425" i="30"/>
  <c r="AH4425" i="30" s="1"/>
  <c r="AG4427" i="30"/>
  <c r="AF4427" i="30"/>
  <c r="AH4427" i="30" s="1"/>
  <c r="AG4429" i="30"/>
  <c r="AF4429" i="30"/>
  <c r="AH4429" i="30" s="1"/>
  <c r="AG4431" i="30"/>
  <c r="AF4431" i="30"/>
  <c r="AH4431" i="30" s="1"/>
  <c r="AG4433" i="30"/>
  <c r="AF4433" i="30"/>
  <c r="AH4433" i="30" s="1"/>
  <c r="AG4435" i="30"/>
  <c r="AF4435" i="30"/>
  <c r="AH4435" i="30" s="1"/>
  <c r="AG4437" i="30"/>
  <c r="AF4437" i="30"/>
  <c r="AH4437" i="30" s="1"/>
  <c r="AG4439" i="30"/>
  <c r="AF4439" i="30"/>
  <c r="AH4439" i="30" s="1"/>
  <c r="AG4441" i="30"/>
  <c r="AF4441" i="30"/>
  <c r="AH4441" i="30" s="1"/>
  <c r="AG4443" i="30"/>
  <c r="AF4443" i="30"/>
  <c r="AH4443" i="30" s="1"/>
  <c r="AG4445" i="30"/>
  <c r="AF4445" i="30"/>
  <c r="AH4445" i="30" s="1"/>
  <c r="AG4447" i="30"/>
  <c r="AF4447" i="30"/>
  <c r="AH4447" i="30" s="1"/>
  <c r="AG4449" i="30"/>
  <c r="AF4449" i="30"/>
  <c r="AH4449" i="30" s="1"/>
  <c r="AG4451" i="30"/>
  <c r="AF4451" i="30"/>
  <c r="AH4451" i="30" s="1"/>
  <c r="AG4453" i="30"/>
  <c r="AF4453" i="30"/>
  <c r="AH4453" i="30" s="1"/>
  <c r="AG4455" i="30"/>
  <c r="AF4455" i="30"/>
  <c r="AH4455" i="30" s="1"/>
  <c r="AG4457" i="30"/>
  <c r="AF4457" i="30"/>
  <c r="AH4457" i="30" s="1"/>
  <c r="AG4459" i="30"/>
  <c r="AF4459" i="30"/>
  <c r="AH4459" i="30" s="1"/>
  <c r="AG4461" i="30"/>
  <c r="AF4461" i="30"/>
  <c r="AH4461" i="30" s="1"/>
  <c r="AG4463" i="30"/>
  <c r="AF4463" i="30"/>
  <c r="AH4463" i="30" s="1"/>
  <c r="AG4465" i="30"/>
  <c r="AF4465" i="30"/>
  <c r="AH4465" i="30" s="1"/>
  <c r="AG4467" i="30"/>
  <c r="AF4467" i="30"/>
  <c r="AH4467" i="30" s="1"/>
  <c r="AG4469" i="30"/>
  <c r="AF4469" i="30"/>
  <c r="AH4469" i="30" s="1"/>
  <c r="AG4471" i="30"/>
  <c r="AF4471" i="30"/>
  <c r="AH4471" i="30" s="1"/>
  <c r="AG4473" i="30"/>
  <c r="AF4473" i="30"/>
  <c r="AH4473" i="30" s="1"/>
  <c r="AG4475" i="30"/>
  <c r="AF4475" i="30"/>
  <c r="AH4475" i="30" s="1"/>
  <c r="AG4477" i="30"/>
  <c r="AF4477" i="30"/>
  <c r="AH4477" i="30" s="1"/>
  <c r="AG4479" i="30"/>
  <c r="AF4479" i="30"/>
  <c r="AH4479" i="30" s="1"/>
  <c r="AG4481" i="30"/>
  <c r="AF4481" i="30"/>
  <c r="AH4481" i="30" s="1"/>
  <c r="AG4483" i="30"/>
  <c r="AF4483" i="30"/>
  <c r="AH4483" i="30" s="1"/>
  <c r="AG4485" i="30"/>
  <c r="AF4485" i="30"/>
  <c r="AH4485" i="30" s="1"/>
  <c r="AG4487" i="30"/>
  <c r="AF4487" i="30"/>
  <c r="AH4487" i="30" s="1"/>
  <c r="AG4489" i="30"/>
  <c r="AF4489" i="30"/>
  <c r="AH4489" i="30" s="1"/>
  <c r="AG4491" i="30"/>
  <c r="AF4491" i="30"/>
  <c r="AH4491" i="30" s="1"/>
  <c r="AG4493" i="30"/>
  <c r="AF4493" i="30"/>
  <c r="AH4493" i="30" s="1"/>
  <c r="AG4495" i="30"/>
  <c r="AF4495" i="30"/>
  <c r="AH4495" i="30" s="1"/>
  <c r="AG4497" i="30"/>
  <c r="AF4497" i="30"/>
  <c r="AH4497" i="30" s="1"/>
  <c r="AG4499" i="30"/>
  <c r="AF4499" i="30"/>
  <c r="AH4499" i="30" s="1"/>
  <c r="AG4501" i="30"/>
  <c r="AF4501" i="30"/>
  <c r="AH4501" i="30" s="1"/>
  <c r="AG4503" i="30"/>
  <c r="AF4503" i="30"/>
  <c r="AH4503" i="30" s="1"/>
  <c r="AG4505" i="30"/>
  <c r="AF4505" i="30"/>
  <c r="AH4505" i="30" s="1"/>
  <c r="AG4507" i="30"/>
  <c r="AF4507" i="30"/>
  <c r="AH4507" i="30" s="1"/>
  <c r="AG4509" i="30"/>
  <c r="AF4509" i="30"/>
  <c r="AH4509" i="30" s="1"/>
  <c r="AG4511" i="30"/>
  <c r="AF4511" i="30"/>
  <c r="AH4511" i="30" s="1"/>
  <c r="AG4513" i="30"/>
  <c r="AF4513" i="30"/>
  <c r="AH4513" i="30" s="1"/>
  <c r="AG4515" i="30"/>
  <c r="AF4515" i="30"/>
  <c r="AH4515" i="30" s="1"/>
  <c r="AG4517" i="30"/>
  <c r="AF4517" i="30"/>
  <c r="AH4517" i="30" s="1"/>
  <c r="AG4519" i="30"/>
  <c r="AF4519" i="30"/>
  <c r="AH4519" i="30" s="1"/>
  <c r="AG4521" i="30"/>
  <c r="AF4521" i="30"/>
  <c r="AH4521" i="30" s="1"/>
  <c r="AG4523" i="30"/>
  <c r="AF4523" i="30"/>
  <c r="AH4523" i="30" s="1"/>
  <c r="AG4525" i="30"/>
  <c r="AF4525" i="30"/>
  <c r="AH4525" i="30" s="1"/>
  <c r="AG4527" i="30"/>
  <c r="AF4527" i="30"/>
  <c r="AH4527" i="30" s="1"/>
  <c r="AG4529" i="30"/>
  <c r="AF4529" i="30"/>
  <c r="AH4529" i="30" s="1"/>
  <c r="AG4531" i="30"/>
  <c r="AF4531" i="30"/>
  <c r="AH4531" i="30" s="1"/>
  <c r="AG4533" i="30"/>
  <c r="AF4533" i="30"/>
  <c r="AH4533" i="30" s="1"/>
  <c r="AG4535" i="30"/>
  <c r="AF4535" i="30"/>
  <c r="AH4535" i="30" s="1"/>
  <c r="AG4537" i="30"/>
  <c r="AF4537" i="30"/>
  <c r="AH4537" i="30" s="1"/>
  <c r="AG4539" i="30"/>
  <c r="AF4539" i="30"/>
  <c r="AH4539" i="30" s="1"/>
  <c r="AG4541" i="30"/>
  <c r="AF4541" i="30"/>
  <c r="AH4541" i="30" s="1"/>
  <c r="AG4543" i="30"/>
  <c r="AF4543" i="30"/>
  <c r="AH4543" i="30" s="1"/>
  <c r="AG4545" i="30"/>
  <c r="AF4545" i="30"/>
  <c r="AH4545" i="30" s="1"/>
  <c r="AG4547" i="30"/>
  <c r="AF4547" i="30"/>
  <c r="AH4547" i="30" s="1"/>
  <c r="AG4549" i="30"/>
  <c r="AF4549" i="30"/>
  <c r="AH4549" i="30" s="1"/>
  <c r="AG4551" i="30"/>
  <c r="AF4551" i="30"/>
  <c r="AH4551" i="30" s="1"/>
  <c r="AG4553" i="30"/>
  <c r="AF4553" i="30"/>
  <c r="AH4553" i="30" s="1"/>
  <c r="AG4555" i="30"/>
  <c r="AF4555" i="30"/>
  <c r="AH4555" i="30" s="1"/>
  <c r="AG4557" i="30"/>
  <c r="AF4557" i="30"/>
  <c r="AH4557" i="30" s="1"/>
  <c r="AG4559" i="30"/>
  <c r="AF4559" i="30"/>
  <c r="AH4559" i="30" s="1"/>
  <c r="AG4561" i="30"/>
  <c r="AF4561" i="30"/>
  <c r="AH4561" i="30" s="1"/>
  <c r="AG4563" i="30"/>
  <c r="AF4563" i="30"/>
  <c r="AH4563" i="30" s="1"/>
  <c r="AG4565" i="30"/>
  <c r="AF4565" i="30"/>
  <c r="AH4565" i="30" s="1"/>
  <c r="AG4567" i="30"/>
  <c r="AF4567" i="30"/>
  <c r="AH4567" i="30" s="1"/>
  <c r="AG4569" i="30"/>
  <c r="AF4569" i="30"/>
  <c r="AH4569" i="30" s="1"/>
  <c r="AG4571" i="30"/>
  <c r="AF4571" i="30"/>
  <c r="AH4571" i="30" s="1"/>
  <c r="AG4573" i="30"/>
  <c r="AF4573" i="30"/>
  <c r="AH4573" i="30" s="1"/>
  <c r="AG4575" i="30"/>
  <c r="AF4575" i="30"/>
  <c r="AH4575" i="30" s="1"/>
  <c r="AG4577" i="30"/>
  <c r="AF4577" i="30"/>
  <c r="AH4577" i="30" s="1"/>
  <c r="AG4579" i="30"/>
  <c r="AF4579" i="30"/>
  <c r="AH4579" i="30" s="1"/>
  <c r="AG4581" i="30"/>
  <c r="AF4581" i="30"/>
  <c r="AH4581" i="30" s="1"/>
  <c r="AG4583" i="30"/>
  <c r="AF4583" i="30"/>
  <c r="AH4583" i="30" s="1"/>
  <c r="AG4585" i="30"/>
  <c r="AF4585" i="30"/>
  <c r="AH4585" i="30" s="1"/>
  <c r="AG4587" i="30"/>
  <c r="AF4587" i="30"/>
  <c r="AH4587" i="30" s="1"/>
  <c r="AG4589" i="30"/>
  <c r="AF4589" i="30"/>
  <c r="AH4589" i="30" s="1"/>
  <c r="AG4591" i="30"/>
  <c r="AF4591" i="30"/>
  <c r="AH4591" i="30" s="1"/>
  <c r="AG4593" i="30"/>
  <c r="AF4593" i="30"/>
  <c r="AH4593" i="30" s="1"/>
  <c r="AG4595" i="30"/>
  <c r="AF4595" i="30"/>
  <c r="AH4595" i="30" s="1"/>
  <c r="AG4597" i="30"/>
  <c r="AF4597" i="30"/>
  <c r="AH4597" i="30" s="1"/>
  <c r="AG4599" i="30"/>
  <c r="AF4599" i="30"/>
  <c r="AH4599" i="30" s="1"/>
  <c r="AG4601" i="30"/>
  <c r="AF4601" i="30"/>
  <c r="AH4601" i="30" s="1"/>
  <c r="AG4603" i="30"/>
  <c r="AF4603" i="30"/>
  <c r="AH4603" i="30" s="1"/>
  <c r="AG4605" i="30"/>
  <c r="AF4605" i="30"/>
  <c r="AH4605" i="30" s="1"/>
  <c r="AG4607" i="30"/>
  <c r="AF4607" i="30"/>
  <c r="AH4607" i="30" s="1"/>
  <c r="AG4609" i="30"/>
  <c r="AF4609" i="30"/>
  <c r="AH4609" i="30" s="1"/>
  <c r="AG4611" i="30"/>
  <c r="AF4611" i="30"/>
  <c r="AH4611" i="30" s="1"/>
  <c r="AG4613" i="30"/>
  <c r="AF4613" i="30"/>
  <c r="AH4613" i="30" s="1"/>
  <c r="AG4615" i="30"/>
  <c r="AF4615" i="30"/>
  <c r="AH4615" i="30" s="1"/>
  <c r="AG4617" i="30"/>
  <c r="AF4617" i="30"/>
  <c r="AH4617" i="30" s="1"/>
  <c r="AG4619" i="30"/>
  <c r="AF4619" i="30"/>
  <c r="AH4619" i="30" s="1"/>
  <c r="AG4621" i="30"/>
  <c r="AF4621" i="30"/>
  <c r="AH4621" i="30" s="1"/>
  <c r="AG4623" i="30"/>
  <c r="AF4623" i="30"/>
  <c r="AH4623" i="30" s="1"/>
  <c r="AG4625" i="30"/>
  <c r="AF4625" i="30"/>
  <c r="AH4625" i="30" s="1"/>
  <c r="AG4627" i="30"/>
  <c r="AF4627" i="30"/>
  <c r="AH4627" i="30" s="1"/>
  <c r="AG4629" i="30"/>
  <c r="AF4629" i="30"/>
  <c r="AH4629" i="30" s="1"/>
  <c r="AG4631" i="30"/>
  <c r="AF4631" i="30"/>
  <c r="AH4631" i="30" s="1"/>
  <c r="AG4633" i="30"/>
  <c r="AF4633" i="30"/>
  <c r="AH4633" i="30" s="1"/>
  <c r="AG4635" i="30"/>
  <c r="AF4635" i="30"/>
  <c r="AH4635" i="30" s="1"/>
  <c r="AG4637" i="30"/>
  <c r="AF4637" i="30"/>
  <c r="AH4637" i="30" s="1"/>
  <c r="AG4639" i="30"/>
  <c r="AF4639" i="30"/>
  <c r="AH4639" i="30" s="1"/>
  <c r="AG4641" i="30"/>
  <c r="AF4641" i="30"/>
  <c r="AH4641" i="30" s="1"/>
  <c r="AG4643" i="30"/>
  <c r="AF4643" i="30"/>
  <c r="AH4643" i="30" s="1"/>
  <c r="AG4645" i="30"/>
  <c r="AF4645" i="30"/>
  <c r="AH4645" i="30" s="1"/>
  <c r="AG4647" i="30"/>
  <c r="AF4647" i="30"/>
  <c r="AH4647" i="30" s="1"/>
  <c r="AG4649" i="30"/>
  <c r="AF4649" i="30"/>
  <c r="AH4649" i="30" s="1"/>
  <c r="AG4651" i="30"/>
  <c r="AF4651" i="30"/>
  <c r="AH4651" i="30" s="1"/>
  <c r="AG4653" i="30"/>
  <c r="AF4653" i="30"/>
  <c r="AH4653" i="30" s="1"/>
  <c r="AG4655" i="30"/>
  <c r="AF4655" i="30"/>
  <c r="AH4655" i="30" s="1"/>
  <c r="AG4657" i="30"/>
  <c r="AF4657" i="30"/>
  <c r="AH4657" i="30" s="1"/>
  <c r="AG4659" i="30"/>
  <c r="AF4659" i="30"/>
  <c r="AH4659" i="30" s="1"/>
  <c r="AG4661" i="30"/>
  <c r="AF4661" i="30"/>
  <c r="AH4661" i="30" s="1"/>
  <c r="AG4663" i="30"/>
  <c r="AF4663" i="30"/>
  <c r="AH4663" i="30" s="1"/>
  <c r="AG4665" i="30"/>
  <c r="AF4665" i="30"/>
  <c r="AH4665" i="30" s="1"/>
  <c r="AG4667" i="30"/>
  <c r="AF4667" i="30"/>
  <c r="AH4667" i="30" s="1"/>
  <c r="AG4669" i="30"/>
  <c r="AF4669" i="30"/>
  <c r="AH4669" i="30" s="1"/>
  <c r="AG4671" i="30"/>
  <c r="AF4671" i="30"/>
  <c r="AH4671" i="30" s="1"/>
  <c r="AG4673" i="30"/>
  <c r="AF4673" i="30"/>
  <c r="AH4673" i="30" s="1"/>
  <c r="AG4675" i="30"/>
  <c r="AF4675" i="30"/>
  <c r="AH4675" i="30" s="1"/>
  <c r="AG4677" i="30"/>
  <c r="AF4677" i="30"/>
  <c r="AH4677" i="30" s="1"/>
  <c r="AG4679" i="30"/>
  <c r="AF4679" i="30"/>
  <c r="AH4679" i="30" s="1"/>
  <c r="AG4681" i="30"/>
  <c r="AF4681" i="30"/>
  <c r="AH4681" i="30" s="1"/>
  <c r="AG4683" i="30"/>
  <c r="AF4683" i="30"/>
  <c r="AH4683" i="30" s="1"/>
  <c r="AG4685" i="30"/>
  <c r="AF4685" i="30"/>
  <c r="AH4685" i="30" s="1"/>
  <c r="AG4687" i="30"/>
  <c r="AF4687" i="30"/>
  <c r="AH4687" i="30" s="1"/>
  <c r="AG4689" i="30"/>
  <c r="AF4689" i="30"/>
  <c r="AH4689" i="30" s="1"/>
  <c r="AG4691" i="30"/>
  <c r="AF4691" i="30"/>
  <c r="AH4691" i="30" s="1"/>
  <c r="AG4693" i="30"/>
  <c r="AF4693" i="30"/>
  <c r="AH4693" i="30" s="1"/>
  <c r="AG4695" i="30"/>
  <c r="AF4695" i="30"/>
  <c r="AH4695" i="30" s="1"/>
  <c r="AG4697" i="30"/>
  <c r="AF4697" i="30"/>
  <c r="AH4697" i="30" s="1"/>
  <c r="AG4699" i="30"/>
  <c r="AF4699" i="30"/>
  <c r="AH4699" i="30" s="1"/>
  <c r="AG4701" i="30"/>
  <c r="AF4701" i="30"/>
  <c r="AH4701" i="30" s="1"/>
  <c r="AG4703" i="30"/>
  <c r="AF4703" i="30"/>
  <c r="AH4703" i="30" s="1"/>
  <c r="AG4705" i="30"/>
  <c r="AF4705" i="30"/>
  <c r="AH4705" i="30" s="1"/>
  <c r="AG4707" i="30"/>
  <c r="AF4707" i="30"/>
  <c r="AH4707" i="30" s="1"/>
  <c r="AG4709" i="30"/>
  <c r="AF4709" i="30"/>
  <c r="AH4709" i="30" s="1"/>
  <c r="AG4711" i="30"/>
  <c r="AF4711" i="30"/>
  <c r="AH4711" i="30" s="1"/>
  <c r="AG4713" i="30"/>
  <c r="AF4713" i="30"/>
  <c r="AH4713" i="30" s="1"/>
  <c r="AG4715" i="30"/>
  <c r="AF4715" i="30"/>
  <c r="AH4715" i="30" s="1"/>
  <c r="AG4717" i="30"/>
  <c r="AF4717" i="30"/>
  <c r="AH4717" i="30" s="1"/>
  <c r="AG4719" i="30"/>
  <c r="AF4719" i="30"/>
  <c r="AH4719" i="30" s="1"/>
  <c r="AG4721" i="30"/>
  <c r="AF4721" i="30"/>
  <c r="AH4721" i="30" s="1"/>
  <c r="AG4723" i="30"/>
  <c r="AF4723" i="30"/>
  <c r="AH4723" i="30" s="1"/>
  <c r="AG4725" i="30"/>
  <c r="AF4725" i="30"/>
  <c r="AH4725" i="30" s="1"/>
  <c r="AG4727" i="30"/>
  <c r="AF4727" i="30"/>
  <c r="AH4727" i="30" s="1"/>
  <c r="AG4729" i="30"/>
  <c r="AF4729" i="30"/>
  <c r="AH4729" i="30" s="1"/>
  <c r="AG4731" i="30"/>
  <c r="AF4731" i="30"/>
  <c r="AH4731" i="30" s="1"/>
  <c r="AG4733" i="30"/>
  <c r="AF4733" i="30"/>
  <c r="AH4733" i="30" s="1"/>
  <c r="AG4735" i="30"/>
  <c r="AF4735" i="30"/>
  <c r="AH4735" i="30" s="1"/>
  <c r="AG4737" i="30"/>
  <c r="AF4737" i="30"/>
  <c r="AH4737" i="30" s="1"/>
  <c r="AG4739" i="30"/>
  <c r="AF4739" i="30"/>
  <c r="AH4739" i="30" s="1"/>
  <c r="AG4741" i="30"/>
  <c r="AF4741" i="30"/>
  <c r="AH4741" i="30" s="1"/>
  <c r="AG4743" i="30"/>
  <c r="AF4743" i="30"/>
  <c r="AH4743" i="30" s="1"/>
  <c r="AG4745" i="30"/>
  <c r="AF4745" i="30"/>
  <c r="AH4745" i="30" s="1"/>
  <c r="AG4747" i="30"/>
  <c r="AF4747" i="30"/>
  <c r="AH4747" i="30" s="1"/>
  <c r="AG4749" i="30"/>
  <c r="AF4749" i="30"/>
  <c r="AH4749" i="30" s="1"/>
  <c r="AG4751" i="30"/>
  <c r="AF4751" i="30"/>
  <c r="AH4751" i="30" s="1"/>
  <c r="AG4753" i="30"/>
  <c r="AF4753" i="30"/>
  <c r="AH4753" i="30" s="1"/>
  <c r="AG4755" i="30"/>
  <c r="AF4755" i="30"/>
  <c r="AH4755" i="30" s="1"/>
  <c r="AG4757" i="30"/>
  <c r="AF4757" i="30"/>
  <c r="AH4757" i="30" s="1"/>
  <c r="AG4759" i="30"/>
  <c r="AF4759" i="30"/>
  <c r="AH4759" i="30" s="1"/>
  <c r="AG4761" i="30"/>
  <c r="AF4761" i="30"/>
  <c r="AH4761" i="30" s="1"/>
  <c r="AG4763" i="30"/>
  <c r="AF4763" i="30"/>
  <c r="AH4763" i="30" s="1"/>
  <c r="AG4765" i="30"/>
  <c r="AF4765" i="30"/>
  <c r="AH4765" i="30" s="1"/>
  <c r="AG4767" i="30"/>
  <c r="AF4767" i="30"/>
  <c r="AH4767" i="30" s="1"/>
  <c r="AG4769" i="30"/>
  <c r="AF4769" i="30"/>
  <c r="AH4769" i="30" s="1"/>
  <c r="AG4771" i="30"/>
  <c r="AF4771" i="30"/>
  <c r="AH4771" i="30" s="1"/>
  <c r="AG4773" i="30"/>
  <c r="AF4773" i="30"/>
  <c r="AH4773" i="30" s="1"/>
  <c r="AG4775" i="30"/>
  <c r="AF4775" i="30"/>
  <c r="AH4775" i="30" s="1"/>
  <c r="AG4777" i="30"/>
  <c r="AF4777" i="30"/>
  <c r="AH4777" i="30" s="1"/>
  <c r="AG4779" i="30"/>
  <c r="AF4779" i="30"/>
  <c r="AH4779" i="30" s="1"/>
  <c r="AG4781" i="30"/>
  <c r="AF4781" i="30"/>
  <c r="AH4781" i="30" s="1"/>
  <c r="AG4783" i="30"/>
  <c r="AF4783" i="30"/>
  <c r="AH4783" i="30" s="1"/>
  <c r="AG4785" i="30"/>
  <c r="AF4785" i="30"/>
  <c r="AH4785" i="30" s="1"/>
  <c r="AG4787" i="30"/>
  <c r="AF4787" i="30"/>
  <c r="AH4787" i="30" s="1"/>
  <c r="AG4789" i="30"/>
  <c r="AF4789" i="30"/>
  <c r="AH4789" i="30" s="1"/>
  <c r="AG4791" i="30"/>
  <c r="AF4791" i="30"/>
  <c r="AH4791" i="30" s="1"/>
  <c r="AG4793" i="30"/>
  <c r="AF4793" i="30"/>
  <c r="AH4793" i="30" s="1"/>
  <c r="AG4797" i="30"/>
  <c r="AF4797" i="30"/>
  <c r="AH4797" i="30" s="1"/>
  <c r="AG4801" i="30"/>
  <c r="AF4801" i="30"/>
  <c r="AH4801" i="30" s="1"/>
  <c r="AG4805" i="30"/>
  <c r="AF4805" i="30"/>
  <c r="AH4805" i="30" s="1"/>
  <c r="AG4809" i="30"/>
  <c r="AF4809" i="30"/>
  <c r="AH4809" i="30" s="1"/>
  <c r="AG4813" i="30"/>
  <c r="AF4813" i="30"/>
  <c r="AH4813" i="30" s="1"/>
  <c r="AG4817" i="30"/>
  <c r="AF4817" i="30"/>
  <c r="AH4817" i="30" s="1"/>
  <c r="AG4821" i="30"/>
  <c r="AF4821" i="30"/>
  <c r="AH4821" i="30" s="1"/>
  <c r="AG4825" i="30"/>
  <c r="AF4825" i="30"/>
  <c r="AH4825" i="30" s="1"/>
  <c r="AG4829" i="30"/>
  <c r="AF4829" i="30"/>
  <c r="AH4829" i="30" s="1"/>
  <c r="AG4833" i="30"/>
  <c r="AF4833" i="30"/>
  <c r="AH4833" i="30" s="1"/>
  <c r="AG4837" i="30"/>
  <c r="AF4837" i="30"/>
  <c r="AH4837" i="30" s="1"/>
  <c r="AG4841" i="30"/>
  <c r="AF4841" i="30"/>
  <c r="AH4841" i="30" s="1"/>
  <c r="AG4845" i="30"/>
  <c r="AF4845" i="30"/>
  <c r="AH4845" i="30" s="1"/>
  <c r="AG4849" i="30"/>
  <c r="AF4849" i="30"/>
  <c r="AH4849" i="30" s="1"/>
  <c r="AG4853" i="30"/>
  <c r="AF4853" i="30"/>
  <c r="AH4853" i="30" s="1"/>
  <c r="AG4857" i="30"/>
  <c r="AF4857" i="30"/>
  <c r="AH4857" i="30" s="1"/>
  <c r="AG4861" i="30"/>
  <c r="AF4861" i="30"/>
  <c r="AH4861" i="30" s="1"/>
  <c r="AG4865" i="30"/>
  <c r="AF4865" i="30"/>
  <c r="AH4865" i="30" s="1"/>
  <c r="AG4869" i="30"/>
  <c r="AF4869" i="30"/>
  <c r="AH4869" i="30" s="1"/>
  <c r="AG4873" i="30"/>
  <c r="AF4873" i="30"/>
  <c r="AH4873" i="30" s="1"/>
  <c r="AG4877" i="30"/>
  <c r="AF4877" i="30"/>
  <c r="AH4877" i="30" s="1"/>
  <c r="AG4881" i="30"/>
  <c r="AF4881" i="30"/>
  <c r="AH4881" i="30" s="1"/>
  <c r="AG4885" i="30"/>
  <c r="AF4885" i="30"/>
  <c r="AH4885" i="30" s="1"/>
  <c r="AG4889" i="30"/>
  <c r="AF4889" i="30"/>
  <c r="AH4889" i="30" s="1"/>
  <c r="AG4893" i="30"/>
  <c r="AF4893" i="30"/>
  <c r="AH4893" i="30" s="1"/>
  <c r="AG4897" i="30"/>
  <c r="AF4897" i="30"/>
  <c r="AH4897" i="30" s="1"/>
  <c r="AG4901" i="30"/>
  <c r="AF4901" i="30"/>
  <c r="AH4901" i="30" s="1"/>
  <c r="AG4905" i="30"/>
  <c r="AF4905" i="30"/>
  <c r="AH4905" i="30" s="1"/>
  <c r="AG4909" i="30"/>
  <c r="AF4909" i="30"/>
  <c r="AH4909" i="30" s="1"/>
  <c r="AG4913" i="30"/>
  <c r="AF4913" i="30"/>
  <c r="AH4913" i="30" s="1"/>
  <c r="AG4917" i="30"/>
  <c r="AF4917" i="30"/>
  <c r="AH4917" i="30" s="1"/>
  <c r="AG4921" i="30"/>
  <c r="AF4921" i="30"/>
  <c r="AH4921" i="30" s="1"/>
  <c r="AG4925" i="30"/>
  <c r="AF4925" i="30"/>
  <c r="AH4925" i="30" s="1"/>
  <c r="AG4929" i="30"/>
  <c r="AF4929" i="30"/>
  <c r="AH4929" i="30" s="1"/>
  <c r="AG4933" i="30"/>
  <c r="AF4933" i="30"/>
  <c r="AH4933" i="30" s="1"/>
  <c r="AG4937" i="30"/>
  <c r="AF4937" i="30"/>
  <c r="AH4937" i="30" s="1"/>
  <c r="AG4941" i="30"/>
  <c r="AF4941" i="30"/>
  <c r="AH4941" i="30" s="1"/>
  <c r="AG4945" i="30"/>
  <c r="AF4945" i="30"/>
  <c r="AH4945" i="30" s="1"/>
  <c r="AG4949" i="30"/>
  <c r="AF4949" i="30"/>
  <c r="AH4949" i="30" s="1"/>
  <c r="AG4953" i="30"/>
  <c r="AF4953" i="30"/>
  <c r="AH4953" i="30" s="1"/>
  <c r="AG4957" i="30"/>
  <c r="AF4957" i="30"/>
  <c r="AH4957" i="30" s="1"/>
  <c r="AG4961" i="30"/>
  <c r="AF4961" i="30"/>
  <c r="AH4961" i="30" s="1"/>
  <c r="AG4965" i="30"/>
  <c r="AF4965" i="30"/>
  <c r="AH4965" i="30" s="1"/>
  <c r="AG4969" i="30"/>
  <c r="AF4969" i="30"/>
  <c r="AH4969" i="30" s="1"/>
  <c r="AG4973" i="30"/>
  <c r="AF4973" i="30"/>
  <c r="AH4973" i="30" s="1"/>
  <c r="AG4977" i="30"/>
  <c r="AF4977" i="30"/>
  <c r="AH4977" i="30" s="1"/>
  <c r="AG4981" i="30"/>
  <c r="AF4981" i="30"/>
  <c r="AH4981" i="30" s="1"/>
  <c r="AG4985" i="30"/>
  <c r="AF4985" i="30"/>
  <c r="AH4985" i="30" s="1"/>
  <c r="AG4989" i="30"/>
  <c r="AF4989" i="30"/>
  <c r="AH4989" i="30" s="1"/>
  <c r="AG4993" i="30"/>
  <c r="AF4993" i="30"/>
  <c r="AH4993" i="30" s="1"/>
  <c r="AG4997" i="30"/>
  <c r="AF4997" i="30"/>
  <c r="AH4997" i="30" s="1"/>
  <c r="AG5001" i="30"/>
  <c r="AF5001" i="30"/>
  <c r="AH5001" i="30" s="1"/>
  <c r="AG5005" i="30"/>
  <c r="AF5005" i="30"/>
  <c r="AH5005" i="30" s="1"/>
  <c r="AG5009" i="30"/>
  <c r="AF5009" i="30"/>
  <c r="AH5009" i="30" s="1"/>
  <c r="AG5013" i="30"/>
  <c r="AF5013" i="30"/>
  <c r="AH5013" i="30" s="1"/>
  <c r="AG5017" i="30"/>
  <c r="AF5017" i="30"/>
  <c r="AH5017" i="30" s="1"/>
  <c r="AG5021" i="30"/>
  <c r="AF5021" i="30"/>
  <c r="AH5021" i="30" s="1"/>
  <c r="AG5025" i="30"/>
  <c r="AF5025" i="30"/>
  <c r="AH5025" i="30" s="1"/>
  <c r="AG5029" i="30"/>
  <c r="AF5029" i="30"/>
  <c r="AH5029" i="30" s="1"/>
  <c r="AG5033" i="30"/>
  <c r="AF5033" i="30"/>
  <c r="AH5033" i="30" s="1"/>
  <c r="AG5037" i="30"/>
  <c r="AF5037" i="30"/>
  <c r="AH5037" i="30" s="1"/>
  <c r="AG5041" i="30"/>
  <c r="AF5041" i="30"/>
  <c r="AH5041" i="30" s="1"/>
  <c r="AG5045" i="30"/>
  <c r="AF5045" i="30"/>
  <c r="AH5045" i="30" s="1"/>
  <c r="AG5049" i="30"/>
  <c r="AF5049" i="30"/>
  <c r="AH5049" i="30" s="1"/>
  <c r="AG5053" i="30"/>
  <c r="AF5053" i="30"/>
  <c r="AH5053" i="30" s="1"/>
  <c r="AG5057" i="30"/>
  <c r="AF5057" i="30"/>
  <c r="AH5057" i="30" s="1"/>
  <c r="AG5061" i="30"/>
  <c r="AF5061" i="30"/>
  <c r="AH5061" i="30" s="1"/>
  <c r="AG5764" i="30"/>
  <c r="AF5764" i="30"/>
  <c r="AH5764" i="30" s="1"/>
  <c r="AG5768" i="30"/>
  <c r="AF5768" i="30"/>
  <c r="AH5768" i="30" s="1"/>
  <c r="AG5772" i="30"/>
  <c r="AF5772" i="30"/>
  <c r="AH5772" i="30" s="1"/>
  <c r="AG5776" i="30"/>
  <c r="AF5776" i="30"/>
  <c r="AH5776" i="30" s="1"/>
  <c r="AG5780" i="30"/>
  <c r="AF5780" i="30"/>
  <c r="AH5780" i="30" s="1"/>
  <c r="AG5784" i="30"/>
  <c r="AF5784" i="30"/>
  <c r="AH5784" i="30" s="1"/>
  <c r="AG5788" i="30"/>
  <c r="AF5788" i="30"/>
  <c r="AH5788" i="30" s="1"/>
  <c r="AG5792" i="30"/>
  <c r="AF5792" i="30"/>
  <c r="AH5792" i="30" s="1"/>
  <c r="AG5796" i="30"/>
  <c r="AF5796" i="30"/>
  <c r="AH5796" i="30" s="1"/>
  <c r="AG5800" i="30"/>
  <c r="AF5800" i="30"/>
  <c r="AH5800" i="30" s="1"/>
  <c r="AG5804" i="30"/>
  <c r="AF5804" i="30"/>
  <c r="AH5804" i="30" s="1"/>
  <c r="AG5808" i="30"/>
  <c r="AF5808" i="30"/>
  <c r="AH5808" i="30" s="1"/>
  <c r="AG5812" i="30"/>
  <c r="AF5812" i="30"/>
  <c r="AH5812" i="30" s="1"/>
  <c r="AG5816" i="30"/>
  <c r="AF5816" i="30"/>
  <c r="AH5816" i="30" s="1"/>
  <c r="AG5820" i="30"/>
  <c r="AF5820" i="30"/>
  <c r="AH5820" i="30" s="1"/>
  <c r="AG5824" i="30"/>
  <c r="AF5824" i="30"/>
  <c r="AH5824" i="30" s="1"/>
  <c r="AG5828" i="30"/>
  <c r="AF5828" i="30"/>
  <c r="AH5828" i="30" s="1"/>
  <c r="AG5832" i="30"/>
  <c r="AF5832" i="30"/>
  <c r="AH5832" i="30" s="1"/>
  <c r="AG5836" i="30"/>
  <c r="AF5836" i="30"/>
  <c r="AH5836" i="30" s="1"/>
  <c r="AG5840" i="30"/>
  <c r="AF5840" i="30"/>
  <c r="AH5840" i="30" s="1"/>
  <c r="AG5844" i="30"/>
  <c r="AF5844" i="30"/>
  <c r="AH5844" i="30" s="1"/>
  <c r="AG5848" i="30"/>
  <c r="AF5848" i="30"/>
  <c r="AH5848" i="30" s="1"/>
  <c r="AG5852" i="30"/>
  <c r="AF5852" i="30"/>
  <c r="AH5852" i="30" s="1"/>
  <c r="AG5856" i="30"/>
  <c r="AF5856" i="30"/>
  <c r="AH5856" i="30" s="1"/>
  <c r="AG5860" i="30"/>
  <c r="AF5860" i="30"/>
  <c r="AH5860" i="30" s="1"/>
  <c r="AG5864" i="30"/>
  <c r="AF5864" i="30"/>
  <c r="AH5864" i="30" s="1"/>
  <c r="AG5868" i="30"/>
  <c r="AF5868" i="30"/>
  <c r="AH5868" i="30" s="1"/>
  <c r="AG5872" i="30"/>
  <c r="AF5872" i="30"/>
  <c r="AH5872" i="30" s="1"/>
  <c r="AG5876" i="30"/>
  <c r="AF5876" i="30"/>
  <c r="AH5876" i="30" s="1"/>
  <c r="AG5880" i="30"/>
  <c r="AF5880" i="30"/>
  <c r="AH5880" i="30" s="1"/>
  <c r="AG5884" i="30"/>
  <c r="AF5884" i="30"/>
  <c r="AH5884" i="30" s="1"/>
  <c r="AG5888" i="30"/>
  <c r="AF5888" i="30"/>
  <c r="AH5888" i="30" s="1"/>
  <c r="AG5892" i="30"/>
  <c r="AF5892" i="30"/>
  <c r="AH5892" i="30" s="1"/>
  <c r="AG5896" i="30"/>
  <c r="AF5896" i="30"/>
  <c r="AH5896" i="30" s="1"/>
  <c r="AG5900" i="30"/>
  <c r="AF5900" i="30"/>
  <c r="AH5900" i="30" s="1"/>
  <c r="AG5904" i="30"/>
  <c r="AF5904" i="30"/>
  <c r="AH5904" i="30" s="1"/>
  <c r="AG5908" i="30"/>
  <c r="AF5908" i="30"/>
  <c r="AH5908" i="30" s="1"/>
  <c r="AG5912" i="30"/>
  <c r="AF5912" i="30"/>
  <c r="AH5912" i="30" s="1"/>
  <c r="AG5916" i="30"/>
  <c r="AF5916" i="30"/>
  <c r="AH5916" i="30" s="1"/>
  <c r="AG5920" i="30"/>
  <c r="AF5920" i="30"/>
  <c r="AH5920" i="30" s="1"/>
  <c r="AG5924" i="30"/>
  <c r="AF5924" i="30"/>
  <c r="AH5924" i="30" s="1"/>
  <c r="AG5928" i="30"/>
  <c r="AF5928" i="30"/>
  <c r="AH5928" i="30" s="1"/>
  <c r="AG5932" i="30"/>
  <c r="AF5932" i="30"/>
  <c r="AH5932" i="30" s="1"/>
  <c r="AG5936" i="30"/>
  <c r="AF5936" i="30"/>
  <c r="AH5936" i="30" s="1"/>
  <c r="AG5940" i="30"/>
  <c r="AF5940" i="30"/>
  <c r="AH5940" i="30" s="1"/>
  <c r="AG5944" i="30"/>
  <c r="AF5944" i="30"/>
  <c r="AH5944" i="30" s="1"/>
  <c r="AG5948" i="30"/>
  <c r="AF5948" i="30"/>
  <c r="AH5948" i="30" s="1"/>
  <c r="AG5952" i="30"/>
  <c r="AF5952" i="30"/>
  <c r="AH5952" i="30" s="1"/>
  <c r="AG5956" i="30"/>
  <c r="AF5956" i="30"/>
  <c r="AH5956" i="30" s="1"/>
  <c r="AG5960" i="30"/>
  <c r="AF5960" i="30"/>
  <c r="AH5960" i="30" s="1"/>
  <c r="AG5964" i="30"/>
  <c r="AF5964" i="30"/>
  <c r="AH5964" i="30" s="1"/>
  <c r="AG5968" i="30"/>
  <c r="AF5968" i="30"/>
  <c r="AH5968" i="30" s="1"/>
  <c r="AG5972" i="30"/>
  <c r="AF5972" i="30"/>
  <c r="AH5972" i="30" s="1"/>
  <c r="AG5976" i="30"/>
  <c r="AF5976" i="30"/>
  <c r="AH5976" i="30" s="1"/>
  <c r="AG5980" i="30"/>
  <c r="AF5980" i="30"/>
  <c r="AH5980" i="30" s="1"/>
  <c r="AG5984" i="30"/>
  <c r="AF5984" i="30"/>
  <c r="AH5984" i="30" s="1"/>
  <c r="AG5988" i="30"/>
  <c r="AF5988" i="30"/>
  <c r="AH5988" i="30" s="1"/>
  <c r="AG5992" i="30"/>
  <c r="AF5992" i="30"/>
  <c r="AH5992" i="30" s="1"/>
  <c r="AG5996" i="30"/>
  <c r="AF5996" i="30"/>
  <c r="AH5996" i="30" s="1"/>
  <c r="AG6000" i="30"/>
  <c r="AF6000" i="30"/>
  <c r="AH6000" i="30" s="1"/>
  <c r="AG6004" i="30"/>
  <c r="AF6004" i="30"/>
  <c r="AH6004" i="30" s="1"/>
  <c r="AG6008" i="30"/>
  <c r="AF6008" i="30"/>
  <c r="AH6008" i="30" s="1"/>
  <c r="AG6012" i="30"/>
  <c r="AF6012" i="30"/>
  <c r="AH6012" i="30" s="1"/>
  <c r="AG6016" i="30"/>
  <c r="AF6016" i="30"/>
  <c r="AH6016" i="30" s="1"/>
  <c r="AG6020" i="30"/>
  <c r="AF6020" i="30"/>
  <c r="AH6020" i="30" s="1"/>
  <c r="AG6024" i="30"/>
  <c r="AF6024" i="30"/>
  <c r="AH6024" i="30" s="1"/>
  <c r="AG6028" i="30"/>
  <c r="AF6028" i="30"/>
  <c r="AH6028" i="30" s="1"/>
  <c r="AG6032" i="30"/>
  <c r="AF6032" i="30"/>
  <c r="AH6032" i="30" s="1"/>
  <c r="AG6036" i="30"/>
  <c r="AF6036" i="30"/>
  <c r="AH6036" i="30" s="1"/>
  <c r="AG6040" i="30"/>
  <c r="AF6040" i="30"/>
  <c r="AH6040" i="30" s="1"/>
  <c r="AG6044" i="30"/>
  <c r="AF6044" i="30"/>
  <c r="AH6044" i="30" s="1"/>
  <c r="AG6048" i="30"/>
  <c r="AF6048" i="30"/>
  <c r="AH6048" i="30" s="1"/>
  <c r="AG6052" i="30"/>
  <c r="AF6052" i="30"/>
  <c r="AH6052" i="30" s="1"/>
  <c r="AG6056" i="30"/>
  <c r="AF6056" i="30"/>
  <c r="AH6056" i="30" s="1"/>
  <c r="AG6060" i="30"/>
  <c r="AF6060" i="30"/>
  <c r="AH6060" i="30" s="1"/>
  <c r="AG6064" i="30"/>
  <c r="AF6064" i="30"/>
  <c r="AH6064" i="30" s="1"/>
  <c r="AG6068" i="30"/>
  <c r="AF6068" i="30"/>
  <c r="AH6068" i="30" s="1"/>
  <c r="AG6072" i="30"/>
  <c r="AF6072" i="30"/>
  <c r="AH6072" i="30" s="1"/>
  <c r="AG6076" i="30"/>
  <c r="AF6076" i="30"/>
  <c r="AH6076" i="30" s="1"/>
  <c r="AG6080" i="30"/>
  <c r="AF6080" i="30"/>
  <c r="AH6080" i="30" s="1"/>
  <c r="AG6084" i="30"/>
  <c r="AF6084" i="30"/>
  <c r="AH6084" i="30" s="1"/>
  <c r="AG6088" i="30"/>
  <c r="AF6088" i="30"/>
  <c r="AH6088" i="30" s="1"/>
  <c r="AG6092" i="30"/>
  <c r="AF6092" i="30"/>
  <c r="AH6092" i="30" s="1"/>
  <c r="AG6096" i="30"/>
  <c r="AF6096" i="30"/>
  <c r="AH6096" i="30" s="1"/>
  <c r="AG6100" i="30"/>
  <c r="AF6100" i="30"/>
  <c r="AH6100" i="30" s="1"/>
  <c r="AG6104" i="30"/>
  <c r="AF6104" i="30"/>
  <c r="AH6104" i="30" s="1"/>
  <c r="AG6108" i="30"/>
  <c r="AF6108" i="30"/>
  <c r="AH6108" i="30" s="1"/>
  <c r="AG6112" i="30"/>
  <c r="AF6112" i="30"/>
  <c r="AH6112" i="30" s="1"/>
  <c r="AG6116" i="30"/>
  <c r="AF6116" i="30"/>
  <c r="AH6116" i="30" s="1"/>
  <c r="AG6120" i="30"/>
  <c r="AF6120" i="30"/>
  <c r="AH6120" i="30" s="1"/>
  <c r="AG6124" i="30"/>
  <c r="AF6124" i="30"/>
  <c r="AH6124" i="30" s="1"/>
  <c r="AG6128" i="30"/>
  <c r="AF6128" i="30"/>
  <c r="AH6128" i="30" s="1"/>
  <c r="AG6132" i="30"/>
  <c r="AF6132" i="30"/>
  <c r="AH6132" i="30" s="1"/>
  <c r="AG6136" i="30"/>
  <c r="AF6136" i="30"/>
  <c r="AH6136" i="30" s="1"/>
  <c r="AG6140" i="30"/>
  <c r="AF6140" i="30"/>
  <c r="AH6140" i="30" s="1"/>
  <c r="AG6144" i="30"/>
  <c r="AF6144" i="30"/>
  <c r="AH6144" i="30" s="1"/>
  <c r="AG6148" i="30"/>
  <c r="AF6148" i="30"/>
  <c r="AH6148" i="30" s="1"/>
  <c r="AG6152" i="30"/>
  <c r="AF6152" i="30"/>
  <c r="AH6152" i="30" s="1"/>
  <c r="AG6156" i="30"/>
  <c r="AF6156" i="30"/>
  <c r="AH6156" i="30" s="1"/>
  <c r="AG6160" i="30"/>
  <c r="AF6160" i="30"/>
  <c r="AH6160" i="30" s="1"/>
  <c r="AG6164" i="30"/>
  <c r="AF6164" i="30"/>
  <c r="AH6164" i="30" s="1"/>
  <c r="AG6168" i="30"/>
  <c r="AF6168" i="30"/>
  <c r="AH6168" i="30" s="1"/>
  <c r="AG6172" i="30"/>
  <c r="AF6172" i="30"/>
  <c r="AH6172" i="30" s="1"/>
  <c r="AG6176" i="30"/>
  <c r="AF6176" i="30"/>
  <c r="AH6176" i="30" s="1"/>
  <c r="AG6180" i="30"/>
  <c r="AF6180" i="30"/>
  <c r="AH6180" i="30" s="1"/>
  <c r="AG6184" i="30"/>
  <c r="AF6184" i="30"/>
  <c r="AH6184" i="30" s="1"/>
  <c r="AG6188" i="30"/>
  <c r="AF6188" i="30"/>
  <c r="AH6188" i="30" s="1"/>
  <c r="AG6192" i="30"/>
  <c r="AF6192" i="30"/>
  <c r="AH6192" i="30" s="1"/>
  <c r="AG6196" i="30"/>
  <c r="AF6196" i="30"/>
  <c r="AH6196" i="30" s="1"/>
  <c r="AG6200" i="30"/>
  <c r="AF6200" i="30"/>
  <c r="AH6200" i="30" s="1"/>
  <c r="AG6204" i="30"/>
  <c r="AF6204" i="30"/>
  <c r="AH6204" i="30" s="1"/>
  <c r="AG6208" i="30"/>
  <c r="AF6208" i="30"/>
  <c r="AH6208" i="30" s="1"/>
  <c r="AG6212" i="30"/>
  <c r="AF6212" i="30"/>
  <c r="AH6212" i="30" s="1"/>
  <c r="AG6216" i="30"/>
  <c r="AF6216" i="30"/>
  <c r="AH6216" i="30" s="1"/>
  <c r="AG6220" i="30"/>
  <c r="AF6220" i="30"/>
  <c r="AH6220" i="30" s="1"/>
  <c r="AG6224" i="30"/>
  <c r="AF6224" i="30"/>
  <c r="AH6224" i="30" s="1"/>
  <c r="AG6228" i="30"/>
  <c r="AF6228" i="30"/>
  <c r="AH6228" i="30" s="1"/>
  <c r="AG6232" i="30"/>
  <c r="AF6232" i="30"/>
  <c r="AH6232" i="30" s="1"/>
  <c r="AG6236" i="30"/>
  <c r="AF6236" i="30"/>
  <c r="AH6236" i="30" s="1"/>
  <c r="AG6239" i="30"/>
  <c r="AF6239" i="30"/>
  <c r="AH6239" i="30" s="1"/>
  <c r="AG6241" i="30"/>
  <c r="AF6241" i="30"/>
  <c r="AH6241" i="30" s="1"/>
  <c r="AG6243" i="30"/>
  <c r="AF6243" i="30"/>
  <c r="AH6243" i="30" s="1"/>
  <c r="AG6245" i="30"/>
  <c r="AF6245" i="30"/>
  <c r="AH6245" i="30" s="1"/>
  <c r="AG6247" i="30"/>
  <c r="AF6247" i="30"/>
  <c r="AH6247" i="30" s="1"/>
  <c r="AG6249" i="30"/>
  <c r="AF6249" i="30"/>
  <c r="AH6249" i="30" s="1"/>
  <c r="AG6251" i="30"/>
  <c r="AF6251" i="30"/>
  <c r="AH6251" i="30" s="1"/>
  <c r="AG6253" i="30"/>
  <c r="AF6253" i="30"/>
  <c r="AH6253" i="30" s="1"/>
  <c r="AG6255" i="30"/>
  <c r="AF6255" i="30"/>
  <c r="AH6255" i="30" s="1"/>
  <c r="AG6257" i="30"/>
  <c r="AF6257" i="30"/>
  <c r="AH6257" i="30" s="1"/>
  <c r="AG6259" i="30"/>
  <c r="AF6259" i="30"/>
  <c r="AH6259" i="30" s="1"/>
  <c r="AG6261" i="30"/>
  <c r="AF6261" i="30"/>
  <c r="AH6261" i="30" s="1"/>
  <c r="AG6263" i="30"/>
  <c r="AF6263" i="30"/>
  <c r="AH6263" i="30" s="1"/>
  <c r="AG6265" i="30"/>
  <c r="AF6265" i="30"/>
  <c r="AH6265" i="30" s="1"/>
  <c r="AG6267" i="30"/>
  <c r="AF6267" i="30"/>
  <c r="AH6267" i="30" s="1"/>
  <c r="AG6269" i="30"/>
  <c r="AF6269" i="30"/>
  <c r="AH6269" i="30" s="1"/>
  <c r="AG6271" i="30"/>
  <c r="AF6271" i="30"/>
  <c r="AH6271" i="30" s="1"/>
  <c r="AG6273" i="30"/>
  <c r="AF6273" i="30"/>
  <c r="AH6273" i="30" s="1"/>
  <c r="AG6275" i="30"/>
  <c r="AF6275" i="30"/>
  <c r="AH6275" i="30" s="1"/>
  <c r="AG6277" i="30"/>
  <c r="AF6277" i="30"/>
  <c r="AH6277" i="30" s="1"/>
  <c r="AG6279" i="30"/>
  <c r="AF6279" i="30"/>
  <c r="AH6279" i="30" s="1"/>
  <c r="AG6281" i="30"/>
  <c r="AF6281" i="30"/>
  <c r="AH6281" i="30" s="1"/>
  <c r="AG6283" i="30"/>
  <c r="AF6283" i="30"/>
  <c r="AH6283" i="30" s="1"/>
  <c r="AG6285" i="30"/>
  <c r="AF6285" i="30"/>
  <c r="AH6285" i="30" s="1"/>
  <c r="AG6287" i="30"/>
  <c r="AF6287" i="30"/>
  <c r="AH6287" i="30" s="1"/>
  <c r="AG6289" i="30"/>
  <c r="AF6289" i="30"/>
  <c r="AH6289" i="30" s="1"/>
  <c r="AG6291" i="30"/>
  <c r="AF6291" i="30"/>
  <c r="AH6291" i="30" s="1"/>
  <c r="AG6293" i="30"/>
  <c r="AF6293" i="30"/>
  <c r="AH6293" i="30" s="1"/>
  <c r="AG6295" i="30"/>
  <c r="AF6295" i="30"/>
  <c r="AH6295" i="30" s="1"/>
  <c r="AG6297" i="30"/>
  <c r="AF6297" i="30"/>
  <c r="AH6297" i="30" s="1"/>
  <c r="AG6299" i="30"/>
  <c r="AF6299" i="30"/>
  <c r="AH6299" i="30" s="1"/>
  <c r="AG6301" i="30"/>
  <c r="AF6301" i="30"/>
  <c r="AH6301" i="30" s="1"/>
  <c r="AG6303" i="30"/>
  <c r="AF6303" i="30"/>
  <c r="AH6303" i="30" s="1"/>
  <c r="AG6305" i="30"/>
  <c r="AF6305" i="30"/>
  <c r="AH6305" i="30" s="1"/>
  <c r="AG6307" i="30"/>
  <c r="AF6307" i="30"/>
  <c r="AH6307" i="30" s="1"/>
  <c r="AG6309" i="30"/>
  <c r="AF6309" i="30"/>
  <c r="AH6309" i="30" s="1"/>
  <c r="AG6311" i="30"/>
  <c r="AF6311" i="30"/>
  <c r="AH6311" i="30" s="1"/>
  <c r="AG6313" i="30"/>
  <c r="AF6313" i="30"/>
  <c r="AH6313" i="30" s="1"/>
  <c r="AG6315" i="30"/>
  <c r="AF6315" i="30"/>
  <c r="AH6315" i="30" s="1"/>
  <c r="AG6317" i="30"/>
  <c r="AF6317" i="30"/>
  <c r="AH6317" i="30" s="1"/>
  <c r="AG6319" i="30"/>
  <c r="AF6319" i="30"/>
  <c r="AH6319" i="30" s="1"/>
  <c r="AG6321" i="30"/>
  <c r="AF6321" i="30"/>
  <c r="AH6321" i="30" s="1"/>
  <c r="AG6323" i="30"/>
  <c r="AF6323" i="30"/>
  <c r="AH6323" i="30" s="1"/>
  <c r="AG6325" i="30"/>
  <c r="AF6325" i="30"/>
  <c r="AH6325" i="30" s="1"/>
  <c r="AG6327" i="30"/>
  <c r="AF6327" i="30"/>
  <c r="AH6327" i="30" s="1"/>
  <c r="AG6329" i="30"/>
  <c r="AF6329" i="30"/>
  <c r="AH6329" i="30" s="1"/>
  <c r="AG6331" i="30"/>
  <c r="AF6331" i="30"/>
  <c r="AH6331" i="30" s="1"/>
  <c r="AG6333" i="30"/>
  <c r="AF6333" i="30"/>
  <c r="AH6333" i="30" s="1"/>
  <c r="AG6335" i="30"/>
  <c r="AF6335" i="30"/>
  <c r="AH6335" i="30" s="1"/>
  <c r="AG6337" i="30"/>
  <c r="AF6337" i="30"/>
  <c r="AH6337" i="30" s="1"/>
  <c r="AG6339" i="30"/>
  <c r="AF6339" i="30"/>
  <c r="AH6339" i="30" s="1"/>
  <c r="AG6341" i="30"/>
  <c r="AF6341" i="30"/>
  <c r="AH6341" i="30" s="1"/>
  <c r="AG6343" i="30"/>
  <c r="AF6343" i="30"/>
  <c r="AH6343" i="30" s="1"/>
  <c r="AG6345" i="30"/>
  <c r="AF6345" i="30"/>
  <c r="AH6345" i="30" s="1"/>
  <c r="AG6347" i="30"/>
  <c r="AF6347" i="30"/>
  <c r="AH6347" i="30" s="1"/>
  <c r="AG6349" i="30"/>
  <c r="AF6349" i="30"/>
  <c r="AH6349" i="30" s="1"/>
  <c r="AG6351" i="30"/>
  <c r="AF6351" i="30"/>
  <c r="AH6351" i="30" s="1"/>
  <c r="AG6353" i="30"/>
  <c r="AF6353" i="30"/>
  <c r="AH6353" i="30" s="1"/>
  <c r="AG6355" i="30"/>
  <c r="AF6355" i="30"/>
  <c r="AH6355" i="30" s="1"/>
  <c r="AG6357" i="30"/>
  <c r="AF6357" i="30"/>
  <c r="AH6357" i="30" s="1"/>
  <c r="AG6359" i="30"/>
  <c r="AF6359" i="30"/>
  <c r="AH6359" i="30" s="1"/>
  <c r="AG6361" i="30"/>
  <c r="AF6361" i="30"/>
  <c r="AH6361" i="30" s="1"/>
  <c r="AG6363" i="30"/>
  <c r="AF6363" i="30"/>
  <c r="AH6363" i="30" s="1"/>
  <c r="AG6365" i="30"/>
  <c r="AF6365" i="30"/>
  <c r="AH6365" i="30" s="1"/>
  <c r="AG6367" i="30"/>
  <c r="AF6367" i="30"/>
  <c r="AH6367" i="30" s="1"/>
  <c r="AG6369" i="30"/>
  <c r="AF6369" i="30"/>
  <c r="AH6369" i="30" s="1"/>
  <c r="AG6371" i="30"/>
  <c r="AF6371" i="30"/>
  <c r="AH6371" i="30" s="1"/>
  <c r="AG6373" i="30"/>
  <c r="AF6373" i="30"/>
  <c r="AH6373" i="30" s="1"/>
  <c r="AG6375" i="30"/>
  <c r="AF6375" i="30"/>
  <c r="AH6375" i="30" s="1"/>
  <c r="AG6377" i="30"/>
  <c r="AF6377" i="30"/>
  <c r="AH6377" i="30" s="1"/>
  <c r="AG6379" i="30"/>
  <c r="AF6379" i="30"/>
  <c r="AH6379" i="30" s="1"/>
  <c r="AG6381" i="30"/>
  <c r="AF6381" i="30"/>
  <c r="AH6381" i="30" s="1"/>
  <c r="AG6383" i="30"/>
  <c r="AF6383" i="30"/>
  <c r="AH6383" i="30" s="1"/>
  <c r="AG6385" i="30"/>
  <c r="AF6385" i="30"/>
  <c r="AH6385" i="30" s="1"/>
  <c r="AG6387" i="30"/>
  <c r="AF6387" i="30"/>
  <c r="AH6387" i="30" s="1"/>
  <c r="AG6389" i="30"/>
  <c r="AF6389" i="30"/>
  <c r="AH6389" i="30" s="1"/>
  <c r="AG6391" i="30"/>
  <c r="AF6391" i="30"/>
  <c r="AH6391" i="30" s="1"/>
  <c r="AG6393" i="30"/>
  <c r="AF6393" i="30"/>
  <c r="AH6393" i="30" s="1"/>
  <c r="AG6395" i="30"/>
  <c r="AF6395" i="30"/>
  <c r="AH6395" i="30" s="1"/>
  <c r="AF2775" i="30"/>
  <c r="AH2775" i="30" s="1"/>
  <c r="AF2776" i="30"/>
  <c r="AH2776" i="30" s="1"/>
  <c r="AF2777" i="30"/>
  <c r="AH2777" i="30" s="1"/>
  <c r="AF2778" i="30"/>
  <c r="AH2778" i="30" s="1"/>
  <c r="AF2779" i="30"/>
  <c r="AH2779" i="30" s="1"/>
  <c r="AF2780" i="30"/>
  <c r="AH2780" i="30" s="1"/>
  <c r="AF2781" i="30"/>
  <c r="AH2781" i="30" s="1"/>
  <c r="AF2782" i="30"/>
  <c r="AH2782" i="30" s="1"/>
  <c r="AF2783" i="30"/>
  <c r="AH2783" i="30" s="1"/>
  <c r="AF2784" i="30"/>
  <c r="AH2784" i="30" s="1"/>
  <c r="AF2785" i="30"/>
  <c r="AH2785" i="30" s="1"/>
  <c r="AF2786" i="30"/>
  <c r="AH2786" i="30" s="1"/>
  <c r="AF2787" i="30"/>
  <c r="AH2787" i="30" s="1"/>
  <c r="AF2788" i="30"/>
  <c r="AH2788" i="30" s="1"/>
  <c r="AF2789" i="30"/>
  <c r="AH2789" i="30" s="1"/>
  <c r="AF2790" i="30"/>
  <c r="AH2790" i="30" s="1"/>
  <c r="AF2791" i="30"/>
  <c r="AH2791" i="30" s="1"/>
  <c r="AF2792" i="30"/>
  <c r="AH2792" i="30" s="1"/>
  <c r="AF2793" i="30"/>
  <c r="AH2793" i="30" s="1"/>
  <c r="AF2794" i="30"/>
  <c r="AH2794" i="30" s="1"/>
  <c r="AF2795" i="30"/>
  <c r="AH2795" i="30" s="1"/>
  <c r="AF2796" i="30"/>
  <c r="AH2796" i="30" s="1"/>
  <c r="AF2797" i="30"/>
  <c r="AH2797" i="30" s="1"/>
  <c r="AF2798" i="30"/>
  <c r="AH2798" i="30" s="1"/>
  <c r="AF2799" i="30"/>
  <c r="AH2799" i="30" s="1"/>
  <c r="AF2800" i="30"/>
  <c r="AH2800" i="30" s="1"/>
  <c r="AF2801" i="30"/>
  <c r="AH2801" i="30" s="1"/>
  <c r="AF2802" i="30"/>
  <c r="AH2802" i="30" s="1"/>
  <c r="AF2803" i="30"/>
  <c r="AH2803" i="30" s="1"/>
  <c r="AF2804" i="30"/>
  <c r="AH2804" i="30" s="1"/>
  <c r="AF2805" i="30"/>
  <c r="AH2805" i="30" s="1"/>
  <c r="AF2806" i="30"/>
  <c r="AH2806" i="30" s="1"/>
  <c r="AF2807" i="30"/>
  <c r="AH2807" i="30" s="1"/>
  <c r="AF2808" i="30"/>
  <c r="AH2808" i="30" s="1"/>
  <c r="AF2809" i="30"/>
  <c r="AH2809" i="30" s="1"/>
  <c r="AF2810" i="30"/>
  <c r="AH2810" i="30" s="1"/>
  <c r="AF2811" i="30"/>
  <c r="AH2811" i="30" s="1"/>
  <c r="AF2812" i="30"/>
  <c r="AH2812" i="30" s="1"/>
  <c r="AF2813" i="30"/>
  <c r="AH2813" i="30" s="1"/>
  <c r="AF2814" i="30"/>
  <c r="AH2814" i="30" s="1"/>
  <c r="AF2815" i="30"/>
  <c r="AH2815" i="30" s="1"/>
  <c r="AF2816" i="30"/>
  <c r="AH2816" i="30" s="1"/>
  <c r="AF2817" i="30"/>
  <c r="AH2817" i="30" s="1"/>
  <c r="AF2818" i="30"/>
  <c r="AH2818" i="30" s="1"/>
  <c r="AF2819" i="30"/>
  <c r="AH2819" i="30" s="1"/>
  <c r="AF2820" i="30"/>
  <c r="AH2820" i="30" s="1"/>
  <c r="AF2821" i="30"/>
  <c r="AH2821" i="30" s="1"/>
  <c r="AF2822" i="30"/>
  <c r="AH2822" i="30" s="1"/>
  <c r="AF2823" i="30"/>
  <c r="AH2823" i="30" s="1"/>
  <c r="AF2824" i="30"/>
  <c r="AH2824" i="30" s="1"/>
  <c r="AF2825" i="30"/>
  <c r="AH2825" i="30" s="1"/>
  <c r="AF2826" i="30"/>
  <c r="AH2826" i="30" s="1"/>
  <c r="AF2827" i="30"/>
  <c r="AH2827" i="30" s="1"/>
  <c r="AF2828" i="30"/>
  <c r="AH2828" i="30" s="1"/>
  <c r="AF2829" i="30"/>
  <c r="AH2829" i="30" s="1"/>
  <c r="AF2830" i="30"/>
  <c r="AH2830" i="30" s="1"/>
  <c r="AF2831" i="30"/>
  <c r="AH2831" i="30" s="1"/>
  <c r="AF2832" i="30"/>
  <c r="AH2832" i="30" s="1"/>
  <c r="AF2833" i="30"/>
  <c r="AH2833" i="30" s="1"/>
  <c r="AF2834" i="30"/>
  <c r="AH2834" i="30" s="1"/>
  <c r="AF2835" i="30"/>
  <c r="AH2835" i="30" s="1"/>
  <c r="AF2836" i="30"/>
  <c r="AH2836" i="30" s="1"/>
  <c r="AF2837" i="30"/>
  <c r="AH2837" i="30" s="1"/>
  <c r="AF2838" i="30"/>
  <c r="AH2838" i="30" s="1"/>
  <c r="AF3351" i="30"/>
  <c r="AH3351" i="30" s="1"/>
  <c r="AF3352" i="30"/>
  <c r="AH3352" i="30" s="1"/>
  <c r="AF3353" i="30"/>
  <c r="AH3353" i="30" s="1"/>
  <c r="AF3354" i="30"/>
  <c r="AH3354" i="30" s="1"/>
  <c r="AF3355" i="30"/>
  <c r="AH3355" i="30" s="1"/>
  <c r="AF3356" i="30"/>
  <c r="AH3356" i="30" s="1"/>
  <c r="AF3357" i="30"/>
  <c r="AH3357" i="30" s="1"/>
  <c r="AF3358" i="30"/>
  <c r="AH3358" i="30" s="1"/>
  <c r="AF3359" i="30"/>
  <c r="AH3359" i="30" s="1"/>
  <c r="AF3360" i="30"/>
  <c r="AH3360" i="30" s="1"/>
  <c r="AF3361" i="30"/>
  <c r="AH3361" i="30" s="1"/>
  <c r="AF3362" i="30"/>
  <c r="AH3362" i="30" s="1"/>
  <c r="AF3363" i="30"/>
  <c r="AH3363" i="30" s="1"/>
  <c r="AF3364" i="30"/>
  <c r="AH3364" i="30" s="1"/>
  <c r="AF3365" i="30"/>
  <c r="AH3365" i="30" s="1"/>
  <c r="AF3366" i="30"/>
  <c r="AH3366" i="30" s="1"/>
  <c r="AF3367" i="30"/>
  <c r="AH3367" i="30" s="1"/>
  <c r="AF3368" i="30"/>
  <c r="AH3368" i="30" s="1"/>
  <c r="AF3369" i="30"/>
  <c r="AH3369" i="30" s="1"/>
  <c r="AF3370" i="30"/>
  <c r="AH3370" i="30" s="1"/>
  <c r="AF3371" i="30"/>
  <c r="AH3371" i="30" s="1"/>
  <c r="AF3372" i="30"/>
  <c r="AH3372" i="30" s="1"/>
  <c r="AF3373" i="30"/>
  <c r="AH3373" i="30" s="1"/>
  <c r="AF3374" i="30"/>
  <c r="AH3374" i="30" s="1"/>
  <c r="AF3375" i="30"/>
  <c r="AH3375" i="30" s="1"/>
  <c r="AF3376" i="30"/>
  <c r="AH3376" i="30" s="1"/>
  <c r="AF3377" i="30"/>
  <c r="AH3377" i="30" s="1"/>
  <c r="AF3378" i="30"/>
  <c r="AH3378" i="30" s="1"/>
  <c r="AF3379" i="30"/>
  <c r="AH3379" i="30" s="1"/>
  <c r="AF3380" i="30"/>
  <c r="AH3380" i="30" s="1"/>
  <c r="AF3381" i="30"/>
  <c r="AH3381" i="30" s="1"/>
  <c r="AF3382" i="30"/>
  <c r="AH3382" i="30" s="1"/>
  <c r="AF3383" i="30"/>
  <c r="AH3383" i="30" s="1"/>
  <c r="AF3384" i="30"/>
  <c r="AH3384" i="30" s="1"/>
  <c r="AF3385" i="30"/>
  <c r="AH3385" i="30" s="1"/>
  <c r="AF3386" i="30"/>
  <c r="AH3386" i="30" s="1"/>
  <c r="AF3387" i="30"/>
  <c r="AH3387" i="30" s="1"/>
  <c r="AF3388" i="30"/>
  <c r="AH3388" i="30" s="1"/>
  <c r="AF3389" i="30"/>
  <c r="AH3389" i="30" s="1"/>
  <c r="AF3390" i="30"/>
  <c r="AH3390" i="30" s="1"/>
  <c r="AF3391" i="30"/>
  <c r="AH3391" i="30" s="1"/>
  <c r="AF3392" i="30"/>
  <c r="AH3392" i="30" s="1"/>
  <c r="AF3393" i="30"/>
  <c r="AH3393" i="30" s="1"/>
  <c r="AF3394" i="30"/>
  <c r="AH3394" i="30" s="1"/>
  <c r="AF3395" i="30"/>
  <c r="AH3395" i="30" s="1"/>
  <c r="AF3396" i="30"/>
  <c r="AH3396" i="30" s="1"/>
  <c r="AF3397" i="30"/>
  <c r="AH3397" i="30" s="1"/>
  <c r="AF3398" i="30"/>
  <c r="AH3398" i="30" s="1"/>
  <c r="AF3399" i="30"/>
  <c r="AH3399" i="30" s="1"/>
  <c r="AF3400" i="30"/>
  <c r="AH3400" i="30" s="1"/>
  <c r="AF3401" i="30"/>
  <c r="AH3401" i="30" s="1"/>
  <c r="AF3402" i="30"/>
  <c r="AH3402" i="30" s="1"/>
  <c r="AF3403" i="30"/>
  <c r="AH3403" i="30" s="1"/>
  <c r="AF3404" i="30"/>
  <c r="AH3404" i="30" s="1"/>
  <c r="AF3405" i="30"/>
  <c r="AH3405" i="30" s="1"/>
  <c r="AF3406" i="30"/>
  <c r="AH3406" i="30" s="1"/>
  <c r="AF3407" i="30"/>
  <c r="AH3407" i="30" s="1"/>
  <c r="AF3408" i="30"/>
  <c r="AH3408" i="30" s="1"/>
  <c r="AF3409" i="30"/>
  <c r="AH3409" i="30" s="1"/>
  <c r="AF3410" i="30"/>
  <c r="AH3410" i="30" s="1"/>
  <c r="AF3411" i="30"/>
  <c r="AH3411" i="30" s="1"/>
  <c r="AF3412" i="30"/>
  <c r="AH3412" i="30" s="1"/>
  <c r="AF3413" i="30"/>
  <c r="AH3413" i="30" s="1"/>
  <c r="AF3414" i="30"/>
  <c r="AH3414" i="30" s="1"/>
  <c r="AF3415" i="30"/>
  <c r="AH3415" i="30" s="1"/>
  <c r="AF3416" i="30"/>
  <c r="AH3416" i="30" s="1"/>
  <c r="AF3417" i="30"/>
  <c r="AH3417" i="30" s="1"/>
  <c r="AF3418" i="30"/>
  <c r="AH3418" i="30" s="1"/>
  <c r="AF3419" i="30"/>
  <c r="AH3419" i="30" s="1"/>
  <c r="AF3420" i="30"/>
  <c r="AH3420" i="30" s="1"/>
  <c r="AF3421" i="30"/>
  <c r="AH3421" i="30" s="1"/>
  <c r="AF3422" i="30"/>
  <c r="AH3422" i="30" s="1"/>
  <c r="AF3423" i="30"/>
  <c r="AH3423" i="30" s="1"/>
  <c r="AF3424" i="30"/>
  <c r="AH3424" i="30" s="1"/>
  <c r="AF3425" i="30"/>
  <c r="AH3425" i="30" s="1"/>
  <c r="AF3426" i="30"/>
  <c r="AH3426" i="30" s="1"/>
  <c r="AF3427" i="30"/>
  <c r="AH3427" i="30" s="1"/>
  <c r="AF3428" i="30"/>
  <c r="AH3428" i="30" s="1"/>
  <c r="AF3429" i="30"/>
  <c r="AH3429" i="30" s="1"/>
  <c r="AF3430" i="30"/>
  <c r="AH3430" i="30" s="1"/>
  <c r="AF3431" i="30"/>
  <c r="AH3431" i="30" s="1"/>
  <c r="AF3432" i="30"/>
  <c r="AH3432" i="30" s="1"/>
  <c r="AF3433" i="30"/>
  <c r="AH3433" i="30" s="1"/>
  <c r="AF3434" i="30"/>
  <c r="AH3434" i="30" s="1"/>
  <c r="AF3435" i="30"/>
  <c r="AH3435" i="30" s="1"/>
  <c r="AF3436" i="30"/>
  <c r="AH3436" i="30" s="1"/>
  <c r="AF3437" i="30"/>
  <c r="AH3437" i="30" s="1"/>
  <c r="AF3438" i="30"/>
  <c r="AH3438" i="30" s="1"/>
  <c r="AF3439" i="30"/>
  <c r="AH3439" i="30" s="1"/>
  <c r="AF3440" i="30"/>
  <c r="AH3440" i="30" s="1"/>
  <c r="AF3441" i="30"/>
  <c r="AH3441" i="30" s="1"/>
  <c r="AF3442" i="30"/>
  <c r="AH3442" i="30" s="1"/>
  <c r="AF3443" i="30"/>
  <c r="AH3443" i="30" s="1"/>
  <c r="AF3444" i="30"/>
  <c r="AH3444" i="30" s="1"/>
  <c r="AF3445" i="30"/>
  <c r="AH3445" i="30" s="1"/>
  <c r="AF3446" i="30"/>
  <c r="AH3446" i="30" s="1"/>
  <c r="AF3447" i="30"/>
  <c r="AH3447" i="30" s="1"/>
  <c r="AF3448" i="30"/>
  <c r="AH3448" i="30" s="1"/>
  <c r="AF3449" i="30"/>
  <c r="AH3449" i="30" s="1"/>
  <c r="AF3450" i="30"/>
  <c r="AH3450" i="30" s="1"/>
  <c r="AF3451" i="30"/>
  <c r="AH3451" i="30" s="1"/>
  <c r="AF3452" i="30"/>
  <c r="AH3452" i="30" s="1"/>
  <c r="AF3453" i="30"/>
  <c r="AH3453" i="30" s="1"/>
  <c r="AF3454" i="30"/>
  <c r="AH3454" i="30" s="1"/>
  <c r="AF3455" i="30"/>
  <c r="AH3455" i="30" s="1"/>
  <c r="AF3456" i="30"/>
  <c r="AH3456" i="30" s="1"/>
  <c r="AF3457" i="30"/>
  <c r="AH3457" i="30" s="1"/>
  <c r="AF3458" i="30"/>
  <c r="AH3458" i="30" s="1"/>
  <c r="AF3459" i="30"/>
  <c r="AH3459" i="30" s="1"/>
  <c r="AF3460" i="30"/>
  <c r="AH3460" i="30" s="1"/>
  <c r="AF3461" i="30"/>
  <c r="AH3461" i="30" s="1"/>
  <c r="AF3462" i="30"/>
  <c r="AH3462" i="30" s="1"/>
  <c r="AF3463" i="30"/>
  <c r="AH3463" i="30" s="1"/>
  <c r="AF3464" i="30"/>
  <c r="AH3464" i="30" s="1"/>
  <c r="AF3465" i="30"/>
  <c r="AH3465" i="30" s="1"/>
  <c r="AF3466" i="30"/>
  <c r="AH3466" i="30" s="1"/>
  <c r="AF3467" i="30"/>
  <c r="AH3467" i="30" s="1"/>
  <c r="AF3468" i="30"/>
  <c r="AH3468" i="30" s="1"/>
  <c r="AF3469" i="30"/>
  <c r="AH3469" i="30" s="1"/>
  <c r="AF3470" i="30"/>
  <c r="AH3470" i="30" s="1"/>
  <c r="AF3471" i="30"/>
  <c r="AH3471" i="30" s="1"/>
  <c r="AF3472" i="30"/>
  <c r="AH3472" i="30" s="1"/>
  <c r="AF3473" i="30"/>
  <c r="AH3473" i="30" s="1"/>
  <c r="AF3474" i="30"/>
  <c r="AH3474" i="30" s="1"/>
  <c r="AF3475" i="30"/>
  <c r="AH3475" i="30" s="1"/>
  <c r="AF3476" i="30"/>
  <c r="AH3476" i="30" s="1"/>
  <c r="AF3477" i="30"/>
  <c r="AH3477" i="30" s="1"/>
  <c r="AF3478" i="30"/>
  <c r="AH3478" i="30" s="1"/>
  <c r="AF3479" i="30"/>
  <c r="AH3479" i="30" s="1"/>
  <c r="AF3480" i="30"/>
  <c r="AH3480" i="30" s="1"/>
  <c r="AF3481" i="30"/>
  <c r="AH3481" i="30" s="1"/>
  <c r="AF3482" i="30"/>
  <c r="AH3482" i="30" s="1"/>
  <c r="AF3483" i="30"/>
  <c r="AH3483" i="30" s="1"/>
  <c r="AF3484" i="30"/>
  <c r="AH3484" i="30" s="1"/>
  <c r="AF3485" i="30"/>
  <c r="AH3485" i="30" s="1"/>
  <c r="AF3486" i="30"/>
  <c r="AH3486" i="30" s="1"/>
  <c r="AF3487" i="30"/>
  <c r="AH3487" i="30" s="1"/>
  <c r="AF3488" i="30"/>
  <c r="AH3488" i="30" s="1"/>
  <c r="AF3489" i="30"/>
  <c r="AH3489" i="30" s="1"/>
  <c r="AF3490" i="30"/>
  <c r="AH3490" i="30" s="1"/>
  <c r="AF3491" i="30"/>
  <c r="AH3491" i="30" s="1"/>
  <c r="AF3492" i="30"/>
  <c r="AH3492" i="30" s="1"/>
  <c r="AF3493" i="30"/>
  <c r="AH3493" i="30" s="1"/>
  <c r="AF3494" i="30"/>
  <c r="AH3494" i="30" s="1"/>
  <c r="AF3495" i="30"/>
  <c r="AH3495" i="30" s="1"/>
  <c r="AF3496" i="30"/>
  <c r="AH3496" i="30" s="1"/>
  <c r="AF3497" i="30"/>
  <c r="AH3497" i="30" s="1"/>
  <c r="AF3498" i="30"/>
  <c r="AH3498" i="30" s="1"/>
  <c r="AF3499" i="30"/>
  <c r="AH3499" i="30" s="1"/>
  <c r="AF3500" i="30"/>
  <c r="AH3500" i="30" s="1"/>
  <c r="AF3501" i="30"/>
  <c r="AH3501" i="30" s="1"/>
  <c r="AF3502" i="30"/>
  <c r="AH3502" i="30" s="1"/>
  <c r="AF3503" i="30"/>
  <c r="AH3503" i="30" s="1"/>
  <c r="AF3504" i="30"/>
  <c r="AH3504" i="30" s="1"/>
  <c r="AF3505" i="30"/>
  <c r="AH3505" i="30" s="1"/>
  <c r="AF3506" i="30"/>
  <c r="AH3506" i="30" s="1"/>
  <c r="AF3507" i="30"/>
  <c r="AH3507" i="30" s="1"/>
  <c r="AF3508" i="30"/>
  <c r="AH3508" i="30" s="1"/>
  <c r="AF3509" i="30"/>
  <c r="AH3509" i="30" s="1"/>
  <c r="AF3510" i="30"/>
  <c r="AH3510" i="30" s="1"/>
  <c r="AF3511" i="30"/>
  <c r="AH3511" i="30" s="1"/>
  <c r="AF3512" i="30"/>
  <c r="AH3512" i="30" s="1"/>
  <c r="AF3513" i="30"/>
  <c r="AH3513" i="30" s="1"/>
  <c r="AF3514" i="30"/>
  <c r="AH3514" i="30" s="1"/>
  <c r="AF3515" i="30"/>
  <c r="AH3515" i="30" s="1"/>
  <c r="AF3516" i="30"/>
  <c r="AH3516" i="30" s="1"/>
  <c r="AF3517" i="30"/>
  <c r="AH3517" i="30" s="1"/>
  <c r="AF3518" i="30"/>
  <c r="AH3518" i="30" s="1"/>
  <c r="AF3519" i="30"/>
  <c r="AH3519" i="30" s="1"/>
  <c r="AF3520" i="30"/>
  <c r="AH3520" i="30" s="1"/>
  <c r="AF3521" i="30"/>
  <c r="AH3521" i="30" s="1"/>
  <c r="AF3522" i="30"/>
  <c r="AH3522" i="30" s="1"/>
  <c r="AF3523" i="30"/>
  <c r="AH3523" i="30" s="1"/>
  <c r="AF3524" i="30"/>
  <c r="AH3524" i="30" s="1"/>
  <c r="AF3525" i="30"/>
  <c r="AH3525" i="30" s="1"/>
  <c r="AF3526" i="30"/>
  <c r="AH3526" i="30" s="1"/>
  <c r="AF3527" i="30"/>
  <c r="AH3527" i="30" s="1"/>
  <c r="AF3528" i="30"/>
  <c r="AH3528" i="30" s="1"/>
  <c r="AF3529" i="30"/>
  <c r="AH3529" i="30" s="1"/>
  <c r="AF3530" i="30"/>
  <c r="AH3530" i="30" s="1"/>
  <c r="AF3531" i="30"/>
  <c r="AH3531" i="30" s="1"/>
  <c r="AF3532" i="30"/>
  <c r="AH3532" i="30" s="1"/>
  <c r="AF3533" i="30"/>
  <c r="AH3533" i="30" s="1"/>
  <c r="AF3534" i="30"/>
  <c r="AH3534" i="30" s="1"/>
  <c r="AF3535" i="30"/>
  <c r="AH3535" i="30" s="1"/>
  <c r="AF3536" i="30"/>
  <c r="AH3536" i="30" s="1"/>
  <c r="AF3537" i="30"/>
  <c r="AH3537" i="30" s="1"/>
  <c r="AF3538" i="30"/>
  <c r="AH3538" i="30" s="1"/>
  <c r="AF3539" i="30"/>
  <c r="AH3539" i="30" s="1"/>
  <c r="AF3540" i="30"/>
  <c r="AH3540" i="30" s="1"/>
  <c r="AF3541" i="30"/>
  <c r="AH3541" i="30" s="1"/>
  <c r="AF3542" i="30"/>
  <c r="AH3542" i="30" s="1"/>
  <c r="AF3543" i="30"/>
  <c r="AH3543" i="30" s="1"/>
  <c r="AF3544" i="30"/>
  <c r="AH3544" i="30" s="1"/>
  <c r="AF3545" i="30"/>
  <c r="AH3545" i="30" s="1"/>
  <c r="AF3546" i="30"/>
  <c r="AH3546" i="30" s="1"/>
  <c r="AF3547" i="30"/>
  <c r="AH3547" i="30" s="1"/>
  <c r="AF3548" i="30"/>
  <c r="AH3548" i="30" s="1"/>
  <c r="AF3549" i="30"/>
  <c r="AH3549" i="30" s="1"/>
  <c r="AF3550" i="30"/>
  <c r="AH3550" i="30" s="1"/>
  <c r="AF3551" i="30"/>
  <c r="AH3551" i="30" s="1"/>
  <c r="AF3552" i="30"/>
  <c r="AH3552" i="30" s="1"/>
  <c r="AF3553" i="30"/>
  <c r="AH3553" i="30" s="1"/>
  <c r="AF3554" i="30"/>
  <c r="AH3554" i="30" s="1"/>
  <c r="AF3555" i="30"/>
  <c r="AH3555" i="30" s="1"/>
  <c r="AF3556" i="30"/>
  <c r="AH3556" i="30" s="1"/>
  <c r="AF3557" i="30"/>
  <c r="AH3557" i="30" s="1"/>
  <c r="AF3558" i="30"/>
  <c r="AH3558" i="30" s="1"/>
  <c r="AF3559" i="30"/>
  <c r="AH3559" i="30" s="1"/>
  <c r="AF3560" i="30"/>
  <c r="AH3560" i="30" s="1"/>
  <c r="AF3561" i="30"/>
  <c r="AH3561" i="30" s="1"/>
  <c r="AF3562" i="30"/>
  <c r="AH3562" i="30" s="1"/>
  <c r="AF3563" i="30"/>
  <c r="AH3563" i="30" s="1"/>
  <c r="AF3564" i="30"/>
  <c r="AH3564" i="30" s="1"/>
  <c r="AF3565" i="30"/>
  <c r="AH3565" i="30" s="1"/>
  <c r="AF3820" i="30"/>
  <c r="AH3820" i="30" s="1"/>
  <c r="AF3821" i="30"/>
  <c r="AH3821" i="30" s="1"/>
  <c r="AF3822" i="30"/>
  <c r="AH3822" i="30" s="1"/>
  <c r="AF3823" i="30"/>
  <c r="AH3823" i="30" s="1"/>
  <c r="AF3824" i="30"/>
  <c r="AH3824" i="30" s="1"/>
  <c r="AF3825" i="30"/>
  <c r="AH3825" i="30" s="1"/>
  <c r="AF3826" i="30"/>
  <c r="AH3826" i="30" s="1"/>
  <c r="AF3827" i="30"/>
  <c r="AH3827" i="30" s="1"/>
  <c r="AF3828" i="30"/>
  <c r="AH3828" i="30" s="1"/>
  <c r="AF3829" i="30"/>
  <c r="AH3829" i="30" s="1"/>
  <c r="AF3830" i="30"/>
  <c r="AH3830" i="30" s="1"/>
  <c r="AF3831" i="30"/>
  <c r="AH3831" i="30" s="1"/>
  <c r="AF3832" i="30"/>
  <c r="AH3832" i="30" s="1"/>
  <c r="AF3833" i="30"/>
  <c r="AH3833" i="30" s="1"/>
  <c r="AF3834" i="30"/>
  <c r="AH3834" i="30" s="1"/>
  <c r="AF3835" i="30"/>
  <c r="AH3835" i="30" s="1"/>
  <c r="AF3836" i="30"/>
  <c r="AH3836" i="30" s="1"/>
  <c r="AF3837" i="30"/>
  <c r="AH3837" i="30" s="1"/>
  <c r="AF3838" i="30"/>
  <c r="AH3838" i="30" s="1"/>
  <c r="AF3839" i="30"/>
  <c r="AH3839" i="30" s="1"/>
  <c r="AF3840" i="30"/>
  <c r="AH3840" i="30" s="1"/>
  <c r="AF3841" i="30"/>
  <c r="AH3841" i="30" s="1"/>
  <c r="AF3842" i="30"/>
  <c r="AH3842" i="30" s="1"/>
  <c r="AF3843" i="30"/>
  <c r="AH3843" i="30" s="1"/>
  <c r="AF3844" i="30"/>
  <c r="AH3844" i="30" s="1"/>
  <c r="AF3845" i="30"/>
  <c r="AH3845" i="30" s="1"/>
  <c r="AF3846" i="30"/>
  <c r="AH3846" i="30" s="1"/>
  <c r="AF3847" i="30"/>
  <c r="AH3847" i="30" s="1"/>
  <c r="AF3848" i="30"/>
  <c r="AH3848" i="30" s="1"/>
  <c r="AF3849" i="30"/>
  <c r="AH3849" i="30" s="1"/>
  <c r="AF3850" i="30"/>
  <c r="AH3850" i="30" s="1"/>
  <c r="AF3851" i="30"/>
  <c r="AH3851" i="30" s="1"/>
  <c r="AF3852" i="30"/>
  <c r="AH3852" i="30" s="1"/>
  <c r="AF3853" i="30"/>
  <c r="AH3853" i="30" s="1"/>
  <c r="AF3854" i="30"/>
  <c r="AH3854" i="30" s="1"/>
  <c r="AF3855" i="30"/>
  <c r="AH3855" i="30" s="1"/>
  <c r="AF3856" i="30"/>
  <c r="AH3856" i="30" s="1"/>
  <c r="AF3857" i="30"/>
  <c r="AH3857" i="30" s="1"/>
  <c r="AF3858" i="30"/>
  <c r="AH3858" i="30" s="1"/>
  <c r="AF3859" i="30"/>
  <c r="AH3859" i="30" s="1"/>
  <c r="AF3860" i="30"/>
  <c r="AH3860" i="30" s="1"/>
  <c r="AF3861" i="30"/>
  <c r="AH3861" i="30" s="1"/>
  <c r="AF3862" i="30"/>
  <c r="AH3862" i="30" s="1"/>
  <c r="AF3863" i="30"/>
  <c r="AH3863" i="30" s="1"/>
  <c r="AF3864" i="30"/>
  <c r="AH3864" i="30" s="1"/>
  <c r="AF3865" i="30"/>
  <c r="AH3865" i="30" s="1"/>
  <c r="AF3866" i="30"/>
  <c r="AH3866" i="30" s="1"/>
  <c r="AF3867" i="30"/>
  <c r="AH3867" i="30" s="1"/>
  <c r="AF3868" i="30"/>
  <c r="AH3868" i="30" s="1"/>
  <c r="AF3869" i="30"/>
  <c r="AH3869" i="30" s="1"/>
  <c r="AF3870" i="30"/>
  <c r="AH3870" i="30" s="1"/>
  <c r="AF3871" i="30"/>
  <c r="AH3871" i="30" s="1"/>
  <c r="AF3872" i="30"/>
  <c r="AH3872" i="30" s="1"/>
  <c r="AF3873" i="30"/>
  <c r="AH3873" i="30" s="1"/>
  <c r="AF3874" i="30"/>
  <c r="AH3874" i="30" s="1"/>
  <c r="AF3875" i="30"/>
  <c r="AH3875" i="30" s="1"/>
  <c r="AF3876" i="30"/>
  <c r="AH3876" i="30" s="1"/>
  <c r="AF3877" i="30"/>
  <c r="AH3877" i="30" s="1"/>
  <c r="AF3878" i="30"/>
  <c r="AH3878" i="30" s="1"/>
  <c r="AF3879" i="30"/>
  <c r="AH3879" i="30" s="1"/>
  <c r="AF3880" i="30"/>
  <c r="AH3880" i="30" s="1"/>
  <c r="AF3881" i="30"/>
  <c r="AH3881" i="30" s="1"/>
  <c r="AF3882" i="30"/>
  <c r="AH3882" i="30" s="1"/>
  <c r="AF3883" i="30"/>
  <c r="AH3883" i="30" s="1"/>
  <c r="AF3884" i="30"/>
  <c r="AH3884" i="30" s="1"/>
  <c r="AF3885" i="30"/>
  <c r="AH3885" i="30" s="1"/>
  <c r="AF3886" i="30"/>
  <c r="AH3886" i="30" s="1"/>
  <c r="AF3887" i="30"/>
  <c r="AH3887" i="30" s="1"/>
  <c r="AF3888" i="30"/>
  <c r="AH3888" i="30" s="1"/>
  <c r="AF3889" i="30"/>
  <c r="AH3889" i="30" s="1"/>
  <c r="AF3890" i="30"/>
  <c r="AH3890" i="30" s="1"/>
  <c r="AF3891" i="30"/>
  <c r="AH3891" i="30" s="1"/>
  <c r="AF3892" i="30"/>
  <c r="AH3892" i="30" s="1"/>
  <c r="AF3893" i="30"/>
  <c r="AH3893" i="30" s="1"/>
  <c r="AF3894" i="30"/>
  <c r="AH3894" i="30" s="1"/>
  <c r="AF3895" i="30"/>
  <c r="AH3895" i="30" s="1"/>
  <c r="AF3896" i="30"/>
  <c r="AH3896" i="30" s="1"/>
  <c r="AF3897" i="30"/>
  <c r="AH3897" i="30" s="1"/>
  <c r="AF3898" i="30"/>
  <c r="AH3898" i="30" s="1"/>
  <c r="AF3899" i="30"/>
  <c r="AH3899" i="30" s="1"/>
  <c r="AF3900" i="30"/>
  <c r="AH3900" i="30" s="1"/>
  <c r="AF3901" i="30"/>
  <c r="AH3901" i="30" s="1"/>
  <c r="AF3902" i="30"/>
  <c r="AH3902" i="30" s="1"/>
  <c r="AF3903" i="30"/>
  <c r="AH3903" i="30" s="1"/>
  <c r="AF3904" i="30"/>
  <c r="AH3904" i="30" s="1"/>
  <c r="AF3905" i="30"/>
  <c r="AH3905" i="30" s="1"/>
  <c r="AF3906" i="30"/>
  <c r="AH3906" i="30" s="1"/>
  <c r="AF3907" i="30"/>
  <c r="AH3907" i="30" s="1"/>
  <c r="AF3908" i="30"/>
  <c r="AH3908" i="30" s="1"/>
  <c r="AF3909" i="30"/>
  <c r="AH3909" i="30" s="1"/>
  <c r="AF3910" i="30"/>
  <c r="AH3910" i="30" s="1"/>
  <c r="AF3911" i="30"/>
  <c r="AH3911" i="30" s="1"/>
  <c r="AF3912" i="30"/>
  <c r="AH3912" i="30" s="1"/>
  <c r="AF3913" i="30"/>
  <c r="AH3913" i="30" s="1"/>
  <c r="AF3914" i="30"/>
  <c r="AH3914" i="30" s="1"/>
  <c r="AF3915" i="30"/>
  <c r="AH3915" i="30" s="1"/>
  <c r="AF3916" i="30"/>
  <c r="AH3916" i="30" s="1"/>
  <c r="AF3917" i="30"/>
  <c r="AH3917" i="30" s="1"/>
  <c r="AF3918" i="30"/>
  <c r="AH3918" i="30" s="1"/>
  <c r="AF3919" i="30"/>
  <c r="AH3919" i="30" s="1"/>
  <c r="AF3920" i="30"/>
  <c r="AH3920" i="30" s="1"/>
  <c r="AF3921" i="30"/>
  <c r="AH3921" i="30" s="1"/>
  <c r="AF3922" i="30"/>
  <c r="AH3922" i="30" s="1"/>
  <c r="AF3923" i="30"/>
  <c r="AH3923" i="30" s="1"/>
  <c r="AF3924" i="30"/>
  <c r="AH3924" i="30" s="1"/>
  <c r="AF3925" i="30"/>
  <c r="AH3925" i="30" s="1"/>
  <c r="AF3926" i="30"/>
  <c r="AH3926" i="30" s="1"/>
  <c r="AF3927" i="30"/>
  <c r="AH3927" i="30" s="1"/>
  <c r="AF3928" i="30"/>
  <c r="AH3928" i="30" s="1"/>
  <c r="AF3929" i="30"/>
  <c r="AH3929" i="30" s="1"/>
  <c r="AF3930" i="30"/>
  <c r="AH3930" i="30" s="1"/>
  <c r="AF3931" i="30"/>
  <c r="AH3931" i="30" s="1"/>
  <c r="AF3932" i="30"/>
  <c r="AH3932" i="30" s="1"/>
  <c r="AF3933" i="30"/>
  <c r="AH3933" i="30" s="1"/>
  <c r="AF3934" i="30"/>
  <c r="AH3934" i="30" s="1"/>
  <c r="AF3935" i="30"/>
  <c r="AH3935" i="30" s="1"/>
  <c r="AF3936" i="30"/>
  <c r="AH3936" i="30" s="1"/>
  <c r="AF3937" i="30"/>
  <c r="AH3937" i="30" s="1"/>
  <c r="AF3938" i="30"/>
  <c r="AH3938" i="30" s="1"/>
  <c r="AF3939" i="30"/>
  <c r="AH3939" i="30" s="1"/>
  <c r="AF3940" i="30"/>
  <c r="AH3940" i="30" s="1"/>
  <c r="AF3941" i="30"/>
  <c r="AH3941" i="30" s="1"/>
  <c r="AF3942" i="30"/>
  <c r="AH3942" i="30" s="1"/>
  <c r="AF3943" i="30"/>
  <c r="AH3943" i="30" s="1"/>
  <c r="AF3944" i="30"/>
  <c r="AH3944" i="30" s="1"/>
  <c r="AF3945" i="30"/>
  <c r="AH3945" i="30" s="1"/>
  <c r="AF3946" i="30"/>
  <c r="AH3946" i="30" s="1"/>
  <c r="AF3947" i="30"/>
  <c r="AH3947" i="30" s="1"/>
  <c r="AF3948" i="30"/>
  <c r="AH3948" i="30" s="1"/>
  <c r="AF3949" i="30"/>
  <c r="AH3949" i="30" s="1"/>
  <c r="AF3950" i="30"/>
  <c r="AH3950" i="30" s="1"/>
  <c r="AF3951" i="30"/>
  <c r="AH3951" i="30" s="1"/>
  <c r="AF3952" i="30"/>
  <c r="AH3952" i="30" s="1"/>
  <c r="AF3953" i="30"/>
  <c r="AH3953" i="30" s="1"/>
  <c r="AF3954" i="30"/>
  <c r="AH3954" i="30" s="1"/>
  <c r="AF3955" i="30"/>
  <c r="AH3955" i="30" s="1"/>
  <c r="AF3956" i="30"/>
  <c r="AH3956" i="30" s="1"/>
  <c r="AF3957" i="30"/>
  <c r="AH3957" i="30" s="1"/>
  <c r="AF3958" i="30"/>
  <c r="AH3958" i="30" s="1"/>
  <c r="AF3959" i="30"/>
  <c r="AH3959" i="30" s="1"/>
  <c r="AF3960" i="30"/>
  <c r="AH3960" i="30" s="1"/>
  <c r="AF3961" i="30"/>
  <c r="AH3961" i="30" s="1"/>
  <c r="AF3962" i="30"/>
  <c r="AH3962" i="30" s="1"/>
  <c r="AF3963" i="30"/>
  <c r="AH3963" i="30" s="1"/>
  <c r="AF3964" i="30"/>
  <c r="AH3964" i="30" s="1"/>
  <c r="AF3965" i="30"/>
  <c r="AH3965" i="30" s="1"/>
  <c r="AF3966" i="30"/>
  <c r="AH3966" i="30" s="1"/>
  <c r="AF3967" i="30"/>
  <c r="AH3967" i="30" s="1"/>
  <c r="AF3968" i="30"/>
  <c r="AH3968" i="30" s="1"/>
  <c r="AF3969" i="30"/>
  <c r="AH3969" i="30" s="1"/>
  <c r="AF3970" i="30"/>
  <c r="AH3970" i="30" s="1"/>
  <c r="AF3971" i="30"/>
  <c r="AH3971" i="30" s="1"/>
  <c r="AF3972" i="30"/>
  <c r="AH3972" i="30" s="1"/>
  <c r="AF3973" i="30"/>
  <c r="AH3973" i="30" s="1"/>
  <c r="AF3974" i="30"/>
  <c r="AH3974" i="30" s="1"/>
  <c r="AF3975" i="30"/>
  <c r="AH3975" i="30" s="1"/>
  <c r="AF3976" i="30"/>
  <c r="AH3976" i="30" s="1"/>
  <c r="AF3977" i="30"/>
  <c r="AH3977" i="30" s="1"/>
  <c r="AF3978" i="30"/>
  <c r="AH3978" i="30" s="1"/>
  <c r="AF3979" i="30"/>
  <c r="AH3979" i="30" s="1"/>
  <c r="AF3980" i="30"/>
  <c r="AH3980" i="30" s="1"/>
  <c r="AF3981" i="30"/>
  <c r="AH3981" i="30" s="1"/>
  <c r="AF3982" i="30"/>
  <c r="AH3982" i="30" s="1"/>
  <c r="AF3983" i="30"/>
  <c r="AH3983" i="30" s="1"/>
  <c r="AF3984" i="30"/>
  <c r="AH3984" i="30" s="1"/>
  <c r="AF3985" i="30"/>
  <c r="AH3985" i="30" s="1"/>
  <c r="AF3986" i="30"/>
  <c r="AH3986" i="30" s="1"/>
  <c r="AF3987" i="30"/>
  <c r="AH3987" i="30" s="1"/>
  <c r="AF3988" i="30"/>
  <c r="AH3988" i="30" s="1"/>
  <c r="AF3989" i="30"/>
  <c r="AH3989" i="30" s="1"/>
  <c r="AF3990" i="30"/>
  <c r="AH3990" i="30" s="1"/>
  <c r="AF3991" i="30"/>
  <c r="AH3991" i="30" s="1"/>
  <c r="AF3992" i="30"/>
  <c r="AH3992" i="30" s="1"/>
  <c r="AF3993" i="30"/>
  <c r="AH3993" i="30" s="1"/>
  <c r="AF3994" i="30"/>
  <c r="AH3994" i="30" s="1"/>
  <c r="AF3995" i="30"/>
  <c r="AH3995" i="30" s="1"/>
  <c r="AF3996" i="30"/>
  <c r="AH3996" i="30" s="1"/>
  <c r="AF3997" i="30"/>
  <c r="AH3997" i="30" s="1"/>
  <c r="AF3998" i="30"/>
  <c r="AH3998" i="30" s="1"/>
  <c r="AF3999" i="30"/>
  <c r="AH3999" i="30" s="1"/>
  <c r="AF4000" i="30"/>
  <c r="AH4000" i="30" s="1"/>
  <c r="AF4001" i="30"/>
  <c r="AH4001" i="30" s="1"/>
  <c r="AF4002" i="30"/>
  <c r="AH4002" i="30" s="1"/>
  <c r="AF4003" i="30"/>
  <c r="AH4003" i="30" s="1"/>
  <c r="AF4004" i="30"/>
  <c r="AH4004" i="30" s="1"/>
  <c r="AF4005" i="30"/>
  <c r="AH4005" i="30" s="1"/>
  <c r="AF4006" i="30"/>
  <c r="AH4006" i="30" s="1"/>
  <c r="AF4007" i="30"/>
  <c r="AH4007" i="30" s="1"/>
  <c r="AF4008" i="30"/>
  <c r="AH4008" i="30" s="1"/>
  <c r="AF4009" i="30"/>
  <c r="AH4009" i="30" s="1"/>
  <c r="AF4010" i="30"/>
  <c r="AH4010" i="30" s="1"/>
  <c r="AF4011" i="30"/>
  <c r="AH4011" i="30" s="1"/>
  <c r="AF4012" i="30"/>
  <c r="AH4012" i="30" s="1"/>
  <c r="AF4013" i="30"/>
  <c r="AH4013" i="30" s="1"/>
  <c r="AF4014" i="30"/>
  <c r="AH4014" i="30" s="1"/>
  <c r="AF4015" i="30"/>
  <c r="AH4015" i="30" s="1"/>
  <c r="AF4016" i="30"/>
  <c r="AH4016" i="30" s="1"/>
  <c r="AF4017" i="30"/>
  <c r="AH4017" i="30" s="1"/>
  <c r="AF4018" i="30"/>
  <c r="AH4018" i="30" s="1"/>
  <c r="AF4019" i="30"/>
  <c r="AH4019" i="30" s="1"/>
  <c r="AF4020" i="30"/>
  <c r="AH4020" i="30" s="1"/>
  <c r="AF4021" i="30"/>
  <c r="AH4021" i="30" s="1"/>
  <c r="AF4022" i="30"/>
  <c r="AH4022" i="30" s="1"/>
  <c r="AF4023" i="30"/>
  <c r="AH4023" i="30" s="1"/>
  <c r="AF4024" i="30"/>
  <c r="AH4024" i="30" s="1"/>
  <c r="AF4025" i="30"/>
  <c r="AH4025" i="30" s="1"/>
  <c r="AF4026" i="30"/>
  <c r="AH4026" i="30" s="1"/>
  <c r="AF4027" i="30"/>
  <c r="AH4027" i="30" s="1"/>
  <c r="AF4028" i="30"/>
  <c r="AH4028" i="30" s="1"/>
  <c r="AF4029" i="30"/>
  <c r="AH4029" i="30" s="1"/>
  <c r="AF4030" i="30"/>
  <c r="AH4030" i="30" s="1"/>
  <c r="AF4031" i="30"/>
  <c r="AH4031" i="30" s="1"/>
  <c r="AF4032" i="30"/>
  <c r="AH4032" i="30" s="1"/>
  <c r="AF4033" i="30"/>
  <c r="AH4033" i="30" s="1"/>
  <c r="AF4034" i="30"/>
  <c r="AH4034" i="30" s="1"/>
  <c r="AF4035" i="30"/>
  <c r="AH4035" i="30" s="1"/>
  <c r="AF4036" i="30"/>
  <c r="AH4036" i="30" s="1"/>
  <c r="AF4037" i="30"/>
  <c r="AH4037" i="30" s="1"/>
  <c r="AF4038" i="30"/>
  <c r="AH4038" i="30" s="1"/>
  <c r="AF4039" i="30"/>
  <c r="AH4039" i="30" s="1"/>
  <c r="AF4040" i="30"/>
  <c r="AH4040" i="30" s="1"/>
  <c r="AF4041" i="30"/>
  <c r="AH4041" i="30" s="1"/>
  <c r="AF4042" i="30"/>
  <c r="AH4042" i="30" s="1"/>
  <c r="AF4043" i="30"/>
  <c r="AH4043" i="30" s="1"/>
  <c r="AF4044" i="30"/>
  <c r="AH4044" i="30" s="1"/>
  <c r="AF4045" i="30"/>
  <c r="AH4045" i="30" s="1"/>
  <c r="AF4046" i="30"/>
  <c r="AH4046" i="30" s="1"/>
  <c r="AF4047" i="30"/>
  <c r="AH4047" i="30" s="1"/>
  <c r="AF4048" i="30"/>
  <c r="AH4048" i="30" s="1"/>
  <c r="AF4049" i="30"/>
  <c r="AH4049" i="30" s="1"/>
  <c r="AF4050" i="30"/>
  <c r="AH4050" i="30" s="1"/>
  <c r="AF4051" i="30"/>
  <c r="AH4051" i="30" s="1"/>
  <c r="AF4052" i="30"/>
  <c r="AH4052" i="30" s="1"/>
  <c r="AF4053" i="30"/>
  <c r="AH4053" i="30" s="1"/>
  <c r="AF4054" i="30"/>
  <c r="AH4054" i="30" s="1"/>
  <c r="AF4055" i="30"/>
  <c r="AH4055" i="30" s="1"/>
  <c r="AF4056" i="30"/>
  <c r="AH4056" i="30" s="1"/>
  <c r="AF4057" i="30"/>
  <c r="AH4057" i="30" s="1"/>
  <c r="AF4058" i="30"/>
  <c r="AH4058" i="30" s="1"/>
  <c r="AF4059" i="30"/>
  <c r="AH4059" i="30" s="1"/>
  <c r="AF4060" i="30"/>
  <c r="AH4060" i="30" s="1"/>
  <c r="AF4061" i="30"/>
  <c r="AH4061" i="30" s="1"/>
  <c r="AF4062" i="30"/>
  <c r="AH4062" i="30" s="1"/>
  <c r="AF4063" i="30"/>
  <c r="AH4063" i="30" s="1"/>
  <c r="AF4064" i="30"/>
  <c r="AH4064" i="30" s="1"/>
  <c r="AF4065" i="30"/>
  <c r="AH4065" i="30" s="1"/>
  <c r="AF4066" i="30"/>
  <c r="AH4066" i="30" s="1"/>
  <c r="AF4067" i="30"/>
  <c r="AH4067" i="30" s="1"/>
  <c r="AF4068" i="30"/>
  <c r="AH4068" i="30" s="1"/>
  <c r="AF4069" i="30"/>
  <c r="AH4069" i="30" s="1"/>
  <c r="AF4070" i="30"/>
  <c r="AH4070" i="30" s="1"/>
  <c r="AF4071" i="30"/>
  <c r="AH4071" i="30" s="1"/>
  <c r="AF4072" i="30"/>
  <c r="AH4072" i="30" s="1"/>
  <c r="AF4073" i="30"/>
  <c r="AH4073" i="30" s="1"/>
  <c r="AF4074" i="30"/>
  <c r="AH4074" i="30" s="1"/>
  <c r="AF4075" i="30"/>
  <c r="AH4075" i="30" s="1"/>
  <c r="AF4076" i="30"/>
  <c r="AH4076" i="30" s="1"/>
  <c r="AF4077" i="30"/>
  <c r="AH4077" i="30" s="1"/>
  <c r="AF4078" i="30"/>
  <c r="AH4078" i="30" s="1"/>
  <c r="AF4079" i="30"/>
  <c r="AH4079" i="30" s="1"/>
  <c r="AF4080" i="30"/>
  <c r="AH4080" i="30" s="1"/>
  <c r="AF4081" i="30"/>
  <c r="AH4081" i="30" s="1"/>
  <c r="AF4082" i="30"/>
  <c r="AH4082" i="30" s="1"/>
  <c r="AF4083" i="30"/>
  <c r="AH4083" i="30" s="1"/>
  <c r="AF4084" i="30"/>
  <c r="AH4084" i="30" s="1"/>
  <c r="AF4085" i="30"/>
  <c r="AH4085" i="30" s="1"/>
  <c r="AF4086" i="30"/>
  <c r="AH4086" i="30" s="1"/>
  <c r="AF4087" i="30"/>
  <c r="AH4087" i="30" s="1"/>
  <c r="AF4088" i="30"/>
  <c r="AH4088" i="30" s="1"/>
  <c r="AF4089" i="30"/>
  <c r="AH4089" i="30" s="1"/>
  <c r="AF4090" i="30"/>
  <c r="AH4090" i="30" s="1"/>
  <c r="AF4091" i="30"/>
  <c r="AH4091" i="30" s="1"/>
  <c r="AF4092" i="30"/>
  <c r="AH4092" i="30" s="1"/>
  <c r="AF4093" i="30"/>
  <c r="AH4093" i="30" s="1"/>
  <c r="AF4094" i="30"/>
  <c r="AH4094" i="30" s="1"/>
  <c r="AF4095" i="30"/>
  <c r="AH4095" i="30" s="1"/>
  <c r="AF4096" i="30"/>
  <c r="AH4096" i="30" s="1"/>
  <c r="AF4097" i="30"/>
  <c r="AH4097" i="30" s="1"/>
  <c r="AF4098" i="30"/>
  <c r="AH4098" i="30" s="1"/>
  <c r="AF4099" i="30"/>
  <c r="AH4099" i="30" s="1"/>
  <c r="AF4100" i="30"/>
  <c r="AH4100" i="30" s="1"/>
  <c r="AF4101" i="30"/>
  <c r="AH4101" i="30" s="1"/>
  <c r="AF4102" i="30"/>
  <c r="AH4102" i="30" s="1"/>
  <c r="AF4103" i="30"/>
  <c r="AH4103" i="30" s="1"/>
  <c r="AF4104" i="30"/>
  <c r="AH4104" i="30" s="1"/>
  <c r="AF4105" i="30"/>
  <c r="AH4105" i="30" s="1"/>
  <c r="AF4106" i="30"/>
  <c r="AH4106" i="30" s="1"/>
  <c r="AF4107" i="30"/>
  <c r="AH4107" i="30" s="1"/>
  <c r="AF4108" i="30"/>
  <c r="AH4108" i="30" s="1"/>
  <c r="AF4109" i="30"/>
  <c r="AH4109" i="30" s="1"/>
  <c r="AF4110" i="30"/>
  <c r="AH4110" i="30" s="1"/>
  <c r="AF4111" i="30"/>
  <c r="AH4111" i="30" s="1"/>
  <c r="AF4112" i="30"/>
  <c r="AH4112" i="30" s="1"/>
  <c r="AF4113" i="30"/>
  <c r="AH4113" i="30" s="1"/>
  <c r="AF4114" i="30"/>
  <c r="AH4114" i="30" s="1"/>
  <c r="AF4115" i="30"/>
  <c r="AH4115" i="30" s="1"/>
  <c r="AF4116" i="30"/>
  <c r="AH4116" i="30" s="1"/>
  <c r="AF4117" i="30"/>
  <c r="AH4117" i="30" s="1"/>
  <c r="AF4118" i="30"/>
  <c r="AH4118" i="30" s="1"/>
  <c r="AF4119" i="30"/>
  <c r="AH4119" i="30" s="1"/>
  <c r="AF4120" i="30"/>
  <c r="AH4120" i="30" s="1"/>
  <c r="AF4121" i="30"/>
  <c r="AH4121" i="30" s="1"/>
  <c r="AF4122" i="30"/>
  <c r="AH4122" i="30" s="1"/>
  <c r="AF4123" i="30"/>
  <c r="AH4123" i="30" s="1"/>
  <c r="AF4124" i="30"/>
  <c r="AH4124" i="30" s="1"/>
  <c r="AF4125" i="30"/>
  <c r="AH4125" i="30" s="1"/>
  <c r="AF4126" i="30"/>
  <c r="AH4126" i="30" s="1"/>
  <c r="AF4127" i="30"/>
  <c r="AH4127" i="30" s="1"/>
  <c r="AF4128" i="30"/>
  <c r="AH4128" i="30" s="1"/>
  <c r="AF4129" i="30"/>
  <c r="AH4129" i="30" s="1"/>
  <c r="AF4130" i="30"/>
  <c r="AH4130" i="30" s="1"/>
  <c r="AF4131" i="30"/>
  <c r="AH4131" i="30" s="1"/>
  <c r="AF4132" i="30"/>
  <c r="AH4132" i="30" s="1"/>
  <c r="AF4133" i="30"/>
  <c r="AH4133" i="30" s="1"/>
  <c r="AF4134" i="30"/>
  <c r="AH4134" i="30" s="1"/>
  <c r="AF4135" i="30"/>
  <c r="AH4135" i="30" s="1"/>
  <c r="AF4136" i="30"/>
  <c r="AH4136" i="30" s="1"/>
  <c r="AF4137" i="30"/>
  <c r="AH4137" i="30" s="1"/>
  <c r="AF4138" i="30"/>
  <c r="AH4138" i="30" s="1"/>
  <c r="AF4139" i="30"/>
  <c r="AH4139" i="30" s="1"/>
  <c r="AF4140" i="30"/>
  <c r="AH4140" i="30" s="1"/>
  <c r="AF4141" i="30"/>
  <c r="AH4141" i="30" s="1"/>
  <c r="AF4142" i="30"/>
  <c r="AH4142" i="30" s="1"/>
  <c r="AF4143" i="30"/>
  <c r="AH4143" i="30" s="1"/>
  <c r="AF4144" i="30"/>
  <c r="AH4144" i="30" s="1"/>
  <c r="AF4145" i="30"/>
  <c r="AH4145" i="30" s="1"/>
  <c r="AF4146" i="30"/>
  <c r="AH4146" i="30" s="1"/>
  <c r="AF4147" i="30"/>
  <c r="AH4147" i="30" s="1"/>
  <c r="AF4148" i="30"/>
  <c r="AH4148" i="30" s="1"/>
  <c r="AF4149" i="30"/>
  <c r="AH4149" i="30" s="1"/>
  <c r="AF4150" i="30"/>
  <c r="AH4150" i="30" s="1"/>
  <c r="AF4151" i="30"/>
  <c r="AH4151" i="30" s="1"/>
  <c r="AF4152" i="30"/>
  <c r="AH4152" i="30" s="1"/>
  <c r="AF4153" i="30"/>
  <c r="AH4153" i="30" s="1"/>
  <c r="AF4154" i="30"/>
  <c r="AH4154" i="30" s="1"/>
  <c r="AF4155" i="30"/>
  <c r="AH4155" i="30" s="1"/>
  <c r="AF4156" i="30"/>
  <c r="AH4156" i="30" s="1"/>
  <c r="AF4157" i="30"/>
  <c r="AH4157" i="30" s="1"/>
  <c r="AF4158" i="30"/>
  <c r="AH4158" i="30" s="1"/>
  <c r="AF4159" i="30"/>
  <c r="AH4159" i="30" s="1"/>
  <c r="AF4160" i="30"/>
  <c r="AH4160" i="30" s="1"/>
  <c r="AF4161" i="30"/>
  <c r="AH4161" i="30" s="1"/>
  <c r="AF4162" i="30"/>
  <c r="AH4162" i="30" s="1"/>
  <c r="AF4163" i="30"/>
  <c r="AH4163" i="30" s="1"/>
  <c r="AF4164" i="30"/>
  <c r="AH4164" i="30" s="1"/>
  <c r="AF4165" i="30"/>
  <c r="AH4165" i="30" s="1"/>
  <c r="AF4166" i="30"/>
  <c r="AH4166" i="30" s="1"/>
  <c r="AF4167" i="30"/>
  <c r="AH4167" i="30" s="1"/>
  <c r="AF4168" i="30"/>
  <c r="AH4168" i="30" s="1"/>
  <c r="AF4169" i="30"/>
  <c r="AH4169" i="30" s="1"/>
  <c r="AF4170" i="30"/>
  <c r="AH4170" i="30" s="1"/>
  <c r="AF4171" i="30"/>
  <c r="AH4171" i="30" s="1"/>
  <c r="AF4172" i="30"/>
  <c r="AH4172" i="30" s="1"/>
  <c r="AF4173" i="30"/>
  <c r="AH4173" i="30" s="1"/>
  <c r="AF4174" i="30"/>
  <c r="AH4174" i="30" s="1"/>
  <c r="AF4175" i="30"/>
  <c r="AH4175" i="30" s="1"/>
  <c r="AF4176" i="30"/>
  <c r="AH4176" i="30" s="1"/>
  <c r="AF4177" i="30"/>
  <c r="AH4177" i="30" s="1"/>
  <c r="AF4178" i="30"/>
  <c r="AH4178" i="30" s="1"/>
  <c r="AF4179" i="30"/>
  <c r="AH4179" i="30" s="1"/>
  <c r="AF4180" i="30"/>
  <c r="AH4180" i="30" s="1"/>
  <c r="AF4181" i="30"/>
  <c r="AH4181" i="30" s="1"/>
  <c r="AF4182" i="30"/>
  <c r="AH4182" i="30" s="1"/>
  <c r="AF4183" i="30"/>
  <c r="AH4183" i="30" s="1"/>
  <c r="AF4184" i="30"/>
  <c r="AH4184" i="30" s="1"/>
  <c r="AF4185" i="30"/>
  <c r="AH4185" i="30" s="1"/>
  <c r="AF4186" i="30"/>
  <c r="AH4186" i="30" s="1"/>
  <c r="AF4187" i="30"/>
  <c r="AH4187" i="30" s="1"/>
  <c r="AF4188" i="30"/>
  <c r="AH4188" i="30" s="1"/>
  <c r="AF4189" i="30"/>
  <c r="AH4189" i="30" s="1"/>
  <c r="AF4190" i="30"/>
  <c r="AH4190" i="30" s="1"/>
  <c r="AF4191" i="30"/>
  <c r="AH4191" i="30" s="1"/>
  <c r="AF4192" i="30"/>
  <c r="AH4192" i="30" s="1"/>
  <c r="AF4193" i="30"/>
  <c r="AH4193" i="30" s="1"/>
  <c r="AF4194" i="30"/>
  <c r="AH4194" i="30" s="1"/>
  <c r="AF4195" i="30"/>
  <c r="AH4195" i="30" s="1"/>
  <c r="AF4196" i="30"/>
  <c r="AH4196" i="30" s="1"/>
  <c r="AF4197" i="30"/>
  <c r="AH4197" i="30" s="1"/>
  <c r="AF4198" i="30"/>
  <c r="AH4198" i="30" s="1"/>
  <c r="AF4199" i="30"/>
  <c r="AH4199" i="30" s="1"/>
  <c r="AF4200" i="30"/>
  <c r="AH4200" i="30" s="1"/>
  <c r="AF4201" i="30"/>
  <c r="AH4201" i="30" s="1"/>
  <c r="AF4202" i="30"/>
  <c r="AH4202" i="30" s="1"/>
  <c r="AF4203" i="30"/>
  <c r="AH4203" i="30" s="1"/>
  <c r="AF4204" i="30"/>
  <c r="AH4204" i="30" s="1"/>
  <c r="AF4205" i="30"/>
  <c r="AH4205" i="30" s="1"/>
  <c r="AF4206" i="30"/>
  <c r="AH4206" i="30" s="1"/>
  <c r="AF4207" i="30"/>
  <c r="AH4207" i="30" s="1"/>
  <c r="AF4208" i="30"/>
  <c r="AH4208" i="30" s="1"/>
  <c r="AF4209" i="30"/>
  <c r="AH4209" i="30" s="1"/>
  <c r="AF4210" i="30"/>
  <c r="AH4210" i="30" s="1"/>
  <c r="AF4211" i="30"/>
  <c r="AH4211" i="30" s="1"/>
  <c r="AF4212" i="30"/>
  <c r="AH4212" i="30" s="1"/>
  <c r="AF4213" i="30"/>
  <c r="AH4213" i="30" s="1"/>
  <c r="AF4214" i="30"/>
  <c r="AH4214" i="30" s="1"/>
  <c r="AF4215" i="30"/>
  <c r="AH4215" i="30" s="1"/>
  <c r="AF4216" i="30"/>
  <c r="AH4216" i="30" s="1"/>
  <c r="AF4217" i="30"/>
  <c r="AH4217" i="30" s="1"/>
  <c r="AF4218" i="30"/>
  <c r="AH4218" i="30" s="1"/>
  <c r="AF4219" i="30"/>
  <c r="AH4219" i="30" s="1"/>
  <c r="AF4220" i="30"/>
  <c r="AH4220" i="30" s="1"/>
  <c r="AF4221" i="30"/>
  <c r="AH4221" i="30" s="1"/>
  <c r="AF4222" i="30"/>
  <c r="AH4222" i="30" s="1"/>
  <c r="AF4223" i="30"/>
  <c r="AH4223" i="30" s="1"/>
  <c r="AF4224" i="30"/>
  <c r="AH4224" i="30" s="1"/>
  <c r="AF4225" i="30"/>
  <c r="AH4225" i="30" s="1"/>
  <c r="AF4226" i="30"/>
  <c r="AH4226" i="30" s="1"/>
  <c r="AF4227" i="30"/>
  <c r="AH4227" i="30" s="1"/>
  <c r="AF4228" i="30"/>
  <c r="AH4228" i="30" s="1"/>
  <c r="AF4229" i="30"/>
  <c r="AH4229" i="30" s="1"/>
  <c r="AF4230" i="30"/>
  <c r="AH4230" i="30" s="1"/>
  <c r="AF4231" i="30"/>
  <c r="AH4231" i="30" s="1"/>
  <c r="AF4232" i="30"/>
  <c r="AH4232" i="30" s="1"/>
  <c r="AF4233" i="30"/>
  <c r="AH4233" i="30" s="1"/>
  <c r="AF4234" i="30"/>
  <c r="AH4234" i="30" s="1"/>
  <c r="AF4235" i="30"/>
  <c r="AH4235" i="30" s="1"/>
  <c r="AF4236" i="30"/>
  <c r="AH4236" i="30" s="1"/>
  <c r="AF4237" i="30"/>
  <c r="AH4237" i="30" s="1"/>
  <c r="AF4238" i="30"/>
  <c r="AH4238" i="30" s="1"/>
  <c r="AF4239" i="30"/>
  <c r="AH4239" i="30" s="1"/>
  <c r="AF4240" i="30"/>
  <c r="AH4240" i="30" s="1"/>
  <c r="AF4241" i="30"/>
  <c r="AH4241" i="30" s="1"/>
  <c r="AF4242" i="30"/>
  <c r="AH4242" i="30" s="1"/>
  <c r="AF4243" i="30"/>
  <c r="AH4243" i="30" s="1"/>
  <c r="AF4244" i="30"/>
  <c r="AH4244" i="30" s="1"/>
  <c r="AF4245" i="30"/>
  <c r="AH4245" i="30" s="1"/>
  <c r="AF4246" i="30"/>
  <c r="AH4246" i="30" s="1"/>
  <c r="AF4247" i="30"/>
  <c r="AH4247" i="30" s="1"/>
  <c r="AF4248" i="30"/>
  <c r="AH4248" i="30" s="1"/>
  <c r="AF4249" i="30"/>
  <c r="AH4249" i="30" s="1"/>
  <c r="AF4250" i="30"/>
  <c r="AH4250" i="30" s="1"/>
  <c r="AF4251" i="30"/>
  <c r="AH4251" i="30" s="1"/>
  <c r="AF4252" i="30"/>
  <c r="AH4252" i="30" s="1"/>
  <c r="AF4253" i="30"/>
  <c r="AH4253" i="30" s="1"/>
  <c r="AF4254" i="30"/>
  <c r="AH4254" i="30" s="1"/>
  <c r="AF4255" i="30"/>
  <c r="AH4255" i="30" s="1"/>
  <c r="AF4256" i="30"/>
  <c r="AH4256" i="30" s="1"/>
  <c r="AF4257" i="30"/>
  <c r="AH4257" i="30" s="1"/>
  <c r="AF4258" i="30"/>
  <c r="AH4258" i="30" s="1"/>
  <c r="AF4259" i="30"/>
  <c r="AH4259" i="30" s="1"/>
  <c r="AF4260" i="30"/>
  <c r="AH4260" i="30" s="1"/>
  <c r="AF4261" i="30"/>
  <c r="AH4261" i="30" s="1"/>
  <c r="AF4262" i="30"/>
  <c r="AH4262" i="30" s="1"/>
  <c r="AF4263" i="30"/>
  <c r="AH4263" i="30" s="1"/>
  <c r="AF4264" i="30"/>
  <c r="AH4264" i="30" s="1"/>
  <c r="AF4265" i="30"/>
  <c r="AH4265" i="30" s="1"/>
  <c r="AF4266" i="30"/>
  <c r="AH4266" i="30" s="1"/>
  <c r="AF4267" i="30"/>
  <c r="AH4267" i="30" s="1"/>
  <c r="AF4268" i="30"/>
  <c r="AH4268" i="30" s="1"/>
  <c r="AF4269" i="30"/>
  <c r="AH4269" i="30" s="1"/>
  <c r="AF4270" i="30"/>
  <c r="AH4270" i="30" s="1"/>
  <c r="AF4271" i="30"/>
  <c r="AH4271" i="30" s="1"/>
  <c r="AF4272" i="30"/>
  <c r="AH4272" i="30" s="1"/>
  <c r="AF4273" i="30"/>
  <c r="AH4273" i="30" s="1"/>
  <c r="AF4274" i="30"/>
  <c r="AH4274" i="30" s="1"/>
  <c r="AF4275" i="30"/>
  <c r="AH4275" i="30" s="1"/>
  <c r="AF4276" i="30"/>
  <c r="AH4276" i="30" s="1"/>
  <c r="AF4277" i="30"/>
  <c r="AH4277" i="30" s="1"/>
  <c r="AF4278" i="30"/>
  <c r="AH4278" i="30" s="1"/>
  <c r="AF4279" i="30"/>
  <c r="AH4279" i="30" s="1"/>
  <c r="AF4280" i="30"/>
  <c r="AH4280" i="30" s="1"/>
  <c r="AF4281" i="30"/>
  <c r="AH4281" i="30" s="1"/>
  <c r="AF4282" i="30"/>
  <c r="AH4282" i="30" s="1"/>
  <c r="AF4283" i="30"/>
  <c r="AH4283" i="30" s="1"/>
  <c r="AF4284" i="30"/>
  <c r="AH4284" i="30" s="1"/>
  <c r="AF4285" i="30"/>
  <c r="AH4285" i="30" s="1"/>
  <c r="AF4286" i="30"/>
  <c r="AH4286" i="30" s="1"/>
  <c r="AF4287" i="30"/>
  <c r="AH4287" i="30" s="1"/>
  <c r="AF4288" i="30"/>
  <c r="AH4288" i="30" s="1"/>
  <c r="AF4289" i="30"/>
  <c r="AH4289" i="30" s="1"/>
  <c r="AF4290" i="30"/>
  <c r="AH4290" i="30" s="1"/>
  <c r="AF4291" i="30"/>
  <c r="AH4291" i="30" s="1"/>
  <c r="AF4292" i="30"/>
  <c r="AH4292" i="30" s="1"/>
  <c r="AF4293" i="30"/>
  <c r="AH4293" i="30" s="1"/>
  <c r="AF4294" i="30"/>
  <c r="AH4294" i="30" s="1"/>
  <c r="AF4295" i="30"/>
  <c r="AH4295" i="30" s="1"/>
  <c r="AF4296" i="30"/>
  <c r="AH4296" i="30" s="1"/>
  <c r="AF4297" i="30"/>
  <c r="AH4297" i="30" s="1"/>
  <c r="AF4298" i="30"/>
  <c r="AH4298" i="30" s="1"/>
  <c r="AF4299" i="30"/>
  <c r="AH4299" i="30" s="1"/>
  <c r="AF4300" i="30"/>
  <c r="AH4300" i="30" s="1"/>
  <c r="AF4301" i="30"/>
  <c r="AH4301" i="30" s="1"/>
  <c r="AF4302" i="30"/>
  <c r="AH4302" i="30" s="1"/>
  <c r="AF4303" i="30"/>
  <c r="AH4303" i="30" s="1"/>
  <c r="AF4304" i="30"/>
  <c r="AH4304" i="30" s="1"/>
  <c r="AF4305" i="30"/>
  <c r="AH4305" i="30" s="1"/>
  <c r="AF4306" i="30"/>
  <c r="AH4306" i="30" s="1"/>
  <c r="AF4307" i="30"/>
  <c r="AH4307" i="30" s="1"/>
  <c r="AF4308" i="30"/>
  <c r="AH4308" i="30" s="1"/>
  <c r="AF4309" i="30"/>
  <c r="AH4309" i="30" s="1"/>
  <c r="AF4310" i="30"/>
  <c r="AH4310" i="30" s="1"/>
  <c r="AF4311" i="30"/>
  <c r="AH4311" i="30" s="1"/>
  <c r="AF4312" i="30"/>
  <c r="AH4312" i="30" s="1"/>
  <c r="AF4313" i="30"/>
  <c r="AH4313" i="30" s="1"/>
  <c r="AF4314" i="30"/>
  <c r="AH4314" i="30" s="1"/>
  <c r="AF4315" i="30"/>
  <c r="AH4315" i="30" s="1"/>
  <c r="AF4316" i="30"/>
  <c r="AH4316" i="30" s="1"/>
  <c r="AF4317" i="30"/>
  <c r="AH4317" i="30" s="1"/>
  <c r="AF4318" i="30"/>
  <c r="AH4318" i="30" s="1"/>
  <c r="AF4319" i="30"/>
  <c r="AH4319" i="30" s="1"/>
  <c r="AF4320" i="30"/>
  <c r="AH4320" i="30" s="1"/>
  <c r="AF4321" i="30"/>
  <c r="AH4321" i="30" s="1"/>
  <c r="AF4322" i="30"/>
  <c r="AH4322" i="30" s="1"/>
  <c r="AF4323" i="30"/>
  <c r="AH4323" i="30" s="1"/>
  <c r="AF4324" i="30"/>
  <c r="AH4324" i="30" s="1"/>
  <c r="AF4325" i="30"/>
  <c r="AH4325" i="30" s="1"/>
  <c r="AF4326" i="30"/>
  <c r="AH4326" i="30" s="1"/>
  <c r="AF4327" i="30"/>
  <c r="AH4327" i="30" s="1"/>
  <c r="AF4328" i="30"/>
  <c r="AH4328" i="30" s="1"/>
  <c r="AF4329" i="30"/>
  <c r="AH4329" i="30" s="1"/>
  <c r="AF4330" i="30"/>
  <c r="AH4330" i="30" s="1"/>
  <c r="AF4331" i="30"/>
  <c r="AH4331" i="30" s="1"/>
  <c r="AF4332" i="30"/>
  <c r="AH4332" i="30" s="1"/>
  <c r="AF4333" i="30"/>
  <c r="AH4333" i="30" s="1"/>
  <c r="AF4334" i="30"/>
  <c r="AH4334" i="30" s="1"/>
  <c r="AF4335" i="30"/>
  <c r="AH4335" i="30" s="1"/>
  <c r="AF4336" i="30"/>
  <c r="AH4336" i="30" s="1"/>
  <c r="AF4337" i="30"/>
  <c r="AH4337" i="30" s="1"/>
  <c r="AF4338" i="30"/>
  <c r="AH4338" i="30" s="1"/>
  <c r="AF4339" i="30"/>
  <c r="AH4339" i="30" s="1"/>
  <c r="AF4340" i="30"/>
  <c r="AH4340" i="30" s="1"/>
  <c r="AF4341" i="30"/>
  <c r="AH4341" i="30" s="1"/>
  <c r="AF4342" i="30"/>
  <c r="AH4342" i="30" s="1"/>
  <c r="AF4343" i="30"/>
  <c r="AH4343" i="30" s="1"/>
  <c r="AF4344" i="30"/>
  <c r="AH4344" i="30" s="1"/>
  <c r="AF4345" i="30"/>
  <c r="AH4345" i="30" s="1"/>
  <c r="AF4346" i="30"/>
  <c r="AH4346" i="30" s="1"/>
  <c r="AF4347" i="30"/>
  <c r="AH4347" i="30" s="1"/>
  <c r="AF4348" i="30"/>
  <c r="AH4348" i="30" s="1"/>
  <c r="AF4349" i="30"/>
  <c r="AH4349" i="30" s="1"/>
  <c r="AF4350" i="30"/>
  <c r="AH4350" i="30" s="1"/>
  <c r="AF4351" i="30"/>
  <c r="AH4351" i="30" s="1"/>
  <c r="AF4352" i="30"/>
  <c r="AH4352" i="30" s="1"/>
  <c r="AF4353" i="30"/>
  <c r="AH4353" i="30" s="1"/>
  <c r="AF4354" i="30"/>
  <c r="AH4354" i="30" s="1"/>
  <c r="AG6402" i="30"/>
  <c r="AF6402" i="30"/>
  <c r="AH6402" i="30" s="1"/>
  <c r="AG6404" i="30"/>
  <c r="AF6404" i="30"/>
  <c r="AH6404" i="30" s="1"/>
  <c r="AG6406" i="30"/>
  <c r="AF6406" i="30"/>
  <c r="AH6406" i="30" s="1"/>
  <c r="AG6408" i="30"/>
  <c r="AF6408" i="30"/>
  <c r="AH6408" i="30" s="1"/>
  <c r="AG6410" i="30"/>
  <c r="AF6410" i="30"/>
  <c r="AH6410" i="30" s="1"/>
  <c r="AG6412" i="30"/>
  <c r="AF6412" i="30"/>
  <c r="AH6412" i="30" s="1"/>
  <c r="AG6414" i="30"/>
  <c r="AF6414" i="30"/>
  <c r="AH6414" i="30" s="1"/>
  <c r="AG6416" i="30"/>
  <c r="AF6416" i="30"/>
  <c r="AH6416" i="30" s="1"/>
  <c r="AG6418" i="30"/>
  <c r="AF6418" i="30"/>
  <c r="AH6418" i="30" s="1"/>
  <c r="AG6420" i="30"/>
  <c r="AF6420" i="30"/>
  <c r="AH6420" i="30" s="1"/>
  <c r="AG6422" i="30"/>
  <c r="AF6422" i="30"/>
  <c r="AH6422" i="30" s="1"/>
  <c r="AG6424" i="30"/>
  <c r="AF6424" i="30"/>
  <c r="AH6424" i="30" s="1"/>
  <c r="AG6426" i="30"/>
  <c r="AF6426" i="30"/>
  <c r="AH6426" i="30" s="1"/>
  <c r="AG6428" i="30"/>
  <c r="AF6428" i="30"/>
  <c r="AH6428" i="30" s="1"/>
  <c r="AG6430" i="30"/>
  <c r="AF6430" i="30"/>
  <c r="AH6430" i="30" s="1"/>
  <c r="AG6432" i="30"/>
  <c r="AF6432" i="30"/>
  <c r="AH6432" i="30" s="1"/>
  <c r="AG6434" i="30"/>
  <c r="AF6434" i="30"/>
  <c r="AH6434" i="30" s="1"/>
  <c r="AG6436" i="30"/>
  <c r="AF6436" i="30"/>
  <c r="AH6436" i="30" s="1"/>
  <c r="AG6438" i="30"/>
  <c r="AF6438" i="30"/>
  <c r="AH6438" i="30" s="1"/>
  <c r="AG6440" i="30"/>
  <c r="AF6440" i="30"/>
  <c r="AH6440" i="30" s="1"/>
  <c r="AG6442" i="30"/>
  <c r="AF6442" i="30"/>
  <c r="AH6442" i="30" s="1"/>
  <c r="AG6444" i="30"/>
  <c r="AF6444" i="30"/>
  <c r="AH6444" i="30" s="1"/>
  <c r="AG6446" i="30"/>
  <c r="AF6446" i="30"/>
  <c r="AH6446" i="30" s="1"/>
  <c r="AG6448" i="30"/>
  <c r="AF6448" i="30"/>
  <c r="AH6448" i="30" s="1"/>
  <c r="AG6450" i="30"/>
  <c r="AF6450" i="30"/>
  <c r="AH6450" i="30" s="1"/>
  <c r="AG6452" i="30"/>
  <c r="AF6452" i="30"/>
  <c r="AH6452" i="30" s="1"/>
  <c r="AG6454" i="30"/>
  <c r="AF6454" i="30"/>
  <c r="AH6454" i="30" s="1"/>
  <c r="AG6456" i="30"/>
  <c r="AF6456" i="30"/>
  <c r="AH6456" i="30" s="1"/>
  <c r="AG6458" i="30"/>
  <c r="AF6458" i="30"/>
  <c r="AH6458" i="30" s="1"/>
  <c r="AG6460" i="30"/>
  <c r="AF6460" i="30"/>
  <c r="AH6460" i="30" s="1"/>
  <c r="AG6462" i="30"/>
  <c r="AF6462" i="30"/>
  <c r="AH6462" i="30" s="1"/>
  <c r="AG6464" i="30"/>
  <c r="AF6464" i="30"/>
  <c r="AH6464" i="30" s="1"/>
  <c r="AG6466" i="30"/>
  <c r="AF6466" i="30"/>
  <c r="AH6466" i="30" s="1"/>
  <c r="AG6468" i="30"/>
  <c r="AF6468" i="30"/>
  <c r="AH6468" i="30" s="1"/>
  <c r="AG6470" i="30"/>
  <c r="AF6470" i="30"/>
  <c r="AH6470" i="30" s="1"/>
  <c r="AG6472" i="30"/>
  <c r="AF6472" i="30"/>
  <c r="AH6472" i="30" s="1"/>
  <c r="AG6474" i="30"/>
  <c r="AF6474" i="30"/>
  <c r="AH6474" i="30" s="1"/>
  <c r="AG6476" i="30"/>
  <c r="AF6476" i="30"/>
  <c r="AH6476" i="30" s="1"/>
  <c r="AG6478" i="30"/>
  <c r="AF6478" i="30"/>
  <c r="AH6478" i="30" s="1"/>
  <c r="AG6480" i="30"/>
  <c r="AF6480" i="30"/>
  <c r="AH6480" i="30" s="1"/>
  <c r="AG6482" i="30"/>
  <c r="AF6482" i="30"/>
  <c r="AH6482" i="30" s="1"/>
  <c r="AG6484" i="30"/>
  <c r="AF6484" i="30"/>
  <c r="AH6484" i="30" s="1"/>
  <c r="AG6486" i="30"/>
  <c r="AF6486" i="30"/>
  <c r="AH6486" i="30" s="1"/>
  <c r="AG6488" i="30"/>
  <c r="AF6488" i="30"/>
  <c r="AH6488" i="30" s="1"/>
  <c r="AG6490" i="30"/>
  <c r="AF6490" i="30"/>
  <c r="AH6490" i="30" s="1"/>
  <c r="AG6492" i="30"/>
  <c r="AF6492" i="30"/>
  <c r="AH6492" i="30" s="1"/>
  <c r="AG6494" i="30"/>
  <c r="AF6494" i="30"/>
  <c r="AH6494" i="30" s="1"/>
  <c r="AG6496" i="30"/>
  <c r="AF6496" i="30"/>
  <c r="AH6496" i="30" s="1"/>
  <c r="AG6498" i="30"/>
  <c r="AF6498" i="30"/>
  <c r="AH6498" i="30" s="1"/>
  <c r="AG6500" i="30"/>
  <c r="AF6500" i="30"/>
  <c r="AH6500" i="30" s="1"/>
  <c r="AG6502" i="30"/>
  <c r="AF6502" i="30"/>
  <c r="AH6502" i="30" s="1"/>
  <c r="AG6504" i="30"/>
  <c r="AF6504" i="30"/>
  <c r="AH6504" i="30" s="1"/>
  <c r="AG6506" i="30"/>
  <c r="AF6506" i="30"/>
  <c r="AH6506" i="30" s="1"/>
  <c r="AG6508" i="30"/>
  <c r="AF6508" i="30"/>
  <c r="AH6508" i="30" s="1"/>
  <c r="AG6510" i="30"/>
  <c r="AF6510" i="30"/>
  <c r="AH6510" i="30" s="1"/>
  <c r="AG6512" i="30"/>
  <c r="AF6512" i="30"/>
  <c r="AH6512" i="30" s="1"/>
  <c r="AG6514" i="30"/>
  <c r="AF6514" i="30"/>
  <c r="AH6514" i="30" s="1"/>
  <c r="AG6516" i="30"/>
  <c r="AF6516" i="30"/>
  <c r="AH6516" i="30" s="1"/>
  <c r="AG6518" i="30"/>
  <c r="AF6518" i="30"/>
  <c r="AH6518" i="30" s="1"/>
  <c r="AG6520" i="30"/>
  <c r="AF6520" i="30"/>
  <c r="AH6520" i="30" s="1"/>
  <c r="AG6522" i="30"/>
  <c r="AF6522" i="30"/>
  <c r="AH6522" i="30" s="1"/>
  <c r="AG6524" i="30"/>
  <c r="AF6524" i="30"/>
  <c r="AH6524" i="30" s="1"/>
  <c r="AG6526" i="30"/>
  <c r="AF6526" i="30"/>
  <c r="AH6526" i="30" s="1"/>
  <c r="AG6528" i="30"/>
  <c r="AF6528" i="30"/>
  <c r="AH6528" i="30" s="1"/>
  <c r="AG6530" i="30"/>
  <c r="AF6530" i="30"/>
  <c r="AH6530" i="30" s="1"/>
  <c r="AG6532" i="30"/>
  <c r="AF6532" i="30"/>
  <c r="AH6532" i="30" s="1"/>
  <c r="AG6534" i="30"/>
  <c r="AF6534" i="30"/>
  <c r="AH6534" i="30" s="1"/>
  <c r="AG6536" i="30"/>
  <c r="AF6536" i="30"/>
  <c r="AH6536" i="30" s="1"/>
  <c r="AG6538" i="30"/>
  <c r="AF6538" i="30"/>
  <c r="AH6538" i="30" s="1"/>
  <c r="AG6540" i="30"/>
  <c r="AF6540" i="30"/>
  <c r="AH6540" i="30" s="1"/>
  <c r="AG6542" i="30"/>
  <c r="AF6542" i="30"/>
  <c r="AH6542" i="30" s="1"/>
  <c r="AG6544" i="30"/>
  <c r="AF6544" i="30"/>
  <c r="AH6544" i="30" s="1"/>
  <c r="AG6546" i="30"/>
  <c r="AF6546" i="30"/>
  <c r="AH6546" i="30" s="1"/>
  <c r="AG6548" i="30"/>
  <c r="AF6548" i="30"/>
  <c r="AH6548" i="30" s="1"/>
  <c r="AG6550" i="30"/>
  <c r="AF6550" i="30"/>
  <c r="AH6550" i="30" s="1"/>
  <c r="AG6552" i="30"/>
  <c r="AF6552" i="30"/>
  <c r="AH6552" i="30" s="1"/>
  <c r="AG6554" i="30"/>
  <c r="AF6554" i="30"/>
  <c r="AH6554" i="30" s="1"/>
  <c r="AG6556" i="30"/>
  <c r="AF6556" i="30"/>
  <c r="AH6556" i="30" s="1"/>
  <c r="AG6558" i="30"/>
  <c r="AF6558" i="30"/>
  <c r="AH6558" i="30" s="1"/>
  <c r="AG6560" i="30"/>
  <c r="AF6560" i="30"/>
  <c r="AH6560" i="30" s="1"/>
  <c r="AG6562" i="30"/>
  <c r="AF6562" i="30"/>
  <c r="AH6562" i="30" s="1"/>
  <c r="AG6564" i="30"/>
  <c r="AF6564" i="30"/>
  <c r="AH6564" i="30" s="1"/>
  <c r="AG6566" i="30"/>
  <c r="AF6566" i="30"/>
  <c r="AH6566" i="30" s="1"/>
  <c r="AG6568" i="30"/>
  <c r="AF6568" i="30"/>
  <c r="AH6568" i="30" s="1"/>
  <c r="AG6570" i="30"/>
  <c r="AF6570" i="30"/>
  <c r="AH6570" i="30" s="1"/>
  <c r="AG6572" i="30"/>
  <c r="AF6572" i="30"/>
  <c r="AH6572" i="30" s="1"/>
  <c r="AG6574" i="30"/>
  <c r="AF6574" i="30"/>
  <c r="AH6574" i="30" s="1"/>
  <c r="AG6576" i="30"/>
  <c r="AF6576" i="30"/>
  <c r="AH6576" i="30" s="1"/>
  <c r="AG6578" i="30"/>
  <c r="AF6578" i="30"/>
  <c r="AH6578" i="30" s="1"/>
  <c r="AG6580" i="30"/>
  <c r="AF6580" i="30"/>
  <c r="AH6580" i="30" s="1"/>
  <c r="AG6582" i="30"/>
  <c r="AF6582" i="30"/>
  <c r="AH6582" i="30" s="1"/>
  <c r="AG6584" i="30"/>
  <c r="AF6584" i="30"/>
  <c r="AH6584" i="30" s="1"/>
  <c r="AG6586" i="30"/>
  <c r="AF6586" i="30"/>
  <c r="AH6586" i="30" s="1"/>
  <c r="AG6588" i="30"/>
  <c r="AF6588" i="30"/>
  <c r="AH6588" i="30" s="1"/>
  <c r="AG6590" i="30"/>
  <c r="AF6590" i="30"/>
  <c r="AH6590" i="30" s="1"/>
  <c r="AG6592" i="30"/>
  <c r="AF6592" i="30"/>
  <c r="AH6592" i="30" s="1"/>
  <c r="AG6594" i="30"/>
  <c r="AF6594" i="30"/>
  <c r="AH6594" i="30" s="1"/>
  <c r="AG6596" i="30"/>
  <c r="AF6596" i="30"/>
  <c r="AH6596" i="30" s="1"/>
  <c r="AG6598" i="30"/>
  <c r="AF6598" i="30"/>
  <c r="AH6598" i="30" s="1"/>
  <c r="AG6600" i="30"/>
  <c r="AF6600" i="30"/>
  <c r="AH6600" i="30" s="1"/>
  <c r="AG6602" i="30"/>
  <c r="AF6602" i="30"/>
  <c r="AH6602" i="30" s="1"/>
  <c r="AG6604" i="30"/>
  <c r="AF6604" i="30"/>
  <c r="AH6604" i="30" s="1"/>
  <c r="AG6606" i="30"/>
  <c r="AF6606" i="30"/>
  <c r="AH6606" i="30" s="1"/>
  <c r="AG6608" i="30"/>
  <c r="AF6608" i="30"/>
  <c r="AH6608" i="30" s="1"/>
  <c r="AG6610" i="30"/>
  <c r="AF6610" i="30"/>
  <c r="AH6610" i="30" s="1"/>
  <c r="AG6612" i="30"/>
  <c r="AF6612" i="30"/>
  <c r="AH6612" i="30" s="1"/>
  <c r="AG6614" i="30"/>
  <c r="AF6614" i="30"/>
  <c r="AH6614" i="30" s="1"/>
  <c r="AG6616" i="30"/>
  <c r="AF6616" i="30"/>
  <c r="AH6616" i="30" s="1"/>
  <c r="AG6618" i="30"/>
  <c r="AF6618" i="30"/>
  <c r="AH6618" i="30" s="1"/>
  <c r="AG6620" i="30"/>
  <c r="AF6620" i="30"/>
  <c r="AH6620" i="30" s="1"/>
  <c r="AG6622" i="30"/>
  <c r="AF6622" i="30"/>
  <c r="AH6622" i="30" s="1"/>
  <c r="AG6624" i="30"/>
  <c r="AF6624" i="30"/>
  <c r="AH6624" i="30" s="1"/>
  <c r="AG6626" i="30"/>
  <c r="AF6626" i="30"/>
  <c r="AH6626" i="30" s="1"/>
  <c r="AG6628" i="30"/>
  <c r="AF6628" i="30"/>
  <c r="AH6628" i="30" s="1"/>
  <c r="AG6630" i="30"/>
  <c r="AF6630" i="30"/>
  <c r="AH6630" i="30" s="1"/>
  <c r="AG6632" i="30"/>
  <c r="AF6632" i="30"/>
  <c r="AH6632" i="30" s="1"/>
  <c r="AG6634" i="30"/>
  <c r="AF6634" i="30"/>
  <c r="AH6634" i="30" s="1"/>
  <c r="AG6636" i="30"/>
  <c r="AF6636" i="30"/>
  <c r="AH6636" i="30" s="1"/>
  <c r="AG6638" i="30"/>
  <c r="AF6638" i="30"/>
  <c r="AH6638" i="30" s="1"/>
  <c r="AG6640" i="30"/>
  <c r="AF6640" i="30"/>
  <c r="AH6640" i="30" s="1"/>
  <c r="AG6642" i="30"/>
  <c r="AF6642" i="30"/>
  <c r="AH6642" i="30" s="1"/>
  <c r="AG6644" i="30"/>
  <c r="AF6644" i="30"/>
  <c r="AH6644" i="30" s="1"/>
  <c r="AG6646" i="30"/>
  <c r="AF6646" i="30"/>
  <c r="AH6646" i="30" s="1"/>
  <c r="AG6648" i="30"/>
  <c r="AF6648" i="30"/>
  <c r="AH6648" i="30" s="1"/>
  <c r="AG6650" i="30"/>
  <c r="AF6650" i="30"/>
  <c r="AH6650" i="30" s="1"/>
  <c r="AG6652" i="30"/>
  <c r="AF6652" i="30"/>
  <c r="AH6652" i="30" s="1"/>
  <c r="AG6654" i="30"/>
  <c r="AF6654" i="30"/>
  <c r="AH6654" i="30" s="1"/>
  <c r="AG6656" i="30"/>
  <c r="AF6656" i="30"/>
  <c r="AH6656" i="30" s="1"/>
  <c r="AG6658" i="30"/>
  <c r="AF6658" i="30"/>
  <c r="AH6658" i="30" s="1"/>
  <c r="AG6660" i="30"/>
  <c r="AF6660" i="30"/>
  <c r="AH6660" i="30" s="1"/>
  <c r="AG6662" i="30"/>
  <c r="AF6662" i="30"/>
  <c r="AH6662" i="30" s="1"/>
  <c r="AG6664" i="30"/>
  <c r="AF6664" i="30"/>
  <c r="AH6664" i="30" s="1"/>
  <c r="AG6666" i="30"/>
  <c r="AF6666" i="30"/>
  <c r="AH6666" i="30" s="1"/>
  <c r="AG6668" i="30"/>
  <c r="AF6668" i="30"/>
  <c r="AH6668" i="30" s="1"/>
  <c r="AG6670" i="30"/>
  <c r="AF6670" i="30"/>
  <c r="AH6670" i="30" s="1"/>
  <c r="AG6672" i="30"/>
  <c r="AF6672" i="30"/>
  <c r="AH6672" i="30" s="1"/>
  <c r="AG6674" i="30"/>
  <c r="AF6674" i="30"/>
  <c r="AH6674" i="30" s="1"/>
  <c r="AG6676" i="30"/>
  <c r="AF6676" i="30"/>
  <c r="AH6676" i="30" s="1"/>
  <c r="AG6678" i="30"/>
  <c r="AF6678" i="30"/>
  <c r="AH6678" i="30" s="1"/>
  <c r="AG6680" i="30"/>
  <c r="AF6680" i="30"/>
  <c r="AH6680" i="30" s="1"/>
  <c r="AG6682" i="30"/>
  <c r="AF6682" i="30"/>
  <c r="AH6682" i="30" s="1"/>
  <c r="AG6684" i="30"/>
  <c r="AF6684" i="30"/>
  <c r="AH6684" i="30" s="1"/>
  <c r="AG6686" i="30"/>
  <c r="AF6686" i="30"/>
  <c r="AH6686" i="30" s="1"/>
  <c r="AG6688" i="30"/>
  <c r="AF6688" i="30"/>
  <c r="AH6688" i="30" s="1"/>
  <c r="AG6690" i="30"/>
  <c r="AF6690" i="30"/>
  <c r="AH6690" i="30" s="1"/>
  <c r="AG6692" i="30"/>
  <c r="AF6692" i="30"/>
  <c r="AH6692" i="30" s="1"/>
  <c r="AG6694" i="30"/>
  <c r="AF6694" i="30"/>
  <c r="AH6694" i="30" s="1"/>
  <c r="AG6696" i="30"/>
  <c r="AF6696" i="30"/>
  <c r="AH6696" i="30" s="1"/>
  <c r="AG6698" i="30"/>
  <c r="AF6698" i="30"/>
  <c r="AH6698" i="30" s="1"/>
  <c r="AG6700" i="30"/>
  <c r="AF6700" i="30"/>
  <c r="AH6700" i="30" s="1"/>
  <c r="AG6702" i="30"/>
  <c r="AF6702" i="30"/>
  <c r="AH6702" i="30" s="1"/>
  <c r="AG6704" i="30"/>
  <c r="AF6704" i="30"/>
  <c r="AH6704" i="30" s="1"/>
  <c r="AG6706" i="30"/>
  <c r="AF6706" i="30"/>
  <c r="AH6706" i="30" s="1"/>
  <c r="AG6708" i="30"/>
  <c r="AF6708" i="30"/>
  <c r="AH6708" i="30" s="1"/>
  <c r="AG6710" i="30"/>
  <c r="AF6710" i="30"/>
  <c r="AH6710" i="30" s="1"/>
  <c r="AG6712" i="30"/>
  <c r="AF6712" i="30"/>
  <c r="AH6712" i="30" s="1"/>
  <c r="AG6714" i="30"/>
  <c r="AF6714" i="30"/>
  <c r="AH6714" i="30" s="1"/>
  <c r="AG6716" i="30"/>
  <c r="AF6716" i="30"/>
  <c r="AH6716" i="30" s="1"/>
  <c r="AG6718" i="30"/>
  <c r="AF6718" i="30"/>
  <c r="AH6718" i="30" s="1"/>
  <c r="AG6720" i="30"/>
  <c r="AF6720" i="30"/>
  <c r="AH6720" i="30" s="1"/>
  <c r="AG6722" i="30"/>
  <c r="AF6722" i="30"/>
  <c r="AH6722" i="30" s="1"/>
  <c r="AG6724" i="30"/>
  <c r="AF6724" i="30"/>
  <c r="AH6724" i="30" s="1"/>
  <c r="AG6726" i="30"/>
  <c r="AF6726" i="30"/>
  <c r="AH6726" i="30" s="1"/>
  <c r="AG6728" i="30"/>
  <c r="AF6728" i="30"/>
  <c r="AH6728" i="30" s="1"/>
  <c r="AG6730" i="30"/>
  <c r="AF6730" i="30"/>
  <c r="AH6730" i="30" s="1"/>
  <c r="AG6732" i="30"/>
  <c r="AF6732" i="30"/>
  <c r="AH6732" i="30" s="1"/>
  <c r="AG6734" i="30"/>
  <c r="AF6734" i="30"/>
  <c r="AH6734" i="30" s="1"/>
  <c r="AG6736" i="30"/>
  <c r="AF6736" i="30"/>
  <c r="AH6736" i="30" s="1"/>
  <c r="AG6738" i="30"/>
  <c r="AF6738" i="30"/>
  <c r="AH6738" i="30" s="1"/>
  <c r="AG6740" i="30"/>
  <c r="AF6740" i="30"/>
  <c r="AH6740" i="30" s="1"/>
  <c r="AG6742" i="30"/>
  <c r="AF6742" i="30"/>
  <c r="AH6742" i="30" s="1"/>
  <c r="AG6744" i="30"/>
  <c r="AF6744" i="30"/>
  <c r="AH6744" i="30" s="1"/>
  <c r="AG6746" i="30"/>
  <c r="AF6746" i="30"/>
  <c r="AH6746" i="30" s="1"/>
  <c r="AG6748" i="30"/>
  <c r="AF6748" i="30"/>
  <c r="AH6748" i="30" s="1"/>
  <c r="AG6750" i="30"/>
  <c r="AF6750" i="30"/>
  <c r="AH6750" i="30" s="1"/>
  <c r="AG6752" i="30"/>
  <c r="AF6752" i="30"/>
  <c r="AH6752" i="30" s="1"/>
  <c r="AG6754" i="30"/>
  <c r="AF6754" i="30"/>
  <c r="AH6754" i="30" s="1"/>
  <c r="AG6756" i="30"/>
  <c r="AF6756" i="30"/>
  <c r="AH6756" i="30" s="1"/>
  <c r="AG6758" i="30"/>
  <c r="AF6758" i="30"/>
  <c r="AH6758" i="30" s="1"/>
  <c r="AG6760" i="30"/>
  <c r="AF6760" i="30"/>
  <c r="AH6760" i="30" s="1"/>
  <c r="AG6762" i="30"/>
  <c r="AF6762" i="30"/>
  <c r="AH6762" i="30" s="1"/>
  <c r="AG6764" i="30"/>
  <c r="AF6764" i="30"/>
  <c r="AH6764" i="30" s="1"/>
  <c r="AG6766" i="30"/>
  <c r="AF6766" i="30"/>
  <c r="AH6766" i="30" s="1"/>
  <c r="AG6768" i="30"/>
  <c r="AF6768" i="30"/>
  <c r="AH6768" i="30" s="1"/>
  <c r="AG6770" i="30"/>
  <c r="AF6770" i="30"/>
  <c r="AH6770" i="30" s="1"/>
  <c r="AG6772" i="30"/>
  <c r="AF6772" i="30"/>
  <c r="AH6772" i="30" s="1"/>
  <c r="AG6774" i="30"/>
  <c r="AF6774" i="30"/>
  <c r="AH6774" i="30" s="1"/>
  <c r="AG6776" i="30"/>
  <c r="AF6776" i="30"/>
  <c r="AH6776" i="30" s="1"/>
  <c r="AG6778" i="30"/>
  <c r="AF6778" i="30"/>
  <c r="AH6778" i="30" s="1"/>
  <c r="AG6780" i="30"/>
  <c r="AF6780" i="30"/>
  <c r="AH6780" i="30" s="1"/>
  <c r="AG6782" i="30"/>
  <c r="AF6782" i="30"/>
  <c r="AH6782" i="30" s="1"/>
  <c r="AG6784" i="30"/>
  <c r="AF6784" i="30"/>
  <c r="AH6784" i="30" s="1"/>
  <c r="AG6786" i="30"/>
  <c r="AF6786" i="30"/>
  <c r="AH6786" i="30" s="1"/>
  <c r="AG6788" i="30"/>
  <c r="AF6788" i="30"/>
  <c r="AH6788" i="30" s="1"/>
  <c r="AG6790" i="30"/>
  <c r="AF6790" i="30"/>
  <c r="AH6790" i="30" s="1"/>
  <c r="AG6792" i="30"/>
  <c r="AF6792" i="30"/>
  <c r="AH6792" i="30" s="1"/>
  <c r="AG6794" i="30"/>
  <c r="AF6794" i="30"/>
  <c r="AH6794" i="30" s="1"/>
  <c r="AG6796" i="30"/>
  <c r="AF6796" i="30"/>
  <c r="AH6796" i="30" s="1"/>
  <c r="AG6798" i="30"/>
  <c r="AF6798" i="30"/>
  <c r="AH6798" i="30" s="1"/>
  <c r="AG6800" i="30"/>
  <c r="AF6800" i="30"/>
  <c r="AH6800" i="30" s="1"/>
  <c r="AG6802" i="30"/>
  <c r="AF6802" i="30"/>
  <c r="AH6802" i="30" s="1"/>
  <c r="AG6804" i="30"/>
  <c r="AF6804" i="30"/>
  <c r="AH6804" i="30" s="1"/>
  <c r="AG6806" i="30"/>
  <c r="AF6806" i="30"/>
  <c r="AH6806" i="30" s="1"/>
  <c r="AG6808" i="30"/>
  <c r="AF6808" i="30"/>
  <c r="AH6808" i="30" s="1"/>
  <c r="AG6810" i="30"/>
  <c r="AF6810" i="30"/>
  <c r="AH6810" i="30" s="1"/>
  <c r="AG6812" i="30"/>
  <c r="AF6812" i="30"/>
  <c r="AH6812" i="30" s="1"/>
  <c r="AG6814" i="30"/>
  <c r="AF6814" i="30"/>
  <c r="AH6814" i="30" s="1"/>
  <c r="AG6816" i="30"/>
  <c r="AF6816" i="30"/>
  <c r="AH6816" i="30" s="1"/>
  <c r="AG6818" i="30"/>
  <c r="AF6818" i="30"/>
  <c r="AH6818" i="30" s="1"/>
  <c r="AG6820" i="30"/>
  <c r="AF6820" i="30"/>
  <c r="AH6820" i="30" s="1"/>
  <c r="AG6822" i="30"/>
  <c r="AF6822" i="30"/>
  <c r="AH6822" i="30" s="1"/>
  <c r="AG6824" i="30"/>
  <c r="AF6824" i="30"/>
  <c r="AH6824" i="30" s="1"/>
  <c r="AG6826" i="30"/>
  <c r="AF6826" i="30"/>
  <c r="AH6826" i="30" s="1"/>
  <c r="AG6828" i="30"/>
  <c r="AF6828" i="30"/>
  <c r="AH6828" i="30" s="1"/>
  <c r="AG6830" i="30"/>
  <c r="AF6830" i="30"/>
  <c r="AH6830" i="30" s="1"/>
  <c r="AG6832" i="30"/>
  <c r="AF6832" i="30"/>
  <c r="AH6832" i="30" s="1"/>
  <c r="AG6834" i="30"/>
  <c r="AF6834" i="30"/>
  <c r="AH6834" i="30" s="1"/>
  <c r="AG6836" i="30"/>
  <c r="AF6836" i="30"/>
  <c r="AH6836" i="30" s="1"/>
  <c r="AG6838" i="30"/>
  <c r="AF6838" i="30"/>
  <c r="AH6838" i="30" s="1"/>
  <c r="AG6840" i="30"/>
  <c r="AF6840" i="30"/>
  <c r="AH6840" i="30" s="1"/>
  <c r="AG6842" i="30"/>
  <c r="AF6842" i="30"/>
  <c r="AH6842" i="30" s="1"/>
  <c r="AG6844" i="30"/>
  <c r="AF6844" i="30"/>
  <c r="AH6844" i="30" s="1"/>
  <c r="AG6846" i="30"/>
  <c r="AF6846" i="30"/>
  <c r="AH6846" i="30" s="1"/>
  <c r="AG6848" i="30"/>
  <c r="AF6848" i="30"/>
  <c r="AH6848" i="30" s="1"/>
  <c r="AG6850" i="30"/>
  <c r="AF6850" i="30"/>
  <c r="AH6850" i="30" s="1"/>
  <c r="AG6852" i="30"/>
  <c r="AF6852" i="30"/>
  <c r="AH6852" i="30" s="1"/>
  <c r="AG6854" i="30"/>
  <c r="AF6854" i="30"/>
  <c r="AH6854" i="30" s="1"/>
  <c r="AG6856" i="30"/>
  <c r="AF6856" i="30"/>
  <c r="AH6856" i="30" s="1"/>
  <c r="AG6858" i="30"/>
  <c r="AF6858" i="30"/>
  <c r="AH6858" i="30" s="1"/>
  <c r="AG6860" i="30"/>
  <c r="AF6860" i="30"/>
  <c r="AH6860" i="30" s="1"/>
  <c r="AG6862" i="30"/>
  <c r="AF6862" i="30"/>
  <c r="AH6862" i="30" s="1"/>
  <c r="AG6864" i="30"/>
  <c r="AF6864" i="30"/>
  <c r="AH6864" i="30" s="1"/>
  <c r="AG6866" i="30"/>
  <c r="AF6866" i="30"/>
  <c r="AH6866" i="30" s="1"/>
  <c r="AG6868" i="30"/>
  <c r="AF6868" i="30"/>
  <c r="AH6868" i="30" s="1"/>
  <c r="AG6870" i="30"/>
  <c r="AF6870" i="30"/>
  <c r="AH6870" i="30" s="1"/>
  <c r="AG6872" i="30"/>
  <c r="AF6872" i="30"/>
  <c r="AH6872" i="30" s="1"/>
  <c r="AG6874" i="30"/>
  <c r="AF6874" i="30"/>
  <c r="AH6874" i="30" s="1"/>
  <c r="AG6876" i="30"/>
  <c r="AF6876" i="30"/>
  <c r="AH6876" i="30" s="1"/>
  <c r="AG6878" i="30"/>
  <c r="AF6878" i="30"/>
  <c r="AH6878" i="30" s="1"/>
  <c r="AG6880" i="30"/>
  <c r="AF6880" i="30"/>
  <c r="AH6880" i="30" s="1"/>
  <c r="AG6882" i="30"/>
  <c r="AF6882" i="30"/>
  <c r="AH6882" i="30" s="1"/>
  <c r="AG6884" i="30"/>
  <c r="AF6884" i="30"/>
  <c r="AH6884" i="30" s="1"/>
  <c r="AG6886" i="30"/>
  <c r="AF6886" i="30"/>
  <c r="AH6886" i="30" s="1"/>
  <c r="AG6888" i="30"/>
  <c r="AF6888" i="30"/>
  <c r="AH6888" i="30" s="1"/>
  <c r="AG6890" i="30"/>
  <c r="AF6890" i="30"/>
  <c r="AH6890" i="30" s="1"/>
  <c r="AG6892" i="30"/>
  <c r="AF6892" i="30"/>
  <c r="AH6892" i="30" s="1"/>
  <c r="AG6894" i="30"/>
  <c r="AF6894" i="30"/>
  <c r="AH6894" i="30" s="1"/>
  <c r="AG6896" i="30"/>
  <c r="AF6896" i="30"/>
  <c r="AH6896" i="30" s="1"/>
  <c r="AG6898" i="30"/>
  <c r="AF6898" i="30"/>
  <c r="AH6898" i="30" s="1"/>
  <c r="AG6900" i="30"/>
  <c r="AF6900" i="30"/>
  <c r="AH6900" i="30" s="1"/>
  <c r="AG6902" i="30"/>
  <c r="AF6902" i="30"/>
  <c r="AH6902" i="30" s="1"/>
  <c r="AG6904" i="30"/>
  <c r="AF6904" i="30"/>
  <c r="AH6904" i="30" s="1"/>
  <c r="AG6906" i="30"/>
  <c r="AF6906" i="30"/>
  <c r="AH6906" i="30" s="1"/>
  <c r="AG6908" i="30"/>
  <c r="AF6908" i="30"/>
  <c r="AH6908" i="30" s="1"/>
  <c r="AG6910" i="30"/>
  <c r="AF6910" i="30"/>
  <c r="AH6910" i="30" s="1"/>
  <c r="AG6912" i="30"/>
  <c r="AF6912" i="30"/>
  <c r="AH6912" i="30" s="1"/>
  <c r="AG6397" i="30"/>
  <c r="AF6397" i="30"/>
  <c r="AH6397" i="30" s="1"/>
  <c r="AG6399" i="30"/>
  <c r="AF6399" i="30"/>
  <c r="AH6399" i="30" s="1"/>
  <c r="AG6401" i="30"/>
  <c r="AF6401" i="30"/>
  <c r="AH6401" i="30" s="1"/>
  <c r="AG6403" i="30"/>
  <c r="AF6403" i="30"/>
  <c r="AH6403" i="30" s="1"/>
  <c r="AG6405" i="30"/>
  <c r="AF6405" i="30"/>
  <c r="AH6405" i="30" s="1"/>
  <c r="AG6407" i="30"/>
  <c r="AF6407" i="30"/>
  <c r="AH6407" i="30" s="1"/>
  <c r="AG6409" i="30"/>
  <c r="AF6409" i="30"/>
  <c r="AH6409" i="30" s="1"/>
  <c r="AG6411" i="30"/>
  <c r="AF6411" i="30"/>
  <c r="AH6411" i="30" s="1"/>
  <c r="AG6413" i="30"/>
  <c r="AF6413" i="30"/>
  <c r="AH6413" i="30" s="1"/>
  <c r="AG6415" i="30"/>
  <c r="AF6415" i="30"/>
  <c r="AH6415" i="30" s="1"/>
  <c r="AG6417" i="30"/>
  <c r="AF6417" i="30"/>
  <c r="AH6417" i="30" s="1"/>
  <c r="AG6419" i="30"/>
  <c r="AF6419" i="30"/>
  <c r="AH6419" i="30" s="1"/>
  <c r="AG6421" i="30"/>
  <c r="AF6421" i="30"/>
  <c r="AH6421" i="30" s="1"/>
  <c r="AG6423" i="30"/>
  <c r="AF6423" i="30"/>
  <c r="AH6423" i="30" s="1"/>
  <c r="AG6425" i="30"/>
  <c r="AF6425" i="30"/>
  <c r="AH6425" i="30" s="1"/>
  <c r="AG6427" i="30"/>
  <c r="AF6427" i="30"/>
  <c r="AH6427" i="30" s="1"/>
  <c r="AG6429" i="30"/>
  <c r="AF6429" i="30"/>
  <c r="AH6429" i="30" s="1"/>
  <c r="AG6431" i="30"/>
  <c r="AF6431" i="30"/>
  <c r="AH6431" i="30" s="1"/>
  <c r="AG6433" i="30"/>
  <c r="AF6433" i="30"/>
  <c r="AH6433" i="30" s="1"/>
  <c r="AG6435" i="30"/>
  <c r="AF6435" i="30"/>
  <c r="AH6435" i="30" s="1"/>
  <c r="AG6437" i="30"/>
  <c r="AF6437" i="30"/>
  <c r="AH6437" i="30" s="1"/>
  <c r="AG6439" i="30"/>
  <c r="AF6439" i="30"/>
  <c r="AH6439" i="30" s="1"/>
  <c r="AG6441" i="30"/>
  <c r="AF6441" i="30"/>
  <c r="AH6441" i="30" s="1"/>
  <c r="AG6443" i="30"/>
  <c r="AF6443" i="30"/>
  <c r="AH6443" i="30" s="1"/>
  <c r="AG6445" i="30"/>
  <c r="AF6445" i="30"/>
  <c r="AH6445" i="30" s="1"/>
  <c r="AG6447" i="30"/>
  <c r="AF6447" i="30"/>
  <c r="AH6447" i="30" s="1"/>
  <c r="AG6449" i="30"/>
  <c r="AF6449" i="30"/>
  <c r="AH6449" i="30" s="1"/>
  <c r="AG6451" i="30"/>
  <c r="AF6451" i="30"/>
  <c r="AH6451" i="30" s="1"/>
  <c r="AG6453" i="30"/>
  <c r="AF6453" i="30"/>
  <c r="AH6453" i="30" s="1"/>
  <c r="AG6455" i="30"/>
  <c r="AF6455" i="30"/>
  <c r="AH6455" i="30" s="1"/>
  <c r="AG6457" i="30"/>
  <c r="AF6457" i="30"/>
  <c r="AH6457" i="30" s="1"/>
  <c r="AG6459" i="30"/>
  <c r="AF6459" i="30"/>
  <c r="AH6459" i="30" s="1"/>
  <c r="AG6461" i="30"/>
  <c r="AF6461" i="30"/>
  <c r="AH6461" i="30" s="1"/>
  <c r="AG6463" i="30"/>
  <c r="AF6463" i="30"/>
  <c r="AH6463" i="30" s="1"/>
  <c r="AG6465" i="30"/>
  <c r="AF6465" i="30"/>
  <c r="AH6465" i="30" s="1"/>
  <c r="AG6467" i="30"/>
  <c r="AF6467" i="30"/>
  <c r="AH6467" i="30" s="1"/>
  <c r="AG6469" i="30"/>
  <c r="AF6469" i="30"/>
  <c r="AH6469" i="30" s="1"/>
  <c r="AG6471" i="30"/>
  <c r="AF6471" i="30"/>
  <c r="AH6471" i="30" s="1"/>
  <c r="AG6473" i="30"/>
  <c r="AF6473" i="30"/>
  <c r="AH6473" i="30" s="1"/>
  <c r="AG6475" i="30"/>
  <c r="AF6475" i="30"/>
  <c r="AH6475" i="30" s="1"/>
  <c r="AG6477" i="30"/>
  <c r="AF6477" i="30"/>
  <c r="AH6477" i="30" s="1"/>
  <c r="AG6479" i="30"/>
  <c r="AF6479" i="30"/>
  <c r="AH6479" i="30" s="1"/>
  <c r="AG6481" i="30"/>
  <c r="AF6481" i="30"/>
  <c r="AH6481" i="30" s="1"/>
  <c r="AG6483" i="30"/>
  <c r="AF6483" i="30"/>
  <c r="AH6483" i="30" s="1"/>
  <c r="AG6485" i="30"/>
  <c r="AF6485" i="30"/>
  <c r="AH6485" i="30" s="1"/>
  <c r="AG6487" i="30"/>
  <c r="AF6487" i="30"/>
  <c r="AH6487" i="30" s="1"/>
  <c r="AG6489" i="30"/>
  <c r="AF6489" i="30"/>
  <c r="AH6489" i="30" s="1"/>
  <c r="AG6491" i="30"/>
  <c r="AF6491" i="30"/>
  <c r="AH6491" i="30" s="1"/>
  <c r="AG6493" i="30"/>
  <c r="AF6493" i="30"/>
  <c r="AH6493" i="30" s="1"/>
  <c r="AG6495" i="30"/>
  <c r="AF6495" i="30"/>
  <c r="AH6495" i="30" s="1"/>
  <c r="AG6497" i="30"/>
  <c r="AF6497" i="30"/>
  <c r="AH6497" i="30" s="1"/>
  <c r="AG6499" i="30"/>
  <c r="AF6499" i="30"/>
  <c r="AH6499" i="30" s="1"/>
  <c r="AG6501" i="30"/>
  <c r="AF6501" i="30"/>
  <c r="AH6501" i="30" s="1"/>
  <c r="AG6503" i="30"/>
  <c r="AF6503" i="30"/>
  <c r="AH6503" i="30" s="1"/>
  <c r="AG6505" i="30"/>
  <c r="AF6505" i="30"/>
  <c r="AH6505" i="30" s="1"/>
  <c r="AG6507" i="30"/>
  <c r="AF6507" i="30"/>
  <c r="AH6507" i="30" s="1"/>
  <c r="AG6509" i="30"/>
  <c r="AF6509" i="30"/>
  <c r="AH6509" i="30" s="1"/>
  <c r="AG6511" i="30"/>
  <c r="AF6511" i="30"/>
  <c r="AH6511" i="30" s="1"/>
  <c r="AG6513" i="30"/>
  <c r="AF6513" i="30"/>
  <c r="AH6513" i="30" s="1"/>
  <c r="AG6515" i="30"/>
  <c r="AF6515" i="30"/>
  <c r="AH6515" i="30" s="1"/>
  <c r="AG6517" i="30"/>
  <c r="AF6517" i="30"/>
  <c r="AH6517" i="30" s="1"/>
  <c r="AG6519" i="30"/>
  <c r="AF6519" i="30"/>
  <c r="AH6519" i="30" s="1"/>
  <c r="AG6521" i="30"/>
  <c r="AF6521" i="30"/>
  <c r="AH6521" i="30" s="1"/>
  <c r="AG6523" i="30"/>
  <c r="AF6523" i="30"/>
  <c r="AH6523" i="30" s="1"/>
  <c r="AG6525" i="30"/>
  <c r="AF6525" i="30"/>
  <c r="AH6525" i="30" s="1"/>
  <c r="AG6527" i="30"/>
  <c r="AF6527" i="30"/>
  <c r="AH6527" i="30" s="1"/>
  <c r="AG6529" i="30"/>
  <c r="AF6529" i="30"/>
  <c r="AH6529" i="30" s="1"/>
  <c r="AG6531" i="30"/>
  <c r="AF6531" i="30"/>
  <c r="AH6531" i="30" s="1"/>
  <c r="AG6533" i="30"/>
  <c r="AF6533" i="30"/>
  <c r="AH6533" i="30" s="1"/>
  <c r="AG6535" i="30"/>
  <c r="AF6535" i="30"/>
  <c r="AH6535" i="30" s="1"/>
  <c r="AG6537" i="30"/>
  <c r="AF6537" i="30"/>
  <c r="AH6537" i="30" s="1"/>
  <c r="AG6539" i="30"/>
  <c r="AF6539" i="30"/>
  <c r="AH6539" i="30" s="1"/>
  <c r="AG6541" i="30"/>
  <c r="AF6541" i="30"/>
  <c r="AH6541" i="30" s="1"/>
  <c r="AG6543" i="30"/>
  <c r="AF6543" i="30"/>
  <c r="AH6543" i="30" s="1"/>
  <c r="AG6545" i="30"/>
  <c r="AF6545" i="30"/>
  <c r="AH6545" i="30" s="1"/>
  <c r="AG6547" i="30"/>
  <c r="AF6547" i="30"/>
  <c r="AH6547" i="30" s="1"/>
  <c r="AG6549" i="30"/>
  <c r="AF6549" i="30"/>
  <c r="AH6549" i="30" s="1"/>
  <c r="AG6551" i="30"/>
  <c r="AF6551" i="30"/>
  <c r="AH6551" i="30" s="1"/>
  <c r="AG6553" i="30"/>
  <c r="AF6553" i="30"/>
  <c r="AH6553" i="30" s="1"/>
  <c r="AG6555" i="30"/>
  <c r="AF6555" i="30"/>
  <c r="AH6555" i="30" s="1"/>
  <c r="AG6557" i="30"/>
  <c r="AF6557" i="30"/>
  <c r="AH6557" i="30" s="1"/>
  <c r="AG6559" i="30"/>
  <c r="AF6559" i="30"/>
  <c r="AH6559" i="30" s="1"/>
  <c r="AG6561" i="30"/>
  <c r="AF6561" i="30"/>
  <c r="AH6561" i="30" s="1"/>
  <c r="AG6563" i="30"/>
  <c r="AF6563" i="30"/>
  <c r="AH6563" i="30" s="1"/>
  <c r="AG6565" i="30"/>
  <c r="AF6565" i="30"/>
  <c r="AH6565" i="30" s="1"/>
  <c r="AG6567" i="30"/>
  <c r="AF6567" i="30"/>
  <c r="AH6567" i="30" s="1"/>
  <c r="AG6569" i="30"/>
  <c r="AF6569" i="30"/>
  <c r="AH6569" i="30" s="1"/>
  <c r="AG6571" i="30"/>
  <c r="AF6571" i="30"/>
  <c r="AH6571" i="30" s="1"/>
  <c r="AG6573" i="30"/>
  <c r="AF6573" i="30"/>
  <c r="AH6573" i="30" s="1"/>
  <c r="AG6575" i="30"/>
  <c r="AF6575" i="30"/>
  <c r="AH6575" i="30" s="1"/>
  <c r="AG6577" i="30"/>
  <c r="AF6577" i="30"/>
  <c r="AH6577" i="30" s="1"/>
  <c r="AG6579" i="30"/>
  <c r="AF6579" i="30"/>
  <c r="AH6579" i="30" s="1"/>
  <c r="AG6581" i="30"/>
  <c r="AF6581" i="30"/>
  <c r="AH6581" i="30" s="1"/>
  <c r="AG6583" i="30"/>
  <c r="AF6583" i="30"/>
  <c r="AH6583" i="30" s="1"/>
  <c r="AG6585" i="30"/>
  <c r="AF6585" i="30"/>
  <c r="AH6585" i="30" s="1"/>
  <c r="AG6587" i="30"/>
  <c r="AF6587" i="30"/>
  <c r="AH6587" i="30" s="1"/>
  <c r="AG6589" i="30"/>
  <c r="AF6589" i="30"/>
  <c r="AH6589" i="30" s="1"/>
  <c r="AG6591" i="30"/>
  <c r="AF6591" i="30"/>
  <c r="AH6591" i="30" s="1"/>
  <c r="AG6593" i="30"/>
  <c r="AF6593" i="30"/>
  <c r="AH6593" i="30" s="1"/>
  <c r="AG6595" i="30"/>
  <c r="AF6595" i="30"/>
  <c r="AH6595" i="30" s="1"/>
  <c r="AG6597" i="30"/>
  <c r="AF6597" i="30"/>
  <c r="AH6597" i="30" s="1"/>
  <c r="AG6599" i="30"/>
  <c r="AF6599" i="30"/>
  <c r="AH6599" i="30" s="1"/>
  <c r="AG6601" i="30"/>
  <c r="AF6601" i="30"/>
  <c r="AH6601" i="30" s="1"/>
  <c r="AG6603" i="30"/>
  <c r="AF6603" i="30"/>
  <c r="AH6603" i="30" s="1"/>
  <c r="AG6605" i="30"/>
  <c r="AF6605" i="30"/>
  <c r="AH6605" i="30" s="1"/>
  <c r="AG6607" i="30"/>
  <c r="AF6607" i="30"/>
  <c r="AH6607" i="30" s="1"/>
  <c r="AG6609" i="30"/>
  <c r="AF6609" i="30"/>
  <c r="AH6609" i="30" s="1"/>
  <c r="AG6611" i="30"/>
  <c r="AF6611" i="30"/>
  <c r="AH6611" i="30" s="1"/>
  <c r="AG6613" i="30"/>
  <c r="AF6613" i="30"/>
  <c r="AH6613" i="30" s="1"/>
  <c r="AG6615" i="30"/>
  <c r="AF6615" i="30"/>
  <c r="AH6615" i="30" s="1"/>
  <c r="AG6617" i="30"/>
  <c r="AF6617" i="30"/>
  <c r="AH6617" i="30" s="1"/>
  <c r="AG6619" i="30"/>
  <c r="AF6619" i="30"/>
  <c r="AH6619" i="30" s="1"/>
  <c r="AG6621" i="30"/>
  <c r="AF6621" i="30"/>
  <c r="AH6621" i="30" s="1"/>
  <c r="AG6623" i="30"/>
  <c r="AF6623" i="30"/>
  <c r="AH6623" i="30" s="1"/>
  <c r="AG6625" i="30"/>
  <c r="AF6625" i="30"/>
  <c r="AH6625" i="30" s="1"/>
  <c r="AG6627" i="30"/>
  <c r="AF6627" i="30"/>
  <c r="AH6627" i="30" s="1"/>
  <c r="AG6629" i="30"/>
  <c r="AF6629" i="30"/>
  <c r="AH6629" i="30" s="1"/>
  <c r="AG6631" i="30"/>
  <c r="AF6631" i="30"/>
  <c r="AH6631" i="30" s="1"/>
  <c r="AG6633" i="30"/>
  <c r="AF6633" i="30"/>
  <c r="AH6633" i="30" s="1"/>
  <c r="AG6635" i="30"/>
  <c r="AF6635" i="30"/>
  <c r="AH6635" i="30" s="1"/>
  <c r="AG6637" i="30"/>
  <c r="AF6637" i="30"/>
  <c r="AH6637" i="30" s="1"/>
  <c r="AG6639" i="30"/>
  <c r="AF6639" i="30"/>
  <c r="AH6639" i="30" s="1"/>
  <c r="AG6641" i="30"/>
  <c r="AF6641" i="30"/>
  <c r="AH6641" i="30" s="1"/>
  <c r="AG6643" i="30"/>
  <c r="AF6643" i="30"/>
  <c r="AH6643" i="30" s="1"/>
  <c r="AG6645" i="30"/>
  <c r="AF6645" i="30"/>
  <c r="AH6645" i="30" s="1"/>
  <c r="AG6647" i="30"/>
  <c r="AF6647" i="30"/>
  <c r="AH6647" i="30" s="1"/>
  <c r="AG6649" i="30"/>
  <c r="AF6649" i="30"/>
  <c r="AH6649" i="30" s="1"/>
  <c r="AG6651" i="30"/>
  <c r="AF6651" i="30"/>
  <c r="AH6651" i="30" s="1"/>
  <c r="AG6653" i="30"/>
  <c r="AF6653" i="30"/>
  <c r="AH6653" i="30" s="1"/>
  <c r="AG6655" i="30"/>
  <c r="AF6655" i="30"/>
  <c r="AH6655" i="30" s="1"/>
  <c r="AG6657" i="30"/>
  <c r="AF6657" i="30"/>
  <c r="AH6657" i="30" s="1"/>
  <c r="AG6659" i="30"/>
  <c r="AF6659" i="30"/>
  <c r="AH6659" i="30" s="1"/>
  <c r="AG6661" i="30"/>
  <c r="AF6661" i="30"/>
  <c r="AH6661" i="30" s="1"/>
  <c r="AG6663" i="30"/>
  <c r="AF6663" i="30"/>
  <c r="AH6663" i="30" s="1"/>
  <c r="AG6665" i="30"/>
  <c r="AF6665" i="30"/>
  <c r="AH6665" i="30" s="1"/>
  <c r="AG6667" i="30"/>
  <c r="AF6667" i="30"/>
  <c r="AH6667" i="30" s="1"/>
  <c r="AG6669" i="30"/>
  <c r="AF6669" i="30"/>
  <c r="AH6669" i="30" s="1"/>
  <c r="AG6671" i="30"/>
  <c r="AF6671" i="30"/>
  <c r="AH6671" i="30" s="1"/>
  <c r="AG6673" i="30"/>
  <c r="AF6673" i="30"/>
  <c r="AH6673" i="30" s="1"/>
  <c r="AG6675" i="30"/>
  <c r="AF6675" i="30"/>
  <c r="AH6675" i="30" s="1"/>
  <c r="AG6677" i="30"/>
  <c r="AF6677" i="30"/>
  <c r="AH6677" i="30" s="1"/>
  <c r="AG6679" i="30"/>
  <c r="AF6679" i="30"/>
  <c r="AH6679" i="30" s="1"/>
  <c r="AG6681" i="30"/>
  <c r="AF6681" i="30"/>
  <c r="AH6681" i="30" s="1"/>
  <c r="AG6683" i="30"/>
  <c r="AF6683" i="30"/>
  <c r="AH6683" i="30" s="1"/>
  <c r="AG6685" i="30"/>
  <c r="AF6685" i="30"/>
  <c r="AH6685" i="30" s="1"/>
  <c r="AG6687" i="30"/>
  <c r="AF6687" i="30"/>
  <c r="AH6687" i="30" s="1"/>
  <c r="AG6689" i="30"/>
  <c r="AF6689" i="30"/>
  <c r="AH6689" i="30" s="1"/>
  <c r="AG6691" i="30"/>
  <c r="AF6691" i="30"/>
  <c r="AH6691" i="30" s="1"/>
  <c r="AG6693" i="30"/>
  <c r="AF6693" i="30"/>
  <c r="AH6693" i="30" s="1"/>
  <c r="AG6695" i="30"/>
  <c r="AF6695" i="30"/>
  <c r="AH6695" i="30" s="1"/>
  <c r="AG6697" i="30"/>
  <c r="AF6697" i="30"/>
  <c r="AH6697" i="30" s="1"/>
  <c r="AG6699" i="30"/>
  <c r="AF6699" i="30"/>
  <c r="AH6699" i="30" s="1"/>
  <c r="AG6701" i="30"/>
  <c r="AF6701" i="30"/>
  <c r="AH6701" i="30" s="1"/>
  <c r="AG6703" i="30"/>
  <c r="AF6703" i="30"/>
  <c r="AH6703" i="30" s="1"/>
  <c r="AG6705" i="30"/>
  <c r="AF6705" i="30"/>
  <c r="AH6705" i="30" s="1"/>
  <c r="AG6707" i="30"/>
  <c r="AF6707" i="30"/>
  <c r="AH6707" i="30" s="1"/>
  <c r="AG6709" i="30"/>
  <c r="AF6709" i="30"/>
  <c r="AH6709" i="30" s="1"/>
  <c r="AG6711" i="30"/>
  <c r="AF6711" i="30"/>
  <c r="AH6711" i="30" s="1"/>
  <c r="AG6713" i="30"/>
  <c r="AF6713" i="30"/>
  <c r="AH6713" i="30" s="1"/>
  <c r="AG6715" i="30"/>
  <c r="AF6715" i="30"/>
  <c r="AH6715" i="30" s="1"/>
  <c r="AG6717" i="30"/>
  <c r="AF6717" i="30"/>
  <c r="AH6717" i="30" s="1"/>
  <c r="AG6719" i="30"/>
  <c r="AF6719" i="30"/>
  <c r="AH6719" i="30" s="1"/>
  <c r="AG6721" i="30"/>
  <c r="AF6721" i="30"/>
  <c r="AH6721" i="30" s="1"/>
  <c r="AG6723" i="30"/>
  <c r="AF6723" i="30"/>
  <c r="AH6723" i="30" s="1"/>
  <c r="AG6725" i="30"/>
  <c r="AF6725" i="30"/>
  <c r="AH6725" i="30" s="1"/>
  <c r="AG6727" i="30"/>
  <c r="AF6727" i="30"/>
  <c r="AH6727" i="30" s="1"/>
  <c r="AG6729" i="30"/>
  <c r="AF6729" i="30"/>
  <c r="AH6729" i="30" s="1"/>
  <c r="AG6731" i="30"/>
  <c r="AF6731" i="30"/>
  <c r="AH6731" i="30" s="1"/>
  <c r="AG6733" i="30"/>
  <c r="AF6733" i="30"/>
  <c r="AH6733" i="30" s="1"/>
  <c r="AG6735" i="30"/>
  <c r="AF6735" i="30"/>
  <c r="AH6735" i="30" s="1"/>
  <c r="AG6737" i="30"/>
  <c r="AF6737" i="30"/>
  <c r="AH6737" i="30" s="1"/>
  <c r="AG6739" i="30"/>
  <c r="AF6739" i="30"/>
  <c r="AH6739" i="30" s="1"/>
  <c r="AG6741" i="30"/>
  <c r="AF6741" i="30"/>
  <c r="AH6741" i="30" s="1"/>
  <c r="AG6743" i="30"/>
  <c r="AF6743" i="30"/>
  <c r="AH6743" i="30" s="1"/>
  <c r="AG6745" i="30"/>
  <c r="AF6745" i="30"/>
  <c r="AH6745" i="30" s="1"/>
  <c r="AG6747" i="30"/>
  <c r="AF6747" i="30"/>
  <c r="AH6747" i="30" s="1"/>
  <c r="AG6749" i="30"/>
  <c r="AF6749" i="30"/>
  <c r="AH6749" i="30" s="1"/>
  <c r="AG6751" i="30"/>
  <c r="AF6751" i="30"/>
  <c r="AH6751" i="30" s="1"/>
  <c r="AG6753" i="30"/>
  <c r="AF6753" i="30"/>
  <c r="AH6753" i="30" s="1"/>
  <c r="AG6755" i="30"/>
  <c r="AF6755" i="30"/>
  <c r="AH6755" i="30" s="1"/>
  <c r="AG6757" i="30"/>
  <c r="AF6757" i="30"/>
  <c r="AH6757" i="30" s="1"/>
  <c r="AG6759" i="30"/>
  <c r="AF6759" i="30"/>
  <c r="AH6759" i="30" s="1"/>
  <c r="AG6761" i="30"/>
  <c r="AF6761" i="30"/>
  <c r="AH6761" i="30" s="1"/>
  <c r="AG6763" i="30"/>
  <c r="AF6763" i="30"/>
  <c r="AH6763" i="30" s="1"/>
  <c r="AG6765" i="30"/>
  <c r="AF6765" i="30"/>
  <c r="AH6765" i="30" s="1"/>
  <c r="AG6767" i="30"/>
  <c r="AF6767" i="30"/>
  <c r="AH6767" i="30" s="1"/>
  <c r="AG6769" i="30"/>
  <c r="AF6769" i="30"/>
  <c r="AH6769" i="30" s="1"/>
  <c r="AG6771" i="30"/>
  <c r="AF6771" i="30"/>
  <c r="AH6771" i="30" s="1"/>
  <c r="AG6773" i="30"/>
  <c r="AF6773" i="30"/>
  <c r="AH6773" i="30" s="1"/>
  <c r="AG6775" i="30"/>
  <c r="AF6775" i="30"/>
  <c r="AH6775" i="30" s="1"/>
  <c r="AG6777" i="30"/>
  <c r="AF6777" i="30"/>
  <c r="AH6777" i="30" s="1"/>
  <c r="AG6779" i="30"/>
  <c r="AF6779" i="30"/>
  <c r="AH6779" i="30" s="1"/>
  <c r="AG6781" i="30"/>
  <c r="AF6781" i="30"/>
  <c r="AH6781" i="30" s="1"/>
  <c r="AG6783" i="30"/>
  <c r="AF6783" i="30"/>
  <c r="AH6783" i="30" s="1"/>
  <c r="AG6785" i="30"/>
  <c r="AF6785" i="30"/>
  <c r="AH6785" i="30" s="1"/>
  <c r="AG6787" i="30"/>
  <c r="AF6787" i="30"/>
  <c r="AH6787" i="30" s="1"/>
  <c r="AG6789" i="30"/>
  <c r="AF6789" i="30"/>
  <c r="AH6789" i="30" s="1"/>
  <c r="AG6791" i="30"/>
  <c r="AF6791" i="30"/>
  <c r="AH6791" i="30" s="1"/>
  <c r="AG6793" i="30"/>
  <c r="AF6793" i="30"/>
  <c r="AH6793" i="30" s="1"/>
  <c r="AG6795" i="30"/>
  <c r="AF6795" i="30"/>
  <c r="AH6795" i="30" s="1"/>
  <c r="AG6797" i="30"/>
  <c r="AF6797" i="30"/>
  <c r="AH6797" i="30" s="1"/>
  <c r="AG6799" i="30"/>
  <c r="AF6799" i="30"/>
  <c r="AH6799" i="30" s="1"/>
  <c r="AG6801" i="30"/>
  <c r="AF6801" i="30"/>
  <c r="AH6801" i="30" s="1"/>
  <c r="AG6803" i="30"/>
  <c r="AF6803" i="30"/>
  <c r="AH6803" i="30" s="1"/>
  <c r="AG6805" i="30"/>
  <c r="AF6805" i="30"/>
  <c r="AH6805" i="30" s="1"/>
  <c r="AG6807" i="30"/>
  <c r="AF6807" i="30"/>
  <c r="AH6807" i="30" s="1"/>
  <c r="AG6809" i="30"/>
  <c r="AF6809" i="30"/>
  <c r="AH6809" i="30" s="1"/>
  <c r="AG6811" i="30"/>
  <c r="AF6811" i="30"/>
  <c r="AH6811" i="30" s="1"/>
  <c r="AG6813" i="30"/>
  <c r="AF6813" i="30"/>
  <c r="AH6813" i="30" s="1"/>
  <c r="AG6815" i="30"/>
  <c r="AF6815" i="30"/>
  <c r="AH6815" i="30" s="1"/>
  <c r="AG6817" i="30"/>
  <c r="AF6817" i="30"/>
  <c r="AH6817" i="30" s="1"/>
  <c r="AG6819" i="30"/>
  <c r="AF6819" i="30"/>
  <c r="AH6819" i="30" s="1"/>
  <c r="AG6821" i="30"/>
  <c r="AF6821" i="30"/>
  <c r="AH6821" i="30" s="1"/>
  <c r="AG6823" i="30"/>
  <c r="AF6823" i="30"/>
  <c r="AH6823" i="30" s="1"/>
  <c r="AG6825" i="30"/>
  <c r="AF6825" i="30"/>
  <c r="AH6825" i="30" s="1"/>
  <c r="AG6827" i="30"/>
  <c r="AF6827" i="30"/>
  <c r="AH6827" i="30" s="1"/>
  <c r="AG6829" i="30"/>
  <c r="AF6829" i="30"/>
  <c r="AH6829" i="30" s="1"/>
  <c r="AG6831" i="30"/>
  <c r="AF6831" i="30"/>
  <c r="AH6831" i="30" s="1"/>
  <c r="AG6833" i="30"/>
  <c r="AF6833" i="30"/>
  <c r="AH6833" i="30" s="1"/>
  <c r="AG6835" i="30"/>
  <c r="AF6835" i="30"/>
  <c r="AH6835" i="30" s="1"/>
  <c r="AG6837" i="30"/>
  <c r="AF6837" i="30"/>
  <c r="AH6837" i="30" s="1"/>
  <c r="AG6839" i="30"/>
  <c r="AF6839" i="30"/>
  <c r="AH6839" i="30" s="1"/>
  <c r="AG6841" i="30"/>
  <c r="AF6841" i="30"/>
  <c r="AH6841" i="30" s="1"/>
  <c r="AG6843" i="30"/>
  <c r="AF6843" i="30"/>
  <c r="AH6843" i="30" s="1"/>
  <c r="AG6845" i="30"/>
  <c r="AF6845" i="30"/>
  <c r="AH6845" i="30" s="1"/>
  <c r="AG6847" i="30"/>
  <c r="AF6847" i="30"/>
  <c r="AH6847" i="30" s="1"/>
  <c r="AG6849" i="30"/>
  <c r="AF6849" i="30"/>
  <c r="AH6849" i="30" s="1"/>
  <c r="AG6851" i="30"/>
  <c r="AF6851" i="30"/>
  <c r="AH6851" i="30" s="1"/>
  <c r="AG6853" i="30"/>
  <c r="AF6853" i="30"/>
  <c r="AH6853" i="30" s="1"/>
  <c r="AG6855" i="30"/>
  <c r="AF6855" i="30"/>
  <c r="AH6855" i="30" s="1"/>
  <c r="AG6857" i="30"/>
  <c r="AF6857" i="30"/>
  <c r="AH6857" i="30" s="1"/>
  <c r="AG6859" i="30"/>
  <c r="AF6859" i="30"/>
  <c r="AH6859" i="30" s="1"/>
  <c r="AG6861" i="30"/>
  <c r="AF6861" i="30"/>
  <c r="AH6861" i="30" s="1"/>
  <c r="AG6863" i="30"/>
  <c r="AF6863" i="30"/>
  <c r="AH6863" i="30" s="1"/>
  <c r="AG6865" i="30"/>
  <c r="AF6865" i="30"/>
  <c r="AH6865" i="30" s="1"/>
  <c r="AG6867" i="30"/>
  <c r="AF6867" i="30"/>
  <c r="AH6867" i="30" s="1"/>
  <c r="AG6869" i="30"/>
  <c r="AF6869" i="30"/>
  <c r="AH6869" i="30" s="1"/>
  <c r="AG6871" i="30"/>
  <c r="AF6871" i="30"/>
  <c r="AH6871" i="30" s="1"/>
  <c r="AG6873" i="30"/>
  <c r="AF6873" i="30"/>
  <c r="AH6873" i="30" s="1"/>
  <c r="AG6875" i="30"/>
  <c r="AF6875" i="30"/>
  <c r="AH6875" i="30" s="1"/>
  <c r="AG6877" i="30"/>
  <c r="AF6877" i="30"/>
  <c r="AH6877" i="30" s="1"/>
  <c r="AG6879" i="30"/>
  <c r="AF6879" i="30"/>
  <c r="AH6879" i="30" s="1"/>
  <c r="AG6881" i="30"/>
  <c r="AF6881" i="30"/>
  <c r="AH6881" i="30" s="1"/>
  <c r="AG6883" i="30"/>
  <c r="AF6883" i="30"/>
  <c r="AH6883" i="30" s="1"/>
  <c r="AG6885" i="30"/>
  <c r="AF6885" i="30"/>
  <c r="AH6885" i="30" s="1"/>
  <c r="AG6887" i="30"/>
  <c r="AF6887" i="30"/>
  <c r="AH6887" i="30" s="1"/>
  <c r="AG6889" i="30"/>
  <c r="AF6889" i="30"/>
  <c r="AH6889" i="30" s="1"/>
  <c r="AG6891" i="30"/>
  <c r="AF6891" i="30"/>
  <c r="AH6891" i="30" s="1"/>
  <c r="AG6893" i="30"/>
  <c r="AF6893" i="30"/>
  <c r="AH6893" i="30" s="1"/>
  <c r="AG6895" i="30"/>
  <c r="AF6895" i="30"/>
  <c r="AH6895" i="30" s="1"/>
  <c r="AG6897" i="30"/>
  <c r="AF6897" i="30"/>
  <c r="AH6897" i="30" s="1"/>
  <c r="AG6899" i="30"/>
  <c r="AF6899" i="30"/>
  <c r="AH6899" i="30" s="1"/>
  <c r="AG6901" i="30"/>
  <c r="AF6901" i="30"/>
  <c r="AH6901" i="30" s="1"/>
  <c r="AG6903" i="30"/>
  <c r="AF6903" i="30"/>
  <c r="AH6903" i="30" s="1"/>
  <c r="AG6905" i="30"/>
  <c r="AF6905" i="30"/>
  <c r="AH6905" i="30" s="1"/>
  <c r="AG6907" i="30"/>
  <c r="AF6907" i="30"/>
  <c r="AH6907" i="30" s="1"/>
  <c r="AG6909" i="30"/>
  <c r="AF6909" i="30"/>
  <c r="AH6909" i="30" s="1"/>
  <c r="AG6911" i="30"/>
  <c r="AF6911" i="30"/>
  <c r="AH6911" i="30" s="1"/>
  <c r="AG7476" i="30"/>
  <c r="AF7476" i="30"/>
  <c r="AH7476" i="30" s="1"/>
  <c r="AG7478" i="30"/>
  <c r="AF7478" i="30"/>
  <c r="AH7478" i="30" s="1"/>
  <c r="AG7480" i="30"/>
  <c r="AF7480" i="30"/>
  <c r="AH7480" i="30" s="1"/>
  <c r="AG7482" i="30"/>
  <c r="AF7482" i="30"/>
  <c r="AH7482" i="30" s="1"/>
  <c r="AG7484" i="30"/>
  <c r="AF7484" i="30"/>
  <c r="AH7484" i="30" s="1"/>
  <c r="AG7486" i="30"/>
  <c r="AF7486" i="30"/>
  <c r="AH7486" i="30" s="1"/>
  <c r="AG7488" i="30"/>
  <c r="AF7488" i="30"/>
  <c r="AH7488" i="30" s="1"/>
  <c r="AG7490" i="30"/>
  <c r="AF7490" i="30"/>
  <c r="AH7490" i="30" s="1"/>
  <c r="AG7492" i="30"/>
  <c r="AF7492" i="30"/>
  <c r="AH7492" i="30" s="1"/>
  <c r="AG7494" i="30"/>
  <c r="AF7494" i="30"/>
  <c r="AH7494" i="30" s="1"/>
  <c r="AG7496" i="30"/>
  <c r="AF7496" i="30"/>
  <c r="AH7496" i="30" s="1"/>
  <c r="AG7498" i="30"/>
  <c r="AF7498" i="30"/>
  <c r="AH7498" i="30" s="1"/>
  <c r="AG7500" i="30"/>
  <c r="AF7500" i="30"/>
  <c r="AH7500" i="30" s="1"/>
  <c r="AG7502" i="30"/>
  <c r="AF7502" i="30"/>
  <c r="AH7502" i="30" s="1"/>
  <c r="AG7504" i="30"/>
  <c r="AF7504" i="30"/>
  <c r="AH7504" i="30" s="1"/>
  <c r="AG7506" i="30"/>
  <c r="AF7506" i="30"/>
  <c r="AH7506" i="30" s="1"/>
  <c r="AG7508" i="30"/>
  <c r="AF7508" i="30"/>
  <c r="AH7508" i="30" s="1"/>
  <c r="AG7510" i="30"/>
  <c r="AF7510" i="30"/>
  <c r="AH7510" i="30" s="1"/>
  <c r="AG7512" i="30"/>
  <c r="AF7512" i="30"/>
  <c r="AH7512" i="30" s="1"/>
  <c r="AG7514" i="30"/>
  <c r="AF7514" i="30"/>
  <c r="AH7514" i="30" s="1"/>
  <c r="AG7516" i="30"/>
  <c r="AF7516" i="30"/>
  <c r="AH7516" i="30" s="1"/>
  <c r="AG7518" i="30"/>
  <c r="AF7518" i="30"/>
  <c r="AH7518" i="30" s="1"/>
  <c r="AG7520" i="30"/>
  <c r="AF7520" i="30"/>
  <c r="AH7520" i="30" s="1"/>
  <c r="AG7522" i="30"/>
  <c r="AF7522" i="30"/>
  <c r="AH7522" i="30" s="1"/>
  <c r="AG7524" i="30"/>
  <c r="AF7524" i="30"/>
  <c r="AH7524" i="30" s="1"/>
  <c r="AG7526" i="30"/>
  <c r="AF7526" i="30"/>
  <c r="AH7526" i="30" s="1"/>
  <c r="AG7528" i="30"/>
  <c r="AF7528" i="30"/>
  <c r="AH7528" i="30" s="1"/>
  <c r="AG7530" i="30"/>
  <c r="AF7530" i="30"/>
  <c r="AH7530" i="30" s="1"/>
  <c r="AG7532" i="30"/>
  <c r="AF7532" i="30"/>
  <c r="AH7532" i="30" s="1"/>
  <c r="AG7534" i="30"/>
  <c r="AF7534" i="30"/>
  <c r="AH7534" i="30" s="1"/>
  <c r="AG7536" i="30"/>
  <c r="AF7536" i="30"/>
  <c r="AH7536" i="30" s="1"/>
  <c r="AG7538" i="30"/>
  <c r="AF7538" i="30"/>
  <c r="AH7538" i="30" s="1"/>
  <c r="AG7540" i="30"/>
  <c r="AF7540" i="30"/>
  <c r="AH7540" i="30" s="1"/>
  <c r="AG7542" i="30"/>
  <c r="AF7542" i="30"/>
  <c r="AH7542" i="30" s="1"/>
  <c r="AG7544" i="30"/>
  <c r="AF7544" i="30"/>
  <c r="AH7544" i="30" s="1"/>
  <c r="AG7546" i="30"/>
  <c r="AF7546" i="30"/>
  <c r="AH7546" i="30" s="1"/>
  <c r="AG7548" i="30"/>
  <c r="AF7548" i="30"/>
  <c r="AH7548" i="30" s="1"/>
  <c r="AG7550" i="30"/>
  <c r="AF7550" i="30"/>
  <c r="AH7550" i="30" s="1"/>
  <c r="AG7552" i="30"/>
  <c r="AF7552" i="30"/>
  <c r="AH7552" i="30" s="1"/>
  <c r="AG7554" i="30"/>
  <c r="AF7554" i="30"/>
  <c r="AH7554" i="30" s="1"/>
  <c r="AG7556" i="30"/>
  <c r="AF7556" i="30"/>
  <c r="AH7556" i="30" s="1"/>
  <c r="AG7558" i="30"/>
  <c r="AF7558" i="30"/>
  <c r="AH7558" i="30" s="1"/>
  <c r="AG7560" i="30"/>
  <c r="AF7560" i="30"/>
  <c r="AH7560" i="30" s="1"/>
  <c r="AG7562" i="30"/>
  <c r="AF7562" i="30"/>
  <c r="AH7562" i="30" s="1"/>
  <c r="AG7564" i="30"/>
  <c r="AF7564" i="30"/>
  <c r="AH7564" i="30" s="1"/>
  <c r="AG7566" i="30"/>
  <c r="AF7566" i="30"/>
  <c r="AH7566" i="30" s="1"/>
  <c r="AG7568" i="30"/>
  <c r="AF7568" i="30"/>
  <c r="AH7568" i="30" s="1"/>
  <c r="AG7570" i="30"/>
  <c r="AF7570" i="30"/>
  <c r="AH7570" i="30" s="1"/>
  <c r="AG7572" i="30"/>
  <c r="AF7572" i="30"/>
  <c r="AH7572" i="30" s="1"/>
  <c r="AG7574" i="30"/>
  <c r="AF7574" i="30"/>
  <c r="AH7574" i="30" s="1"/>
  <c r="AG7576" i="30"/>
  <c r="AF7576" i="30"/>
  <c r="AH7576" i="30" s="1"/>
  <c r="AG7578" i="30"/>
  <c r="AF7578" i="30"/>
  <c r="AH7578" i="30" s="1"/>
  <c r="AG7580" i="30"/>
  <c r="AF7580" i="30"/>
  <c r="AH7580" i="30" s="1"/>
  <c r="AG7582" i="30"/>
  <c r="AF7582" i="30"/>
  <c r="AH7582" i="30" s="1"/>
  <c r="AG7584" i="30"/>
  <c r="AF7584" i="30"/>
  <c r="AH7584" i="30" s="1"/>
  <c r="AG7586" i="30"/>
  <c r="AF7586" i="30"/>
  <c r="AH7586" i="30" s="1"/>
  <c r="AG7588" i="30"/>
  <c r="AF7588" i="30"/>
  <c r="AH7588" i="30" s="1"/>
  <c r="AG7590" i="30"/>
  <c r="AF7590" i="30"/>
  <c r="AH7590" i="30" s="1"/>
  <c r="AG7592" i="30"/>
  <c r="AF7592" i="30"/>
  <c r="AH7592" i="30" s="1"/>
  <c r="AG7594" i="30"/>
  <c r="AF7594" i="30"/>
  <c r="AH7594" i="30" s="1"/>
  <c r="AG7596" i="30"/>
  <c r="AF7596" i="30"/>
  <c r="AH7596" i="30" s="1"/>
  <c r="AG7598" i="30"/>
  <c r="AF7598" i="30"/>
  <c r="AH7598" i="30" s="1"/>
  <c r="AG7600" i="30"/>
  <c r="AF7600" i="30"/>
  <c r="AH7600" i="30" s="1"/>
  <c r="AG7602" i="30"/>
  <c r="AF7602" i="30"/>
  <c r="AH7602" i="30" s="1"/>
  <c r="AG7604" i="30"/>
  <c r="AF7604" i="30"/>
  <c r="AH7604" i="30" s="1"/>
  <c r="AG7606" i="30"/>
  <c r="AF7606" i="30"/>
  <c r="AH7606" i="30" s="1"/>
  <c r="AG7608" i="30"/>
  <c r="AF7608" i="30"/>
  <c r="AH7608" i="30" s="1"/>
  <c r="AG7610" i="30"/>
  <c r="AF7610" i="30"/>
  <c r="AH7610" i="30" s="1"/>
  <c r="AG7612" i="30"/>
  <c r="AF7612" i="30"/>
  <c r="AH7612" i="30" s="1"/>
  <c r="AG7614" i="30"/>
  <c r="AF7614" i="30"/>
  <c r="AH7614" i="30" s="1"/>
  <c r="AG7616" i="30"/>
  <c r="AF7616" i="30"/>
  <c r="AH7616" i="30" s="1"/>
  <c r="AG7618" i="30"/>
  <c r="AF7618" i="30"/>
  <c r="AH7618" i="30" s="1"/>
  <c r="AG7620" i="30"/>
  <c r="AF7620" i="30"/>
  <c r="AH7620" i="30" s="1"/>
  <c r="AG7622" i="30"/>
  <c r="AF7622" i="30"/>
  <c r="AH7622" i="30" s="1"/>
  <c r="AG7624" i="30"/>
  <c r="AF7624" i="30"/>
  <c r="AH7624" i="30" s="1"/>
  <c r="AG7626" i="30"/>
  <c r="AF7626" i="30"/>
  <c r="AH7626" i="30" s="1"/>
  <c r="AG7628" i="30"/>
  <c r="AF7628" i="30"/>
  <c r="AH7628" i="30" s="1"/>
  <c r="AG7630" i="30"/>
  <c r="AF7630" i="30"/>
  <c r="AH7630" i="30" s="1"/>
  <c r="AG7632" i="30"/>
  <c r="AF7632" i="30"/>
  <c r="AH7632" i="30" s="1"/>
  <c r="AG7634" i="30"/>
  <c r="AF7634" i="30"/>
  <c r="AH7634" i="30" s="1"/>
  <c r="AG7636" i="30"/>
  <c r="AF7636" i="30"/>
  <c r="AH7636" i="30" s="1"/>
  <c r="AG7638" i="30"/>
  <c r="AF7638" i="30"/>
  <c r="AH7638" i="30" s="1"/>
  <c r="AG7640" i="30"/>
  <c r="AF7640" i="30"/>
  <c r="AH7640" i="30" s="1"/>
  <c r="AG7642" i="30"/>
  <c r="AF7642" i="30"/>
  <c r="AH7642" i="30" s="1"/>
  <c r="AG7644" i="30"/>
  <c r="AF7644" i="30"/>
  <c r="AH7644" i="30" s="1"/>
  <c r="AG7646" i="30"/>
  <c r="AF7646" i="30"/>
  <c r="AH7646" i="30" s="1"/>
  <c r="AG7648" i="30"/>
  <c r="AF7648" i="30"/>
  <c r="AH7648" i="30" s="1"/>
  <c r="AG7650" i="30"/>
  <c r="AF7650" i="30"/>
  <c r="AH7650" i="30" s="1"/>
  <c r="AG7652" i="30"/>
  <c r="AF7652" i="30"/>
  <c r="AH7652" i="30" s="1"/>
  <c r="AG7654" i="30"/>
  <c r="AF7654" i="30"/>
  <c r="AH7654" i="30" s="1"/>
  <c r="AG7656" i="30"/>
  <c r="AF7656" i="30"/>
  <c r="AH7656" i="30" s="1"/>
  <c r="AG7658" i="30"/>
  <c r="AF7658" i="30"/>
  <c r="AH7658" i="30" s="1"/>
  <c r="AG7660" i="30"/>
  <c r="AF7660" i="30"/>
  <c r="AH7660" i="30" s="1"/>
  <c r="AG7662" i="30"/>
  <c r="AF7662" i="30"/>
  <c r="AH7662" i="30" s="1"/>
  <c r="AG7664" i="30"/>
  <c r="AF7664" i="30"/>
  <c r="AH7664" i="30" s="1"/>
  <c r="AG7666" i="30"/>
  <c r="AF7666" i="30"/>
  <c r="AH7666" i="30" s="1"/>
  <c r="AG7668" i="30"/>
  <c r="AF7668" i="30"/>
  <c r="AH7668" i="30" s="1"/>
  <c r="AG7670" i="30"/>
  <c r="AF7670" i="30"/>
  <c r="AH7670" i="30" s="1"/>
  <c r="AG7672" i="30"/>
  <c r="AF7672" i="30"/>
  <c r="AH7672" i="30" s="1"/>
  <c r="AG7674" i="30"/>
  <c r="AF7674" i="30"/>
  <c r="AH7674" i="30" s="1"/>
  <c r="AG7676" i="30"/>
  <c r="AF7676" i="30"/>
  <c r="AH7676" i="30" s="1"/>
  <c r="AG7678" i="30"/>
  <c r="AF7678" i="30"/>
  <c r="AH7678" i="30" s="1"/>
  <c r="AG7680" i="30"/>
  <c r="AF7680" i="30"/>
  <c r="AH7680" i="30" s="1"/>
  <c r="AG7682" i="30"/>
  <c r="AF7682" i="30"/>
  <c r="AH7682" i="30" s="1"/>
  <c r="AG7684" i="30"/>
  <c r="AF7684" i="30"/>
  <c r="AH7684" i="30" s="1"/>
  <c r="AG7686" i="30"/>
  <c r="AF7686" i="30"/>
  <c r="AH7686" i="30" s="1"/>
  <c r="AG7688" i="30"/>
  <c r="AF7688" i="30"/>
  <c r="AH7688" i="30" s="1"/>
  <c r="AG7690" i="30"/>
  <c r="AF7690" i="30"/>
  <c r="AH7690" i="30" s="1"/>
  <c r="AG7692" i="30"/>
  <c r="AF7692" i="30"/>
  <c r="AH7692" i="30" s="1"/>
  <c r="AG7694" i="30"/>
  <c r="AF7694" i="30"/>
  <c r="AH7694" i="30" s="1"/>
  <c r="AG7696" i="30"/>
  <c r="AF7696" i="30"/>
  <c r="AH7696" i="30" s="1"/>
  <c r="AG7698" i="30"/>
  <c r="AF7698" i="30"/>
  <c r="AH7698" i="30" s="1"/>
  <c r="AG7700" i="30"/>
  <c r="AF7700" i="30"/>
  <c r="AH7700" i="30" s="1"/>
  <c r="AG7702" i="30"/>
  <c r="AF7702" i="30"/>
  <c r="AH7702" i="30" s="1"/>
  <c r="AG7704" i="30"/>
  <c r="AF7704" i="30"/>
  <c r="AH7704" i="30" s="1"/>
  <c r="AG7706" i="30"/>
  <c r="AF7706" i="30"/>
  <c r="AH7706" i="30" s="1"/>
  <c r="AG7708" i="30"/>
  <c r="AF7708" i="30"/>
  <c r="AH7708" i="30" s="1"/>
  <c r="AG7710" i="30"/>
  <c r="AF7710" i="30"/>
  <c r="AH7710" i="30" s="1"/>
  <c r="AG7712" i="30"/>
  <c r="AF7712" i="30"/>
  <c r="AH7712" i="30" s="1"/>
  <c r="AG7714" i="30"/>
  <c r="AF7714" i="30"/>
  <c r="AH7714" i="30" s="1"/>
  <c r="AG7716" i="30"/>
  <c r="AF7716" i="30"/>
  <c r="AH7716" i="30" s="1"/>
  <c r="AG7718" i="30"/>
  <c r="AF7718" i="30"/>
  <c r="AH7718" i="30" s="1"/>
  <c r="AG7720" i="30"/>
  <c r="AF7720" i="30"/>
  <c r="AH7720" i="30" s="1"/>
  <c r="AG7722" i="30"/>
  <c r="AF7722" i="30"/>
  <c r="AH7722" i="30" s="1"/>
  <c r="AG7724" i="30"/>
  <c r="AF7724" i="30"/>
  <c r="AH7724" i="30" s="1"/>
  <c r="AG7726" i="30"/>
  <c r="AF7726" i="30"/>
  <c r="AH7726" i="30" s="1"/>
  <c r="AG7728" i="30"/>
  <c r="AF7728" i="30"/>
  <c r="AH7728" i="30" s="1"/>
  <c r="AG7730" i="30"/>
  <c r="AF7730" i="30"/>
  <c r="AH7730" i="30" s="1"/>
  <c r="AG7732" i="30"/>
  <c r="AF7732" i="30"/>
  <c r="AH7732" i="30" s="1"/>
  <c r="AG7734" i="30"/>
  <c r="AF7734" i="30"/>
  <c r="AH7734" i="30" s="1"/>
  <c r="AG7736" i="30"/>
  <c r="AF7736" i="30"/>
  <c r="AH7736" i="30" s="1"/>
  <c r="AG7738" i="30"/>
  <c r="AF7738" i="30"/>
  <c r="AH7738" i="30" s="1"/>
  <c r="AG7740" i="30"/>
  <c r="AF7740" i="30"/>
  <c r="AH7740" i="30" s="1"/>
  <c r="AG7742" i="30"/>
  <c r="AF7742" i="30"/>
  <c r="AH7742" i="30" s="1"/>
  <c r="AG7744" i="30"/>
  <c r="AF7744" i="30"/>
  <c r="AH7744" i="30" s="1"/>
  <c r="AG7746" i="30"/>
  <c r="AF7746" i="30"/>
  <c r="AH7746" i="30" s="1"/>
  <c r="AG7748" i="30"/>
  <c r="AF7748" i="30"/>
  <c r="AH7748" i="30" s="1"/>
  <c r="AG7750" i="30"/>
  <c r="AF7750" i="30"/>
  <c r="AH7750" i="30" s="1"/>
  <c r="AG7752" i="30"/>
  <c r="AF7752" i="30"/>
  <c r="AH7752" i="30" s="1"/>
  <c r="AG7754" i="30"/>
  <c r="AF7754" i="30"/>
  <c r="AH7754" i="30" s="1"/>
  <c r="AG7756" i="30"/>
  <c r="AF7756" i="30"/>
  <c r="AH7756" i="30" s="1"/>
  <c r="AG7758" i="30"/>
  <c r="AF7758" i="30"/>
  <c r="AH7758" i="30" s="1"/>
  <c r="AG7760" i="30"/>
  <c r="AF7760" i="30"/>
  <c r="AH7760" i="30" s="1"/>
  <c r="AG7762" i="30"/>
  <c r="AF7762" i="30"/>
  <c r="AH7762" i="30" s="1"/>
  <c r="AG7764" i="30"/>
  <c r="AF7764" i="30"/>
  <c r="AH7764" i="30" s="1"/>
  <c r="AG7766" i="30"/>
  <c r="AF7766" i="30"/>
  <c r="AH7766" i="30" s="1"/>
  <c r="AG7768" i="30"/>
  <c r="AF7768" i="30"/>
  <c r="AH7768" i="30" s="1"/>
  <c r="AG7770" i="30"/>
  <c r="AF7770" i="30"/>
  <c r="AH7770" i="30" s="1"/>
  <c r="AG7772" i="30"/>
  <c r="AF7772" i="30"/>
  <c r="AH7772" i="30" s="1"/>
  <c r="AG7774" i="30"/>
  <c r="AF7774" i="30"/>
  <c r="AH7774" i="30" s="1"/>
  <c r="AG7776" i="30"/>
  <c r="AF7776" i="30"/>
  <c r="AH7776" i="30" s="1"/>
  <c r="AG7778" i="30"/>
  <c r="AF7778" i="30"/>
  <c r="AH7778" i="30" s="1"/>
  <c r="AG7780" i="30"/>
  <c r="AF7780" i="30"/>
  <c r="AH7780" i="30" s="1"/>
  <c r="AG7782" i="30"/>
  <c r="AF7782" i="30"/>
  <c r="AH7782" i="30" s="1"/>
  <c r="AG7784" i="30"/>
  <c r="AF7784" i="30"/>
  <c r="AH7784" i="30" s="1"/>
  <c r="AG7786" i="30"/>
  <c r="AF7786" i="30"/>
  <c r="AH7786" i="30" s="1"/>
  <c r="AG7788" i="30"/>
  <c r="AF7788" i="30"/>
  <c r="AH7788" i="30" s="1"/>
  <c r="AG7790" i="30"/>
  <c r="AF7790" i="30"/>
  <c r="AH7790" i="30" s="1"/>
  <c r="AG7792" i="30"/>
  <c r="AF7792" i="30"/>
  <c r="AH7792" i="30" s="1"/>
  <c r="AG7794" i="30"/>
  <c r="AF7794" i="30"/>
  <c r="AH7794" i="30" s="1"/>
  <c r="AG7796" i="30"/>
  <c r="AF7796" i="30"/>
  <c r="AH7796" i="30" s="1"/>
  <c r="AG7798" i="30"/>
  <c r="AF7798" i="30"/>
  <c r="AH7798" i="30" s="1"/>
  <c r="AG7800" i="30"/>
  <c r="AF7800" i="30"/>
  <c r="AH7800" i="30" s="1"/>
  <c r="AG7802" i="30"/>
  <c r="AF7802" i="30"/>
  <c r="AH7802" i="30" s="1"/>
  <c r="AG7804" i="30"/>
  <c r="AF7804" i="30"/>
  <c r="AH7804" i="30" s="1"/>
  <c r="AG7806" i="30"/>
  <c r="AF7806" i="30"/>
  <c r="AH7806" i="30" s="1"/>
  <c r="AG7808" i="30"/>
  <c r="AF7808" i="30"/>
  <c r="AH7808" i="30" s="1"/>
  <c r="AG7810" i="30"/>
  <c r="AF7810" i="30"/>
  <c r="AH7810" i="30" s="1"/>
  <c r="AG7812" i="30"/>
  <c r="AF7812" i="30"/>
  <c r="AH7812" i="30" s="1"/>
  <c r="AG7814" i="30"/>
  <c r="AF7814" i="30"/>
  <c r="AH7814" i="30" s="1"/>
  <c r="AG7475" i="30"/>
  <c r="AF7475" i="30"/>
  <c r="AH7475" i="30" s="1"/>
  <c r="AG7477" i="30"/>
  <c r="AF7477" i="30"/>
  <c r="AH7477" i="30" s="1"/>
  <c r="AG7479" i="30"/>
  <c r="AF7479" i="30"/>
  <c r="AH7479" i="30" s="1"/>
  <c r="AG7481" i="30"/>
  <c r="AF7481" i="30"/>
  <c r="AH7481" i="30" s="1"/>
  <c r="AG7483" i="30"/>
  <c r="AF7483" i="30"/>
  <c r="AH7483" i="30" s="1"/>
  <c r="AG7485" i="30"/>
  <c r="AF7485" i="30"/>
  <c r="AH7485" i="30" s="1"/>
  <c r="AG7487" i="30"/>
  <c r="AF7487" i="30"/>
  <c r="AH7487" i="30" s="1"/>
  <c r="AG7489" i="30"/>
  <c r="AF7489" i="30"/>
  <c r="AH7489" i="30" s="1"/>
  <c r="AG7491" i="30"/>
  <c r="AF7491" i="30"/>
  <c r="AH7491" i="30" s="1"/>
  <c r="AG7493" i="30"/>
  <c r="AF7493" i="30"/>
  <c r="AH7493" i="30" s="1"/>
  <c r="AG7495" i="30"/>
  <c r="AF7495" i="30"/>
  <c r="AH7495" i="30" s="1"/>
  <c r="AG7497" i="30"/>
  <c r="AF7497" i="30"/>
  <c r="AH7497" i="30" s="1"/>
  <c r="AG7499" i="30"/>
  <c r="AF7499" i="30"/>
  <c r="AH7499" i="30" s="1"/>
  <c r="AG7501" i="30"/>
  <c r="AF7501" i="30"/>
  <c r="AH7501" i="30" s="1"/>
  <c r="AG7503" i="30"/>
  <c r="AF7503" i="30"/>
  <c r="AH7503" i="30" s="1"/>
  <c r="AG7505" i="30"/>
  <c r="AF7505" i="30"/>
  <c r="AH7505" i="30" s="1"/>
  <c r="AG7507" i="30"/>
  <c r="AF7507" i="30"/>
  <c r="AH7507" i="30" s="1"/>
  <c r="AG7509" i="30"/>
  <c r="AF7509" i="30"/>
  <c r="AH7509" i="30" s="1"/>
  <c r="AG7511" i="30"/>
  <c r="AF7511" i="30"/>
  <c r="AH7511" i="30" s="1"/>
  <c r="AG7513" i="30"/>
  <c r="AF7513" i="30"/>
  <c r="AH7513" i="30" s="1"/>
  <c r="AG7515" i="30"/>
  <c r="AF7515" i="30"/>
  <c r="AH7515" i="30" s="1"/>
  <c r="AG7517" i="30"/>
  <c r="AF7517" i="30"/>
  <c r="AH7517" i="30" s="1"/>
  <c r="AG7519" i="30"/>
  <c r="AF7519" i="30"/>
  <c r="AH7519" i="30" s="1"/>
  <c r="AG7521" i="30"/>
  <c r="AF7521" i="30"/>
  <c r="AH7521" i="30" s="1"/>
  <c r="AG7523" i="30"/>
  <c r="AF7523" i="30"/>
  <c r="AH7523" i="30" s="1"/>
  <c r="AG7525" i="30"/>
  <c r="AF7525" i="30"/>
  <c r="AH7525" i="30" s="1"/>
  <c r="AG7527" i="30"/>
  <c r="AF7527" i="30"/>
  <c r="AH7527" i="30" s="1"/>
  <c r="AG7529" i="30"/>
  <c r="AF7529" i="30"/>
  <c r="AH7529" i="30" s="1"/>
  <c r="AG7531" i="30"/>
  <c r="AF7531" i="30"/>
  <c r="AH7531" i="30" s="1"/>
  <c r="AG7533" i="30"/>
  <c r="AF7533" i="30"/>
  <c r="AH7533" i="30" s="1"/>
  <c r="AG7535" i="30"/>
  <c r="AF7535" i="30"/>
  <c r="AH7535" i="30" s="1"/>
  <c r="AG7537" i="30"/>
  <c r="AF7537" i="30"/>
  <c r="AH7537" i="30" s="1"/>
  <c r="AG7539" i="30"/>
  <c r="AF7539" i="30"/>
  <c r="AH7539" i="30" s="1"/>
  <c r="AG7541" i="30"/>
  <c r="AF7541" i="30"/>
  <c r="AH7541" i="30" s="1"/>
  <c r="AG7543" i="30"/>
  <c r="AF7543" i="30"/>
  <c r="AH7543" i="30" s="1"/>
  <c r="AG7545" i="30"/>
  <c r="AF7545" i="30"/>
  <c r="AH7545" i="30" s="1"/>
  <c r="AG7547" i="30"/>
  <c r="AF7547" i="30"/>
  <c r="AH7547" i="30" s="1"/>
  <c r="AG7549" i="30"/>
  <c r="AF7549" i="30"/>
  <c r="AH7549" i="30" s="1"/>
  <c r="AG7551" i="30"/>
  <c r="AF7551" i="30"/>
  <c r="AH7551" i="30" s="1"/>
  <c r="AG7553" i="30"/>
  <c r="AF7553" i="30"/>
  <c r="AH7553" i="30" s="1"/>
  <c r="AG7555" i="30"/>
  <c r="AF7555" i="30"/>
  <c r="AH7555" i="30" s="1"/>
  <c r="AG7557" i="30"/>
  <c r="AF7557" i="30"/>
  <c r="AH7557" i="30" s="1"/>
  <c r="AG7559" i="30"/>
  <c r="AF7559" i="30"/>
  <c r="AH7559" i="30" s="1"/>
  <c r="AG7561" i="30"/>
  <c r="AF7561" i="30"/>
  <c r="AH7561" i="30" s="1"/>
  <c r="AG7563" i="30"/>
  <c r="AF7563" i="30"/>
  <c r="AH7563" i="30" s="1"/>
  <c r="AG7565" i="30"/>
  <c r="AF7565" i="30"/>
  <c r="AH7565" i="30" s="1"/>
  <c r="AG7567" i="30"/>
  <c r="AF7567" i="30"/>
  <c r="AH7567" i="30" s="1"/>
  <c r="AG7569" i="30"/>
  <c r="AF7569" i="30"/>
  <c r="AH7569" i="30" s="1"/>
  <c r="AG7571" i="30"/>
  <c r="AF7571" i="30"/>
  <c r="AH7571" i="30" s="1"/>
  <c r="AG7573" i="30"/>
  <c r="AF7573" i="30"/>
  <c r="AH7573" i="30" s="1"/>
  <c r="AG7575" i="30"/>
  <c r="AF7575" i="30"/>
  <c r="AH7575" i="30" s="1"/>
  <c r="AG7577" i="30"/>
  <c r="AF7577" i="30"/>
  <c r="AH7577" i="30" s="1"/>
  <c r="AG7579" i="30"/>
  <c r="AF7579" i="30"/>
  <c r="AH7579" i="30" s="1"/>
  <c r="AG7581" i="30"/>
  <c r="AF7581" i="30"/>
  <c r="AH7581" i="30" s="1"/>
  <c r="AG7583" i="30"/>
  <c r="AF7583" i="30"/>
  <c r="AH7583" i="30" s="1"/>
  <c r="AG7585" i="30"/>
  <c r="AF7585" i="30"/>
  <c r="AH7585" i="30" s="1"/>
  <c r="AG7587" i="30"/>
  <c r="AF7587" i="30"/>
  <c r="AH7587" i="30" s="1"/>
  <c r="AG7589" i="30"/>
  <c r="AF7589" i="30"/>
  <c r="AH7589" i="30" s="1"/>
  <c r="AG7591" i="30"/>
  <c r="AF7591" i="30"/>
  <c r="AH7591" i="30" s="1"/>
  <c r="AG7593" i="30"/>
  <c r="AF7593" i="30"/>
  <c r="AH7593" i="30" s="1"/>
  <c r="AG7595" i="30"/>
  <c r="AF7595" i="30"/>
  <c r="AH7595" i="30" s="1"/>
  <c r="AG7597" i="30"/>
  <c r="AF7597" i="30"/>
  <c r="AH7597" i="30" s="1"/>
  <c r="AG7599" i="30"/>
  <c r="AF7599" i="30"/>
  <c r="AH7599" i="30" s="1"/>
  <c r="AG7601" i="30"/>
  <c r="AF7601" i="30"/>
  <c r="AH7601" i="30" s="1"/>
  <c r="AG7603" i="30"/>
  <c r="AF7603" i="30"/>
  <c r="AH7603" i="30" s="1"/>
  <c r="AG7605" i="30"/>
  <c r="AF7605" i="30"/>
  <c r="AH7605" i="30" s="1"/>
  <c r="AG7607" i="30"/>
  <c r="AF7607" i="30"/>
  <c r="AH7607" i="30" s="1"/>
  <c r="AG7609" i="30"/>
  <c r="AF7609" i="30"/>
  <c r="AH7609" i="30" s="1"/>
  <c r="AG7611" i="30"/>
  <c r="AF7611" i="30"/>
  <c r="AH7611" i="30" s="1"/>
  <c r="AG7613" i="30"/>
  <c r="AF7613" i="30"/>
  <c r="AH7613" i="30" s="1"/>
  <c r="AG7615" i="30"/>
  <c r="AF7615" i="30"/>
  <c r="AH7615" i="30" s="1"/>
  <c r="AG7617" i="30"/>
  <c r="AF7617" i="30"/>
  <c r="AH7617" i="30" s="1"/>
  <c r="AG7619" i="30"/>
  <c r="AF7619" i="30"/>
  <c r="AH7619" i="30" s="1"/>
  <c r="AG7621" i="30"/>
  <c r="AF7621" i="30"/>
  <c r="AH7621" i="30" s="1"/>
  <c r="AG7623" i="30"/>
  <c r="AF7623" i="30"/>
  <c r="AH7623" i="30" s="1"/>
  <c r="AG7625" i="30"/>
  <c r="AF7625" i="30"/>
  <c r="AH7625" i="30" s="1"/>
  <c r="AG7627" i="30"/>
  <c r="AF7627" i="30"/>
  <c r="AH7627" i="30" s="1"/>
  <c r="AG7629" i="30"/>
  <c r="AF7629" i="30"/>
  <c r="AH7629" i="30" s="1"/>
  <c r="AG7631" i="30"/>
  <c r="AF7631" i="30"/>
  <c r="AH7631" i="30" s="1"/>
  <c r="AG7633" i="30"/>
  <c r="AF7633" i="30"/>
  <c r="AH7633" i="30" s="1"/>
  <c r="AG7635" i="30"/>
  <c r="AF7635" i="30"/>
  <c r="AH7635" i="30" s="1"/>
  <c r="AG7637" i="30"/>
  <c r="AF7637" i="30"/>
  <c r="AH7637" i="30" s="1"/>
  <c r="AG7639" i="30"/>
  <c r="AF7639" i="30"/>
  <c r="AH7639" i="30" s="1"/>
  <c r="AG7641" i="30"/>
  <c r="AF7641" i="30"/>
  <c r="AH7641" i="30" s="1"/>
  <c r="AG7643" i="30"/>
  <c r="AF7643" i="30"/>
  <c r="AH7643" i="30" s="1"/>
  <c r="AG7645" i="30"/>
  <c r="AF7645" i="30"/>
  <c r="AH7645" i="30" s="1"/>
  <c r="AG7647" i="30"/>
  <c r="AF7647" i="30"/>
  <c r="AH7647" i="30" s="1"/>
  <c r="AG7649" i="30"/>
  <c r="AF7649" i="30"/>
  <c r="AH7649" i="30" s="1"/>
  <c r="AG7651" i="30"/>
  <c r="AF7651" i="30"/>
  <c r="AH7651" i="30" s="1"/>
  <c r="AG7653" i="30"/>
  <c r="AF7653" i="30"/>
  <c r="AH7653" i="30" s="1"/>
  <c r="AG7655" i="30"/>
  <c r="AF7655" i="30"/>
  <c r="AH7655" i="30" s="1"/>
  <c r="AG7657" i="30"/>
  <c r="AF7657" i="30"/>
  <c r="AH7657" i="30" s="1"/>
  <c r="AG7659" i="30"/>
  <c r="AF7659" i="30"/>
  <c r="AH7659" i="30" s="1"/>
  <c r="AG7661" i="30"/>
  <c r="AF7661" i="30"/>
  <c r="AH7661" i="30" s="1"/>
  <c r="AG7663" i="30"/>
  <c r="AF7663" i="30"/>
  <c r="AH7663" i="30" s="1"/>
  <c r="AG7665" i="30"/>
  <c r="AF7665" i="30"/>
  <c r="AH7665" i="30" s="1"/>
  <c r="AG7667" i="30"/>
  <c r="AF7667" i="30"/>
  <c r="AH7667" i="30" s="1"/>
  <c r="AG7669" i="30"/>
  <c r="AF7669" i="30"/>
  <c r="AH7669" i="30" s="1"/>
  <c r="AG7671" i="30"/>
  <c r="AF7671" i="30"/>
  <c r="AH7671" i="30" s="1"/>
  <c r="AG7673" i="30"/>
  <c r="AF7673" i="30"/>
  <c r="AH7673" i="30" s="1"/>
  <c r="AG7675" i="30"/>
  <c r="AF7675" i="30"/>
  <c r="AH7675" i="30" s="1"/>
  <c r="AG7677" i="30"/>
  <c r="AF7677" i="30"/>
  <c r="AH7677" i="30" s="1"/>
  <c r="AG7679" i="30"/>
  <c r="AF7679" i="30"/>
  <c r="AH7679" i="30" s="1"/>
  <c r="AG7681" i="30"/>
  <c r="AF7681" i="30"/>
  <c r="AH7681" i="30" s="1"/>
  <c r="AG7683" i="30"/>
  <c r="AF7683" i="30"/>
  <c r="AH7683" i="30" s="1"/>
  <c r="AG7685" i="30"/>
  <c r="AF7685" i="30"/>
  <c r="AH7685" i="30" s="1"/>
  <c r="AG7687" i="30"/>
  <c r="AF7687" i="30"/>
  <c r="AH7687" i="30" s="1"/>
  <c r="AG7689" i="30"/>
  <c r="AF7689" i="30"/>
  <c r="AH7689" i="30" s="1"/>
  <c r="AG7691" i="30"/>
  <c r="AF7691" i="30"/>
  <c r="AH7691" i="30" s="1"/>
  <c r="AG7693" i="30"/>
  <c r="AF7693" i="30"/>
  <c r="AH7693" i="30" s="1"/>
  <c r="AG7695" i="30"/>
  <c r="AF7695" i="30"/>
  <c r="AH7695" i="30" s="1"/>
  <c r="AG7697" i="30"/>
  <c r="AF7697" i="30"/>
  <c r="AH7697" i="30" s="1"/>
  <c r="AG7699" i="30"/>
  <c r="AF7699" i="30"/>
  <c r="AH7699" i="30" s="1"/>
  <c r="AG7701" i="30"/>
  <c r="AF7701" i="30"/>
  <c r="AH7701" i="30" s="1"/>
  <c r="AG7703" i="30"/>
  <c r="AF7703" i="30"/>
  <c r="AH7703" i="30" s="1"/>
  <c r="AG7705" i="30"/>
  <c r="AF7705" i="30"/>
  <c r="AH7705" i="30" s="1"/>
  <c r="AG7707" i="30"/>
  <c r="AF7707" i="30"/>
  <c r="AH7707" i="30" s="1"/>
  <c r="AG7709" i="30"/>
  <c r="AF7709" i="30"/>
  <c r="AH7709" i="30" s="1"/>
  <c r="AG7711" i="30"/>
  <c r="AF7711" i="30"/>
  <c r="AH7711" i="30" s="1"/>
  <c r="AG7713" i="30"/>
  <c r="AF7713" i="30"/>
  <c r="AH7713" i="30" s="1"/>
  <c r="AG7715" i="30"/>
  <c r="AF7715" i="30"/>
  <c r="AH7715" i="30" s="1"/>
  <c r="AG7717" i="30"/>
  <c r="AF7717" i="30"/>
  <c r="AH7717" i="30" s="1"/>
  <c r="AG7719" i="30"/>
  <c r="AF7719" i="30"/>
  <c r="AH7719" i="30" s="1"/>
  <c r="AF6913" i="30"/>
  <c r="AH6913" i="30" s="1"/>
  <c r="AF6914" i="30"/>
  <c r="AH6914" i="30" s="1"/>
  <c r="AF6915" i="30"/>
  <c r="AH6915" i="30" s="1"/>
  <c r="AF6916" i="30"/>
  <c r="AH6916" i="30" s="1"/>
  <c r="AF6917" i="30"/>
  <c r="AH6917" i="30" s="1"/>
  <c r="AF6918" i="30"/>
  <c r="AH6918" i="30" s="1"/>
  <c r="AF6919" i="30"/>
  <c r="AH6919" i="30" s="1"/>
  <c r="AF6920" i="30"/>
  <c r="AH6920" i="30" s="1"/>
  <c r="AF6921" i="30"/>
  <c r="AH6921" i="30" s="1"/>
  <c r="AF6922" i="30"/>
  <c r="AH6922" i="30" s="1"/>
  <c r="AF6923" i="30"/>
  <c r="AH6923" i="30" s="1"/>
  <c r="AF6924" i="30"/>
  <c r="AH6924" i="30" s="1"/>
  <c r="AF6925" i="30"/>
  <c r="AH6925" i="30" s="1"/>
  <c r="AF6926" i="30"/>
  <c r="AH6926" i="30" s="1"/>
  <c r="AF6927" i="30"/>
  <c r="AH6927" i="30" s="1"/>
  <c r="AF6928" i="30"/>
  <c r="AH6928" i="30" s="1"/>
  <c r="AF6929" i="30"/>
  <c r="AH6929" i="30" s="1"/>
  <c r="AF6930" i="30"/>
  <c r="AH6930" i="30" s="1"/>
  <c r="AF6931" i="30"/>
  <c r="AH6931" i="30" s="1"/>
  <c r="AF6932" i="30"/>
  <c r="AH6932" i="30" s="1"/>
  <c r="AF6933" i="30"/>
  <c r="AH6933" i="30" s="1"/>
  <c r="AF6934" i="30"/>
  <c r="AH6934" i="30" s="1"/>
  <c r="AF6935" i="30"/>
  <c r="AH6935" i="30" s="1"/>
  <c r="AF6936" i="30"/>
  <c r="AH6936" i="30" s="1"/>
  <c r="AF6937" i="30"/>
  <c r="AH6937" i="30" s="1"/>
  <c r="AF6938" i="30"/>
  <c r="AH6938" i="30" s="1"/>
  <c r="AF6939" i="30"/>
  <c r="AH6939" i="30" s="1"/>
  <c r="AF6940" i="30"/>
  <c r="AH6940" i="30" s="1"/>
  <c r="AF6941" i="30"/>
  <c r="AH6941" i="30" s="1"/>
  <c r="AF6942" i="30"/>
  <c r="AH6942" i="30" s="1"/>
  <c r="AF6943" i="30"/>
  <c r="AH6943" i="30" s="1"/>
  <c r="AF6944" i="30"/>
  <c r="AH6944" i="30" s="1"/>
  <c r="AF6945" i="30"/>
  <c r="AH6945" i="30" s="1"/>
  <c r="AF6946" i="30"/>
  <c r="AH6946" i="30" s="1"/>
  <c r="AF6947" i="30"/>
  <c r="AH6947" i="30" s="1"/>
  <c r="AF6948" i="30"/>
  <c r="AH6948" i="30" s="1"/>
  <c r="AF6949" i="30"/>
  <c r="AH6949" i="30" s="1"/>
  <c r="AF6950" i="30"/>
  <c r="AH6950" i="30" s="1"/>
  <c r="AF6951" i="30"/>
  <c r="AH6951" i="30" s="1"/>
  <c r="AF6952" i="30"/>
  <c r="AH6952" i="30" s="1"/>
  <c r="AF6953" i="30"/>
  <c r="AH6953" i="30" s="1"/>
  <c r="AF6954" i="30"/>
  <c r="AH6954" i="30" s="1"/>
  <c r="AF6955" i="30"/>
  <c r="AH6955" i="30" s="1"/>
  <c r="AF6956" i="30"/>
  <c r="AH6956" i="30" s="1"/>
  <c r="AF6957" i="30"/>
  <c r="AH6957" i="30" s="1"/>
  <c r="AF6958" i="30"/>
  <c r="AH6958" i="30" s="1"/>
  <c r="AF6959" i="30"/>
  <c r="AH6959" i="30" s="1"/>
  <c r="AF6960" i="30"/>
  <c r="AH6960" i="30" s="1"/>
  <c r="AF6961" i="30"/>
  <c r="AH6961" i="30" s="1"/>
  <c r="AF6962" i="30"/>
  <c r="AH6962" i="30" s="1"/>
  <c r="AF6963" i="30"/>
  <c r="AH6963" i="30" s="1"/>
  <c r="AF6964" i="30"/>
  <c r="AH6964" i="30" s="1"/>
  <c r="AF6965" i="30"/>
  <c r="AH6965" i="30" s="1"/>
  <c r="AF6966" i="30"/>
  <c r="AH6966" i="30" s="1"/>
  <c r="AF6967" i="30"/>
  <c r="AH6967" i="30" s="1"/>
  <c r="AF6968" i="30"/>
  <c r="AH6968" i="30" s="1"/>
  <c r="AF6969" i="30"/>
  <c r="AH6969" i="30" s="1"/>
  <c r="AF6970" i="30"/>
  <c r="AH6970" i="30" s="1"/>
  <c r="AF6971" i="30"/>
  <c r="AH6971" i="30" s="1"/>
  <c r="AF6972" i="30"/>
  <c r="AH6972" i="30" s="1"/>
  <c r="AF6973" i="30"/>
  <c r="AH6973" i="30" s="1"/>
  <c r="AF6974" i="30"/>
  <c r="AH6974" i="30" s="1"/>
  <c r="AF6975" i="30"/>
  <c r="AH6975" i="30" s="1"/>
  <c r="AF6976" i="30"/>
  <c r="AH6976" i="30" s="1"/>
  <c r="AF6977" i="30"/>
  <c r="AH6977" i="30" s="1"/>
  <c r="AF6978" i="30"/>
  <c r="AH6978" i="30" s="1"/>
  <c r="AF6979" i="30"/>
  <c r="AH6979" i="30" s="1"/>
  <c r="AF6980" i="30"/>
  <c r="AH6980" i="30" s="1"/>
  <c r="AF6981" i="30"/>
  <c r="AH6981" i="30" s="1"/>
  <c r="AF6982" i="30"/>
  <c r="AH6982" i="30" s="1"/>
  <c r="AF6983" i="30"/>
  <c r="AH6983" i="30" s="1"/>
  <c r="AF6984" i="30"/>
  <c r="AH6984" i="30" s="1"/>
  <c r="AF6985" i="30"/>
  <c r="AH6985" i="30" s="1"/>
  <c r="AF6986" i="30"/>
  <c r="AH6986" i="30" s="1"/>
  <c r="AF6987" i="30"/>
  <c r="AH6987" i="30" s="1"/>
  <c r="AF6988" i="30"/>
  <c r="AH6988" i="30" s="1"/>
  <c r="AF6989" i="30"/>
  <c r="AH6989" i="30" s="1"/>
  <c r="AF6990" i="30"/>
  <c r="AH6990" i="30" s="1"/>
  <c r="AF6991" i="30"/>
  <c r="AH6991" i="30" s="1"/>
  <c r="AF6992" i="30"/>
  <c r="AH6992" i="30" s="1"/>
  <c r="AF6993" i="30"/>
  <c r="AH6993" i="30" s="1"/>
  <c r="AF6994" i="30"/>
  <c r="AH6994" i="30" s="1"/>
  <c r="AF6995" i="30"/>
  <c r="AH6995" i="30" s="1"/>
  <c r="AF6996" i="30"/>
  <c r="AH6996" i="30" s="1"/>
  <c r="AF6997" i="30"/>
  <c r="AH6997" i="30" s="1"/>
  <c r="AF6998" i="30"/>
  <c r="AH6998" i="30" s="1"/>
  <c r="AF6999" i="30"/>
  <c r="AH6999" i="30" s="1"/>
  <c r="AF7000" i="30"/>
  <c r="AH7000" i="30" s="1"/>
  <c r="AF7001" i="30"/>
  <c r="AH7001" i="30" s="1"/>
  <c r="AF7002" i="30"/>
  <c r="AH7002" i="30" s="1"/>
  <c r="AF7003" i="30"/>
  <c r="AH7003" i="30" s="1"/>
  <c r="AF7004" i="30"/>
  <c r="AH7004" i="30" s="1"/>
  <c r="AF7005" i="30"/>
  <c r="AH7005" i="30" s="1"/>
  <c r="AF7006" i="30"/>
  <c r="AH7006" i="30" s="1"/>
  <c r="AF7007" i="30"/>
  <c r="AH7007" i="30" s="1"/>
  <c r="AF7008" i="30"/>
  <c r="AH7008" i="30" s="1"/>
  <c r="AF7009" i="30"/>
  <c r="AH7009" i="30" s="1"/>
  <c r="AF7010" i="30"/>
  <c r="AH7010" i="30" s="1"/>
  <c r="AF7011" i="30"/>
  <c r="AH7011" i="30" s="1"/>
  <c r="AF7012" i="30"/>
  <c r="AH7012" i="30" s="1"/>
  <c r="AF7013" i="30"/>
  <c r="AH7013" i="30" s="1"/>
  <c r="AF7014" i="30"/>
  <c r="AH7014" i="30" s="1"/>
  <c r="AF7015" i="30"/>
  <c r="AH7015" i="30" s="1"/>
  <c r="AF7016" i="30"/>
  <c r="AH7016" i="30" s="1"/>
  <c r="AF7017" i="30"/>
  <c r="AH7017" i="30" s="1"/>
  <c r="AF7018" i="30"/>
  <c r="AH7018" i="30" s="1"/>
  <c r="AF7019" i="30"/>
  <c r="AH7019" i="30" s="1"/>
  <c r="AF7020" i="30"/>
  <c r="AH7020" i="30" s="1"/>
  <c r="AF7021" i="30"/>
  <c r="AH7021" i="30" s="1"/>
  <c r="AF7022" i="30"/>
  <c r="AH7022" i="30" s="1"/>
  <c r="AF7023" i="30"/>
  <c r="AH7023" i="30" s="1"/>
  <c r="AF7024" i="30"/>
  <c r="AH7024" i="30" s="1"/>
  <c r="AF7025" i="30"/>
  <c r="AH7025" i="30" s="1"/>
  <c r="AF7026" i="30"/>
  <c r="AH7026" i="30" s="1"/>
  <c r="AF7027" i="30"/>
  <c r="AH7027" i="30" s="1"/>
  <c r="AF7028" i="30"/>
  <c r="AH7028" i="30" s="1"/>
  <c r="AF7029" i="30"/>
  <c r="AH7029" i="30" s="1"/>
  <c r="AF7030" i="30"/>
  <c r="AH7030" i="30" s="1"/>
  <c r="AF7031" i="30"/>
  <c r="AH7031" i="30" s="1"/>
  <c r="AF7032" i="30"/>
  <c r="AH7032" i="30" s="1"/>
  <c r="AF7033" i="30"/>
  <c r="AH7033" i="30" s="1"/>
  <c r="AF7034" i="30"/>
  <c r="AH7034" i="30" s="1"/>
  <c r="AF7035" i="30"/>
  <c r="AH7035" i="30" s="1"/>
  <c r="AF7036" i="30"/>
  <c r="AH7036" i="30" s="1"/>
  <c r="AF7037" i="30"/>
  <c r="AH7037" i="30" s="1"/>
  <c r="AF7038" i="30"/>
  <c r="AH7038" i="30" s="1"/>
  <c r="AF7039" i="30"/>
  <c r="AH7039" i="30" s="1"/>
  <c r="AF7040" i="30"/>
  <c r="AH7040" i="30" s="1"/>
  <c r="AF7041" i="30"/>
  <c r="AH7041" i="30" s="1"/>
  <c r="AF7042" i="30"/>
  <c r="AH7042" i="30" s="1"/>
  <c r="AF7043" i="30"/>
  <c r="AH7043" i="30" s="1"/>
  <c r="AF7044" i="30"/>
  <c r="AH7044" i="30" s="1"/>
  <c r="AF7045" i="30"/>
  <c r="AH7045" i="30" s="1"/>
  <c r="AF7046" i="30"/>
  <c r="AH7046" i="30" s="1"/>
  <c r="AF7047" i="30"/>
  <c r="AH7047" i="30" s="1"/>
  <c r="AF7048" i="30"/>
  <c r="AH7048" i="30" s="1"/>
  <c r="AF7049" i="30"/>
  <c r="AH7049" i="30" s="1"/>
  <c r="AF7050" i="30"/>
  <c r="AH7050" i="30" s="1"/>
  <c r="AF7051" i="30"/>
  <c r="AH7051" i="30" s="1"/>
  <c r="AF7052" i="30"/>
  <c r="AH7052" i="30" s="1"/>
  <c r="AF7053" i="30"/>
  <c r="AH7053" i="30" s="1"/>
  <c r="AF7054" i="30"/>
  <c r="AH7054" i="30" s="1"/>
  <c r="AF7055" i="30"/>
  <c r="AH7055" i="30" s="1"/>
  <c r="AF7056" i="30"/>
  <c r="AH7056" i="30" s="1"/>
  <c r="AF7057" i="30"/>
  <c r="AH7057" i="30" s="1"/>
  <c r="AF7058" i="30"/>
  <c r="AH7058" i="30" s="1"/>
  <c r="AF7059" i="30"/>
  <c r="AH7059" i="30" s="1"/>
  <c r="AF7060" i="30"/>
  <c r="AH7060" i="30" s="1"/>
  <c r="AF7061" i="30"/>
  <c r="AH7061" i="30" s="1"/>
  <c r="AF7062" i="30"/>
  <c r="AH7062" i="30" s="1"/>
  <c r="AF7063" i="30"/>
  <c r="AH7063" i="30" s="1"/>
  <c r="AF7064" i="30"/>
  <c r="AH7064" i="30" s="1"/>
  <c r="AF7065" i="30"/>
  <c r="AH7065" i="30" s="1"/>
  <c r="AF7066" i="30"/>
  <c r="AH7066" i="30" s="1"/>
  <c r="AF7067" i="30"/>
  <c r="AH7067" i="30" s="1"/>
  <c r="AF7068" i="30"/>
  <c r="AH7068" i="30" s="1"/>
  <c r="AF7069" i="30"/>
  <c r="AH7069" i="30" s="1"/>
  <c r="AF7070" i="30"/>
  <c r="AH7070" i="30" s="1"/>
  <c r="AF7071" i="30"/>
  <c r="AH7071" i="30" s="1"/>
  <c r="AF7072" i="30"/>
  <c r="AH7072" i="30" s="1"/>
  <c r="AF7073" i="30"/>
  <c r="AH7073" i="30" s="1"/>
  <c r="AF7074" i="30"/>
  <c r="AH7074" i="30" s="1"/>
  <c r="AF7075" i="30"/>
  <c r="AH7075" i="30" s="1"/>
  <c r="AF7076" i="30"/>
  <c r="AH7076" i="30" s="1"/>
  <c r="AF7077" i="30"/>
  <c r="AH7077" i="30" s="1"/>
  <c r="AF7078" i="30"/>
  <c r="AH7078" i="30" s="1"/>
  <c r="AF7079" i="30"/>
  <c r="AH7079" i="30" s="1"/>
  <c r="AF7080" i="30"/>
  <c r="AH7080" i="30" s="1"/>
  <c r="AF7081" i="30"/>
  <c r="AH7081" i="30" s="1"/>
  <c r="AF7082" i="30"/>
  <c r="AH7082" i="30" s="1"/>
  <c r="AF7083" i="30"/>
  <c r="AH7083" i="30" s="1"/>
  <c r="AF7084" i="30"/>
  <c r="AH7084" i="30" s="1"/>
  <c r="AF7085" i="30"/>
  <c r="AH7085" i="30" s="1"/>
  <c r="AF7086" i="30"/>
  <c r="AH7086" i="30" s="1"/>
  <c r="AF7087" i="30"/>
  <c r="AH7087" i="30" s="1"/>
  <c r="AF7088" i="30"/>
  <c r="AH7088" i="30" s="1"/>
  <c r="AF7089" i="30"/>
  <c r="AH7089" i="30" s="1"/>
  <c r="AF7090" i="30"/>
  <c r="AH7090" i="30" s="1"/>
  <c r="AF7091" i="30"/>
  <c r="AH7091" i="30" s="1"/>
  <c r="AF7092" i="30"/>
  <c r="AH7092" i="30" s="1"/>
  <c r="AF7093" i="30"/>
  <c r="AH7093" i="30" s="1"/>
  <c r="AF7094" i="30"/>
  <c r="AH7094" i="30" s="1"/>
  <c r="AF7095" i="30"/>
  <c r="AH7095" i="30" s="1"/>
  <c r="AF7096" i="30"/>
  <c r="AH7096" i="30" s="1"/>
  <c r="AF7097" i="30"/>
  <c r="AH7097" i="30" s="1"/>
  <c r="AF7098" i="30"/>
  <c r="AH7098" i="30" s="1"/>
  <c r="AF7099" i="30"/>
  <c r="AH7099" i="30" s="1"/>
  <c r="AF7100" i="30"/>
  <c r="AH7100" i="30" s="1"/>
  <c r="AF7101" i="30"/>
  <c r="AH7101" i="30" s="1"/>
  <c r="AF7102" i="30"/>
  <c r="AH7102" i="30" s="1"/>
  <c r="AF7103" i="30"/>
  <c r="AH7103" i="30" s="1"/>
  <c r="AF7104" i="30"/>
  <c r="AH7104" i="30" s="1"/>
  <c r="AF7105" i="30"/>
  <c r="AH7105" i="30" s="1"/>
  <c r="AF7106" i="30"/>
  <c r="AH7106" i="30" s="1"/>
  <c r="AF7107" i="30"/>
  <c r="AH7107" i="30" s="1"/>
  <c r="AF7108" i="30"/>
  <c r="AH7108" i="30" s="1"/>
  <c r="AF7109" i="30"/>
  <c r="AH7109" i="30" s="1"/>
  <c r="AF7110" i="30"/>
  <c r="AH7110" i="30" s="1"/>
  <c r="AF7111" i="30"/>
  <c r="AH7111" i="30" s="1"/>
  <c r="AF7112" i="30"/>
  <c r="AH7112" i="30" s="1"/>
  <c r="AF7113" i="30"/>
  <c r="AH7113" i="30" s="1"/>
  <c r="AF7114" i="30"/>
  <c r="AH7114" i="30" s="1"/>
  <c r="AF7115" i="30"/>
  <c r="AH7115" i="30" s="1"/>
  <c r="AF7116" i="30"/>
  <c r="AH7116" i="30" s="1"/>
  <c r="AF7117" i="30"/>
  <c r="AH7117" i="30" s="1"/>
  <c r="AF7118" i="30"/>
  <c r="AH7118" i="30" s="1"/>
  <c r="AF7119" i="30"/>
  <c r="AH7119" i="30" s="1"/>
  <c r="AF7120" i="30"/>
  <c r="AH7120" i="30" s="1"/>
  <c r="AF7121" i="30"/>
  <c r="AH7121" i="30" s="1"/>
  <c r="AF7122" i="30"/>
  <c r="AH7122" i="30" s="1"/>
  <c r="AF7123" i="30"/>
  <c r="AH7123" i="30" s="1"/>
  <c r="AF7124" i="30"/>
  <c r="AH7124" i="30" s="1"/>
  <c r="AF7125" i="30"/>
  <c r="AH7125" i="30" s="1"/>
  <c r="AF7126" i="30"/>
  <c r="AH7126" i="30" s="1"/>
  <c r="AF7127" i="30"/>
  <c r="AH7127" i="30" s="1"/>
  <c r="AF7128" i="30"/>
  <c r="AH7128" i="30" s="1"/>
  <c r="AF7129" i="30"/>
  <c r="AH7129" i="30" s="1"/>
  <c r="AF7130" i="30"/>
  <c r="AH7130" i="30" s="1"/>
  <c r="AF7131" i="30"/>
  <c r="AH7131" i="30" s="1"/>
  <c r="AF7132" i="30"/>
  <c r="AH7132" i="30" s="1"/>
  <c r="AF7133" i="30"/>
  <c r="AH7133" i="30" s="1"/>
  <c r="AF7134" i="30"/>
  <c r="AH7134" i="30" s="1"/>
  <c r="AF7135" i="30"/>
  <c r="AH7135" i="30" s="1"/>
  <c r="AF7136" i="30"/>
  <c r="AH7136" i="30" s="1"/>
  <c r="AF7137" i="30"/>
  <c r="AH7137" i="30" s="1"/>
  <c r="AF7138" i="30"/>
  <c r="AH7138" i="30" s="1"/>
  <c r="AF7139" i="30"/>
  <c r="AH7139" i="30" s="1"/>
  <c r="AF7140" i="30"/>
  <c r="AH7140" i="30" s="1"/>
  <c r="AF7141" i="30"/>
  <c r="AH7141" i="30" s="1"/>
  <c r="AF7142" i="30"/>
  <c r="AH7142" i="30" s="1"/>
  <c r="AF7143" i="30"/>
  <c r="AH7143" i="30" s="1"/>
  <c r="AF7144" i="30"/>
  <c r="AH7144" i="30" s="1"/>
  <c r="AF7145" i="30"/>
  <c r="AH7145" i="30" s="1"/>
  <c r="AF7146" i="30"/>
  <c r="AH7146" i="30" s="1"/>
  <c r="AF7147" i="30"/>
  <c r="AH7147" i="30" s="1"/>
  <c r="AF7148" i="30"/>
  <c r="AH7148" i="30" s="1"/>
  <c r="AF7149" i="30"/>
  <c r="AH7149" i="30" s="1"/>
  <c r="AF7150" i="30"/>
  <c r="AH7150" i="30" s="1"/>
  <c r="AF7151" i="30"/>
  <c r="AH7151" i="30" s="1"/>
  <c r="AF7152" i="30"/>
  <c r="AH7152" i="30" s="1"/>
  <c r="AF7153" i="30"/>
  <c r="AH7153" i="30" s="1"/>
  <c r="AF7154" i="30"/>
  <c r="AH7154" i="30" s="1"/>
  <c r="AF7155" i="30"/>
  <c r="AH7155" i="30" s="1"/>
  <c r="AF7156" i="30"/>
  <c r="AH7156" i="30" s="1"/>
  <c r="AF7157" i="30"/>
  <c r="AH7157" i="30" s="1"/>
  <c r="AF7158" i="30"/>
  <c r="AH7158" i="30" s="1"/>
  <c r="AF7159" i="30"/>
  <c r="AH7159" i="30" s="1"/>
  <c r="AF7160" i="30"/>
  <c r="AH7160" i="30" s="1"/>
  <c r="AF7161" i="30"/>
  <c r="AH7161" i="30" s="1"/>
  <c r="AF7162" i="30"/>
  <c r="AH7162" i="30" s="1"/>
  <c r="AF7163" i="30"/>
  <c r="AH7163" i="30" s="1"/>
  <c r="AF7164" i="30"/>
  <c r="AH7164" i="30" s="1"/>
  <c r="AF7165" i="30"/>
  <c r="AH7165" i="30" s="1"/>
  <c r="AF7166" i="30"/>
  <c r="AH7166" i="30" s="1"/>
  <c r="AF7167" i="30"/>
  <c r="AH7167" i="30" s="1"/>
  <c r="AF7168" i="30"/>
  <c r="AH7168" i="30" s="1"/>
  <c r="AF7169" i="30"/>
  <c r="AH7169" i="30" s="1"/>
  <c r="AF7170" i="30"/>
  <c r="AH7170" i="30" s="1"/>
  <c r="AF7171" i="30"/>
  <c r="AH7171" i="30" s="1"/>
  <c r="AF7172" i="30"/>
  <c r="AH7172" i="30" s="1"/>
  <c r="AF7173" i="30"/>
  <c r="AH7173" i="30" s="1"/>
  <c r="AF7174" i="30"/>
  <c r="AH7174" i="30" s="1"/>
  <c r="AF7175" i="30"/>
  <c r="AH7175" i="30" s="1"/>
  <c r="AF7176" i="30"/>
  <c r="AH7176" i="30" s="1"/>
  <c r="AF7177" i="30"/>
  <c r="AH7177" i="30" s="1"/>
  <c r="AF7178" i="30"/>
  <c r="AH7178" i="30" s="1"/>
  <c r="AF7179" i="30"/>
  <c r="AH7179" i="30" s="1"/>
  <c r="AF7180" i="30"/>
  <c r="AH7180" i="30" s="1"/>
  <c r="AF7181" i="30"/>
  <c r="AH7181" i="30" s="1"/>
  <c r="AF7182" i="30"/>
  <c r="AH7182" i="30" s="1"/>
  <c r="AF7183" i="30"/>
  <c r="AH7183" i="30" s="1"/>
  <c r="AF7184" i="30"/>
  <c r="AH7184" i="30" s="1"/>
  <c r="AF7185" i="30"/>
  <c r="AH7185" i="30" s="1"/>
  <c r="AF7186" i="30"/>
  <c r="AH7186" i="30" s="1"/>
  <c r="AF7187" i="30"/>
  <c r="AH7187" i="30" s="1"/>
  <c r="AF7188" i="30"/>
  <c r="AH7188" i="30" s="1"/>
  <c r="AF7189" i="30"/>
  <c r="AH7189" i="30" s="1"/>
  <c r="AF7190" i="30"/>
  <c r="AH7190" i="30" s="1"/>
  <c r="AF7191" i="30"/>
  <c r="AH7191" i="30" s="1"/>
  <c r="AF7192" i="30"/>
  <c r="AH7192" i="30" s="1"/>
  <c r="AF7193" i="30"/>
  <c r="AH7193" i="30" s="1"/>
  <c r="AF7194" i="30"/>
  <c r="AH7194" i="30" s="1"/>
  <c r="AF7195" i="30"/>
  <c r="AH7195" i="30" s="1"/>
  <c r="AF7196" i="30"/>
  <c r="AH7196" i="30" s="1"/>
  <c r="AF7197" i="30"/>
  <c r="AH7197" i="30" s="1"/>
  <c r="AF7198" i="30"/>
  <c r="AH7198" i="30" s="1"/>
  <c r="AF7199" i="30"/>
  <c r="AH7199" i="30" s="1"/>
  <c r="AF7200" i="30"/>
  <c r="AH7200" i="30" s="1"/>
  <c r="AF7201" i="30"/>
  <c r="AH7201" i="30" s="1"/>
  <c r="AF7202" i="30"/>
  <c r="AH7202" i="30" s="1"/>
  <c r="AF7203" i="30"/>
  <c r="AH7203" i="30" s="1"/>
  <c r="AF7204" i="30"/>
  <c r="AH7204" i="30" s="1"/>
  <c r="AF7205" i="30"/>
  <c r="AH7205" i="30" s="1"/>
  <c r="AF7206" i="30"/>
  <c r="AH7206" i="30" s="1"/>
  <c r="AF7207" i="30"/>
  <c r="AH7207" i="30" s="1"/>
  <c r="AF7208" i="30"/>
  <c r="AH7208" i="30" s="1"/>
  <c r="AF7209" i="30"/>
  <c r="AH7209" i="30" s="1"/>
  <c r="AF7210" i="30"/>
  <c r="AH7210" i="30" s="1"/>
  <c r="AF7211" i="30"/>
  <c r="AH7211" i="30" s="1"/>
  <c r="AF7212" i="30"/>
  <c r="AH7212" i="30" s="1"/>
  <c r="AF7213" i="30"/>
  <c r="AH7213" i="30" s="1"/>
  <c r="AF7214" i="30"/>
  <c r="AH7214" i="30" s="1"/>
  <c r="AF7215" i="30"/>
  <c r="AH7215" i="30" s="1"/>
  <c r="AF7216" i="30"/>
  <c r="AH7216" i="30" s="1"/>
  <c r="AF7217" i="30"/>
  <c r="AH7217" i="30" s="1"/>
  <c r="AF7218" i="30"/>
  <c r="AH7218" i="30" s="1"/>
  <c r="AF7219" i="30"/>
  <c r="AH7219" i="30" s="1"/>
  <c r="AF7220" i="30"/>
  <c r="AH7220" i="30" s="1"/>
  <c r="AF7221" i="30"/>
  <c r="AH7221" i="30" s="1"/>
  <c r="AF7222" i="30"/>
  <c r="AH7222" i="30" s="1"/>
  <c r="AF7223" i="30"/>
  <c r="AH7223" i="30" s="1"/>
  <c r="AF7224" i="30"/>
  <c r="AH7224" i="30" s="1"/>
  <c r="AF7225" i="30"/>
  <c r="AH7225" i="30" s="1"/>
  <c r="AF7226" i="30"/>
  <c r="AH7226" i="30" s="1"/>
  <c r="AF7227" i="30"/>
  <c r="AH7227" i="30" s="1"/>
  <c r="AF7228" i="30"/>
  <c r="AH7228" i="30" s="1"/>
  <c r="AF7229" i="30"/>
  <c r="AH7229" i="30" s="1"/>
  <c r="AF7230" i="30"/>
  <c r="AH7230" i="30" s="1"/>
  <c r="AF7231" i="30"/>
  <c r="AH7231" i="30" s="1"/>
  <c r="AF7232" i="30"/>
  <c r="AH7232" i="30" s="1"/>
  <c r="AF7233" i="30"/>
  <c r="AH7233" i="30" s="1"/>
  <c r="AF7234" i="30"/>
  <c r="AH7234" i="30" s="1"/>
  <c r="AF7235" i="30"/>
  <c r="AH7235" i="30" s="1"/>
  <c r="AF7236" i="30"/>
  <c r="AH7236" i="30" s="1"/>
  <c r="AF7237" i="30"/>
  <c r="AH7237" i="30" s="1"/>
  <c r="AF7238" i="30"/>
  <c r="AH7238" i="30" s="1"/>
  <c r="AF7239" i="30"/>
  <c r="AH7239" i="30" s="1"/>
  <c r="AF7240" i="30"/>
  <c r="AH7240" i="30" s="1"/>
  <c r="AF7241" i="30"/>
  <c r="AH7241" i="30" s="1"/>
  <c r="AF7242" i="30"/>
  <c r="AH7242" i="30" s="1"/>
  <c r="AF7243" i="30"/>
  <c r="AH7243" i="30" s="1"/>
  <c r="AF7244" i="30"/>
  <c r="AH7244" i="30" s="1"/>
  <c r="AF7245" i="30"/>
  <c r="AH7245" i="30" s="1"/>
  <c r="AF7246" i="30"/>
  <c r="AH7246" i="30" s="1"/>
  <c r="AF7247" i="30"/>
  <c r="AH7247" i="30" s="1"/>
  <c r="AF7248" i="30"/>
  <c r="AH7248" i="30" s="1"/>
  <c r="AF7249" i="30"/>
  <c r="AH7249" i="30" s="1"/>
  <c r="AF7250" i="30"/>
  <c r="AH7250" i="30" s="1"/>
  <c r="AF7251" i="30"/>
  <c r="AH7251" i="30" s="1"/>
  <c r="AF7252" i="30"/>
  <c r="AH7252" i="30" s="1"/>
  <c r="AF7253" i="30"/>
  <c r="AH7253" i="30" s="1"/>
  <c r="AF7254" i="30"/>
  <c r="AH7254" i="30" s="1"/>
  <c r="AF7255" i="30"/>
  <c r="AH7255" i="30" s="1"/>
  <c r="AF7256" i="30"/>
  <c r="AH7256" i="30" s="1"/>
  <c r="AF7257" i="30"/>
  <c r="AH7257" i="30" s="1"/>
  <c r="AF7258" i="30"/>
  <c r="AH7258" i="30" s="1"/>
  <c r="AF7259" i="30"/>
  <c r="AH7259" i="30" s="1"/>
  <c r="AF7260" i="30"/>
  <c r="AH7260" i="30" s="1"/>
  <c r="AF7261" i="30"/>
  <c r="AH7261" i="30" s="1"/>
  <c r="AF7262" i="30"/>
  <c r="AH7262" i="30" s="1"/>
  <c r="AF7263" i="30"/>
  <c r="AH7263" i="30" s="1"/>
  <c r="AF7264" i="30"/>
  <c r="AH7264" i="30" s="1"/>
  <c r="AF7265" i="30"/>
  <c r="AH7265" i="30" s="1"/>
  <c r="AF7266" i="30"/>
  <c r="AH7266" i="30" s="1"/>
  <c r="AF7267" i="30"/>
  <c r="AH7267" i="30" s="1"/>
  <c r="AF7268" i="30"/>
  <c r="AH7268" i="30" s="1"/>
  <c r="AF7269" i="30"/>
  <c r="AH7269" i="30" s="1"/>
  <c r="AF7270" i="30"/>
  <c r="AH7270" i="30" s="1"/>
  <c r="AF7271" i="30"/>
  <c r="AH7271" i="30" s="1"/>
  <c r="AF7272" i="30"/>
  <c r="AH7272" i="30" s="1"/>
  <c r="AF7273" i="30"/>
  <c r="AH7273" i="30" s="1"/>
  <c r="AF7274" i="30"/>
  <c r="AH7274" i="30" s="1"/>
  <c r="AF7275" i="30"/>
  <c r="AH7275" i="30" s="1"/>
  <c r="AF7276" i="30"/>
  <c r="AH7276" i="30" s="1"/>
  <c r="AF7277" i="30"/>
  <c r="AH7277" i="30" s="1"/>
  <c r="AF7278" i="30"/>
  <c r="AH7278" i="30" s="1"/>
  <c r="AF7279" i="30"/>
  <c r="AH7279" i="30" s="1"/>
  <c r="AF7280" i="30"/>
  <c r="AH7280" i="30" s="1"/>
  <c r="AF7281" i="30"/>
  <c r="AH7281" i="30" s="1"/>
  <c r="AF7282" i="30"/>
  <c r="AH7282" i="30" s="1"/>
  <c r="AF7283" i="30"/>
  <c r="AH7283" i="30" s="1"/>
  <c r="AF7284" i="30"/>
  <c r="AH7284" i="30" s="1"/>
  <c r="AF7285" i="30"/>
  <c r="AH7285" i="30" s="1"/>
  <c r="AF7286" i="30"/>
  <c r="AH7286" i="30" s="1"/>
  <c r="AF7287" i="30"/>
  <c r="AH7287" i="30" s="1"/>
  <c r="AF7288" i="30"/>
  <c r="AH7288" i="30" s="1"/>
  <c r="AF7289" i="30"/>
  <c r="AH7289" i="30" s="1"/>
  <c r="AF7290" i="30"/>
  <c r="AH7290" i="30" s="1"/>
  <c r="AF7291" i="30"/>
  <c r="AH7291" i="30" s="1"/>
  <c r="AF7292" i="30"/>
  <c r="AH7292" i="30" s="1"/>
  <c r="AF7293" i="30"/>
  <c r="AH7293" i="30" s="1"/>
  <c r="AF7294" i="30"/>
  <c r="AH7294" i="30" s="1"/>
  <c r="AF7295" i="30"/>
  <c r="AH7295" i="30" s="1"/>
  <c r="AF7296" i="30"/>
  <c r="AH7296" i="30" s="1"/>
  <c r="AF7297" i="30"/>
  <c r="AH7297" i="30" s="1"/>
  <c r="AF7298" i="30"/>
  <c r="AH7298" i="30" s="1"/>
  <c r="AF7299" i="30"/>
  <c r="AH7299" i="30" s="1"/>
  <c r="AF7300" i="30"/>
  <c r="AH7300" i="30" s="1"/>
  <c r="AF7301" i="30"/>
  <c r="AH7301" i="30" s="1"/>
  <c r="AF7302" i="30"/>
  <c r="AH7302" i="30" s="1"/>
  <c r="AF7303" i="30"/>
  <c r="AH7303" i="30" s="1"/>
  <c r="AF7304" i="30"/>
  <c r="AH7304" i="30" s="1"/>
  <c r="AF7305" i="30"/>
  <c r="AH7305" i="30" s="1"/>
  <c r="AF7306" i="30"/>
  <c r="AH7306" i="30" s="1"/>
  <c r="AF7307" i="30"/>
  <c r="AH7307" i="30" s="1"/>
  <c r="AF7308" i="30"/>
  <c r="AH7308" i="30" s="1"/>
  <c r="AF7309" i="30"/>
  <c r="AH7309" i="30" s="1"/>
  <c r="AF7310" i="30"/>
  <c r="AH7310" i="30" s="1"/>
  <c r="AF7311" i="30"/>
  <c r="AH7311" i="30" s="1"/>
  <c r="AF7312" i="30"/>
  <c r="AH7312" i="30" s="1"/>
  <c r="AF7313" i="30"/>
  <c r="AH7313" i="30" s="1"/>
  <c r="AF7314" i="30"/>
  <c r="AH7314" i="30" s="1"/>
  <c r="AF7315" i="30"/>
  <c r="AH7315" i="30" s="1"/>
  <c r="AF7316" i="30"/>
  <c r="AH7316" i="30" s="1"/>
  <c r="AF7317" i="30"/>
  <c r="AH7317" i="30" s="1"/>
  <c r="AF7318" i="30"/>
  <c r="AH7318" i="30" s="1"/>
  <c r="AF7319" i="30"/>
  <c r="AH7319" i="30" s="1"/>
  <c r="AF7320" i="30"/>
  <c r="AH7320" i="30" s="1"/>
  <c r="AF7321" i="30"/>
  <c r="AH7321" i="30" s="1"/>
  <c r="AF7322" i="30"/>
  <c r="AH7322" i="30" s="1"/>
  <c r="AF7323" i="30"/>
  <c r="AH7323" i="30" s="1"/>
  <c r="AF7324" i="30"/>
  <c r="AH7324" i="30" s="1"/>
  <c r="AF7325" i="30"/>
  <c r="AH7325" i="30" s="1"/>
  <c r="AF7326" i="30"/>
  <c r="AH7326" i="30" s="1"/>
  <c r="AF7327" i="30"/>
  <c r="AH7327" i="30" s="1"/>
  <c r="AF7328" i="30"/>
  <c r="AH7328" i="30" s="1"/>
  <c r="AF7329" i="30"/>
  <c r="AH7329" i="30" s="1"/>
  <c r="AF7330" i="30"/>
  <c r="AH7330" i="30" s="1"/>
  <c r="AF7331" i="30"/>
  <c r="AH7331" i="30" s="1"/>
  <c r="AF7332" i="30"/>
  <c r="AH7332" i="30" s="1"/>
  <c r="AF7333" i="30"/>
  <c r="AH7333" i="30" s="1"/>
  <c r="AF7334" i="30"/>
  <c r="AH7334" i="30" s="1"/>
  <c r="AF7335" i="30"/>
  <c r="AH7335" i="30" s="1"/>
  <c r="AF7336" i="30"/>
  <c r="AH7336" i="30" s="1"/>
  <c r="AF7337" i="30"/>
  <c r="AH7337" i="30" s="1"/>
  <c r="AF7338" i="30"/>
  <c r="AH7338" i="30" s="1"/>
  <c r="AF7339" i="30"/>
  <c r="AH7339" i="30" s="1"/>
  <c r="AF7340" i="30"/>
  <c r="AH7340" i="30" s="1"/>
  <c r="AF7341" i="30"/>
  <c r="AH7341" i="30" s="1"/>
  <c r="AF7342" i="30"/>
  <c r="AH7342" i="30" s="1"/>
  <c r="AF7343" i="30"/>
  <c r="AH7343" i="30" s="1"/>
  <c r="AF7344" i="30"/>
  <c r="AH7344" i="30" s="1"/>
  <c r="AF7345" i="30"/>
  <c r="AH7345" i="30" s="1"/>
  <c r="AF7346" i="30"/>
  <c r="AH7346" i="30" s="1"/>
  <c r="AF7347" i="30"/>
  <c r="AH7347" i="30" s="1"/>
  <c r="AF7348" i="30"/>
  <c r="AH7348" i="30" s="1"/>
  <c r="AF7349" i="30"/>
  <c r="AH7349" i="30" s="1"/>
  <c r="AF7350" i="30"/>
  <c r="AH7350" i="30" s="1"/>
  <c r="AF7351" i="30"/>
  <c r="AH7351" i="30" s="1"/>
  <c r="AF7352" i="30"/>
  <c r="AH7352" i="30" s="1"/>
  <c r="AF7353" i="30"/>
  <c r="AH7353" i="30" s="1"/>
  <c r="AF7354" i="30"/>
  <c r="AH7354" i="30" s="1"/>
  <c r="AF7355" i="30"/>
  <c r="AH7355" i="30" s="1"/>
  <c r="AF7356" i="30"/>
  <c r="AH7356" i="30" s="1"/>
  <c r="AF7357" i="30"/>
  <c r="AH7357" i="30" s="1"/>
  <c r="AF7358" i="30"/>
  <c r="AH7358" i="30" s="1"/>
  <c r="AF7359" i="30"/>
  <c r="AH7359" i="30" s="1"/>
  <c r="AF7360" i="30"/>
  <c r="AH7360" i="30" s="1"/>
  <c r="AF7361" i="30"/>
  <c r="AH7361" i="30" s="1"/>
  <c r="AF7362" i="30"/>
  <c r="AH7362" i="30" s="1"/>
  <c r="AF7363" i="30"/>
  <c r="AH7363" i="30" s="1"/>
  <c r="AF7364" i="30"/>
  <c r="AH7364" i="30" s="1"/>
  <c r="AF7365" i="30"/>
  <c r="AH7365" i="30" s="1"/>
  <c r="AF7366" i="30"/>
  <c r="AH7366" i="30" s="1"/>
  <c r="AF7367" i="30"/>
  <c r="AH7367" i="30" s="1"/>
  <c r="AF7368" i="30"/>
  <c r="AH7368" i="30" s="1"/>
  <c r="AF7369" i="30"/>
  <c r="AH7369" i="30" s="1"/>
  <c r="AF7370" i="30"/>
  <c r="AH7370" i="30" s="1"/>
  <c r="AF7371" i="30"/>
  <c r="AH7371" i="30" s="1"/>
  <c r="AF7372" i="30"/>
  <c r="AH7372" i="30" s="1"/>
  <c r="AF7373" i="30"/>
  <c r="AH7373" i="30" s="1"/>
  <c r="AF7374" i="30"/>
  <c r="AH7374" i="30" s="1"/>
  <c r="AF7375" i="30"/>
  <c r="AH7375" i="30" s="1"/>
  <c r="AF7376" i="30"/>
  <c r="AH7376" i="30" s="1"/>
  <c r="AF7377" i="30"/>
  <c r="AH7377" i="30" s="1"/>
  <c r="AF7378" i="30"/>
  <c r="AH7378" i="30" s="1"/>
  <c r="AF7379" i="30"/>
  <c r="AH7379" i="30" s="1"/>
  <c r="AF7380" i="30"/>
  <c r="AH7380" i="30" s="1"/>
  <c r="AF7381" i="30"/>
  <c r="AH7381" i="30" s="1"/>
  <c r="AF7382" i="30"/>
  <c r="AH7382" i="30" s="1"/>
  <c r="AF7383" i="30"/>
  <c r="AH7383" i="30" s="1"/>
  <c r="AF7384" i="30"/>
  <c r="AH7384" i="30" s="1"/>
  <c r="AF7385" i="30"/>
  <c r="AH7385" i="30" s="1"/>
  <c r="AF7386" i="30"/>
  <c r="AH7386" i="30" s="1"/>
  <c r="AF7387" i="30"/>
  <c r="AH7387" i="30" s="1"/>
  <c r="AF7388" i="30"/>
  <c r="AH7388" i="30" s="1"/>
  <c r="AF7389" i="30"/>
  <c r="AH7389" i="30" s="1"/>
  <c r="AF7390" i="30"/>
  <c r="AH7390" i="30" s="1"/>
  <c r="AF7391" i="30"/>
  <c r="AH7391" i="30" s="1"/>
  <c r="AF7392" i="30"/>
  <c r="AH7392" i="30" s="1"/>
  <c r="AF7393" i="30"/>
  <c r="AH7393" i="30" s="1"/>
  <c r="AF7394" i="30"/>
  <c r="AH7394" i="30" s="1"/>
  <c r="AF7395" i="30"/>
  <c r="AH7395" i="30" s="1"/>
  <c r="AF7396" i="30"/>
  <c r="AH7396" i="30" s="1"/>
  <c r="AF7397" i="30"/>
  <c r="AH7397" i="30" s="1"/>
  <c r="AF7398" i="30"/>
  <c r="AH7398" i="30" s="1"/>
  <c r="AF7399" i="30"/>
  <c r="AH7399" i="30" s="1"/>
  <c r="AF7400" i="30"/>
  <c r="AH7400" i="30" s="1"/>
  <c r="AF7401" i="30"/>
  <c r="AH7401" i="30" s="1"/>
  <c r="AF7402" i="30"/>
  <c r="AH7402" i="30" s="1"/>
  <c r="AF7403" i="30"/>
  <c r="AH7403" i="30" s="1"/>
  <c r="AF7404" i="30"/>
  <c r="AH7404" i="30" s="1"/>
  <c r="AF7405" i="30"/>
  <c r="AH7405" i="30" s="1"/>
  <c r="AF7406" i="30"/>
  <c r="AH7406" i="30" s="1"/>
  <c r="AF7407" i="30"/>
  <c r="AH7407" i="30" s="1"/>
  <c r="AF7408" i="30"/>
  <c r="AH7408" i="30" s="1"/>
  <c r="AF7409" i="30"/>
  <c r="AH7409" i="30" s="1"/>
  <c r="AF7410" i="30"/>
  <c r="AH7410" i="30" s="1"/>
  <c r="AF7411" i="30"/>
  <c r="AH7411" i="30" s="1"/>
  <c r="AF7412" i="30"/>
  <c r="AH7412" i="30" s="1"/>
  <c r="AF7413" i="30"/>
  <c r="AH7413" i="30" s="1"/>
  <c r="AF7414" i="30"/>
  <c r="AH7414" i="30" s="1"/>
  <c r="AF7415" i="30"/>
  <c r="AH7415" i="30" s="1"/>
  <c r="AF7416" i="30"/>
  <c r="AH7416" i="30" s="1"/>
  <c r="AF7417" i="30"/>
  <c r="AH7417" i="30" s="1"/>
  <c r="AF7418" i="30"/>
  <c r="AH7418" i="30" s="1"/>
  <c r="AF7419" i="30"/>
  <c r="AH7419" i="30" s="1"/>
  <c r="AF7420" i="30"/>
  <c r="AH7420" i="30" s="1"/>
  <c r="AF7421" i="30"/>
  <c r="AH7421" i="30" s="1"/>
  <c r="AF7422" i="30"/>
  <c r="AH7422" i="30" s="1"/>
  <c r="AF7423" i="30"/>
  <c r="AH7423" i="30" s="1"/>
  <c r="AF7424" i="30"/>
  <c r="AH7424" i="30" s="1"/>
  <c r="AF7425" i="30"/>
  <c r="AH7425" i="30" s="1"/>
  <c r="AF7426" i="30"/>
  <c r="AH7426" i="30" s="1"/>
  <c r="AF7427" i="30"/>
  <c r="AH7427" i="30" s="1"/>
  <c r="AF7428" i="30"/>
  <c r="AH7428" i="30" s="1"/>
  <c r="AF7429" i="30"/>
  <c r="AH7429" i="30" s="1"/>
  <c r="AF7430" i="30"/>
  <c r="AH7430" i="30" s="1"/>
  <c r="AF7431" i="30"/>
  <c r="AH7431" i="30" s="1"/>
  <c r="AF7432" i="30"/>
  <c r="AH7432" i="30" s="1"/>
  <c r="AF7433" i="30"/>
  <c r="AH7433" i="30" s="1"/>
  <c r="AF7434" i="30"/>
  <c r="AH7434" i="30" s="1"/>
  <c r="AF7435" i="30"/>
  <c r="AH7435" i="30" s="1"/>
  <c r="AF7436" i="30"/>
  <c r="AH7436" i="30" s="1"/>
  <c r="AF7437" i="30"/>
  <c r="AH7437" i="30" s="1"/>
  <c r="AF7438" i="30"/>
  <c r="AH7438" i="30" s="1"/>
  <c r="AF7439" i="30"/>
  <c r="AH7439" i="30" s="1"/>
  <c r="AF7440" i="30"/>
  <c r="AH7440" i="30" s="1"/>
  <c r="AF7441" i="30"/>
  <c r="AH7441" i="30" s="1"/>
  <c r="AF7442" i="30"/>
  <c r="AH7442" i="30" s="1"/>
  <c r="AF7443" i="30"/>
  <c r="AH7443" i="30" s="1"/>
  <c r="AF7444" i="30"/>
  <c r="AH7444" i="30" s="1"/>
  <c r="AF7445" i="30"/>
  <c r="AH7445" i="30" s="1"/>
  <c r="AF7446" i="30"/>
  <c r="AH7446" i="30" s="1"/>
  <c r="AF7447" i="30"/>
  <c r="AH7447" i="30" s="1"/>
  <c r="AF7448" i="30"/>
  <c r="AH7448" i="30" s="1"/>
  <c r="AF7449" i="30"/>
  <c r="AH7449" i="30" s="1"/>
  <c r="AF7450" i="30"/>
  <c r="AH7450" i="30" s="1"/>
  <c r="AF7451" i="30"/>
  <c r="AH7451" i="30" s="1"/>
  <c r="AF7452" i="30"/>
  <c r="AH7452" i="30" s="1"/>
  <c r="AF7453" i="30"/>
  <c r="AH7453" i="30" s="1"/>
  <c r="AF7454" i="30"/>
  <c r="AH7454" i="30" s="1"/>
  <c r="AF7455" i="30"/>
  <c r="AH7455" i="30" s="1"/>
  <c r="AF7456" i="30"/>
  <c r="AH7456" i="30" s="1"/>
  <c r="AF7457" i="30"/>
  <c r="AH7457" i="30" s="1"/>
  <c r="AF7458" i="30"/>
  <c r="AH7458" i="30" s="1"/>
  <c r="AF7459" i="30"/>
  <c r="AH7459" i="30" s="1"/>
  <c r="AF7460" i="30"/>
  <c r="AH7460" i="30" s="1"/>
  <c r="AF7461" i="30"/>
  <c r="AH7461" i="30" s="1"/>
  <c r="AF7462" i="30"/>
  <c r="AH7462" i="30" s="1"/>
  <c r="AF7463" i="30"/>
  <c r="AH7463" i="30" s="1"/>
  <c r="AF7464" i="30"/>
  <c r="AH7464" i="30" s="1"/>
  <c r="AF7465" i="30"/>
  <c r="AH7465" i="30" s="1"/>
  <c r="AF7466" i="30"/>
  <c r="AH7466" i="30" s="1"/>
  <c r="AF7467" i="30"/>
  <c r="AH7467" i="30" s="1"/>
  <c r="AF7468" i="30"/>
  <c r="AH7468" i="30" s="1"/>
  <c r="AF7469" i="30"/>
  <c r="AH7469" i="30" s="1"/>
  <c r="AF7470" i="30"/>
  <c r="AH7470" i="30" s="1"/>
  <c r="AF7471" i="30"/>
  <c r="AH7471" i="30" s="1"/>
  <c r="AF7472" i="30"/>
  <c r="AH7472" i="30" s="1"/>
  <c r="AF7473" i="30"/>
  <c r="AH7473" i="30" s="1"/>
  <c r="AF7474" i="30"/>
  <c r="AH7474" i="30" s="1"/>
  <c r="AG7816" i="30"/>
  <c r="AF7816" i="30"/>
  <c r="AH7816" i="30" s="1"/>
  <c r="AG7818" i="30"/>
  <c r="AF7818" i="30"/>
  <c r="AH7818" i="30" s="1"/>
  <c r="AG7820" i="30"/>
  <c r="AF7820" i="30"/>
  <c r="AH7820" i="30" s="1"/>
  <c r="AG7822" i="30"/>
  <c r="AF7822" i="30"/>
  <c r="AH7822" i="30" s="1"/>
  <c r="AG7824" i="30"/>
  <c r="AF7824" i="30"/>
  <c r="AH7824" i="30" s="1"/>
  <c r="AG7826" i="30"/>
  <c r="AF7826" i="30"/>
  <c r="AH7826" i="30" s="1"/>
  <c r="AG7828" i="30"/>
  <c r="AF7828" i="30"/>
  <c r="AH7828" i="30" s="1"/>
  <c r="AG7830" i="30"/>
  <c r="AF7830" i="30"/>
  <c r="AH7830" i="30" s="1"/>
  <c r="AG7832" i="30"/>
  <c r="AF7832" i="30"/>
  <c r="AH7832" i="30" s="1"/>
  <c r="AG7834" i="30"/>
  <c r="AF7834" i="30"/>
  <c r="AH7834" i="30" s="1"/>
  <c r="AG7836" i="30"/>
  <c r="AF7836" i="30"/>
  <c r="AH7836" i="30" s="1"/>
  <c r="AG7838" i="30"/>
  <c r="AF7838" i="30"/>
  <c r="AH7838" i="30" s="1"/>
  <c r="AG7840" i="30"/>
  <c r="AF7840" i="30"/>
  <c r="AH7840" i="30" s="1"/>
  <c r="AG7842" i="30"/>
  <c r="AF7842" i="30"/>
  <c r="AH7842" i="30" s="1"/>
  <c r="AG7844" i="30"/>
  <c r="AF7844" i="30"/>
  <c r="AH7844" i="30" s="1"/>
  <c r="AG7846" i="30"/>
  <c r="AF7846" i="30"/>
  <c r="AH7846" i="30" s="1"/>
  <c r="AG7848" i="30"/>
  <c r="AF7848" i="30"/>
  <c r="AH7848" i="30" s="1"/>
  <c r="AG7850" i="30"/>
  <c r="AF7850" i="30"/>
  <c r="AH7850" i="30" s="1"/>
  <c r="AG7852" i="30"/>
  <c r="AF7852" i="30"/>
  <c r="AH7852" i="30" s="1"/>
  <c r="AG7854" i="30"/>
  <c r="AF7854" i="30"/>
  <c r="AH7854" i="30" s="1"/>
  <c r="AG7856" i="30"/>
  <c r="AF7856" i="30"/>
  <c r="AH7856" i="30" s="1"/>
  <c r="AG7858" i="30"/>
  <c r="AF7858" i="30"/>
  <c r="AH7858" i="30" s="1"/>
  <c r="AG7860" i="30"/>
  <c r="AF7860" i="30"/>
  <c r="AH7860" i="30" s="1"/>
  <c r="AG7862" i="30"/>
  <c r="AF7862" i="30"/>
  <c r="AH7862" i="30" s="1"/>
  <c r="AG7864" i="30"/>
  <c r="AF7864" i="30"/>
  <c r="AH7864" i="30" s="1"/>
  <c r="AG7866" i="30"/>
  <c r="AF7866" i="30"/>
  <c r="AH7866" i="30" s="1"/>
  <c r="AG7868" i="30"/>
  <c r="AF7868" i="30"/>
  <c r="AH7868" i="30" s="1"/>
  <c r="AG7870" i="30"/>
  <c r="AF7870" i="30"/>
  <c r="AH7870" i="30" s="1"/>
  <c r="AG7872" i="30"/>
  <c r="AF7872" i="30"/>
  <c r="AH7872" i="30" s="1"/>
  <c r="AG7874" i="30"/>
  <c r="AF7874" i="30"/>
  <c r="AH7874" i="30" s="1"/>
  <c r="AG7876" i="30"/>
  <c r="AF7876" i="30"/>
  <c r="AH7876" i="30" s="1"/>
  <c r="AG7878" i="30"/>
  <c r="AF7878" i="30"/>
  <c r="AH7878" i="30" s="1"/>
  <c r="AG7880" i="30"/>
  <c r="AF7880" i="30"/>
  <c r="AH7880" i="30" s="1"/>
  <c r="AG7882" i="30"/>
  <c r="AF7882" i="30"/>
  <c r="AH7882" i="30" s="1"/>
  <c r="AG7884" i="30"/>
  <c r="AF7884" i="30"/>
  <c r="AH7884" i="30" s="1"/>
  <c r="AG7886" i="30"/>
  <c r="AF7886" i="30"/>
  <c r="AH7886" i="30" s="1"/>
  <c r="AG7888" i="30"/>
  <c r="AF7888" i="30"/>
  <c r="AH7888" i="30" s="1"/>
  <c r="AG7890" i="30"/>
  <c r="AF7890" i="30"/>
  <c r="AH7890" i="30" s="1"/>
  <c r="AG7892" i="30"/>
  <c r="AF7892" i="30"/>
  <c r="AH7892" i="30" s="1"/>
  <c r="AG7894" i="30"/>
  <c r="AF7894" i="30"/>
  <c r="AH7894" i="30" s="1"/>
  <c r="AG7896" i="30"/>
  <c r="AF7896" i="30"/>
  <c r="AH7896" i="30" s="1"/>
  <c r="AG7898" i="30"/>
  <c r="AF7898" i="30"/>
  <c r="AH7898" i="30" s="1"/>
  <c r="AG7900" i="30"/>
  <c r="AF7900" i="30"/>
  <c r="AH7900" i="30" s="1"/>
  <c r="AG7902" i="30"/>
  <c r="AF7902" i="30"/>
  <c r="AH7902" i="30" s="1"/>
  <c r="AG7904" i="30"/>
  <c r="AF7904" i="30"/>
  <c r="AH7904" i="30" s="1"/>
  <c r="AG7906" i="30"/>
  <c r="AF7906" i="30"/>
  <c r="AH7906" i="30" s="1"/>
  <c r="AG7908" i="30"/>
  <c r="AF7908" i="30"/>
  <c r="AH7908" i="30" s="1"/>
  <c r="AG7910" i="30"/>
  <c r="AF7910" i="30"/>
  <c r="AH7910" i="30" s="1"/>
  <c r="AG7912" i="30"/>
  <c r="AF7912" i="30"/>
  <c r="AH7912" i="30" s="1"/>
  <c r="AG7914" i="30"/>
  <c r="AF7914" i="30"/>
  <c r="AH7914" i="30" s="1"/>
  <c r="AG7916" i="30"/>
  <c r="AF7916" i="30"/>
  <c r="AH7916" i="30" s="1"/>
  <c r="AG7918" i="30"/>
  <c r="AF7918" i="30"/>
  <c r="AH7918" i="30" s="1"/>
  <c r="AG7920" i="30"/>
  <c r="AF7920" i="30"/>
  <c r="AH7920" i="30" s="1"/>
  <c r="AG7922" i="30"/>
  <c r="AF7922" i="30"/>
  <c r="AH7922" i="30" s="1"/>
  <c r="AG7924" i="30"/>
  <c r="AF7924" i="30"/>
  <c r="AH7924" i="30" s="1"/>
  <c r="AG7926" i="30"/>
  <c r="AF7926" i="30"/>
  <c r="AH7926" i="30" s="1"/>
  <c r="AG7928" i="30"/>
  <c r="AF7928" i="30"/>
  <c r="AH7928" i="30" s="1"/>
  <c r="AG7930" i="30"/>
  <c r="AF7930" i="30"/>
  <c r="AH7930" i="30" s="1"/>
  <c r="AG7932" i="30"/>
  <c r="AF7932" i="30"/>
  <c r="AH7932" i="30" s="1"/>
  <c r="AG7934" i="30"/>
  <c r="AF7934" i="30"/>
  <c r="AH7934" i="30" s="1"/>
  <c r="AG7936" i="30"/>
  <c r="AF7936" i="30"/>
  <c r="AH7936" i="30" s="1"/>
  <c r="AG7938" i="30"/>
  <c r="AF7938" i="30"/>
  <c r="AH7938" i="30" s="1"/>
  <c r="AG7940" i="30"/>
  <c r="AF7940" i="30"/>
  <c r="AH7940" i="30" s="1"/>
  <c r="AG7942" i="30"/>
  <c r="AF7942" i="30"/>
  <c r="AH7942" i="30" s="1"/>
  <c r="AG7944" i="30"/>
  <c r="AF7944" i="30"/>
  <c r="AH7944" i="30" s="1"/>
  <c r="AG7946" i="30"/>
  <c r="AF7946" i="30"/>
  <c r="AH7946" i="30" s="1"/>
  <c r="AG7948" i="30"/>
  <c r="AF7948" i="30"/>
  <c r="AH7948" i="30" s="1"/>
  <c r="AG7950" i="30"/>
  <c r="AF7950" i="30"/>
  <c r="AH7950" i="30" s="1"/>
  <c r="AG7952" i="30"/>
  <c r="AF7952" i="30"/>
  <c r="AH7952" i="30" s="1"/>
  <c r="AG7954" i="30"/>
  <c r="AF7954" i="30"/>
  <c r="AH7954" i="30" s="1"/>
  <c r="AG7956" i="30"/>
  <c r="AF7956" i="30"/>
  <c r="AH7956" i="30" s="1"/>
  <c r="AG7958" i="30"/>
  <c r="AF7958" i="30"/>
  <c r="AH7958" i="30" s="1"/>
  <c r="AG7960" i="30"/>
  <c r="AF7960" i="30"/>
  <c r="AH7960" i="30" s="1"/>
  <c r="AG7962" i="30"/>
  <c r="AF7962" i="30"/>
  <c r="AH7962" i="30" s="1"/>
  <c r="AG7964" i="30"/>
  <c r="AF7964" i="30"/>
  <c r="AH7964" i="30" s="1"/>
  <c r="AG7966" i="30"/>
  <c r="AF7966" i="30"/>
  <c r="AH7966" i="30" s="1"/>
  <c r="AG7968" i="30"/>
  <c r="AF7968" i="30"/>
  <c r="AH7968" i="30" s="1"/>
  <c r="AG7970" i="30"/>
  <c r="AF7970" i="30"/>
  <c r="AH7970" i="30" s="1"/>
  <c r="AG7972" i="30"/>
  <c r="AF7972" i="30"/>
  <c r="AH7972" i="30" s="1"/>
  <c r="AG7974" i="30"/>
  <c r="AF7974" i="30"/>
  <c r="AH7974" i="30" s="1"/>
  <c r="AG7976" i="30"/>
  <c r="AF7976" i="30"/>
  <c r="AH7976" i="30" s="1"/>
  <c r="AG7978" i="30"/>
  <c r="AF7978" i="30"/>
  <c r="AH7978" i="30" s="1"/>
  <c r="AG7980" i="30"/>
  <c r="AF7980" i="30"/>
  <c r="AH7980" i="30" s="1"/>
  <c r="AG7982" i="30"/>
  <c r="AF7982" i="30"/>
  <c r="AH7982" i="30" s="1"/>
  <c r="AG7984" i="30"/>
  <c r="AF7984" i="30"/>
  <c r="AH7984" i="30" s="1"/>
  <c r="AG7986" i="30"/>
  <c r="AF7986" i="30"/>
  <c r="AH7986" i="30" s="1"/>
  <c r="AG7988" i="30"/>
  <c r="AF7988" i="30"/>
  <c r="AH7988" i="30" s="1"/>
  <c r="AG7990" i="30"/>
  <c r="AF7990" i="30"/>
  <c r="AH7990" i="30" s="1"/>
  <c r="AG7992" i="30"/>
  <c r="AF7992" i="30"/>
  <c r="AH7992" i="30" s="1"/>
  <c r="AG7994" i="30"/>
  <c r="AF7994" i="30"/>
  <c r="AH7994" i="30" s="1"/>
  <c r="AG7996" i="30"/>
  <c r="AF7996" i="30"/>
  <c r="AH7996" i="30" s="1"/>
  <c r="AG7998" i="30"/>
  <c r="AF7998" i="30"/>
  <c r="AH7998" i="30" s="1"/>
  <c r="AG8000" i="30"/>
  <c r="AF8000" i="30"/>
  <c r="AH8000" i="30" s="1"/>
  <c r="AG8002" i="30"/>
  <c r="AF8002" i="30"/>
  <c r="AH8002" i="30" s="1"/>
  <c r="AG8004" i="30"/>
  <c r="AF8004" i="30"/>
  <c r="AH8004" i="30" s="1"/>
  <c r="AG8006" i="30"/>
  <c r="AF8006" i="30"/>
  <c r="AH8006" i="30" s="1"/>
  <c r="AG8008" i="30"/>
  <c r="AF8008" i="30"/>
  <c r="AH8008" i="30" s="1"/>
  <c r="AG8010" i="30"/>
  <c r="AF8010" i="30"/>
  <c r="AH8010" i="30" s="1"/>
  <c r="AG8012" i="30"/>
  <c r="AF8012" i="30"/>
  <c r="AH8012" i="30" s="1"/>
  <c r="AG8014" i="30"/>
  <c r="AF8014" i="30"/>
  <c r="AH8014" i="30" s="1"/>
  <c r="AG8016" i="30"/>
  <c r="AF8016" i="30"/>
  <c r="AH8016" i="30" s="1"/>
  <c r="AG8018" i="30"/>
  <c r="AF8018" i="30"/>
  <c r="AH8018" i="30" s="1"/>
  <c r="AG8020" i="30"/>
  <c r="AF8020" i="30"/>
  <c r="AH8020" i="30" s="1"/>
  <c r="AG8022" i="30"/>
  <c r="AF8022" i="30"/>
  <c r="AH8022" i="30" s="1"/>
  <c r="AG8024" i="30"/>
  <c r="AF8024" i="30"/>
  <c r="AH8024" i="30" s="1"/>
  <c r="AG8026" i="30"/>
  <c r="AF8026" i="30"/>
  <c r="AH8026" i="30" s="1"/>
  <c r="AG8028" i="30"/>
  <c r="AF8028" i="30"/>
  <c r="AH8028" i="30" s="1"/>
  <c r="AG8030" i="30"/>
  <c r="AF8030" i="30"/>
  <c r="AH8030" i="30" s="1"/>
  <c r="AG8032" i="30"/>
  <c r="AF8032" i="30"/>
  <c r="AH8032" i="30" s="1"/>
  <c r="AG8034" i="30"/>
  <c r="AF8034" i="30"/>
  <c r="AH8034" i="30" s="1"/>
  <c r="AG8036" i="30"/>
  <c r="AF8036" i="30"/>
  <c r="AH8036" i="30" s="1"/>
  <c r="AG8038" i="30"/>
  <c r="AF8038" i="30"/>
  <c r="AH8038" i="30" s="1"/>
  <c r="AG8040" i="30"/>
  <c r="AF8040" i="30"/>
  <c r="AH8040" i="30" s="1"/>
  <c r="AG8042" i="30"/>
  <c r="AF8042" i="30"/>
  <c r="AH8042" i="30" s="1"/>
  <c r="AG8044" i="30"/>
  <c r="AF8044" i="30"/>
  <c r="AH8044" i="30" s="1"/>
  <c r="AG8046" i="30"/>
  <c r="AF8046" i="30"/>
  <c r="AH8046" i="30" s="1"/>
  <c r="AG8048" i="30"/>
  <c r="AF8048" i="30"/>
  <c r="AH8048" i="30" s="1"/>
  <c r="AG8050" i="30"/>
  <c r="AF8050" i="30"/>
  <c r="AH8050" i="30" s="1"/>
  <c r="AG8052" i="30"/>
  <c r="AF8052" i="30"/>
  <c r="AH8052" i="30" s="1"/>
  <c r="AG8054" i="30"/>
  <c r="AF8054" i="30"/>
  <c r="AH8054" i="30" s="1"/>
  <c r="AG8056" i="30"/>
  <c r="AF8056" i="30"/>
  <c r="AH8056" i="30" s="1"/>
  <c r="AG8058" i="30"/>
  <c r="AF8058" i="30"/>
  <c r="AH8058" i="30" s="1"/>
  <c r="AG8060" i="30"/>
  <c r="AF8060" i="30"/>
  <c r="AH8060" i="30" s="1"/>
  <c r="AG8062" i="30"/>
  <c r="AF8062" i="30"/>
  <c r="AH8062" i="30" s="1"/>
  <c r="AG8064" i="30"/>
  <c r="AF8064" i="30"/>
  <c r="AH8064" i="30" s="1"/>
  <c r="AG8066" i="30"/>
  <c r="AF8066" i="30"/>
  <c r="AH8066" i="30" s="1"/>
  <c r="AG8068" i="30"/>
  <c r="AF8068" i="30"/>
  <c r="AH8068" i="30" s="1"/>
  <c r="AG8070" i="30"/>
  <c r="AF8070" i="30"/>
  <c r="AH8070" i="30" s="1"/>
  <c r="AG8072" i="30"/>
  <c r="AF8072" i="30"/>
  <c r="AH8072" i="30" s="1"/>
  <c r="AG8074" i="30"/>
  <c r="AF8074" i="30"/>
  <c r="AH8074" i="30" s="1"/>
  <c r="AG8076" i="30"/>
  <c r="AF8076" i="30"/>
  <c r="AH8076" i="30" s="1"/>
  <c r="AG8078" i="30"/>
  <c r="AF8078" i="30"/>
  <c r="AH8078" i="30" s="1"/>
  <c r="AG8080" i="30"/>
  <c r="AF8080" i="30"/>
  <c r="AH8080" i="30" s="1"/>
  <c r="AG8082" i="30"/>
  <c r="AF8082" i="30"/>
  <c r="AH8082" i="30" s="1"/>
  <c r="AG8084" i="30"/>
  <c r="AF8084" i="30"/>
  <c r="AH8084" i="30" s="1"/>
  <c r="AG8086" i="30"/>
  <c r="AF8086" i="30"/>
  <c r="AH8086" i="30" s="1"/>
  <c r="AG8088" i="30"/>
  <c r="AF8088" i="30"/>
  <c r="AH8088" i="30" s="1"/>
  <c r="AG8090" i="30"/>
  <c r="AF8090" i="30"/>
  <c r="AH8090" i="30" s="1"/>
  <c r="AG8092" i="30"/>
  <c r="AF8092" i="30"/>
  <c r="AH8092" i="30" s="1"/>
  <c r="AG8094" i="30"/>
  <c r="AF8094" i="30"/>
  <c r="AH8094" i="30" s="1"/>
  <c r="AG8096" i="30"/>
  <c r="AF8096" i="30"/>
  <c r="AH8096" i="30" s="1"/>
  <c r="AG8098" i="30"/>
  <c r="AF8098" i="30"/>
  <c r="AH8098" i="30" s="1"/>
  <c r="AG8100" i="30"/>
  <c r="AF8100" i="30"/>
  <c r="AH8100" i="30" s="1"/>
  <c r="AG8102" i="30"/>
  <c r="AF8102" i="30"/>
  <c r="AH8102" i="30" s="1"/>
  <c r="AG8104" i="30"/>
  <c r="AF8104" i="30"/>
  <c r="AH8104" i="30" s="1"/>
  <c r="AG8106" i="30"/>
  <c r="AF8106" i="30"/>
  <c r="AH8106" i="30" s="1"/>
  <c r="AG8108" i="30"/>
  <c r="AF8108" i="30"/>
  <c r="AH8108" i="30" s="1"/>
  <c r="AG8110" i="30"/>
  <c r="AF8110" i="30"/>
  <c r="AH8110" i="30" s="1"/>
  <c r="AG8112" i="30"/>
  <c r="AF8112" i="30"/>
  <c r="AH8112" i="30" s="1"/>
  <c r="AG8114" i="30"/>
  <c r="AF8114" i="30"/>
  <c r="AH8114" i="30" s="1"/>
  <c r="AG8116" i="30"/>
  <c r="AF8116" i="30"/>
  <c r="AH8116" i="30" s="1"/>
  <c r="AG8118" i="30"/>
  <c r="AF8118" i="30"/>
  <c r="AH8118" i="30" s="1"/>
  <c r="AG8120" i="30"/>
  <c r="AF8120" i="30"/>
  <c r="AH8120" i="30" s="1"/>
  <c r="AG8122" i="30"/>
  <c r="AF8122" i="30"/>
  <c r="AH8122" i="30" s="1"/>
  <c r="AG8124" i="30"/>
  <c r="AF8124" i="30"/>
  <c r="AH8124" i="30" s="1"/>
  <c r="AG8126" i="30"/>
  <c r="AF8126" i="30"/>
  <c r="AH8126" i="30" s="1"/>
  <c r="AG8128" i="30"/>
  <c r="AF8128" i="30"/>
  <c r="AH8128" i="30" s="1"/>
  <c r="AG8130" i="30"/>
  <c r="AF8130" i="30"/>
  <c r="AH8130" i="30" s="1"/>
  <c r="AG8132" i="30"/>
  <c r="AF8132" i="30"/>
  <c r="AH8132" i="30" s="1"/>
  <c r="AG8134" i="30"/>
  <c r="AF8134" i="30"/>
  <c r="AH8134" i="30" s="1"/>
  <c r="AG8136" i="30"/>
  <c r="AF8136" i="30"/>
  <c r="AH8136" i="30" s="1"/>
  <c r="AG8138" i="30"/>
  <c r="AF8138" i="30"/>
  <c r="AH8138" i="30" s="1"/>
  <c r="AG8140" i="30"/>
  <c r="AF8140" i="30"/>
  <c r="AH8140" i="30" s="1"/>
  <c r="AG8142" i="30"/>
  <c r="AF8142" i="30"/>
  <c r="AH8142" i="30" s="1"/>
  <c r="AG8144" i="30"/>
  <c r="AF8144" i="30"/>
  <c r="AH8144" i="30" s="1"/>
  <c r="AG8146" i="30"/>
  <c r="AF8146" i="30"/>
  <c r="AH8146" i="30" s="1"/>
  <c r="AG8148" i="30"/>
  <c r="AF8148" i="30"/>
  <c r="AH8148" i="30" s="1"/>
  <c r="AG8150" i="30"/>
  <c r="AF8150" i="30"/>
  <c r="AH8150" i="30" s="1"/>
  <c r="AG8152" i="30"/>
  <c r="AF8152" i="30"/>
  <c r="AH8152" i="30" s="1"/>
  <c r="AG8154" i="30"/>
  <c r="AF8154" i="30"/>
  <c r="AH8154" i="30" s="1"/>
  <c r="AG8156" i="30"/>
  <c r="AF8156" i="30"/>
  <c r="AH8156" i="30" s="1"/>
  <c r="AG8158" i="30"/>
  <c r="AF8158" i="30"/>
  <c r="AH8158" i="30" s="1"/>
  <c r="AG8160" i="30"/>
  <c r="AF8160" i="30"/>
  <c r="AH8160" i="30" s="1"/>
  <c r="AG8162" i="30"/>
  <c r="AF8162" i="30"/>
  <c r="AH8162" i="30" s="1"/>
  <c r="AG8164" i="30"/>
  <c r="AF8164" i="30"/>
  <c r="AH8164" i="30" s="1"/>
  <c r="AG8166" i="30"/>
  <c r="AF8166" i="30"/>
  <c r="AH8166" i="30" s="1"/>
  <c r="AG8168" i="30"/>
  <c r="AF8168" i="30"/>
  <c r="AH8168" i="30" s="1"/>
  <c r="AG8170" i="30"/>
  <c r="AF8170" i="30"/>
  <c r="AH8170" i="30" s="1"/>
  <c r="AG8172" i="30"/>
  <c r="AF8172" i="30"/>
  <c r="AH8172" i="30" s="1"/>
  <c r="AG8174" i="30"/>
  <c r="AF8174" i="30"/>
  <c r="AH8174" i="30" s="1"/>
  <c r="AG8176" i="30"/>
  <c r="AF8176" i="30"/>
  <c r="AH8176" i="30" s="1"/>
  <c r="AG8178" i="30"/>
  <c r="AF8178" i="30"/>
  <c r="AH8178" i="30" s="1"/>
  <c r="AG8180" i="30"/>
  <c r="AF8180" i="30"/>
  <c r="AH8180" i="30" s="1"/>
  <c r="AG8182" i="30"/>
  <c r="AF8182" i="30"/>
  <c r="AH8182" i="30" s="1"/>
  <c r="AG8184" i="30"/>
  <c r="AF8184" i="30"/>
  <c r="AH8184" i="30" s="1"/>
  <c r="AG8186" i="30"/>
  <c r="AF8186" i="30"/>
  <c r="AH8186" i="30" s="1"/>
  <c r="AG8188" i="30"/>
  <c r="AF8188" i="30"/>
  <c r="AH8188" i="30" s="1"/>
  <c r="AG8190" i="30"/>
  <c r="AF8190" i="30"/>
  <c r="AH8190" i="30" s="1"/>
  <c r="AG8192" i="30"/>
  <c r="AF8192" i="30"/>
  <c r="AH8192" i="30" s="1"/>
  <c r="AG8194" i="30"/>
  <c r="AF8194" i="30"/>
  <c r="AH8194" i="30" s="1"/>
  <c r="AG8196" i="30"/>
  <c r="AF8196" i="30"/>
  <c r="AH8196" i="30" s="1"/>
  <c r="AG8198" i="30"/>
  <c r="AF8198" i="30"/>
  <c r="AH8198" i="30" s="1"/>
  <c r="AG8200" i="30"/>
  <c r="AF8200" i="30"/>
  <c r="AH8200" i="30" s="1"/>
  <c r="AG8202" i="30"/>
  <c r="AF8202" i="30"/>
  <c r="AH8202" i="30" s="1"/>
  <c r="AG8204" i="30"/>
  <c r="AF8204" i="30"/>
  <c r="AH8204" i="30" s="1"/>
  <c r="AG8206" i="30"/>
  <c r="AF8206" i="30"/>
  <c r="AH8206" i="30" s="1"/>
  <c r="AG8208" i="30"/>
  <c r="AF8208" i="30"/>
  <c r="AH8208" i="30" s="1"/>
  <c r="AG8210" i="30"/>
  <c r="AF8210" i="30"/>
  <c r="AH8210" i="30" s="1"/>
  <c r="AG8212" i="30"/>
  <c r="AF8212" i="30"/>
  <c r="AH8212" i="30" s="1"/>
  <c r="AG8214" i="30"/>
  <c r="AF8214" i="30"/>
  <c r="AH8214" i="30" s="1"/>
  <c r="AG8216" i="30"/>
  <c r="AF8216" i="30"/>
  <c r="AH8216" i="30" s="1"/>
  <c r="AG8218" i="30"/>
  <c r="AF8218" i="30"/>
  <c r="AH8218" i="30" s="1"/>
  <c r="AG8220" i="30"/>
  <c r="AF8220" i="30"/>
  <c r="AH8220" i="30" s="1"/>
  <c r="AG8222" i="30"/>
  <c r="AF8222" i="30"/>
  <c r="AH8222" i="30" s="1"/>
  <c r="AG8224" i="30"/>
  <c r="AF8224" i="30"/>
  <c r="AH8224" i="30" s="1"/>
  <c r="AG8226" i="30"/>
  <c r="AF8226" i="30"/>
  <c r="AH8226" i="30" s="1"/>
  <c r="AG8228" i="30"/>
  <c r="AF8228" i="30"/>
  <c r="AH8228" i="30" s="1"/>
  <c r="AG8230" i="30"/>
  <c r="AF8230" i="30"/>
  <c r="AH8230" i="30" s="1"/>
  <c r="AG8232" i="30"/>
  <c r="AF8232" i="30"/>
  <c r="AH8232" i="30" s="1"/>
  <c r="AG7721" i="30"/>
  <c r="AF7721" i="30"/>
  <c r="AH7721" i="30" s="1"/>
  <c r="AG7723" i="30"/>
  <c r="AF7723" i="30"/>
  <c r="AH7723" i="30" s="1"/>
  <c r="AG7725" i="30"/>
  <c r="AF7725" i="30"/>
  <c r="AH7725" i="30" s="1"/>
  <c r="AG7727" i="30"/>
  <c r="AF7727" i="30"/>
  <c r="AH7727" i="30" s="1"/>
  <c r="AG7729" i="30"/>
  <c r="AF7729" i="30"/>
  <c r="AH7729" i="30" s="1"/>
  <c r="AG7731" i="30"/>
  <c r="AF7731" i="30"/>
  <c r="AH7731" i="30" s="1"/>
  <c r="AG7733" i="30"/>
  <c r="AF7733" i="30"/>
  <c r="AH7733" i="30" s="1"/>
  <c r="AG7735" i="30"/>
  <c r="AF7735" i="30"/>
  <c r="AH7735" i="30" s="1"/>
  <c r="AG7737" i="30"/>
  <c r="AF7737" i="30"/>
  <c r="AH7737" i="30" s="1"/>
  <c r="AG7739" i="30"/>
  <c r="AF7739" i="30"/>
  <c r="AH7739" i="30" s="1"/>
  <c r="AG7741" i="30"/>
  <c r="AF7741" i="30"/>
  <c r="AH7741" i="30" s="1"/>
  <c r="AG7743" i="30"/>
  <c r="AF7743" i="30"/>
  <c r="AH7743" i="30" s="1"/>
  <c r="AG7745" i="30"/>
  <c r="AF7745" i="30"/>
  <c r="AH7745" i="30" s="1"/>
  <c r="AG7747" i="30"/>
  <c r="AF7747" i="30"/>
  <c r="AH7747" i="30" s="1"/>
  <c r="AG7749" i="30"/>
  <c r="AF7749" i="30"/>
  <c r="AH7749" i="30" s="1"/>
  <c r="AG7751" i="30"/>
  <c r="AF7751" i="30"/>
  <c r="AH7751" i="30" s="1"/>
  <c r="AG7753" i="30"/>
  <c r="AF7753" i="30"/>
  <c r="AH7753" i="30" s="1"/>
  <c r="AG7755" i="30"/>
  <c r="AF7755" i="30"/>
  <c r="AH7755" i="30" s="1"/>
  <c r="AG7757" i="30"/>
  <c r="AF7757" i="30"/>
  <c r="AH7757" i="30" s="1"/>
  <c r="AG7759" i="30"/>
  <c r="AF7759" i="30"/>
  <c r="AH7759" i="30" s="1"/>
  <c r="AG7761" i="30"/>
  <c r="AF7761" i="30"/>
  <c r="AH7761" i="30" s="1"/>
  <c r="AG7763" i="30"/>
  <c r="AF7763" i="30"/>
  <c r="AH7763" i="30" s="1"/>
  <c r="AG7765" i="30"/>
  <c r="AF7765" i="30"/>
  <c r="AH7765" i="30" s="1"/>
  <c r="AG7767" i="30"/>
  <c r="AF7767" i="30"/>
  <c r="AH7767" i="30" s="1"/>
  <c r="AG7769" i="30"/>
  <c r="AF7769" i="30"/>
  <c r="AH7769" i="30" s="1"/>
  <c r="AG7771" i="30"/>
  <c r="AF7771" i="30"/>
  <c r="AH7771" i="30" s="1"/>
  <c r="AG7773" i="30"/>
  <c r="AF7773" i="30"/>
  <c r="AH7773" i="30" s="1"/>
  <c r="AG7775" i="30"/>
  <c r="AF7775" i="30"/>
  <c r="AH7775" i="30" s="1"/>
  <c r="AG7777" i="30"/>
  <c r="AF7777" i="30"/>
  <c r="AH7777" i="30" s="1"/>
  <c r="AG7779" i="30"/>
  <c r="AF7779" i="30"/>
  <c r="AH7779" i="30" s="1"/>
  <c r="AG7781" i="30"/>
  <c r="AF7781" i="30"/>
  <c r="AH7781" i="30" s="1"/>
  <c r="AG7783" i="30"/>
  <c r="AF7783" i="30"/>
  <c r="AH7783" i="30" s="1"/>
  <c r="AG7785" i="30"/>
  <c r="AF7785" i="30"/>
  <c r="AH7785" i="30" s="1"/>
  <c r="AG7787" i="30"/>
  <c r="AF7787" i="30"/>
  <c r="AH7787" i="30" s="1"/>
  <c r="AG7789" i="30"/>
  <c r="AF7789" i="30"/>
  <c r="AH7789" i="30" s="1"/>
  <c r="AG7791" i="30"/>
  <c r="AF7791" i="30"/>
  <c r="AH7791" i="30" s="1"/>
  <c r="AG7793" i="30"/>
  <c r="AF7793" i="30"/>
  <c r="AH7793" i="30" s="1"/>
  <c r="AG7795" i="30"/>
  <c r="AF7795" i="30"/>
  <c r="AH7795" i="30" s="1"/>
  <c r="AG7797" i="30"/>
  <c r="AF7797" i="30"/>
  <c r="AH7797" i="30" s="1"/>
  <c r="AG7799" i="30"/>
  <c r="AF7799" i="30"/>
  <c r="AH7799" i="30" s="1"/>
  <c r="AG7801" i="30"/>
  <c r="AF7801" i="30"/>
  <c r="AH7801" i="30" s="1"/>
  <c r="AG7803" i="30"/>
  <c r="AF7803" i="30"/>
  <c r="AH7803" i="30" s="1"/>
  <c r="AG7805" i="30"/>
  <c r="AF7805" i="30"/>
  <c r="AH7805" i="30" s="1"/>
  <c r="AG7807" i="30"/>
  <c r="AF7807" i="30"/>
  <c r="AH7807" i="30" s="1"/>
  <c r="AG7809" i="30"/>
  <c r="AF7809" i="30"/>
  <c r="AH7809" i="30" s="1"/>
  <c r="AG7811" i="30"/>
  <c r="AF7811" i="30"/>
  <c r="AH7811" i="30" s="1"/>
  <c r="AG7813" i="30"/>
  <c r="AF7813" i="30"/>
  <c r="AH7813" i="30" s="1"/>
  <c r="AG7815" i="30"/>
  <c r="AF7815" i="30"/>
  <c r="AH7815" i="30" s="1"/>
  <c r="AG7817" i="30"/>
  <c r="AF7817" i="30"/>
  <c r="AH7817" i="30" s="1"/>
  <c r="AG7819" i="30"/>
  <c r="AF7819" i="30"/>
  <c r="AH7819" i="30" s="1"/>
  <c r="AG7821" i="30"/>
  <c r="AF7821" i="30"/>
  <c r="AH7821" i="30" s="1"/>
  <c r="AG7823" i="30"/>
  <c r="AF7823" i="30"/>
  <c r="AH7823" i="30" s="1"/>
  <c r="AG7825" i="30"/>
  <c r="AF7825" i="30"/>
  <c r="AH7825" i="30" s="1"/>
  <c r="AG7827" i="30"/>
  <c r="AF7827" i="30"/>
  <c r="AH7827" i="30" s="1"/>
  <c r="AG7829" i="30"/>
  <c r="AF7829" i="30"/>
  <c r="AH7829" i="30" s="1"/>
  <c r="AG7831" i="30"/>
  <c r="AF7831" i="30"/>
  <c r="AH7831" i="30" s="1"/>
  <c r="AG7833" i="30"/>
  <c r="AF7833" i="30"/>
  <c r="AH7833" i="30" s="1"/>
  <c r="AG7835" i="30"/>
  <c r="AF7835" i="30"/>
  <c r="AH7835" i="30" s="1"/>
  <c r="AG7837" i="30"/>
  <c r="AF7837" i="30"/>
  <c r="AH7837" i="30" s="1"/>
  <c r="AG7839" i="30"/>
  <c r="AF7839" i="30"/>
  <c r="AH7839" i="30" s="1"/>
  <c r="AG7841" i="30"/>
  <c r="AF7841" i="30"/>
  <c r="AH7841" i="30" s="1"/>
  <c r="AG7843" i="30"/>
  <c r="AF7843" i="30"/>
  <c r="AH7843" i="30" s="1"/>
  <c r="AG7845" i="30"/>
  <c r="AF7845" i="30"/>
  <c r="AH7845" i="30" s="1"/>
  <c r="AG7847" i="30"/>
  <c r="AF7847" i="30"/>
  <c r="AH7847" i="30" s="1"/>
  <c r="AG7849" i="30"/>
  <c r="AF7849" i="30"/>
  <c r="AH7849" i="30" s="1"/>
  <c r="AG7851" i="30"/>
  <c r="AF7851" i="30"/>
  <c r="AH7851" i="30" s="1"/>
  <c r="AG7853" i="30"/>
  <c r="AF7853" i="30"/>
  <c r="AH7853" i="30" s="1"/>
  <c r="AG7855" i="30"/>
  <c r="AF7855" i="30"/>
  <c r="AH7855" i="30" s="1"/>
  <c r="AG7857" i="30"/>
  <c r="AF7857" i="30"/>
  <c r="AH7857" i="30" s="1"/>
  <c r="AG7859" i="30"/>
  <c r="AF7859" i="30"/>
  <c r="AH7859" i="30" s="1"/>
  <c r="AG7861" i="30"/>
  <c r="AF7861" i="30"/>
  <c r="AH7861" i="30" s="1"/>
  <c r="AG7863" i="30"/>
  <c r="AF7863" i="30"/>
  <c r="AH7863" i="30" s="1"/>
  <c r="AG7865" i="30"/>
  <c r="AF7865" i="30"/>
  <c r="AH7865" i="30" s="1"/>
  <c r="AG7867" i="30"/>
  <c r="AF7867" i="30"/>
  <c r="AH7867" i="30" s="1"/>
  <c r="AG7869" i="30"/>
  <c r="AF7869" i="30"/>
  <c r="AH7869" i="30" s="1"/>
  <c r="AG7871" i="30"/>
  <c r="AF7871" i="30"/>
  <c r="AH7871" i="30" s="1"/>
  <c r="AG7873" i="30"/>
  <c r="AF7873" i="30"/>
  <c r="AH7873" i="30" s="1"/>
  <c r="AG7875" i="30"/>
  <c r="AF7875" i="30"/>
  <c r="AH7875" i="30" s="1"/>
  <c r="AG7877" i="30"/>
  <c r="AF7877" i="30"/>
  <c r="AH7877" i="30" s="1"/>
  <c r="AG7879" i="30"/>
  <c r="AF7879" i="30"/>
  <c r="AH7879" i="30" s="1"/>
  <c r="AG7881" i="30"/>
  <c r="AF7881" i="30"/>
  <c r="AH7881" i="30" s="1"/>
  <c r="AG7883" i="30"/>
  <c r="AF7883" i="30"/>
  <c r="AH7883" i="30" s="1"/>
  <c r="AG7885" i="30"/>
  <c r="AF7885" i="30"/>
  <c r="AH7885" i="30" s="1"/>
  <c r="AG7887" i="30"/>
  <c r="AF7887" i="30"/>
  <c r="AH7887" i="30" s="1"/>
  <c r="AG7889" i="30"/>
  <c r="AF7889" i="30"/>
  <c r="AH7889" i="30" s="1"/>
  <c r="AG7891" i="30"/>
  <c r="AF7891" i="30"/>
  <c r="AH7891" i="30" s="1"/>
  <c r="AG7893" i="30"/>
  <c r="AF7893" i="30"/>
  <c r="AH7893" i="30" s="1"/>
  <c r="AG7895" i="30"/>
  <c r="AF7895" i="30"/>
  <c r="AH7895" i="30" s="1"/>
  <c r="AG7897" i="30"/>
  <c r="AF7897" i="30"/>
  <c r="AH7897" i="30" s="1"/>
  <c r="AG7899" i="30"/>
  <c r="AF7899" i="30"/>
  <c r="AH7899" i="30" s="1"/>
  <c r="AG7901" i="30"/>
  <c r="AF7901" i="30"/>
  <c r="AH7901" i="30" s="1"/>
  <c r="AG7903" i="30"/>
  <c r="AF7903" i="30"/>
  <c r="AH7903" i="30" s="1"/>
  <c r="AG7905" i="30"/>
  <c r="AF7905" i="30"/>
  <c r="AH7905" i="30" s="1"/>
  <c r="AG7907" i="30"/>
  <c r="AF7907" i="30"/>
  <c r="AH7907" i="30" s="1"/>
  <c r="AG7909" i="30"/>
  <c r="AF7909" i="30"/>
  <c r="AH7909" i="30" s="1"/>
  <c r="AG7911" i="30"/>
  <c r="AF7911" i="30"/>
  <c r="AH7911" i="30" s="1"/>
  <c r="AG7913" i="30"/>
  <c r="AF7913" i="30"/>
  <c r="AH7913" i="30" s="1"/>
  <c r="AG7915" i="30"/>
  <c r="AF7915" i="30"/>
  <c r="AH7915" i="30" s="1"/>
  <c r="AG7917" i="30"/>
  <c r="AF7917" i="30"/>
  <c r="AH7917" i="30" s="1"/>
  <c r="AG7919" i="30"/>
  <c r="AF7919" i="30"/>
  <c r="AH7919" i="30" s="1"/>
  <c r="AG7921" i="30"/>
  <c r="AF7921" i="30"/>
  <c r="AH7921" i="30" s="1"/>
  <c r="AG7923" i="30"/>
  <c r="AF7923" i="30"/>
  <c r="AH7923" i="30" s="1"/>
  <c r="AG7925" i="30"/>
  <c r="AF7925" i="30"/>
  <c r="AH7925" i="30" s="1"/>
  <c r="AG7927" i="30"/>
  <c r="AF7927" i="30"/>
  <c r="AH7927" i="30" s="1"/>
  <c r="AG7929" i="30"/>
  <c r="AF7929" i="30"/>
  <c r="AH7929" i="30" s="1"/>
  <c r="AG7931" i="30"/>
  <c r="AF7931" i="30"/>
  <c r="AH7931" i="30" s="1"/>
  <c r="AG7933" i="30"/>
  <c r="AF7933" i="30"/>
  <c r="AH7933" i="30" s="1"/>
  <c r="AG7935" i="30"/>
  <c r="AF7935" i="30"/>
  <c r="AH7935" i="30" s="1"/>
  <c r="AG7937" i="30"/>
  <c r="AF7937" i="30"/>
  <c r="AH7937" i="30" s="1"/>
  <c r="AG7939" i="30"/>
  <c r="AF7939" i="30"/>
  <c r="AH7939" i="30" s="1"/>
  <c r="AG7941" i="30"/>
  <c r="AF7941" i="30"/>
  <c r="AH7941" i="30" s="1"/>
  <c r="AG7943" i="30"/>
  <c r="AF7943" i="30"/>
  <c r="AH7943" i="30" s="1"/>
  <c r="AG7945" i="30"/>
  <c r="AF7945" i="30"/>
  <c r="AH7945" i="30" s="1"/>
  <c r="AG7947" i="30"/>
  <c r="AF7947" i="30"/>
  <c r="AH7947" i="30" s="1"/>
  <c r="AG7949" i="30"/>
  <c r="AF7949" i="30"/>
  <c r="AH7949" i="30" s="1"/>
  <c r="AG7951" i="30"/>
  <c r="AF7951" i="30"/>
  <c r="AH7951" i="30" s="1"/>
  <c r="AG7953" i="30"/>
  <c r="AF7953" i="30"/>
  <c r="AH7953" i="30" s="1"/>
  <c r="AG7955" i="30"/>
  <c r="AF7955" i="30"/>
  <c r="AH7955" i="30" s="1"/>
  <c r="AG7957" i="30"/>
  <c r="AF7957" i="30"/>
  <c r="AH7957" i="30" s="1"/>
  <c r="AG7959" i="30"/>
  <c r="AF7959" i="30"/>
  <c r="AH7959" i="30" s="1"/>
  <c r="AG7961" i="30"/>
  <c r="AF7961" i="30"/>
  <c r="AH7961" i="30" s="1"/>
  <c r="AG7963" i="30"/>
  <c r="AF7963" i="30"/>
  <c r="AH7963" i="30" s="1"/>
  <c r="AG7965" i="30"/>
  <c r="AF7965" i="30"/>
  <c r="AH7965" i="30" s="1"/>
  <c r="AG7967" i="30"/>
  <c r="AF7967" i="30"/>
  <c r="AH7967" i="30" s="1"/>
  <c r="AG7969" i="30"/>
  <c r="AF7969" i="30"/>
  <c r="AH7969" i="30" s="1"/>
  <c r="AG7971" i="30"/>
  <c r="AF7971" i="30"/>
  <c r="AH7971" i="30" s="1"/>
  <c r="AG7973" i="30"/>
  <c r="AF7973" i="30"/>
  <c r="AH7973" i="30" s="1"/>
  <c r="AG7975" i="30"/>
  <c r="AF7975" i="30"/>
  <c r="AH7975" i="30" s="1"/>
  <c r="AG7977" i="30"/>
  <c r="AF7977" i="30"/>
  <c r="AH7977" i="30" s="1"/>
  <c r="AG7979" i="30"/>
  <c r="AF7979" i="30"/>
  <c r="AH7979" i="30" s="1"/>
  <c r="AG7981" i="30"/>
  <c r="AF7981" i="30"/>
  <c r="AH7981" i="30" s="1"/>
  <c r="AG7983" i="30"/>
  <c r="AF7983" i="30"/>
  <c r="AH7983" i="30" s="1"/>
  <c r="AG7985" i="30"/>
  <c r="AF7985" i="30"/>
  <c r="AH7985" i="30" s="1"/>
  <c r="AG7987" i="30"/>
  <c r="AF7987" i="30"/>
  <c r="AH7987" i="30" s="1"/>
  <c r="AG7989" i="30"/>
  <c r="AF7989" i="30"/>
  <c r="AH7989" i="30" s="1"/>
  <c r="AG7991" i="30"/>
  <c r="AF7991" i="30"/>
  <c r="AH7991" i="30" s="1"/>
  <c r="AG7993" i="30"/>
  <c r="AF7993" i="30"/>
  <c r="AH7993" i="30" s="1"/>
  <c r="AG7995" i="30"/>
  <c r="AF7995" i="30"/>
  <c r="AH7995" i="30" s="1"/>
  <c r="AG7997" i="30"/>
  <c r="AF7997" i="30"/>
  <c r="AH7997" i="30" s="1"/>
  <c r="AG7999" i="30"/>
  <c r="AF7999" i="30"/>
  <c r="AH7999" i="30" s="1"/>
  <c r="AG8001" i="30"/>
  <c r="AF8001" i="30"/>
  <c r="AH8001" i="30" s="1"/>
  <c r="AG8003" i="30"/>
  <c r="AF8003" i="30"/>
  <c r="AH8003" i="30" s="1"/>
  <c r="AG8005" i="30"/>
  <c r="AF8005" i="30"/>
  <c r="AH8005" i="30" s="1"/>
  <c r="AG8007" i="30"/>
  <c r="AF8007" i="30"/>
  <c r="AH8007" i="30" s="1"/>
  <c r="AG8009" i="30"/>
  <c r="AF8009" i="30"/>
  <c r="AH8009" i="30" s="1"/>
  <c r="AG8011" i="30"/>
  <c r="AF8011" i="30"/>
  <c r="AH8011" i="30" s="1"/>
  <c r="AG8013" i="30"/>
  <c r="AF8013" i="30"/>
  <c r="AH8013" i="30" s="1"/>
  <c r="AG8015" i="30"/>
  <c r="AF8015" i="30"/>
  <c r="AH8015" i="30" s="1"/>
  <c r="AG8017" i="30"/>
  <c r="AF8017" i="30"/>
  <c r="AH8017" i="30" s="1"/>
  <c r="AG8019" i="30"/>
  <c r="AF8019" i="30"/>
  <c r="AH8019" i="30" s="1"/>
  <c r="AG8021" i="30"/>
  <c r="AF8021" i="30"/>
  <c r="AH8021" i="30" s="1"/>
  <c r="AG8023" i="30"/>
  <c r="AF8023" i="30"/>
  <c r="AH8023" i="30" s="1"/>
  <c r="AG8025" i="30"/>
  <c r="AF8025" i="30"/>
  <c r="AH8025" i="30" s="1"/>
  <c r="AG8027" i="30"/>
  <c r="AF8027" i="30"/>
  <c r="AH8027" i="30" s="1"/>
  <c r="AG8029" i="30"/>
  <c r="AF8029" i="30"/>
  <c r="AH8029" i="30" s="1"/>
  <c r="AG8031" i="30"/>
  <c r="AF8031" i="30"/>
  <c r="AH8031" i="30" s="1"/>
  <c r="AG8033" i="30"/>
  <c r="AF8033" i="30"/>
  <c r="AH8033" i="30" s="1"/>
  <c r="AG8035" i="30"/>
  <c r="AF8035" i="30"/>
  <c r="AH8035" i="30" s="1"/>
  <c r="AG8037" i="30"/>
  <c r="AF8037" i="30"/>
  <c r="AH8037" i="30" s="1"/>
  <c r="AG8039" i="30"/>
  <c r="AF8039" i="30"/>
  <c r="AH8039" i="30" s="1"/>
  <c r="AG8041" i="30"/>
  <c r="AF8041" i="30"/>
  <c r="AH8041" i="30" s="1"/>
  <c r="AG8043" i="30"/>
  <c r="AF8043" i="30"/>
  <c r="AH8043" i="30" s="1"/>
  <c r="AG8045" i="30"/>
  <c r="AF8045" i="30"/>
  <c r="AH8045" i="30" s="1"/>
  <c r="AG8047" i="30"/>
  <c r="AF8047" i="30"/>
  <c r="AH8047" i="30" s="1"/>
  <c r="AG8049" i="30"/>
  <c r="AF8049" i="30"/>
  <c r="AH8049" i="30" s="1"/>
  <c r="AG8051" i="30"/>
  <c r="AF8051" i="30"/>
  <c r="AH8051" i="30" s="1"/>
  <c r="AG8053" i="30"/>
  <c r="AF8053" i="30"/>
  <c r="AH8053" i="30" s="1"/>
  <c r="AG8055" i="30"/>
  <c r="AF8055" i="30"/>
  <c r="AH8055" i="30" s="1"/>
  <c r="AG8057" i="30"/>
  <c r="AF8057" i="30"/>
  <c r="AH8057" i="30" s="1"/>
  <c r="AG8059" i="30"/>
  <c r="AF8059" i="30"/>
  <c r="AH8059" i="30" s="1"/>
  <c r="AG8061" i="30"/>
  <c r="AF8061" i="30"/>
  <c r="AH8061" i="30" s="1"/>
  <c r="AG8063" i="30"/>
  <c r="AF8063" i="30"/>
  <c r="AH8063" i="30" s="1"/>
  <c r="AG8065" i="30"/>
  <c r="AF8065" i="30"/>
  <c r="AH8065" i="30" s="1"/>
  <c r="AG8067" i="30"/>
  <c r="AF8067" i="30"/>
  <c r="AH8067" i="30" s="1"/>
  <c r="AG8069" i="30"/>
  <c r="AF8069" i="30"/>
  <c r="AH8069" i="30" s="1"/>
  <c r="AG8071" i="30"/>
  <c r="AF8071" i="30"/>
  <c r="AH8071" i="30" s="1"/>
  <c r="AG8073" i="30"/>
  <c r="AF8073" i="30"/>
  <c r="AH8073" i="30" s="1"/>
  <c r="AG8075" i="30"/>
  <c r="AF8075" i="30"/>
  <c r="AH8075" i="30" s="1"/>
  <c r="AG8077" i="30"/>
  <c r="AF8077" i="30"/>
  <c r="AH8077" i="30" s="1"/>
  <c r="AG8079" i="30"/>
  <c r="AF8079" i="30"/>
  <c r="AH8079" i="30" s="1"/>
  <c r="AG8081" i="30"/>
  <c r="AF8081" i="30"/>
  <c r="AH8081" i="30" s="1"/>
  <c r="AG8083" i="30"/>
  <c r="AF8083" i="30"/>
  <c r="AH8083" i="30" s="1"/>
  <c r="AG8085" i="30"/>
  <c r="AF8085" i="30"/>
  <c r="AH8085" i="30" s="1"/>
  <c r="AG8087" i="30"/>
  <c r="AF8087" i="30"/>
  <c r="AH8087" i="30" s="1"/>
  <c r="AG8089" i="30"/>
  <c r="AF8089" i="30"/>
  <c r="AH8089" i="30" s="1"/>
  <c r="AG8091" i="30"/>
  <c r="AF8091" i="30"/>
  <c r="AH8091" i="30" s="1"/>
  <c r="AG8093" i="30"/>
  <c r="AF8093" i="30"/>
  <c r="AH8093" i="30" s="1"/>
  <c r="AG8095" i="30"/>
  <c r="AF8095" i="30"/>
  <c r="AH8095" i="30" s="1"/>
  <c r="AG8097" i="30"/>
  <c r="AF8097" i="30"/>
  <c r="AH8097" i="30" s="1"/>
  <c r="AG8099" i="30"/>
  <c r="AF8099" i="30"/>
  <c r="AH8099" i="30" s="1"/>
  <c r="AG8101" i="30"/>
  <c r="AF8101" i="30"/>
  <c r="AH8101" i="30" s="1"/>
  <c r="AG8103" i="30"/>
  <c r="AF8103" i="30"/>
  <c r="AH8103" i="30" s="1"/>
  <c r="AG8105" i="30"/>
  <c r="AF8105" i="30"/>
  <c r="AH8105" i="30" s="1"/>
  <c r="AG8107" i="30"/>
  <c r="AF8107" i="30"/>
  <c r="AH8107" i="30" s="1"/>
  <c r="AG8109" i="30"/>
  <c r="AF8109" i="30"/>
  <c r="AH8109" i="30" s="1"/>
  <c r="AG8111" i="30"/>
  <c r="AF8111" i="30"/>
  <c r="AH8111" i="30" s="1"/>
  <c r="AG8113" i="30"/>
  <c r="AF8113" i="30"/>
  <c r="AH8113" i="30" s="1"/>
  <c r="AG8115" i="30"/>
  <c r="AF8115" i="30"/>
  <c r="AH8115" i="30" s="1"/>
  <c r="AG8117" i="30"/>
  <c r="AF8117" i="30"/>
  <c r="AH8117" i="30" s="1"/>
  <c r="AG8119" i="30"/>
  <c r="AF8119" i="30"/>
  <c r="AH8119" i="30" s="1"/>
  <c r="AG8121" i="30"/>
  <c r="AF8121" i="30"/>
  <c r="AH8121" i="30" s="1"/>
  <c r="AG8123" i="30"/>
  <c r="AF8123" i="30"/>
  <c r="AH8123" i="30" s="1"/>
  <c r="AG8125" i="30"/>
  <c r="AF8125" i="30"/>
  <c r="AH8125" i="30" s="1"/>
  <c r="AG8127" i="30"/>
  <c r="AF8127" i="30"/>
  <c r="AH8127" i="30" s="1"/>
  <c r="AG8129" i="30"/>
  <c r="AF8129" i="30"/>
  <c r="AH8129" i="30" s="1"/>
  <c r="AG8131" i="30"/>
  <c r="AF8131" i="30"/>
  <c r="AH8131" i="30" s="1"/>
  <c r="AG8133" i="30"/>
  <c r="AF8133" i="30"/>
  <c r="AH8133" i="30" s="1"/>
  <c r="AG8135" i="30"/>
  <c r="AF8135" i="30"/>
  <c r="AH8135" i="30" s="1"/>
  <c r="AG8137" i="30"/>
  <c r="AF8137" i="30"/>
  <c r="AH8137" i="30" s="1"/>
  <c r="AG8139" i="30"/>
  <c r="AF8139" i="30"/>
  <c r="AH8139" i="30" s="1"/>
  <c r="AG8141" i="30"/>
  <c r="AF8141" i="30"/>
  <c r="AH8141" i="30" s="1"/>
  <c r="AG8143" i="30"/>
  <c r="AF8143" i="30"/>
  <c r="AH8143" i="30" s="1"/>
  <c r="AG8145" i="30"/>
  <c r="AF8145" i="30"/>
  <c r="AH8145" i="30" s="1"/>
  <c r="AG8147" i="30"/>
  <c r="AF8147" i="30"/>
  <c r="AH8147" i="30" s="1"/>
  <c r="AG8149" i="30"/>
  <c r="AF8149" i="30"/>
  <c r="AH8149" i="30" s="1"/>
  <c r="AG8151" i="30"/>
  <c r="AF8151" i="30"/>
  <c r="AH8151" i="30" s="1"/>
  <c r="AG8153" i="30"/>
  <c r="AF8153" i="30"/>
  <c r="AH8153" i="30" s="1"/>
  <c r="AG8155" i="30"/>
  <c r="AF8155" i="30"/>
  <c r="AH8155" i="30" s="1"/>
  <c r="AG8157" i="30"/>
  <c r="AF8157" i="30"/>
  <c r="AH8157" i="30" s="1"/>
  <c r="AG8159" i="30"/>
  <c r="AF8159" i="30"/>
  <c r="AH8159" i="30" s="1"/>
  <c r="AG8161" i="30"/>
  <c r="AF8161" i="30"/>
  <c r="AH8161" i="30" s="1"/>
  <c r="AG8163" i="30"/>
  <c r="AF8163" i="30"/>
  <c r="AH8163" i="30" s="1"/>
  <c r="AG8165" i="30"/>
  <c r="AF8165" i="30"/>
  <c r="AH8165" i="30" s="1"/>
  <c r="AG8167" i="30"/>
  <c r="AF8167" i="30"/>
  <c r="AH8167" i="30" s="1"/>
  <c r="AG8169" i="30"/>
  <c r="AF8169" i="30"/>
  <c r="AH8169" i="30" s="1"/>
  <c r="AG8171" i="30"/>
  <c r="AF8171" i="30"/>
  <c r="AH8171" i="30" s="1"/>
  <c r="AG8173" i="30"/>
  <c r="AF8173" i="30"/>
  <c r="AH8173" i="30" s="1"/>
  <c r="AG8175" i="30"/>
  <c r="AF8175" i="30"/>
  <c r="AH8175" i="30" s="1"/>
  <c r="AG8177" i="30"/>
  <c r="AF8177" i="30"/>
  <c r="AH8177" i="30" s="1"/>
  <c r="AG8179" i="30"/>
  <c r="AF8179" i="30"/>
  <c r="AH8179" i="30" s="1"/>
  <c r="AG8181" i="30"/>
  <c r="AF8181" i="30"/>
  <c r="AH8181" i="30" s="1"/>
  <c r="AG8183" i="30"/>
  <c r="AF8183" i="30"/>
  <c r="AH8183" i="30" s="1"/>
  <c r="AG8185" i="30"/>
  <c r="AF8185" i="30"/>
  <c r="AH8185" i="30" s="1"/>
  <c r="AG8187" i="30"/>
  <c r="AF8187" i="30"/>
  <c r="AH8187" i="30" s="1"/>
  <c r="AG8189" i="30"/>
  <c r="AF8189" i="30"/>
  <c r="AH8189" i="30" s="1"/>
  <c r="AG8191" i="30"/>
  <c r="AF8191" i="30"/>
  <c r="AH8191" i="30" s="1"/>
  <c r="AG8193" i="30"/>
  <c r="AF8193" i="30"/>
  <c r="AH8193" i="30" s="1"/>
  <c r="AG8195" i="30"/>
  <c r="AF8195" i="30"/>
  <c r="AH8195" i="30" s="1"/>
  <c r="AG8197" i="30"/>
  <c r="AF8197" i="30"/>
  <c r="AH8197" i="30" s="1"/>
  <c r="AG8199" i="30"/>
  <c r="AF8199" i="30"/>
  <c r="AH8199" i="30" s="1"/>
  <c r="AG8201" i="30"/>
  <c r="AF8201" i="30"/>
  <c r="AH8201" i="30" s="1"/>
  <c r="AG8203" i="30"/>
  <c r="AF8203" i="30"/>
  <c r="AH8203" i="30" s="1"/>
  <c r="AG8205" i="30"/>
  <c r="AF8205" i="30"/>
  <c r="AH8205" i="30" s="1"/>
  <c r="AG8207" i="30"/>
  <c r="AF8207" i="30"/>
  <c r="AH8207" i="30" s="1"/>
  <c r="AG8209" i="30"/>
  <c r="AF8209" i="30"/>
  <c r="AH8209" i="30" s="1"/>
  <c r="AG8211" i="30"/>
  <c r="AF8211" i="30"/>
  <c r="AH8211" i="30" s="1"/>
  <c r="AG8213" i="30"/>
  <c r="AF8213" i="30"/>
  <c r="AH8213" i="30" s="1"/>
  <c r="AG8215" i="30"/>
  <c r="AF8215" i="30"/>
  <c r="AH8215" i="30" s="1"/>
  <c r="AG8217" i="30"/>
  <c r="AF8217" i="30"/>
  <c r="AH8217" i="30" s="1"/>
  <c r="AG8219" i="30"/>
  <c r="AF8219" i="30"/>
  <c r="AH8219" i="30" s="1"/>
  <c r="AG8221" i="30"/>
  <c r="AF8221" i="30"/>
  <c r="AH8221" i="30" s="1"/>
  <c r="AG8223" i="30"/>
  <c r="AF8223" i="30"/>
  <c r="AH8223" i="30" s="1"/>
  <c r="AG8225" i="30"/>
  <c r="AF8225" i="30"/>
  <c r="AH8225" i="30" s="1"/>
  <c r="AG8227" i="30"/>
  <c r="AF8227" i="30"/>
  <c r="AH8227" i="30" s="1"/>
  <c r="AG8229" i="30"/>
  <c r="AF8229" i="30"/>
  <c r="AH8229" i="30" s="1"/>
  <c r="AG8231" i="30"/>
  <c r="AF8231" i="30"/>
  <c r="AH8231" i="30" s="1"/>
  <c r="AG8760" i="30"/>
  <c r="AF8760" i="30"/>
  <c r="AH8760" i="30" s="1"/>
  <c r="AG8762" i="30"/>
  <c r="AF8762" i="30"/>
  <c r="AH8762" i="30" s="1"/>
  <c r="AG4796" i="30"/>
  <c r="AF4796" i="30"/>
  <c r="AH4796" i="30" s="1"/>
  <c r="AG4800" i="30"/>
  <c r="AF4800" i="30"/>
  <c r="AH4800" i="30" s="1"/>
  <c r="AG4804" i="30"/>
  <c r="AF4804" i="30"/>
  <c r="AH4804" i="30" s="1"/>
  <c r="AG4808" i="30"/>
  <c r="AF4808" i="30"/>
  <c r="AH4808" i="30" s="1"/>
  <c r="AG4812" i="30"/>
  <c r="AF4812" i="30"/>
  <c r="AH4812" i="30" s="1"/>
  <c r="AG4816" i="30"/>
  <c r="AF4816" i="30"/>
  <c r="AH4816" i="30" s="1"/>
  <c r="AG4820" i="30"/>
  <c r="AF4820" i="30"/>
  <c r="AH4820" i="30" s="1"/>
  <c r="AG4824" i="30"/>
  <c r="AF4824" i="30"/>
  <c r="AH4824" i="30" s="1"/>
  <c r="AG4828" i="30"/>
  <c r="AF4828" i="30"/>
  <c r="AH4828" i="30" s="1"/>
  <c r="AG4832" i="30"/>
  <c r="AF4832" i="30"/>
  <c r="AH4832" i="30" s="1"/>
  <c r="AG4836" i="30"/>
  <c r="AF4836" i="30"/>
  <c r="AH4836" i="30" s="1"/>
  <c r="AG4840" i="30"/>
  <c r="AF4840" i="30"/>
  <c r="AH4840" i="30" s="1"/>
  <c r="AG4844" i="30"/>
  <c r="AF4844" i="30"/>
  <c r="AH4844" i="30" s="1"/>
  <c r="AG4848" i="30"/>
  <c r="AF4848" i="30"/>
  <c r="AH4848" i="30" s="1"/>
  <c r="AG4852" i="30"/>
  <c r="AF4852" i="30"/>
  <c r="AH4852" i="30" s="1"/>
  <c r="AG4856" i="30"/>
  <c r="AF4856" i="30"/>
  <c r="AH4856" i="30" s="1"/>
  <c r="AG4860" i="30"/>
  <c r="AF4860" i="30"/>
  <c r="AH4860" i="30" s="1"/>
  <c r="AG4864" i="30"/>
  <c r="AF4864" i="30"/>
  <c r="AH4864" i="30" s="1"/>
  <c r="AG4868" i="30"/>
  <c r="AF4868" i="30"/>
  <c r="AH4868" i="30" s="1"/>
  <c r="AG4872" i="30"/>
  <c r="AF4872" i="30"/>
  <c r="AH4872" i="30" s="1"/>
  <c r="AG4876" i="30"/>
  <c r="AF4876" i="30"/>
  <c r="AH4876" i="30" s="1"/>
  <c r="AG4880" i="30"/>
  <c r="AF4880" i="30"/>
  <c r="AH4880" i="30" s="1"/>
  <c r="AG4884" i="30"/>
  <c r="AF4884" i="30"/>
  <c r="AH4884" i="30" s="1"/>
  <c r="AG4888" i="30"/>
  <c r="AF4888" i="30"/>
  <c r="AH4888" i="30" s="1"/>
  <c r="AG4892" i="30"/>
  <c r="AF4892" i="30"/>
  <c r="AH4892" i="30" s="1"/>
  <c r="AG4896" i="30"/>
  <c r="AF4896" i="30"/>
  <c r="AH4896" i="30" s="1"/>
  <c r="AG4900" i="30"/>
  <c r="AF4900" i="30"/>
  <c r="AH4900" i="30" s="1"/>
  <c r="AG4904" i="30"/>
  <c r="AF4904" i="30"/>
  <c r="AH4904" i="30" s="1"/>
  <c r="AG4908" i="30"/>
  <c r="AF4908" i="30"/>
  <c r="AH4908" i="30" s="1"/>
  <c r="AG4912" i="30"/>
  <c r="AF4912" i="30"/>
  <c r="AH4912" i="30" s="1"/>
  <c r="AG4916" i="30"/>
  <c r="AF4916" i="30"/>
  <c r="AH4916" i="30" s="1"/>
  <c r="AG4920" i="30"/>
  <c r="AF4920" i="30"/>
  <c r="AH4920" i="30" s="1"/>
  <c r="AG4924" i="30"/>
  <c r="AF4924" i="30"/>
  <c r="AH4924" i="30" s="1"/>
  <c r="AG4928" i="30"/>
  <c r="AF4928" i="30"/>
  <c r="AH4928" i="30" s="1"/>
  <c r="AG4932" i="30"/>
  <c r="AF4932" i="30"/>
  <c r="AH4932" i="30" s="1"/>
  <c r="AG4936" i="30"/>
  <c r="AF4936" i="30"/>
  <c r="AH4936" i="30" s="1"/>
  <c r="AG4940" i="30"/>
  <c r="AF4940" i="30"/>
  <c r="AH4940" i="30" s="1"/>
  <c r="AG4944" i="30"/>
  <c r="AF4944" i="30"/>
  <c r="AH4944" i="30" s="1"/>
  <c r="AG4948" i="30"/>
  <c r="AF4948" i="30"/>
  <c r="AH4948" i="30" s="1"/>
  <c r="AG4952" i="30"/>
  <c r="AF4952" i="30"/>
  <c r="AH4952" i="30" s="1"/>
  <c r="AG4956" i="30"/>
  <c r="AF4956" i="30"/>
  <c r="AH4956" i="30" s="1"/>
  <c r="AG4960" i="30"/>
  <c r="AF4960" i="30"/>
  <c r="AH4960" i="30" s="1"/>
  <c r="AG4964" i="30"/>
  <c r="AF4964" i="30"/>
  <c r="AH4964" i="30" s="1"/>
  <c r="AG4968" i="30"/>
  <c r="AF4968" i="30"/>
  <c r="AH4968" i="30" s="1"/>
  <c r="AG4972" i="30"/>
  <c r="AF4972" i="30"/>
  <c r="AH4972" i="30" s="1"/>
  <c r="AG4976" i="30"/>
  <c r="AF4976" i="30"/>
  <c r="AH4976" i="30" s="1"/>
  <c r="AG4980" i="30"/>
  <c r="AF4980" i="30"/>
  <c r="AH4980" i="30" s="1"/>
  <c r="AG4984" i="30"/>
  <c r="AF4984" i="30"/>
  <c r="AH4984" i="30" s="1"/>
  <c r="AG4988" i="30"/>
  <c r="AF4988" i="30"/>
  <c r="AH4988" i="30" s="1"/>
  <c r="AG4992" i="30"/>
  <c r="AF4992" i="30"/>
  <c r="AH4992" i="30" s="1"/>
  <c r="AG4996" i="30"/>
  <c r="AF4996" i="30"/>
  <c r="AH4996" i="30" s="1"/>
  <c r="AG5000" i="30"/>
  <c r="AF5000" i="30"/>
  <c r="AH5000" i="30" s="1"/>
  <c r="AG5004" i="30"/>
  <c r="AF5004" i="30"/>
  <c r="AH5004" i="30" s="1"/>
  <c r="AG5008" i="30"/>
  <c r="AF5008" i="30"/>
  <c r="AH5008" i="30" s="1"/>
  <c r="AG5012" i="30"/>
  <c r="AF5012" i="30"/>
  <c r="AH5012" i="30" s="1"/>
  <c r="AG5016" i="30"/>
  <c r="AF5016" i="30"/>
  <c r="AH5016" i="30" s="1"/>
  <c r="AG5020" i="30"/>
  <c r="AF5020" i="30"/>
  <c r="AH5020" i="30" s="1"/>
  <c r="AG5024" i="30"/>
  <c r="AF5024" i="30"/>
  <c r="AH5024" i="30" s="1"/>
  <c r="AG5028" i="30"/>
  <c r="AF5028" i="30"/>
  <c r="AH5028" i="30" s="1"/>
  <c r="AG5032" i="30"/>
  <c r="AF5032" i="30"/>
  <c r="AH5032" i="30" s="1"/>
  <c r="AG5036" i="30"/>
  <c r="AF5036" i="30"/>
  <c r="AH5036" i="30" s="1"/>
  <c r="AG5040" i="30"/>
  <c r="AF5040" i="30"/>
  <c r="AH5040" i="30" s="1"/>
  <c r="AG5044" i="30"/>
  <c r="AF5044" i="30"/>
  <c r="AH5044" i="30" s="1"/>
  <c r="AG5048" i="30"/>
  <c r="AF5048" i="30"/>
  <c r="AH5048" i="30" s="1"/>
  <c r="AG5052" i="30"/>
  <c r="AF5052" i="30"/>
  <c r="AH5052" i="30" s="1"/>
  <c r="AG5056" i="30"/>
  <c r="AF5056" i="30"/>
  <c r="AH5056" i="30" s="1"/>
  <c r="AG5060" i="30"/>
  <c r="AF5060" i="30"/>
  <c r="AH5060" i="30" s="1"/>
  <c r="AG5064" i="30"/>
  <c r="AF5064" i="30"/>
  <c r="AH5064" i="30" s="1"/>
  <c r="AG5066" i="30"/>
  <c r="AF5066" i="30"/>
  <c r="AH5066" i="30" s="1"/>
  <c r="AG5068" i="30"/>
  <c r="AF5068" i="30"/>
  <c r="AH5068" i="30" s="1"/>
  <c r="AG5070" i="30"/>
  <c r="AF5070" i="30"/>
  <c r="AH5070" i="30" s="1"/>
  <c r="AG5072" i="30"/>
  <c r="AF5072" i="30"/>
  <c r="AH5072" i="30" s="1"/>
  <c r="AG5074" i="30"/>
  <c r="AF5074" i="30"/>
  <c r="AH5074" i="30" s="1"/>
  <c r="AG5076" i="30"/>
  <c r="AF5076" i="30"/>
  <c r="AH5076" i="30" s="1"/>
  <c r="AG5078" i="30"/>
  <c r="AF5078" i="30"/>
  <c r="AH5078" i="30" s="1"/>
  <c r="AG5080" i="30"/>
  <c r="AF5080" i="30"/>
  <c r="AH5080" i="30" s="1"/>
  <c r="AG5082" i="30"/>
  <c r="AF5082" i="30"/>
  <c r="AH5082" i="30" s="1"/>
  <c r="AG5084" i="30"/>
  <c r="AF5084" i="30"/>
  <c r="AH5084" i="30" s="1"/>
  <c r="AG5086" i="30"/>
  <c r="AF5086" i="30"/>
  <c r="AH5086" i="30" s="1"/>
  <c r="AG5088" i="30"/>
  <c r="AF5088" i="30"/>
  <c r="AH5088" i="30" s="1"/>
  <c r="AG5090" i="30"/>
  <c r="AF5090" i="30"/>
  <c r="AH5090" i="30" s="1"/>
  <c r="AG5092" i="30"/>
  <c r="AF5092" i="30"/>
  <c r="AH5092" i="30" s="1"/>
  <c r="AG5094" i="30"/>
  <c r="AF5094" i="30"/>
  <c r="AH5094" i="30" s="1"/>
  <c r="AG5096" i="30"/>
  <c r="AF5096" i="30"/>
  <c r="AH5096" i="30" s="1"/>
  <c r="AG5098" i="30"/>
  <c r="AF5098" i="30"/>
  <c r="AH5098" i="30" s="1"/>
  <c r="AG5100" i="30"/>
  <c r="AF5100" i="30"/>
  <c r="AH5100" i="30" s="1"/>
  <c r="AG5102" i="30"/>
  <c r="AF5102" i="30"/>
  <c r="AH5102" i="30" s="1"/>
  <c r="AG5104" i="30"/>
  <c r="AF5104" i="30"/>
  <c r="AH5104" i="30" s="1"/>
  <c r="AG5106" i="30"/>
  <c r="AF5106" i="30"/>
  <c r="AH5106" i="30" s="1"/>
  <c r="AG5108" i="30"/>
  <c r="AF5108" i="30"/>
  <c r="AH5108" i="30" s="1"/>
  <c r="AG5110" i="30"/>
  <c r="AF5110" i="30"/>
  <c r="AH5110" i="30" s="1"/>
  <c r="AG5112" i="30"/>
  <c r="AF5112" i="30"/>
  <c r="AH5112" i="30" s="1"/>
  <c r="AG5114" i="30"/>
  <c r="AF5114" i="30"/>
  <c r="AH5114" i="30" s="1"/>
  <c r="AG5116" i="30"/>
  <c r="AF5116" i="30"/>
  <c r="AH5116" i="30" s="1"/>
  <c r="AG5118" i="30"/>
  <c r="AF5118" i="30"/>
  <c r="AH5118" i="30" s="1"/>
  <c r="AG5120" i="30"/>
  <c r="AF5120" i="30"/>
  <c r="AH5120" i="30" s="1"/>
  <c r="AG5122" i="30"/>
  <c r="AF5122" i="30"/>
  <c r="AH5122" i="30" s="1"/>
  <c r="AG5124" i="30"/>
  <c r="AF5124" i="30"/>
  <c r="AH5124" i="30" s="1"/>
  <c r="AG5126" i="30"/>
  <c r="AF5126" i="30"/>
  <c r="AH5126" i="30" s="1"/>
  <c r="AG5128" i="30"/>
  <c r="AF5128" i="30"/>
  <c r="AH5128" i="30" s="1"/>
  <c r="AG5130" i="30"/>
  <c r="AF5130" i="30"/>
  <c r="AH5130" i="30" s="1"/>
  <c r="AG5132" i="30"/>
  <c r="AF5132" i="30"/>
  <c r="AH5132" i="30" s="1"/>
  <c r="AG5134" i="30"/>
  <c r="AF5134" i="30"/>
  <c r="AH5134" i="30" s="1"/>
  <c r="AG5136" i="30"/>
  <c r="AF5136" i="30"/>
  <c r="AH5136" i="30" s="1"/>
  <c r="AG5138" i="30"/>
  <c r="AF5138" i="30"/>
  <c r="AH5138" i="30" s="1"/>
  <c r="AG5140" i="30"/>
  <c r="AF5140" i="30"/>
  <c r="AH5140" i="30" s="1"/>
  <c r="AG5142" i="30"/>
  <c r="AF5142" i="30"/>
  <c r="AH5142" i="30" s="1"/>
  <c r="AG5144" i="30"/>
  <c r="AF5144" i="30"/>
  <c r="AH5144" i="30" s="1"/>
  <c r="AG5146" i="30"/>
  <c r="AF5146" i="30"/>
  <c r="AH5146" i="30" s="1"/>
  <c r="AG5148" i="30"/>
  <c r="AF5148" i="30"/>
  <c r="AH5148" i="30" s="1"/>
  <c r="AG5150" i="30"/>
  <c r="AF5150" i="30"/>
  <c r="AH5150" i="30" s="1"/>
  <c r="AG5152" i="30"/>
  <c r="AF5152" i="30"/>
  <c r="AH5152" i="30" s="1"/>
  <c r="AG5154" i="30"/>
  <c r="AF5154" i="30"/>
  <c r="AH5154" i="30" s="1"/>
  <c r="AG5156" i="30"/>
  <c r="AF5156" i="30"/>
  <c r="AH5156" i="30" s="1"/>
  <c r="AG5158" i="30"/>
  <c r="AF5158" i="30"/>
  <c r="AH5158" i="30" s="1"/>
  <c r="AG5160" i="30"/>
  <c r="AF5160" i="30"/>
  <c r="AH5160" i="30" s="1"/>
  <c r="AG5162" i="30"/>
  <c r="AF5162" i="30"/>
  <c r="AH5162" i="30" s="1"/>
  <c r="AG5164" i="30"/>
  <c r="AF5164" i="30"/>
  <c r="AH5164" i="30" s="1"/>
  <c r="AG5166" i="30"/>
  <c r="AF5166" i="30"/>
  <c r="AH5166" i="30" s="1"/>
  <c r="AG5168" i="30"/>
  <c r="AF5168" i="30"/>
  <c r="AH5168" i="30" s="1"/>
  <c r="AG5170" i="30"/>
  <c r="AF5170" i="30"/>
  <c r="AH5170" i="30" s="1"/>
  <c r="AG5172" i="30"/>
  <c r="AF5172" i="30"/>
  <c r="AH5172" i="30" s="1"/>
  <c r="AG5174" i="30"/>
  <c r="AF5174" i="30"/>
  <c r="AH5174" i="30" s="1"/>
  <c r="AG5176" i="30"/>
  <c r="AF5176" i="30"/>
  <c r="AH5176" i="30" s="1"/>
  <c r="AG5178" i="30"/>
  <c r="AF5178" i="30"/>
  <c r="AH5178" i="30" s="1"/>
  <c r="AG5180" i="30"/>
  <c r="AF5180" i="30"/>
  <c r="AH5180" i="30" s="1"/>
  <c r="AG5182" i="30"/>
  <c r="AF5182" i="30"/>
  <c r="AH5182" i="30" s="1"/>
  <c r="AG5184" i="30"/>
  <c r="AF5184" i="30"/>
  <c r="AH5184" i="30" s="1"/>
  <c r="AG5186" i="30"/>
  <c r="AF5186" i="30"/>
  <c r="AH5186" i="30" s="1"/>
  <c r="AG5188" i="30"/>
  <c r="AF5188" i="30"/>
  <c r="AH5188" i="30" s="1"/>
  <c r="AG5190" i="30"/>
  <c r="AF5190" i="30"/>
  <c r="AH5190" i="30" s="1"/>
  <c r="AG5192" i="30"/>
  <c r="AF5192" i="30"/>
  <c r="AH5192" i="30" s="1"/>
  <c r="AG5194" i="30"/>
  <c r="AF5194" i="30"/>
  <c r="AH5194" i="30" s="1"/>
  <c r="AG5196" i="30"/>
  <c r="AF5196" i="30"/>
  <c r="AH5196" i="30" s="1"/>
  <c r="AG5198" i="30"/>
  <c r="AF5198" i="30"/>
  <c r="AH5198" i="30" s="1"/>
  <c r="AG5200" i="30"/>
  <c r="AF5200" i="30"/>
  <c r="AH5200" i="30" s="1"/>
  <c r="AG5202" i="30"/>
  <c r="AF5202" i="30"/>
  <c r="AH5202" i="30" s="1"/>
  <c r="AG5204" i="30"/>
  <c r="AF5204" i="30"/>
  <c r="AH5204" i="30" s="1"/>
  <c r="AG5206" i="30"/>
  <c r="AF5206" i="30"/>
  <c r="AH5206" i="30" s="1"/>
  <c r="AG5208" i="30"/>
  <c r="AF5208" i="30"/>
  <c r="AH5208" i="30" s="1"/>
  <c r="AG5210" i="30"/>
  <c r="AF5210" i="30"/>
  <c r="AH5210" i="30" s="1"/>
  <c r="AG5212" i="30"/>
  <c r="AF5212" i="30"/>
  <c r="AH5212" i="30" s="1"/>
  <c r="AG5214" i="30"/>
  <c r="AF5214" i="30"/>
  <c r="AH5214" i="30" s="1"/>
  <c r="AG5216" i="30"/>
  <c r="AF5216" i="30"/>
  <c r="AH5216" i="30" s="1"/>
  <c r="AG5218" i="30"/>
  <c r="AF5218" i="30"/>
  <c r="AH5218" i="30" s="1"/>
  <c r="AG5220" i="30"/>
  <c r="AF5220" i="30"/>
  <c r="AH5220" i="30" s="1"/>
  <c r="AG5222" i="30"/>
  <c r="AF5222" i="30"/>
  <c r="AH5222" i="30" s="1"/>
  <c r="AG5224" i="30"/>
  <c r="AF5224" i="30"/>
  <c r="AH5224" i="30" s="1"/>
  <c r="AG5226" i="30"/>
  <c r="AF5226" i="30"/>
  <c r="AH5226" i="30" s="1"/>
  <c r="AG5228" i="30"/>
  <c r="AF5228" i="30"/>
  <c r="AH5228" i="30" s="1"/>
  <c r="AG5230" i="30"/>
  <c r="AF5230" i="30"/>
  <c r="AH5230" i="30" s="1"/>
  <c r="AG5232" i="30"/>
  <c r="AF5232" i="30"/>
  <c r="AH5232" i="30" s="1"/>
  <c r="AG5234" i="30"/>
  <c r="AF5234" i="30"/>
  <c r="AH5234" i="30" s="1"/>
  <c r="AG5236" i="30"/>
  <c r="AF5236" i="30"/>
  <c r="AH5236" i="30" s="1"/>
  <c r="AG5238" i="30"/>
  <c r="AF5238" i="30"/>
  <c r="AH5238" i="30" s="1"/>
  <c r="AG5240" i="30"/>
  <c r="AF5240" i="30"/>
  <c r="AH5240" i="30" s="1"/>
  <c r="AG5242" i="30"/>
  <c r="AF5242" i="30"/>
  <c r="AH5242" i="30" s="1"/>
  <c r="AG5244" i="30"/>
  <c r="AF5244" i="30"/>
  <c r="AH5244" i="30" s="1"/>
  <c r="AG5246" i="30"/>
  <c r="AF5246" i="30"/>
  <c r="AH5246" i="30" s="1"/>
  <c r="AG5248" i="30"/>
  <c r="AF5248" i="30"/>
  <c r="AH5248" i="30" s="1"/>
  <c r="AG5250" i="30"/>
  <c r="AF5250" i="30"/>
  <c r="AH5250" i="30" s="1"/>
  <c r="AG5252" i="30"/>
  <c r="AF5252" i="30"/>
  <c r="AH5252" i="30" s="1"/>
  <c r="AG5254" i="30"/>
  <c r="AF5254" i="30"/>
  <c r="AH5254" i="30" s="1"/>
  <c r="AG5256" i="30"/>
  <c r="AF5256" i="30"/>
  <c r="AH5256" i="30" s="1"/>
  <c r="AG5258" i="30"/>
  <c r="AF5258" i="30"/>
  <c r="AH5258" i="30" s="1"/>
  <c r="AG5260" i="30"/>
  <c r="AF5260" i="30"/>
  <c r="AH5260" i="30" s="1"/>
  <c r="AG5262" i="30"/>
  <c r="AF5262" i="30"/>
  <c r="AH5262" i="30" s="1"/>
  <c r="AG5264" i="30"/>
  <c r="AF5264" i="30"/>
  <c r="AH5264" i="30" s="1"/>
  <c r="AG5266" i="30"/>
  <c r="AF5266" i="30"/>
  <c r="AH5266" i="30" s="1"/>
  <c r="AG5268" i="30"/>
  <c r="AF5268" i="30"/>
  <c r="AH5268" i="30" s="1"/>
  <c r="AG5270" i="30"/>
  <c r="AF5270" i="30"/>
  <c r="AH5270" i="30" s="1"/>
  <c r="AG5272" i="30"/>
  <c r="AF5272" i="30"/>
  <c r="AH5272" i="30" s="1"/>
  <c r="AG5274" i="30"/>
  <c r="AF5274" i="30"/>
  <c r="AH5274" i="30" s="1"/>
  <c r="AG5276" i="30"/>
  <c r="AF5276" i="30"/>
  <c r="AH5276" i="30" s="1"/>
  <c r="AG8759" i="30"/>
  <c r="AF8759" i="30"/>
  <c r="AH8759" i="30" s="1"/>
  <c r="AG8761" i="30"/>
  <c r="AF8761" i="30"/>
  <c r="AH8761" i="30" s="1"/>
  <c r="AG4794" i="30"/>
  <c r="AF4794" i="30"/>
  <c r="AH4794" i="30" s="1"/>
  <c r="AG4798" i="30"/>
  <c r="AF4798" i="30"/>
  <c r="AH4798" i="30" s="1"/>
  <c r="AG4802" i="30"/>
  <c r="AF4802" i="30"/>
  <c r="AH4802" i="30" s="1"/>
  <c r="AG4806" i="30"/>
  <c r="AF4806" i="30"/>
  <c r="AH4806" i="30" s="1"/>
  <c r="AG4810" i="30"/>
  <c r="AF4810" i="30"/>
  <c r="AH4810" i="30" s="1"/>
  <c r="AG4814" i="30"/>
  <c r="AF4814" i="30"/>
  <c r="AH4814" i="30" s="1"/>
  <c r="AG4818" i="30"/>
  <c r="AF4818" i="30"/>
  <c r="AH4818" i="30" s="1"/>
  <c r="AG4822" i="30"/>
  <c r="AF4822" i="30"/>
  <c r="AH4822" i="30" s="1"/>
  <c r="AG4826" i="30"/>
  <c r="AF4826" i="30"/>
  <c r="AH4826" i="30" s="1"/>
  <c r="AG4830" i="30"/>
  <c r="AF4830" i="30"/>
  <c r="AH4830" i="30" s="1"/>
  <c r="AG4834" i="30"/>
  <c r="AF4834" i="30"/>
  <c r="AH4834" i="30" s="1"/>
  <c r="AG4838" i="30"/>
  <c r="AF4838" i="30"/>
  <c r="AH4838" i="30" s="1"/>
  <c r="AG4842" i="30"/>
  <c r="AF4842" i="30"/>
  <c r="AH4842" i="30" s="1"/>
  <c r="AG4846" i="30"/>
  <c r="AF4846" i="30"/>
  <c r="AH4846" i="30" s="1"/>
  <c r="AG4850" i="30"/>
  <c r="AF4850" i="30"/>
  <c r="AH4850" i="30" s="1"/>
  <c r="AG4854" i="30"/>
  <c r="AF4854" i="30"/>
  <c r="AH4854" i="30" s="1"/>
  <c r="AG4858" i="30"/>
  <c r="AF4858" i="30"/>
  <c r="AH4858" i="30" s="1"/>
  <c r="AG4862" i="30"/>
  <c r="AF4862" i="30"/>
  <c r="AH4862" i="30" s="1"/>
  <c r="AG4866" i="30"/>
  <c r="AF4866" i="30"/>
  <c r="AH4866" i="30" s="1"/>
  <c r="AG4870" i="30"/>
  <c r="AF4870" i="30"/>
  <c r="AH4870" i="30" s="1"/>
  <c r="AG4874" i="30"/>
  <c r="AF4874" i="30"/>
  <c r="AH4874" i="30" s="1"/>
  <c r="AG4878" i="30"/>
  <c r="AF4878" i="30"/>
  <c r="AH4878" i="30" s="1"/>
  <c r="AG4882" i="30"/>
  <c r="AF4882" i="30"/>
  <c r="AH4882" i="30" s="1"/>
  <c r="AG4886" i="30"/>
  <c r="AF4886" i="30"/>
  <c r="AH4886" i="30" s="1"/>
  <c r="AG4890" i="30"/>
  <c r="AF4890" i="30"/>
  <c r="AH4890" i="30" s="1"/>
  <c r="AG4894" i="30"/>
  <c r="AF4894" i="30"/>
  <c r="AH4894" i="30" s="1"/>
  <c r="AG4898" i="30"/>
  <c r="AF4898" i="30"/>
  <c r="AH4898" i="30" s="1"/>
  <c r="AG4902" i="30"/>
  <c r="AF4902" i="30"/>
  <c r="AH4902" i="30" s="1"/>
  <c r="AG4906" i="30"/>
  <c r="AF4906" i="30"/>
  <c r="AH4906" i="30" s="1"/>
  <c r="AG4910" i="30"/>
  <c r="AF4910" i="30"/>
  <c r="AH4910" i="30" s="1"/>
  <c r="AG4914" i="30"/>
  <c r="AF4914" i="30"/>
  <c r="AH4914" i="30" s="1"/>
  <c r="AG4918" i="30"/>
  <c r="AF4918" i="30"/>
  <c r="AH4918" i="30" s="1"/>
  <c r="AG4922" i="30"/>
  <c r="AF4922" i="30"/>
  <c r="AH4922" i="30" s="1"/>
  <c r="AG4926" i="30"/>
  <c r="AF4926" i="30"/>
  <c r="AH4926" i="30" s="1"/>
  <c r="AG4930" i="30"/>
  <c r="AF4930" i="30"/>
  <c r="AH4930" i="30" s="1"/>
  <c r="AG4934" i="30"/>
  <c r="AF4934" i="30"/>
  <c r="AH4934" i="30" s="1"/>
  <c r="AG4938" i="30"/>
  <c r="AF4938" i="30"/>
  <c r="AH4938" i="30" s="1"/>
  <c r="AG4942" i="30"/>
  <c r="AF4942" i="30"/>
  <c r="AH4942" i="30" s="1"/>
  <c r="AG4946" i="30"/>
  <c r="AF4946" i="30"/>
  <c r="AH4946" i="30" s="1"/>
  <c r="AG4950" i="30"/>
  <c r="AF4950" i="30"/>
  <c r="AH4950" i="30" s="1"/>
  <c r="AG4954" i="30"/>
  <c r="AF4954" i="30"/>
  <c r="AH4954" i="30" s="1"/>
  <c r="AG4958" i="30"/>
  <c r="AF4958" i="30"/>
  <c r="AH4958" i="30" s="1"/>
  <c r="AG4962" i="30"/>
  <c r="AF4962" i="30"/>
  <c r="AH4962" i="30" s="1"/>
  <c r="AG4966" i="30"/>
  <c r="AF4966" i="30"/>
  <c r="AH4966" i="30" s="1"/>
  <c r="AG4970" i="30"/>
  <c r="AF4970" i="30"/>
  <c r="AH4970" i="30" s="1"/>
  <c r="AG4974" i="30"/>
  <c r="AF4974" i="30"/>
  <c r="AH4974" i="30" s="1"/>
  <c r="AG4978" i="30"/>
  <c r="AF4978" i="30"/>
  <c r="AH4978" i="30" s="1"/>
  <c r="AG4982" i="30"/>
  <c r="AF4982" i="30"/>
  <c r="AH4982" i="30" s="1"/>
  <c r="AG4986" i="30"/>
  <c r="AF4986" i="30"/>
  <c r="AH4986" i="30" s="1"/>
  <c r="AG4990" i="30"/>
  <c r="AF4990" i="30"/>
  <c r="AH4990" i="30" s="1"/>
  <c r="AG4994" i="30"/>
  <c r="AF4994" i="30"/>
  <c r="AH4994" i="30" s="1"/>
  <c r="AG4998" i="30"/>
  <c r="AF4998" i="30"/>
  <c r="AH4998" i="30" s="1"/>
  <c r="AG5002" i="30"/>
  <c r="AF5002" i="30"/>
  <c r="AH5002" i="30" s="1"/>
  <c r="AG5006" i="30"/>
  <c r="AF5006" i="30"/>
  <c r="AH5006" i="30" s="1"/>
  <c r="AG5010" i="30"/>
  <c r="AF5010" i="30"/>
  <c r="AH5010" i="30" s="1"/>
  <c r="AG5014" i="30"/>
  <c r="AF5014" i="30"/>
  <c r="AH5014" i="30" s="1"/>
  <c r="AG5018" i="30"/>
  <c r="AF5018" i="30"/>
  <c r="AH5018" i="30" s="1"/>
  <c r="AG5022" i="30"/>
  <c r="AF5022" i="30"/>
  <c r="AH5022" i="30" s="1"/>
  <c r="AG5026" i="30"/>
  <c r="AF5026" i="30"/>
  <c r="AH5026" i="30" s="1"/>
  <c r="AG5030" i="30"/>
  <c r="AF5030" i="30"/>
  <c r="AH5030" i="30" s="1"/>
  <c r="AG5034" i="30"/>
  <c r="AF5034" i="30"/>
  <c r="AH5034" i="30" s="1"/>
  <c r="AG5038" i="30"/>
  <c r="AF5038" i="30"/>
  <c r="AH5038" i="30" s="1"/>
  <c r="AG5042" i="30"/>
  <c r="AF5042" i="30"/>
  <c r="AH5042" i="30" s="1"/>
  <c r="AG5046" i="30"/>
  <c r="AF5046" i="30"/>
  <c r="AH5046" i="30" s="1"/>
  <c r="AG5050" i="30"/>
  <c r="AF5050" i="30"/>
  <c r="AH5050" i="30" s="1"/>
  <c r="AG5054" i="30"/>
  <c r="AF5054" i="30"/>
  <c r="AH5054" i="30" s="1"/>
  <c r="AG5058" i="30"/>
  <c r="AF5058" i="30"/>
  <c r="AH5058" i="30" s="1"/>
  <c r="AG5062" i="30"/>
  <c r="AF5062" i="30"/>
  <c r="AH5062" i="30" s="1"/>
  <c r="AG5065" i="30"/>
  <c r="AF5065" i="30"/>
  <c r="AH5065" i="30" s="1"/>
  <c r="AG5067" i="30"/>
  <c r="AF5067" i="30"/>
  <c r="AH5067" i="30" s="1"/>
  <c r="AG5069" i="30"/>
  <c r="AF5069" i="30"/>
  <c r="AH5069" i="30" s="1"/>
  <c r="AG5071" i="30"/>
  <c r="AF5071" i="30"/>
  <c r="AH5071" i="30" s="1"/>
  <c r="AG5073" i="30"/>
  <c r="AF5073" i="30"/>
  <c r="AH5073" i="30" s="1"/>
  <c r="AG5075" i="30"/>
  <c r="AF5075" i="30"/>
  <c r="AH5075" i="30" s="1"/>
  <c r="AG5077" i="30"/>
  <c r="AF5077" i="30"/>
  <c r="AH5077" i="30" s="1"/>
  <c r="AG5079" i="30"/>
  <c r="AF5079" i="30"/>
  <c r="AH5079" i="30" s="1"/>
  <c r="AG5081" i="30"/>
  <c r="AF5081" i="30"/>
  <c r="AH5081" i="30" s="1"/>
  <c r="AG5083" i="30"/>
  <c r="AF5083" i="30"/>
  <c r="AH5083" i="30" s="1"/>
  <c r="AG5085" i="30"/>
  <c r="AF5085" i="30"/>
  <c r="AH5085" i="30" s="1"/>
  <c r="AG5087" i="30"/>
  <c r="AF5087" i="30"/>
  <c r="AH5087" i="30" s="1"/>
  <c r="AG5089" i="30"/>
  <c r="AF5089" i="30"/>
  <c r="AH5089" i="30" s="1"/>
  <c r="AG5091" i="30"/>
  <c r="AF5091" i="30"/>
  <c r="AH5091" i="30" s="1"/>
  <c r="AG5093" i="30"/>
  <c r="AF5093" i="30"/>
  <c r="AH5093" i="30" s="1"/>
  <c r="AG5095" i="30"/>
  <c r="AF5095" i="30"/>
  <c r="AH5095" i="30" s="1"/>
  <c r="AG5097" i="30"/>
  <c r="AF5097" i="30"/>
  <c r="AH5097" i="30" s="1"/>
  <c r="AG5099" i="30"/>
  <c r="AF5099" i="30"/>
  <c r="AH5099" i="30" s="1"/>
  <c r="AG5101" i="30"/>
  <c r="AF5101" i="30"/>
  <c r="AH5101" i="30" s="1"/>
  <c r="AG5103" i="30"/>
  <c r="AF5103" i="30"/>
  <c r="AH5103" i="30" s="1"/>
  <c r="AG5105" i="30"/>
  <c r="AF5105" i="30"/>
  <c r="AH5105" i="30" s="1"/>
  <c r="AG5107" i="30"/>
  <c r="AF5107" i="30"/>
  <c r="AH5107" i="30" s="1"/>
  <c r="AG5109" i="30"/>
  <c r="AF5109" i="30"/>
  <c r="AH5109" i="30" s="1"/>
  <c r="AG5111" i="30"/>
  <c r="AF5111" i="30"/>
  <c r="AH5111" i="30" s="1"/>
  <c r="AG5113" i="30"/>
  <c r="AF5113" i="30"/>
  <c r="AH5113" i="30" s="1"/>
  <c r="AG5115" i="30"/>
  <c r="AF5115" i="30"/>
  <c r="AH5115" i="30" s="1"/>
  <c r="AG5117" i="30"/>
  <c r="AF5117" i="30"/>
  <c r="AH5117" i="30" s="1"/>
  <c r="AG5119" i="30"/>
  <c r="AF5119" i="30"/>
  <c r="AH5119" i="30" s="1"/>
  <c r="AG5121" i="30"/>
  <c r="AF5121" i="30"/>
  <c r="AH5121" i="30" s="1"/>
  <c r="AG5123" i="30"/>
  <c r="AF5123" i="30"/>
  <c r="AH5123" i="30" s="1"/>
  <c r="AG5125" i="30"/>
  <c r="AF5125" i="30"/>
  <c r="AH5125" i="30" s="1"/>
  <c r="AG5127" i="30"/>
  <c r="AF5127" i="30"/>
  <c r="AH5127" i="30" s="1"/>
  <c r="AG5129" i="30"/>
  <c r="AF5129" i="30"/>
  <c r="AH5129" i="30" s="1"/>
  <c r="AG5131" i="30"/>
  <c r="AF5131" i="30"/>
  <c r="AH5131" i="30" s="1"/>
  <c r="AG5133" i="30"/>
  <c r="AF5133" i="30"/>
  <c r="AH5133" i="30" s="1"/>
  <c r="AG5135" i="30"/>
  <c r="AF5135" i="30"/>
  <c r="AH5135" i="30" s="1"/>
  <c r="AG5137" i="30"/>
  <c r="AF5137" i="30"/>
  <c r="AH5137" i="30" s="1"/>
  <c r="AG5139" i="30"/>
  <c r="AF5139" i="30"/>
  <c r="AH5139" i="30" s="1"/>
  <c r="AG5141" i="30"/>
  <c r="AF5141" i="30"/>
  <c r="AH5141" i="30" s="1"/>
  <c r="AG5143" i="30"/>
  <c r="AF5143" i="30"/>
  <c r="AH5143" i="30" s="1"/>
  <c r="AG5145" i="30"/>
  <c r="AF5145" i="30"/>
  <c r="AH5145" i="30" s="1"/>
  <c r="AG5147" i="30"/>
  <c r="AF5147" i="30"/>
  <c r="AH5147" i="30" s="1"/>
  <c r="AG5149" i="30"/>
  <c r="AF5149" i="30"/>
  <c r="AH5149" i="30" s="1"/>
  <c r="AG5151" i="30"/>
  <c r="AF5151" i="30"/>
  <c r="AH5151" i="30" s="1"/>
  <c r="AG5153" i="30"/>
  <c r="AF5153" i="30"/>
  <c r="AH5153" i="30" s="1"/>
  <c r="AG5155" i="30"/>
  <c r="AF5155" i="30"/>
  <c r="AH5155" i="30" s="1"/>
  <c r="AG5157" i="30"/>
  <c r="AF5157" i="30"/>
  <c r="AH5157" i="30" s="1"/>
  <c r="AG5159" i="30"/>
  <c r="AF5159" i="30"/>
  <c r="AH5159" i="30" s="1"/>
  <c r="AG5161" i="30"/>
  <c r="AF5161" i="30"/>
  <c r="AH5161" i="30" s="1"/>
  <c r="AG5163" i="30"/>
  <c r="AF5163" i="30"/>
  <c r="AH5163" i="30" s="1"/>
  <c r="AG5165" i="30"/>
  <c r="AF5165" i="30"/>
  <c r="AH5165" i="30" s="1"/>
  <c r="AG5167" i="30"/>
  <c r="AF5167" i="30"/>
  <c r="AH5167" i="30" s="1"/>
  <c r="AG5169" i="30"/>
  <c r="AF5169" i="30"/>
  <c r="AH5169" i="30" s="1"/>
  <c r="AG5171" i="30"/>
  <c r="AF5171" i="30"/>
  <c r="AH5171" i="30" s="1"/>
  <c r="AG5173" i="30"/>
  <c r="AF5173" i="30"/>
  <c r="AH5173" i="30" s="1"/>
  <c r="AG5175" i="30"/>
  <c r="AF5175" i="30"/>
  <c r="AH5175" i="30" s="1"/>
  <c r="AG5177" i="30"/>
  <c r="AF5177" i="30"/>
  <c r="AH5177" i="30" s="1"/>
  <c r="AG5179" i="30"/>
  <c r="AF5179" i="30"/>
  <c r="AH5179" i="30" s="1"/>
  <c r="AG5181" i="30"/>
  <c r="AF5181" i="30"/>
  <c r="AH5181" i="30" s="1"/>
  <c r="AG5183" i="30"/>
  <c r="AF5183" i="30"/>
  <c r="AH5183" i="30" s="1"/>
  <c r="AG5185" i="30"/>
  <c r="AF5185" i="30"/>
  <c r="AH5185" i="30" s="1"/>
  <c r="AG5187" i="30"/>
  <c r="AF5187" i="30"/>
  <c r="AH5187" i="30" s="1"/>
  <c r="AG5189" i="30"/>
  <c r="AF5189" i="30"/>
  <c r="AH5189" i="30" s="1"/>
  <c r="AG5191" i="30"/>
  <c r="AF5191" i="30"/>
  <c r="AH5191" i="30" s="1"/>
  <c r="AG5193" i="30"/>
  <c r="AF5193" i="30"/>
  <c r="AH5193" i="30" s="1"/>
  <c r="AG5195" i="30"/>
  <c r="AF5195" i="30"/>
  <c r="AH5195" i="30" s="1"/>
  <c r="AG5197" i="30"/>
  <c r="AF5197" i="30"/>
  <c r="AH5197" i="30" s="1"/>
  <c r="AG5199" i="30"/>
  <c r="AF5199" i="30"/>
  <c r="AH5199" i="30" s="1"/>
  <c r="AG5201" i="30"/>
  <c r="AF5201" i="30"/>
  <c r="AH5201" i="30" s="1"/>
  <c r="AG5203" i="30"/>
  <c r="AF5203" i="30"/>
  <c r="AH5203" i="30" s="1"/>
  <c r="AG5205" i="30"/>
  <c r="AF5205" i="30"/>
  <c r="AH5205" i="30" s="1"/>
  <c r="AG5207" i="30"/>
  <c r="AF5207" i="30"/>
  <c r="AH5207" i="30" s="1"/>
  <c r="AG5209" i="30"/>
  <c r="AF5209" i="30"/>
  <c r="AH5209" i="30" s="1"/>
  <c r="AG5211" i="30"/>
  <c r="AF5211" i="30"/>
  <c r="AH5211" i="30" s="1"/>
  <c r="AG5213" i="30"/>
  <c r="AF5213" i="30"/>
  <c r="AH5213" i="30" s="1"/>
  <c r="AG5215" i="30"/>
  <c r="AF5215" i="30"/>
  <c r="AH5215" i="30" s="1"/>
  <c r="AG5217" i="30"/>
  <c r="AF5217" i="30"/>
  <c r="AH5217" i="30" s="1"/>
  <c r="AG5219" i="30"/>
  <c r="AF5219" i="30"/>
  <c r="AH5219" i="30" s="1"/>
  <c r="AG5221" i="30"/>
  <c r="AF5221" i="30"/>
  <c r="AH5221" i="30" s="1"/>
  <c r="AG5223" i="30"/>
  <c r="AF5223" i="30"/>
  <c r="AH5223" i="30" s="1"/>
  <c r="AG5225" i="30"/>
  <c r="AF5225" i="30"/>
  <c r="AH5225" i="30" s="1"/>
  <c r="AG5227" i="30"/>
  <c r="AF5227" i="30"/>
  <c r="AH5227" i="30" s="1"/>
  <c r="AG5229" i="30"/>
  <c r="AF5229" i="30"/>
  <c r="AH5229" i="30" s="1"/>
  <c r="AG5231" i="30"/>
  <c r="AF5231" i="30"/>
  <c r="AH5231" i="30" s="1"/>
  <c r="AG5233" i="30"/>
  <c r="AF5233" i="30"/>
  <c r="AH5233" i="30" s="1"/>
  <c r="AG5235" i="30"/>
  <c r="AF5235" i="30"/>
  <c r="AH5235" i="30" s="1"/>
  <c r="AG5237" i="30"/>
  <c r="AF5237" i="30"/>
  <c r="AH5237" i="30" s="1"/>
  <c r="AG5239" i="30"/>
  <c r="AF5239" i="30"/>
  <c r="AH5239" i="30" s="1"/>
  <c r="AG5241" i="30"/>
  <c r="AF5241" i="30"/>
  <c r="AH5241" i="30" s="1"/>
  <c r="AG5243" i="30"/>
  <c r="AF5243" i="30"/>
  <c r="AH5243" i="30" s="1"/>
  <c r="AG5245" i="30"/>
  <c r="AF5245" i="30"/>
  <c r="AH5245" i="30" s="1"/>
  <c r="AG5247" i="30"/>
  <c r="AF5247" i="30"/>
  <c r="AH5247" i="30" s="1"/>
  <c r="AG5249" i="30"/>
  <c r="AF5249" i="30"/>
  <c r="AH5249" i="30" s="1"/>
  <c r="AG5251" i="30"/>
  <c r="AF5251" i="30"/>
  <c r="AH5251" i="30" s="1"/>
  <c r="AG5253" i="30"/>
  <c r="AF5253" i="30"/>
  <c r="AH5253" i="30" s="1"/>
  <c r="AG5255" i="30"/>
  <c r="AF5255" i="30"/>
  <c r="AH5255" i="30" s="1"/>
  <c r="AG5257" i="30"/>
  <c r="AF5257" i="30"/>
  <c r="AH5257" i="30" s="1"/>
  <c r="AG5259" i="30"/>
  <c r="AF5259" i="30"/>
  <c r="AH5259" i="30" s="1"/>
  <c r="AG5261" i="30"/>
  <c r="AF5261" i="30"/>
  <c r="AH5261" i="30" s="1"/>
  <c r="AG5263" i="30"/>
  <c r="AF5263" i="30"/>
  <c r="AH5263" i="30" s="1"/>
  <c r="AG5265" i="30"/>
  <c r="AF5265" i="30"/>
  <c r="AH5265" i="30" s="1"/>
  <c r="AG5267" i="30"/>
  <c r="AF5267" i="30"/>
  <c r="AH5267" i="30" s="1"/>
  <c r="AG5269" i="30"/>
  <c r="AF5269" i="30"/>
  <c r="AH5269" i="30" s="1"/>
  <c r="AG5271" i="30"/>
  <c r="AF5271" i="30"/>
  <c r="AH5271" i="30" s="1"/>
  <c r="AG5273" i="30"/>
  <c r="AF5273" i="30"/>
  <c r="AH5273" i="30" s="1"/>
  <c r="AG5275" i="30"/>
  <c r="AF5275" i="30"/>
  <c r="AH5275" i="30" s="1"/>
  <c r="AF8233" i="30"/>
  <c r="AH8233" i="30" s="1"/>
  <c r="AF8234" i="30"/>
  <c r="AH8234" i="30" s="1"/>
  <c r="AF8235" i="30"/>
  <c r="AH8235" i="30" s="1"/>
  <c r="AF8236" i="30"/>
  <c r="AH8236" i="30" s="1"/>
  <c r="AF8237" i="30"/>
  <c r="AH8237" i="30" s="1"/>
  <c r="AF8238" i="30"/>
  <c r="AH8238" i="30" s="1"/>
  <c r="AF8239" i="30"/>
  <c r="AH8239" i="30" s="1"/>
  <c r="AF8240" i="30"/>
  <c r="AH8240" i="30" s="1"/>
  <c r="AF8241" i="30"/>
  <c r="AH8241" i="30" s="1"/>
  <c r="AF8242" i="30"/>
  <c r="AH8242" i="30" s="1"/>
  <c r="AF8243" i="30"/>
  <c r="AH8243" i="30" s="1"/>
  <c r="AF8244" i="30"/>
  <c r="AH8244" i="30" s="1"/>
  <c r="AF8245" i="30"/>
  <c r="AH8245" i="30" s="1"/>
  <c r="AF8246" i="30"/>
  <c r="AH8246" i="30" s="1"/>
  <c r="AF8247" i="30"/>
  <c r="AH8247" i="30" s="1"/>
  <c r="AF8248" i="30"/>
  <c r="AH8248" i="30" s="1"/>
  <c r="AF8249" i="30"/>
  <c r="AH8249" i="30" s="1"/>
  <c r="AF8250" i="30"/>
  <c r="AH8250" i="30" s="1"/>
  <c r="AF8251" i="30"/>
  <c r="AH8251" i="30" s="1"/>
  <c r="AF8252" i="30"/>
  <c r="AH8252" i="30" s="1"/>
  <c r="AF8253" i="30"/>
  <c r="AH8253" i="30" s="1"/>
  <c r="AF8254" i="30"/>
  <c r="AH8254" i="30" s="1"/>
  <c r="AF8255" i="30"/>
  <c r="AH8255" i="30" s="1"/>
  <c r="AF8256" i="30"/>
  <c r="AH8256" i="30" s="1"/>
  <c r="AF8257" i="30"/>
  <c r="AH8257" i="30" s="1"/>
  <c r="AF8258" i="30"/>
  <c r="AH8258" i="30" s="1"/>
  <c r="AF8259" i="30"/>
  <c r="AH8259" i="30" s="1"/>
  <c r="AF8260" i="30"/>
  <c r="AH8260" i="30" s="1"/>
  <c r="AF8261" i="30"/>
  <c r="AH8261" i="30" s="1"/>
  <c r="AF8262" i="30"/>
  <c r="AH8262" i="30" s="1"/>
  <c r="AF8263" i="30"/>
  <c r="AH8263" i="30" s="1"/>
  <c r="AF8264" i="30"/>
  <c r="AH8264" i="30" s="1"/>
  <c r="AF8265" i="30"/>
  <c r="AH8265" i="30" s="1"/>
  <c r="AF8266" i="30"/>
  <c r="AH8266" i="30" s="1"/>
  <c r="AF8267" i="30"/>
  <c r="AH8267" i="30" s="1"/>
  <c r="AF8268" i="30"/>
  <c r="AH8268" i="30" s="1"/>
  <c r="AF8269" i="30"/>
  <c r="AH8269" i="30" s="1"/>
  <c r="AF8270" i="30"/>
  <c r="AH8270" i="30" s="1"/>
  <c r="AF8271" i="30"/>
  <c r="AH8271" i="30" s="1"/>
  <c r="AF8272" i="30"/>
  <c r="AH8272" i="30" s="1"/>
  <c r="AF8273" i="30"/>
  <c r="AH8273" i="30" s="1"/>
  <c r="AF8274" i="30"/>
  <c r="AH8274" i="30" s="1"/>
  <c r="AF8275" i="30"/>
  <c r="AH8275" i="30" s="1"/>
  <c r="AF8276" i="30"/>
  <c r="AH8276" i="30" s="1"/>
  <c r="AF8277" i="30"/>
  <c r="AH8277" i="30" s="1"/>
  <c r="AF8278" i="30"/>
  <c r="AH8278" i="30" s="1"/>
  <c r="AF8279" i="30"/>
  <c r="AH8279" i="30" s="1"/>
  <c r="AF8280" i="30"/>
  <c r="AH8280" i="30" s="1"/>
  <c r="AF8281" i="30"/>
  <c r="AH8281" i="30" s="1"/>
  <c r="AF8282" i="30"/>
  <c r="AH8282" i="30" s="1"/>
  <c r="AF8283" i="30"/>
  <c r="AH8283" i="30" s="1"/>
  <c r="AF8284" i="30"/>
  <c r="AH8284" i="30" s="1"/>
  <c r="AF8285" i="30"/>
  <c r="AH8285" i="30" s="1"/>
  <c r="AF8286" i="30"/>
  <c r="AH8286" i="30" s="1"/>
  <c r="AF8287" i="30"/>
  <c r="AH8287" i="30" s="1"/>
  <c r="AF8288" i="30"/>
  <c r="AH8288" i="30" s="1"/>
  <c r="AF8289" i="30"/>
  <c r="AH8289" i="30" s="1"/>
  <c r="AF8290" i="30"/>
  <c r="AH8290" i="30" s="1"/>
  <c r="AF8291" i="30"/>
  <c r="AH8291" i="30" s="1"/>
  <c r="AF8292" i="30"/>
  <c r="AH8292" i="30" s="1"/>
  <c r="AF8293" i="30"/>
  <c r="AH8293" i="30" s="1"/>
  <c r="AF8294" i="30"/>
  <c r="AH8294" i="30" s="1"/>
  <c r="AF8295" i="30"/>
  <c r="AH8295" i="30" s="1"/>
  <c r="AF8296" i="30"/>
  <c r="AH8296" i="30" s="1"/>
  <c r="AF8297" i="30"/>
  <c r="AH8297" i="30" s="1"/>
  <c r="AF8298" i="30"/>
  <c r="AH8298" i="30" s="1"/>
  <c r="AF8299" i="30"/>
  <c r="AH8299" i="30" s="1"/>
  <c r="AF8300" i="30"/>
  <c r="AH8300" i="30" s="1"/>
  <c r="AF8301" i="30"/>
  <c r="AH8301" i="30" s="1"/>
  <c r="AF8302" i="30"/>
  <c r="AH8302" i="30" s="1"/>
  <c r="AF8303" i="30"/>
  <c r="AH8303" i="30" s="1"/>
  <c r="AF8304" i="30"/>
  <c r="AH8304" i="30" s="1"/>
  <c r="AF8305" i="30"/>
  <c r="AH8305" i="30" s="1"/>
  <c r="AF8306" i="30"/>
  <c r="AH8306" i="30" s="1"/>
  <c r="AF8307" i="30"/>
  <c r="AH8307" i="30" s="1"/>
  <c r="AF8308" i="30"/>
  <c r="AH8308" i="30" s="1"/>
  <c r="AF8309" i="30"/>
  <c r="AH8309" i="30" s="1"/>
  <c r="AF8310" i="30"/>
  <c r="AH8310" i="30" s="1"/>
  <c r="AF8311" i="30"/>
  <c r="AH8311" i="30" s="1"/>
  <c r="AF8312" i="30"/>
  <c r="AH8312" i="30" s="1"/>
  <c r="AF8313" i="30"/>
  <c r="AH8313" i="30" s="1"/>
  <c r="AF8314" i="30"/>
  <c r="AH8314" i="30" s="1"/>
  <c r="AF8315" i="30"/>
  <c r="AH8315" i="30" s="1"/>
  <c r="AF8316" i="30"/>
  <c r="AH8316" i="30" s="1"/>
  <c r="AF8317" i="30"/>
  <c r="AH8317" i="30" s="1"/>
  <c r="AF8318" i="30"/>
  <c r="AH8318" i="30" s="1"/>
  <c r="AF8319" i="30"/>
  <c r="AH8319" i="30" s="1"/>
  <c r="AF8320" i="30"/>
  <c r="AH8320" i="30" s="1"/>
  <c r="AF8321" i="30"/>
  <c r="AH8321" i="30" s="1"/>
  <c r="AF8322" i="30"/>
  <c r="AH8322" i="30" s="1"/>
  <c r="AF8323" i="30"/>
  <c r="AH8323" i="30" s="1"/>
  <c r="AF8324" i="30"/>
  <c r="AH8324" i="30" s="1"/>
  <c r="AF8325" i="30"/>
  <c r="AH8325" i="30" s="1"/>
  <c r="AF8326" i="30"/>
  <c r="AH8326" i="30" s="1"/>
  <c r="AF8327" i="30"/>
  <c r="AH8327" i="30" s="1"/>
  <c r="AF8328" i="30"/>
  <c r="AH8328" i="30" s="1"/>
  <c r="AF8329" i="30"/>
  <c r="AH8329" i="30" s="1"/>
  <c r="AF8330" i="30"/>
  <c r="AH8330" i="30" s="1"/>
  <c r="AF8331" i="30"/>
  <c r="AH8331" i="30" s="1"/>
  <c r="AF8332" i="30"/>
  <c r="AH8332" i="30" s="1"/>
  <c r="AF8333" i="30"/>
  <c r="AH8333" i="30" s="1"/>
  <c r="AF8334" i="30"/>
  <c r="AH8334" i="30" s="1"/>
  <c r="AF8335" i="30"/>
  <c r="AH8335" i="30" s="1"/>
  <c r="AF8336" i="30"/>
  <c r="AH8336" i="30" s="1"/>
  <c r="AF8337" i="30"/>
  <c r="AH8337" i="30" s="1"/>
  <c r="AF8338" i="30"/>
  <c r="AH8338" i="30" s="1"/>
  <c r="AF8339" i="30"/>
  <c r="AH8339" i="30" s="1"/>
  <c r="AF8340" i="30"/>
  <c r="AH8340" i="30" s="1"/>
  <c r="AF8341" i="30"/>
  <c r="AH8341" i="30" s="1"/>
  <c r="AF8342" i="30"/>
  <c r="AH8342" i="30" s="1"/>
  <c r="AF8343" i="30"/>
  <c r="AH8343" i="30" s="1"/>
  <c r="AF8344" i="30"/>
  <c r="AH8344" i="30" s="1"/>
  <c r="AF8345" i="30"/>
  <c r="AH8345" i="30" s="1"/>
  <c r="AF8346" i="30"/>
  <c r="AH8346" i="30" s="1"/>
  <c r="AF8347" i="30"/>
  <c r="AH8347" i="30" s="1"/>
  <c r="AF8348" i="30"/>
  <c r="AH8348" i="30" s="1"/>
  <c r="AF8349" i="30"/>
  <c r="AH8349" i="30" s="1"/>
  <c r="AF8350" i="30"/>
  <c r="AH8350" i="30" s="1"/>
  <c r="AF8351" i="30"/>
  <c r="AH8351" i="30" s="1"/>
  <c r="AF8352" i="30"/>
  <c r="AH8352" i="30" s="1"/>
  <c r="AF8353" i="30"/>
  <c r="AH8353" i="30" s="1"/>
  <c r="AF8354" i="30"/>
  <c r="AH8354" i="30" s="1"/>
  <c r="AF8355" i="30"/>
  <c r="AH8355" i="30" s="1"/>
  <c r="AF8356" i="30"/>
  <c r="AH8356" i="30" s="1"/>
  <c r="AF8357" i="30"/>
  <c r="AH8357" i="30" s="1"/>
  <c r="AF8358" i="30"/>
  <c r="AH8358" i="30" s="1"/>
  <c r="AF8359" i="30"/>
  <c r="AH8359" i="30" s="1"/>
  <c r="AF8360" i="30"/>
  <c r="AH8360" i="30" s="1"/>
  <c r="AF8361" i="30"/>
  <c r="AH8361" i="30" s="1"/>
  <c r="AF8362" i="30"/>
  <c r="AH8362" i="30" s="1"/>
  <c r="AF8363" i="30"/>
  <c r="AH8363" i="30" s="1"/>
  <c r="AF8364" i="30"/>
  <c r="AH8364" i="30" s="1"/>
  <c r="AF8365" i="30"/>
  <c r="AH8365" i="30" s="1"/>
  <c r="AF8366" i="30"/>
  <c r="AH8366" i="30" s="1"/>
  <c r="AF8367" i="30"/>
  <c r="AH8367" i="30" s="1"/>
  <c r="AF8368" i="30"/>
  <c r="AH8368" i="30" s="1"/>
  <c r="AF8369" i="30"/>
  <c r="AH8369" i="30" s="1"/>
  <c r="AF8370" i="30"/>
  <c r="AH8370" i="30" s="1"/>
  <c r="AF8371" i="30"/>
  <c r="AH8371" i="30" s="1"/>
  <c r="AF8372" i="30"/>
  <c r="AH8372" i="30" s="1"/>
  <c r="AF8373" i="30"/>
  <c r="AH8373" i="30" s="1"/>
  <c r="AF8374" i="30"/>
  <c r="AH8374" i="30" s="1"/>
  <c r="AF8375" i="30"/>
  <c r="AH8375" i="30" s="1"/>
  <c r="AF8376" i="30"/>
  <c r="AH8376" i="30" s="1"/>
  <c r="AF8377" i="30"/>
  <c r="AH8377" i="30" s="1"/>
  <c r="AF8378" i="30"/>
  <c r="AH8378" i="30" s="1"/>
  <c r="AF8379" i="30"/>
  <c r="AH8379" i="30" s="1"/>
  <c r="AF8380" i="30"/>
  <c r="AH8380" i="30" s="1"/>
  <c r="AF8381" i="30"/>
  <c r="AH8381" i="30" s="1"/>
  <c r="AF8382" i="30"/>
  <c r="AH8382" i="30" s="1"/>
  <c r="AF8383" i="30"/>
  <c r="AH8383" i="30" s="1"/>
  <c r="AF8384" i="30"/>
  <c r="AH8384" i="30" s="1"/>
  <c r="AF8385" i="30"/>
  <c r="AH8385" i="30" s="1"/>
  <c r="AF8386" i="30"/>
  <c r="AH8386" i="30" s="1"/>
  <c r="AF8387" i="30"/>
  <c r="AH8387" i="30" s="1"/>
  <c r="AF8388" i="30"/>
  <c r="AH8388" i="30" s="1"/>
  <c r="AF8389" i="30"/>
  <c r="AH8389" i="30" s="1"/>
  <c r="AF8390" i="30"/>
  <c r="AH8390" i="30" s="1"/>
  <c r="AF8391" i="30"/>
  <c r="AH8391" i="30" s="1"/>
  <c r="AF8392" i="30"/>
  <c r="AH8392" i="30" s="1"/>
  <c r="AF8393" i="30"/>
  <c r="AH8393" i="30" s="1"/>
  <c r="AF8394" i="30"/>
  <c r="AH8394" i="30" s="1"/>
  <c r="AF8395" i="30"/>
  <c r="AH8395" i="30" s="1"/>
  <c r="AF8396" i="30"/>
  <c r="AH8396" i="30" s="1"/>
  <c r="AF8397" i="30"/>
  <c r="AH8397" i="30" s="1"/>
  <c r="AF8398" i="30"/>
  <c r="AH8398" i="30" s="1"/>
  <c r="AF8399" i="30"/>
  <c r="AH8399" i="30" s="1"/>
  <c r="AF8400" i="30"/>
  <c r="AH8400" i="30" s="1"/>
  <c r="AF8401" i="30"/>
  <c r="AH8401" i="30" s="1"/>
  <c r="AF8402" i="30"/>
  <c r="AH8402" i="30" s="1"/>
  <c r="AF8403" i="30"/>
  <c r="AH8403" i="30" s="1"/>
  <c r="AF8404" i="30"/>
  <c r="AH8404" i="30" s="1"/>
  <c r="AF8405" i="30"/>
  <c r="AH8405" i="30" s="1"/>
  <c r="AF8406" i="30"/>
  <c r="AH8406" i="30" s="1"/>
  <c r="AF8407" i="30"/>
  <c r="AH8407" i="30" s="1"/>
  <c r="AF8408" i="30"/>
  <c r="AH8408" i="30" s="1"/>
  <c r="AF8409" i="30"/>
  <c r="AH8409" i="30" s="1"/>
  <c r="AF8410" i="30"/>
  <c r="AH8410" i="30" s="1"/>
  <c r="AF8411" i="30"/>
  <c r="AH8411" i="30" s="1"/>
  <c r="AF8412" i="30"/>
  <c r="AH8412" i="30" s="1"/>
  <c r="AF8413" i="30"/>
  <c r="AH8413" i="30" s="1"/>
  <c r="AF8414" i="30"/>
  <c r="AH8414" i="30" s="1"/>
  <c r="AF8415" i="30"/>
  <c r="AH8415" i="30" s="1"/>
  <c r="AF8416" i="30"/>
  <c r="AH8416" i="30" s="1"/>
  <c r="AF8417" i="30"/>
  <c r="AH8417" i="30" s="1"/>
  <c r="AF8418" i="30"/>
  <c r="AH8418" i="30" s="1"/>
  <c r="AF8419" i="30"/>
  <c r="AH8419" i="30" s="1"/>
  <c r="AF8420" i="30"/>
  <c r="AH8420" i="30" s="1"/>
  <c r="AF8421" i="30"/>
  <c r="AH8421" i="30" s="1"/>
  <c r="AF8422" i="30"/>
  <c r="AH8422" i="30" s="1"/>
  <c r="AF8423" i="30"/>
  <c r="AH8423" i="30" s="1"/>
  <c r="AF8424" i="30"/>
  <c r="AH8424" i="30" s="1"/>
  <c r="AF8425" i="30"/>
  <c r="AH8425" i="30" s="1"/>
  <c r="AF8426" i="30"/>
  <c r="AH8426" i="30" s="1"/>
  <c r="AF8427" i="30"/>
  <c r="AH8427" i="30" s="1"/>
  <c r="AF8428" i="30"/>
  <c r="AH8428" i="30" s="1"/>
  <c r="AF8429" i="30"/>
  <c r="AH8429" i="30" s="1"/>
  <c r="AF8430" i="30"/>
  <c r="AH8430" i="30" s="1"/>
  <c r="AF8431" i="30"/>
  <c r="AH8431" i="30" s="1"/>
  <c r="AF8432" i="30"/>
  <c r="AH8432" i="30" s="1"/>
  <c r="AF8433" i="30"/>
  <c r="AH8433" i="30" s="1"/>
  <c r="AF8434" i="30"/>
  <c r="AH8434" i="30" s="1"/>
  <c r="AF8435" i="30"/>
  <c r="AH8435" i="30" s="1"/>
  <c r="AF8436" i="30"/>
  <c r="AH8436" i="30" s="1"/>
  <c r="AF8437" i="30"/>
  <c r="AH8437" i="30" s="1"/>
  <c r="AF8438" i="30"/>
  <c r="AH8438" i="30" s="1"/>
  <c r="AF8439" i="30"/>
  <c r="AH8439" i="30" s="1"/>
  <c r="AF8440" i="30"/>
  <c r="AH8440" i="30" s="1"/>
  <c r="AF8441" i="30"/>
  <c r="AH8441" i="30" s="1"/>
  <c r="AF8442" i="30"/>
  <c r="AH8442" i="30" s="1"/>
  <c r="AF8443" i="30"/>
  <c r="AH8443" i="30" s="1"/>
  <c r="AF8444" i="30"/>
  <c r="AH8444" i="30" s="1"/>
  <c r="AF8445" i="30"/>
  <c r="AH8445" i="30" s="1"/>
  <c r="AF8446" i="30"/>
  <c r="AH8446" i="30" s="1"/>
  <c r="AF8447" i="30"/>
  <c r="AH8447" i="30" s="1"/>
  <c r="AF8448" i="30"/>
  <c r="AH8448" i="30" s="1"/>
  <c r="AF8449" i="30"/>
  <c r="AH8449" i="30" s="1"/>
  <c r="AF8450" i="30"/>
  <c r="AH8450" i="30" s="1"/>
  <c r="AF8451" i="30"/>
  <c r="AH8451" i="30" s="1"/>
  <c r="AF8452" i="30"/>
  <c r="AH8452" i="30" s="1"/>
  <c r="AF8453" i="30"/>
  <c r="AH8453" i="30" s="1"/>
  <c r="AF8454" i="30"/>
  <c r="AH8454" i="30" s="1"/>
  <c r="AF8455" i="30"/>
  <c r="AH8455" i="30" s="1"/>
  <c r="AF8456" i="30"/>
  <c r="AH8456" i="30" s="1"/>
  <c r="AF8457" i="30"/>
  <c r="AH8457" i="30" s="1"/>
  <c r="AF8458" i="30"/>
  <c r="AH8458" i="30" s="1"/>
  <c r="AF8459" i="30"/>
  <c r="AH8459" i="30" s="1"/>
  <c r="AF8460" i="30"/>
  <c r="AH8460" i="30" s="1"/>
  <c r="AF8461" i="30"/>
  <c r="AH8461" i="30" s="1"/>
  <c r="AF8462" i="30"/>
  <c r="AH8462" i="30" s="1"/>
  <c r="AF8463" i="30"/>
  <c r="AH8463" i="30" s="1"/>
  <c r="AF8464" i="30"/>
  <c r="AH8464" i="30" s="1"/>
  <c r="AF8465" i="30"/>
  <c r="AH8465" i="30" s="1"/>
  <c r="AF8466" i="30"/>
  <c r="AH8466" i="30" s="1"/>
  <c r="AF8467" i="30"/>
  <c r="AH8467" i="30" s="1"/>
  <c r="AF8468" i="30"/>
  <c r="AH8468" i="30" s="1"/>
  <c r="AF8469" i="30"/>
  <c r="AH8469" i="30" s="1"/>
  <c r="AF8470" i="30"/>
  <c r="AH8470" i="30" s="1"/>
  <c r="AF8471" i="30"/>
  <c r="AH8471" i="30" s="1"/>
  <c r="AF8472" i="30"/>
  <c r="AH8472" i="30" s="1"/>
  <c r="AF8473" i="30"/>
  <c r="AH8473" i="30" s="1"/>
  <c r="AF8474" i="30"/>
  <c r="AH8474" i="30" s="1"/>
  <c r="AF8475" i="30"/>
  <c r="AH8475" i="30" s="1"/>
  <c r="AF8476" i="30"/>
  <c r="AH8476" i="30" s="1"/>
  <c r="AF8477" i="30"/>
  <c r="AH8477" i="30" s="1"/>
  <c r="AF8478" i="30"/>
  <c r="AH8478" i="30" s="1"/>
  <c r="AF8479" i="30"/>
  <c r="AH8479" i="30" s="1"/>
  <c r="AF8480" i="30"/>
  <c r="AH8480" i="30" s="1"/>
  <c r="AF8481" i="30"/>
  <c r="AH8481" i="30" s="1"/>
  <c r="AF8482" i="30"/>
  <c r="AH8482" i="30" s="1"/>
  <c r="AF8483" i="30"/>
  <c r="AH8483" i="30" s="1"/>
  <c r="AF8484" i="30"/>
  <c r="AH8484" i="30" s="1"/>
  <c r="AF8485" i="30"/>
  <c r="AH8485" i="30" s="1"/>
  <c r="AF8486" i="30"/>
  <c r="AH8486" i="30" s="1"/>
  <c r="AF8487" i="30"/>
  <c r="AH8487" i="30" s="1"/>
  <c r="AF8488" i="30"/>
  <c r="AH8488" i="30" s="1"/>
  <c r="AF8489" i="30"/>
  <c r="AH8489" i="30" s="1"/>
  <c r="AF8490" i="30"/>
  <c r="AH8490" i="30" s="1"/>
  <c r="AF8491" i="30"/>
  <c r="AH8491" i="30" s="1"/>
  <c r="AF8492" i="30"/>
  <c r="AH8492" i="30" s="1"/>
  <c r="AF8493" i="30"/>
  <c r="AH8493" i="30" s="1"/>
  <c r="AF8494" i="30"/>
  <c r="AH8494" i="30" s="1"/>
  <c r="AF8495" i="30"/>
  <c r="AH8495" i="30" s="1"/>
  <c r="AF8496" i="30"/>
  <c r="AH8496" i="30" s="1"/>
  <c r="AF8497" i="30"/>
  <c r="AH8497" i="30" s="1"/>
  <c r="AF8498" i="30"/>
  <c r="AH8498" i="30" s="1"/>
  <c r="AG5438" i="30"/>
  <c r="AF5438" i="30"/>
  <c r="AH5438" i="30" s="1"/>
  <c r="AG5440" i="30"/>
  <c r="AF5440" i="30"/>
  <c r="AH5440" i="30" s="1"/>
  <c r="AG5442" i="30"/>
  <c r="AF5442" i="30"/>
  <c r="AH5442" i="30" s="1"/>
  <c r="AG5444" i="30"/>
  <c r="AF5444" i="30"/>
  <c r="AH5444" i="30" s="1"/>
  <c r="AG5446" i="30"/>
  <c r="AF5446" i="30"/>
  <c r="AH5446" i="30" s="1"/>
  <c r="AG5448" i="30"/>
  <c r="AF5448" i="30"/>
  <c r="AH5448" i="30" s="1"/>
  <c r="AG5450" i="30"/>
  <c r="AF5450" i="30"/>
  <c r="AH5450" i="30" s="1"/>
  <c r="AG5452" i="30"/>
  <c r="AF5452" i="30"/>
  <c r="AH5452" i="30" s="1"/>
  <c r="AG5454" i="30"/>
  <c r="AF5454" i="30"/>
  <c r="AH5454" i="30" s="1"/>
  <c r="AG5456" i="30"/>
  <c r="AF5456" i="30"/>
  <c r="AH5456" i="30" s="1"/>
  <c r="AG5458" i="30"/>
  <c r="AF5458" i="30"/>
  <c r="AH5458" i="30" s="1"/>
  <c r="AG5460" i="30"/>
  <c r="AF5460" i="30"/>
  <c r="AH5460" i="30" s="1"/>
  <c r="AG5462" i="30"/>
  <c r="AF5462" i="30"/>
  <c r="AH5462" i="30" s="1"/>
  <c r="AG5464" i="30"/>
  <c r="AF5464" i="30"/>
  <c r="AH5464" i="30" s="1"/>
  <c r="AG5466" i="30"/>
  <c r="AF5466" i="30"/>
  <c r="AH5466" i="30" s="1"/>
  <c r="AG5468" i="30"/>
  <c r="AF5468" i="30"/>
  <c r="AH5468" i="30" s="1"/>
  <c r="AG5470" i="30"/>
  <c r="AF5470" i="30"/>
  <c r="AH5470" i="30" s="1"/>
  <c r="AG5472" i="30"/>
  <c r="AF5472" i="30"/>
  <c r="AH5472" i="30" s="1"/>
  <c r="AG5474" i="30"/>
  <c r="AF5474" i="30"/>
  <c r="AH5474" i="30" s="1"/>
  <c r="AG5476" i="30"/>
  <c r="AF5476" i="30"/>
  <c r="AH5476" i="30" s="1"/>
  <c r="AG5478" i="30"/>
  <c r="AF5478" i="30"/>
  <c r="AH5478" i="30" s="1"/>
  <c r="AG5480" i="30"/>
  <c r="AF5480" i="30"/>
  <c r="AH5480" i="30" s="1"/>
  <c r="AG5482" i="30"/>
  <c r="AF5482" i="30"/>
  <c r="AH5482" i="30" s="1"/>
  <c r="AG5484" i="30"/>
  <c r="AF5484" i="30"/>
  <c r="AH5484" i="30" s="1"/>
  <c r="AG5486" i="30"/>
  <c r="AF5486" i="30"/>
  <c r="AH5486" i="30" s="1"/>
  <c r="AG5488" i="30"/>
  <c r="AF5488" i="30"/>
  <c r="AH5488" i="30" s="1"/>
  <c r="AG5490" i="30"/>
  <c r="AF5490" i="30"/>
  <c r="AH5490" i="30" s="1"/>
  <c r="AG5492" i="30"/>
  <c r="AF5492" i="30"/>
  <c r="AH5492" i="30" s="1"/>
  <c r="AG5494" i="30"/>
  <c r="AF5494" i="30"/>
  <c r="AH5494" i="30" s="1"/>
  <c r="AG5496" i="30"/>
  <c r="AF5496" i="30"/>
  <c r="AH5496" i="30" s="1"/>
  <c r="AG5498" i="30"/>
  <c r="AF5498" i="30"/>
  <c r="AH5498" i="30" s="1"/>
  <c r="AG5500" i="30"/>
  <c r="AF5500" i="30"/>
  <c r="AH5500" i="30" s="1"/>
  <c r="AG5502" i="30"/>
  <c r="AF5502" i="30"/>
  <c r="AH5502" i="30" s="1"/>
  <c r="AG5504" i="30"/>
  <c r="AF5504" i="30"/>
  <c r="AH5504" i="30" s="1"/>
  <c r="AG5506" i="30"/>
  <c r="AF5506" i="30"/>
  <c r="AH5506" i="30" s="1"/>
  <c r="AG5508" i="30"/>
  <c r="AF5508" i="30"/>
  <c r="AH5508" i="30" s="1"/>
  <c r="AG5510" i="30"/>
  <c r="AF5510" i="30"/>
  <c r="AH5510" i="30" s="1"/>
  <c r="AG5512" i="30"/>
  <c r="AF5512" i="30"/>
  <c r="AH5512" i="30" s="1"/>
  <c r="AG5514" i="30"/>
  <c r="AF5514" i="30"/>
  <c r="AH5514" i="30" s="1"/>
  <c r="AG5516" i="30"/>
  <c r="AF5516" i="30"/>
  <c r="AH5516" i="30" s="1"/>
  <c r="AG5518" i="30"/>
  <c r="AF5518" i="30"/>
  <c r="AH5518" i="30" s="1"/>
  <c r="AG5520" i="30"/>
  <c r="AF5520" i="30"/>
  <c r="AH5520" i="30" s="1"/>
  <c r="AG5522" i="30"/>
  <c r="AF5522" i="30"/>
  <c r="AH5522" i="30" s="1"/>
  <c r="AG5524" i="30"/>
  <c r="AF5524" i="30"/>
  <c r="AH5524" i="30" s="1"/>
  <c r="AG5526" i="30"/>
  <c r="AF5526" i="30"/>
  <c r="AH5526" i="30" s="1"/>
  <c r="AG5528" i="30"/>
  <c r="AF5528" i="30"/>
  <c r="AH5528" i="30" s="1"/>
  <c r="AG5530" i="30"/>
  <c r="AF5530" i="30"/>
  <c r="AH5530" i="30" s="1"/>
  <c r="AG5532" i="30"/>
  <c r="AF5532" i="30"/>
  <c r="AH5532" i="30" s="1"/>
  <c r="AG5534" i="30"/>
  <c r="AF5534" i="30"/>
  <c r="AH5534" i="30" s="1"/>
  <c r="AG5536" i="30"/>
  <c r="AF5536" i="30"/>
  <c r="AH5536" i="30" s="1"/>
  <c r="AG5538" i="30"/>
  <c r="AF5538" i="30"/>
  <c r="AH5538" i="30" s="1"/>
  <c r="AG5540" i="30"/>
  <c r="AF5540" i="30"/>
  <c r="AH5540" i="30" s="1"/>
  <c r="AG5542" i="30"/>
  <c r="AF5542" i="30"/>
  <c r="AH5542" i="30" s="1"/>
  <c r="AG5544" i="30"/>
  <c r="AF5544" i="30"/>
  <c r="AH5544" i="30" s="1"/>
  <c r="AG5546" i="30"/>
  <c r="AF5546" i="30"/>
  <c r="AH5546" i="30" s="1"/>
  <c r="AG5548" i="30"/>
  <c r="AF5548" i="30"/>
  <c r="AH5548" i="30" s="1"/>
  <c r="AG5550" i="30"/>
  <c r="AF5550" i="30"/>
  <c r="AH5550" i="30" s="1"/>
  <c r="AG5552" i="30"/>
  <c r="AF5552" i="30"/>
  <c r="AH5552" i="30" s="1"/>
  <c r="AG5554" i="30"/>
  <c r="AF5554" i="30"/>
  <c r="AH5554" i="30" s="1"/>
  <c r="AG5556" i="30"/>
  <c r="AF5556" i="30"/>
  <c r="AH5556" i="30" s="1"/>
  <c r="AG5558" i="30"/>
  <c r="AF5558" i="30"/>
  <c r="AH5558" i="30" s="1"/>
  <c r="AG5560" i="30"/>
  <c r="AF5560" i="30"/>
  <c r="AH5560" i="30" s="1"/>
  <c r="AG5562" i="30"/>
  <c r="AF5562" i="30"/>
  <c r="AH5562" i="30" s="1"/>
  <c r="AG5564" i="30"/>
  <c r="AF5564" i="30"/>
  <c r="AH5564" i="30" s="1"/>
  <c r="AG5566" i="30"/>
  <c r="AF5566" i="30"/>
  <c r="AH5566" i="30" s="1"/>
  <c r="AG5568" i="30"/>
  <c r="AF5568" i="30"/>
  <c r="AH5568" i="30" s="1"/>
  <c r="AG5570" i="30"/>
  <c r="AF5570" i="30"/>
  <c r="AH5570" i="30" s="1"/>
  <c r="AG5572" i="30"/>
  <c r="AF5572" i="30"/>
  <c r="AH5572" i="30" s="1"/>
  <c r="AG5574" i="30"/>
  <c r="AF5574" i="30"/>
  <c r="AH5574" i="30" s="1"/>
  <c r="AG5576" i="30"/>
  <c r="AF5576" i="30"/>
  <c r="AH5576" i="30" s="1"/>
  <c r="AG5578" i="30"/>
  <c r="AF5578" i="30"/>
  <c r="AH5578" i="30" s="1"/>
  <c r="AG5580" i="30"/>
  <c r="AF5580" i="30"/>
  <c r="AH5580" i="30" s="1"/>
  <c r="AG5582" i="30"/>
  <c r="AF5582" i="30"/>
  <c r="AH5582" i="30" s="1"/>
  <c r="AG5584" i="30"/>
  <c r="AF5584" i="30"/>
  <c r="AH5584" i="30" s="1"/>
  <c r="AG5586" i="30"/>
  <c r="AF5586" i="30"/>
  <c r="AH5586" i="30" s="1"/>
  <c r="AG5588" i="30"/>
  <c r="AF5588" i="30"/>
  <c r="AH5588" i="30" s="1"/>
  <c r="AG5590" i="30"/>
  <c r="AF5590" i="30"/>
  <c r="AH5590" i="30" s="1"/>
  <c r="AG5592" i="30"/>
  <c r="AF5592" i="30"/>
  <c r="AH5592" i="30" s="1"/>
  <c r="AG5594" i="30"/>
  <c r="AF5594" i="30"/>
  <c r="AH5594" i="30" s="1"/>
  <c r="AG5596" i="30"/>
  <c r="AF5596" i="30"/>
  <c r="AH5596" i="30" s="1"/>
  <c r="AG5598" i="30"/>
  <c r="AF5598" i="30"/>
  <c r="AH5598" i="30" s="1"/>
  <c r="AG5600" i="30"/>
  <c r="AF5600" i="30"/>
  <c r="AH5600" i="30" s="1"/>
  <c r="AG5602" i="30"/>
  <c r="AF5602" i="30"/>
  <c r="AH5602" i="30" s="1"/>
  <c r="AG5604" i="30"/>
  <c r="AF5604" i="30"/>
  <c r="AH5604" i="30" s="1"/>
  <c r="AG5606" i="30"/>
  <c r="AF5606" i="30"/>
  <c r="AH5606" i="30" s="1"/>
  <c r="AG5608" i="30"/>
  <c r="AF5608" i="30"/>
  <c r="AH5608" i="30" s="1"/>
  <c r="AG5610" i="30"/>
  <c r="AF5610" i="30"/>
  <c r="AH5610" i="30" s="1"/>
  <c r="AG5612" i="30"/>
  <c r="AF5612" i="30"/>
  <c r="AH5612" i="30" s="1"/>
  <c r="AG5614" i="30"/>
  <c r="AF5614" i="30"/>
  <c r="AH5614" i="30" s="1"/>
  <c r="AG5616" i="30"/>
  <c r="AF5616" i="30"/>
  <c r="AH5616" i="30" s="1"/>
  <c r="AG5618" i="30"/>
  <c r="AF5618" i="30"/>
  <c r="AH5618" i="30" s="1"/>
  <c r="AG5620" i="30"/>
  <c r="AF5620" i="30"/>
  <c r="AH5620" i="30" s="1"/>
  <c r="AG5622" i="30"/>
  <c r="AF5622" i="30"/>
  <c r="AH5622" i="30" s="1"/>
  <c r="AG5624" i="30"/>
  <c r="AF5624" i="30"/>
  <c r="AH5624" i="30" s="1"/>
  <c r="AG5626" i="30"/>
  <c r="AF5626" i="30"/>
  <c r="AH5626" i="30" s="1"/>
  <c r="AG5628" i="30"/>
  <c r="AF5628" i="30"/>
  <c r="AH5628" i="30" s="1"/>
  <c r="AG5630" i="30"/>
  <c r="AF5630" i="30"/>
  <c r="AH5630" i="30" s="1"/>
  <c r="AG5632" i="30"/>
  <c r="AF5632" i="30"/>
  <c r="AH5632" i="30" s="1"/>
  <c r="AG5634" i="30"/>
  <c r="AF5634" i="30"/>
  <c r="AH5634" i="30" s="1"/>
  <c r="AG5636" i="30"/>
  <c r="AF5636" i="30"/>
  <c r="AH5636" i="30" s="1"/>
  <c r="AG5638" i="30"/>
  <c r="AF5638" i="30"/>
  <c r="AH5638" i="30" s="1"/>
  <c r="AG5640" i="30"/>
  <c r="AF5640" i="30"/>
  <c r="AH5640" i="30" s="1"/>
  <c r="AG5642" i="30"/>
  <c r="AF5642" i="30"/>
  <c r="AH5642" i="30" s="1"/>
  <c r="AG5644" i="30"/>
  <c r="AF5644" i="30"/>
  <c r="AH5644" i="30" s="1"/>
  <c r="AG5646" i="30"/>
  <c r="AF5646" i="30"/>
  <c r="AH5646" i="30" s="1"/>
  <c r="AG5648" i="30"/>
  <c r="AF5648" i="30"/>
  <c r="AH5648" i="30" s="1"/>
  <c r="AG5650" i="30"/>
  <c r="AF5650" i="30"/>
  <c r="AH5650" i="30" s="1"/>
  <c r="AG5652" i="30"/>
  <c r="AF5652" i="30"/>
  <c r="AH5652" i="30" s="1"/>
  <c r="AG5654" i="30"/>
  <c r="AF5654" i="30"/>
  <c r="AH5654" i="30" s="1"/>
  <c r="AG5656" i="30"/>
  <c r="AF5656" i="30"/>
  <c r="AH5656" i="30" s="1"/>
  <c r="AG5658" i="30"/>
  <c r="AF5658" i="30"/>
  <c r="AH5658" i="30" s="1"/>
  <c r="AG5660" i="30"/>
  <c r="AF5660" i="30"/>
  <c r="AH5660" i="30" s="1"/>
  <c r="AG5662" i="30"/>
  <c r="AF5662" i="30"/>
  <c r="AH5662" i="30" s="1"/>
  <c r="AG5664" i="30"/>
  <c r="AF5664" i="30"/>
  <c r="AH5664" i="30" s="1"/>
  <c r="AG5666" i="30"/>
  <c r="AF5666" i="30"/>
  <c r="AH5666" i="30" s="1"/>
  <c r="AG5668" i="30"/>
  <c r="AF5668" i="30"/>
  <c r="AH5668" i="30" s="1"/>
  <c r="AG5670" i="30"/>
  <c r="AF5670" i="30"/>
  <c r="AH5670" i="30" s="1"/>
  <c r="AG5672" i="30"/>
  <c r="AF5672" i="30"/>
  <c r="AH5672" i="30" s="1"/>
  <c r="AG5674" i="30"/>
  <c r="AF5674" i="30"/>
  <c r="AH5674" i="30" s="1"/>
  <c r="AG5676" i="30"/>
  <c r="AF5676" i="30"/>
  <c r="AH5676" i="30" s="1"/>
  <c r="AG5678" i="30"/>
  <c r="AF5678" i="30"/>
  <c r="AH5678" i="30" s="1"/>
  <c r="AG5680" i="30"/>
  <c r="AF5680" i="30"/>
  <c r="AH5680" i="30" s="1"/>
  <c r="AG5682" i="30"/>
  <c r="AF5682" i="30"/>
  <c r="AH5682" i="30" s="1"/>
  <c r="AG5684" i="30"/>
  <c r="AF5684" i="30"/>
  <c r="AH5684" i="30" s="1"/>
  <c r="AG5686" i="30"/>
  <c r="AF5686" i="30"/>
  <c r="AH5686" i="30" s="1"/>
  <c r="AG5688" i="30"/>
  <c r="AF5688" i="30"/>
  <c r="AH5688" i="30" s="1"/>
  <c r="AG5690" i="30"/>
  <c r="AF5690" i="30"/>
  <c r="AH5690" i="30" s="1"/>
  <c r="AG5692" i="30"/>
  <c r="AF5692" i="30"/>
  <c r="AH5692" i="30" s="1"/>
  <c r="AG5437" i="30"/>
  <c r="AF5437" i="30"/>
  <c r="AH5437" i="30" s="1"/>
  <c r="AG5439" i="30"/>
  <c r="AF5439" i="30"/>
  <c r="AH5439" i="30" s="1"/>
  <c r="AG5441" i="30"/>
  <c r="AF5441" i="30"/>
  <c r="AH5441" i="30" s="1"/>
  <c r="AG5443" i="30"/>
  <c r="AF5443" i="30"/>
  <c r="AH5443" i="30" s="1"/>
  <c r="AG5445" i="30"/>
  <c r="AF5445" i="30"/>
  <c r="AH5445" i="30" s="1"/>
  <c r="AG5447" i="30"/>
  <c r="AF5447" i="30"/>
  <c r="AH5447" i="30" s="1"/>
  <c r="AG5449" i="30"/>
  <c r="AF5449" i="30"/>
  <c r="AH5449" i="30" s="1"/>
  <c r="AG5451" i="30"/>
  <c r="AF5451" i="30"/>
  <c r="AH5451" i="30" s="1"/>
  <c r="AG5453" i="30"/>
  <c r="AF5453" i="30"/>
  <c r="AH5453" i="30" s="1"/>
  <c r="AG5455" i="30"/>
  <c r="AF5455" i="30"/>
  <c r="AH5455" i="30" s="1"/>
  <c r="AG5457" i="30"/>
  <c r="AF5457" i="30"/>
  <c r="AH5457" i="30" s="1"/>
  <c r="AG5459" i="30"/>
  <c r="AF5459" i="30"/>
  <c r="AH5459" i="30" s="1"/>
  <c r="AG5461" i="30"/>
  <c r="AF5461" i="30"/>
  <c r="AH5461" i="30" s="1"/>
  <c r="AG5463" i="30"/>
  <c r="AF5463" i="30"/>
  <c r="AH5463" i="30" s="1"/>
  <c r="AG5465" i="30"/>
  <c r="AF5465" i="30"/>
  <c r="AH5465" i="30" s="1"/>
  <c r="AG5467" i="30"/>
  <c r="AF5467" i="30"/>
  <c r="AH5467" i="30" s="1"/>
  <c r="AG5469" i="30"/>
  <c r="AF5469" i="30"/>
  <c r="AH5469" i="30" s="1"/>
  <c r="AG5471" i="30"/>
  <c r="AF5471" i="30"/>
  <c r="AH5471" i="30" s="1"/>
  <c r="AG5473" i="30"/>
  <c r="AF5473" i="30"/>
  <c r="AH5473" i="30" s="1"/>
  <c r="AG5475" i="30"/>
  <c r="AF5475" i="30"/>
  <c r="AH5475" i="30" s="1"/>
  <c r="AG5477" i="30"/>
  <c r="AF5477" i="30"/>
  <c r="AH5477" i="30" s="1"/>
  <c r="AG5479" i="30"/>
  <c r="AF5479" i="30"/>
  <c r="AH5479" i="30" s="1"/>
  <c r="AG5481" i="30"/>
  <c r="AF5481" i="30"/>
  <c r="AH5481" i="30" s="1"/>
  <c r="AG5483" i="30"/>
  <c r="AF5483" i="30"/>
  <c r="AH5483" i="30" s="1"/>
  <c r="AG5485" i="30"/>
  <c r="AF5485" i="30"/>
  <c r="AH5485" i="30" s="1"/>
  <c r="AG5487" i="30"/>
  <c r="AF5487" i="30"/>
  <c r="AH5487" i="30" s="1"/>
  <c r="AG5489" i="30"/>
  <c r="AF5489" i="30"/>
  <c r="AH5489" i="30" s="1"/>
  <c r="AG5491" i="30"/>
  <c r="AF5491" i="30"/>
  <c r="AH5491" i="30" s="1"/>
  <c r="AG5493" i="30"/>
  <c r="AF5493" i="30"/>
  <c r="AH5493" i="30" s="1"/>
  <c r="AG5495" i="30"/>
  <c r="AF5495" i="30"/>
  <c r="AH5495" i="30" s="1"/>
  <c r="AG5497" i="30"/>
  <c r="AF5497" i="30"/>
  <c r="AH5497" i="30" s="1"/>
  <c r="AG5499" i="30"/>
  <c r="AF5499" i="30"/>
  <c r="AH5499" i="30" s="1"/>
  <c r="AG5501" i="30"/>
  <c r="AF5501" i="30"/>
  <c r="AH5501" i="30" s="1"/>
  <c r="AG5503" i="30"/>
  <c r="AF5503" i="30"/>
  <c r="AH5503" i="30" s="1"/>
  <c r="AG5505" i="30"/>
  <c r="AF5505" i="30"/>
  <c r="AH5505" i="30" s="1"/>
  <c r="AG5507" i="30"/>
  <c r="AF5507" i="30"/>
  <c r="AH5507" i="30" s="1"/>
  <c r="AG5509" i="30"/>
  <c r="AF5509" i="30"/>
  <c r="AH5509" i="30" s="1"/>
  <c r="AG5511" i="30"/>
  <c r="AF5511" i="30"/>
  <c r="AH5511" i="30" s="1"/>
  <c r="AG5513" i="30"/>
  <c r="AF5513" i="30"/>
  <c r="AH5513" i="30" s="1"/>
  <c r="AG5515" i="30"/>
  <c r="AF5515" i="30"/>
  <c r="AH5515" i="30" s="1"/>
  <c r="AG5517" i="30"/>
  <c r="AF5517" i="30"/>
  <c r="AH5517" i="30" s="1"/>
  <c r="AG5519" i="30"/>
  <c r="AF5519" i="30"/>
  <c r="AH5519" i="30" s="1"/>
  <c r="AG5521" i="30"/>
  <c r="AF5521" i="30"/>
  <c r="AH5521" i="30" s="1"/>
  <c r="AG5523" i="30"/>
  <c r="AF5523" i="30"/>
  <c r="AH5523" i="30" s="1"/>
  <c r="AG5525" i="30"/>
  <c r="AF5525" i="30"/>
  <c r="AH5525" i="30" s="1"/>
  <c r="AG5527" i="30"/>
  <c r="AF5527" i="30"/>
  <c r="AH5527" i="30" s="1"/>
  <c r="AG5529" i="30"/>
  <c r="AF5529" i="30"/>
  <c r="AH5529" i="30" s="1"/>
  <c r="AG5531" i="30"/>
  <c r="AF5531" i="30"/>
  <c r="AH5531" i="30" s="1"/>
  <c r="AG5533" i="30"/>
  <c r="AF5533" i="30"/>
  <c r="AH5533" i="30" s="1"/>
  <c r="AG5535" i="30"/>
  <c r="AF5535" i="30"/>
  <c r="AH5535" i="30" s="1"/>
  <c r="AG5537" i="30"/>
  <c r="AF5537" i="30"/>
  <c r="AH5537" i="30" s="1"/>
  <c r="AG5539" i="30"/>
  <c r="AF5539" i="30"/>
  <c r="AH5539" i="30" s="1"/>
  <c r="AG5541" i="30"/>
  <c r="AF5541" i="30"/>
  <c r="AH5541" i="30" s="1"/>
  <c r="AG5543" i="30"/>
  <c r="AF5543" i="30"/>
  <c r="AH5543" i="30" s="1"/>
  <c r="AG5545" i="30"/>
  <c r="AF5545" i="30"/>
  <c r="AH5545" i="30" s="1"/>
  <c r="AG5547" i="30"/>
  <c r="AF5547" i="30"/>
  <c r="AH5547" i="30" s="1"/>
  <c r="AG5549" i="30"/>
  <c r="AF5549" i="30"/>
  <c r="AH5549" i="30" s="1"/>
  <c r="AG5551" i="30"/>
  <c r="AF5551" i="30"/>
  <c r="AH5551" i="30" s="1"/>
  <c r="AG5553" i="30"/>
  <c r="AF5553" i="30"/>
  <c r="AH5553" i="30" s="1"/>
  <c r="AG5555" i="30"/>
  <c r="AF5555" i="30"/>
  <c r="AH5555" i="30" s="1"/>
  <c r="AG5557" i="30"/>
  <c r="AF5557" i="30"/>
  <c r="AH5557" i="30" s="1"/>
  <c r="AG5559" i="30"/>
  <c r="AF5559" i="30"/>
  <c r="AH5559" i="30" s="1"/>
  <c r="AG5561" i="30"/>
  <c r="AF5561" i="30"/>
  <c r="AH5561" i="30" s="1"/>
  <c r="AG5563" i="30"/>
  <c r="AF5563" i="30"/>
  <c r="AH5563" i="30" s="1"/>
  <c r="AG5565" i="30"/>
  <c r="AF5565" i="30"/>
  <c r="AH5565" i="30" s="1"/>
  <c r="AG5567" i="30"/>
  <c r="AF5567" i="30"/>
  <c r="AH5567" i="30" s="1"/>
  <c r="AG5569" i="30"/>
  <c r="AF5569" i="30"/>
  <c r="AH5569" i="30" s="1"/>
  <c r="AG5571" i="30"/>
  <c r="AF5571" i="30"/>
  <c r="AH5571" i="30" s="1"/>
  <c r="AG5573" i="30"/>
  <c r="AF5573" i="30"/>
  <c r="AH5573" i="30" s="1"/>
  <c r="AG5575" i="30"/>
  <c r="AF5575" i="30"/>
  <c r="AH5575" i="30" s="1"/>
  <c r="AG5577" i="30"/>
  <c r="AF5577" i="30"/>
  <c r="AH5577" i="30" s="1"/>
  <c r="AG5579" i="30"/>
  <c r="AF5579" i="30"/>
  <c r="AH5579" i="30" s="1"/>
  <c r="AG5581" i="30"/>
  <c r="AF5581" i="30"/>
  <c r="AH5581" i="30" s="1"/>
  <c r="AG5583" i="30"/>
  <c r="AF5583" i="30"/>
  <c r="AH5583" i="30" s="1"/>
  <c r="AG5585" i="30"/>
  <c r="AF5585" i="30"/>
  <c r="AH5585" i="30" s="1"/>
  <c r="AG5587" i="30"/>
  <c r="AF5587" i="30"/>
  <c r="AH5587" i="30" s="1"/>
  <c r="AG5589" i="30"/>
  <c r="AF5589" i="30"/>
  <c r="AH5589" i="30" s="1"/>
  <c r="AG5591" i="30"/>
  <c r="AF5591" i="30"/>
  <c r="AH5591" i="30" s="1"/>
  <c r="AG5593" i="30"/>
  <c r="AF5593" i="30"/>
  <c r="AH5593" i="30" s="1"/>
  <c r="AG5595" i="30"/>
  <c r="AF5595" i="30"/>
  <c r="AH5595" i="30" s="1"/>
  <c r="AG5597" i="30"/>
  <c r="AF5597" i="30"/>
  <c r="AH5597" i="30" s="1"/>
  <c r="AG5599" i="30"/>
  <c r="AF5599" i="30"/>
  <c r="AH5599" i="30" s="1"/>
  <c r="AG5601" i="30"/>
  <c r="AF5601" i="30"/>
  <c r="AH5601" i="30" s="1"/>
  <c r="AG5603" i="30"/>
  <c r="AF5603" i="30"/>
  <c r="AH5603" i="30" s="1"/>
  <c r="AG5605" i="30"/>
  <c r="AF5605" i="30"/>
  <c r="AH5605" i="30" s="1"/>
  <c r="AG5607" i="30"/>
  <c r="AF5607" i="30"/>
  <c r="AH5607" i="30" s="1"/>
  <c r="AG5609" i="30"/>
  <c r="AF5609" i="30"/>
  <c r="AH5609" i="30" s="1"/>
  <c r="AG5611" i="30"/>
  <c r="AF5611" i="30"/>
  <c r="AH5611" i="30" s="1"/>
  <c r="AG5613" i="30"/>
  <c r="AF5613" i="30"/>
  <c r="AH5613" i="30" s="1"/>
  <c r="AG5615" i="30"/>
  <c r="AF5615" i="30"/>
  <c r="AH5615" i="30" s="1"/>
  <c r="AG5617" i="30"/>
  <c r="AF5617" i="30"/>
  <c r="AH5617" i="30" s="1"/>
  <c r="AG5619" i="30"/>
  <c r="AF5619" i="30"/>
  <c r="AH5619" i="30" s="1"/>
  <c r="AG5621" i="30"/>
  <c r="AF5621" i="30"/>
  <c r="AH5621" i="30" s="1"/>
  <c r="AG5623" i="30"/>
  <c r="AF5623" i="30"/>
  <c r="AH5623" i="30" s="1"/>
  <c r="AG5625" i="30"/>
  <c r="AF5625" i="30"/>
  <c r="AH5625" i="30" s="1"/>
  <c r="AG5627" i="30"/>
  <c r="AF5627" i="30"/>
  <c r="AH5627" i="30" s="1"/>
  <c r="AG5629" i="30"/>
  <c r="AF5629" i="30"/>
  <c r="AH5629" i="30" s="1"/>
  <c r="AG5631" i="30"/>
  <c r="AF5631" i="30"/>
  <c r="AH5631" i="30" s="1"/>
  <c r="AG5633" i="30"/>
  <c r="AF5633" i="30"/>
  <c r="AH5633" i="30" s="1"/>
  <c r="AG5635" i="30"/>
  <c r="AF5635" i="30"/>
  <c r="AH5635" i="30" s="1"/>
  <c r="AG5637" i="30"/>
  <c r="AF5637" i="30"/>
  <c r="AH5637" i="30" s="1"/>
  <c r="AG5639" i="30"/>
  <c r="AF5639" i="30"/>
  <c r="AH5639" i="30" s="1"/>
  <c r="AG5641" i="30"/>
  <c r="AF5641" i="30"/>
  <c r="AH5641" i="30" s="1"/>
  <c r="AG5643" i="30"/>
  <c r="AF5643" i="30"/>
  <c r="AH5643" i="30" s="1"/>
  <c r="AG5645" i="30"/>
  <c r="AF5645" i="30"/>
  <c r="AH5645" i="30" s="1"/>
  <c r="AG5647" i="30"/>
  <c r="AF5647" i="30"/>
  <c r="AH5647" i="30" s="1"/>
  <c r="AG5649" i="30"/>
  <c r="AF5649" i="30"/>
  <c r="AH5649" i="30" s="1"/>
  <c r="AG5651" i="30"/>
  <c r="AF5651" i="30"/>
  <c r="AH5651" i="30" s="1"/>
  <c r="AG5653" i="30"/>
  <c r="AF5653" i="30"/>
  <c r="AH5653" i="30" s="1"/>
  <c r="AG5655" i="30"/>
  <c r="AF5655" i="30"/>
  <c r="AH5655" i="30" s="1"/>
  <c r="AG5657" i="30"/>
  <c r="AF5657" i="30"/>
  <c r="AH5657" i="30" s="1"/>
  <c r="AG5659" i="30"/>
  <c r="AF5659" i="30"/>
  <c r="AH5659" i="30" s="1"/>
  <c r="AG5661" i="30"/>
  <c r="AF5661" i="30"/>
  <c r="AH5661" i="30" s="1"/>
  <c r="AG5663" i="30"/>
  <c r="AF5663" i="30"/>
  <c r="AH5663" i="30" s="1"/>
  <c r="AG5665" i="30"/>
  <c r="AF5665" i="30"/>
  <c r="AH5665" i="30" s="1"/>
  <c r="AG5667" i="30"/>
  <c r="AF5667" i="30"/>
  <c r="AH5667" i="30" s="1"/>
  <c r="AG5669" i="30"/>
  <c r="AF5669" i="30"/>
  <c r="AH5669" i="30" s="1"/>
  <c r="AG5671" i="30"/>
  <c r="AF5671" i="30"/>
  <c r="AH5671" i="30" s="1"/>
  <c r="AG5673" i="30"/>
  <c r="AF5673" i="30"/>
  <c r="AH5673" i="30" s="1"/>
  <c r="AG5675" i="30"/>
  <c r="AF5675" i="30"/>
  <c r="AH5675" i="30" s="1"/>
  <c r="AG5677" i="30"/>
  <c r="AF5677" i="30"/>
  <c r="AH5677" i="30" s="1"/>
  <c r="AG5679" i="30"/>
  <c r="AF5679" i="30"/>
  <c r="AH5679" i="30" s="1"/>
  <c r="AG5681" i="30"/>
  <c r="AF5681" i="30"/>
  <c r="AH5681" i="30" s="1"/>
  <c r="AG5683" i="30"/>
  <c r="AF5683" i="30"/>
  <c r="AH5683" i="30" s="1"/>
  <c r="AG5685" i="30"/>
  <c r="AF5685" i="30"/>
  <c r="AH5685" i="30" s="1"/>
  <c r="AG5687" i="30"/>
  <c r="AF5687" i="30"/>
  <c r="AH5687" i="30" s="1"/>
  <c r="AG5689" i="30"/>
  <c r="AF5689" i="30"/>
  <c r="AH5689" i="30" s="1"/>
  <c r="AG5691" i="30"/>
  <c r="AF5691" i="30"/>
  <c r="AH5691" i="30" s="1"/>
  <c r="AF5277" i="30"/>
  <c r="AH5277" i="30" s="1"/>
  <c r="AF5278" i="30"/>
  <c r="AH5278" i="30" s="1"/>
  <c r="AF5279" i="30"/>
  <c r="AH5279" i="30" s="1"/>
  <c r="AF5280" i="30"/>
  <c r="AH5280" i="30" s="1"/>
  <c r="AF5281" i="30"/>
  <c r="AH5281" i="30" s="1"/>
  <c r="AF5282" i="30"/>
  <c r="AH5282" i="30" s="1"/>
  <c r="AF5283" i="30"/>
  <c r="AH5283" i="30" s="1"/>
  <c r="AF5284" i="30"/>
  <c r="AH5284" i="30" s="1"/>
  <c r="AF5285" i="30"/>
  <c r="AH5285" i="30" s="1"/>
  <c r="AF5286" i="30"/>
  <c r="AH5286" i="30" s="1"/>
  <c r="AF5287" i="30"/>
  <c r="AH5287" i="30" s="1"/>
  <c r="AF5288" i="30"/>
  <c r="AH5288" i="30" s="1"/>
  <c r="AF5289" i="30"/>
  <c r="AH5289" i="30" s="1"/>
  <c r="AF5290" i="30"/>
  <c r="AH5290" i="30" s="1"/>
  <c r="AF5291" i="30"/>
  <c r="AH5291" i="30" s="1"/>
  <c r="AF5292" i="30"/>
  <c r="AH5292" i="30" s="1"/>
  <c r="AF5293" i="30"/>
  <c r="AH5293" i="30" s="1"/>
  <c r="AF5294" i="30"/>
  <c r="AH5294" i="30" s="1"/>
  <c r="AF5295" i="30"/>
  <c r="AH5295" i="30" s="1"/>
  <c r="AF5296" i="30"/>
  <c r="AH5296" i="30" s="1"/>
  <c r="AF5297" i="30"/>
  <c r="AH5297" i="30" s="1"/>
  <c r="AF5298" i="30"/>
  <c r="AH5298" i="30" s="1"/>
  <c r="AF5299" i="30"/>
  <c r="AH5299" i="30" s="1"/>
  <c r="AF5300" i="30"/>
  <c r="AH5300" i="30" s="1"/>
  <c r="AF5301" i="30"/>
  <c r="AH5301" i="30" s="1"/>
  <c r="AF5302" i="30"/>
  <c r="AH5302" i="30" s="1"/>
  <c r="AF5303" i="30"/>
  <c r="AH5303" i="30" s="1"/>
  <c r="AF5304" i="30"/>
  <c r="AH5304" i="30" s="1"/>
  <c r="AF5305" i="30"/>
  <c r="AH5305" i="30" s="1"/>
  <c r="AF5306" i="30"/>
  <c r="AH5306" i="30" s="1"/>
  <c r="AF5307" i="30"/>
  <c r="AH5307" i="30" s="1"/>
  <c r="AF5308" i="30"/>
  <c r="AH5308" i="30" s="1"/>
  <c r="AF5309" i="30"/>
  <c r="AH5309" i="30" s="1"/>
  <c r="AF5310" i="30"/>
  <c r="AH5310" i="30" s="1"/>
  <c r="AF5311" i="30"/>
  <c r="AH5311" i="30" s="1"/>
  <c r="AF5312" i="30"/>
  <c r="AH5312" i="30" s="1"/>
  <c r="AF5313" i="30"/>
  <c r="AH5313" i="30" s="1"/>
  <c r="AF5314" i="30"/>
  <c r="AH5314" i="30" s="1"/>
  <c r="AF5315" i="30"/>
  <c r="AH5315" i="30" s="1"/>
  <c r="AF5316" i="30"/>
  <c r="AH5316" i="30" s="1"/>
  <c r="AF5317" i="30"/>
  <c r="AH5317" i="30" s="1"/>
  <c r="AF5318" i="30"/>
  <c r="AH5318" i="30" s="1"/>
  <c r="AF5319" i="30"/>
  <c r="AH5319" i="30" s="1"/>
  <c r="AF5320" i="30"/>
  <c r="AH5320" i="30" s="1"/>
  <c r="AF5321" i="30"/>
  <c r="AH5321" i="30" s="1"/>
  <c r="AF5322" i="30"/>
  <c r="AH5322" i="30" s="1"/>
  <c r="AF5323" i="30"/>
  <c r="AH5323" i="30" s="1"/>
  <c r="AF5324" i="30"/>
  <c r="AH5324" i="30" s="1"/>
  <c r="AF5325" i="30"/>
  <c r="AH5325" i="30" s="1"/>
  <c r="AF5326" i="30"/>
  <c r="AH5326" i="30" s="1"/>
  <c r="AF5327" i="30"/>
  <c r="AH5327" i="30" s="1"/>
  <c r="AF5328" i="30"/>
  <c r="AH5328" i="30" s="1"/>
  <c r="AF5329" i="30"/>
  <c r="AH5329" i="30" s="1"/>
  <c r="AF5330" i="30"/>
  <c r="AH5330" i="30" s="1"/>
  <c r="AF5331" i="30"/>
  <c r="AH5331" i="30" s="1"/>
  <c r="AF5332" i="30"/>
  <c r="AH5332" i="30" s="1"/>
  <c r="AF5333" i="30"/>
  <c r="AH5333" i="30" s="1"/>
  <c r="AF5334" i="30"/>
  <c r="AH5334" i="30" s="1"/>
  <c r="AF5335" i="30"/>
  <c r="AH5335" i="30" s="1"/>
  <c r="AF5336" i="30"/>
  <c r="AH5336" i="30" s="1"/>
  <c r="AF5337" i="30"/>
  <c r="AH5337" i="30" s="1"/>
  <c r="AF5338" i="30"/>
  <c r="AH5338" i="30" s="1"/>
  <c r="AF5339" i="30"/>
  <c r="AH5339" i="30" s="1"/>
  <c r="AF5340" i="30"/>
  <c r="AH5340" i="30" s="1"/>
  <c r="AF5341" i="30"/>
  <c r="AH5341" i="30" s="1"/>
  <c r="AF5342" i="30"/>
  <c r="AH5342" i="30" s="1"/>
  <c r="AF5343" i="30"/>
  <c r="AH5343" i="30" s="1"/>
  <c r="AF5344" i="30"/>
  <c r="AH5344" i="30" s="1"/>
  <c r="AF5345" i="30"/>
  <c r="AH5345" i="30" s="1"/>
  <c r="AF5346" i="30"/>
  <c r="AH5346" i="30" s="1"/>
  <c r="AF5347" i="30"/>
  <c r="AH5347" i="30" s="1"/>
  <c r="AF5348" i="30"/>
  <c r="AH5348" i="30" s="1"/>
  <c r="AF5349" i="30"/>
  <c r="AH5349" i="30" s="1"/>
  <c r="AF5350" i="30"/>
  <c r="AH5350" i="30" s="1"/>
  <c r="AF5351" i="30"/>
  <c r="AH5351" i="30" s="1"/>
  <c r="AF5352" i="30"/>
  <c r="AH5352" i="30" s="1"/>
  <c r="AF5353" i="30"/>
  <c r="AH5353" i="30" s="1"/>
  <c r="AF5354" i="30"/>
  <c r="AH5354" i="30" s="1"/>
  <c r="AF5355" i="30"/>
  <c r="AH5355" i="30" s="1"/>
  <c r="AF5356" i="30"/>
  <c r="AH5356" i="30" s="1"/>
  <c r="AF5357" i="30"/>
  <c r="AH5357" i="30" s="1"/>
  <c r="AF5358" i="30"/>
  <c r="AH5358" i="30" s="1"/>
  <c r="AF5359" i="30"/>
  <c r="AH5359" i="30" s="1"/>
  <c r="AF5360" i="30"/>
  <c r="AH5360" i="30" s="1"/>
  <c r="AF5361" i="30"/>
  <c r="AH5361" i="30" s="1"/>
  <c r="AF5362" i="30"/>
  <c r="AH5362" i="30" s="1"/>
  <c r="AF5363" i="30"/>
  <c r="AH5363" i="30" s="1"/>
  <c r="AF5364" i="30"/>
  <c r="AH5364" i="30" s="1"/>
  <c r="AF5365" i="30"/>
  <c r="AH5365" i="30" s="1"/>
  <c r="AF5366" i="30"/>
  <c r="AH5366" i="30" s="1"/>
  <c r="AF5367" i="30"/>
  <c r="AH5367" i="30" s="1"/>
  <c r="AF5368" i="30"/>
  <c r="AH5368" i="30" s="1"/>
  <c r="AF5369" i="30"/>
  <c r="AH5369" i="30" s="1"/>
  <c r="AF5370" i="30"/>
  <c r="AH5370" i="30" s="1"/>
  <c r="AF5371" i="30"/>
  <c r="AH5371" i="30" s="1"/>
  <c r="AF5372" i="30"/>
  <c r="AH5372" i="30" s="1"/>
  <c r="AF5373" i="30"/>
  <c r="AH5373" i="30" s="1"/>
  <c r="AF5374" i="30"/>
  <c r="AH5374" i="30" s="1"/>
  <c r="AF5375" i="30"/>
  <c r="AH5375" i="30" s="1"/>
  <c r="AF5376" i="30"/>
  <c r="AH5376" i="30" s="1"/>
  <c r="AF5377" i="30"/>
  <c r="AH5377" i="30" s="1"/>
  <c r="AF5378" i="30"/>
  <c r="AH5378" i="30" s="1"/>
  <c r="AF5379" i="30"/>
  <c r="AH5379" i="30" s="1"/>
  <c r="AF5380" i="30"/>
  <c r="AH5380" i="30" s="1"/>
  <c r="AF5381" i="30"/>
  <c r="AH5381" i="30" s="1"/>
  <c r="AF5382" i="30"/>
  <c r="AH5382" i="30" s="1"/>
  <c r="AF5383" i="30"/>
  <c r="AH5383" i="30" s="1"/>
  <c r="AF5384" i="30"/>
  <c r="AH5384" i="30" s="1"/>
  <c r="AF5385" i="30"/>
  <c r="AH5385" i="30" s="1"/>
  <c r="AF5386" i="30"/>
  <c r="AH5386" i="30" s="1"/>
  <c r="AF5387" i="30"/>
  <c r="AH5387" i="30" s="1"/>
  <c r="AF5388" i="30"/>
  <c r="AH5388" i="30" s="1"/>
  <c r="AF5389" i="30"/>
  <c r="AH5389" i="30" s="1"/>
  <c r="AF5390" i="30"/>
  <c r="AH5390" i="30" s="1"/>
  <c r="AF5391" i="30"/>
  <c r="AH5391" i="30" s="1"/>
  <c r="AF5392" i="30"/>
  <c r="AH5392" i="30" s="1"/>
  <c r="AF5393" i="30"/>
  <c r="AH5393" i="30" s="1"/>
  <c r="AF5394" i="30"/>
  <c r="AH5394" i="30" s="1"/>
  <c r="AF5395" i="30"/>
  <c r="AH5395" i="30" s="1"/>
  <c r="AF5396" i="30"/>
  <c r="AH5396" i="30" s="1"/>
  <c r="AF5397" i="30"/>
  <c r="AH5397" i="30" s="1"/>
  <c r="AF5398" i="30"/>
  <c r="AH5398" i="30" s="1"/>
  <c r="AF5399" i="30"/>
  <c r="AH5399" i="30" s="1"/>
  <c r="AF5400" i="30"/>
  <c r="AH5400" i="30" s="1"/>
  <c r="AF5401" i="30"/>
  <c r="AH5401" i="30" s="1"/>
  <c r="AF5402" i="30"/>
  <c r="AH5402" i="30" s="1"/>
  <c r="AF5403" i="30"/>
  <c r="AH5403" i="30" s="1"/>
  <c r="AF5404" i="30"/>
  <c r="AH5404" i="30" s="1"/>
  <c r="AF5405" i="30"/>
  <c r="AH5405" i="30" s="1"/>
  <c r="AF5406" i="30"/>
  <c r="AH5406" i="30" s="1"/>
  <c r="AF5407" i="30"/>
  <c r="AH5407" i="30" s="1"/>
  <c r="AF5408" i="30"/>
  <c r="AH5408" i="30" s="1"/>
  <c r="AF5409" i="30"/>
  <c r="AH5409" i="30" s="1"/>
  <c r="AF5410" i="30"/>
  <c r="AH5410" i="30" s="1"/>
  <c r="AF5411" i="30"/>
  <c r="AH5411" i="30" s="1"/>
  <c r="AF5412" i="30"/>
  <c r="AH5412" i="30" s="1"/>
  <c r="AF5413" i="30"/>
  <c r="AH5413" i="30" s="1"/>
  <c r="AF5414" i="30"/>
  <c r="AH5414" i="30" s="1"/>
  <c r="AF5415" i="30"/>
  <c r="AH5415" i="30" s="1"/>
  <c r="AF5416" i="30"/>
  <c r="AH5416" i="30" s="1"/>
  <c r="AF5417" i="30"/>
  <c r="AH5417" i="30" s="1"/>
  <c r="AF5418" i="30"/>
  <c r="AH5418" i="30" s="1"/>
  <c r="AF5419" i="30"/>
  <c r="AH5419" i="30" s="1"/>
  <c r="AF5420" i="30"/>
  <c r="AH5420" i="30" s="1"/>
  <c r="AF5421" i="30"/>
  <c r="AH5421" i="30" s="1"/>
  <c r="AF5422" i="30"/>
  <c r="AH5422" i="30" s="1"/>
  <c r="AF5423" i="30"/>
  <c r="AH5423" i="30" s="1"/>
  <c r="AF5424" i="30"/>
  <c r="AH5424" i="30" s="1"/>
  <c r="AF5425" i="30"/>
  <c r="AH5425" i="30" s="1"/>
  <c r="AF5426" i="30"/>
  <c r="AH5426" i="30" s="1"/>
  <c r="AF5427" i="30"/>
  <c r="AH5427" i="30" s="1"/>
  <c r="AF5428" i="30"/>
  <c r="AH5428" i="30" s="1"/>
  <c r="AF5429" i="30"/>
  <c r="AH5429" i="30" s="1"/>
  <c r="AF5430" i="30"/>
  <c r="AH5430" i="30" s="1"/>
  <c r="AF5431" i="30"/>
  <c r="AH5431" i="30" s="1"/>
  <c r="AF5432" i="30"/>
  <c r="AH5432" i="30" s="1"/>
  <c r="AF5433" i="30"/>
  <c r="AH5433" i="30" s="1"/>
  <c r="AF5434" i="30"/>
  <c r="AH5434" i="30" s="1"/>
  <c r="AF5435" i="30"/>
  <c r="AH5435" i="30" s="1"/>
  <c r="AF5436" i="30"/>
  <c r="AH5436" i="30" s="1"/>
  <c r="AG1752" i="30"/>
  <c r="AF1752" i="30"/>
  <c r="AH1752" i="30" s="1"/>
  <c r="AG1754" i="30"/>
  <c r="AF1754" i="30"/>
  <c r="AH1754" i="30" s="1"/>
  <c r="AG1756" i="30"/>
  <c r="AF1756" i="30"/>
  <c r="AH1756" i="30" s="1"/>
  <c r="AG1758" i="30"/>
  <c r="AF1758" i="30"/>
  <c r="AH1758" i="30" s="1"/>
  <c r="AG1760" i="30"/>
  <c r="AF1760" i="30"/>
  <c r="AH1760" i="30" s="1"/>
  <c r="AG1762" i="30"/>
  <c r="AF1762" i="30"/>
  <c r="AH1762" i="30" s="1"/>
  <c r="AG1764" i="30"/>
  <c r="AF1764" i="30"/>
  <c r="AH1764" i="30" s="1"/>
  <c r="AG1766" i="30"/>
  <c r="AF1766" i="30"/>
  <c r="AH1766" i="30" s="1"/>
  <c r="AG1768" i="30"/>
  <c r="AF1768" i="30"/>
  <c r="AH1768" i="30" s="1"/>
  <c r="AG1770" i="30"/>
  <c r="AF1770" i="30"/>
  <c r="AH1770" i="30" s="1"/>
  <c r="AG1772" i="30"/>
  <c r="AF1772" i="30"/>
  <c r="AH1772" i="30" s="1"/>
  <c r="AG1774" i="30"/>
  <c r="AF1774" i="30"/>
  <c r="AH1774" i="30" s="1"/>
  <c r="AG1776" i="30"/>
  <c r="AF1776" i="30"/>
  <c r="AH1776" i="30" s="1"/>
  <c r="AG1778" i="30"/>
  <c r="AF1778" i="30"/>
  <c r="AH1778" i="30" s="1"/>
  <c r="AG1780" i="30"/>
  <c r="AF1780" i="30"/>
  <c r="AH1780" i="30" s="1"/>
  <c r="AG1782" i="30"/>
  <c r="AF1782" i="30"/>
  <c r="AH1782" i="30" s="1"/>
  <c r="AG1784" i="30"/>
  <c r="AF1784" i="30"/>
  <c r="AH1784" i="30" s="1"/>
  <c r="AG1786" i="30"/>
  <c r="AF1786" i="30"/>
  <c r="AH1786" i="30" s="1"/>
  <c r="AG1788" i="30"/>
  <c r="AF1788" i="30"/>
  <c r="AH1788" i="30" s="1"/>
  <c r="AG1790" i="30"/>
  <c r="AF1790" i="30"/>
  <c r="AH1790" i="30" s="1"/>
  <c r="AG1792" i="30"/>
  <c r="AF1792" i="30"/>
  <c r="AH1792" i="30" s="1"/>
  <c r="AG1794" i="30"/>
  <c r="AF1794" i="30"/>
  <c r="AH1794" i="30" s="1"/>
  <c r="AG1796" i="30"/>
  <c r="AF1796" i="30"/>
  <c r="AH1796" i="30" s="1"/>
  <c r="AG1798" i="30"/>
  <c r="AF1798" i="30"/>
  <c r="AH1798" i="30" s="1"/>
  <c r="AG1800" i="30"/>
  <c r="AF1800" i="30"/>
  <c r="AH1800" i="30" s="1"/>
  <c r="AG1802" i="30"/>
  <c r="AF1802" i="30"/>
  <c r="AH1802" i="30" s="1"/>
  <c r="AG1804" i="30"/>
  <c r="AF1804" i="30"/>
  <c r="AH1804" i="30" s="1"/>
  <c r="AG1806" i="30"/>
  <c r="AF1806" i="30"/>
  <c r="AH1806" i="30" s="1"/>
  <c r="AG1808" i="30"/>
  <c r="AF1808" i="30"/>
  <c r="AH1808" i="30" s="1"/>
  <c r="AG1810" i="30"/>
  <c r="AF1810" i="30"/>
  <c r="AH1810" i="30" s="1"/>
  <c r="AG1812" i="30"/>
  <c r="AF1812" i="30"/>
  <c r="AH1812" i="30" s="1"/>
  <c r="AG1814" i="30"/>
  <c r="AF1814" i="30"/>
  <c r="AH1814" i="30" s="1"/>
  <c r="AG1816" i="30"/>
  <c r="AF1816" i="30"/>
  <c r="AH1816" i="30" s="1"/>
  <c r="AG1818" i="30"/>
  <c r="AF1818" i="30"/>
  <c r="AH1818" i="30" s="1"/>
  <c r="AG1820" i="30"/>
  <c r="AF1820" i="30"/>
  <c r="AH1820" i="30" s="1"/>
  <c r="AG1822" i="30"/>
  <c r="AF1822" i="30"/>
  <c r="AH1822" i="30" s="1"/>
  <c r="AG1824" i="30"/>
  <c r="AF1824" i="30"/>
  <c r="AH1824" i="30" s="1"/>
  <c r="AG1826" i="30"/>
  <c r="AF1826" i="30"/>
  <c r="AH1826" i="30" s="1"/>
  <c r="AG1828" i="30"/>
  <c r="AF1828" i="30"/>
  <c r="AH1828" i="30" s="1"/>
  <c r="AG1830" i="30"/>
  <c r="AF1830" i="30"/>
  <c r="AH1830" i="30" s="1"/>
  <c r="AG1832" i="30"/>
  <c r="AF1832" i="30"/>
  <c r="AH1832" i="30" s="1"/>
  <c r="AG1834" i="30"/>
  <c r="AF1834" i="30"/>
  <c r="AH1834" i="30" s="1"/>
  <c r="AG1836" i="30"/>
  <c r="AF1836" i="30"/>
  <c r="AH1836" i="30" s="1"/>
  <c r="AG1838" i="30"/>
  <c r="AF1838" i="30"/>
  <c r="AH1838" i="30" s="1"/>
  <c r="AG1840" i="30"/>
  <c r="AF1840" i="30"/>
  <c r="AH1840" i="30" s="1"/>
  <c r="AG1842" i="30"/>
  <c r="AF1842" i="30"/>
  <c r="AH1842" i="30" s="1"/>
  <c r="AG1844" i="30"/>
  <c r="AF1844" i="30"/>
  <c r="AH1844" i="30" s="1"/>
  <c r="AG1846" i="30"/>
  <c r="AF1846" i="30"/>
  <c r="AH1846" i="30" s="1"/>
  <c r="AG1848" i="30"/>
  <c r="AF1848" i="30"/>
  <c r="AH1848" i="30" s="1"/>
  <c r="AG1850" i="30"/>
  <c r="AF1850" i="30"/>
  <c r="AH1850" i="30" s="1"/>
  <c r="AG1852" i="30"/>
  <c r="AF1852" i="30"/>
  <c r="AH1852" i="30" s="1"/>
  <c r="AG1854" i="30"/>
  <c r="AF1854" i="30"/>
  <c r="AH1854" i="30" s="1"/>
  <c r="AG1856" i="30"/>
  <c r="AF1856" i="30"/>
  <c r="AH1856" i="30" s="1"/>
  <c r="AG1858" i="30"/>
  <c r="AF1858" i="30"/>
  <c r="AH1858" i="30" s="1"/>
  <c r="AG1860" i="30"/>
  <c r="AF1860" i="30"/>
  <c r="AH1860" i="30" s="1"/>
  <c r="AG1862" i="30"/>
  <c r="AF1862" i="30"/>
  <c r="AH1862" i="30" s="1"/>
  <c r="AG1864" i="30"/>
  <c r="AF1864" i="30"/>
  <c r="AH1864" i="30" s="1"/>
  <c r="AG1866" i="30"/>
  <c r="AF1866" i="30"/>
  <c r="AH1866" i="30" s="1"/>
  <c r="AG1868" i="30"/>
  <c r="AF1868" i="30"/>
  <c r="AH1868" i="30" s="1"/>
  <c r="AG1870" i="30"/>
  <c r="AF1870" i="30"/>
  <c r="AH1870" i="30" s="1"/>
  <c r="AG1872" i="30"/>
  <c r="AF1872" i="30"/>
  <c r="AH1872" i="30" s="1"/>
  <c r="AG1874" i="30"/>
  <c r="AF1874" i="30"/>
  <c r="AH1874" i="30" s="1"/>
  <c r="AG1876" i="30"/>
  <c r="AF1876" i="30"/>
  <c r="AH1876" i="30" s="1"/>
  <c r="AG1878" i="30"/>
  <c r="AF1878" i="30"/>
  <c r="AH1878" i="30" s="1"/>
  <c r="AG1880" i="30"/>
  <c r="AF1880" i="30"/>
  <c r="AH1880" i="30" s="1"/>
  <c r="AG1882" i="30"/>
  <c r="AF1882" i="30"/>
  <c r="AH1882" i="30" s="1"/>
  <c r="AG1884" i="30"/>
  <c r="AF1884" i="30"/>
  <c r="AH1884" i="30" s="1"/>
  <c r="AG1886" i="30"/>
  <c r="AF1886" i="30"/>
  <c r="AH1886" i="30" s="1"/>
  <c r="AG1888" i="30"/>
  <c r="AF1888" i="30"/>
  <c r="AH1888" i="30" s="1"/>
  <c r="AG1890" i="30"/>
  <c r="AF1890" i="30"/>
  <c r="AH1890" i="30" s="1"/>
  <c r="AG1892" i="30"/>
  <c r="AF1892" i="30"/>
  <c r="AH1892" i="30" s="1"/>
  <c r="AG1894" i="30"/>
  <c r="AF1894" i="30"/>
  <c r="AH1894" i="30" s="1"/>
  <c r="AG1896" i="30"/>
  <c r="AF1896" i="30"/>
  <c r="AH1896" i="30" s="1"/>
  <c r="AG1898" i="30"/>
  <c r="AF1898" i="30"/>
  <c r="AH1898" i="30" s="1"/>
  <c r="AG1900" i="30"/>
  <c r="AF1900" i="30"/>
  <c r="AH1900" i="30" s="1"/>
  <c r="AG1902" i="30"/>
  <c r="AF1902" i="30"/>
  <c r="AH1902" i="30" s="1"/>
  <c r="AG1904" i="30"/>
  <c r="AF1904" i="30"/>
  <c r="AH1904" i="30" s="1"/>
  <c r="AG1906" i="30"/>
  <c r="AF1906" i="30"/>
  <c r="AH1906" i="30" s="1"/>
  <c r="AG1908" i="30"/>
  <c r="AF1908" i="30"/>
  <c r="AH1908" i="30" s="1"/>
  <c r="AG1910" i="30"/>
  <c r="AF1910" i="30"/>
  <c r="AH1910" i="30" s="1"/>
  <c r="AG1912" i="30"/>
  <c r="AF1912" i="30"/>
  <c r="AH1912" i="30" s="1"/>
  <c r="AG1914" i="30"/>
  <c r="AF1914" i="30"/>
  <c r="AH1914" i="30" s="1"/>
  <c r="AG1916" i="30"/>
  <c r="AF1916" i="30"/>
  <c r="AH1916" i="30" s="1"/>
  <c r="AG1918" i="30"/>
  <c r="AF1918" i="30"/>
  <c r="AH1918" i="30" s="1"/>
  <c r="AG1920" i="30"/>
  <c r="AF1920" i="30"/>
  <c r="AH1920" i="30" s="1"/>
  <c r="AG1922" i="30"/>
  <c r="AF1922" i="30"/>
  <c r="AH1922" i="30" s="1"/>
  <c r="AG1924" i="30"/>
  <c r="AF1924" i="30"/>
  <c r="AH1924" i="30" s="1"/>
  <c r="AG1926" i="30"/>
  <c r="AF1926" i="30"/>
  <c r="AH1926" i="30" s="1"/>
  <c r="AG1928" i="30"/>
  <c r="AF1928" i="30"/>
  <c r="AH1928" i="30" s="1"/>
  <c r="AG1930" i="30"/>
  <c r="AF1930" i="30"/>
  <c r="AH1930" i="30" s="1"/>
  <c r="AG1932" i="30"/>
  <c r="AF1932" i="30"/>
  <c r="AH1932" i="30" s="1"/>
  <c r="AG1934" i="30"/>
  <c r="AF1934" i="30"/>
  <c r="AH1934" i="30" s="1"/>
  <c r="AG1936" i="30"/>
  <c r="AF1936" i="30"/>
  <c r="AH1936" i="30" s="1"/>
  <c r="AG1938" i="30"/>
  <c r="AF1938" i="30"/>
  <c r="AH1938" i="30" s="1"/>
  <c r="AG1940" i="30"/>
  <c r="AF1940" i="30"/>
  <c r="AH1940" i="30" s="1"/>
  <c r="AG1942" i="30"/>
  <c r="AF1942" i="30"/>
  <c r="AH1942" i="30" s="1"/>
  <c r="AG1944" i="30"/>
  <c r="AF1944" i="30"/>
  <c r="AH1944" i="30" s="1"/>
  <c r="AG1946" i="30"/>
  <c r="AF1946" i="30"/>
  <c r="AH1946" i="30" s="1"/>
  <c r="AG1948" i="30"/>
  <c r="AF1948" i="30"/>
  <c r="AH1948" i="30" s="1"/>
  <c r="AG1950" i="30"/>
  <c r="AF1950" i="30"/>
  <c r="AH1950" i="30" s="1"/>
  <c r="AG1952" i="30"/>
  <c r="AF1952" i="30"/>
  <c r="AH1952" i="30" s="1"/>
  <c r="AG1954" i="30"/>
  <c r="AF1954" i="30"/>
  <c r="AH1954" i="30" s="1"/>
  <c r="AG1956" i="30"/>
  <c r="AF1956" i="30"/>
  <c r="AH1956" i="30" s="1"/>
  <c r="AG1958" i="30"/>
  <c r="AF1958" i="30"/>
  <c r="AH1958" i="30" s="1"/>
  <c r="AG1960" i="30"/>
  <c r="AF1960" i="30"/>
  <c r="AH1960" i="30" s="1"/>
  <c r="AG1962" i="30"/>
  <c r="AF1962" i="30"/>
  <c r="AH1962" i="30" s="1"/>
  <c r="AG1964" i="30"/>
  <c r="AF1964" i="30"/>
  <c r="AH1964" i="30" s="1"/>
  <c r="AG1966" i="30"/>
  <c r="AF1966" i="30"/>
  <c r="AH1966" i="30" s="1"/>
  <c r="AG1968" i="30"/>
  <c r="AF1968" i="30"/>
  <c r="AH1968" i="30" s="1"/>
  <c r="AG1970" i="30"/>
  <c r="AF1970" i="30"/>
  <c r="AH1970" i="30" s="1"/>
  <c r="AG1972" i="30"/>
  <c r="AF1972" i="30"/>
  <c r="AH1972" i="30" s="1"/>
  <c r="AG1974" i="30"/>
  <c r="AF1974" i="30"/>
  <c r="AH1974" i="30" s="1"/>
  <c r="AG1976" i="30"/>
  <c r="AF1976" i="30"/>
  <c r="AH1976" i="30" s="1"/>
  <c r="AG1978" i="30"/>
  <c r="AF1978" i="30"/>
  <c r="AH1978" i="30" s="1"/>
  <c r="AG1980" i="30"/>
  <c r="AF1980" i="30"/>
  <c r="AH1980" i="30" s="1"/>
  <c r="AG1982" i="30"/>
  <c r="AF1982" i="30"/>
  <c r="AH1982" i="30" s="1"/>
  <c r="AG1984" i="30"/>
  <c r="AF1984" i="30"/>
  <c r="AH1984" i="30" s="1"/>
  <c r="AG1986" i="30"/>
  <c r="AF1986" i="30"/>
  <c r="AH1986" i="30" s="1"/>
  <c r="AG1988" i="30"/>
  <c r="AF1988" i="30"/>
  <c r="AH1988" i="30" s="1"/>
  <c r="AG1990" i="30"/>
  <c r="AF1990" i="30"/>
  <c r="AH1990" i="30" s="1"/>
  <c r="AG1992" i="30"/>
  <c r="AF1992" i="30"/>
  <c r="AH1992" i="30" s="1"/>
  <c r="AG1994" i="30"/>
  <c r="AF1994" i="30"/>
  <c r="AH1994" i="30" s="1"/>
  <c r="AG1996" i="30"/>
  <c r="AF1996" i="30"/>
  <c r="AH1996" i="30" s="1"/>
  <c r="AG1998" i="30"/>
  <c r="AF1998" i="30"/>
  <c r="AH1998" i="30" s="1"/>
  <c r="AG2000" i="30"/>
  <c r="AF2000" i="30"/>
  <c r="AH2000" i="30" s="1"/>
  <c r="AG2002" i="30"/>
  <c r="AF2002" i="30"/>
  <c r="AH2002" i="30" s="1"/>
  <c r="AG2004" i="30"/>
  <c r="AF2004" i="30"/>
  <c r="AH2004" i="30" s="1"/>
  <c r="AG2006" i="30"/>
  <c r="AF2006" i="30"/>
  <c r="AH2006" i="30" s="1"/>
  <c r="AG2008" i="30"/>
  <c r="AF2008" i="30"/>
  <c r="AH2008" i="30" s="1"/>
  <c r="AG2010" i="30"/>
  <c r="AF2010" i="30"/>
  <c r="AH2010" i="30" s="1"/>
  <c r="AG2012" i="30"/>
  <c r="AF2012" i="30"/>
  <c r="AH2012" i="30" s="1"/>
  <c r="AG2014" i="30"/>
  <c r="AF2014" i="30"/>
  <c r="AH2014" i="30" s="1"/>
  <c r="AG2016" i="30"/>
  <c r="AF2016" i="30"/>
  <c r="AH2016" i="30" s="1"/>
  <c r="AG2018" i="30"/>
  <c r="AF2018" i="30"/>
  <c r="AH2018" i="30" s="1"/>
  <c r="AG2020" i="30"/>
  <c r="AF2020" i="30"/>
  <c r="AH2020" i="30" s="1"/>
  <c r="AG2022" i="30"/>
  <c r="AF2022" i="30"/>
  <c r="AH2022" i="30" s="1"/>
  <c r="AG2024" i="30"/>
  <c r="AF2024" i="30"/>
  <c r="AH2024" i="30" s="1"/>
  <c r="AG2026" i="30"/>
  <c r="AF2026" i="30"/>
  <c r="AH2026" i="30" s="1"/>
  <c r="AG1751" i="30"/>
  <c r="AF1751" i="30"/>
  <c r="AH1751" i="30" s="1"/>
  <c r="AG1753" i="30"/>
  <c r="AF1753" i="30"/>
  <c r="AH1753" i="30" s="1"/>
  <c r="AG1755" i="30"/>
  <c r="AF1755" i="30"/>
  <c r="AH1755" i="30" s="1"/>
  <c r="AG1757" i="30"/>
  <c r="AF1757" i="30"/>
  <c r="AH1757" i="30" s="1"/>
  <c r="AG1759" i="30"/>
  <c r="AF1759" i="30"/>
  <c r="AH1759" i="30" s="1"/>
  <c r="AG1761" i="30"/>
  <c r="AF1761" i="30"/>
  <c r="AH1761" i="30" s="1"/>
  <c r="AG1763" i="30"/>
  <c r="AF1763" i="30"/>
  <c r="AH1763" i="30" s="1"/>
  <c r="AG1765" i="30"/>
  <c r="AF1765" i="30"/>
  <c r="AH1765" i="30" s="1"/>
  <c r="AG1767" i="30"/>
  <c r="AF1767" i="30"/>
  <c r="AH1767" i="30" s="1"/>
  <c r="AG1769" i="30"/>
  <c r="AF1769" i="30"/>
  <c r="AH1769" i="30" s="1"/>
  <c r="AG1771" i="30"/>
  <c r="AF1771" i="30"/>
  <c r="AH1771" i="30" s="1"/>
  <c r="AG1773" i="30"/>
  <c r="AF1773" i="30"/>
  <c r="AH1773" i="30" s="1"/>
  <c r="AG1775" i="30"/>
  <c r="AF1775" i="30"/>
  <c r="AH1775" i="30" s="1"/>
  <c r="AG1777" i="30"/>
  <c r="AF1777" i="30"/>
  <c r="AH1777" i="30" s="1"/>
  <c r="AG1779" i="30"/>
  <c r="AF1779" i="30"/>
  <c r="AH1779" i="30" s="1"/>
  <c r="AG1781" i="30"/>
  <c r="AF1781" i="30"/>
  <c r="AH1781" i="30" s="1"/>
  <c r="AG1783" i="30"/>
  <c r="AF1783" i="30"/>
  <c r="AH1783" i="30" s="1"/>
  <c r="AG1785" i="30"/>
  <c r="AF1785" i="30"/>
  <c r="AH1785" i="30" s="1"/>
  <c r="AG1787" i="30"/>
  <c r="AF1787" i="30"/>
  <c r="AH1787" i="30" s="1"/>
  <c r="AG1789" i="30"/>
  <c r="AF1789" i="30"/>
  <c r="AH1789" i="30" s="1"/>
  <c r="AG1791" i="30"/>
  <c r="AF1791" i="30"/>
  <c r="AH1791" i="30" s="1"/>
  <c r="AG1793" i="30"/>
  <c r="AF1793" i="30"/>
  <c r="AH1793" i="30" s="1"/>
  <c r="AG1795" i="30"/>
  <c r="AF1795" i="30"/>
  <c r="AH1795" i="30" s="1"/>
  <c r="AG1797" i="30"/>
  <c r="AF1797" i="30"/>
  <c r="AH1797" i="30" s="1"/>
  <c r="AG1799" i="30"/>
  <c r="AF1799" i="30"/>
  <c r="AH1799" i="30" s="1"/>
  <c r="AG1801" i="30"/>
  <c r="AF1801" i="30"/>
  <c r="AH1801" i="30" s="1"/>
  <c r="AG1803" i="30"/>
  <c r="AF1803" i="30"/>
  <c r="AH1803" i="30" s="1"/>
  <c r="AG1805" i="30"/>
  <c r="AF1805" i="30"/>
  <c r="AH1805" i="30" s="1"/>
  <c r="AG1807" i="30"/>
  <c r="AF1807" i="30"/>
  <c r="AH1807" i="30" s="1"/>
  <c r="AG1809" i="30"/>
  <c r="AF1809" i="30"/>
  <c r="AH1809" i="30" s="1"/>
  <c r="AG1811" i="30"/>
  <c r="AF1811" i="30"/>
  <c r="AH1811" i="30" s="1"/>
  <c r="AG1813" i="30"/>
  <c r="AF1813" i="30"/>
  <c r="AH1813" i="30" s="1"/>
  <c r="AG1815" i="30"/>
  <c r="AF1815" i="30"/>
  <c r="AH1815" i="30" s="1"/>
  <c r="AG1817" i="30"/>
  <c r="AF1817" i="30"/>
  <c r="AH1817" i="30" s="1"/>
  <c r="AG1819" i="30"/>
  <c r="AF1819" i="30"/>
  <c r="AH1819" i="30" s="1"/>
  <c r="AG1821" i="30"/>
  <c r="AF1821" i="30"/>
  <c r="AH1821" i="30" s="1"/>
  <c r="AG1823" i="30"/>
  <c r="AF1823" i="30"/>
  <c r="AH1823" i="30" s="1"/>
  <c r="AG1825" i="30"/>
  <c r="AF1825" i="30"/>
  <c r="AH1825" i="30" s="1"/>
  <c r="AG1827" i="30"/>
  <c r="AF1827" i="30"/>
  <c r="AH1827" i="30" s="1"/>
  <c r="AG1829" i="30"/>
  <c r="AF1829" i="30"/>
  <c r="AH1829" i="30" s="1"/>
  <c r="AG1831" i="30"/>
  <c r="AF1831" i="30"/>
  <c r="AH1831" i="30" s="1"/>
  <c r="AG1833" i="30"/>
  <c r="AF1833" i="30"/>
  <c r="AH1833" i="30" s="1"/>
  <c r="AG1835" i="30"/>
  <c r="AF1835" i="30"/>
  <c r="AH1835" i="30" s="1"/>
  <c r="AG1837" i="30"/>
  <c r="AF1837" i="30"/>
  <c r="AH1837" i="30" s="1"/>
  <c r="AG1839" i="30"/>
  <c r="AF1839" i="30"/>
  <c r="AH1839" i="30" s="1"/>
  <c r="AG1841" i="30"/>
  <c r="AF1841" i="30"/>
  <c r="AH1841" i="30" s="1"/>
  <c r="AG1843" i="30"/>
  <c r="AF1843" i="30"/>
  <c r="AH1843" i="30" s="1"/>
  <c r="AG1845" i="30"/>
  <c r="AF1845" i="30"/>
  <c r="AH1845" i="30" s="1"/>
  <c r="AG1847" i="30"/>
  <c r="AF1847" i="30"/>
  <c r="AH1847" i="30" s="1"/>
  <c r="AG1849" i="30"/>
  <c r="AF1849" i="30"/>
  <c r="AH1849" i="30" s="1"/>
  <c r="AG1851" i="30"/>
  <c r="AF1851" i="30"/>
  <c r="AH1851" i="30" s="1"/>
  <c r="AG1853" i="30"/>
  <c r="AF1853" i="30"/>
  <c r="AH1853" i="30" s="1"/>
  <c r="AG1855" i="30"/>
  <c r="AF1855" i="30"/>
  <c r="AH1855" i="30" s="1"/>
  <c r="AG1857" i="30"/>
  <c r="AF1857" i="30"/>
  <c r="AH1857" i="30" s="1"/>
  <c r="AG1859" i="30"/>
  <c r="AF1859" i="30"/>
  <c r="AH1859" i="30" s="1"/>
  <c r="AG1861" i="30"/>
  <c r="AF1861" i="30"/>
  <c r="AH1861" i="30" s="1"/>
  <c r="AG1863" i="30"/>
  <c r="AF1863" i="30"/>
  <c r="AH1863" i="30" s="1"/>
  <c r="AG1865" i="30"/>
  <c r="AF1865" i="30"/>
  <c r="AH1865" i="30" s="1"/>
  <c r="AG1867" i="30"/>
  <c r="AF1867" i="30"/>
  <c r="AH1867" i="30" s="1"/>
  <c r="AG1869" i="30"/>
  <c r="AF1869" i="30"/>
  <c r="AH1869" i="30" s="1"/>
  <c r="AG1871" i="30"/>
  <c r="AF1871" i="30"/>
  <c r="AH1871" i="30" s="1"/>
  <c r="AG1873" i="30"/>
  <c r="AF1873" i="30"/>
  <c r="AH1873" i="30" s="1"/>
  <c r="AG1875" i="30"/>
  <c r="AF1875" i="30"/>
  <c r="AH1875" i="30" s="1"/>
  <c r="AG1877" i="30"/>
  <c r="AF1877" i="30"/>
  <c r="AH1877" i="30" s="1"/>
  <c r="AG1879" i="30"/>
  <c r="AF1879" i="30"/>
  <c r="AH1879" i="30" s="1"/>
  <c r="AG1881" i="30"/>
  <c r="AF1881" i="30"/>
  <c r="AH1881" i="30" s="1"/>
  <c r="AG1883" i="30"/>
  <c r="AF1883" i="30"/>
  <c r="AH1883" i="30" s="1"/>
  <c r="AG1885" i="30"/>
  <c r="AF1885" i="30"/>
  <c r="AH1885" i="30" s="1"/>
  <c r="AG1887" i="30"/>
  <c r="AF1887" i="30"/>
  <c r="AH1887" i="30" s="1"/>
  <c r="AG1889" i="30"/>
  <c r="AF1889" i="30"/>
  <c r="AH1889" i="30" s="1"/>
  <c r="AG1891" i="30"/>
  <c r="AF1891" i="30"/>
  <c r="AH1891" i="30" s="1"/>
  <c r="AG1893" i="30"/>
  <c r="AF1893" i="30"/>
  <c r="AH1893" i="30" s="1"/>
  <c r="AG1895" i="30"/>
  <c r="AF1895" i="30"/>
  <c r="AH1895" i="30" s="1"/>
  <c r="AG1897" i="30"/>
  <c r="AF1897" i="30"/>
  <c r="AH1897" i="30" s="1"/>
  <c r="AG1899" i="30"/>
  <c r="AF1899" i="30"/>
  <c r="AH1899" i="30" s="1"/>
  <c r="AG1901" i="30"/>
  <c r="AF1901" i="30"/>
  <c r="AH1901" i="30" s="1"/>
  <c r="AG1903" i="30"/>
  <c r="AF1903" i="30"/>
  <c r="AH1903" i="30" s="1"/>
  <c r="AG1905" i="30"/>
  <c r="AF1905" i="30"/>
  <c r="AH1905" i="30" s="1"/>
  <c r="AG1907" i="30"/>
  <c r="AF1907" i="30"/>
  <c r="AH1907" i="30" s="1"/>
  <c r="AG1909" i="30"/>
  <c r="AF1909" i="30"/>
  <c r="AH1909" i="30" s="1"/>
  <c r="AG1911" i="30"/>
  <c r="AF1911" i="30"/>
  <c r="AH1911" i="30" s="1"/>
  <c r="AG1913" i="30"/>
  <c r="AF1913" i="30"/>
  <c r="AH1913" i="30" s="1"/>
  <c r="AG1915" i="30"/>
  <c r="AF1915" i="30"/>
  <c r="AH1915" i="30" s="1"/>
  <c r="AG1917" i="30"/>
  <c r="AF1917" i="30"/>
  <c r="AH1917" i="30" s="1"/>
  <c r="AG1919" i="30"/>
  <c r="AF1919" i="30"/>
  <c r="AH1919" i="30" s="1"/>
  <c r="AG1921" i="30"/>
  <c r="AF1921" i="30"/>
  <c r="AH1921" i="30" s="1"/>
  <c r="AG1923" i="30"/>
  <c r="AF1923" i="30"/>
  <c r="AH1923" i="30" s="1"/>
  <c r="AG1925" i="30"/>
  <c r="AF1925" i="30"/>
  <c r="AH1925" i="30" s="1"/>
  <c r="AG1927" i="30"/>
  <c r="AF1927" i="30"/>
  <c r="AH1927" i="30" s="1"/>
  <c r="AG1929" i="30"/>
  <c r="AF1929" i="30"/>
  <c r="AH1929" i="30" s="1"/>
  <c r="AG1931" i="30"/>
  <c r="AF1931" i="30"/>
  <c r="AH1931" i="30" s="1"/>
  <c r="AG1933" i="30"/>
  <c r="AF1933" i="30"/>
  <c r="AH1933" i="30" s="1"/>
  <c r="AG1935" i="30"/>
  <c r="AF1935" i="30"/>
  <c r="AH1935" i="30" s="1"/>
  <c r="AG1937" i="30"/>
  <c r="AF1937" i="30"/>
  <c r="AH1937" i="30" s="1"/>
  <c r="AG1939" i="30"/>
  <c r="AF1939" i="30"/>
  <c r="AH1939" i="30" s="1"/>
  <c r="AG1941" i="30"/>
  <c r="AF1941" i="30"/>
  <c r="AH1941" i="30" s="1"/>
  <c r="AG1943" i="30"/>
  <c r="AF1943" i="30"/>
  <c r="AH1943" i="30" s="1"/>
  <c r="AG1945" i="30"/>
  <c r="AF1945" i="30"/>
  <c r="AH1945" i="30" s="1"/>
  <c r="AG1947" i="30"/>
  <c r="AF1947" i="30"/>
  <c r="AH1947" i="30" s="1"/>
  <c r="AG1949" i="30"/>
  <c r="AF1949" i="30"/>
  <c r="AH1949" i="30" s="1"/>
  <c r="AG1951" i="30"/>
  <c r="AF1951" i="30"/>
  <c r="AH1951" i="30" s="1"/>
  <c r="AG1953" i="30"/>
  <c r="AF1953" i="30"/>
  <c r="AH1953" i="30" s="1"/>
  <c r="AG1955" i="30"/>
  <c r="AF1955" i="30"/>
  <c r="AH1955" i="30" s="1"/>
  <c r="AF3" i="30"/>
  <c r="AH3" i="30" s="1"/>
  <c r="AF4" i="30"/>
  <c r="AH4" i="30" s="1"/>
  <c r="AF5" i="30"/>
  <c r="AH5" i="30" s="1"/>
  <c r="AF6" i="30"/>
  <c r="AH6" i="30" s="1"/>
  <c r="AF7" i="30"/>
  <c r="AH7" i="30" s="1"/>
  <c r="AF8" i="30"/>
  <c r="AH8" i="30" s="1"/>
  <c r="AF9" i="30"/>
  <c r="AH9" i="30" s="1"/>
  <c r="AF10" i="30"/>
  <c r="AH10" i="30" s="1"/>
  <c r="AF11" i="30"/>
  <c r="AH11" i="30" s="1"/>
  <c r="AF12" i="30"/>
  <c r="AH12" i="30" s="1"/>
  <c r="AF13" i="30"/>
  <c r="AH13" i="30" s="1"/>
  <c r="AF14" i="30"/>
  <c r="AH14" i="30" s="1"/>
  <c r="AF15" i="30"/>
  <c r="AH15" i="30" s="1"/>
  <c r="AF16" i="30"/>
  <c r="AH16" i="30" s="1"/>
  <c r="AF17" i="30"/>
  <c r="AH17" i="30" s="1"/>
  <c r="AF18" i="30"/>
  <c r="AH18" i="30" s="1"/>
  <c r="AF19" i="30"/>
  <c r="AH19" i="30" s="1"/>
  <c r="AF20" i="30"/>
  <c r="AH20" i="30" s="1"/>
  <c r="AF21" i="30"/>
  <c r="AH21" i="30" s="1"/>
  <c r="AF22" i="30"/>
  <c r="AH22" i="30" s="1"/>
  <c r="AF23" i="30"/>
  <c r="AH23" i="30" s="1"/>
  <c r="AF24" i="30"/>
  <c r="AH24" i="30" s="1"/>
  <c r="AF25" i="30"/>
  <c r="AH25" i="30" s="1"/>
  <c r="AF26" i="30"/>
  <c r="AH26" i="30" s="1"/>
  <c r="AF27" i="30"/>
  <c r="AH27" i="30" s="1"/>
  <c r="AF28" i="30"/>
  <c r="AH28" i="30" s="1"/>
  <c r="AF29" i="30"/>
  <c r="AH29" i="30" s="1"/>
  <c r="AF30" i="30"/>
  <c r="AH30" i="30" s="1"/>
  <c r="AF31" i="30"/>
  <c r="AH31" i="30" s="1"/>
  <c r="AF32" i="30"/>
  <c r="AH32" i="30" s="1"/>
  <c r="AF33" i="30"/>
  <c r="AH33" i="30" s="1"/>
  <c r="AF34" i="30"/>
  <c r="AH34" i="30" s="1"/>
  <c r="AF35" i="30"/>
  <c r="AH35" i="30" s="1"/>
  <c r="AF36" i="30"/>
  <c r="AH36" i="30" s="1"/>
  <c r="AF37" i="30"/>
  <c r="AH37" i="30" s="1"/>
  <c r="AF38" i="30"/>
  <c r="AH38" i="30" s="1"/>
  <c r="AF39" i="30"/>
  <c r="AH39" i="30" s="1"/>
  <c r="AF40" i="30"/>
  <c r="AH40" i="30" s="1"/>
  <c r="AF41" i="30"/>
  <c r="AH41" i="30" s="1"/>
  <c r="AF42" i="30"/>
  <c r="AH42" i="30" s="1"/>
  <c r="AF43" i="30"/>
  <c r="AH43" i="30" s="1"/>
  <c r="AF44" i="30"/>
  <c r="AH44" i="30" s="1"/>
  <c r="AF45" i="30"/>
  <c r="AH45" i="30" s="1"/>
  <c r="AF46" i="30"/>
  <c r="AH46" i="30" s="1"/>
  <c r="AF47" i="30"/>
  <c r="AH47" i="30" s="1"/>
  <c r="AF48" i="30"/>
  <c r="AH48" i="30" s="1"/>
  <c r="AF49" i="30"/>
  <c r="AH49" i="30" s="1"/>
  <c r="AF50" i="30"/>
  <c r="AH50" i="30" s="1"/>
  <c r="AF51" i="30"/>
  <c r="AH51" i="30" s="1"/>
  <c r="AF52" i="30"/>
  <c r="AH52" i="30" s="1"/>
  <c r="AF53" i="30"/>
  <c r="AH53" i="30" s="1"/>
  <c r="AF54" i="30"/>
  <c r="AH54" i="30" s="1"/>
  <c r="AF55" i="30"/>
  <c r="AH55" i="30" s="1"/>
  <c r="AF56" i="30"/>
  <c r="AH56" i="30" s="1"/>
  <c r="AF57" i="30"/>
  <c r="AH57" i="30" s="1"/>
  <c r="AF58" i="30"/>
  <c r="AH58" i="30" s="1"/>
  <c r="AF59" i="30"/>
  <c r="AH59" i="30" s="1"/>
  <c r="AF60" i="30"/>
  <c r="AH60" i="30" s="1"/>
  <c r="AF61" i="30"/>
  <c r="AH61" i="30" s="1"/>
  <c r="AF62" i="30"/>
  <c r="AH62" i="30" s="1"/>
  <c r="AF63" i="30"/>
  <c r="AH63" i="30" s="1"/>
  <c r="AF64" i="30"/>
  <c r="AH64" i="30" s="1"/>
  <c r="AF65" i="30"/>
  <c r="AH65" i="30" s="1"/>
  <c r="AF66" i="30"/>
  <c r="AH66" i="30" s="1"/>
  <c r="AF67" i="30"/>
  <c r="AH67" i="30" s="1"/>
  <c r="AF68" i="30"/>
  <c r="AH68" i="30" s="1"/>
  <c r="AF69" i="30"/>
  <c r="AH69" i="30" s="1"/>
  <c r="AF70" i="30"/>
  <c r="AH70" i="30" s="1"/>
  <c r="AF71" i="30"/>
  <c r="AH71" i="30" s="1"/>
  <c r="AF72" i="30"/>
  <c r="AH72" i="30" s="1"/>
  <c r="AF73" i="30"/>
  <c r="AH73" i="30" s="1"/>
  <c r="AF74" i="30"/>
  <c r="AH74" i="30" s="1"/>
  <c r="AF75" i="30"/>
  <c r="AH75" i="30" s="1"/>
  <c r="AF76" i="30"/>
  <c r="AH76" i="30" s="1"/>
  <c r="AF77" i="30"/>
  <c r="AH77" i="30" s="1"/>
  <c r="AF78" i="30"/>
  <c r="AH78" i="30" s="1"/>
  <c r="AF79" i="30"/>
  <c r="AH79" i="30" s="1"/>
  <c r="AF80" i="30"/>
  <c r="AH80" i="30" s="1"/>
  <c r="AF81" i="30"/>
  <c r="AH81" i="30" s="1"/>
  <c r="AF82" i="30"/>
  <c r="AH82" i="30" s="1"/>
  <c r="AF83" i="30"/>
  <c r="AH83" i="30" s="1"/>
  <c r="AF84" i="30"/>
  <c r="AH84" i="30" s="1"/>
  <c r="AF85" i="30"/>
  <c r="AH85" i="30" s="1"/>
  <c r="AF86" i="30"/>
  <c r="AH86" i="30" s="1"/>
  <c r="AF87" i="30"/>
  <c r="AH87" i="30" s="1"/>
  <c r="AF88" i="30"/>
  <c r="AH88" i="30" s="1"/>
  <c r="AF89" i="30"/>
  <c r="AH89" i="30" s="1"/>
  <c r="AF90" i="30"/>
  <c r="AH90" i="30" s="1"/>
  <c r="AF91" i="30"/>
  <c r="AH91" i="30" s="1"/>
  <c r="AF92" i="30"/>
  <c r="AH92" i="30" s="1"/>
  <c r="AF93" i="30"/>
  <c r="AH93" i="30" s="1"/>
  <c r="AF94" i="30"/>
  <c r="AH94" i="30" s="1"/>
  <c r="AF95" i="30"/>
  <c r="AH95" i="30" s="1"/>
  <c r="AF96" i="30"/>
  <c r="AH96" i="30" s="1"/>
  <c r="AF97" i="30"/>
  <c r="AH97" i="30" s="1"/>
  <c r="AF98" i="30"/>
  <c r="AH98" i="30" s="1"/>
  <c r="AF99" i="30"/>
  <c r="AH99" i="30" s="1"/>
  <c r="AF100" i="30"/>
  <c r="AH100" i="30" s="1"/>
  <c r="AF101" i="30"/>
  <c r="AH101" i="30" s="1"/>
  <c r="AF102" i="30"/>
  <c r="AH102" i="30" s="1"/>
  <c r="AF103" i="30"/>
  <c r="AH103" i="30" s="1"/>
  <c r="AF104" i="30"/>
  <c r="AH104" i="30" s="1"/>
  <c r="AF105" i="30"/>
  <c r="AH105" i="30" s="1"/>
  <c r="AF106" i="30"/>
  <c r="AH106" i="30" s="1"/>
  <c r="AF107" i="30"/>
  <c r="AH107" i="30" s="1"/>
  <c r="AF108" i="30"/>
  <c r="AH108" i="30" s="1"/>
  <c r="AF109" i="30"/>
  <c r="AH109" i="30" s="1"/>
  <c r="AF110" i="30"/>
  <c r="AH110" i="30" s="1"/>
  <c r="AF111" i="30"/>
  <c r="AH111" i="30" s="1"/>
  <c r="AF112" i="30"/>
  <c r="AH112" i="30" s="1"/>
  <c r="AF113" i="30"/>
  <c r="AH113" i="30" s="1"/>
  <c r="AF114" i="30"/>
  <c r="AH114" i="30" s="1"/>
  <c r="AF115" i="30"/>
  <c r="AH115" i="30" s="1"/>
  <c r="AF116" i="30"/>
  <c r="AH116" i="30" s="1"/>
  <c r="AF117" i="30"/>
  <c r="AH117" i="30" s="1"/>
  <c r="AF118" i="30"/>
  <c r="AH118" i="30" s="1"/>
  <c r="AF119" i="30"/>
  <c r="AH119" i="30" s="1"/>
  <c r="AF120" i="30"/>
  <c r="AH120" i="30" s="1"/>
  <c r="AF121" i="30"/>
  <c r="AH121" i="30" s="1"/>
  <c r="AF122" i="30"/>
  <c r="AH122" i="30" s="1"/>
  <c r="AF123" i="30"/>
  <c r="AH123" i="30" s="1"/>
  <c r="AF124" i="30"/>
  <c r="AH124" i="30" s="1"/>
  <c r="AF125" i="30"/>
  <c r="AH125" i="30" s="1"/>
  <c r="AF126" i="30"/>
  <c r="AH126" i="30" s="1"/>
  <c r="AF127" i="30"/>
  <c r="AH127" i="30" s="1"/>
  <c r="AF128" i="30"/>
  <c r="AH128" i="30" s="1"/>
  <c r="AF129" i="30"/>
  <c r="AH129" i="30" s="1"/>
  <c r="AF130" i="30"/>
  <c r="AH130" i="30" s="1"/>
  <c r="AF131" i="30"/>
  <c r="AH131" i="30" s="1"/>
  <c r="AF132" i="30"/>
  <c r="AH132" i="30" s="1"/>
  <c r="AF133" i="30"/>
  <c r="AH133" i="30" s="1"/>
  <c r="AF134" i="30"/>
  <c r="AH134" i="30" s="1"/>
  <c r="AF135" i="30"/>
  <c r="AH135" i="30" s="1"/>
  <c r="AF136" i="30"/>
  <c r="AH136" i="30" s="1"/>
  <c r="AF137" i="30"/>
  <c r="AH137" i="30" s="1"/>
  <c r="AF138" i="30"/>
  <c r="AH138" i="30" s="1"/>
  <c r="AF139" i="30"/>
  <c r="AH139" i="30" s="1"/>
  <c r="AF140" i="30"/>
  <c r="AH140" i="30" s="1"/>
  <c r="AF141" i="30"/>
  <c r="AH141" i="30" s="1"/>
  <c r="AF142" i="30"/>
  <c r="AH142" i="30" s="1"/>
  <c r="AF143" i="30"/>
  <c r="AH143" i="30" s="1"/>
  <c r="AF144" i="30"/>
  <c r="AH144" i="30" s="1"/>
  <c r="AF145" i="30"/>
  <c r="AH145" i="30" s="1"/>
  <c r="AF146" i="30"/>
  <c r="AH146" i="30" s="1"/>
  <c r="AF147" i="30"/>
  <c r="AH147" i="30" s="1"/>
  <c r="AF148" i="30"/>
  <c r="AH148" i="30" s="1"/>
  <c r="AF149" i="30"/>
  <c r="AH149" i="30" s="1"/>
  <c r="AF150" i="30"/>
  <c r="AH150" i="30" s="1"/>
  <c r="AF151" i="30"/>
  <c r="AH151" i="30" s="1"/>
  <c r="AF152" i="30"/>
  <c r="AH152" i="30" s="1"/>
  <c r="AF153" i="30"/>
  <c r="AH153" i="30" s="1"/>
  <c r="AF154" i="30"/>
  <c r="AH154" i="30" s="1"/>
  <c r="AF155" i="30"/>
  <c r="AH155" i="30" s="1"/>
  <c r="AF156" i="30"/>
  <c r="AH156" i="30" s="1"/>
  <c r="AF157" i="30"/>
  <c r="AH157" i="30" s="1"/>
  <c r="AF158" i="30"/>
  <c r="AH158" i="30" s="1"/>
  <c r="AF159" i="30"/>
  <c r="AH159" i="30" s="1"/>
  <c r="AF160" i="30"/>
  <c r="AH160" i="30" s="1"/>
  <c r="AF161" i="30"/>
  <c r="AH161" i="30" s="1"/>
  <c r="AF162" i="30"/>
  <c r="AH162" i="30" s="1"/>
  <c r="AF163" i="30"/>
  <c r="AH163" i="30" s="1"/>
  <c r="AF164" i="30"/>
  <c r="AH164" i="30" s="1"/>
  <c r="AF165" i="30"/>
  <c r="AH165" i="30" s="1"/>
  <c r="AF166" i="30"/>
  <c r="AH166" i="30" s="1"/>
  <c r="AF167" i="30"/>
  <c r="AH167" i="30" s="1"/>
  <c r="AF168" i="30"/>
  <c r="AH168" i="30" s="1"/>
  <c r="AF169" i="30"/>
  <c r="AH169" i="30" s="1"/>
  <c r="AF170" i="30"/>
  <c r="AH170" i="30" s="1"/>
  <c r="AF171" i="30"/>
  <c r="AH171" i="30" s="1"/>
  <c r="AF172" i="30"/>
  <c r="AH172" i="30" s="1"/>
  <c r="AF173" i="30"/>
  <c r="AH173" i="30" s="1"/>
  <c r="AF174" i="30"/>
  <c r="AH174" i="30" s="1"/>
  <c r="AF175" i="30"/>
  <c r="AH175" i="30" s="1"/>
  <c r="AF176" i="30"/>
  <c r="AH176" i="30" s="1"/>
  <c r="AF177" i="30"/>
  <c r="AH177" i="30" s="1"/>
  <c r="AF178" i="30"/>
  <c r="AH178" i="30" s="1"/>
  <c r="AF179" i="30"/>
  <c r="AH179" i="30" s="1"/>
  <c r="AF180" i="30"/>
  <c r="AH180" i="30" s="1"/>
  <c r="AF181" i="30"/>
  <c r="AH181" i="30" s="1"/>
  <c r="AF182" i="30"/>
  <c r="AH182" i="30" s="1"/>
  <c r="AF183" i="30"/>
  <c r="AH183" i="30" s="1"/>
  <c r="AF184" i="30"/>
  <c r="AH184" i="30" s="1"/>
  <c r="AF185" i="30"/>
  <c r="AH185" i="30" s="1"/>
  <c r="AF186" i="30"/>
  <c r="AH186" i="30" s="1"/>
  <c r="AF187" i="30"/>
  <c r="AH187" i="30" s="1"/>
  <c r="AF188" i="30"/>
  <c r="AH188" i="30" s="1"/>
  <c r="AF189" i="30"/>
  <c r="AH189" i="30" s="1"/>
  <c r="AF190" i="30"/>
  <c r="AH190" i="30" s="1"/>
  <c r="AF191" i="30"/>
  <c r="AH191" i="30" s="1"/>
  <c r="AF192" i="30"/>
  <c r="AH192" i="30" s="1"/>
  <c r="AF193" i="30"/>
  <c r="AH193" i="30" s="1"/>
  <c r="AF194" i="30"/>
  <c r="AH194" i="30" s="1"/>
  <c r="AF195" i="30"/>
  <c r="AH195" i="30" s="1"/>
  <c r="AF196" i="30"/>
  <c r="AH196" i="30" s="1"/>
  <c r="AF197" i="30"/>
  <c r="AH197" i="30" s="1"/>
  <c r="AF198" i="30"/>
  <c r="AH198" i="30" s="1"/>
  <c r="AF199" i="30"/>
  <c r="AH199" i="30" s="1"/>
  <c r="AF200" i="30"/>
  <c r="AH200" i="30" s="1"/>
  <c r="AF201" i="30"/>
  <c r="AH201" i="30" s="1"/>
  <c r="AF202" i="30"/>
  <c r="AH202" i="30" s="1"/>
  <c r="AF203" i="30"/>
  <c r="AH203" i="30" s="1"/>
  <c r="AF204" i="30"/>
  <c r="AH204" i="30" s="1"/>
  <c r="AF205" i="30"/>
  <c r="AH205" i="30" s="1"/>
  <c r="AF206" i="30"/>
  <c r="AH206" i="30" s="1"/>
  <c r="AF207" i="30"/>
  <c r="AH207" i="30" s="1"/>
  <c r="AF208" i="30"/>
  <c r="AH208" i="30" s="1"/>
  <c r="AF209" i="30"/>
  <c r="AH209" i="30" s="1"/>
  <c r="AF210" i="30"/>
  <c r="AH210" i="30" s="1"/>
  <c r="AF211" i="30"/>
  <c r="AH211" i="30" s="1"/>
  <c r="AF212" i="30"/>
  <c r="AH212" i="30" s="1"/>
  <c r="AF213" i="30"/>
  <c r="AH213" i="30" s="1"/>
  <c r="AF214" i="30"/>
  <c r="AH214" i="30" s="1"/>
  <c r="AF215" i="30"/>
  <c r="AH215" i="30" s="1"/>
  <c r="AF216" i="30"/>
  <c r="AH216" i="30" s="1"/>
  <c r="AF217" i="30"/>
  <c r="AH217" i="30" s="1"/>
  <c r="AF218" i="30"/>
  <c r="AH218" i="30" s="1"/>
  <c r="AF219" i="30"/>
  <c r="AH219" i="30" s="1"/>
  <c r="AF220" i="30"/>
  <c r="AH220" i="30" s="1"/>
  <c r="AF221" i="30"/>
  <c r="AH221" i="30" s="1"/>
  <c r="AF222" i="30"/>
  <c r="AH222" i="30" s="1"/>
  <c r="AF223" i="30"/>
  <c r="AH223" i="30" s="1"/>
  <c r="AF224" i="30"/>
  <c r="AH224" i="30" s="1"/>
  <c r="AF225" i="30"/>
  <c r="AH225" i="30" s="1"/>
  <c r="AF226" i="30"/>
  <c r="AH226" i="30" s="1"/>
  <c r="AF227" i="30"/>
  <c r="AH227" i="30" s="1"/>
  <c r="AF228" i="30"/>
  <c r="AH228" i="30" s="1"/>
  <c r="AF229" i="30"/>
  <c r="AH229" i="30" s="1"/>
  <c r="AF230" i="30"/>
  <c r="AH230" i="30" s="1"/>
  <c r="AF231" i="30"/>
  <c r="AH231" i="30" s="1"/>
  <c r="AF232" i="30"/>
  <c r="AH232" i="30" s="1"/>
  <c r="AF233" i="30"/>
  <c r="AH233" i="30" s="1"/>
  <c r="AF234" i="30"/>
  <c r="AH234" i="30" s="1"/>
  <c r="AF235" i="30"/>
  <c r="AH235" i="30" s="1"/>
  <c r="AF236" i="30"/>
  <c r="AH236" i="30" s="1"/>
  <c r="AF237" i="30"/>
  <c r="AH237" i="30" s="1"/>
  <c r="AF238" i="30"/>
  <c r="AH238" i="30" s="1"/>
  <c r="AF239" i="30"/>
  <c r="AH239" i="30" s="1"/>
  <c r="AF240" i="30"/>
  <c r="AH240" i="30" s="1"/>
  <c r="AF241" i="30"/>
  <c r="AH241" i="30" s="1"/>
  <c r="AF242" i="30"/>
  <c r="AH242" i="30" s="1"/>
  <c r="AF243" i="30"/>
  <c r="AH243" i="30" s="1"/>
  <c r="AF244" i="30"/>
  <c r="AH244" i="30" s="1"/>
  <c r="AF245" i="30"/>
  <c r="AH245" i="30" s="1"/>
  <c r="AF246" i="30"/>
  <c r="AH246" i="30" s="1"/>
  <c r="AF247" i="30"/>
  <c r="AH247" i="30" s="1"/>
  <c r="AF248" i="30"/>
  <c r="AH248" i="30" s="1"/>
  <c r="AF249" i="30"/>
  <c r="AH249" i="30" s="1"/>
  <c r="AF250" i="30"/>
  <c r="AH250" i="30" s="1"/>
  <c r="AF251" i="30"/>
  <c r="AH251" i="30" s="1"/>
  <c r="AF252" i="30"/>
  <c r="AH252" i="30" s="1"/>
  <c r="AF253" i="30"/>
  <c r="AH253" i="30" s="1"/>
  <c r="AF254" i="30"/>
  <c r="AH254" i="30" s="1"/>
  <c r="AF255" i="30"/>
  <c r="AH255" i="30" s="1"/>
  <c r="AF256" i="30"/>
  <c r="AH256" i="30" s="1"/>
  <c r="AF257" i="30"/>
  <c r="AH257" i="30" s="1"/>
  <c r="AF258" i="30"/>
  <c r="AH258" i="30" s="1"/>
  <c r="AF259" i="30"/>
  <c r="AH259" i="30" s="1"/>
  <c r="AF260" i="30"/>
  <c r="AH260" i="30" s="1"/>
  <c r="AF261" i="30"/>
  <c r="AH261" i="30" s="1"/>
  <c r="AF262" i="30"/>
  <c r="AH262" i="30" s="1"/>
  <c r="AF263" i="30"/>
  <c r="AH263" i="30" s="1"/>
  <c r="AF264" i="30"/>
  <c r="AH264" i="30" s="1"/>
  <c r="AF265" i="30"/>
  <c r="AH265" i="30" s="1"/>
  <c r="AF266" i="30"/>
  <c r="AH266" i="30" s="1"/>
  <c r="AF267" i="30"/>
  <c r="AH267" i="30" s="1"/>
  <c r="AF268" i="30"/>
  <c r="AH268" i="30" s="1"/>
  <c r="AF269" i="30"/>
  <c r="AH269" i="30" s="1"/>
  <c r="AF270" i="30"/>
  <c r="AH270" i="30" s="1"/>
  <c r="AF271" i="30"/>
  <c r="AH271" i="30" s="1"/>
  <c r="AF272" i="30"/>
  <c r="AH272" i="30" s="1"/>
  <c r="AF273" i="30"/>
  <c r="AH273" i="30" s="1"/>
  <c r="AF274" i="30"/>
  <c r="AH274" i="30" s="1"/>
  <c r="AF275" i="30"/>
  <c r="AH275" i="30" s="1"/>
  <c r="AF276" i="30"/>
  <c r="AH276" i="30" s="1"/>
  <c r="AF277" i="30"/>
  <c r="AH277" i="30" s="1"/>
  <c r="AF278" i="30"/>
  <c r="AH278" i="30" s="1"/>
  <c r="AF279" i="30"/>
  <c r="AH279" i="30" s="1"/>
  <c r="AF280" i="30"/>
  <c r="AH280" i="30" s="1"/>
  <c r="AF281" i="30"/>
  <c r="AH281" i="30" s="1"/>
  <c r="AF282" i="30"/>
  <c r="AH282" i="30" s="1"/>
  <c r="AF283" i="30"/>
  <c r="AH283" i="30" s="1"/>
  <c r="AF284" i="30"/>
  <c r="AH284" i="30" s="1"/>
  <c r="AF285" i="30"/>
  <c r="AH285" i="30" s="1"/>
  <c r="AF286" i="30"/>
  <c r="AH286" i="30" s="1"/>
  <c r="AF287" i="30"/>
  <c r="AH287" i="30" s="1"/>
  <c r="AF288" i="30"/>
  <c r="AH288" i="30" s="1"/>
  <c r="AF289" i="30"/>
  <c r="AH289" i="30" s="1"/>
  <c r="AF290" i="30"/>
  <c r="AH290" i="30" s="1"/>
  <c r="AF291" i="30"/>
  <c r="AH291" i="30" s="1"/>
  <c r="AF292" i="30"/>
  <c r="AH292" i="30" s="1"/>
  <c r="AF293" i="30"/>
  <c r="AH293" i="30" s="1"/>
  <c r="AF294" i="30"/>
  <c r="AH294" i="30" s="1"/>
  <c r="AF295" i="30"/>
  <c r="AH295" i="30" s="1"/>
  <c r="AF296" i="30"/>
  <c r="AH296" i="30" s="1"/>
  <c r="AF297" i="30"/>
  <c r="AH297" i="30" s="1"/>
  <c r="AF298" i="30"/>
  <c r="AH298" i="30" s="1"/>
  <c r="AF299" i="30"/>
  <c r="AH299" i="30" s="1"/>
  <c r="AF300" i="30"/>
  <c r="AH300" i="30" s="1"/>
  <c r="AF301" i="30"/>
  <c r="AH301" i="30" s="1"/>
  <c r="AF302" i="30"/>
  <c r="AH302" i="30" s="1"/>
  <c r="AF303" i="30"/>
  <c r="AH303" i="30" s="1"/>
  <c r="AF304" i="30"/>
  <c r="AH304" i="30" s="1"/>
  <c r="AF305" i="30"/>
  <c r="AH305" i="30" s="1"/>
  <c r="AF306" i="30"/>
  <c r="AH306" i="30" s="1"/>
  <c r="AF307" i="30"/>
  <c r="AH307" i="30" s="1"/>
  <c r="AF308" i="30"/>
  <c r="AH308" i="30" s="1"/>
  <c r="AF309" i="30"/>
  <c r="AH309" i="30" s="1"/>
  <c r="AF310" i="30"/>
  <c r="AH310" i="30" s="1"/>
  <c r="AF311" i="30"/>
  <c r="AH311" i="30" s="1"/>
  <c r="AF312" i="30"/>
  <c r="AH312" i="30" s="1"/>
  <c r="AF313" i="30"/>
  <c r="AH313" i="30" s="1"/>
  <c r="AF314" i="30"/>
  <c r="AH314" i="30" s="1"/>
  <c r="AF315" i="30"/>
  <c r="AH315" i="30" s="1"/>
  <c r="AF316" i="30"/>
  <c r="AH316" i="30" s="1"/>
  <c r="AF317" i="30"/>
  <c r="AH317" i="30" s="1"/>
  <c r="AF318" i="30"/>
  <c r="AH318" i="30" s="1"/>
  <c r="AF319" i="30"/>
  <c r="AH319" i="30" s="1"/>
  <c r="AF320" i="30"/>
  <c r="AH320" i="30" s="1"/>
  <c r="AF321" i="30"/>
  <c r="AH321" i="30" s="1"/>
  <c r="AF322" i="30"/>
  <c r="AH322" i="30" s="1"/>
  <c r="AF323" i="30"/>
  <c r="AH323" i="30" s="1"/>
  <c r="AF324" i="30"/>
  <c r="AH324" i="30" s="1"/>
  <c r="AF325" i="30"/>
  <c r="AH325" i="30" s="1"/>
  <c r="AF326" i="30"/>
  <c r="AH326" i="30" s="1"/>
  <c r="AF327" i="30"/>
  <c r="AH327" i="30" s="1"/>
  <c r="AF328" i="30"/>
  <c r="AH328" i="30" s="1"/>
  <c r="AF329" i="30"/>
  <c r="AH329" i="30" s="1"/>
  <c r="AF330" i="30"/>
  <c r="AH330" i="30" s="1"/>
  <c r="AF331" i="30"/>
  <c r="AH331" i="30" s="1"/>
  <c r="AF332" i="30"/>
  <c r="AH332" i="30" s="1"/>
  <c r="AF333" i="30"/>
  <c r="AH333" i="30" s="1"/>
  <c r="AF334" i="30"/>
  <c r="AH334" i="30" s="1"/>
  <c r="AF335" i="30"/>
  <c r="AH335" i="30" s="1"/>
  <c r="AF336" i="30"/>
  <c r="AH336" i="30" s="1"/>
  <c r="AF337" i="30"/>
  <c r="AH337" i="30" s="1"/>
  <c r="AF338" i="30"/>
  <c r="AH338" i="30" s="1"/>
  <c r="AF339" i="30"/>
  <c r="AH339" i="30" s="1"/>
  <c r="AF340" i="30"/>
  <c r="AH340" i="30" s="1"/>
  <c r="AF341" i="30"/>
  <c r="AH341" i="30" s="1"/>
  <c r="AF342" i="30"/>
  <c r="AH342" i="30" s="1"/>
  <c r="AF343" i="30"/>
  <c r="AH343" i="30" s="1"/>
  <c r="AF344" i="30"/>
  <c r="AH344" i="30" s="1"/>
  <c r="AF345" i="30"/>
  <c r="AH345" i="30" s="1"/>
  <c r="AF346" i="30"/>
  <c r="AH346" i="30" s="1"/>
  <c r="AF347" i="30"/>
  <c r="AH347" i="30" s="1"/>
  <c r="AF348" i="30"/>
  <c r="AH348" i="30" s="1"/>
  <c r="AF349" i="30"/>
  <c r="AH349" i="30" s="1"/>
  <c r="AF350" i="30"/>
  <c r="AH350" i="30" s="1"/>
  <c r="AF351" i="30"/>
  <c r="AH351" i="30" s="1"/>
  <c r="AF352" i="30"/>
  <c r="AH352" i="30" s="1"/>
  <c r="AF353" i="30"/>
  <c r="AH353" i="30" s="1"/>
  <c r="AF354" i="30"/>
  <c r="AH354" i="30" s="1"/>
  <c r="AF355" i="30"/>
  <c r="AH355" i="30" s="1"/>
  <c r="AF356" i="30"/>
  <c r="AH356" i="30" s="1"/>
  <c r="AF357" i="30"/>
  <c r="AH357" i="30" s="1"/>
  <c r="AF358" i="30"/>
  <c r="AH358" i="30" s="1"/>
  <c r="AF359" i="30"/>
  <c r="AH359" i="30" s="1"/>
  <c r="AF360" i="30"/>
  <c r="AH360" i="30" s="1"/>
  <c r="AF361" i="30"/>
  <c r="AH361" i="30" s="1"/>
  <c r="AF362" i="30"/>
  <c r="AH362" i="30" s="1"/>
  <c r="AF363" i="30"/>
  <c r="AH363" i="30" s="1"/>
  <c r="AF364" i="30"/>
  <c r="AH364" i="30" s="1"/>
  <c r="AF365" i="30"/>
  <c r="AH365" i="30" s="1"/>
  <c r="AF366" i="30"/>
  <c r="AH366" i="30" s="1"/>
  <c r="AF367" i="30"/>
  <c r="AH367" i="30" s="1"/>
  <c r="AF368" i="30"/>
  <c r="AH368" i="30" s="1"/>
  <c r="AF369" i="30"/>
  <c r="AH369" i="30" s="1"/>
  <c r="AF370" i="30"/>
  <c r="AH370" i="30" s="1"/>
  <c r="AF371" i="30"/>
  <c r="AH371" i="30" s="1"/>
  <c r="AF372" i="30"/>
  <c r="AH372" i="30" s="1"/>
  <c r="AF373" i="30"/>
  <c r="AH373" i="30" s="1"/>
  <c r="AF374" i="30"/>
  <c r="AH374" i="30" s="1"/>
  <c r="AF375" i="30"/>
  <c r="AH375" i="30" s="1"/>
  <c r="AF376" i="30"/>
  <c r="AH376" i="30" s="1"/>
  <c r="AF377" i="30"/>
  <c r="AH377" i="30" s="1"/>
  <c r="AF378" i="30"/>
  <c r="AH378" i="30" s="1"/>
  <c r="AF379" i="30"/>
  <c r="AH379" i="30" s="1"/>
  <c r="AF380" i="30"/>
  <c r="AH380" i="30" s="1"/>
  <c r="AF381" i="30"/>
  <c r="AH381" i="30" s="1"/>
  <c r="AF382" i="30"/>
  <c r="AH382" i="30" s="1"/>
  <c r="AF383" i="30"/>
  <c r="AH383" i="30" s="1"/>
  <c r="AF384" i="30"/>
  <c r="AH384" i="30" s="1"/>
  <c r="AF385" i="30"/>
  <c r="AH385" i="30" s="1"/>
  <c r="AF386" i="30"/>
  <c r="AH386" i="30" s="1"/>
  <c r="AF387" i="30"/>
  <c r="AH387" i="30" s="1"/>
  <c r="AF388" i="30"/>
  <c r="AH388" i="30" s="1"/>
  <c r="AF389" i="30"/>
  <c r="AH389" i="30" s="1"/>
  <c r="AF390" i="30"/>
  <c r="AH390" i="30" s="1"/>
  <c r="AF391" i="30"/>
  <c r="AH391" i="30" s="1"/>
  <c r="AF392" i="30"/>
  <c r="AH392" i="30" s="1"/>
  <c r="AF393" i="30"/>
  <c r="AH393" i="30" s="1"/>
  <c r="AF394" i="30"/>
  <c r="AH394" i="30" s="1"/>
  <c r="AF395" i="30"/>
  <c r="AH395" i="30" s="1"/>
  <c r="AF396" i="30"/>
  <c r="AH396" i="30" s="1"/>
  <c r="AF397" i="30"/>
  <c r="AH397" i="30" s="1"/>
  <c r="AF398" i="30"/>
  <c r="AH398" i="30" s="1"/>
  <c r="AF399" i="30"/>
  <c r="AH399" i="30" s="1"/>
  <c r="AF400" i="30"/>
  <c r="AH400" i="30" s="1"/>
  <c r="AF401" i="30"/>
  <c r="AH401" i="30" s="1"/>
  <c r="AF402" i="30"/>
  <c r="AH402" i="30" s="1"/>
  <c r="AF403" i="30"/>
  <c r="AH403" i="30" s="1"/>
  <c r="AF404" i="30"/>
  <c r="AH404" i="30" s="1"/>
  <c r="AF405" i="30"/>
  <c r="AH405" i="30" s="1"/>
  <c r="AF406" i="30"/>
  <c r="AH406" i="30" s="1"/>
  <c r="AF407" i="30"/>
  <c r="AH407" i="30" s="1"/>
  <c r="AF408" i="30"/>
  <c r="AH408" i="30" s="1"/>
  <c r="AF409" i="30"/>
  <c r="AH409" i="30" s="1"/>
  <c r="AF410" i="30"/>
  <c r="AH410" i="30" s="1"/>
  <c r="AF411" i="30"/>
  <c r="AH411" i="30" s="1"/>
  <c r="AF412" i="30"/>
  <c r="AH412" i="30" s="1"/>
  <c r="AF413" i="30"/>
  <c r="AH413" i="30" s="1"/>
  <c r="AF414" i="30"/>
  <c r="AH414" i="30" s="1"/>
  <c r="AF415" i="30"/>
  <c r="AH415" i="30" s="1"/>
  <c r="AF416" i="30"/>
  <c r="AH416" i="30" s="1"/>
  <c r="AF417" i="30"/>
  <c r="AH417" i="30" s="1"/>
  <c r="AF418" i="30"/>
  <c r="AH418" i="30" s="1"/>
  <c r="AF419" i="30"/>
  <c r="AH419" i="30" s="1"/>
  <c r="AF420" i="30"/>
  <c r="AH420" i="30" s="1"/>
  <c r="AF421" i="30"/>
  <c r="AH421" i="30" s="1"/>
  <c r="AF422" i="30"/>
  <c r="AH422" i="30" s="1"/>
  <c r="AF423" i="30"/>
  <c r="AH423" i="30" s="1"/>
  <c r="AF424" i="30"/>
  <c r="AH424" i="30" s="1"/>
  <c r="AF425" i="30"/>
  <c r="AH425" i="30" s="1"/>
  <c r="AF426" i="30"/>
  <c r="AH426" i="30" s="1"/>
  <c r="AF427" i="30"/>
  <c r="AH427" i="30" s="1"/>
  <c r="AF428" i="30"/>
  <c r="AH428" i="30" s="1"/>
  <c r="AF429" i="30"/>
  <c r="AH429" i="30" s="1"/>
  <c r="AF430" i="30"/>
  <c r="AH430" i="30" s="1"/>
  <c r="AF431" i="30"/>
  <c r="AH431" i="30" s="1"/>
  <c r="AF432" i="30"/>
  <c r="AH432" i="30" s="1"/>
  <c r="AF433" i="30"/>
  <c r="AH433" i="30" s="1"/>
  <c r="AF434" i="30"/>
  <c r="AH434" i="30" s="1"/>
  <c r="AF435" i="30"/>
  <c r="AH435" i="30" s="1"/>
  <c r="AF436" i="30"/>
  <c r="AH436" i="30" s="1"/>
  <c r="AF437" i="30"/>
  <c r="AH437" i="30" s="1"/>
  <c r="AF438" i="30"/>
  <c r="AH438" i="30" s="1"/>
  <c r="AF439" i="30"/>
  <c r="AH439" i="30" s="1"/>
  <c r="AF440" i="30"/>
  <c r="AH440" i="30" s="1"/>
  <c r="AF441" i="30"/>
  <c r="AH441" i="30" s="1"/>
  <c r="AF442" i="30"/>
  <c r="AH442" i="30" s="1"/>
  <c r="AF443" i="30"/>
  <c r="AH443" i="30" s="1"/>
  <c r="AF444" i="30"/>
  <c r="AH444" i="30" s="1"/>
  <c r="AF445" i="30"/>
  <c r="AH445" i="30" s="1"/>
  <c r="AF446" i="30"/>
  <c r="AH446" i="30" s="1"/>
  <c r="AF447" i="30"/>
  <c r="AH447" i="30" s="1"/>
  <c r="AF448" i="30"/>
  <c r="AH448" i="30" s="1"/>
  <c r="AF449" i="30"/>
  <c r="AH449" i="30" s="1"/>
  <c r="AF450" i="30"/>
  <c r="AH450" i="30" s="1"/>
  <c r="AF451" i="30"/>
  <c r="AH451" i="30" s="1"/>
  <c r="AF452" i="30"/>
  <c r="AH452" i="30" s="1"/>
  <c r="AF453" i="30"/>
  <c r="AH453" i="30" s="1"/>
  <c r="AF454" i="30"/>
  <c r="AH454" i="30" s="1"/>
  <c r="AF455" i="30"/>
  <c r="AH455" i="30" s="1"/>
  <c r="AF456" i="30"/>
  <c r="AH456" i="30" s="1"/>
  <c r="AF457" i="30"/>
  <c r="AH457" i="30" s="1"/>
  <c r="AF458" i="30"/>
  <c r="AH458" i="30" s="1"/>
  <c r="AF459" i="30"/>
  <c r="AH459" i="30" s="1"/>
  <c r="AF460" i="30"/>
  <c r="AH460" i="30" s="1"/>
  <c r="AF461" i="30"/>
  <c r="AH461" i="30" s="1"/>
  <c r="AF462" i="30"/>
  <c r="AH462" i="30" s="1"/>
  <c r="AF463" i="30"/>
  <c r="AH463" i="30" s="1"/>
  <c r="AF464" i="30"/>
  <c r="AH464" i="30" s="1"/>
  <c r="AF465" i="30"/>
  <c r="AH465" i="30" s="1"/>
  <c r="AF466" i="30"/>
  <c r="AH466" i="30" s="1"/>
  <c r="AF467" i="30"/>
  <c r="AH467" i="30" s="1"/>
  <c r="AF468" i="30"/>
  <c r="AH468" i="30" s="1"/>
  <c r="AF469" i="30"/>
  <c r="AH469" i="30" s="1"/>
  <c r="AF470" i="30"/>
  <c r="AH470" i="30" s="1"/>
  <c r="AF471" i="30"/>
  <c r="AH471" i="30" s="1"/>
  <c r="AF472" i="30"/>
  <c r="AH472" i="30" s="1"/>
  <c r="AF473" i="30"/>
  <c r="AH473" i="30" s="1"/>
  <c r="AF474" i="30"/>
  <c r="AH474" i="30" s="1"/>
  <c r="AF475" i="30"/>
  <c r="AH475" i="30" s="1"/>
  <c r="AF476" i="30"/>
  <c r="AH476" i="30" s="1"/>
  <c r="AF477" i="30"/>
  <c r="AH477" i="30" s="1"/>
  <c r="AF478" i="30"/>
  <c r="AH478" i="30" s="1"/>
  <c r="AF479" i="30"/>
  <c r="AH479" i="30" s="1"/>
  <c r="AF480" i="30"/>
  <c r="AH480" i="30" s="1"/>
  <c r="AF481" i="30"/>
  <c r="AH481" i="30" s="1"/>
  <c r="AF482" i="30"/>
  <c r="AH482" i="30" s="1"/>
  <c r="AF483" i="30"/>
  <c r="AH483" i="30" s="1"/>
  <c r="AF484" i="30"/>
  <c r="AH484" i="30" s="1"/>
  <c r="AF485" i="30"/>
  <c r="AH485" i="30" s="1"/>
  <c r="AF486" i="30"/>
  <c r="AH486" i="30" s="1"/>
  <c r="AF487" i="30"/>
  <c r="AH487" i="30" s="1"/>
  <c r="AF488" i="30"/>
  <c r="AH488" i="30" s="1"/>
  <c r="AF489" i="30"/>
  <c r="AH489" i="30" s="1"/>
  <c r="AF490" i="30"/>
  <c r="AH490" i="30" s="1"/>
  <c r="AF491" i="30"/>
  <c r="AH491" i="30" s="1"/>
  <c r="AF492" i="30"/>
  <c r="AH492" i="30" s="1"/>
  <c r="AF493" i="30"/>
  <c r="AH493" i="30" s="1"/>
  <c r="AF494" i="30"/>
  <c r="AH494" i="30" s="1"/>
  <c r="AF495" i="30"/>
  <c r="AH495" i="30" s="1"/>
  <c r="AF496" i="30"/>
  <c r="AH496" i="30" s="1"/>
  <c r="AF497" i="30"/>
  <c r="AH497" i="30" s="1"/>
  <c r="AF498" i="30"/>
  <c r="AH498" i="30" s="1"/>
  <c r="AF499" i="30"/>
  <c r="AH499" i="30" s="1"/>
  <c r="AF500" i="30"/>
  <c r="AH500" i="30" s="1"/>
  <c r="AF501" i="30"/>
  <c r="AH501" i="30" s="1"/>
  <c r="AF502" i="30"/>
  <c r="AH502" i="30" s="1"/>
  <c r="AF503" i="30"/>
  <c r="AH503" i="30" s="1"/>
  <c r="AF504" i="30"/>
  <c r="AH504" i="30" s="1"/>
  <c r="AF505" i="30"/>
  <c r="AH505" i="30" s="1"/>
  <c r="AF506" i="30"/>
  <c r="AH506" i="30" s="1"/>
  <c r="AF507" i="30"/>
  <c r="AH507" i="30" s="1"/>
  <c r="AF508" i="30"/>
  <c r="AH508" i="30" s="1"/>
  <c r="AF509" i="30"/>
  <c r="AH509" i="30" s="1"/>
  <c r="AF510" i="30"/>
  <c r="AH510" i="30" s="1"/>
  <c r="AF511" i="30"/>
  <c r="AH511" i="30" s="1"/>
  <c r="AF512" i="30"/>
  <c r="AH512" i="30" s="1"/>
  <c r="AF513" i="30"/>
  <c r="AH513" i="30" s="1"/>
  <c r="AF514" i="30"/>
  <c r="AH514" i="30" s="1"/>
  <c r="AF515" i="30"/>
  <c r="AH515" i="30" s="1"/>
  <c r="AF516" i="30"/>
  <c r="AH516" i="30" s="1"/>
  <c r="AF517" i="30"/>
  <c r="AH517" i="30" s="1"/>
  <c r="AF518" i="30"/>
  <c r="AH518" i="30" s="1"/>
  <c r="AF519" i="30"/>
  <c r="AH519" i="30" s="1"/>
  <c r="AF520" i="30"/>
  <c r="AH520" i="30" s="1"/>
  <c r="AF521" i="30"/>
  <c r="AH521" i="30" s="1"/>
  <c r="AF522" i="30"/>
  <c r="AH522" i="30" s="1"/>
  <c r="AF523" i="30"/>
  <c r="AH523" i="30" s="1"/>
  <c r="AF524" i="30"/>
  <c r="AH524" i="30" s="1"/>
  <c r="AF525" i="30"/>
  <c r="AH525" i="30" s="1"/>
  <c r="AF526" i="30"/>
  <c r="AH526" i="30" s="1"/>
  <c r="AF527" i="30"/>
  <c r="AH527" i="30" s="1"/>
  <c r="AF528" i="30"/>
  <c r="AH528" i="30" s="1"/>
  <c r="AF529" i="30"/>
  <c r="AH529" i="30" s="1"/>
  <c r="AF530" i="30"/>
  <c r="AH530" i="30" s="1"/>
  <c r="AF531" i="30"/>
  <c r="AH531" i="30" s="1"/>
  <c r="AF532" i="30"/>
  <c r="AH532" i="30" s="1"/>
  <c r="AF533" i="30"/>
  <c r="AH533" i="30" s="1"/>
  <c r="AF534" i="30"/>
  <c r="AH534" i="30" s="1"/>
  <c r="AF535" i="30"/>
  <c r="AH535" i="30" s="1"/>
  <c r="AF536" i="30"/>
  <c r="AH536" i="30" s="1"/>
  <c r="AF537" i="30"/>
  <c r="AH537" i="30" s="1"/>
  <c r="AF538" i="30"/>
  <c r="AH538" i="30" s="1"/>
  <c r="AF539" i="30"/>
  <c r="AH539" i="30" s="1"/>
  <c r="AF540" i="30"/>
  <c r="AH540" i="30" s="1"/>
  <c r="AF541" i="30"/>
  <c r="AH541" i="30" s="1"/>
  <c r="AF542" i="30"/>
  <c r="AH542" i="30" s="1"/>
  <c r="AF543" i="30"/>
  <c r="AH543" i="30" s="1"/>
  <c r="AF544" i="30"/>
  <c r="AH544" i="30" s="1"/>
  <c r="AF545" i="30"/>
  <c r="AH545" i="30" s="1"/>
  <c r="AF546" i="30"/>
  <c r="AH546" i="30" s="1"/>
  <c r="AF547" i="30"/>
  <c r="AH547" i="30" s="1"/>
  <c r="AF548" i="30"/>
  <c r="AH548" i="30" s="1"/>
  <c r="AF549" i="30"/>
  <c r="AH549" i="30" s="1"/>
  <c r="AF550" i="30"/>
  <c r="AH550" i="30" s="1"/>
  <c r="AF551" i="30"/>
  <c r="AH551" i="30" s="1"/>
  <c r="AF552" i="30"/>
  <c r="AH552" i="30" s="1"/>
  <c r="AF553" i="30"/>
  <c r="AH553" i="30" s="1"/>
  <c r="AF554" i="30"/>
  <c r="AH554" i="30" s="1"/>
  <c r="AF555" i="30"/>
  <c r="AH555" i="30" s="1"/>
  <c r="AF556" i="30"/>
  <c r="AH556" i="30" s="1"/>
  <c r="AF557" i="30"/>
  <c r="AH557" i="30" s="1"/>
  <c r="AF558" i="30"/>
  <c r="AH558" i="30" s="1"/>
  <c r="AF559" i="30"/>
  <c r="AH559" i="30" s="1"/>
  <c r="AF560" i="30"/>
  <c r="AH560" i="30" s="1"/>
  <c r="AF561" i="30"/>
  <c r="AH561" i="30" s="1"/>
  <c r="AF562" i="30"/>
  <c r="AH562" i="30" s="1"/>
  <c r="AF563" i="30"/>
  <c r="AH563" i="30" s="1"/>
  <c r="AF564" i="30"/>
  <c r="AH564" i="30" s="1"/>
  <c r="AF565" i="30"/>
  <c r="AH565" i="30" s="1"/>
  <c r="AF566" i="30"/>
  <c r="AH566" i="30" s="1"/>
  <c r="AF567" i="30"/>
  <c r="AH567" i="30" s="1"/>
  <c r="AF568" i="30"/>
  <c r="AH568" i="30" s="1"/>
  <c r="AF569" i="30"/>
  <c r="AH569" i="30" s="1"/>
  <c r="AF570" i="30"/>
  <c r="AH570" i="30" s="1"/>
  <c r="AF571" i="30"/>
  <c r="AH571" i="30" s="1"/>
  <c r="AF572" i="30"/>
  <c r="AH572" i="30" s="1"/>
  <c r="AF573" i="30"/>
  <c r="AH573" i="30" s="1"/>
  <c r="AF574" i="30"/>
  <c r="AH574" i="30" s="1"/>
  <c r="AF575" i="30"/>
  <c r="AH575" i="30" s="1"/>
  <c r="AF576" i="30"/>
  <c r="AH576" i="30" s="1"/>
  <c r="AF577" i="30"/>
  <c r="AH577" i="30" s="1"/>
  <c r="AF578" i="30"/>
  <c r="AH578" i="30" s="1"/>
  <c r="AF579" i="30"/>
  <c r="AH579" i="30" s="1"/>
  <c r="AF580" i="30"/>
  <c r="AH580" i="30" s="1"/>
  <c r="AF581" i="30"/>
  <c r="AH581" i="30" s="1"/>
  <c r="AF582" i="30"/>
  <c r="AH582" i="30" s="1"/>
  <c r="AF583" i="30"/>
  <c r="AH583" i="30" s="1"/>
  <c r="AF584" i="30"/>
  <c r="AH584" i="30" s="1"/>
  <c r="AF585" i="30"/>
  <c r="AH585" i="30" s="1"/>
  <c r="AF586" i="30"/>
  <c r="AH586" i="30" s="1"/>
  <c r="AF587" i="30"/>
  <c r="AH587" i="30" s="1"/>
  <c r="AF588" i="30"/>
  <c r="AH588" i="30" s="1"/>
  <c r="AF589" i="30"/>
  <c r="AH589" i="30" s="1"/>
  <c r="AF590" i="30"/>
  <c r="AH590" i="30" s="1"/>
  <c r="AF591" i="30"/>
  <c r="AH591" i="30" s="1"/>
  <c r="AF592" i="30"/>
  <c r="AH592" i="30" s="1"/>
  <c r="AF593" i="30"/>
  <c r="AH593" i="30" s="1"/>
  <c r="AF594" i="30"/>
  <c r="AH594" i="30" s="1"/>
  <c r="AF595" i="30"/>
  <c r="AH595" i="30" s="1"/>
  <c r="AF596" i="30"/>
  <c r="AH596" i="30" s="1"/>
  <c r="AF597" i="30"/>
  <c r="AH597" i="30" s="1"/>
  <c r="AF598" i="30"/>
  <c r="AH598" i="30" s="1"/>
  <c r="AF599" i="30"/>
  <c r="AH599" i="30" s="1"/>
  <c r="AF600" i="30"/>
  <c r="AH600" i="30" s="1"/>
  <c r="AF601" i="30"/>
  <c r="AH601" i="30" s="1"/>
  <c r="AF602" i="30"/>
  <c r="AH602" i="30" s="1"/>
  <c r="AF603" i="30"/>
  <c r="AH603" i="30" s="1"/>
  <c r="AF604" i="30"/>
  <c r="AH604" i="30" s="1"/>
  <c r="AF605" i="30"/>
  <c r="AH605" i="30" s="1"/>
  <c r="AF606" i="30"/>
  <c r="AH606" i="30" s="1"/>
  <c r="AF607" i="30"/>
  <c r="AH607" i="30" s="1"/>
  <c r="AF608" i="30"/>
  <c r="AH608" i="30" s="1"/>
  <c r="AF609" i="30"/>
  <c r="AH609" i="30" s="1"/>
  <c r="AF610" i="30"/>
  <c r="AH610" i="30" s="1"/>
  <c r="AF611" i="30"/>
  <c r="AH611" i="30" s="1"/>
  <c r="AF612" i="30"/>
  <c r="AH612" i="30" s="1"/>
  <c r="AF613" i="30"/>
  <c r="AH613" i="30" s="1"/>
  <c r="AF614" i="30"/>
  <c r="AH614" i="30" s="1"/>
  <c r="AF615" i="30"/>
  <c r="AH615" i="30" s="1"/>
  <c r="AF616" i="30"/>
  <c r="AH616" i="30" s="1"/>
  <c r="AF617" i="30"/>
  <c r="AH617" i="30" s="1"/>
  <c r="AF618" i="30"/>
  <c r="AH618" i="30" s="1"/>
  <c r="AF619" i="30"/>
  <c r="AH619" i="30" s="1"/>
  <c r="AF620" i="30"/>
  <c r="AH620" i="30" s="1"/>
  <c r="AF621" i="30"/>
  <c r="AH621" i="30" s="1"/>
  <c r="AF622" i="30"/>
  <c r="AH622" i="30" s="1"/>
  <c r="AF623" i="30"/>
  <c r="AH623" i="30" s="1"/>
  <c r="AF624" i="30"/>
  <c r="AH624" i="30" s="1"/>
  <c r="AF625" i="30"/>
  <c r="AH625" i="30" s="1"/>
  <c r="AF626" i="30"/>
  <c r="AH626" i="30" s="1"/>
  <c r="AF627" i="30"/>
  <c r="AH627" i="30" s="1"/>
  <c r="AF628" i="30"/>
  <c r="AH628" i="30" s="1"/>
  <c r="AF629" i="30"/>
  <c r="AH629" i="30" s="1"/>
  <c r="AF630" i="30"/>
  <c r="AH630" i="30" s="1"/>
  <c r="AF631" i="30"/>
  <c r="AH631" i="30" s="1"/>
  <c r="AF632" i="30"/>
  <c r="AH632" i="30" s="1"/>
  <c r="AF633" i="30"/>
  <c r="AH633" i="30" s="1"/>
  <c r="AF634" i="30"/>
  <c r="AH634" i="30" s="1"/>
  <c r="AF635" i="30"/>
  <c r="AH635" i="30" s="1"/>
  <c r="AF636" i="30"/>
  <c r="AH636" i="30" s="1"/>
  <c r="AF637" i="30"/>
  <c r="AH637" i="30" s="1"/>
  <c r="AF638" i="30"/>
  <c r="AH638" i="30" s="1"/>
  <c r="AF639" i="30"/>
  <c r="AH639" i="30" s="1"/>
  <c r="AF640" i="30"/>
  <c r="AH640" i="30" s="1"/>
  <c r="AF641" i="30"/>
  <c r="AH641" i="30" s="1"/>
  <c r="AF642" i="30"/>
  <c r="AH642" i="30" s="1"/>
  <c r="AF643" i="30"/>
  <c r="AH643" i="30" s="1"/>
  <c r="AF644" i="30"/>
  <c r="AH644" i="30" s="1"/>
  <c r="AF645" i="30"/>
  <c r="AH645" i="30" s="1"/>
  <c r="AF646" i="30"/>
  <c r="AH646" i="30" s="1"/>
  <c r="AF647" i="30"/>
  <c r="AH647" i="30" s="1"/>
  <c r="AF648" i="30"/>
  <c r="AH648" i="30" s="1"/>
  <c r="AF649" i="30"/>
  <c r="AH649" i="30" s="1"/>
  <c r="AF650" i="30"/>
  <c r="AH650" i="30" s="1"/>
  <c r="AF651" i="30"/>
  <c r="AH651" i="30" s="1"/>
  <c r="AF652" i="30"/>
  <c r="AH652" i="30" s="1"/>
  <c r="AF653" i="30"/>
  <c r="AH653" i="30" s="1"/>
  <c r="AF654" i="30"/>
  <c r="AH654" i="30" s="1"/>
  <c r="AF655" i="30"/>
  <c r="AH655" i="30" s="1"/>
  <c r="AF656" i="30"/>
  <c r="AH656" i="30" s="1"/>
  <c r="AF657" i="30"/>
  <c r="AH657" i="30" s="1"/>
  <c r="AF658" i="30"/>
  <c r="AH658" i="30" s="1"/>
  <c r="AF659" i="30"/>
  <c r="AH659" i="30" s="1"/>
  <c r="AF660" i="30"/>
  <c r="AH660" i="30" s="1"/>
  <c r="AF661" i="30"/>
  <c r="AH661" i="30" s="1"/>
  <c r="AF662" i="30"/>
  <c r="AH662" i="30" s="1"/>
  <c r="AF663" i="30"/>
  <c r="AH663" i="30" s="1"/>
  <c r="AF664" i="30"/>
  <c r="AH664" i="30" s="1"/>
  <c r="AF665" i="30"/>
  <c r="AH665" i="30" s="1"/>
  <c r="AF666" i="30"/>
  <c r="AH666" i="30" s="1"/>
  <c r="AF667" i="30"/>
  <c r="AH667" i="30" s="1"/>
  <c r="AF668" i="30"/>
  <c r="AH668" i="30" s="1"/>
  <c r="AF669" i="30"/>
  <c r="AH669" i="30" s="1"/>
  <c r="AF670" i="30"/>
  <c r="AH670" i="30" s="1"/>
  <c r="AF671" i="30"/>
  <c r="AH671" i="30" s="1"/>
  <c r="AF672" i="30"/>
  <c r="AH672" i="30" s="1"/>
  <c r="AF673" i="30"/>
  <c r="AH673" i="30" s="1"/>
  <c r="AF674" i="30"/>
  <c r="AH674" i="30" s="1"/>
  <c r="AF675" i="30"/>
  <c r="AH675" i="30" s="1"/>
  <c r="AF676" i="30"/>
  <c r="AH676" i="30" s="1"/>
  <c r="AF677" i="30"/>
  <c r="AH677" i="30" s="1"/>
  <c r="AF678" i="30"/>
  <c r="AH678" i="30" s="1"/>
  <c r="AF679" i="30"/>
  <c r="AH679" i="30" s="1"/>
  <c r="AF680" i="30"/>
  <c r="AH680" i="30" s="1"/>
  <c r="AF681" i="30"/>
  <c r="AH681" i="30" s="1"/>
  <c r="AF682" i="30"/>
  <c r="AH682" i="30" s="1"/>
  <c r="AF683" i="30"/>
  <c r="AH683" i="30" s="1"/>
  <c r="AF684" i="30"/>
  <c r="AH684" i="30" s="1"/>
  <c r="AF685" i="30"/>
  <c r="AH685" i="30" s="1"/>
  <c r="AF686" i="30"/>
  <c r="AH686" i="30" s="1"/>
  <c r="AF687" i="30"/>
  <c r="AH687" i="30" s="1"/>
  <c r="AF688" i="30"/>
  <c r="AH688" i="30" s="1"/>
  <c r="AF689" i="30"/>
  <c r="AH689" i="30" s="1"/>
  <c r="AF690" i="30"/>
  <c r="AH690" i="30" s="1"/>
  <c r="AF691" i="30"/>
  <c r="AH691" i="30" s="1"/>
  <c r="AF692" i="30"/>
  <c r="AH692" i="30" s="1"/>
  <c r="AF693" i="30"/>
  <c r="AH693" i="30" s="1"/>
  <c r="AF694" i="30"/>
  <c r="AH694" i="30" s="1"/>
  <c r="AF695" i="30"/>
  <c r="AH695" i="30" s="1"/>
  <c r="AF696" i="30"/>
  <c r="AH696" i="30" s="1"/>
  <c r="AF697" i="30"/>
  <c r="AH697" i="30" s="1"/>
  <c r="AF698" i="30"/>
  <c r="AH698" i="30" s="1"/>
  <c r="AF699" i="30"/>
  <c r="AH699" i="30" s="1"/>
  <c r="AF700" i="30"/>
  <c r="AH700" i="30" s="1"/>
  <c r="AF701" i="30"/>
  <c r="AH701" i="30" s="1"/>
  <c r="AF702" i="30"/>
  <c r="AH702" i="30" s="1"/>
  <c r="AF703" i="30"/>
  <c r="AH703" i="30" s="1"/>
  <c r="AF704" i="30"/>
  <c r="AH704" i="30" s="1"/>
  <c r="AF705" i="30"/>
  <c r="AH705" i="30" s="1"/>
  <c r="AF706" i="30"/>
  <c r="AH706" i="30" s="1"/>
  <c r="AF707" i="30"/>
  <c r="AH707" i="30" s="1"/>
  <c r="AF708" i="30"/>
  <c r="AH708" i="30" s="1"/>
  <c r="AF709" i="30"/>
  <c r="AH709" i="30" s="1"/>
  <c r="AF710" i="30"/>
  <c r="AH710" i="30" s="1"/>
  <c r="AF711" i="30"/>
  <c r="AH711" i="30" s="1"/>
  <c r="AF712" i="30"/>
  <c r="AH712" i="30" s="1"/>
  <c r="AF713" i="30"/>
  <c r="AH713" i="30" s="1"/>
  <c r="AF714" i="30"/>
  <c r="AH714" i="30" s="1"/>
  <c r="AF715" i="30"/>
  <c r="AH715" i="30" s="1"/>
  <c r="AF716" i="30"/>
  <c r="AH716" i="30" s="1"/>
  <c r="AF717" i="30"/>
  <c r="AH717" i="30" s="1"/>
  <c r="AF718" i="30"/>
  <c r="AH718" i="30" s="1"/>
  <c r="AF719" i="30"/>
  <c r="AH719" i="30" s="1"/>
  <c r="AF720" i="30"/>
  <c r="AH720" i="30" s="1"/>
  <c r="AF721" i="30"/>
  <c r="AH721" i="30" s="1"/>
  <c r="AF722" i="30"/>
  <c r="AH722" i="30" s="1"/>
  <c r="AF723" i="30"/>
  <c r="AH723" i="30" s="1"/>
  <c r="AF724" i="30"/>
  <c r="AH724" i="30" s="1"/>
  <c r="AF725" i="30"/>
  <c r="AH725" i="30" s="1"/>
  <c r="AF726" i="30"/>
  <c r="AH726" i="30" s="1"/>
  <c r="AF727" i="30"/>
  <c r="AH727" i="30" s="1"/>
  <c r="AF728" i="30"/>
  <c r="AH728" i="30" s="1"/>
  <c r="AF729" i="30"/>
  <c r="AH729" i="30" s="1"/>
  <c r="AF730" i="30"/>
  <c r="AH730" i="30" s="1"/>
  <c r="AF731" i="30"/>
  <c r="AH731" i="30" s="1"/>
  <c r="AF732" i="30"/>
  <c r="AH732" i="30" s="1"/>
  <c r="AF733" i="30"/>
  <c r="AH733" i="30" s="1"/>
  <c r="AF734" i="30"/>
  <c r="AH734" i="30" s="1"/>
  <c r="AF735" i="30"/>
  <c r="AH735" i="30" s="1"/>
  <c r="AF736" i="30"/>
  <c r="AH736" i="30" s="1"/>
  <c r="AF737" i="30"/>
  <c r="AH737" i="30" s="1"/>
  <c r="AF738" i="30"/>
  <c r="AH738" i="30" s="1"/>
  <c r="AF739" i="30"/>
  <c r="AH739" i="30" s="1"/>
  <c r="AF740" i="30"/>
  <c r="AH740" i="30" s="1"/>
  <c r="AF741" i="30"/>
  <c r="AH741" i="30" s="1"/>
  <c r="AF742" i="30"/>
  <c r="AH742" i="30" s="1"/>
  <c r="AF743" i="30"/>
  <c r="AH743" i="30" s="1"/>
  <c r="AF744" i="30"/>
  <c r="AH744" i="30" s="1"/>
  <c r="AF745" i="30"/>
  <c r="AH745" i="30" s="1"/>
  <c r="AF746" i="30"/>
  <c r="AH746" i="30" s="1"/>
  <c r="AF747" i="30"/>
  <c r="AH747" i="30" s="1"/>
  <c r="AF748" i="30"/>
  <c r="AH748" i="30" s="1"/>
  <c r="AF749" i="30"/>
  <c r="AH749" i="30" s="1"/>
  <c r="AF750" i="30"/>
  <c r="AH750" i="30" s="1"/>
  <c r="AF751" i="30"/>
  <c r="AH751" i="30" s="1"/>
  <c r="AF752" i="30"/>
  <c r="AH752" i="30" s="1"/>
  <c r="AF753" i="30"/>
  <c r="AH753" i="30" s="1"/>
  <c r="AF754" i="30"/>
  <c r="AH754" i="30" s="1"/>
  <c r="AF755" i="30"/>
  <c r="AH755" i="30" s="1"/>
  <c r="AF756" i="30"/>
  <c r="AH756" i="30" s="1"/>
  <c r="AF757" i="30"/>
  <c r="AH757" i="30" s="1"/>
  <c r="AF758" i="30"/>
  <c r="AH758" i="30" s="1"/>
  <c r="AF759" i="30"/>
  <c r="AH759" i="30" s="1"/>
  <c r="AF760" i="30"/>
  <c r="AH760" i="30" s="1"/>
  <c r="AF761" i="30"/>
  <c r="AH761" i="30" s="1"/>
  <c r="AF762" i="30"/>
  <c r="AH762" i="30" s="1"/>
  <c r="AF763" i="30"/>
  <c r="AH763" i="30" s="1"/>
  <c r="AF764" i="30"/>
  <c r="AH764" i="30" s="1"/>
  <c r="AF765" i="30"/>
  <c r="AH765" i="30" s="1"/>
  <c r="AF766" i="30"/>
  <c r="AH766" i="30" s="1"/>
  <c r="AF767" i="30"/>
  <c r="AH767" i="30" s="1"/>
  <c r="AF768" i="30"/>
  <c r="AH768" i="30" s="1"/>
  <c r="AF769" i="30"/>
  <c r="AH769" i="30" s="1"/>
  <c r="AF770" i="30"/>
  <c r="AH770" i="30" s="1"/>
  <c r="AF771" i="30"/>
  <c r="AH771" i="30" s="1"/>
  <c r="AF772" i="30"/>
  <c r="AH772" i="30" s="1"/>
  <c r="AF773" i="30"/>
  <c r="AH773" i="30" s="1"/>
  <c r="AF774" i="30"/>
  <c r="AH774" i="30" s="1"/>
  <c r="AF775" i="30"/>
  <c r="AH775" i="30" s="1"/>
  <c r="AF776" i="30"/>
  <c r="AH776" i="30" s="1"/>
  <c r="AF777" i="30"/>
  <c r="AH777" i="30" s="1"/>
  <c r="AF778" i="30"/>
  <c r="AH778" i="30" s="1"/>
  <c r="AF779" i="30"/>
  <c r="AH779" i="30" s="1"/>
  <c r="AF780" i="30"/>
  <c r="AH780" i="30" s="1"/>
  <c r="AF781" i="30"/>
  <c r="AH781" i="30" s="1"/>
  <c r="AF782" i="30"/>
  <c r="AH782" i="30" s="1"/>
  <c r="AF783" i="30"/>
  <c r="AH783" i="30" s="1"/>
  <c r="AF784" i="30"/>
  <c r="AH784" i="30" s="1"/>
  <c r="AF785" i="30"/>
  <c r="AH785" i="30" s="1"/>
  <c r="AF786" i="30"/>
  <c r="AH786" i="30" s="1"/>
  <c r="AF787" i="30"/>
  <c r="AH787" i="30" s="1"/>
  <c r="AF788" i="30"/>
  <c r="AH788" i="30" s="1"/>
  <c r="AF789" i="30"/>
  <c r="AH789" i="30" s="1"/>
  <c r="AF790" i="30"/>
  <c r="AH790" i="30" s="1"/>
  <c r="AF791" i="30"/>
  <c r="AH791" i="30" s="1"/>
  <c r="AF792" i="30"/>
  <c r="AH792" i="30" s="1"/>
  <c r="AF793" i="30"/>
  <c r="AH793" i="30" s="1"/>
  <c r="AF794" i="30"/>
  <c r="AH794" i="30" s="1"/>
  <c r="AF795" i="30"/>
  <c r="AH795" i="30" s="1"/>
  <c r="AF796" i="30"/>
  <c r="AH796" i="30" s="1"/>
  <c r="AF797" i="30"/>
  <c r="AH797" i="30" s="1"/>
  <c r="AF798" i="30"/>
  <c r="AH798" i="30" s="1"/>
  <c r="AF799" i="30"/>
  <c r="AH799" i="30" s="1"/>
  <c r="AF800" i="30"/>
  <c r="AH800" i="30" s="1"/>
  <c r="AF801" i="30"/>
  <c r="AH801" i="30" s="1"/>
  <c r="AF802" i="30"/>
  <c r="AH802" i="30" s="1"/>
  <c r="AF803" i="30"/>
  <c r="AH803" i="30" s="1"/>
  <c r="AF804" i="30"/>
  <c r="AH804" i="30" s="1"/>
  <c r="AF805" i="30"/>
  <c r="AH805" i="30" s="1"/>
  <c r="AF806" i="30"/>
  <c r="AH806" i="30" s="1"/>
  <c r="AF807" i="30"/>
  <c r="AH807" i="30" s="1"/>
  <c r="AF808" i="30"/>
  <c r="AH808" i="30" s="1"/>
  <c r="AF809" i="30"/>
  <c r="AH809" i="30" s="1"/>
  <c r="AF810" i="30"/>
  <c r="AH810" i="30" s="1"/>
  <c r="AF811" i="30"/>
  <c r="AH811" i="30" s="1"/>
  <c r="AF812" i="30"/>
  <c r="AH812" i="30" s="1"/>
  <c r="AF813" i="30"/>
  <c r="AH813" i="30" s="1"/>
  <c r="AF814" i="30"/>
  <c r="AH814" i="30" s="1"/>
  <c r="AF815" i="30"/>
  <c r="AH815" i="30" s="1"/>
  <c r="AF816" i="30"/>
  <c r="AH816" i="30" s="1"/>
  <c r="AF817" i="30"/>
  <c r="AH817" i="30" s="1"/>
  <c r="AF818" i="30"/>
  <c r="AH818" i="30" s="1"/>
  <c r="AF819" i="30"/>
  <c r="AH819" i="30" s="1"/>
  <c r="AF820" i="30"/>
  <c r="AH820" i="30" s="1"/>
  <c r="AF821" i="30"/>
  <c r="AH821" i="30" s="1"/>
  <c r="AF822" i="30"/>
  <c r="AH822" i="30" s="1"/>
  <c r="AF823" i="30"/>
  <c r="AH823" i="30" s="1"/>
  <c r="AF824" i="30"/>
  <c r="AH824" i="30" s="1"/>
  <c r="AF825" i="30"/>
  <c r="AH825" i="30" s="1"/>
  <c r="AF826" i="30"/>
  <c r="AH826" i="30" s="1"/>
  <c r="AF827" i="30"/>
  <c r="AH827" i="30" s="1"/>
  <c r="AF828" i="30"/>
  <c r="AH828" i="30" s="1"/>
  <c r="AF829" i="30"/>
  <c r="AH829" i="30" s="1"/>
  <c r="AF830" i="30"/>
  <c r="AH830" i="30" s="1"/>
  <c r="AF831" i="30"/>
  <c r="AH831" i="30" s="1"/>
  <c r="AF832" i="30"/>
  <c r="AH832" i="30" s="1"/>
  <c r="AF833" i="30"/>
  <c r="AH833" i="30" s="1"/>
  <c r="AF834" i="30"/>
  <c r="AH834" i="30" s="1"/>
  <c r="AF835" i="30"/>
  <c r="AH835" i="30" s="1"/>
  <c r="AF836" i="30"/>
  <c r="AH836" i="30" s="1"/>
  <c r="AF837" i="30"/>
  <c r="AH837" i="30" s="1"/>
  <c r="AF838" i="30"/>
  <c r="AH838" i="30" s="1"/>
  <c r="AF839" i="30"/>
  <c r="AH839" i="30" s="1"/>
  <c r="AF840" i="30"/>
  <c r="AH840" i="30" s="1"/>
  <c r="AF841" i="30"/>
  <c r="AH841" i="30" s="1"/>
  <c r="AF842" i="30"/>
  <c r="AH842" i="30" s="1"/>
  <c r="AF843" i="30"/>
  <c r="AH843" i="30" s="1"/>
  <c r="AF844" i="30"/>
  <c r="AH844" i="30" s="1"/>
  <c r="AF845" i="30"/>
  <c r="AH845" i="30" s="1"/>
  <c r="AF846" i="30"/>
  <c r="AH846" i="30" s="1"/>
  <c r="AF847" i="30"/>
  <c r="AH847" i="30" s="1"/>
  <c r="AF848" i="30"/>
  <c r="AH848" i="30" s="1"/>
  <c r="AF849" i="30"/>
  <c r="AH849" i="30" s="1"/>
  <c r="AF850" i="30"/>
  <c r="AH850" i="30" s="1"/>
  <c r="AF851" i="30"/>
  <c r="AH851" i="30" s="1"/>
  <c r="AF852" i="30"/>
  <c r="AH852" i="30" s="1"/>
  <c r="AF853" i="30"/>
  <c r="AH853" i="30" s="1"/>
  <c r="AF854" i="30"/>
  <c r="AH854" i="30" s="1"/>
  <c r="AF855" i="30"/>
  <c r="AH855" i="30" s="1"/>
  <c r="AF856" i="30"/>
  <c r="AH856" i="30" s="1"/>
  <c r="AF857" i="30"/>
  <c r="AH857" i="30" s="1"/>
  <c r="AF858" i="30"/>
  <c r="AH858" i="30" s="1"/>
  <c r="AF859" i="30"/>
  <c r="AH859" i="30" s="1"/>
  <c r="AF860" i="30"/>
  <c r="AH860" i="30" s="1"/>
  <c r="AF861" i="30"/>
  <c r="AH861" i="30" s="1"/>
  <c r="AF862" i="30"/>
  <c r="AH862" i="30" s="1"/>
  <c r="AF863" i="30"/>
  <c r="AH863" i="30" s="1"/>
  <c r="AF864" i="30"/>
  <c r="AH864" i="30" s="1"/>
  <c r="AF865" i="30"/>
  <c r="AH865" i="30" s="1"/>
  <c r="AF866" i="30"/>
  <c r="AH866" i="30" s="1"/>
  <c r="AF867" i="30"/>
  <c r="AH867" i="30" s="1"/>
  <c r="AF868" i="30"/>
  <c r="AH868" i="30" s="1"/>
  <c r="AF869" i="30"/>
  <c r="AH869" i="30" s="1"/>
  <c r="AF870" i="30"/>
  <c r="AH870" i="30" s="1"/>
  <c r="AF871" i="30"/>
  <c r="AH871" i="30" s="1"/>
  <c r="AF872" i="30"/>
  <c r="AH872" i="30" s="1"/>
  <c r="AF873" i="30"/>
  <c r="AH873" i="30" s="1"/>
  <c r="AF874" i="30"/>
  <c r="AH874" i="30" s="1"/>
  <c r="AF875" i="30"/>
  <c r="AH875" i="30" s="1"/>
  <c r="AF876" i="30"/>
  <c r="AH876" i="30" s="1"/>
  <c r="AF877" i="30"/>
  <c r="AH877" i="30" s="1"/>
  <c r="AF878" i="30"/>
  <c r="AH878" i="30" s="1"/>
  <c r="AF879" i="30"/>
  <c r="AH879" i="30" s="1"/>
  <c r="AF880" i="30"/>
  <c r="AH880" i="30" s="1"/>
  <c r="AF881" i="30"/>
  <c r="AH881" i="30" s="1"/>
  <c r="AF882" i="30"/>
  <c r="AH882" i="30" s="1"/>
  <c r="AF883" i="30"/>
  <c r="AH883" i="30" s="1"/>
  <c r="AF884" i="30"/>
  <c r="AH884" i="30" s="1"/>
  <c r="AF885" i="30"/>
  <c r="AH885" i="30" s="1"/>
  <c r="AF886" i="30"/>
  <c r="AH886" i="30" s="1"/>
  <c r="AF887" i="30"/>
  <c r="AH887" i="30" s="1"/>
  <c r="AF888" i="30"/>
  <c r="AH888" i="30" s="1"/>
  <c r="AF889" i="30"/>
  <c r="AH889" i="30" s="1"/>
  <c r="AF890" i="30"/>
  <c r="AH890" i="30" s="1"/>
  <c r="AF891" i="30"/>
  <c r="AH891" i="30" s="1"/>
  <c r="AF892" i="30"/>
  <c r="AH892" i="30" s="1"/>
  <c r="AF893" i="30"/>
  <c r="AH893" i="30" s="1"/>
  <c r="AF894" i="30"/>
  <c r="AH894" i="30" s="1"/>
  <c r="AF895" i="30"/>
  <c r="AH895" i="30" s="1"/>
  <c r="AF896" i="30"/>
  <c r="AH896" i="30" s="1"/>
  <c r="AF897" i="30"/>
  <c r="AH897" i="30" s="1"/>
  <c r="AF898" i="30"/>
  <c r="AH898" i="30" s="1"/>
  <c r="AF899" i="30"/>
  <c r="AH899" i="30" s="1"/>
  <c r="AF900" i="30"/>
  <c r="AH900" i="30" s="1"/>
  <c r="AF901" i="30"/>
  <c r="AH901" i="30" s="1"/>
  <c r="AF902" i="30"/>
  <c r="AH902" i="30" s="1"/>
  <c r="AF903" i="30"/>
  <c r="AH903" i="30" s="1"/>
  <c r="AF904" i="30"/>
  <c r="AH904" i="30" s="1"/>
  <c r="AF905" i="30"/>
  <c r="AH905" i="30" s="1"/>
  <c r="AF906" i="30"/>
  <c r="AH906" i="30" s="1"/>
  <c r="AF907" i="30"/>
  <c r="AH907" i="30" s="1"/>
  <c r="AF908" i="30"/>
  <c r="AH908" i="30" s="1"/>
  <c r="AF909" i="30"/>
  <c r="AH909" i="30" s="1"/>
  <c r="AF910" i="30"/>
  <c r="AH910" i="30" s="1"/>
  <c r="AF911" i="30"/>
  <c r="AH911" i="30" s="1"/>
  <c r="AF912" i="30"/>
  <c r="AH912" i="30" s="1"/>
  <c r="AF913" i="30"/>
  <c r="AH913" i="30" s="1"/>
  <c r="AF914" i="30"/>
  <c r="AH914" i="30" s="1"/>
  <c r="AF915" i="30"/>
  <c r="AH915" i="30" s="1"/>
  <c r="AF916" i="30"/>
  <c r="AH916" i="30" s="1"/>
  <c r="AF917" i="30"/>
  <c r="AH917" i="30" s="1"/>
  <c r="AF918" i="30"/>
  <c r="AH918" i="30" s="1"/>
  <c r="AF919" i="30"/>
  <c r="AH919" i="30" s="1"/>
  <c r="AF920" i="30"/>
  <c r="AH920" i="30" s="1"/>
  <c r="AF921" i="30"/>
  <c r="AH921" i="30" s="1"/>
  <c r="AF922" i="30"/>
  <c r="AH922" i="30" s="1"/>
  <c r="AF923" i="30"/>
  <c r="AH923" i="30" s="1"/>
  <c r="AF924" i="30"/>
  <c r="AH924" i="30" s="1"/>
  <c r="AF925" i="30"/>
  <c r="AH925" i="30" s="1"/>
  <c r="AF926" i="30"/>
  <c r="AH926" i="30" s="1"/>
  <c r="AF927" i="30"/>
  <c r="AH927" i="30" s="1"/>
  <c r="AF928" i="30"/>
  <c r="AH928" i="30" s="1"/>
  <c r="AF929" i="30"/>
  <c r="AH929" i="30" s="1"/>
  <c r="AF930" i="30"/>
  <c r="AH930" i="30" s="1"/>
  <c r="AF931" i="30"/>
  <c r="AH931" i="30" s="1"/>
  <c r="AF932" i="30"/>
  <c r="AH932" i="30" s="1"/>
  <c r="AF933" i="30"/>
  <c r="AH933" i="30" s="1"/>
  <c r="AF934" i="30"/>
  <c r="AH934" i="30" s="1"/>
  <c r="AF935" i="30"/>
  <c r="AH935" i="30" s="1"/>
  <c r="AF936" i="30"/>
  <c r="AH936" i="30" s="1"/>
  <c r="AF937" i="30"/>
  <c r="AH937" i="30" s="1"/>
  <c r="AF938" i="30"/>
  <c r="AH938" i="30" s="1"/>
  <c r="AF939" i="30"/>
  <c r="AH939" i="30" s="1"/>
  <c r="AF940" i="30"/>
  <c r="AH940" i="30" s="1"/>
  <c r="AF941" i="30"/>
  <c r="AH941" i="30" s="1"/>
  <c r="AF942" i="30"/>
  <c r="AH942" i="30" s="1"/>
  <c r="AF943" i="30"/>
  <c r="AH943" i="30" s="1"/>
  <c r="AF944" i="30"/>
  <c r="AH944" i="30" s="1"/>
  <c r="AF945" i="30"/>
  <c r="AH945" i="30" s="1"/>
  <c r="AF946" i="30"/>
  <c r="AH946" i="30" s="1"/>
  <c r="AF947" i="30"/>
  <c r="AH947" i="30" s="1"/>
  <c r="AF948" i="30"/>
  <c r="AH948" i="30" s="1"/>
  <c r="AF949" i="30"/>
  <c r="AH949" i="30" s="1"/>
  <c r="AF950" i="30"/>
  <c r="AH950" i="30" s="1"/>
  <c r="AF951" i="30"/>
  <c r="AH951" i="30" s="1"/>
  <c r="AF952" i="30"/>
  <c r="AH952" i="30" s="1"/>
  <c r="AF953" i="30"/>
  <c r="AH953" i="30" s="1"/>
  <c r="AF954" i="30"/>
  <c r="AH954" i="30" s="1"/>
  <c r="AF955" i="30"/>
  <c r="AH955" i="30" s="1"/>
  <c r="AF956" i="30"/>
  <c r="AH956" i="30" s="1"/>
  <c r="AF957" i="30"/>
  <c r="AH957" i="30" s="1"/>
  <c r="AF958" i="30"/>
  <c r="AH958" i="30" s="1"/>
  <c r="AF959" i="30"/>
  <c r="AH959" i="30" s="1"/>
  <c r="AF960" i="30"/>
  <c r="AH960" i="30" s="1"/>
  <c r="AF961" i="30"/>
  <c r="AH961" i="30" s="1"/>
  <c r="AF962" i="30"/>
  <c r="AH962" i="30" s="1"/>
  <c r="AF963" i="30"/>
  <c r="AH963" i="30" s="1"/>
  <c r="AF964" i="30"/>
  <c r="AH964" i="30" s="1"/>
  <c r="AF965" i="30"/>
  <c r="AH965" i="30" s="1"/>
  <c r="AF966" i="30"/>
  <c r="AH966" i="30" s="1"/>
  <c r="AF967" i="30"/>
  <c r="AH967" i="30" s="1"/>
  <c r="AF968" i="30"/>
  <c r="AH968" i="30" s="1"/>
  <c r="AF969" i="30"/>
  <c r="AH969" i="30" s="1"/>
  <c r="AF970" i="30"/>
  <c r="AH970" i="30" s="1"/>
  <c r="AF971" i="30"/>
  <c r="AH971" i="30" s="1"/>
  <c r="AF972" i="30"/>
  <c r="AH972" i="30" s="1"/>
  <c r="AF973" i="30"/>
  <c r="AH973" i="30" s="1"/>
  <c r="AF974" i="30"/>
  <c r="AH974" i="30" s="1"/>
  <c r="AF975" i="30"/>
  <c r="AH975" i="30" s="1"/>
  <c r="AF976" i="30"/>
  <c r="AH976" i="30" s="1"/>
  <c r="AF977" i="30"/>
  <c r="AH977" i="30" s="1"/>
  <c r="AF978" i="30"/>
  <c r="AH978" i="30" s="1"/>
  <c r="AF979" i="30"/>
  <c r="AH979" i="30" s="1"/>
  <c r="AF980" i="30"/>
  <c r="AH980" i="30" s="1"/>
  <c r="AF981" i="30"/>
  <c r="AH981" i="30" s="1"/>
  <c r="AF982" i="30"/>
  <c r="AH982" i="30" s="1"/>
  <c r="AF983" i="30"/>
  <c r="AH983" i="30" s="1"/>
  <c r="AF984" i="30"/>
  <c r="AH984" i="30" s="1"/>
  <c r="AF985" i="30"/>
  <c r="AH985" i="30" s="1"/>
  <c r="AF986" i="30"/>
  <c r="AH986" i="30" s="1"/>
  <c r="AF987" i="30"/>
  <c r="AH987" i="30" s="1"/>
  <c r="AF988" i="30"/>
  <c r="AH988" i="30" s="1"/>
  <c r="AF989" i="30"/>
  <c r="AH989" i="30" s="1"/>
  <c r="AF990" i="30"/>
  <c r="AH990" i="30" s="1"/>
  <c r="AF991" i="30"/>
  <c r="AH991" i="30" s="1"/>
  <c r="AF992" i="30"/>
  <c r="AH992" i="30" s="1"/>
  <c r="AF993" i="30"/>
  <c r="AH993" i="30" s="1"/>
  <c r="AF994" i="30"/>
  <c r="AH994" i="30" s="1"/>
  <c r="AF995" i="30"/>
  <c r="AH995" i="30" s="1"/>
  <c r="AF996" i="30"/>
  <c r="AH996" i="30" s="1"/>
  <c r="AF997" i="30"/>
  <c r="AH997" i="30" s="1"/>
  <c r="AF998" i="30"/>
  <c r="AH998" i="30" s="1"/>
  <c r="AF999" i="30"/>
  <c r="AH999" i="30" s="1"/>
  <c r="AF1000" i="30"/>
  <c r="AH1000" i="30" s="1"/>
  <c r="AF1001" i="30"/>
  <c r="AH1001" i="30" s="1"/>
  <c r="AF1002" i="30"/>
  <c r="AH1002" i="30" s="1"/>
  <c r="AF1003" i="30"/>
  <c r="AH1003" i="30" s="1"/>
  <c r="AF1004" i="30"/>
  <c r="AH1004" i="30" s="1"/>
  <c r="AF1005" i="30"/>
  <c r="AH1005" i="30" s="1"/>
  <c r="AF1006" i="30"/>
  <c r="AH1006" i="30" s="1"/>
  <c r="AF1007" i="30"/>
  <c r="AH1007" i="30" s="1"/>
  <c r="AF1008" i="30"/>
  <c r="AH1008" i="30" s="1"/>
  <c r="AF1009" i="30"/>
  <c r="AH1009" i="30" s="1"/>
  <c r="AF1010" i="30"/>
  <c r="AH1010" i="30" s="1"/>
  <c r="AF1011" i="30"/>
  <c r="AH1011" i="30" s="1"/>
  <c r="AF1012" i="30"/>
  <c r="AH1012" i="30" s="1"/>
  <c r="AF1013" i="30"/>
  <c r="AH1013" i="30" s="1"/>
  <c r="AF1014" i="30"/>
  <c r="AH1014" i="30" s="1"/>
  <c r="AF1015" i="30"/>
  <c r="AH1015" i="30" s="1"/>
  <c r="AF1016" i="30"/>
  <c r="AH1016" i="30" s="1"/>
  <c r="AF1017" i="30"/>
  <c r="AH1017" i="30" s="1"/>
  <c r="AF1018" i="30"/>
  <c r="AH1018" i="30" s="1"/>
  <c r="AF1019" i="30"/>
  <c r="AH1019" i="30" s="1"/>
  <c r="AF1020" i="30"/>
  <c r="AH1020" i="30" s="1"/>
  <c r="AF1021" i="30"/>
  <c r="AH1021" i="30" s="1"/>
  <c r="AF1022" i="30"/>
  <c r="AH1022" i="30" s="1"/>
  <c r="AF1023" i="30"/>
  <c r="AH1023" i="30" s="1"/>
  <c r="AF1024" i="30"/>
  <c r="AH1024" i="30" s="1"/>
  <c r="AF1025" i="30"/>
  <c r="AH1025" i="30" s="1"/>
  <c r="AF1026" i="30"/>
  <c r="AH1026" i="30" s="1"/>
  <c r="AF1027" i="30"/>
  <c r="AH1027" i="30" s="1"/>
  <c r="AF1028" i="30"/>
  <c r="AH1028" i="30" s="1"/>
  <c r="AF1029" i="30"/>
  <c r="AH1029" i="30" s="1"/>
  <c r="AF1030" i="30"/>
  <c r="AH1030" i="30" s="1"/>
  <c r="AF1031" i="30"/>
  <c r="AH1031" i="30" s="1"/>
  <c r="AF1032" i="30"/>
  <c r="AH1032" i="30" s="1"/>
  <c r="AF1033" i="30"/>
  <c r="AH1033" i="30" s="1"/>
  <c r="AF1034" i="30"/>
  <c r="AH1034" i="30" s="1"/>
  <c r="AF1035" i="30"/>
  <c r="AH1035" i="30" s="1"/>
  <c r="AF1036" i="30"/>
  <c r="AH1036" i="30" s="1"/>
  <c r="AF1037" i="30"/>
  <c r="AH1037" i="30" s="1"/>
  <c r="AF1038" i="30"/>
  <c r="AH1038" i="30" s="1"/>
  <c r="AF1039" i="30"/>
  <c r="AH1039" i="30" s="1"/>
  <c r="AF1040" i="30"/>
  <c r="AH1040" i="30" s="1"/>
  <c r="AF1041" i="30"/>
  <c r="AH1041" i="30" s="1"/>
  <c r="AF1042" i="30"/>
  <c r="AH1042" i="30" s="1"/>
  <c r="AF1043" i="30"/>
  <c r="AH1043" i="30" s="1"/>
  <c r="AF1044" i="30"/>
  <c r="AH1044" i="30" s="1"/>
  <c r="AF1045" i="30"/>
  <c r="AH1045" i="30" s="1"/>
  <c r="AF1046" i="30"/>
  <c r="AH1046" i="30" s="1"/>
  <c r="AF1047" i="30"/>
  <c r="AH1047" i="30" s="1"/>
  <c r="AF1048" i="30"/>
  <c r="AH1048" i="30" s="1"/>
  <c r="AF1049" i="30"/>
  <c r="AH1049" i="30" s="1"/>
  <c r="AF1050" i="30"/>
  <c r="AH1050" i="30" s="1"/>
  <c r="AF1051" i="30"/>
  <c r="AH1051" i="30" s="1"/>
  <c r="AF1052" i="30"/>
  <c r="AH1052" i="30" s="1"/>
  <c r="AF1053" i="30"/>
  <c r="AH1053" i="30" s="1"/>
  <c r="AF1054" i="30"/>
  <c r="AH1054" i="30" s="1"/>
  <c r="AF1055" i="30"/>
  <c r="AH1055" i="30" s="1"/>
  <c r="AF1056" i="30"/>
  <c r="AH1056" i="30" s="1"/>
  <c r="AF1057" i="30"/>
  <c r="AH1057" i="30" s="1"/>
  <c r="AF1058" i="30"/>
  <c r="AH1058" i="30" s="1"/>
  <c r="AF1059" i="30"/>
  <c r="AH1059" i="30" s="1"/>
  <c r="AF1060" i="30"/>
  <c r="AH1060" i="30" s="1"/>
  <c r="AF1061" i="30"/>
  <c r="AH1061" i="30" s="1"/>
  <c r="AF1062" i="30"/>
  <c r="AH1062" i="30" s="1"/>
  <c r="AF1063" i="30"/>
  <c r="AH1063" i="30" s="1"/>
  <c r="AF1064" i="30"/>
  <c r="AH1064" i="30" s="1"/>
  <c r="AF1065" i="30"/>
  <c r="AH1065" i="30" s="1"/>
  <c r="AF1066" i="30"/>
  <c r="AH1066" i="30" s="1"/>
  <c r="AF1067" i="30"/>
  <c r="AH1067" i="30" s="1"/>
  <c r="AF1068" i="30"/>
  <c r="AH1068" i="30" s="1"/>
  <c r="AF1069" i="30"/>
  <c r="AH1069" i="30" s="1"/>
  <c r="AF1070" i="30"/>
  <c r="AH1070" i="30" s="1"/>
  <c r="AF1071" i="30"/>
  <c r="AH1071" i="30" s="1"/>
  <c r="AF1072" i="30"/>
  <c r="AH1072" i="30" s="1"/>
  <c r="AF1073" i="30"/>
  <c r="AH1073" i="30" s="1"/>
  <c r="AF1074" i="30"/>
  <c r="AH1074" i="30" s="1"/>
  <c r="AF1075" i="30"/>
  <c r="AH1075" i="30" s="1"/>
  <c r="AF1076" i="30"/>
  <c r="AH1076" i="30" s="1"/>
  <c r="AF1077" i="30"/>
  <c r="AH1077" i="30" s="1"/>
  <c r="AF1078" i="30"/>
  <c r="AH1078" i="30" s="1"/>
  <c r="AF1079" i="30"/>
  <c r="AH1079" i="30" s="1"/>
  <c r="AF1080" i="30"/>
  <c r="AH1080" i="30" s="1"/>
  <c r="AF1081" i="30"/>
  <c r="AH1081" i="30" s="1"/>
  <c r="AF1082" i="30"/>
  <c r="AH1082" i="30" s="1"/>
  <c r="AF1083" i="30"/>
  <c r="AH1083" i="30" s="1"/>
  <c r="AF1084" i="30"/>
  <c r="AH1084" i="30" s="1"/>
  <c r="AF1085" i="30"/>
  <c r="AH1085" i="30" s="1"/>
  <c r="AF1086" i="30"/>
  <c r="AH1086" i="30" s="1"/>
  <c r="AF1087" i="30"/>
  <c r="AH1087" i="30" s="1"/>
  <c r="AF1088" i="30"/>
  <c r="AH1088" i="30" s="1"/>
  <c r="AF1089" i="30"/>
  <c r="AH1089" i="30" s="1"/>
  <c r="AF1090" i="30"/>
  <c r="AH1090" i="30" s="1"/>
  <c r="AF1091" i="30"/>
  <c r="AH1091" i="30" s="1"/>
  <c r="AF1092" i="30"/>
  <c r="AH1092" i="30" s="1"/>
  <c r="AF1093" i="30"/>
  <c r="AH1093" i="30" s="1"/>
  <c r="AF1094" i="30"/>
  <c r="AH1094" i="30" s="1"/>
  <c r="AF1095" i="30"/>
  <c r="AH1095" i="30" s="1"/>
  <c r="AF1096" i="30"/>
  <c r="AH1096" i="30" s="1"/>
  <c r="AF1097" i="30"/>
  <c r="AH1097" i="30" s="1"/>
  <c r="AF1098" i="30"/>
  <c r="AH1098" i="30" s="1"/>
  <c r="AF1099" i="30"/>
  <c r="AH1099" i="30" s="1"/>
  <c r="AF1100" i="30"/>
  <c r="AH1100" i="30" s="1"/>
  <c r="AF1101" i="30"/>
  <c r="AH1101" i="30" s="1"/>
  <c r="AF1102" i="30"/>
  <c r="AH1102" i="30" s="1"/>
  <c r="AF1103" i="30"/>
  <c r="AH1103" i="30" s="1"/>
  <c r="AF1104" i="30"/>
  <c r="AH1104" i="30" s="1"/>
  <c r="AF1105" i="30"/>
  <c r="AH1105" i="30" s="1"/>
  <c r="AF1106" i="30"/>
  <c r="AH1106" i="30" s="1"/>
  <c r="AF1107" i="30"/>
  <c r="AH1107" i="30" s="1"/>
  <c r="AF1108" i="30"/>
  <c r="AH1108" i="30" s="1"/>
  <c r="AF1109" i="30"/>
  <c r="AH1109" i="30" s="1"/>
  <c r="AF1110" i="30"/>
  <c r="AH1110" i="30" s="1"/>
  <c r="AF1111" i="30"/>
  <c r="AH1111" i="30" s="1"/>
  <c r="AF1112" i="30"/>
  <c r="AH1112" i="30" s="1"/>
  <c r="AF1113" i="30"/>
  <c r="AH1113" i="30" s="1"/>
  <c r="AF1114" i="30"/>
  <c r="AH1114" i="30" s="1"/>
  <c r="AF1115" i="30"/>
  <c r="AH1115" i="30" s="1"/>
  <c r="AF1116" i="30"/>
  <c r="AH1116" i="30" s="1"/>
  <c r="AF1117" i="30"/>
  <c r="AH1117" i="30" s="1"/>
  <c r="AF1118" i="30"/>
  <c r="AH1118" i="30" s="1"/>
  <c r="AF1119" i="30"/>
  <c r="AH1119" i="30" s="1"/>
  <c r="AF1120" i="30"/>
  <c r="AH1120" i="30" s="1"/>
  <c r="AF1121" i="30"/>
  <c r="AH1121" i="30" s="1"/>
  <c r="AF1122" i="30"/>
  <c r="AH1122" i="30" s="1"/>
  <c r="AF1123" i="30"/>
  <c r="AH1123" i="30" s="1"/>
  <c r="AF1124" i="30"/>
  <c r="AH1124" i="30" s="1"/>
  <c r="AF1125" i="30"/>
  <c r="AH1125" i="30" s="1"/>
  <c r="AF1126" i="30"/>
  <c r="AH1126" i="30" s="1"/>
  <c r="AF1127" i="30"/>
  <c r="AH1127" i="30" s="1"/>
  <c r="AF1128" i="30"/>
  <c r="AH1128" i="30" s="1"/>
  <c r="AF1129" i="30"/>
  <c r="AH1129" i="30" s="1"/>
  <c r="AF1130" i="30"/>
  <c r="AH1130" i="30" s="1"/>
  <c r="AF1131" i="30"/>
  <c r="AH1131" i="30" s="1"/>
  <c r="AF1132" i="30"/>
  <c r="AH1132" i="30" s="1"/>
  <c r="AF1133" i="30"/>
  <c r="AH1133" i="30" s="1"/>
  <c r="AF1134" i="30"/>
  <c r="AH1134" i="30" s="1"/>
  <c r="AF1135" i="30"/>
  <c r="AH1135" i="30" s="1"/>
  <c r="AF1136" i="30"/>
  <c r="AH1136" i="30" s="1"/>
  <c r="AF1137" i="30"/>
  <c r="AH1137" i="30" s="1"/>
  <c r="AF1138" i="30"/>
  <c r="AH1138" i="30" s="1"/>
  <c r="AF1139" i="30"/>
  <c r="AH1139" i="30" s="1"/>
  <c r="AF1140" i="30"/>
  <c r="AH1140" i="30" s="1"/>
  <c r="AF1141" i="30"/>
  <c r="AH1141" i="30" s="1"/>
  <c r="AF1142" i="30"/>
  <c r="AH1142" i="30" s="1"/>
  <c r="AF1143" i="30"/>
  <c r="AH1143" i="30" s="1"/>
  <c r="AF1144" i="30"/>
  <c r="AH1144" i="30" s="1"/>
  <c r="AF1145" i="30"/>
  <c r="AH1145" i="30" s="1"/>
  <c r="AF1146" i="30"/>
  <c r="AH1146" i="30" s="1"/>
  <c r="AF1147" i="30"/>
  <c r="AH1147" i="30" s="1"/>
  <c r="AF1148" i="30"/>
  <c r="AH1148" i="30" s="1"/>
  <c r="AF1149" i="30"/>
  <c r="AH1149" i="30" s="1"/>
  <c r="AF1150" i="30"/>
  <c r="AH1150" i="30" s="1"/>
  <c r="AF1151" i="30"/>
  <c r="AH1151" i="30" s="1"/>
  <c r="AF1152" i="30"/>
  <c r="AH1152" i="30" s="1"/>
  <c r="AF1153" i="30"/>
  <c r="AH1153" i="30" s="1"/>
  <c r="AF1154" i="30"/>
  <c r="AH1154" i="30" s="1"/>
  <c r="AF1155" i="30"/>
  <c r="AH1155" i="30" s="1"/>
  <c r="AF1156" i="30"/>
  <c r="AH1156" i="30" s="1"/>
  <c r="AF1157" i="30"/>
  <c r="AH1157" i="30" s="1"/>
  <c r="AF1158" i="30"/>
  <c r="AH1158" i="30" s="1"/>
  <c r="AF1159" i="30"/>
  <c r="AH1159" i="30" s="1"/>
  <c r="AF1160" i="30"/>
  <c r="AH1160" i="30" s="1"/>
  <c r="AF1161" i="30"/>
  <c r="AH1161" i="30" s="1"/>
  <c r="AF1162" i="30"/>
  <c r="AH1162" i="30" s="1"/>
  <c r="AF1163" i="30"/>
  <c r="AH1163" i="30" s="1"/>
  <c r="AF1164" i="30"/>
  <c r="AH1164" i="30" s="1"/>
  <c r="AF1165" i="30"/>
  <c r="AH1165" i="30" s="1"/>
  <c r="AF1166" i="30"/>
  <c r="AH1166" i="30" s="1"/>
  <c r="AF1167" i="30"/>
  <c r="AH1167" i="30" s="1"/>
  <c r="AF1168" i="30"/>
  <c r="AH1168" i="30" s="1"/>
  <c r="AF1169" i="30"/>
  <c r="AH1169" i="30" s="1"/>
  <c r="AF1170" i="30"/>
  <c r="AH1170" i="30" s="1"/>
  <c r="AF1171" i="30"/>
  <c r="AH1171" i="30" s="1"/>
  <c r="AF1172" i="30"/>
  <c r="AH1172" i="30" s="1"/>
  <c r="AF1173" i="30"/>
  <c r="AH1173" i="30" s="1"/>
  <c r="AF1174" i="30"/>
  <c r="AH1174" i="30" s="1"/>
  <c r="AF1175" i="30"/>
  <c r="AH1175" i="30" s="1"/>
  <c r="AF1176" i="30"/>
  <c r="AH1176" i="30" s="1"/>
  <c r="AF1177" i="30"/>
  <c r="AH1177" i="30" s="1"/>
  <c r="AF1178" i="30"/>
  <c r="AH1178" i="30" s="1"/>
  <c r="AF1179" i="30"/>
  <c r="AH1179" i="30" s="1"/>
  <c r="AF1180" i="30"/>
  <c r="AH1180" i="30" s="1"/>
  <c r="AF1181" i="30"/>
  <c r="AH1181" i="30" s="1"/>
  <c r="AF1182" i="30"/>
  <c r="AH1182" i="30" s="1"/>
  <c r="AF1183" i="30"/>
  <c r="AH1183" i="30" s="1"/>
  <c r="AF1184" i="30"/>
  <c r="AH1184" i="30" s="1"/>
  <c r="AF1185" i="30"/>
  <c r="AH1185" i="30" s="1"/>
  <c r="AF1186" i="30"/>
  <c r="AH1186" i="30" s="1"/>
  <c r="AF1187" i="30"/>
  <c r="AH1187" i="30" s="1"/>
  <c r="AF1188" i="30"/>
  <c r="AH1188" i="30" s="1"/>
  <c r="AF1189" i="30"/>
  <c r="AH1189" i="30" s="1"/>
  <c r="AF1190" i="30"/>
  <c r="AH1190" i="30" s="1"/>
  <c r="AF1191" i="30"/>
  <c r="AH1191" i="30" s="1"/>
  <c r="AF1192" i="30"/>
  <c r="AH1192" i="30" s="1"/>
  <c r="AF1193" i="30"/>
  <c r="AH1193" i="30" s="1"/>
  <c r="AF1194" i="30"/>
  <c r="AH1194" i="30" s="1"/>
  <c r="AF1195" i="30"/>
  <c r="AH1195" i="30" s="1"/>
  <c r="AF1196" i="30"/>
  <c r="AH1196" i="30" s="1"/>
  <c r="AF1197" i="30"/>
  <c r="AH1197" i="30" s="1"/>
  <c r="AF1198" i="30"/>
  <c r="AH1198" i="30" s="1"/>
  <c r="AF1199" i="30"/>
  <c r="AH1199" i="30" s="1"/>
  <c r="AF1200" i="30"/>
  <c r="AH1200" i="30" s="1"/>
  <c r="AF1201" i="30"/>
  <c r="AH1201" i="30" s="1"/>
  <c r="AF1202" i="30"/>
  <c r="AH1202" i="30" s="1"/>
  <c r="AF1203" i="30"/>
  <c r="AH1203" i="30" s="1"/>
  <c r="AF1204" i="30"/>
  <c r="AH1204" i="30" s="1"/>
  <c r="AF1205" i="30"/>
  <c r="AH1205" i="30" s="1"/>
  <c r="AF1206" i="30"/>
  <c r="AH1206" i="30" s="1"/>
  <c r="AF1207" i="30"/>
  <c r="AH1207" i="30" s="1"/>
  <c r="AF1208" i="30"/>
  <c r="AH1208" i="30" s="1"/>
  <c r="AF1209" i="30"/>
  <c r="AH1209" i="30" s="1"/>
  <c r="AF1210" i="30"/>
  <c r="AH1210" i="30" s="1"/>
  <c r="AF1211" i="30"/>
  <c r="AH1211" i="30" s="1"/>
  <c r="AF1212" i="30"/>
  <c r="AH1212" i="30" s="1"/>
  <c r="AF1213" i="30"/>
  <c r="AH1213" i="30" s="1"/>
  <c r="AF1214" i="30"/>
  <c r="AH1214" i="30" s="1"/>
  <c r="AF1215" i="30"/>
  <c r="AH1215" i="30" s="1"/>
  <c r="AF1216" i="30"/>
  <c r="AH1216" i="30" s="1"/>
  <c r="AF1217" i="30"/>
  <c r="AH1217" i="30" s="1"/>
  <c r="AF1218" i="30"/>
  <c r="AH1218" i="30" s="1"/>
  <c r="AF1219" i="30"/>
  <c r="AH1219" i="30" s="1"/>
  <c r="AF1220" i="30"/>
  <c r="AH1220" i="30" s="1"/>
  <c r="AF1221" i="30"/>
  <c r="AH1221" i="30" s="1"/>
  <c r="AF1222" i="30"/>
  <c r="AH1222" i="30" s="1"/>
  <c r="AF1223" i="30"/>
  <c r="AH1223" i="30" s="1"/>
  <c r="AF1224" i="30"/>
  <c r="AH1224" i="30" s="1"/>
  <c r="AF1225" i="30"/>
  <c r="AH1225" i="30" s="1"/>
  <c r="AF1226" i="30"/>
  <c r="AH1226" i="30" s="1"/>
  <c r="AF1227" i="30"/>
  <c r="AH1227" i="30" s="1"/>
  <c r="AF1228" i="30"/>
  <c r="AH1228" i="30" s="1"/>
  <c r="AF1229" i="30"/>
  <c r="AH1229" i="30" s="1"/>
  <c r="AF1230" i="30"/>
  <c r="AH1230" i="30" s="1"/>
  <c r="AF1231" i="30"/>
  <c r="AH1231" i="30" s="1"/>
  <c r="AF1232" i="30"/>
  <c r="AH1232" i="30" s="1"/>
  <c r="AF1233" i="30"/>
  <c r="AH1233" i="30" s="1"/>
  <c r="AF1234" i="30"/>
  <c r="AH1234" i="30" s="1"/>
  <c r="AF1235" i="30"/>
  <c r="AH1235" i="30" s="1"/>
  <c r="AF1236" i="30"/>
  <c r="AH1236" i="30" s="1"/>
  <c r="AF1237" i="30"/>
  <c r="AH1237" i="30" s="1"/>
  <c r="AF1238" i="30"/>
  <c r="AH1238" i="30" s="1"/>
  <c r="AF1239" i="30"/>
  <c r="AH1239" i="30" s="1"/>
  <c r="AF1240" i="30"/>
  <c r="AH1240" i="30" s="1"/>
  <c r="AF1241" i="30"/>
  <c r="AH1241" i="30" s="1"/>
  <c r="AF1242" i="30"/>
  <c r="AH1242" i="30" s="1"/>
  <c r="AF1243" i="30"/>
  <c r="AH1243" i="30" s="1"/>
  <c r="AF1244" i="30"/>
  <c r="AH1244" i="30" s="1"/>
  <c r="AF1245" i="30"/>
  <c r="AH1245" i="30" s="1"/>
  <c r="AF1246" i="30"/>
  <c r="AH1246" i="30" s="1"/>
  <c r="AF1247" i="30"/>
  <c r="AH1247" i="30" s="1"/>
  <c r="AF1248" i="30"/>
  <c r="AH1248" i="30" s="1"/>
  <c r="AF1249" i="30"/>
  <c r="AH1249" i="30" s="1"/>
  <c r="AF1250" i="30"/>
  <c r="AH1250" i="30" s="1"/>
  <c r="AF1251" i="30"/>
  <c r="AH1251" i="30" s="1"/>
  <c r="AF1252" i="30"/>
  <c r="AH1252" i="30" s="1"/>
  <c r="AF1253" i="30"/>
  <c r="AH1253" i="30" s="1"/>
  <c r="AF1254" i="30"/>
  <c r="AH1254" i="30" s="1"/>
  <c r="AF1255" i="30"/>
  <c r="AH1255" i="30" s="1"/>
  <c r="AF1256" i="30"/>
  <c r="AH1256" i="30" s="1"/>
  <c r="AF1257" i="30"/>
  <c r="AH1257" i="30" s="1"/>
  <c r="AF1258" i="30"/>
  <c r="AH1258" i="30" s="1"/>
  <c r="AF1259" i="30"/>
  <c r="AH1259" i="30" s="1"/>
  <c r="AF1260" i="30"/>
  <c r="AH1260" i="30" s="1"/>
  <c r="AF1261" i="30"/>
  <c r="AH1261" i="30" s="1"/>
  <c r="AF1262" i="30"/>
  <c r="AH1262" i="30" s="1"/>
  <c r="AF1263" i="30"/>
  <c r="AH1263" i="30" s="1"/>
  <c r="AF1264" i="30"/>
  <c r="AH1264" i="30" s="1"/>
  <c r="AF1265" i="30"/>
  <c r="AH1265" i="30" s="1"/>
  <c r="AF1266" i="30"/>
  <c r="AH1266" i="30" s="1"/>
  <c r="AF1267" i="30"/>
  <c r="AH1267" i="30" s="1"/>
  <c r="AF1268" i="30"/>
  <c r="AH1268" i="30" s="1"/>
  <c r="AF1269" i="30"/>
  <c r="AH1269" i="30" s="1"/>
  <c r="AF1270" i="30"/>
  <c r="AH1270" i="30" s="1"/>
  <c r="AF1271" i="30"/>
  <c r="AH1271" i="30" s="1"/>
  <c r="AF1272" i="30"/>
  <c r="AH1272" i="30" s="1"/>
  <c r="AF1273" i="30"/>
  <c r="AH1273" i="30" s="1"/>
  <c r="AF1274" i="30"/>
  <c r="AH1274" i="30" s="1"/>
  <c r="AF1275" i="30"/>
  <c r="AH1275" i="30" s="1"/>
  <c r="AF1276" i="30"/>
  <c r="AH1276" i="30" s="1"/>
  <c r="AF1277" i="30"/>
  <c r="AH1277" i="30" s="1"/>
  <c r="AF1278" i="30"/>
  <c r="AH1278" i="30" s="1"/>
  <c r="AF1279" i="30"/>
  <c r="AH1279" i="30" s="1"/>
  <c r="AF1280" i="30"/>
  <c r="AH1280" i="30" s="1"/>
  <c r="AF1281" i="30"/>
  <c r="AH1281" i="30" s="1"/>
  <c r="AF1282" i="30"/>
  <c r="AH1282" i="30" s="1"/>
  <c r="AF1283" i="30"/>
  <c r="AH1283" i="30" s="1"/>
  <c r="AF1284" i="30"/>
  <c r="AH1284" i="30" s="1"/>
  <c r="AF1285" i="30"/>
  <c r="AH1285" i="30" s="1"/>
  <c r="AF1286" i="30"/>
  <c r="AH1286" i="30" s="1"/>
  <c r="AF1287" i="30"/>
  <c r="AH1287" i="30" s="1"/>
  <c r="AF1288" i="30"/>
  <c r="AH1288" i="30" s="1"/>
  <c r="AF1289" i="30"/>
  <c r="AH1289" i="30" s="1"/>
  <c r="AF1290" i="30"/>
  <c r="AH1290" i="30" s="1"/>
  <c r="AF1291" i="30"/>
  <c r="AH1291" i="30" s="1"/>
  <c r="AF1292" i="30"/>
  <c r="AH1292" i="30" s="1"/>
  <c r="AF1293" i="30"/>
  <c r="AH1293" i="30" s="1"/>
  <c r="AF1294" i="30"/>
  <c r="AH1294" i="30" s="1"/>
  <c r="AF1295" i="30"/>
  <c r="AH1295" i="30" s="1"/>
  <c r="AF1296" i="30"/>
  <c r="AH1296" i="30" s="1"/>
  <c r="AF1297" i="30"/>
  <c r="AH1297" i="30" s="1"/>
  <c r="AF1298" i="30"/>
  <c r="AH1298" i="30" s="1"/>
  <c r="AF1299" i="30"/>
  <c r="AH1299" i="30" s="1"/>
  <c r="AF1300" i="30"/>
  <c r="AH1300" i="30" s="1"/>
  <c r="AF1301" i="30"/>
  <c r="AH1301" i="30" s="1"/>
  <c r="AF1302" i="30"/>
  <c r="AH1302" i="30" s="1"/>
  <c r="AF1303" i="30"/>
  <c r="AH1303" i="30" s="1"/>
  <c r="AF1304" i="30"/>
  <c r="AH1304" i="30" s="1"/>
  <c r="AF1305" i="30"/>
  <c r="AH1305" i="30" s="1"/>
  <c r="AF1306" i="30"/>
  <c r="AH1306" i="30" s="1"/>
  <c r="AF1307" i="30"/>
  <c r="AH1307" i="30" s="1"/>
  <c r="AF1308" i="30"/>
  <c r="AH1308" i="30" s="1"/>
  <c r="AF1309" i="30"/>
  <c r="AH1309" i="30" s="1"/>
  <c r="AF1310" i="30"/>
  <c r="AH1310" i="30" s="1"/>
  <c r="AF1311" i="30"/>
  <c r="AH1311" i="30" s="1"/>
  <c r="AF1312" i="30"/>
  <c r="AH1312" i="30" s="1"/>
  <c r="AF1313" i="30"/>
  <c r="AH1313" i="30" s="1"/>
  <c r="AF1314" i="30"/>
  <c r="AH1314" i="30" s="1"/>
  <c r="AF1315" i="30"/>
  <c r="AH1315" i="30" s="1"/>
  <c r="AF1316" i="30"/>
  <c r="AH1316" i="30" s="1"/>
  <c r="AF1317" i="30"/>
  <c r="AH1317" i="30" s="1"/>
  <c r="AF1318" i="30"/>
  <c r="AH1318" i="30" s="1"/>
  <c r="AF1319" i="30"/>
  <c r="AH1319" i="30" s="1"/>
  <c r="AF1320" i="30"/>
  <c r="AH1320" i="30" s="1"/>
  <c r="AF1321" i="30"/>
  <c r="AH1321" i="30" s="1"/>
  <c r="AF1322" i="30"/>
  <c r="AH1322" i="30" s="1"/>
  <c r="AF1323" i="30"/>
  <c r="AH1323" i="30" s="1"/>
  <c r="AF1324" i="30"/>
  <c r="AH1324" i="30" s="1"/>
  <c r="AF1325" i="30"/>
  <c r="AH1325" i="30" s="1"/>
  <c r="AF1326" i="30"/>
  <c r="AH1326" i="30" s="1"/>
  <c r="AF1327" i="30"/>
  <c r="AH1327" i="30" s="1"/>
  <c r="AF1328" i="30"/>
  <c r="AH1328" i="30" s="1"/>
  <c r="AF1329" i="30"/>
  <c r="AH1329" i="30" s="1"/>
  <c r="AF1330" i="30"/>
  <c r="AH1330" i="30" s="1"/>
  <c r="AF1331" i="30"/>
  <c r="AH1331" i="30" s="1"/>
  <c r="AF1332" i="30"/>
  <c r="AH1332" i="30" s="1"/>
  <c r="AF1333" i="30"/>
  <c r="AH1333" i="30" s="1"/>
  <c r="AF1334" i="30"/>
  <c r="AH1334" i="30" s="1"/>
  <c r="AF1335" i="30"/>
  <c r="AH1335" i="30" s="1"/>
  <c r="AF1336" i="30"/>
  <c r="AH1336" i="30" s="1"/>
  <c r="AF1337" i="30"/>
  <c r="AH1337" i="30" s="1"/>
  <c r="AF1338" i="30"/>
  <c r="AH1338" i="30" s="1"/>
  <c r="AF1339" i="30"/>
  <c r="AH1339" i="30" s="1"/>
  <c r="AF1340" i="30"/>
  <c r="AH1340" i="30" s="1"/>
  <c r="AF1341" i="30"/>
  <c r="AH1341" i="30" s="1"/>
  <c r="AF1342" i="30"/>
  <c r="AH1342" i="30" s="1"/>
  <c r="AF1343" i="30"/>
  <c r="AH1343" i="30" s="1"/>
  <c r="AF1344" i="30"/>
  <c r="AH1344" i="30" s="1"/>
  <c r="AF1345" i="30"/>
  <c r="AH1345" i="30" s="1"/>
  <c r="AF1346" i="30"/>
  <c r="AH1346" i="30" s="1"/>
  <c r="AF1347" i="30"/>
  <c r="AH1347" i="30" s="1"/>
  <c r="AF1348" i="30"/>
  <c r="AH1348" i="30" s="1"/>
  <c r="AF1349" i="30"/>
  <c r="AH1349" i="30" s="1"/>
  <c r="AF1350" i="30"/>
  <c r="AH1350" i="30" s="1"/>
  <c r="AF1351" i="30"/>
  <c r="AH1351" i="30" s="1"/>
  <c r="AF1352" i="30"/>
  <c r="AH1352" i="30" s="1"/>
  <c r="AF1353" i="30"/>
  <c r="AH1353" i="30" s="1"/>
  <c r="AF1354" i="30"/>
  <c r="AH1354" i="30" s="1"/>
  <c r="AF1355" i="30"/>
  <c r="AH1355" i="30" s="1"/>
  <c r="AF1356" i="30"/>
  <c r="AH1356" i="30" s="1"/>
  <c r="AF1357" i="30"/>
  <c r="AH1357" i="30" s="1"/>
  <c r="AF1358" i="30"/>
  <c r="AH1358" i="30" s="1"/>
  <c r="AF1359" i="30"/>
  <c r="AH1359" i="30" s="1"/>
  <c r="AF1360" i="30"/>
  <c r="AH1360" i="30" s="1"/>
  <c r="AF1361" i="30"/>
  <c r="AH1361" i="30" s="1"/>
  <c r="AF1362" i="30"/>
  <c r="AH1362" i="30" s="1"/>
  <c r="AF1363" i="30"/>
  <c r="AH1363" i="30" s="1"/>
  <c r="AF1364" i="30"/>
  <c r="AH1364" i="30" s="1"/>
  <c r="AF1365" i="30"/>
  <c r="AH1365" i="30" s="1"/>
  <c r="AF1366" i="30"/>
  <c r="AH1366" i="30" s="1"/>
  <c r="AF1367" i="30"/>
  <c r="AH1367" i="30" s="1"/>
  <c r="AF1368" i="30"/>
  <c r="AH1368" i="30" s="1"/>
  <c r="AF1369" i="30"/>
  <c r="AH1369" i="30" s="1"/>
  <c r="AF1370" i="30"/>
  <c r="AH1370" i="30" s="1"/>
  <c r="AF1371" i="30"/>
  <c r="AH1371" i="30" s="1"/>
  <c r="AF1372" i="30"/>
  <c r="AH1372" i="30" s="1"/>
  <c r="AF1373" i="30"/>
  <c r="AH1373" i="30" s="1"/>
  <c r="AF1374" i="30"/>
  <c r="AH1374" i="30" s="1"/>
  <c r="AF1375" i="30"/>
  <c r="AH1375" i="30" s="1"/>
  <c r="AF1376" i="30"/>
  <c r="AH1376" i="30" s="1"/>
  <c r="AF1377" i="30"/>
  <c r="AH1377" i="30" s="1"/>
  <c r="AF1378" i="30"/>
  <c r="AH1378" i="30" s="1"/>
  <c r="AF1379" i="30"/>
  <c r="AH1379" i="30" s="1"/>
  <c r="AF1380" i="30"/>
  <c r="AH1380" i="30" s="1"/>
  <c r="AF1381" i="30"/>
  <c r="AH1381" i="30" s="1"/>
  <c r="AF1382" i="30"/>
  <c r="AH1382" i="30" s="1"/>
  <c r="AF1383" i="30"/>
  <c r="AH1383" i="30" s="1"/>
  <c r="AF1384" i="30"/>
  <c r="AH1384" i="30" s="1"/>
  <c r="AF1385" i="30"/>
  <c r="AH1385" i="30" s="1"/>
  <c r="AF1386" i="30"/>
  <c r="AH1386" i="30" s="1"/>
  <c r="AF1387" i="30"/>
  <c r="AH1387" i="30" s="1"/>
  <c r="AF1388" i="30"/>
  <c r="AH1388" i="30" s="1"/>
  <c r="AF1389" i="30"/>
  <c r="AH1389" i="30" s="1"/>
  <c r="AF1390" i="30"/>
  <c r="AH1390" i="30" s="1"/>
  <c r="AF1391" i="30"/>
  <c r="AH1391" i="30" s="1"/>
  <c r="AF1392" i="30"/>
  <c r="AH1392" i="30" s="1"/>
  <c r="AF1393" i="30"/>
  <c r="AH1393" i="30" s="1"/>
  <c r="AF1394" i="30"/>
  <c r="AH1394" i="30" s="1"/>
  <c r="AF1395" i="30"/>
  <c r="AH1395" i="30" s="1"/>
  <c r="AF1396" i="30"/>
  <c r="AH1396" i="30" s="1"/>
  <c r="AF1397" i="30"/>
  <c r="AH1397" i="30" s="1"/>
  <c r="AF1398" i="30"/>
  <c r="AH1398" i="30" s="1"/>
  <c r="AF1399" i="30"/>
  <c r="AH1399" i="30" s="1"/>
  <c r="AF1400" i="30"/>
  <c r="AH1400" i="30" s="1"/>
  <c r="AF1401" i="30"/>
  <c r="AH1401" i="30" s="1"/>
  <c r="AF1402" i="30"/>
  <c r="AH1402" i="30" s="1"/>
  <c r="AF1403" i="30"/>
  <c r="AH1403" i="30" s="1"/>
  <c r="AF1404" i="30"/>
  <c r="AH1404" i="30" s="1"/>
  <c r="AF1405" i="30"/>
  <c r="AH1405" i="30" s="1"/>
  <c r="AF1406" i="30"/>
  <c r="AH1406" i="30" s="1"/>
  <c r="AF1407" i="30"/>
  <c r="AH1407" i="30" s="1"/>
  <c r="AF1408" i="30"/>
  <c r="AH1408" i="30" s="1"/>
  <c r="AF1409" i="30"/>
  <c r="AH1409" i="30" s="1"/>
  <c r="AF1410" i="30"/>
  <c r="AH1410" i="30" s="1"/>
  <c r="AF1411" i="30"/>
  <c r="AH1411" i="30" s="1"/>
  <c r="AF1412" i="30"/>
  <c r="AH1412" i="30" s="1"/>
  <c r="AF1413" i="30"/>
  <c r="AH1413" i="30" s="1"/>
  <c r="AF1414" i="30"/>
  <c r="AH1414" i="30" s="1"/>
  <c r="AF1415" i="30"/>
  <c r="AH1415" i="30" s="1"/>
  <c r="AF1416" i="30"/>
  <c r="AH1416" i="30" s="1"/>
  <c r="AF1417" i="30"/>
  <c r="AH1417" i="30" s="1"/>
  <c r="AF1418" i="30"/>
  <c r="AH1418" i="30" s="1"/>
  <c r="AF1419" i="30"/>
  <c r="AH1419" i="30" s="1"/>
  <c r="AF1420" i="30"/>
  <c r="AH1420" i="30" s="1"/>
  <c r="AF1421" i="30"/>
  <c r="AH1421" i="30" s="1"/>
  <c r="AF1422" i="30"/>
  <c r="AH1422" i="30" s="1"/>
  <c r="AF1423" i="30"/>
  <c r="AH1423" i="30" s="1"/>
  <c r="AF1424" i="30"/>
  <c r="AH1424" i="30" s="1"/>
  <c r="AF1425" i="30"/>
  <c r="AH1425" i="30" s="1"/>
  <c r="AF1426" i="30"/>
  <c r="AH1426" i="30" s="1"/>
  <c r="AF1427" i="30"/>
  <c r="AH1427" i="30" s="1"/>
  <c r="AF1428" i="30"/>
  <c r="AH1428" i="30" s="1"/>
  <c r="AF1429" i="30"/>
  <c r="AH1429" i="30" s="1"/>
  <c r="AF1430" i="30"/>
  <c r="AH1430" i="30" s="1"/>
  <c r="AF1431" i="30"/>
  <c r="AH1431" i="30" s="1"/>
  <c r="AF1432" i="30"/>
  <c r="AH1432" i="30" s="1"/>
  <c r="AF1433" i="30"/>
  <c r="AH1433" i="30" s="1"/>
  <c r="AF1434" i="30"/>
  <c r="AH1434" i="30" s="1"/>
  <c r="AF1435" i="30"/>
  <c r="AH1435" i="30" s="1"/>
  <c r="AF1436" i="30"/>
  <c r="AH1436" i="30" s="1"/>
  <c r="AF1437" i="30"/>
  <c r="AH1437" i="30" s="1"/>
  <c r="AF1438" i="30"/>
  <c r="AH1438" i="30" s="1"/>
  <c r="AF1439" i="30"/>
  <c r="AH1439" i="30" s="1"/>
  <c r="AF1440" i="30"/>
  <c r="AH1440" i="30" s="1"/>
  <c r="AF1441" i="30"/>
  <c r="AH1441" i="30" s="1"/>
  <c r="AF1442" i="30"/>
  <c r="AH1442" i="30" s="1"/>
  <c r="AF1443" i="30"/>
  <c r="AH1443" i="30" s="1"/>
  <c r="AF1444" i="30"/>
  <c r="AH1444" i="30" s="1"/>
  <c r="AF1445" i="30"/>
  <c r="AH1445" i="30" s="1"/>
  <c r="AF1446" i="30"/>
  <c r="AH1446" i="30" s="1"/>
  <c r="AF1447" i="30"/>
  <c r="AH1447" i="30" s="1"/>
  <c r="AF1448" i="30"/>
  <c r="AH1448" i="30" s="1"/>
  <c r="AF1449" i="30"/>
  <c r="AH1449" i="30" s="1"/>
  <c r="AF1450" i="30"/>
  <c r="AH1450" i="30" s="1"/>
  <c r="AF1451" i="30"/>
  <c r="AH1451" i="30" s="1"/>
  <c r="AF1452" i="30"/>
  <c r="AH1452" i="30" s="1"/>
  <c r="AF1453" i="30"/>
  <c r="AH1453" i="30" s="1"/>
  <c r="AF1454" i="30"/>
  <c r="AH1454" i="30" s="1"/>
  <c r="AF1455" i="30"/>
  <c r="AH1455" i="30" s="1"/>
  <c r="AF1456" i="30"/>
  <c r="AH1456" i="30" s="1"/>
  <c r="AF1457" i="30"/>
  <c r="AH1457" i="30" s="1"/>
  <c r="AF1458" i="30"/>
  <c r="AH1458" i="30" s="1"/>
  <c r="AF1459" i="30"/>
  <c r="AH1459" i="30" s="1"/>
  <c r="AF1460" i="30"/>
  <c r="AH1460" i="30" s="1"/>
  <c r="AF1461" i="30"/>
  <c r="AH1461" i="30" s="1"/>
  <c r="AF1462" i="30"/>
  <c r="AH1462" i="30" s="1"/>
  <c r="AF1463" i="30"/>
  <c r="AH1463" i="30" s="1"/>
  <c r="AF1464" i="30"/>
  <c r="AH1464" i="30" s="1"/>
  <c r="AF1465" i="30"/>
  <c r="AH1465" i="30" s="1"/>
  <c r="AF1466" i="30"/>
  <c r="AH1466" i="30" s="1"/>
  <c r="AF1467" i="30"/>
  <c r="AH1467" i="30" s="1"/>
  <c r="AF1468" i="30"/>
  <c r="AH1468" i="30" s="1"/>
  <c r="AF1469" i="30"/>
  <c r="AH1469" i="30" s="1"/>
  <c r="AF1470" i="30"/>
  <c r="AH1470" i="30" s="1"/>
  <c r="AF1471" i="30"/>
  <c r="AH1471" i="30" s="1"/>
  <c r="AF1472" i="30"/>
  <c r="AH1472" i="30" s="1"/>
  <c r="AF1473" i="30"/>
  <c r="AH1473" i="30" s="1"/>
  <c r="AF1474" i="30"/>
  <c r="AH1474" i="30" s="1"/>
  <c r="AF1475" i="30"/>
  <c r="AH1475" i="30" s="1"/>
  <c r="AF1476" i="30"/>
  <c r="AH1476" i="30" s="1"/>
  <c r="AF1477" i="30"/>
  <c r="AH1477" i="30" s="1"/>
  <c r="AF1478" i="30"/>
  <c r="AH1478" i="30" s="1"/>
  <c r="AF1479" i="30"/>
  <c r="AH1479" i="30" s="1"/>
  <c r="AF1480" i="30"/>
  <c r="AH1480" i="30" s="1"/>
  <c r="AF1481" i="30"/>
  <c r="AH1481" i="30" s="1"/>
  <c r="AF1482" i="30"/>
  <c r="AH1482" i="30" s="1"/>
  <c r="AF1483" i="30"/>
  <c r="AH1483" i="30" s="1"/>
  <c r="AF1484" i="30"/>
  <c r="AH1484" i="30" s="1"/>
  <c r="AF1485" i="30"/>
  <c r="AH1485" i="30" s="1"/>
  <c r="AF1486" i="30"/>
  <c r="AH1486" i="30" s="1"/>
  <c r="AF1487" i="30"/>
  <c r="AH1487" i="30" s="1"/>
  <c r="AF1488" i="30"/>
  <c r="AH1488" i="30" s="1"/>
  <c r="AF1489" i="30"/>
  <c r="AH1489" i="30" s="1"/>
  <c r="AF1490" i="30"/>
  <c r="AH1490" i="30" s="1"/>
  <c r="AF1491" i="30"/>
  <c r="AH1491" i="30" s="1"/>
  <c r="AF1492" i="30"/>
  <c r="AH1492" i="30" s="1"/>
  <c r="AF1493" i="30"/>
  <c r="AH1493" i="30" s="1"/>
  <c r="AF1494" i="30"/>
  <c r="AH1494" i="30" s="1"/>
  <c r="AF1495" i="30"/>
  <c r="AH1495" i="30" s="1"/>
  <c r="AF1496" i="30"/>
  <c r="AH1496" i="30" s="1"/>
  <c r="AF1497" i="30"/>
  <c r="AH1497" i="30" s="1"/>
  <c r="AF1498" i="30"/>
  <c r="AH1498" i="30" s="1"/>
  <c r="AF1499" i="30"/>
  <c r="AH1499" i="30" s="1"/>
  <c r="AF1500" i="30"/>
  <c r="AH1500" i="30" s="1"/>
  <c r="AF1501" i="30"/>
  <c r="AH1501" i="30" s="1"/>
  <c r="AF1502" i="30"/>
  <c r="AH1502" i="30" s="1"/>
  <c r="AF1503" i="30"/>
  <c r="AH1503" i="30" s="1"/>
  <c r="AF1504" i="30"/>
  <c r="AH1504" i="30" s="1"/>
  <c r="AF1505" i="30"/>
  <c r="AH1505" i="30" s="1"/>
  <c r="AF1506" i="30"/>
  <c r="AH1506" i="30" s="1"/>
  <c r="AF1507" i="30"/>
  <c r="AH1507" i="30" s="1"/>
  <c r="AF1508" i="30"/>
  <c r="AH1508" i="30" s="1"/>
  <c r="AF1509" i="30"/>
  <c r="AH1509" i="30" s="1"/>
  <c r="AF1510" i="30"/>
  <c r="AH1510" i="30" s="1"/>
  <c r="AF1511" i="30"/>
  <c r="AH1511" i="30" s="1"/>
  <c r="AF1512" i="30"/>
  <c r="AH1512" i="30" s="1"/>
  <c r="AF1513" i="30"/>
  <c r="AH1513" i="30" s="1"/>
  <c r="AF1514" i="30"/>
  <c r="AH1514" i="30" s="1"/>
  <c r="AF1515" i="30"/>
  <c r="AH1515" i="30" s="1"/>
  <c r="AF1516" i="30"/>
  <c r="AH1516" i="30" s="1"/>
  <c r="AF1517" i="30"/>
  <c r="AH1517" i="30" s="1"/>
  <c r="AF1518" i="30"/>
  <c r="AH1518" i="30" s="1"/>
  <c r="AF1519" i="30"/>
  <c r="AH1519" i="30" s="1"/>
  <c r="AF1520" i="30"/>
  <c r="AH1520" i="30" s="1"/>
  <c r="AF1521" i="30"/>
  <c r="AH1521" i="30" s="1"/>
  <c r="AF1522" i="30"/>
  <c r="AH1522" i="30" s="1"/>
  <c r="AF1523" i="30"/>
  <c r="AH1523" i="30" s="1"/>
  <c r="AF1524" i="30"/>
  <c r="AH1524" i="30" s="1"/>
  <c r="AF1525" i="30"/>
  <c r="AH1525" i="30" s="1"/>
  <c r="AF1526" i="30"/>
  <c r="AH1526" i="30" s="1"/>
  <c r="AF1527" i="30"/>
  <c r="AH1527" i="30" s="1"/>
  <c r="AF1528" i="30"/>
  <c r="AH1528" i="30" s="1"/>
  <c r="AF1529" i="30"/>
  <c r="AH1529" i="30" s="1"/>
  <c r="AF1530" i="30"/>
  <c r="AH1530" i="30" s="1"/>
  <c r="AF1531" i="30"/>
  <c r="AH1531" i="30" s="1"/>
  <c r="AF1532" i="30"/>
  <c r="AH1532" i="30" s="1"/>
  <c r="AF1533" i="30"/>
  <c r="AH1533" i="30" s="1"/>
  <c r="AF1534" i="30"/>
  <c r="AH1534" i="30" s="1"/>
  <c r="AF1535" i="30"/>
  <c r="AH1535" i="30" s="1"/>
  <c r="AF1536" i="30"/>
  <c r="AH1536" i="30" s="1"/>
  <c r="AF1537" i="30"/>
  <c r="AH1537" i="30" s="1"/>
  <c r="AF1538" i="30"/>
  <c r="AH1538" i="30" s="1"/>
  <c r="AF1539" i="30"/>
  <c r="AH1539" i="30" s="1"/>
  <c r="AF1540" i="30"/>
  <c r="AH1540" i="30" s="1"/>
  <c r="AF1541" i="30"/>
  <c r="AH1541" i="30" s="1"/>
  <c r="AF1542" i="30"/>
  <c r="AH1542" i="30" s="1"/>
  <c r="AF1543" i="30"/>
  <c r="AH1543" i="30" s="1"/>
  <c r="AF1544" i="30"/>
  <c r="AH1544" i="30" s="1"/>
  <c r="AF1545" i="30"/>
  <c r="AH1545" i="30" s="1"/>
  <c r="AF1546" i="30"/>
  <c r="AH1546" i="30" s="1"/>
  <c r="AF1547" i="30"/>
  <c r="AH1547" i="30" s="1"/>
  <c r="AF1548" i="30"/>
  <c r="AH1548" i="30" s="1"/>
  <c r="AF1549" i="30"/>
  <c r="AH1549" i="30" s="1"/>
  <c r="AF1550" i="30"/>
  <c r="AH1550" i="30" s="1"/>
  <c r="AF1551" i="30"/>
  <c r="AH1551" i="30" s="1"/>
  <c r="AF1552" i="30"/>
  <c r="AH1552" i="30" s="1"/>
  <c r="AF1553" i="30"/>
  <c r="AH1553" i="30" s="1"/>
  <c r="AF1554" i="30"/>
  <c r="AH1554" i="30" s="1"/>
  <c r="AF1555" i="30"/>
  <c r="AH1555" i="30" s="1"/>
  <c r="AF1556" i="30"/>
  <c r="AH1556" i="30" s="1"/>
  <c r="AF1557" i="30"/>
  <c r="AH1557" i="30" s="1"/>
  <c r="AF1558" i="30"/>
  <c r="AH1558" i="30" s="1"/>
  <c r="AF1559" i="30"/>
  <c r="AH1559" i="30" s="1"/>
  <c r="AF1560" i="30"/>
  <c r="AH1560" i="30" s="1"/>
  <c r="AF1561" i="30"/>
  <c r="AH1561" i="30" s="1"/>
  <c r="AF1562" i="30"/>
  <c r="AH1562" i="30" s="1"/>
  <c r="AF1563" i="30"/>
  <c r="AH1563" i="30" s="1"/>
  <c r="AF1564" i="30"/>
  <c r="AH1564" i="30" s="1"/>
  <c r="AF1565" i="30"/>
  <c r="AH1565" i="30" s="1"/>
  <c r="AF1566" i="30"/>
  <c r="AH1566" i="30" s="1"/>
  <c r="AF1567" i="30"/>
  <c r="AH1567" i="30" s="1"/>
  <c r="AF1568" i="30"/>
  <c r="AH1568" i="30" s="1"/>
  <c r="AF1569" i="30"/>
  <c r="AH1569" i="30" s="1"/>
  <c r="AF1570" i="30"/>
  <c r="AH1570" i="30" s="1"/>
  <c r="AF1571" i="30"/>
  <c r="AH1571" i="30" s="1"/>
  <c r="AF1572" i="30"/>
  <c r="AH1572" i="30" s="1"/>
  <c r="AF1573" i="30"/>
  <c r="AH1573" i="30" s="1"/>
  <c r="AF1574" i="30"/>
  <c r="AH1574" i="30" s="1"/>
  <c r="AF1575" i="30"/>
  <c r="AH1575" i="30" s="1"/>
  <c r="AF1576" i="30"/>
  <c r="AH1576" i="30" s="1"/>
  <c r="AF1577" i="30"/>
  <c r="AH1577" i="30" s="1"/>
  <c r="AF1578" i="30"/>
  <c r="AH1578" i="30" s="1"/>
  <c r="AF1579" i="30"/>
  <c r="AH1579" i="30" s="1"/>
  <c r="AF1580" i="30"/>
  <c r="AH1580" i="30" s="1"/>
  <c r="AF1581" i="30"/>
  <c r="AH1581" i="30" s="1"/>
  <c r="AF1582" i="30"/>
  <c r="AH1582" i="30" s="1"/>
  <c r="AF1583" i="30"/>
  <c r="AH1583" i="30" s="1"/>
  <c r="AF1584" i="30"/>
  <c r="AH1584" i="30" s="1"/>
  <c r="AF1585" i="30"/>
  <c r="AH1585" i="30" s="1"/>
  <c r="AF1586" i="30"/>
  <c r="AH1586" i="30" s="1"/>
  <c r="AF1587" i="30"/>
  <c r="AH1587" i="30" s="1"/>
  <c r="AF1588" i="30"/>
  <c r="AH1588" i="30" s="1"/>
  <c r="AF1589" i="30"/>
  <c r="AH1589" i="30" s="1"/>
  <c r="AF1590" i="30"/>
  <c r="AH1590" i="30" s="1"/>
  <c r="AF1591" i="30"/>
  <c r="AH1591" i="30" s="1"/>
  <c r="AF1592" i="30"/>
  <c r="AH1592" i="30" s="1"/>
  <c r="AF1593" i="30"/>
  <c r="AH1593" i="30" s="1"/>
  <c r="AF1594" i="30"/>
  <c r="AH1594" i="30" s="1"/>
  <c r="AF1595" i="30"/>
  <c r="AH1595" i="30" s="1"/>
  <c r="AF1596" i="30"/>
  <c r="AH1596" i="30" s="1"/>
  <c r="AF1597" i="30"/>
  <c r="AH1597" i="30" s="1"/>
  <c r="AF1598" i="30"/>
  <c r="AH1598" i="30" s="1"/>
  <c r="AF1599" i="30"/>
  <c r="AH1599" i="30" s="1"/>
  <c r="AF1600" i="30"/>
  <c r="AH1600" i="30" s="1"/>
  <c r="AF1601" i="30"/>
  <c r="AH1601" i="30" s="1"/>
  <c r="AF1602" i="30"/>
  <c r="AH1602" i="30" s="1"/>
  <c r="AF1603" i="30"/>
  <c r="AH1603" i="30" s="1"/>
  <c r="AF1604" i="30"/>
  <c r="AH1604" i="30" s="1"/>
  <c r="AF1605" i="30"/>
  <c r="AH1605" i="30" s="1"/>
  <c r="AF1606" i="30"/>
  <c r="AH1606" i="30" s="1"/>
  <c r="AF1607" i="30"/>
  <c r="AH1607" i="30" s="1"/>
  <c r="AF1608" i="30"/>
  <c r="AH1608" i="30" s="1"/>
  <c r="AF1609" i="30"/>
  <c r="AH1609" i="30" s="1"/>
  <c r="AF1610" i="30"/>
  <c r="AH1610" i="30" s="1"/>
  <c r="AF1611" i="30"/>
  <c r="AH1611" i="30" s="1"/>
  <c r="AF1612" i="30"/>
  <c r="AH1612" i="30" s="1"/>
  <c r="AF1613" i="30"/>
  <c r="AH1613" i="30" s="1"/>
  <c r="AF1614" i="30"/>
  <c r="AH1614" i="30" s="1"/>
  <c r="AF1615" i="30"/>
  <c r="AH1615" i="30" s="1"/>
  <c r="AF1616" i="30"/>
  <c r="AH1616" i="30" s="1"/>
  <c r="AF1617" i="30"/>
  <c r="AH1617" i="30" s="1"/>
  <c r="AF1618" i="30"/>
  <c r="AH1618" i="30" s="1"/>
  <c r="AF1619" i="30"/>
  <c r="AH1619" i="30" s="1"/>
  <c r="AF1620" i="30"/>
  <c r="AH1620" i="30" s="1"/>
  <c r="AF1621" i="30"/>
  <c r="AH1621" i="30" s="1"/>
  <c r="AF1622" i="30"/>
  <c r="AH1622" i="30" s="1"/>
  <c r="AF1623" i="30"/>
  <c r="AH1623" i="30" s="1"/>
  <c r="AF1624" i="30"/>
  <c r="AH1624" i="30" s="1"/>
  <c r="AF1625" i="30"/>
  <c r="AH1625" i="30" s="1"/>
  <c r="AF1626" i="30"/>
  <c r="AH1626" i="30" s="1"/>
  <c r="AF1627" i="30"/>
  <c r="AH1627" i="30" s="1"/>
  <c r="AF1628" i="30"/>
  <c r="AH1628" i="30" s="1"/>
  <c r="AF1629" i="30"/>
  <c r="AH1629" i="30" s="1"/>
  <c r="AF1630" i="30"/>
  <c r="AH1630" i="30" s="1"/>
  <c r="AF1631" i="30"/>
  <c r="AH1631" i="30" s="1"/>
  <c r="AF1632" i="30"/>
  <c r="AH1632" i="30" s="1"/>
  <c r="AF1633" i="30"/>
  <c r="AH1633" i="30" s="1"/>
  <c r="AF1634" i="30"/>
  <c r="AH1634" i="30" s="1"/>
  <c r="AF1635" i="30"/>
  <c r="AH1635" i="30" s="1"/>
  <c r="AF1636" i="30"/>
  <c r="AH1636" i="30" s="1"/>
  <c r="AF1637" i="30"/>
  <c r="AH1637" i="30" s="1"/>
  <c r="AF1638" i="30"/>
  <c r="AH1638" i="30" s="1"/>
  <c r="AF1639" i="30"/>
  <c r="AH1639" i="30" s="1"/>
  <c r="AF1640" i="30"/>
  <c r="AH1640" i="30" s="1"/>
  <c r="AF1641" i="30"/>
  <c r="AH1641" i="30" s="1"/>
  <c r="AF1642" i="30"/>
  <c r="AH1642" i="30" s="1"/>
  <c r="AF1643" i="30"/>
  <c r="AH1643" i="30" s="1"/>
  <c r="AF1644" i="30"/>
  <c r="AH1644" i="30" s="1"/>
  <c r="AF1645" i="30"/>
  <c r="AH1645" i="30" s="1"/>
  <c r="AF1646" i="30"/>
  <c r="AH1646" i="30" s="1"/>
  <c r="AF1647" i="30"/>
  <c r="AH1647" i="30" s="1"/>
  <c r="AF1648" i="30"/>
  <c r="AH1648" i="30" s="1"/>
  <c r="AF1649" i="30"/>
  <c r="AH1649" i="30" s="1"/>
  <c r="AF1650" i="30"/>
  <c r="AH1650" i="30" s="1"/>
  <c r="AF1651" i="30"/>
  <c r="AH1651" i="30" s="1"/>
  <c r="AF1652" i="30"/>
  <c r="AH1652" i="30" s="1"/>
  <c r="AF1653" i="30"/>
  <c r="AH1653" i="30" s="1"/>
  <c r="AF1654" i="30"/>
  <c r="AH1654" i="30" s="1"/>
  <c r="AF1655" i="30"/>
  <c r="AH1655" i="30" s="1"/>
  <c r="AF1656" i="30"/>
  <c r="AH1656" i="30" s="1"/>
  <c r="AF1657" i="30"/>
  <c r="AH1657" i="30" s="1"/>
  <c r="AF1658" i="30"/>
  <c r="AH1658" i="30" s="1"/>
  <c r="AF1659" i="30"/>
  <c r="AH1659" i="30" s="1"/>
  <c r="AF1660" i="30"/>
  <c r="AH1660" i="30" s="1"/>
  <c r="AF1661" i="30"/>
  <c r="AH1661" i="30" s="1"/>
  <c r="AF1662" i="30"/>
  <c r="AH1662" i="30" s="1"/>
  <c r="AF1663" i="30"/>
  <c r="AH1663" i="30" s="1"/>
  <c r="AF1664" i="30"/>
  <c r="AH1664" i="30" s="1"/>
  <c r="AF1665" i="30"/>
  <c r="AH1665" i="30" s="1"/>
  <c r="AF1666" i="30"/>
  <c r="AH1666" i="30" s="1"/>
  <c r="AF1667" i="30"/>
  <c r="AH1667" i="30" s="1"/>
  <c r="AF1668" i="30"/>
  <c r="AH1668" i="30" s="1"/>
  <c r="AF1669" i="30"/>
  <c r="AH1669" i="30" s="1"/>
  <c r="AF1670" i="30"/>
  <c r="AH1670" i="30" s="1"/>
  <c r="AF1671" i="30"/>
  <c r="AH1671" i="30" s="1"/>
  <c r="AF1672" i="30"/>
  <c r="AH1672" i="30" s="1"/>
  <c r="AF1673" i="30"/>
  <c r="AH1673" i="30" s="1"/>
  <c r="AF1674" i="30"/>
  <c r="AH1674" i="30" s="1"/>
  <c r="AF1675" i="30"/>
  <c r="AH1675" i="30" s="1"/>
  <c r="AF1676" i="30"/>
  <c r="AH1676" i="30" s="1"/>
  <c r="AF1677" i="30"/>
  <c r="AH1677" i="30" s="1"/>
  <c r="AF1678" i="30"/>
  <c r="AH1678" i="30" s="1"/>
  <c r="AF1679" i="30"/>
  <c r="AH1679" i="30" s="1"/>
  <c r="AF1680" i="30"/>
  <c r="AH1680" i="30" s="1"/>
  <c r="AF1681" i="30"/>
  <c r="AH1681" i="30" s="1"/>
  <c r="AF1682" i="30"/>
  <c r="AH1682" i="30" s="1"/>
  <c r="AF1683" i="30"/>
  <c r="AH1683" i="30" s="1"/>
  <c r="AF1684" i="30"/>
  <c r="AH1684" i="30" s="1"/>
  <c r="AF1685" i="30"/>
  <c r="AH1685" i="30" s="1"/>
  <c r="AF1686" i="30"/>
  <c r="AH1686" i="30" s="1"/>
  <c r="AF1687" i="30"/>
  <c r="AH1687" i="30" s="1"/>
  <c r="AF1688" i="30"/>
  <c r="AH1688" i="30" s="1"/>
  <c r="AF1689" i="30"/>
  <c r="AH1689" i="30" s="1"/>
  <c r="AF1690" i="30"/>
  <c r="AH1690" i="30" s="1"/>
  <c r="AF1691" i="30"/>
  <c r="AH1691" i="30" s="1"/>
  <c r="AF1692" i="30"/>
  <c r="AH1692" i="30" s="1"/>
  <c r="AF1693" i="30"/>
  <c r="AH1693" i="30" s="1"/>
  <c r="AF1694" i="30"/>
  <c r="AH1694" i="30" s="1"/>
  <c r="AF1695" i="30"/>
  <c r="AH1695" i="30" s="1"/>
  <c r="AF1696" i="30"/>
  <c r="AH1696" i="30" s="1"/>
  <c r="AF1697" i="30"/>
  <c r="AH1697" i="30" s="1"/>
  <c r="AF1698" i="30"/>
  <c r="AH1698" i="30" s="1"/>
  <c r="AF1699" i="30"/>
  <c r="AH1699" i="30" s="1"/>
  <c r="AF1700" i="30"/>
  <c r="AH1700" i="30" s="1"/>
  <c r="AF1701" i="30"/>
  <c r="AH1701" i="30" s="1"/>
  <c r="AF1702" i="30"/>
  <c r="AH1702" i="30" s="1"/>
  <c r="AF1703" i="30"/>
  <c r="AH1703" i="30" s="1"/>
  <c r="AF1704" i="30"/>
  <c r="AH1704" i="30" s="1"/>
  <c r="AF1705" i="30"/>
  <c r="AH1705" i="30" s="1"/>
  <c r="AF1706" i="30"/>
  <c r="AH1706" i="30" s="1"/>
  <c r="AF1707" i="30"/>
  <c r="AH1707" i="30" s="1"/>
  <c r="AF1708" i="30"/>
  <c r="AH1708" i="30" s="1"/>
  <c r="AF1709" i="30"/>
  <c r="AH1709" i="30" s="1"/>
  <c r="AF1710" i="30"/>
  <c r="AH1710" i="30" s="1"/>
  <c r="AF1711" i="30"/>
  <c r="AH1711" i="30" s="1"/>
  <c r="AF1712" i="30"/>
  <c r="AH1712" i="30" s="1"/>
  <c r="AF1713" i="30"/>
  <c r="AH1713" i="30" s="1"/>
  <c r="AF1714" i="30"/>
  <c r="AH1714" i="30" s="1"/>
  <c r="AF1715" i="30"/>
  <c r="AH1715" i="30" s="1"/>
  <c r="AF1716" i="30"/>
  <c r="AH1716" i="30" s="1"/>
  <c r="AF1717" i="30"/>
  <c r="AH1717" i="30" s="1"/>
  <c r="AF1718" i="30"/>
  <c r="AH1718" i="30" s="1"/>
  <c r="AF1719" i="30"/>
  <c r="AH1719" i="30" s="1"/>
  <c r="AF1720" i="30"/>
  <c r="AH1720" i="30" s="1"/>
  <c r="AF1721" i="30"/>
  <c r="AH1721" i="30" s="1"/>
  <c r="AF1722" i="30"/>
  <c r="AH1722" i="30" s="1"/>
  <c r="AF1723" i="30"/>
  <c r="AH1723" i="30" s="1"/>
  <c r="AF1724" i="30"/>
  <c r="AH1724" i="30" s="1"/>
  <c r="AF1725" i="30"/>
  <c r="AH1725" i="30" s="1"/>
  <c r="AF1726" i="30"/>
  <c r="AH1726" i="30" s="1"/>
  <c r="AF1727" i="30"/>
  <c r="AH1727" i="30" s="1"/>
  <c r="AF1728" i="30"/>
  <c r="AH1728" i="30" s="1"/>
  <c r="AF1729" i="30"/>
  <c r="AH1729" i="30" s="1"/>
  <c r="AF1730" i="30"/>
  <c r="AH1730" i="30" s="1"/>
  <c r="AF1731" i="30"/>
  <c r="AH1731" i="30" s="1"/>
  <c r="AF1732" i="30"/>
  <c r="AH1732" i="30" s="1"/>
  <c r="AF1733" i="30"/>
  <c r="AH1733" i="30" s="1"/>
  <c r="AF1734" i="30"/>
  <c r="AH1734" i="30" s="1"/>
  <c r="AF1735" i="30"/>
  <c r="AH1735" i="30" s="1"/>
  <c r="AF1736" i="30"/>
  <c r="AH1736" i="30" s="1"/>
  <c r="AF1737" i="30"/>
  <c r="AH1737" i="30" s="1"/>
  <c r="AF1738" i="30"/>
  <c r="AH1738" i="30" s="1"/>
  <c r="AF1739" i="30"/>
  <c r="AH1739" i="30" s="1"/>
  <c r="AF1740" i="30"/>
  <c r="AH1740" i="30" s="1"/>
  <c r="AF1741" i="30"/>
  <c r="AH1741" i="30" s="1"/>
  <c r="AF1742" i="30"/>
  <c r="AH1742" i="30" s="1"/>
  <c r="AF1743" i="30"/>
  <c r="AH1743" i="30" s="1"/>
  <c r="AF1744" i="30"/>
  <c r="AH1744" i="30" s="1"/>
  <c r="AF1745" i="30"/>
  <c r="AH1745" i="30" s="1"/>
  <c r="AF1746" i="30"/>
  <c r="AH1746" i="30" s="1"/>
  <c r="AF1747" i="30"/>
  <c r="AH1747" i="30" s="1"/>
  <c r="AF1748" i="30"/>
  <c r="AH1748" i="30" s="1"/>
  <c r="AF1749" i="30"/>
  <c r="AH1749" i="30" s="1"/>
  <c r="AF1750" i="30"/>
  <c r="AH1750" i="30" s="1"/>
  <c r="AG2028" i="30"/>
  <c r="AF2028" i="30"/>
  <c r="AH2028" i="30" s="1"/>
  <c r="AG2030" i="30"/>
  <c r="AF2030" i="30"/>
  <c r="AH2030" i="30" s="1"/>
  <c r="AG2032" i="30"/>
  <c r="AF2032" i="30"/>
  <c r="AH2032" i="30" s="1"/>
  <c r="AG2034" i="30"/>
  <c r="AF2034" i="30"/>
  <c r="AH2034" i="30" s="1"/>
  <c r="AG2036" i="30"/>
  <c r="AF2036" i="30"/>
  <c r="AH2036" i="30" s="1"/>
  <c r="AG2038" i="30"/>
  <c r="AF2038" i="30"/>
  <c r="AH2038" i="30" s="1"/>
  <c r="AG2040" i="30"/>
  <c r="AF2040" i="30"/>
  <c r="AH2040" i="30" s="1"/>
  <c r="AG2042" i="30"/>
  <c r="AF2042" i="30"/>
  <c r="AH2042" i="30" s="1"/>
  <c r="AG2044" i="30"/>
  <c r="AF2044" i="30"/>
  <c r="AH2044" i="30" s="1"/>
  <c r="AG2046" i="30"/>
  <c r="AF2046" i="30"/>
  <c r="AH2046" i="30" s="1"/>
  <c r="AG2048" i="30"/>
  <c r="AF2048" i="30"/>
  <c r="AH2048" i="30" s="1"/>
  <c r="AG2050" i="30"/>
  <c r="AF2050" i="30"/>
  <c r="AH2050" i="30" s="1"/>
  <c r="AG2052" i="30"/>
  <c r="AF2052" i="30"/>
  <c r="AH2052" i="30" s="1"/>
  <c r="AG2054" i="30"/>
  <c r="AF2054" i="30"/>
  <c r="AH2054" i="30" s="1"/>
  <c r="AG2056" i="30"/>
  <c r="AF2056" i="30"/>
  <c r="AH2056" i="30" s="1"/>
  <c r="AG2058" i="30"/>
  <c r="AF2058" i="30"/>
  <c r="AH2058" i="30" s="1"/>
  <c r="AG2060" i="30"/>
  <c r="AF2060" i="30"/>
  <c r="AH2060" i="30" s="1"/>
  <c r="AG2062" i="30"/>
  <c r="AF2062" i="30"/>
  <c r="AH2062" i="30" s="1"/>
  <c r="AG2064" i="30"/>
  <c r="AF2064" i="30"/>
  <c r="AH2064" i="30" s="1"/>
  <c r="AG2066" i="30"/>
  <c r="AF2066" i="30"/>
  <c r="AH2066" i="30" s="1"/>
  <c r="AG2068" i="30"/>
  <c r="AF2068" i="30"/>
  <c r="AH2068" i="30" s="1"/>
  <c r="AG2070" i="30"/>
  <c r="AF2070" i="30"/>
  <c r="AH2070" i="30" s="1"/>
  <c r="AG2072" i="30"/>
  <c r="AF2072" i="30"/>
  <c r="AH2072" i="30" s="1"/>
  <c r="AG2074" i="30"/>
  <c r="AF2074" i="30"/>
  <c r="AH2074" i="30" s="1"/>
  <c r="AG2076" i="30"/>
  <c r="AF2076" i="30"/>
  <c r="AH2076" i="30" s="1"/>
  <c r="AG2078" i="30"/>
  <c r="AF2078" i="30"/>
  <c r="AH2078" i="30" s="1"/>
  <c r="AG2080" i="30"/>
  <c r="AF2080" i="30"/>
  <c r="AH2080" i="30" s="1"/>
  <c r="AG2082" i="30"/>
  <c r="AF2082" i="30"/>
  <c r="AH2082" i="30" s="1"/>
  <c r="AG2084" i="30"/>
  <c r="AF2084" i="30"/>
  <c r="AH2084" i="30" s="1"/>
  <c r="AG2086" i="30"/>
  <c r="AF2086" i="30"/>
  <c r="AH2086" i="30" s="1"/>
  <c r="AG2088" i="30"/>
  <c r="AF2088" i="30"/>
  <c r="AH2088" i="30" s="1"/>
  <c r="AG2090" i="30"/>
  <c r="AF2090" i="30"/>
  <c r="AH2090" i="30" s="1"/>
  <c r="AG2092" i="30"/>
  <c r="AF2092" i="30"/>
  <c r="AH2092" i="30" s="1"/>
  <c r="AG2094" i="30"/>
  <c r="AF2094" i="30"/>
  <c r="AH2094" i="30" s="1"/>
  <c r="AG2096" i="30"/>
  <c r="AF2096" i="30"/>
  <c r="AH2096" i="30" s="1"/>
  <c r="AG2098" i="30"/>
  <c r="AF2098" i="30"/>
  <c r="AH2098" i="30" s="1"/>
  <c r="AG2100" i="30"/>
  <c r="AF2100" i="30"/>
  <c r="AH2100" i="30" s="1"/>
  <c r="AG2102" i="30"/>
  <c r="AF2102" i="30"/>
  <c r="AH2102" i="30" s="1"/>
  <c r="AG2104" i="30"/>
  <c r="AF2104" i="30"/>
  <c r="AH2104" i="30" s="1"/>
  <c r="AG2106" i="30"/>
  <c r="AF2106" i="30"/>
  <c r="AH2106" i="30" s="1"/>
  <c r="AG2108" i="30"/>
  <c r="AF2108" i="30"/>
  <c r="AH2108" i="30" s="1"/>
  <c r="AG2110" i="30"/>
  <c r="AF2110" i="30"/>
  <c r="AH2110" i="30" s="1"/>
  <c r="AG2112" i="30"/>
  <c r="AF2112" i="30"/>
  <c r="AH2112" i="30" s="1"/>
  <c r="AG2114" i="30"/>
  <c r="AF2114" i="30"/>
  <c r="AH2114" i="30" s="1"/>
  <c r="AG2116" i="30"/>
  <c r="AF2116" i="30"/>
  <c r="AH2116" i="30" s="1"/>
  <c r="AG2118" i="30"/>
  <c r="AF2118" i="30"/>
  <c r="AH2118" i="30" s="1"/>
  <c r="AG2120" i="30"/>
  <c r="AF2120" i="30"/>
  <c r="AH2120" i="30" s="1"/>
  <c r="AG2122" i="30"/>
  <c r="AF2122" i="30"/>
  <c r="AH2122" i="30" s="1"/>
  <c r="AG2124" i="30"/>
  <c r="AF2124" i="30"/>
  <c r="AH2124" i="30" s="1"/>
  <c r="AG2126" i="30"/>
  <c r="AF2126" i="30"/>
  <c r="AH2126" i="30" s="1"/>
  <c r="AG2128" i="30"/>
  <c r="AF2128" i="30"/>
  <c r="AH2128" i="30" s="1"/>
  <c r="AG2130" i="30"/>
  <c r="AF2130" i="30"/>
  <c r="AH2130" i="30" s="1"/>
  <c r="AG2132" i="30"/>
  <c r="AF2132" i="30"/>
  <c r="AH2132" i="30" s="1"/>
  <c r="AG2134" i="30"/>
  <c r="AF2134" i="30"/>
  <c r="AH2134" i="30" s="1"/>
  <c r="AG2136" i="30"/>
  <c r="AF2136" i="30"/>
  <c r="AH2136" i="30" s="1"/>
  <c r="AG2138" i="30"/>
  <c r="AF2138" i="30"/>
  <c r="AH2138" i="30" s="1"/>
  <c r="AG2140" i="30"/>
  <c r="AF2140" i="30"/>
  <c r="AH2140" i="30" s="1"/>
  <c r="AG2142" i="30"/>
  <c r="AF2142" i="30"/>
  <c r="AH2142" i="30" s="1"/>
  <c r="AG2144" i="30"/>
  <c r="AF2144" i="30"/>
  <c r="AH2144" i="30" s="1"/>
  <c r="AG2146" i="30"/>
  <c r="AF2146" i="30"/>
  <c r="AH2146" i="30" s="1"/>
  <c r="AG2148" i="30"/>
  <c r="AF2148" i="30"/>
  <c r="AH2148" i="30" s="1"/>
  <c r="AG2150" i="30"/>
  <c r="AF2150" i="30"/>
  <c r="AH2150" i="30" s="1"/>
  <c r="AG2152" i="30"/>
  <c r="AF2152" i="30"/>
  <c r="AH2152" i="30" s="1"/>
  <c r="AG2154" i="30"/>
  <c r="AF2154" i="30"/>
  <c r="AH2154" i="30" s="1"/>
  <c r="AG2156" i="30"/>
  <c r="AF2156" i="30"/>
  <c r="AH2156" i="30" s="1"/>
  <c r="AG2158" i="30"/>
  <c r="AF2158" i="30"/>
  <c r="AH2158" i="30" s="1"/>
  <c r="AG2160" i="30"/>
  <c r="AF2160" i="30"/>
  <c r="AH2160" i="30" s="1"/>
  <c r="AG2162" i="30"/>
  <c r="AF2162" i="30"/>
  <c r="AH2162" i="30" s="1"/>
  <c r="AG2164" i="30"/>
  <c r="AF2164" i="30"/>
  <c r="AH2164" i="30" s="1"/>
  <c r="AG2166" i="30"/>
  <c r="AF2166" i="30"/>
  <c r="AH2166" i="30" s="1"/>
  <c r="AG2168" i="30"/>
  <c r="AF2168" i="30"/>
  <c r="AH2168" i="30" s="1"/>
  <c r="AG2170" i="30"/>
  <c r="AF2170" i="30"/>
  <c r="AH2170" i="30" s="1"/>
  <c r="AG2172" i="30"/>
  <c r="AF2172" i="30"/>
  <c r="AH2172" i="30" s="1"/>
  <c r="AG2174" i="30"/>
  <c r="AF2174" i="30"/>
  <c r="AH2174" i="30" s="1"/>
  <c r="AG2176" i="30"/>
  <c r="AF2176" i="30"/>
  <c r="AH2176" i="30" s="1"/>
  <c r="AG2178" i="30"/>
  <c r="AF2178" i="30"/>
  <c r="AH2178" i="30" s="1"/>
  <c r="AG2180" i="30"/>
  <c r="AF2180" i="30"/>
  <c r="AH2180" i="30" s="1"/>
  <c r="AG2182" i="30"/>
  <c r="AF2182" i="30"/>
  <c r="AH2182" i="30" s="1"/>
  <c r="AG2184" i="30"/>
  <c r="AF2184" i="30"/>
  <c r="AH2184" i="30" s="1"/>
  <c r="AG2186" i="30"/>
  <c r="AF2186" i="30"/>
  <c r="AH2186" i="30" s="1"/>
  <c r="AG2188" i="30"/>
  <c r="AF2188" i="30"/>
  <c r="AH2188" i="30" s="1"/>
  <c r="AG2190" i="30"/>
  <c r="AF2190" i="30"/>
  <c r="AH2190" i="30" s="1"/>
  <c r="AG2192" i="30"/>
  <c r="AF2192" i="30"/>
  <c r="AH2192" i="30" s="1"/>
  <c r="AG2194" i="30"/>
  <c r="AF2194" i="30"/>
  <c r="AH2194" i="30" s="1"/>
  <c r="AG2196" i="30"/>
  <c r="AF2196" i="30"/>
  <c r="AH2196" i="30" s="1"/>
  <c r="AG2198" i="30"/>
  <c r="AF2198" i="30"/>
  <c r="AH2198" i="30" s="1"/>
  <c r="AG2200" i="30"/>
  <c r="AF2200" i="30"/>
  <c r="AH2200" i="30" s="1"/>
  <c r="AG2202" i="30"/>
  <c r="AF2202" i="30"/>
  <c r="AH2202" i="30" s="1"/>
  <c r="AG2204" i="30"/>
  <c r="AF2204" i="30"/>
  <c r="AH2204" i="30" s="1"/>
  <c r="AG2206" i="30"/>
  <c r="AF2206" i="30"/>
  <c r="AH2206" i="30" s="1"/>
  <c r="AG2208" i="30"/>
  <c r="AF2208" i="30"/>
  <c r="AH2208" i="30" s="1"/>
  <c r="AG2210" i="30"/>
  <c r="AF2210" i="30"/>
  <c r="AH2210" i="30" s="1"/>
  <c r="AG2212" i="30"/>
  <c r="AF2212" i="30"/>
  <c r="AH2212" i="30" s="1"/>
  <c r="AG2214" i="30"/>
  <c r="AF2214" i="30"/>
  <c r="AH2214" i="30" s="1"/>
  <c r="AG2216" i="30"/>
  <c r="AF2216" i="30"/>
  <c r="AH2216" i="30" s="1"/>
  <c r="AG2218" i="30"/>
  <c r="AF2218" i="30"/>
  <c r="AH2218" i="30" s="1"/>
  <c r="AG2220" i="30"/>
  <c r="AF2220" i="30"/>
  <c r="AH2220" i="30" s="1"/>
  <c r="AG2222" i="30"/>
  <c r="AF2222" i="30"/>
  <c r="AH2222" i="30" s="1"/>
  <c r="AG2224" i="30"/>
  <c r="AF2224" i="30"/>
  <c r="AH2224" i="30" s="1"/>
  <c r="AG2226" i="30"/>
  <c r="AF2226" i="30"/>
  <c r="AH2226" i="30" s="1"/>
  <c r="AG2228" i="30"/>
  <c r="AF2228" i="30"/>
  <c r="AH2228" i="30" s="1"/>
  <c r="AG2230" i="30"/>
  <c r="AF2230" i="30"/>
  <c r="AH2230" i="30" s="1"/>
  <c r="AG2232" i="30"/>
  <c r="AF2232" i="30"/>
  <c r="AH2232" i="30" s="1"/>
  <c r="AG2234" i="30"/>
  <c r="AF2234" i="30"/>
  <c r="AH2234" i="30" s="1"/>
  <c r="AG2236" i="30"/>
  <c r="AF2236" i="30"/>
  <c r="AH2236" i="30" s="1"/>
  <c r="AG2238" i="30"/>
  <c r="AF2238" i="30"/>
  <c r="AH2238" i="30" s="1"/>
  <c r="AG2240" i="30"/>
  <c r="AF2240" i="30"/>
  <c r="AH2240" i="30" s="1"/>
  <c r="AG2242" i="30"/>
  <c r="AF2242" i="30"/>
  <c r="AH2242" i="30" s="1"/>
  <c r="AG2244" i="30"/>
  <c r="AF2244" i="30"/>
  <c r="AH2244" i="30" s="1"/>
  <c r="AG2246" i="30"/>
  <c r="AF2246" i="30"/>
  <c r="AH2246" i="30" s="1"/>
  <c r="AG2248" i="30"/>
  <c r="AF2248" i="30"/>
  <c r="AH2248" i="30" s="1"/>
  <c r="AG2250" i="30"/>
  <c r="AF2250" i="30"/>
  <c r="AH2250" i="30" s="1"/>
  <c r="AG2252" i="30"/>
  <c r="AF2252" i="30"/>
  <c r="AH2252" i="30" s="1"/>
  <c r="AG2254" i="30"/>
  <c r="AF2254" i="30"/>
  <c r="AH2254" i="30" s="1"/>
  <c r="AG2256" i="30"/>
  <c r="AF2256" i="30"/>
  <c r="AH2256" i="30" s="1"/>
  <c r="AG2258" i="30"/>
  <c r="AF2258" i="30"/>
  <c r="AH2258" i="30" s="1"/>
  <c r="AG2260" i="30"/>
  <c r="AF2260" i="30"/>
  <c r="AH2260" i="30" s="1"/>
  <c r="AG2262" i="30"/>
  <c r="AF2262" i="30"/>
  <c r="AH2262" i="30" s="1"/>
  <c r="AG2264" i="30"/>
  <c r="AF2264" i="30"/>
  <c r="AH2264" i="30" s="1"/>
  <c r="AG2266" i="30"/>
  <c r="AF2266" i="30"/>
  <c r="AH2266" i="30" s="1"/>
  <c r="AG2268" i="30"/>
  <c r="AF2268" i="30"/>
  <c r="AH2268" i="30" s="1"/>
  <c r="AG2270" i="30"/>
  <c r="AF2270" i="30"/>
  <c r="AH2270" i="30" s="1"/>
  <c r="AG2272" i="30"/>
  <c r="AF2272" i="30"/>
  <c r="AH2272" i="30" s="1"/>
  <c r="AG2274" i="30"/>
  <c r="AF2274" i="30"/>
  <c r="AH2274" i="30" s="1"/>
  <c r="AG2276" i="30"/>
  <c r="AF2276" i="30"/>
  <c r="AH2276" i="30" s="1"/>
  <c r="AG2278" i="30"/>
  <c r="AF2278" i="30"/>
  <c r="AH2278" i="30" s="1"/>
  <c r="AG2280" i="30"/>
  <c r="AF2280" i="30"/>
  <c r="AH2280" i="30" s="1"/>
  <c r="AG2282" i="30"/>
  <c r="AF2282" i="30"/>
  <c r="AH2282" i="30" s="1"/>
  <c r="AG2284" i="30"/>
  <c r="AF2284" i="30"/>
  <c r="AH2284" i="30" s="1"/>
  <c r="AG2286" i="30"/>
  <c r="AF2286" i="30"/>
  <c r="AH2286" i="30" s="1"/>
  <c r="AG2288" i="30"/>
  <c r="AF2288" i="30"/>
  <c r="AH2288" i="30" s="1"/>
  <c r="AG2290" i="30"/>
  <c r="AF2290" i="30"/>
  <c r="AH2290" i="30" s="1"/>
  <c r="AG2292" i="30"/>
  <c r="AF2292" i="30"/>
  <c r="AH2292" i="30" s="1"/>
  <c r="AG2294" i="30"/>
  <c r="AF2294" i="30"/>
  <c r="AH2294" i="30" s="1"/>
  <c r="AG2296" i="30"/>
  <c r="AF2296" i="30"/>
  <c r="AH2296" i="30" s="1"/>
  <c r="AG2298" i="30"/>
  <c r="AF2298" i="30"/>
  <c r="AH2298" i="30" s="1"/>
  <c r="AG2300" i="30"/>
  <c r="AF2300" i="30"/>
  <c r="AH2300" i="30" s="1"/>
  <c r="AG2302" i="30"/>
  <c r="AF2302" i="30"/>
  <c r="AH2302" i="30" s="1"/>
  <c r="AG2304" i="30"/>
  <c r="AF2304" i="30"/>
  <c r="AH2304" i="30" s="1"/>
  <c r="AG2306" i="30"/>
  <c r="AF2306" i="30"/>
  <c r="AH2306" i="30" s="1"/>
  <c r="AG2308" i="30"/>
  <c r="AF2308" i="30"/>
  <c r="AH2308" i="30" s="1"/>
  <c r="AG2310" i="30"/>
  <c r="AF2310" i="30"/>
  <c r="AH2310" i="30" s="1"/>
  <c r="AG2312" i="30"/>
  <c r="AF2312" i="30"/>
  <c r="AH2312" i="30" s="1"/>
  <c r="AG2314" i="30"/>
  <c r="AF2314" i="30"/>
  <c r="AH2314" i="30" s="1"/>
  <c r="AG2316" i="30"/>
  <c r="AF2316" i="30"/>
  <c r="AH2316" i="30" s="1"/>
  <c r="AG2318" i="30"/>
  <c r="AF2318" i="30"/>
  <c r="AH2318" i="30" s="1"/>
  <c r="AG2320" i="30"/>
  <c r="AF2320" i="30"/>
  <c r="AH2320" i="30" s="1"/>
  <c r="AG2322" i="30"/>
  <c r="AF2322" i="30"/>
  <c r="AH2322" i="30" s="1"/>
  <c r="AG2324" i="30"/>
  <c r="AF2324" i="30"/>
  <c r="AH2324" i="30" s="1"/>
  <c r="AG2326" i="30"/>
  <c r="AF2326" i="30"/>
  <c r="AH2326" i="30" s="1"/>
  <c r="AG2328" i="30"/>
  <c r="AF2328" i="30"/>
  <c r="AH2328" i="30" s="1"/>
  <c r="AG2330" i="30"/>
  <c r="AF2330" i="30"/>
  <c r="AH2330" i="30" s="1"/>
  <c r="AG2332" i="30"/>
  <c r="AF2332" i="30"/>
  <c r="AH2332" i="30" s="1"/>
  <c r="AG2334" i="30"/>
  <c r="AF2334" i="30"/>
  <c r="AH2334" i="30" s="1"/>
  <c r="AG2336" i="30"/>
  <c r="AF2336" i="30"/>
  <c r="AH2336" i="30" s="1"/>
  <c r="AG2338" i="30"/>
  <c r="AF2338" i="30"/>
  <c r="AH2338" i="30" s="1"/>
  <c r="AG2340" i="30"/>
  <c r="AF2340" i="30"/>
  <c r="AH2340" i="30" s="1"/>
  <c r="AG2342" i="30"/>
  <c r="AF2342" i="30"/>
  <c r="AH2342" i="30" s="1"/>
  <c r="AG2344" i="30"/>
  <c r="AF2344" i="30"/>
  <c r="AH2344" i="30" s="1"/>
  <c r="AG2346" i="30"/>
  <c r="AF2346" i="30"/>
  <c r="AH2346" i="30" s="1"/>
  <c r="AG2348" i="30"/>
  <c r="AF2348" i="30"/>
  <c r="AH2348" i="30" s="1"/>
  <c r="AG2350" i="30"/>
  <c r="AF2350" i="30"/>
  <c r="AH2350" i="30" s="1"/>
  <c r="AG2352" i="30"/>
  <c r="AF2352" i="30"/>
  <c r="AH2352" i="30" s="1"/>
  <c r="AG2354" i="30"/>
  <c r="AF2354" i="30"/>
  <c r="AH2354" i="30" s="1"/>
  <c r="AG2356" i="30"/>
  <c r="AF2356" i="30"/>
  <c r="AH2356" i="30" s="1"/>
  <c r="AG2358" i="30"/>
  <c r="AF2358" i="30"/>
  <c r="AH2358" i="30" s="1"/>
  <c r="AG2360" i="30"/>
  <c r="AF2360" i="30"/>
  <c r="AH2360" i="30" s="1"/>
  <c r="AG2362" i="30"/>
  <c r="AF2362" i="30"/>
  <c r="AH2362" i="30" s="1"/>
  <c r="AG2364" i="30"/>
  <c r="AF2364" i="30"/>
  <c r="AH2364" i="30" s="1"/>
  <c r="AG2366" i="30"/>
  <c r="AF2366" i="30"/>
  <c r="AH2366" i="30" s="1"/>
  <c r="AG2368" i="30"/>
  <c r="AF2368" i="30"/>
  <c r="AH2368" i="30" s="1"/>
  <c r="AG2370" i="30"/>
  <c r="AF2370" i="30"/>
  <c r="AH2370" i="30" s="1"/>
  <c r="AG2372" i="30"/>
  <c r="AF2372" i="30"/>
  <c r="AH2372" i="30" s="1"/>
  <c r="AG2374" i="30"/>
  <c r="AF2374" i="30"/>
  <c r="AH2374" i="30" s="1"/>
  <c r="AG2376" i="30"/>
  <c r="AF2376" i="30"/>
  <c r="AH2376" i="30" s="1"/>
  <c r="AG2378" i="30"/>
  <c r="AF2378" i="30"/>
  <c r="AH2378" i="30" s="1"/>
  <c r="AG2380" i="30"/>
  <c r="AF2380" i="30"/>
  <c r="AH2380" i="30" s="1"/>
  <c r="AG2382" i="30"/>
  <c r="AF2382" i="30"/>
  <c r="AH2382" i="30" s="1"/>
  <c r="AG2384" i="30"/>
  <c r="AF2384" i="30"/>
  <c r="AH2384" i="30" s="1"/>
  <c r="AG2386" i="30"/>
  <c r="AF2386" i="30"/>
  <c r="AH2386" i="30" s="1"/>
  <c r="AG2388" i="30"/>
  <c r="AF2388" i="30"/>
  <c r="AH2388" i="30" s="1"/>
  <c r="AG2390" i="30"/>
  <c r="AF2390" i="30"/>
  <c r="AH2390" i="30" s="1"/>
  <c r="AG2392" i="30"/>
  <c r="AF2392" i="30"/>
  <c r="AH2392" i="30" s="1"/>
  <c r="AG2394" i="30"/>
  <c r="AF2394" i="30"/>
  <c r="AH2394" i="30" s="1"/>
  <c r="AG2396" i="30"/>
  <c r="AF2396" i="30"/>
  <c r="AH2396" i="30" s="1"/>
  <c r="AG2398" i="30"/>
  <c r="AF2398" i="30"/>
  <c r="AH2398" i="30" s="1"/>
  <c r="AG2400" i="30"/>
  <c r="AF2400" i="30"/>
  <c r="AH2400" i="30" s="1"/>
  <c r="AG2402" i="30"/>
  <c r="AF2402" i="30"/>
  <c r="AH2402" i="30" s="1"/>
  <c r="AG2404" i="30"/>
  <c r="AF2404" i="30"/>
  <c r="AH2404" i="30" s="1"/>
  <c r="AG2406" i="30"/>
  <c r="AF2406" i="30"/>
  <c r="AH2406" i="30" s="1"/>
  <c r="AG2408" i="30"/>
  <c r="AF2408" i="30"/>
  <c r="AH2408" i="30" s="1"/>
  <c r="AG2410" i="30"/>
  <c r="AF2410" i="30"/>
  <c r="AH2410" i="30" s="1"/>
  <c r="AG2412" i="30"/>
  <c r="AF2412" i="30"/>
  <c r="AH2412" i="30" s="1"/>
  <c r="AG2414" i="30"/>
  <c r="AF2414" i="30"/>
  <c r="AH2414" i="30" s="1"/>
  <c r="AG2416" i="30"/>
  <c r="AF2416" i="30"/>
  <c r="AH2416" i="30" s="1"/>
  <c r="AG2418" i="30"/>
  <c r="AF2418" i="30"/>
  <c r="AH2418" i="30" s="1"/>
  <c r="AG2420" i="30"/>
  <c r="AF2420" i="30"/>
  <c r="AH2420" i="30" s="1"/>
  <c r="AG2422" i="30"/>
  <c r="AF2422" i="30"/>
  <c r="AH2422" i="30" s="1"/>
  <c r="AG2424" i="30"/>
  <c r="AF2424" i="30"/>
  <c r="AH2424" i="30" s="1"/>
  <c r="AG2426" i="30"/>
  <c r="AF2426" i="30"/>
  <c r="AH2426" i="30" s="1"/>
  <c r="AG2428" i="30"/>
  <c r="AF2428" i="30"/>
  <c r="AH2428" i="30" s="1"/>
  <c r="AG2430" i="30"/>
  <c r="AF2430" i="30"/>
  <c r="AH2430" i="30" s="1"/>
  <c r="AG2432" i="30"/>
  <c r="AF2432" i="30"/>
  <c r="AH2432" i="30" s="1"/>
  <c r="AG2434" i="30"/>
  <c r="AF2434" i="30"/>
  <c r="AH2434" i="30" s="1"/>
  <c r="AG2436" i="30"/>
  <c r="AF2436" i="30"/>
  <c r="AH2436" i="30" s="1"/>
  <c r="AG2438" i="30"/>
  <c r="AF2438" i="30"/>
  <c r="AH2438" i="30" s="1"/>
  <c r="AG2440" i="30"/>
  <c r="AF2440" i="30"/>
  <c r="AH2440" i="30" s="1"/>
  <c r="AG2442" i="30"/>
  <c r="AF2442" i="30"/>
  <c r="AH2442" i="30" s="1"/>
  <c r="AG2444" i="30"/>
  <c r="AF2444" i="30"/>
  <c r="AH2444" i="30" s="1"/>
  <c r="AG2446" i="30"/>
  <c r="AF2446" i="30"/>
  <c r="AH2446" i="30" s="1"/>
  <c r="AG2448" i="30"/>
  <c r="AF2448" i="30"/>
  <c r="AH2448" i="30" s="1"/>
  <c r="AG2450" i="30"/>
  <c r="AF2450" i="30"/>
  <c r="AH2450" i="30" s="1"/>
  <c r="AG2452" i="30"/>
  <c r="AF2452" i="30"/>
  <c r="AH2452" i="30" s="1"/>
  <c r="AG2454" i="30"/>
  <c r="AF2454" i="30"/>
  <c r="AH2454" i="30" s="1"/>
  <c r="AG2456" i="30"/>
  <c r="AF2456" i="30"/>
  <c r="AH2456" i="30" s="1"/>
  <c r="AG2458" i="30"/>
  <c r="AF2458" i="30"/>
  <c r="AH2458" i="30" s="1"/>
  <c r="AG2460" i="30"/>
  <c r="AF2460" i="30"/>
  <c r="AH2460" i="30" s="1"/>
  <c r="AG2462" i="30"/>
  <c r="AF2462" i="30"/>
  <c r="AH2462" i="30" s="1"/>
  <c r="AG2464" i="30"/>
  <c r="AF2464" i="30"/>
  <c r="AH2464" i="30" s="1"/>
  <c r="AG2466" i="30"/>
  <c r="AF2466" i="30"/>
  <c r="AH2466" i="30" s="1"/>
  <c r="AG1957" i="30"/>
  <c r="AF1957" i="30"/>
  <c r="AH1957" i="30" s="1"/>
  <c r="AG1959" i="30"/>
  <c r="AF1959" i="30"/>
  <c r="AH1959" i="30" s="1"/>
  <c r="AG1961" i="30"/>
  <c r="AF1961" i="30"/>
  <c r="AH1961" i="30" s="1"/>
  <c r="AG1963" i="30"/>
  <c r="AF1963" i="30"/>
  <c r="AH1963" i="30" s="1"/>
  <c r="AG1965" i="30"/>
  <c r="AF1965" i="30"/>
  <c r="AH1965" i="30" s="1"/>
  <c r="AG1967" i="30"/>
  <c r="AF1967" i="30"/>
  <c r="AH1967" i="30" s="1"/>
  <c r="AG1969" i="30"/>
  <c r="AF1969" i="30"/>
  <c r="AH1969" i="30" s="1"/>
  <c r="AG1971" i="30"/>
  <c r="AF1971" i="30"/>
  <c r="AH1971" i="30" s="1"/>
  <c r="AG1973" i="30"/>
  <c r="AF1973" i="30"/>
  <c r="AH1973" i="30" s="1"/>
  <c r="AG1975" i="30"/>
  <c r="AF1975" i="30"/>
  <c r="AH1975" i="30" s="1"/>
  <c r="AG1977" i="30"/>
  <c r="AF1977" i="30"/>
  <c r="AH1977" i="30" s="1"/>
  <c r="AG1979" i="30"/>
  <c r="AF1979" i="30"/>
  <c r="AH1979" i="30" s="1"/>
  <c r="AG1981" i="30"/>
  <c r="AF1981" i="30"/>
  <c r="AH1981" i="30" s="1"/>
  <c r="AG1983" i="30"/>
  <c r="AF1983" i="30"/>
  <c r="AH1983" i="30" s="1"/>
  <c r="AG1985" i="30"/>
  <c r="AF1985" i="30"/>
  <c r="AH1985" i="30" s="1"/>
  <c r="AG1987" i="30"/>
  <c r="AF1987" i="30"/>
  <c r="AH1987" i="30" s="1"/>
  <c r="AG1989" i="30"/>
  <c r="AF1989" i="30"/>
  <c r="AH1989" i="30" s="1"/>
  <c r="AG1991" i="30"/>
  <c r="AF1991" i="30"/>
  <c r="AH1991" i="30" s="1"/>
  <c r="AG1993" i="30"/>
  <c r="AF1993" i="30"/>
  <c r="AH1993" i="30" s="1"/>
  <c r="AG1995" i="30"/>
  <c r="AF1995" i="30"/>
  <c r="AH1995" i="30" s="1"/>
  <c r="AG1997" i="30"/>
  <c r="AF1997" i="30"/>
  <c r="AH1997" i="30" s="1"/>
  <c r="AG1999" i="30"/>
  <c r="AF1999" i="30"/>
  <c r="AH1999" i="30" s="1"/>
  <c r="AG2001" i="30"/>
  <c r="AF2001" i="30"/>
  <c r="AH2001" i="30" s="1"/>
  <c r="AG2003" i="30"/>
  <c r="AF2003" i="30"/>
  <c r="AH2003" i="30" s="1"/>
  <c r="AG2005" i="30"/>
  <c r="AF2005" i="30"/>
  <c r="AH2005" i="30" s="1"/>
  <c r="AG2007" i="30"/>
  <c r="AF2007" i="30"/>
  <c r="AH2007" i="30" s="1"/>
  <c r="AG2009" i="30"/>
  <c r="AF2009" i="30"/>
  <c r="AH2009" i="30" s="1"/>
  <c r="AG2011" i="30"/>
  <c r="AF2011" i="30"/>
  <c r="AH2011" i="30" s="1"/>
  <c r="AG2013" i="30"/>
  <c r="AF2013" i="30"/>
  <c r="AH2013" i="30" s="1"/>
  <c r="AG2015" i="30"/>
  <c r="AF2015" i="30"/>
  <c r="AH2015" i="30" s="1"/>
  <c r="AG2017" i="30"/>
  <c r="AF2017" i="30"/>
  <c r="AH2017" i="30" s="1"/>
  <c r="AG2019" i="30"/>
  <c r="AF2019" i="30"/>
  <c r="AH2019" i="30" s="1"/>
  <c r="AG2021" i="30"/>
  <c r="AF2021" i="30"/>
  <c r="AH2021" i="30" s="1"/>
  <c r="AG2023" i="30"/>
  <c r="AF2023" i="30"/>
  <c r="AH2023" i="30" s="1"/>
  <c r="AG2025" i="30"/>
  <c r="AF2025" i="30"/>
  <c r="AH2025" i="30" s="1"/>
  <c r="AG2027" i="30"/>
  <c r="AF2027" i="30"/>
  <c r="AH2027" i="30" s="1"/>
  <c r="AG2029" i="30"/>
  <c r="AF2029" i="30"/>
  <c r="AH2029" i="30" s="1"/>
  <c r="AG2031" i="30"/>
  <c r="AF2031" i="30"/>
  <c r="AH2031" i="30" s="1"/>
  <c r="AG2033" i="30"/>
  <c r="AF2033" i="30"/>
  <c r="AH2033" i="30" s="1"/>
  <c r="AG2035" i="30"/>
  <c r="AF2035" i="30"/>
  <c r="AH2035" i="30" s="1"/>
  <c r="AG2037" i="30"/>
  <c r="AF2037" i="30"/>
  <c r="AH2037" i="30" s="1"/>
  <c r="AG2039" i="30"/>
  <c r="AF2039" i="30"/>
  <c r="AH2039" i="30" s="1"/>
  <c r="AG2041" i="30"/>
  <c r="AF2041" i="30"/>
  <c r="AH2041" i="30" s="1"/>
  <c r="AG2043" i="30"/>
  <c r="AF2043" i="30"/>
  <c r="AH2043" i="30" s="1"/>
  <c r="AG2045" i="30"/>
  <c r="AF2045" i="30"/>
  <c r="AH2045" i="30" s="1"/>
  <c r="AG2047" i="30"/>
  <c r="AF2047" i="30"/>
  <c r="AH2047" i="30" s="1"/>
  <c r="AG2049" i="30"/>
  <c r="AF2049" i="30"/>
  <c r="AH2049" i="30" s="1"/>
  <c r="AG2051" i="30"/>
  <c r="AF2051" i="30"/>
  <c r="AH2051" i="30" s="1"/>
  <c r="AG2053" i="30"/>
  <c r="AF2053" i="30"/>
  <c r="AH2053" i="30" s="1"/>
  <c r="AG2055" i="30"/>
  <c r="AF2055" i="30"/>
  <c r="AH2055" i="30" s="1"/>
  <c r="AG2057" i="30"/>
  <c r="AF2057" i="30"/>
  <c r="AH2057" i="30" s="1"/>
  <c r="AG2059" i="30"/>
  <c r="AF2059" i="30"/>
  <c r="AH2059" i="30" s="1"/>
  <c r="AG2061" i="30"/>
  <c r="AF2061" i="30"/>
  <c r="AH2061" i="30" s="1"/>
  <c r="AG2063" i="30"/>
  <c r="AF2063" i="30"/>
  <c r="AH2063" i="30" s="1"/>
  <c r="AG2065" i="30"/>
  <c r="AF2065" i="30"/>
  <c r="AH2065" i="30" s="1"/>
  <c r="AG2067" i="30"/>
  <c r="AF2067" i="30"/>
  <c r="AH2067" i="30" s="1"/>
  <c r="AG2069" i="30"/>
  <c r="AF2069" i="30"/>
  <c r="AH2069" i="30" s="1"/>
  <c r="AG2071" i="30"/>
  <c r="AF2071" i="30"/>
  <c r="AH2071" i="30" s="1"/>
  <c r="AG2073" i="30"/>
  <c r="AF2073" i="30"/>
  <c r="AH2073" i="30" s="1"/>
  <c r="AG2075" i="30"/>
  <c r="AF2075" i="30"/>
  <c r="AH2075" i="30" s="1"/>
  <c r="AG2077" i="30"/>
  <c r="AF2077" i="30"/>
  <c r="AH2077" i="30" s="1"/>
  <c r="AG2079" i="30"/>
  <c r="AF2079" i="30"/>
  <c r="AH2079" i="30" s="1"/>
  <c r="AG2081" i="30"/>
  <c r="AF2081" i="30"/>
  <c r="AH2081" i="30" s="1"/>
  <c r="AG2083" i="30"/>
  <c r="AF2083" i="30"/>
  <c r="AH2083" i="30" s="1"/>
  <c r="AG2085" i="30"/>
  <c r="AF2085" i="30"/>
  <c r="AH2085" i="30" s="1"/>
  <c r="AG2087" i="30"/>
  <c r="AF2087" i="30"/>
  <c r="AH2087" i="30" s="1"/>
  <c r="AG2089" i="30"/>
  <c r="AF2089" i="30"/>
  <c r="AH2089" i="30" s="1"/>
  <c r="AG2091" i="30"/>
  <c r="AF2091" i="30"/>
  <c r="AH2091" i="30" s="1"/>
  <c r="AG2093" i="30"/>
  <c r="AF2093" i="30"/>
  <c r="AH2093" i="30" s="1"/>
  <c r="AG2095" i="30"/>
  <c r="AF2095" i="30"/>
  <c r="AH2095" i="30" s="1"/>
  <c r="AG2097" i="30"/>
  <c r="AF2097" i="30"/>
  <c r="AH2097" i="30" s="1"/>
  <c r="AG2099" i="30"/>
  <c r="AF2099" i="30"/>
  <c r="AH2099" i="30" s="1"/>
  <c r="AG2101" i="30"/>
  <c r="AF2101" i="30"/>
  <c r="AH2101" i="30" s="1"/>
  <c r="AG2103" i="30"/>
  <c r="AF2103" i="30"/>
  <c r="AH2103" i="30" s="1"/>
  <c r="AG2105" i="30"/>
  <c r="AF2105" i="30"/>
  <c r="AH2105" i="30" s="1"/>
  <c r="AG2107" i="30"/>
  <c r="AF2107" i="30"/>
  <c r="AH2107" i="30" s="1"/>
  <c r="AG2109" i="30"/>
  <c r="AF2109" i="30"/>
  <c r="AH2109" i="30" s="1"/>
  <c r="AG2111" i="30"/>
  <c r="AF2111" i="30"/>
  <c r="AH2111" i="30" s="1"/>
  <c r="AG2113" i="30"/>
  <c r="AF2113" i="30"/>
  <c r="AH2113" i="30" s="1"/>
  <c r="AG2115" i="30"/>
  <c r="AF2115" i="30"/>
  <c r="AH2115" i="30" s="1"/>
  <c r="AG2117" i="30"/>
  <c r="AF2117" i="30"/>
  <c r="AH2117" i="30" s="1"/>
  <c r="AG2119" i="30"/>
  <c r="AF2119" i="30"/>
  <c r="AH2119" i="30" s="1"/>
  <c r="AG2121" i="30"/>
  <c r="AF2121" i="30"/>
  <c r="AH2121" i="30" s="1"/>
  <c r="AG2123" i="30"/>
  <c r="AF2123" i="30"/>
  <c r="AH2123" i="30" s="1"/>
  <c r="AG2125" i="30"/>
  <c r="AF2125" i="30"/>
  <c r="AH2125" i="30" s="1"/>
  <c r="AG2127" i="30"/>
  <c r="AF2127" i="30"/>
  <c r="AH2127" i="30" s="1"/>
  <c r="AG2129" i="30"/>
  <c r="AF2129" i="30"/>
  <c r="AH2129" i="30" s="1"/>
  <c r="AG2131" i="30"/>
  <c r="AF2131" i="30"/>
  <c r="AH2131" i="30" s="1"/>
  <c r="AG2133" i="30"/>
  <c r="AF2133" i="30"/>
  <c r="AH2133" i="30" s="1"/>
  <c r="AG2135" i="30"/>
  <c r="AF2135" i="30"/>
  <c r="AH2135" i="30" s="1"/>
  <c r="AG2137" i="30"/>
  <c r="AF2137" i="30"/>
  <c r="AH2137" i="30" s="1"/>
  <c r="AG2139" i="30"/>
  <c r="AF2139" i="30"/>
  <c r="AH2139" i="30" s="1"/>
  <c r="AG2141" i="30"/>
  <c r="AF2141" i="30"/>
  <c r="AH2141" i="30" s="1"/>
  <c r="AG2143" i="30"/>
  <c r="AF2143" i="30"/>
  <c r="AH2143" i="30" s="1"/>
  <c r="AG2145" i="30"/>
  <c r="AF2145" i="30"/>
  <c r="AH2145" i="30" s="1"/>
  <c r="AG2147" i="30"/>
  <c r="AF2147" i="30"/>
  <c r="AH2147" i="30" s="1"/>
  <c r="AG2149" i="30"/>
  <c r="AF2149" i="30"/>
  <c r="AH2149" i="30" s="1"/>
  <c r="AG2151" i="30"/>
  <c r="AF2151" i="30"/>
  <c r="AH2151" i="30" s="1"/>
  <c r="AG2153" i="30"/>
  <c r="AF2153" i="30"/>
  <c r="AH2153" i="30" s="1"/>
  <c r="AG2155" i="30"/>
  <c r="AF2155" i="30"/>
  <c r="AH2155" i="30" s="1"/>
  <c r="AG2157" i="30"/>
  <c r="AF2157" i="30"/>
  <c r="AH2157" i="30" s="1"/>
  <c r="AG2159" i="30"/>
  <c r="AF2159" i="30"/>
  <c r="AH2159" i="30" s="1"/>
  <c r="AG2161" i="30"/>
  <c r="AF2161" i="30"/>
  <c r="AH2161" i="30" s="1"/>
  <c r="AG2163" i="30"/>
  <c r="AF2163" i="30"/>
  <c r="AH2163" i="30" s="1"/>
  <c r="AG2165" i="30"/>
  <c r="AF2165" i="30"/>
  <c r="AH2165" i="30" s="1"/>
  <c r="AG2167" i="30"/>
  <c r="AF2167" i="30"/>
  <c r="AH2167" i="30" s="1"/>
  <c r="AG2169" i="30"/>
  <c r="AF2169" i="30"/>
  <c r="AH2169" i="30" s="1"/>
  <c r="AG2171" i="30"/>
  <c r="AF2171" i="30"/>
  <c r="AH2171" i="30" s="1"/>
  <c r="AG2173" i="30"/>
  <c r="AF2173" i="30"/>
  <c r="AH2173" i="30" s="1"/>
  <c r="AG2175" i="30"/>
  <c r="AF2175" i="30"/>
  <c r="AH2175" i="30" s="1"/>
  <c r="AG2177" i="30"/>
  <c r="AF2177" i="30"/>
  <c r="AH2177" i="30" s="1"/>
  <c r="AG2179" i="30"/>
  <c r="AF2179" i="30"/>
  <c r="AH2179" i="30" s="1"/>
  <c r="AG2181" i="30"/>
  <c r="AF2181" i="30"/>
  <c r="AH2181" i="30" s="1"/>
  <c r="AG2183" i="30"/>
  <c r="AF2183" i="30"/>
  <c r="AH2183" i="30" s="1"/>
  <c r="AG2185" i="30"/>
  <c r="AF2185" i="30"/>
  <c r="AH2185" i="30" s="1"/>
  <c r="AG2187" i="30"/>
  <c r="AF2187" i="30"/>
  <c r="AH2187" i="30" s="1"/>
  <c r="AG2189" i="30"/>
  <c r="AF2189" i="30"/>
  <c r="AH2189" i="30" s="1"/>
  <c r="AG2191" i="30"/>
  <c r="AF2191" i="30"/>
  <c r="AH2191" i="30" s="1"/>
  <c r="AG2193" i="30"/>
  <c r="AF2193" i="30"/>
  <c r="AH2193" i="30" s="1"/>
  <c r="AG2195" i="30"/>
  <c r="AF2195" i="30"/>
  <c r="AH2195" i="30" s="1"/>
  <c r="AG2197" i="30"/>
  <c r="AF2197" i="30"/>
  <c r="AH2197" i="30" s="1"/>
  <c r="AG2199" i="30"/>
  <c r="AF2199" i="30"/>
  <c r="AH2199" i="30" s="1"/>
  <c r="AG2201" i="30"/>
  <c r="AF2201" i="30"/>
  <c r="AH2201" i="30" s="1"/>
  <c r="AG2203" i="30"/>
  <c r="AF2203" i="30"/>
  <c r="AH2203" i="30" s="1"/>
  <c r="AG2205" i="30"/>
  <c r="AF2205" i="30"/>
  <c r="AH2205" i="30" s="1"/>
  <c r="AG2207" i="30"/>
  <c r="AF2207" i="30"/>
  <c r="AH2207" i="30" s="1"/>
  <c r="AG2209" i="30"/>
  <c r="AF2209" i="30"/>
  <c r="AH2209" i="30" s="1"/>
  <c r="AG2211" i="30"/>
  <c r="AF2211" i="30"/>
  <c r="AH2211" i="30" s="1"/>
  <c r="AG2213" i="30"/>
  <c r="AF2213" i="30"/>
  <c r="AH2213" i="30" s="1"/>
  <c r="AG2215" i="30"/>
  <c r="AF2215" i="30"/>
  <c r="AH2215" i="30" s="1"/>
  <c r="AG2217" i="30"/>
  <c r="AF2217" i="30"/>
  <c r="AH2217" i="30" s="1"/>
  <c r="AG2219" i="30"/>
  <c r="AF2219" i="30"/>
  <c r="AH2219" i="30" s="1"/>
  <c r="AG2221" i="30"/>
  <c r="AF2221" i="30"/>
  <c r="AH2221" i="30" s="1"/>
  <c r="AG2223" i="30"/>
  <c r="AF2223" i="30"/>
  <c r="AH2223" i="30" s="1"/>
  <c r="AG2225" i="30"/>
  <c r="AF2225" i="30"/>
  <c r="AH2225" i="30" s="1"/>
  <c r="AG2227" i="30"/>
  <c r="AF2227" i="30"/>
  <c r="AH2227" i="30" s="1"/>
  <c r="AG2229" i="30"/>
  <c r="AF2229" i="30"/>
  <c r="AH2229" i="30" s="1"/>
  <c r="AG2231" i="30"/>
  <c r="AF2231" i="30"/>
  <c r="AH2231" i="30" s="1"/>
  <c r="AG2233" i="30"/>
  <c r="AF2233" i="30"/>
  <c r="AH2233" i="30" s="1"/>
  <c r="AG2235" i="30"/>
  <c r="AF2235" i="30"/>
  <c r="AH2235" i="30" s="1"/>
  <c r="AG2237" i="30"/>
  <c r="AF2237" i="30"/>
  <c r="AH2237" i="30" s="1"/>
  <c r="AG2239" i="30"/>
  <c r="AF2239" i="30"/>
  <c r="AH2239" i="30" s="1"/>
  <c r="AG2241" i="30"/>
  <c r="AF2241" i="30"/>
  <c r="AH2241" i="30" s="1"/>
  <c r="AG2243" i="30"/>
  <c r="AF2243" i="30"/>
  <c r="AH2243" i="30" s="1"/>
  <c r="AG2245" i="30"/>
  <c r="AF2245" i="30"/>
  <c r="AH2245" i="30" s="1"/>
  <c r="AG2247" i="30"/>
  <c r="AF2247" i="30"/>
  <c r="AH2247" i="30" s="1"/>
  <c r="AG2249" i="30"/>
  <c r="AF2249" i="30"/>
  <c r="AH2249" i="30" s="1"/>
  <c r="AG2251" i="30"/>
  <c r="AF2251" i="30"/>
  <c r="AH2251" i="30" s="1"/>
  <c r="AG2253" i="30"/>
  <c r="AF2253" i="30"/>
  <c r="AH2253" i="30" s="1"/>
  <c r="AG2255" i="30"/>
  <c r="AF2255" i="30"/>
  <c r="AH2255" i="30" s="1"/>
  <c r="AG2257" i="30"/>
  <c r="AF2257" i="30"/>
  <c r="AH2257" i="30" s="1"/>
  <c r="AG2259" i="30"/>
  <c r="AF2259" i="30"/>
  <c r="AH2259" i="30" s="1"/>
  <c r="AG2261" i="30"/>
  <c r="AF2261" i="30"/>
  <c r="AH2261" i="30" s="1"/>
  <c r="AG2263" i="30"/>
  <c r="AF2263" i="30"/>
  <c r="AH2263" i="30" s="1"/>
  <c r="AG2265" i="30"/>
  <c r="AF2265" i="30"/>
  <c r="AH2265" i="30" s="1"/>
  <c r="AG2267" i="30"/>
  <c r="AF2267" i="30"/>
  <c r="AH2267" i="30" s="1"/>
  <c r="AG2269" i="30"/>
  <c r="AF2269" i="30"/>
  <c r="AH2269" i="30" s="1"/>
  <c r="AG2271" i="30"/>
  <c r="AF2271" i="30"/>
  <c r="AH2271" i="30" s="1"/>
  <c r="AG2273" i="30"/>
  <c r="AF2273" i="30"/>
  <c r="AH2273" i="30" s="1"/>
  <c r="AG2275" i="30"/>
  <c r="AF2275" i="30"/>
  <c r="AH2275" i="30" s="1"/>
  <c r="AG2277" i="30"/>
  <c r="AF2277" i="30"/>
  <c r="AH2277" i="30" s="1"/>
  <c r="AG2279" i="30"/>
  <c r="AF2279" i="30"/>
  <c r="AH2279" i="30" s="1"/>
  <c r="AG2281" i="30"/>
  <c r="AF2281" i="30"/>
  <c r="AH2281" i="30" s="1"/>
  <c r="AG2283" i="30"/>
  <c r="AF2283" i="30"/>
  <c r="AH2283" i="30" s="1"/>
  <c r="AG2285" i="30"/>
  <c r="AF2285" i="30"/>
  <c r="AH2285" i="30" s="1"/>
  <c r="AG2287" i="30"/>
  <c r="AF2287" i="30"/>
  <c r="AH2287" i="30" s="1"/>
  <c r="AG2289" i="30"/>
  <c r="AF2289" i="30"/>
  <c r="AH2289" i="30" s="1"/>
  <c r="AG2291" i="30"/>
  <c r="AF2291" i="30"/>
  <c r="AH2291" i="30" s="1"/>
  <c r="AG2293" i="30"/>
  <c r="AF2293" i="30"/>
  <c r="AH2293" i="30" s="1"/>
  <c r="AG2295" i="30"/>
  <c r="AF2295" i="30"/>
  <c r="AH2295" i="30" s="1"/>
  <c r="AG2297" i="30"/>
  <c r="AF2297" i="30"/>
  <c r="AH2297" i="30" s="1"/>
  <c r="AG2299" i="30"/>
  <c r="AF2299" i="30"/>
  <c r="AH2299" i="30" s="1"/>
  <c r="AG2301" i="30"/>
  <c r="AF2301" i="30"/>
  <c r="AH2301" i="30" s="1"/>
  <c r="AG2303" i="30"/>
  <c r="AF2303" i="30"/>
  <c r="AH2303" i="30" s="1"/>
  <c r="AG2305" i="30"/>
  <c r="AF2305" i="30"/>
  <c r="AH2305" i="30" s="1"/>
  <c r="AG2307" i="30"/>
  <c r="AF2307" i="30"/>
  <c r="AH2307" i="30" s="1"/>
  <c r="AG2309" i="30"/>
  <c r="AF2309" i="30"/>
  <c r="AH2309" i="30" s="1"/>
  <c r="AG2311" i="30"/>
  <c r="AF2311" i="30"/>
  <c r="AH2311" i="30" s="1"/>
  <c r="AG2313" i="30"/>
  <c r="AF2313" i="30"/>
  <c r="AH2313" i="30" s="1"/>
  <c r="AG2315" i="30"/>
  <c r="AF2315" i="30"/>
  <c r="AH2315" i="30" s="1"/>
  <c r="AG2317" i="30"/>
  <c r="AF2317" i="30"/>
  <c r="AH2317" i="30" s="1"/>
  <c r="AG2319" i="30"/>
  <c r="AF2319" i="30"/>
  <c r="AH2319" i="30" s="1"/>
  <c r="AG2321" i="30"/>
  <c r="AF2321" i="30"/>
  <c r="AH2321" i="30" s="1"/>
  <c r="AG2323" i="30"/>
  <c r="AF2323" i="30"/>
  <c r="AH2323" i="30" s="1"/>
  <c r="AG2325" i="30"/>
  <c r="AF2325" i="30"/>
  <c r="AH2325" i="30" s="1"/>
  <c r="AG2327" i="30"/>
  <c r="AF2327" i="30"/>
  <c r="AH2327" i="30" s="1"/>
  <c r="AG2329" i="30"/>
  <c r="AF2329" i="30"/>
  <c r="AH2329" i="30" s="1"/>
  <c r="AG2331" i="30"/>
  <c r="AF2331" i="30"/>
  <c r="AH2331" i="30" s="1"/>
  <c r="AG2333" i="30"/>
  <c r="AF2333" i="30"/>
  <c r="AH2333" i="30" s="1"/>
  <c r="AG2335" i="30"/>
  <c r="AF2335" i="30"/>
  <c r="AH2335" i="30" s="1"/>
  <c r="AG2337" i="30"/>
  <c r="AF2337" i="30"/>
  <c r="AH2337" i="30" s="1"/>
  <c r="AG2339" i="30"/>
  <c r="AF2339" i="30"/>
  <c r="AH2339" i="30" s="1"/>
  <c r="AG2341" i="30"/>
  <c r="AF2341" i="30"/>
  <c r="AH2341" i="30" s="1"/>
  <c r="AG2343" i="30"/>
  <c r="AF2343" i="30"/>
  <c r="AH2343" i="30" s="1"/>
  <c r="AG2345" i="30"/>
  <c r="AF2345" i="30"/>
  <c r="AH2345" i="30" s="1"/>
  <c r="AG2347" i="30"/>
  <c r="AF2347" i="30"/>
  <c r="AH2347" i="30" s="1"/>
  <c r="AG2349" i="30"/>
  <c r="AF2349" i="30"/>
  <c r="AH2349" i="30" s="1"/>
  <c r="AG2351" i="30"/>
  <c r="AF2351" i="30"/>
  <c r="AH2351" i="30" s="1"/>
  <c r="AG2353" i="30"/>
  <c r="AF2353" i="30"/>
  <c r="AH2353" i="30" s="1"/>
  <c r="AG2355" i="30"/>
  <c r="AF2355" i="30"/>
  <c r="AH2355" i="30" s="1"/>
  <c r="AG2357" i="30"/>
  <c r="AF2357" i="30"/>
  <c r="AH2357" i="30" s="1"/>
  <c r="AG2359" i="30"/>
  <c r="AF2359" i="30"/>
  <c r="AH2359" i="30" s="1"/>
  <c r="AG2361" i="30"/>
  <c r="AF2361" i="30"/>
  <c r="AH2361" i="30" s="1"/>
  <c r="AG2363" i="30"/>
  <c r="AF2363" i="30"/>
  <c r="AH2363" i="30" s="1"/>
  <c r="AG2365" i="30"/>
  <c r="AF2365" i="30"/>
  <c r="AH2365" i="30" s="1"/>
  <c r="AG2367" i="30"/>
  <c r="AF2367" i="30"/>
  <c r="AH2367" i="30" s="1"/>
  <c r="AG2369" i="30"/>
  <c r="AF2369" i="30"/>
  <c r="AH2369" i="30" s="1"/>
  <c r="AG2371" i="30"/>
  <c r="AF2371" i="30"/>
  <c r="AH2371" i="30" s="1"/>
  <c r="AG2373" i="30"/>
  <c r="AF2373" i="30"/>
  <c r="AH2373" i="30" s="1"/>
  <c r="AG2375" i="30"/>
  <c r="AF2375" i="30"/>
  <c r="AH2375" i="30" s="1"/>
  <c r="AG2377" i="30"/>
  <c r="AF2377" i="30"/>
  <c r="AH2377" i="30" s="1"/>
  <c r="AG2379" i="30"/>
  <c r="AF2379" i="30"/>
  <c r="AH2379" i="30" s="1"/>
  <c r="AG2381" i="30"/>
  <c r="AF2381" i="30"/>
  <c r="AH2381" i="30" s="1"/>
  <c r="AG2383" i="30"/>
  <c r="AF2383" i="30"/>
  <c r="AH2383" i="30" s="1"/>
  <c r="AG2385" i="30"/>
  <c r="AF2385" i="30"/>
  <c r="AH2385" i="30" s="1"/>
  <c r="AG2387" i="30"/>
  <c r="AF2387" i="30"/>
  <c r="AH2387" i="30" s="1"/>
  <c r="AG2389" i="30"/>
  <c r="AF2389" i="30"/>
  <c r="AH2389" i="30" s="1"/>
  <c r="AG2391" i="30"/>
  <c r="AF2391" i="30"/>
  <c r="AH2391" i="30" s="1"/>
  <c r="AG2393" i="30"/>
  <c r="AF2393" i="30"/>
  <c r="AH2393" i="30" s="1"/>
  <c r="AG2395" i="30"/>
  <c r="AF2395" i="30"/>
  <c r="AH2395" i="30" s="1"/>
  <c r="AG2397" i="30"/>
  <c r="AF2397" i="30"/>
  <c r="AH2397" i="30" s="1"/>
  <c r="AG2399" i="30"/>
  <c r="AF2399" i="30"/>
  <c r="AH2399" i="30" s="1"/>
  <c r="AG2401" i="30"/>
  <c r="AF2401" i="30"/>
  <c r="AH2401" i="30" s="1"/>
  <c r="AG2403" i="30"/>
  <c r="AF2403" i="30"/>
  <c r="AH2403" i="30" s="1"/>
  <c r="AG2405" i="30"/>
  <c r="AF2405" i="30"/>
  <c r="AH2405" i="30" s="1"/>
  <c r="AG2407" i="30"/>
  <c r="AF2407" i="30"/>
  <c r="AH2407" i="30" s="1"/>
  <c r="AG2409" i="30"/>
  <c r="AF2409" i="30"/>
  <c r="AH2409" i="30" s="1"/>
  <c r="AG2411" i="30"/>
  <c r="AF2411" i="30"/>
  <c r="AH2411" i="30" s="1"/>
  <c r="AG2413" i="30"/>
  <c r="AF2413" i="30"/>
  <c r="AH2413" i="30" s="1"/>
  <c r="AG2415" i="30"/>
  <c r="AF2415" i="30"/>
  <c r="AH2415" i="30" s="1"/>
  <c r="AG2417" i="30"/>
  <c r="AF2417" i="30"/>
  <c r="AH2417" i="30" s="1"/>
  <c r="AG2419" i="30"/>
  <c r="AF2419" i="30"/>
  <c r="AH2419" i="30" s="1"/>
  <c r="AG2421" i="30"/>
  <c r="AF2421" i="30"/>
  <c r="AH2421" i="30" s="1"/>
  <c r="AG2423" i="30"/>
  <c r="AF2423" i="30"/>
  <c r="AH2423" i="30" s="1"/>
  <c r="AG2425" i="30"/>
  <c r="AF2425" i="30"/>
  <c r="AH2425" i="30" s="1"/>
  <c r="AG2427" i="30"/>
  <c r="AF2427" i="30"/>
  <c r="AH2427" i="30" s="1"/>
  <c r="AG2429" i="30"/>
  <c r="AF2429" i="30"/>
  <c r="AH2429" i="30" s="1"/>
  <c r="AG2431" i="30"/>
  <c r="AF2431" i="30"/>
  <c r="AH2431" i="30" s="1"/>
  <c r="AG2433" i="30"/>
  <c r="AF2433" i="30"/>
  <c r="AH2433" i="30" s="1"/>
  <c r="AG2435" i="30"/>
  <c r="AF2435" i="30"/>
  <c r="AH2435" i="30" s="1"/>
  <c r="AG2437" i="30"/>
  <c r="AF2437" i="30"/>
  <c r="AH2437" i="30" s="1"/>
  <c r="AG2439" i="30"/>
  <c r="AF2439" i="30"/>
  <c r="AH2439" i="30" s="1"/>
  <c r="AG2441" i="30"/>
  <c r="AF2441" i="30"/>
  <c r="AH2441" i="30" s="1"/>
  <c r="AG2443" i="30"/>
  <c r="AF2443" i="30"/>
  <c r="AH2443" i="30" s="1"/>
  <c r="AG2445" i="30"/>
  <c r="AF2445" i="30"/>
  <c r="AH2445" i="30" s="1"/>
  <c r="AG2447" i="30"/>
  <c r="AF2447" i="30"/>
  <c r="AH2447" i="30" s="1"/>
  <c r="AG2449" i="30"/>
  <c r="AF2449" i="30"/>
  <c r="AH2449" i="30" s="1"/>
  <c r="AG2451" i="30"/>
  <c r="AF2451" i="30"/>
  <c r="AH2451" i="30" s="1"/>
  <c r="AG2453" i="30"/>
  <c r="AF2453" i="30"/>
  <c r="AH2453" i="30" s="1"/>
  <c r="AG2455" i="30"/>
  <c r="AF2455" i="30"/>
  <c r="AH2455" i="30" s="1"/>
  <c r="AG2457" i="30"/>
  <c r="AF2457" i="30"/>
  <c r="AH2457" i="30" s="1"/>
  <c r="AG2459" i="30"/>
  <c r="AF2459" i="30"/>
  <c r="AH2459" i="30" s="1"/>
  <c r="AG2461" i="30"/>
  <c r="AF2461" i="30"/>
  <c r="AH2461" i="30" s="1"/>
  <c r="AG2463" i="30"/>
  <c r="AF2463" i="30"/>
  <c r="AH2463" i="30" s="1"/>
  <c r="AG2465" i="30"/>
  <c r="AF2465" i="30"/>
  <c r="AH2465" i="30" s="1"/>
  <c r="AG2467" i="30"/>
  <c r="AF2467" i="30"/>
  <c r="AH2467" i="30" s="1"/>
  <c r="AG2840" i="30"/>
  <c r="AF2840" i="30"/>
  <c r="AH2840" i="30" s="1"/>
  <c r="AG2842" i="30"/>
  <c r="AF2842" i="30"/>
  <c r="AH2842" i="30" s="1"/>
  <c r="AG2844" i="30"/>
  <c r="AF2844" i="30"/>
  <c r="AH2844" i="30" s="1"/>
  <c r="AG2846" i="30"/>
  <c r="AF2846" i="30"/>
  <c r="AH2846" i="30" s="1"/>
  <c r="AG2848" i="30"/>
  <c r="AF2848" i="30"/>
  <c r="AH2848" i="30" s="1"/>
  <c r="AG2850" i="30"/>
  <c r="AF2850" i="30"/>
  <c r="AH2850" i="30" s="1"/>
  <c r="AG2852" i="30"/>
  <c r="AF2852" i="30"/>
  <c r="AH2852" i="30" s="1"/>
  <c r="AG2854" i="30"/>
  <c r="AF2854" i="30"/>
  <c r="AH2854" i="30" s="1"/>
  <c r="AG2856" i="30"/>
  <c r="AF2856" i="30"/>
  <c r="AH2856" i="30" s="1"/>
  <c r="AG2858" i="30"/>
  <c r="AF2858" i="30"/>
  <c r="AH2858" i="30" s="1"/>
  <c r="AG2860" i="30"/>
  <c r="AF2860" i="30"/>
  <c r="AH2860" i="30" s="1"/>
  <c r="AG2862" i="30"/>
  <c r="AF2862" i="30"/>
  <c r="AH2862" i="30" s="1"/>
  <c r="AG2864" i="30"/>
  <c r="AF2864" i="30"/>
  <c r="AH2864" i="30" s="1"/>
  <c r="AG2866" i="30"/>
  <c r="AF2866" i="30"/>
  <c r="AH2866" i="30" s="1"/>
  <c r="AG2868" i="30"/>
  <c r="AF2868" i="30"/>
  <c r="AH2868" i="30" s="1"/>
  <c r="AG2870" i="30"/>
  <c r="AF2870" i="30"/>
  <c r="AH2870" i="30" s="1"/>
  <c r="AG2872" i="30"/>
  <c r="AF2872" i="30"/>
  <c r="AH2872" i="30" s="1"/>
  <c r="AG2874" i="30"/>
  <c r="AF2874" i="30"/>
  <c r="AH2874" i="30" s="1"/>
  <c r="AG2876" i="30"/>
  <c r="AF2876" i="30"/>
  <c r="AH2876" i="30" s="1"/>
  <c r="AG2878" i="30"/>
  <c r="AF2878" i="30"/>
  <c r="AH2878" i="30" s="1"/>
  <c r="AG2880" i="30"/>
  <c r="AF2880" i="30"/>
  <c r="AH2880" i="30" s="1"/>
  <c r="AG2882" i="30"/>
  <c r="AF2882" i="30"/>
  <c r="AH2882" i="30" s="1"/>
  <c r="AG2884" i="30"/>
  <c r="AF2884" i="30"/>
  <c r="AH2884" i="30" s="1"/>
  <c r="AG2886" i="30"/>
  <c r="AF2886" i="30"/>
  <c r="AH2886" i="30" s="1"/>
  <c r="AG2888" i="30"/>
  <c r="AF2888" i="30"/>
  <c r="AH2888" i="30" s="1"/>
  <c r="AG2890" i="30"/>
  <c r="AF2890" i="30"/>
  <c r="AH2890" i="30" s="1"/>
  <c r="AG2892" i="30"/>
  <c r="AF2892" i="30"/>
  <c r="AH2892" i="30" s="1"/>
  <c r="AG2894" i="30"/>
  <c r="AF2894" i="30"/>
  <c r="AH2894" i="30" s="1"/>
  <c r="AG2896" i="30"/>
  <c r="AF2896" i="30"/>
  <c r="AH2896" i="30" s="1"/>
  <c r="AG2898" i="30"/>
  <c r="AF2898" i="30"/>
  <c r="AH2898" i="30" s="1"/>
  <c r="AG2900" i="30"/>
  <c r="AF2900" i="30"/>
  <c r="AH2900" i="30" s="1"/>
  <c r="AG2902" i="30"/>
  <c r="AF2902" i="30"/>
  <c r="AH2902" i="30" s="1"/>
  <c r="AG2904" i="30"/>
  <c r="AF2904" i="30"/>
  <c r="AH2904" i="30" s="1"/>
  <c r="AG2906" i="30"/>
  <c r="AF2906" i="30"/>
  <c r="AH2906" i="30" s="1"/>
  <c r="AG2908" i="30"/>
  <c r="AF2908" i="30"/>
  <c r="AH2908" i="30" s="1"/>
  <c r="AG2910" i="30"/>
  <c r="AF2910" i="30"/>
  <c r="AH2910" i="30" s="1"/>
  <c r="AG2912" i="30"/>
  <c r="AF2912" i="30"/>
  <c r="AH2912" i="30" s="1"/>
  <c r="AG2914" i="30"/>
  <c r="AF2914" i="30"/>
  <c r="AH2914" i="30" s="1"/>
  <c r="AG2916" i="30"/>
  <c r="AF2916" i="30"/>
  <c r="AH2916" i="30" s="1"/>
  <c r="AG2918" i="30"/>
  <c r="AF2918" i="30"/>
  <c r="AH2918" i="30" s="1"/>
  <c r="AG2920" i="30"/>
  <c r="AF2920" i="30"/>
  <c r="AH2920" i="30" s="1"/>
  <c r="AG2922" i="30"/>
  <c r="AF2922" i="30"/>
  <c r="AH2922" i="30" s="1"/>
  <c r="AG2924" i="30"/>
  <c r="AF2924" i="30"/>
  <c r="AH2924" i="30" s="1"/>
  <c r="AG2926" i="30"/>
  <c r="AF2926" i="30"/>
  <c r="AH2926" i="30" s="1"/>
  <c r="AG2928" i="30"/>
  <c r="AF2928" i="30"/>
  <c r="AH2928" i="30" s="1"/>
  <c r="AG2930" i="30"/>
  <c r="AF2930" i="30"/>
  <c r="AH2930" i="30" s="1"/>
  <c r="AG2932" i="30"/>
  <c r="AF2932" i="30"/>
  <c r="AH2932" i="30" s="1"/>
  <c r="AG2934" i="30"/>
  <c r="AF2934" i="30"/>
  <c r="AH2934" i="30" s="1"/>
  <c r="AG2936" i="30"/>
  <c r="AF2936" i="30"/>
  <c r="AH2936" i="30" s="1"/>
  <c r="AG2938" i="30"/>
  <c r="AF2938" i="30"/>
  <c r="AH2938" i="30" s="1"/>
  <c r="AG2940" i="30"/>
  <c r="AF2940" i="30"/>
  <c r="AH2940" i="30" s="1"/>
  <c r="AG2942" i="30"/>
  <c r="AF2942" i="30"/>
  <c r="AH2942" i="30" s="1"/>
  <c r="AG2944" i="30"/>
  <c r="AF2944" i="30"/>
  <c r="AH2944" i="30" s="1"/>
  <c r="AG2946" i="30"/>
  <c r="AF2946" i="30"/>
  <c r="AH2946" i="30" s="1"/>
  <c r="AG2948" i="30"/>
  <c r="AF2948" i="30"/>
  <c r="AH2948" i="30" s="1"/>
  <c r="AG2950" i="30"/>
  <c r="AF2950" i="30"/>
  <c r="AH2950" i="30" s="1"/>
  <c r="AG2952" i="30"/>
  <c r="AF2952" i="30"/>
  <c r="AH2952" i="30" s="1"/>
  <c r="AG2954" i="30"/>
  <c r="AF2954" i="30"/>
  <c r="AH2954" i="30" s="1"/>
  <c r="AG2956" i="30"/>
  <c r="AF2956" i="30"/>
  <c r="AH2956" i="30" s="1"/>
  <c r="AG2958" i="30"/>
  <c r="AF2958" i="30"/>
  <c r="AH2958" i="30" s="1"/>
  <c r="AG2960" i="30"/>
  <c r="AF2960" i="30"/>
  <c r="AH2960" i="30" s="1"/>
  <c r="AG2962" i="30"/>
  <c r="AF2962" i="30"/>
  <c r="AH2962" i="30" s="1"/>
  <c r="AG2964" i="30"/>
  <c r="AF2964" i="30"/>
  <c r="AH2964" i="30" s="1"/>
  <c r="AG2966" i="30"/>
  <c r="AF2966" i="30"/>
  <c r="AH2966" i="30" s="1"/>
  <c r="AG2968" i="30"/>
  <c r="AF2968" i="30"/>
  <c r="AH2968" i="30" s="1"/>
  <c r="AG2970" i="30"/>
  <c r="AF2970" i="30"/>
  <c r="AH2970" i="30" s="1"/>
  <c r="AG2972" i="30"/>
  <c r="AF2972" i="30"/>
  <c r="AH2972" i="30" s="1"/>
  <c r="AG2974" i="30"/>
  <c r="AF2974" i="30"/>
  <c r="AH2974" i="30" s="1"/>
  <c r="AG2976" i="30"/>
  <c r="AF2976" i="30"/>
  <c r="AH2976" i="30" s="1"/>
  <c r="AG2978" i="30"/>
  <c r="AF2978" i="30"/>
  <c r="AH2978" i="30" s="1"/>
  <c r="AG2980" i="30"/>
  <c r="AF2980" i="30"/>
  <c r="AH2980" i="30" s="1"/>
  <c r="AG2982" i="30"/>
  <c r="AF2982" i="30"/>
  <c r="AH2982" i="30" s="1"/>
  <c r="AG2984" i="30"/>
  <c r="AF2984" i="30"/>
  <c r="AH2984" i="30" s="1"/>
  <c r="AG2986" i="30"/>
  <c r="AF2986" i="30"/>
  <c r="AH2986" i="30" s="1"/>
  <c r="AG2988" i="30"/>
  <c r="AF2988" i="30"/>
  <c r="AH2988" i="30" s="1"/>
  <c r="AG2990" i="30"/>
  <c r="AF2990" i="30"/>
  <c r="AH2990" i="30" s="1"/>
  <c r="AG2992" i="30"/>
  <c r="AF2992" i="30"/>
  <c r="AH2992" i="30" s="1"/>
  <c r="AG2994" i="30"/>
  <c r="AF2994" i="30"/>
  <c r="AH2994" i="30" s="1"/>
  <c r="AG2996" i="30"/>
  <c r="AF2996" i="30"/>
  <c r="AH2996" i="30" s="1"/>
  <c r="AG2998" i="30"/>
  <c r="AF2998" i="30"/>
  <c r="AH2998" i="30" s="1"/>
  <c r="AG3000" i="30"/>
  <c r="AF3000" i="30"/>
  <c r="AH3000" i="30" s="1"/>
  <c r="AG3002" i="30"/>
  <c r="AF3002" i="30"/>
  <c r="AH3002" i="30" s="1"/>
  <c r="AG3004" i="30"/>
  <c r="AF3004" i="30"/>
  <c r="AH3004" i="30" s="1"/>
  <c r="AG3006" i="30"/>
  <c r="AF3006" i="30"/>
  <c r="AH3006" i="30" s="1"/>
  <c r="AG3008" i="30"/>
  <c r="AF3008" i="30"/>
  <c r="AH3008" i="30" s="1"/>
  <c r="AG3010" i="30"/>
  <c r="AF3010" i="30"/>
  <c r="AH3010" i="30" s="1"/>
  <c r="AG3012" i="30"/>
  <c r="AF3012" i="30"/>
  <c r="AH3012" i="30" s="1"/>
  <c r="AG3014" i="30"/>
  <c r="AF3014" i="30"/>
  <c r="AH3014" i="30" s="1"/>
  <c r="AG3016" i="30"/>
  <c r="AF3016" i="30"/>
  <c r="AH3016" i="30" s="1"/>
  <c r="AG3018" i="30"/>
  <c r="AF3018" i="30"/>
  <c r="AH3018" i="30" s="1"/>
  <c r="AG3020" i="30"/>
  <c r="AF3020" i="30"/>
  <c r="AH3020" i="30" s="1"/>
  <c r="AG3022" i="30"/>
  <c r="AF3022" i="30"/>
  <c r="AH3022" i="30" s="1"/>
  <c r="AG3024" i="30"/>
  <c r="AF3024" i="30"/>
  <c r="AH3024" i="30" s="1"/>
  <c r="AG3026" i="30"/>
  <c r="AF3026" i="30"/>
  <c r="AH3026" i="30" s="1"/>
  <c r="AG3028" i="30"/>
  <c r="AF3028" i="30"/>
  <c r="AH3028" i="30" s="1"/>
  <c r="AG3030" i="30"/>
  <c r="AF3030" i="30"/>
  <c r="AH3030" i="30" s="1"/>
  <c r="AG3032" i="30"/>
  <c r="AF3032" i="30"/>
  <c r="AH3032" i="30" s="1"/>
  <c r="AG3034" i="30"/>
  <c r="AF3034" i="30"/>
  <c r="AH3034" i="30" s="1"/>
  <c r="AG3036" i="30"/>
  <c r="AF3036" i="30"/>
  <c r="AH3036" i="30" s="1"/>
  <c r="AG3038" i="30"/>
  <c r="AF3038" i="30"/>
  <c r="AH3038" i="30" s="1"/>
  <c r="AG3040" i="30"/>
  <c r="AF3040" i="30"/>
  <c r="AH3040" i="30" s="1"/>
  <c r="AG3042" i="30"/>
  <c r="AF3042" i="30"/>
  <c r="AH3042" i="30" s="1"/>
  <c r="AG3044" i="30"/>
  <c r="AF3044" i="30"/>
  <c r="AH3044" i="30" s="1"/>
  <c r="AG3046" i="30"/>
  <c r="AF3046" i="30"/>
  <c r="AH3046" i="30" s="1"/>
  <c r="AG3048" i="30"/>
  <c r="AF3048" i="30"/>
  <c r="AH3048" i="30" s="1"/>
  <c r="AG3050" i="30"/>
  <c r="AF3050" i="30"/>
  <c r="AH3050" i="30" s="1"/>
  <c r="AG3052" i="30"/>
  <c r="AF3052" i="30"/>
  <c r="AH3052" i="30" s="1"/>
  <c r="AG3054" i="30"/>
  <c r="AF3054" i="30"/>
  <c r="AH3054" i="30" s="1"/>
  <c r="AG3056" i="30"/>
  <c r="AF3056" i="30"/>
  <c r="AH3056" i="30" s="1"/>
  <c r="AG3058" i="30"/>
  <c r="AF3058" i="30"/>
  <c r="AH3058" i="30" s="1"/>
  <c r="AG3060" i="30"/>
  <c r="AF3060" i="30"/>
  <c r="AH3060" i="30" s="1"/>
  <c r="AG3062" i="30"/>
  <c r="AF3062" i="30"/>
  <c r="AH3062" i="30" s="1"/>
  <c r="AG3064" i="30"/>
  <c r="AF3064" i="30"/>
  <c r="AH3064" i="30" s="1"/>
  <c r="AG3066" i="30"/>
  <c r="AF3066" i="30"/>
  <c r="AH3066" i="30" s="1"/>
  <c r="AG3068" i="30"/>
  <c r="AF3068" i="30"/>
  <c r="AH3068" i="30" s="1"/>
  <c r="AG3070" i="30"/>
  <c r="AF3070" i="30"/>
  <c r="AH3070" i="30" s="1"/>
  <c r="AG3072" i="30"/>
  <c r="AF3072" i="30"/>
  <c r="AH3072" i="30" s="1"/>
  <c r="AG3074" i="30"/>
  <c r="AF3074" i="30"/>
  <c r="AH3074" i="30" s="1"/>
  <c r="AG3076" i="30"/>
  <c r="AF3076" i="30"/>
  <c r="AH3076" i="30" s="1"/>
  <c r="AG3078" i="30"/>
  <c r="AF3078" i="30"/>
  <c r="AH3078" i="30" s="1"/>
  <c r="AG3080" i="30"/>
  <c r="AF3080" i="30"/>
  <c r="AH3080" i="30" s="1"/>
  <c r="AG3082" i="30"/>
  <c r="AF3082" i="30"/>
  <c r="AH3082" i="30" s="1"/>
  <c r="AG3084" i="30"/>
  <c r="AF3084" i="30"/>
  <c r="AH3084" i="30" s="1"/>
  <c r="AG3086" i="30"/>
  <c r="AF3086" i="30"/>
  <c r="AH3086" i="30" s="1"/>
  <c r="AG3088" i="30"/>
  <c r="AF3088" i="30"/>
  <c r="AH3088" i="30" s="1"/>
  <c r="AG3090" i="30"/>
  <c r="AF3090" i="30"/>
  <c r="AH3090" i="30" s="1"/>
  <c r="AG3092" i="30"/>
  <c r="AF3092" i="30"/>
  <c r="AH3092" i="30" s="1"/>
  <c r="AG3094" i="30"/>
  <c r="AF3094" i="30"/>
  <c r="AH3094" i="30" s="1"/>
  <c r="AG3096" i="30"/>
  <c r="AF3096" i="30"/>
  <c r="AH3096" i="30" s="1"/>
  <c r="AG3098" i="30"/>
  <c r="AF3098" i="30"/>
  <c r="AH3098" i="30" s="1"/>
  <c r="AG3100" i="30"/>
  <c r="AF3100" i="30"/>
  <c r="AH3100" i="30" s="1"/>
  <c r="AG3102" i="30"/>
  <c r="AF3102" i="30"/>
  <c r="AH3102" i="30" s="1"/>
  <c r="AG3104" i="30"/>
  <c r="AF3104" i="30"/>
  <c r="AH3104" i="30" s="1"/>
  <c r="AG3106" i="30"/>
  <c r="AF3106" i="30"/>
  <c r="AH3106" i="30" s="1"/>
  <c r="AG3108" i="30"/>
  <c r="AF3108" i="30"/>
  <c r="AH3108" i="30" s="1"/>
  <c r="AG3110" i="30"/>
  <c r="AF3110" i="30"/>
  <c r="AH3110" i="30" s="1"/>
  <c r="AG3112" i="30"/>
  <c r="AF3112" i="30"/>
  <c r="AH3112" i="30" s="1"/>
  <c r="AG3114" i="30"/>
  <c r="AF3114" i="30"/>
  <c r="AH3114" i="30" s="1"/>
  <c r="AG3116" i="30"/>
  <c r="AF3116" i="30"/>
  <c r="AH3116" i="30" s="1"/>
  <c r="AG3118" i="30"/>
  <c r="AF3118" i="30"/>
  <c r="AH3118" i="30" s="1"/>
  <c r="AG3120" i="30"/>
  <c r="AF3120" i="30"/>
  <c r="AH3120" i="30" s="1"/>
  <c r="AG3122" i="30"/>
  <c r="AF3122" i="30"/>
  <c r="AH3122" i="30" s="1"/>
  <c r="AG3124" i="30"/>
  <c r="AF3124" i="30"/>
  <c r="AH3124" i="30" s="1"/>
  <c r="AG3126" i="30"/>
  <c r="AF3126" i="30"/>
  <c r="AH3126" i="30" s="1"/>
  <c r="AG3128" i="30"/>
  <c r="AF3128" i="30"/>
  <c r="AH3128" i="30" s="1"/>
  <c r="AG3130" i="30"/>
  <c r="AF3130" i="30"/>
  <c r="AH3130" i="30" s="1"/>
  <c r="AG3132" i="30"/>
  <c r="AF3132" i="30"/>
  <c r="AH3132" i="30" s="1"/>
  <c r="AG3134" i="30"/>
  <c r="AF3134" i="30"/>
  <c r="AH3134" i="30" s="1"/>
  <c r="AG3136" i="30"/>
  <c r="AF3136" i="30"/>
  <c r="AH3136" i="30" s="1"/>
  <c r="AG3138" i="30"/>
  <c r="AF3138" i="30"/>
  <c r="AH3138" i="30" s="1"/>
  <c r="AG3140" i="30"/>
  <c r="AF3140" i="30"/>
  <c r="AH3140" i="30" s="1"/>
  <c r="AG3142" i="30"/>
  <c r="AF3142" i="30"/>
  <c r="AH3142" i="30" s="1"/>
  <c r="AG3144" i="30"/>
  <c r="AF3144" i="30"/>
  <c r="AH3144" i="30" s="1"/>
  <c r="AG3146" i="30"/>
  <c r="AF3146" i="30"/>
  <c r="AH3146" i="30" s="1"/>
  <c r="AG3148" i="30"/>
  <c r="AF3148" i="30"/>
  <c r="AH3148" i="30" s="1"/>
  <c r="AG3150" i="30"/>
  <c r="AF3150" i="30"/>
  <c r="AH3150" i="30" s="1"/>
  <c r="AG3152" i="30"/>
  <c r="AF3152" i="30"/>
  <c r="AH3152" i="30" s="1"/>
  <c r="AG3154" i="30"/>
  <c r="AF3154" i="30"/>
  <c r="AH3154" i="30" s="1"/>
  <c r="AG3156" i="30"/>
  <c r="AF3156" i="30"/>
  <c r="AH3156" i="30" s="1"/>
  <c r="AG3158" i="30"/>
  <c r="AF3158" i="30"/>
  <c r="AH3158" i="30" s="1"/>
  <c r="AG3160" i="30"/>
  <c r="AF3160" i="30"/>
  <c r="AH3160" i="30" s="1"/>
  <c r="AG3162" i="30"/>
  <c r="AF3162" i="30"/>
  <c r="AH3162" i="30" s="1"/>
  <c r="AG3164" i="30"/>
  <c r="AF3164" i="30"/>
  <c r="AH3164" i="30" s="1"/>
  <c r="AG3166" i="30"/>
  <c r="AF3166" i="30"/>
  <c r="AH3166" i="30" s="1"/>
  <c r="AG3168" i="30"/>
  <c r="AF3168" i="30"/>
  <c r="AH3168" i="30" s="1"/>
  <c r="AG3170" i="30"/>
  <c r="AF3170" i="30"/>
  <c r="AH3170" i="30" s="1"/>
  <c r="AG3172" i="30"/>
  <c r="AF3172" i="30"/>
  <c r="AH3172" i="30" s="1"/>
  <c r="AG3174" i="30"/>
  <c r="AF3174" i="30"/>
  <c r="AH3174" i="30" s="1"/>
  <c r="AG3176" i="30"/>
  <c r="AF3176" i="30"/>
  <c r="AH3176" i="30" s="1"/>
  <c r="AG3178" i="30"/>
  <c r="AF3178" i="30"/>
  <c r="AH3178" i="30" s="1"/>
  <c r="AG3180" i="30"/>
  <c r="AF3180" i="30"/>
  <c r="AH3180" i="30" s="1"/>
  <c r="AG3182" i="30"/>
  <c r="AF3182" i="30"/>
  <c r="AH3182" i="30" s="1"/>
  <c r="AG3184" i="30"/>
  <c r="AF3184" i="30"/>
  <c r="AH3184" i="30" s="1"/>
  <c r="AG3186" i="30"/>
  <c r="AF3186" i="30"/>
  <c r="AH3186" i="30" s="1"/>
  <c r="AG3188" i="30"/>
  <c r="AF3188" i="30"/>
  <c r="AH3188" i="30" s="1"/>
  <c r="AG3190" i="30"/>
  <c r="AF3190" i="30"/>
  <c r="AH3190" i="30" s="1"/>
  <c r="AG3192" i="30"/>
  <c r="AF3192" i="30"/>
  <c r="AH3192" i="30" s="1"/>
  <c r="AG3194" i="30"/>
  <c r="AF3194" i="30"/>
  <c r="AH3194" i="30" s="1"/>
  <c r="AG3196" i="30"/>
  <c r="AF3196" i="30"/>
  <c r="AH3196" i="30" s="1"/>
  <c r="AG2839" i="30"/>
  <c r="AF2839" i="30"/>
  <c r="AH2839" i="30" s="1"/>
  <c r="AG2841" i="30"/>
  <c r="AF2841" i="30"/>
  <c r="AH2841" i="30" s="1"/>
  <c r="AG2843" i="30"/>
  <c r="AF2843" i="30"/>
  <c r="AH2843" i="30" s="1"/>
  <c r="AG2845" i="30"/>
  <c r="AF2845" i="30"/>
  <c r="AH2845" i="30" s="1"/>
  <c r="AG2847" i="30"/>
  <c r="AF2847" i="30"/>
  <c r="AH2847" i="30" s="1"/>
  <c r="AG2849" i="30"/>
  <c r="AF2849" i="30"/>
  <c r="AH2849" i="30" s="1"/>
  <c r="AG2851" i="30"/>
  <c r="AF2851" i="30"/>
  <c r="AH2851" i="30" s="1"/>
  <c r="AG2853" i="30"/>
  <c r="AF2853" i="30"/>
  <c r="AH2853" i="30" s="1"/>
  <c r="AG2855" i="30"/>
  <c r="AF2855" i="30"/>
  <c r="AH2855" i="30" s="1"/>
  <c r="AG2857" i="30"/>
  <c r="AF2857" i="30"/>
  <c r="AH2857" i="30" s="1"/>
  <c r="AG2859" i="30"/>
  <c r="AF2859" i="30"/>
  <c r="AH2859" i="30" s="1"/>
  <c r="AG2861" i="30"/>
  <c r="AF2861" i="30"/>
  <c r="AH2861" i="30" s="1"/>
  <c r="AG2863" i="30"/>
  <c r="AF2863" i="30"/>
  <c r="AH2863" i="30" s="1"/>
  <c r="AG2865" i="30"/>
  <c r="AF2865" i="30"/>
  <c r="AH2865" i="30" s="1"/>
  <c r="AG2867" i="30"/>
  <c r="AF2867" i="30"/>
  <c r="AH2867" i="30" s="1"/>
  <c r="AG2869" i="30"/>
  <c r="AF2869" i="30"/>
  <c r="AH2869" i="30" s="1"/>
  <c r="AG2871" i="30"/>
  <c r="AF2871" i="30"/>
  <c r="AH2871" i="30" s="1"/>
  <c r="AG2873" i="30"/>
  <c r="AF2873" i="30"/>
  <c r="AH2873" i="30" s="1"/>
  <c r="AG2875" i="30"/>
  <c r="AF2875" i="30"/>
  <c r="AH2875" i="30" s="1"/>
  <c r="AG2877" i="30"/>
  <c r="AF2877" i="30"/>
  <c r="AH2877" i="30" s="1"/>
  <c r="AG2879" i="30"/>
  <c r="AF2879" i="30"/>
  <c r="AH2879" i="30" s="1"/>
  <c r="AG2881" i="30"/>
  <c r="AF2881" i="30"/>
  <c r="AH2881" i="30" s="1"/>
  <c r="AG2883" i="30"/>
  <c r="AF2883" i="30"/>
  <c r="AH2883" i="30" s="1"/>
  <c r="AG2885" i="30"/>
  <c r="AF2885" i="30"/>
  <c r="AH2885" i="30" s="1"/>
  <c r="AG2887" i="30"/>
  <c r="AF2887" i="30"/>
  <c r="AH2887" i="30" s="1"/>
  <c r="AG2889" i="30"/>
  <c r="AF2889" i="30"/>
  <c r="AH2889" i="30" s="1"/>
  <c r="AG2891" i="30"/>
  <c r="AF2891" i="30"/>
  <c r="AH2891" i="30" s="1"/>
  <c r="AG2893" i="30"/>
  <c r="AF2893" i="30"/>
  <c r="AH2893" i="30" s="1"/>
  <c r="AG2895" i="30"/>
  <c r="AF2895" i="30"/>
  <c r="AH2895" i="30" s="1"/>
  <c r="AG2897" i="30"/>
  <c r="AF2897" i="30"/>
  <c r="AH2897" i="30" s="1"/>
  <c r="AG2899" i="30"/>
  <c r="AF2899" i="30"/>
  <c r="AH2899" i="30" s="1"/>
  <c r="AG2901" i="30"/>
  <c r="AF2901" i="30"/>
  <c r="AH2901" i="30" s="1"/>
  <c r="AG2903" i="30"/>
  <c r="AF2903" i="30"/>
  <c r="AH2903" i="30" s="1"/>
  <c r="AG2905" i="30"/>
  <c r="AF2905" i="30"/>
  <c r="AH2905" i="30" s="1"/>
  <c r="AG2907" i="30"/>
  <c r="AF2907" i="30"/>
  <c r="AH2907" i="30" s="1"/>
  <c r="AG2909" i="30"/>
  <c r="AF2909" i="30"/>
  <c r="AH2909" i="30" s="1"/>
  <c r="AG2911" i="30"/>
  <c r="AF2911" i="30"/>
  <c r="AH2911" i="30" s="1"/>
  <c r="AG2913" i="30"/>
  <c r="AF2913" i="30"/>
  <c r="AH2913" i="30" s="1"/>
  <c r="AG2915" i="30"/>
  <c r="AF2915" i="30"/>
  <c r="AH2915" i="30" s="1"/>
  <c r="AG2917" i="30"/>
  <c r="AF2917" i="30"/>
  <c r="AH2917" i="30" s="1"/>
  <c r="AG2919" i="30"/>
  <c r="AF2919" i="30"/>
  <c r="AH2919" i="30" s="1"/>
  <c r="AG2921" i="30"/>
  <c r="AF2921" i="30"/>
  <c r="AH2921" i="30" s="1"/>
  <c r="AG2923" i="30"/>
  <c r="AF2923" i="30"/>
  <c r="AH2923" i="30" s="1"/>
  <c r="AG2925" i="30"/>
  <c r="AF2925" i="30"/>
  <c r="AH2925" i="30" s="1"/>
  <c r="AG2927" i="30"/>
  <c r="AF2927" i="30"/>
  <c r="AH2927" i="30" s="1"/>
  <c r="AG2929" i="30"/>
  <c r="AF2929" i="30"/>
  <c r="AH2929" i="30" s="1"/>
  <c r="AG2931" i="30"/>
  <c r="AF2931" i="30"/>
  <c r="AH2931" i="30" s="1"/>
  <c r="AG2933" i="30"/>
  <c r="AF2933" i="30"/>
  <c r="AH2933" i="30" s="1"/>
  <c r="AG2935" i="30"/>
  <c r="AF2935" i="30"/>
  <c r="AH2935" i="30" s="1"/>
  <c r="AG2937" i="30"/>
  <c r="AF2937" i="30"/>
  <c r="AH2937" i="30" s="1"/>
  <c r="AG2939" i="30"/>
  <c r="AF2939" i="30"/>
  <c r="AH2939" i="30" s="1"/>
  <c r="AG2941" i="30"/>
  <c r="AF2941" i="30"/>
  <c r="AH2941" i="30" s="1"/>
  <c r="AG2943" i="30"/>
  <c r="AF2943" i="30"/>
  <c r="AH2943" i="30" s="1"/>
  <c r="AG2945" i="30"/>
  <c r="AF2945" i="30"/>
  <c r="AH2945" i="30" s="1"/>
  <c r="AG2947" i="30"/>
  <c r="AF2947" i="30"/>
  <c r="AH2947" i="30" s="1"/>
  <c r="AG2949" i="30"/>
  <c r="AF2949" i="30"/>
  <c r="AH2949" i="30" s="1"/>
  <c r="AG2951" i="30"/>
  <c r="AF2951" i="30"/>
  <c r="AH2951" i="30" s="1"/>
  <c r="AG2953" i="30"/>
  <c r="AF2953" i="30"/>
  <c r="AH2953" i="30" s="1"/>
  <c r="AG2955" i="30"/>
  <c r="AF2955" i="30"/>
  <c r="AH2955" i="30" s="1"/>
  <c r="AG2957" i="30"/>
  <c r="AF2957" i="30"/>
  <c r="AH2957" i="30" s="1"/>
  <c r="AG2959" i="30"/>
  <c r="AF2959" i="30"/>
  <c r="AH2959" i="30" s="1"/>
  <c r="AG2961" i="30"/>
  <c r="AF2961" i="30"/>
  <c r="AH2961" i="30" s="1"/>
  <c r="AG2963" i="30"/>
  <c r="AF2963" i="30"/>
  <c r="AH2963" i="30" s="1"/>
  <c r="AG2965" i="30"/>
  <c r="AF2965" i="30"/>
  <c r="AH2965" i="30" s="1"/>
  <c r="AG2967" i="30"/>
  <c r="AF2967" i="30"/>
  <c r="AH2967" i="30" s="1"/>
  <c r="AG2969" i="30"/>
  <c r="AF2969" i="30"/>
  <c r="AH2969" i="30" s="1"/>
  <c r="AG2971" i="30"/>
  <c r="AF2971" i="30"/>
  <c r="AH2971" i="30" s="1"/>
  <c r="AG2973" i="30"/>
  <c r="AF2973" i="30"/>
  <c r="AH2973" i="30" s="1"/>
  <c r="AG2975" i="30"/>
  <c r="AF2975" i="30"/>
  <c r="AH2975" i="30" s="1"/>
  <c r="AG2977" i="30"/>
  <c r="AF2977" i="30"/>
  <c r="AH2977" i="30" s="1"/>
  <c r="AG2979" i="30"/>
  <c r="AF2979" i="30"/>
  <c r="AH2979" i="30" s="1"/>
  <c r="AG2981" i="30"/>
  <c r="AF2981" i="30"/>
  <c r="AH2981" i="30" s="1"/>
  <c r="AG2983" i="30"/>
  <c r="AF2983" i="30"/>
  <c r="AH2983" i="30" s="1"/>
  <c r="AG2985" i="30"/>
  <c r="AF2985" i="30"/>
  <c r="AH2985" i="30" s="1"/>
  <c r="AG2987" i="30"/>
  <c r="AF2987" i="30"/>
  <c r="AH2987" i="30" s="1"/>
  <c r="AG2989" i="30"/>
  <c r="AF2989" i="30"/>
  <c r="AH2989" i="30" s="1"/>
  <c r="AG2991" i="30"/>
  <c r="AF2991" i="30"/>
  <c r="AH2991" i="30" s="1"/>
  <c r="AG2993" i="30"/>
  <c r="AF2993" i="30"/>
  <c r="AH2993" i="30" s="1"/>
  <c r="AG2995" i="30"/>
  <c r="AF2995" i="30"/>
  <c r="AH2995" i="30" s="1"/>
  <c r="AG2997" i="30"/>
  <c r="AF2997" i="30"/>
  <c r="AH2997" i="30" s="1"/>
  <c r="AG2999" i="30"/>
  <c r="AF2999" i="30"/>
  <c r="AH2999" i="30" s="1"/>
  <c r="AG3001" i="30"/>
  <c r="AF3001" i="30"/>
  <c r="AH3001" i="30" s="1"/>
  <c r="AG3003" i="30"/>
  <c r="AF3003" i="30"/>
  <c r="AH3003" i="30" s="1"/>
  <c r="AG3005" i="30"/>
  <c r="AF3005" i="30"/>
  <c r="AH3005" i="30" s="1"/>
  <c r="AG3007" i="30"/>
  <c r="AF3007" i="30"/>
  <c r="AH3007" i="30" s="1"/>
  <c r="AG3009" i="30"/>
  <c r="AF3009" i="30"/>
  <c r="AH3009" i="30" s="1"/>
  <c r="AG3011" i="30"/>
  <c r="AF3011" i="30"/>
  <c r="AH3011" i="30" s="1"/>
  <c r="AG3013" i="30"/>
  <c r="AF3013" i="30"/>
  <c r="AH3013" i="30" s="1"/>
  <c r="AG3015" i="30"/>
  <c r="AF3015" i="30"/>
  <c r="AH3015" i="30" s="1"/>
  <c r="AG3017" i="30"/>
  <c r="AF3017" i="30"/>
  <c r="AH3017" i="30" s="1"/>
  <c r="AG3019" i="30"/>
  <c r="AF3019" i="30"/>
  <c r="AH3019" i="30" s="1"/>
  <c r="AG3021" i="30"/>
  <c r="AF3021" i="30"/>
  <c r="AH3021" i="30" s="1"/>
  <c r="AG3023" i="30"/>
  <c r="AF3023" i="30"/>
  <c r="AH3023" i="30" s="1"/>
  <c r="AG3025" i="30"/>
  <c r="AF3025" i="30"/>
  <c r="AH3025" i="30" s="1"/>
  <c r="AG3027" i="30"/>
  <c r="AF3027" i="30"/>
  <c r="AH3027" i="30" s="1"/>
  <c r="AG3029" i="30"/>
  <c r="AF3029" i="30"/>
  <c r="AH3029" i="30" s="1"/>
  <c r="AG3031" i="30"/>
  <c r="AF3031" i="30"/>
  <c r="AH3031" i="30" s="1"/>
  <c r="AG3033" i="30"/>
  <c r="AF3033" i="30"/>
  <c r="AH3033" i="30" s="1"/>
  <c r="AG3035" i="30"/>
  <c r="AF3035" i="30"/>
  <c r="AH3035" i="30" s="1"/>
  <c r="AG3037" i="30"/>
  <c r="AF3037" i="30"/>
  <c r="AH3037" i="30" s="1"/>
  <c r="AG3039" i="30"/>
  <c r="AF3039" i="30"/>
  <c r="AH3039" i="30" s="1"/>
  <c r="AG3041" i="30"/>
  <c r="AF3041" i="30"/>
  <c r="AH3041" i="30" s="1"/>
  <c r="AG3043" i="30"/>
  <c r="AF3043" i="30"/>
  <c r="AH3043" i="30" s="1"/>
  <c r="AG3045" i="30"/>
  <c r="AF3045" i="30"/>
  <c r="AH3045" i="30" s="1"/>
  <c r="AG3047" i="30"/>
  <c r="AF3047" i="30"/>
  <c r="AH3047" i="30" s="1"/>
  <c r="AG3049" i="30"/>
  <c r="AF3049" i="30"/>
  <c r="AH3049" i="30" s="1"/>
  <c r="AG3051" i="30"/>
  <c r="AF3051" i="30"/>
  <c r="AH3051" i="30" s="1"/>
  <c r="AG3053" i="30"/>
  <c r="AF3053" i="30"/>
  <c r="AH3053" i="30" s="1"/>
  <c r="AG3055" i="30"/>
  <c r="AF3055" i="30"/>
  <c r="AH3055" i="30" s="1"/>
  <c r="AG3057" i="30"/>
  <c r="AF3057" i="30"/>
  <c r="AH3057" i="30" s="1"/>
  <c r="AG3059" i="30"/>
  <c r="AF3059" i="30"/>
  <c r="AH3059" i="30" s="1"/>
  <c r="AG3061" i="30"/>
  <c r="AF3061" i="30"/>
  <c r="AH3061" i="30" s="1"/>
  <c r="AG3063" i="30"/>
  <c r="AF3063" i="30"/>
  <c r="AH3063" i="30" s="1"/>
  <c r="AG3065" i="30"/>
  <c r="AF3065" i="30"/>
  <c r="AH3065" i="30" s="1"/>
  <c r="AG3067" i="30"/>
  <c r="AF3067" i="30"/>
  <c r="AH3067" i="30" s="1"/>
  <c r="AG3069" i="30"/>
  <c r="AF3069" i="30"/>
  <c r="AH3069" i="30" s="1"/>
  <c r="AG3071" i="30"/>
  <c r="AF3071" i="30"/>
  <c r="AH3071" i="30" s="1"/>
  <c r="AG3073" i="30"/>
  <c r="AF3073" i="30"/>
  <c r="AH3073" i="30" s="1"/>
  <c r="AG3075" i="30"/>
  <c r="AF3075" i="30"/>
  <c r="AH3075" i="30" s="1"/>
  <c r="AG3077" i="30"/>
  <c r="AF3077" i="30"/>
  <c r="AH3077" i="30" s="1"/>
  <c r="AG3079" i="30"/>
  <c r="AF3079" i="30"/>
  <c r="AH3079" i="30" s="1"/>
  <c r="AG3081" i="30"/>
  <c r="AF3081" i="30"/>
  <c r="AH3081" i="30" s="1"/>
  <c r="AG3083" i="30"/>
  <c r="AF3083" i="30"/>
  <c r="AH3083" i="30" s="1"/>
  <c r="AG3085" i="30"/>
  <c r="AF3085" i="30"/>
  <c r="AH3085" i="30" s="1"/>
  <c r="AG3087" i="30"/>
  <c r="AF3087" i="30"/>
  <c r="AH3087" i="30" s="1"/>
  <c r="AG3089" i="30"/>
  <c r="AF3089" i="30"/>
  <c r="AH3089" i="30" s="1"/>
  <c r="AG3091" i="30"/>
  <c r="AF3091" i="30"/>
  <c r="AH3091" i="30" s="1"/>
  <c r="AG3093" i="30"/>
  <c r="AF3093" i="30"/>
  <c r="AH3093" i="30" s="1"/>
  <c r="AG3095" i="30"/>
  <c r="AF3095" i="30"/>
  <c r="AH3095" i="30" s="1"/>
  <c r="AG3097" i="30"/>
  <c r="AF3097" i="30"/>
  <c r="AH3097" i="30" s="1"/>
  <c r="AG3099" i="30"/>
  <c r="AF3099" i="30"/>
  <c r="AH3099" i="30" s="1"/>
  <c r="AG3101" i="30"/>
  <c r="AF3101" i="30"/>
  <c r="AH3101" i="30" s="1"/>
  <c r="AG3103" i="30"/>
  <c r="AF3103" i="30"/>
  <c r="AH3103" i="30" s="1"/>
  <c r="AG3105" i="30"/>
  <c r="AF3105" i="30"/>
  <c r="AH3105" i="30" s="1"/>
  <c r="AG3107" i="30"/>
  <c r="AF3107" i="30"/>
  <c r="AH3107" i="30" s="1"/>
  <c r="AG3109" i="30"/>
  <c r="AF3109" i="30"/>
  <c r="AH3109" i="30" s="1"/>
  <c r="AG3111" i="30"/>
  <c r="AF3111" i="30"/>
  <c r="AH3111" i="30" s="1"/>
  <c r="AG3113" i="30"/>
  <c r="AF3113" i="30"/>
  <c r="AH3113" i="30" s="1"/>
  <c r="AG3115" i="30"/>
  <c r="AF3115" i="30"/>
  <c r="AH3115" i="30" s="1"/>
  <c r="AG3117" i="30"/>
  <c r="AF3117" i="30"/>
  <c r="AH3117" i="30" s="1"/>
  <c r="AG3119" i="30"/>
  <c r="AF3119" i="30"/>
  <c r="AH3119" i="30" s="1"/>
  <c r="AG3121" i="30"/>
  <c r="AF3121" i="30"/>
  <c r="AH3121" i="30" s="1"/>
  <c r="AG3123" i="30"/>
  <c r="AF3123" i="30"/>
  <c r="AH3123" i="30" s="1"/>
  <c r="AG3125" i="30"/>
  <c r="AF3125" i="30"/>
  <c r="AH3125" i="30" s="1"/>
  <c r="AG3127" i="30"/>
  <c r="AF3127" i="30"/>
  <c r="AH3127" i="30" s="1"/>
  <c r="AG3129" i="30"/>
  <c r="AF3129" i="30"/>
  <c r="AH3129" i="30" s="1"/>
  <c r="AG3131" i="30"/>
  <c r="AF3131" i="30"/>
  <c r="AH3131" i="30" s="1"/>
  <c r="AG3133" i="30"/>
  <c r="AF3133" i="30"/>
  <c r="AH3133" i="30" s="1"/>
  <c r="AG3135" i="30"/>
  <c r="AF3135" i="30"/>
  <c r="AH3135" i="30" s="1"/>
  <c r="AG3137" i="30"/>
  <c r="AF3137" i="30"/>
  <c r="AH3137" i="30" s="1"/>
  <c r="AG3139" i="30"/>
  <c r="AF3139" i="30"/>
  <c r="AH3139" i="30" s="1"/>
  <c r="AG3141" i="30"/>
  <c r="AF3141" i="30"/>
  <c r="AH3141" i="30" s="1"/>
  <c r="AG3143" i="30"/>
  <c r="AF3143" i="30"/>
  <c r="AH3143" i="30" s="1"/>
  <c r="AG3145" i="30"/>
  <c r="AF3145" i="30"/>
  <c r="AH3145" i="30" s="1"/>
  <c r="AG3147" i="30"/>
  <c r="AF3147" i="30"/>
  <c r="AH3147" i="30" s="1"/>
  <c r="AG3149" i="30"/>
  <c r="AF3149" i="30"/>
  <c r="AH3149" i="30" s="1"/>
  <c r="AG3151" i="30"/>
  <c r="AF3151" i="30"/>
  <c r="AH3151" i="30" s="1"/>
  <c r="AG3153" i="30"/>
  <c r="AF3153" i="30"/>
  <c r="AH3153" i="30" s="1"/>
  <c r="AG3155" i="30"/>
  <c r="AF3155" i="30"/>
  <c r="AH3155" i="30" s="1"/>
  <c r="AG3157" i="30"/>
  <c r="AF3157" i="30"/>
  <c r="AH3157" i="30" s="1"/>
  <c r="AG3159" i="30"/>
  <c r="AF3159" i="30"/>
  <c r="AH3159" i="30" s="1"/>
  <c r="AG3161" i="30"/>
  <c r="AF3161" i="30"/>
  <c r="AH3161" i="30" s="1"/>
  <c r="AG3163" i="30"/>
  <c r="AF3163" i="30"/>
  <c r="AH3163" i="30" s="1"/>
  <c r="AG3165" i="30"/>
  <c r="AF3165" i="30"/>
  <c r="AH3165" i="30" s="1"/>
  <c r="AG3167" i="30"/>
  <c r="AF3167" i="30"/>
  <c r="AH3167" i="30" s="1"/>
  <c r="AG3169" i="30"/>
  <c r="AF3169" i="30"/>
  <c r="AH3169" i="30" s="1"/>
  <c r="AG3171" i="30"/>
  <c r="AF3171" i="30"/>
  <c r="AH3171" i="30" s="1"/>
  <c r="AG3173" i="30"/>
  <c r="AF3173" i="30"/>
  <c r="AH3173" i="30" s="1"/>
  <c r="AG3175" i="30"/>
  <c r="AF3175" i="30"/>
  <c r="AH3175" i="30" s="1"/>
  <c r="AG3177" i="30"/>
  <c r="AF3177" i="30"/>
  <c r="AH3177" i="30" s="1"/>
  <c r="AG3179" i="30"/>
  <c r="AF3179" i="30"/>
  <c r="AH3179" i="30" s="1"/>
  <c r="AG3181" i="30"/>
  <c r="AF3181" i="30"/>
  <c r="AH3181" i="30" s="1"/>
  <c r="AG3183" i="30"/>
  <c r="AF3183" i="30"/>
  <c r="AH3183" i="30" s="1"/>
  <c r="AG3185" i="30"/>
  <c r="AF3185" i="30"/>
  <c r="AH3185" i="30" s="1"/>
  <c r="AG3187" i="30"/>
  <c r="AF3187" i="30"/>
  <c r="AH3187" i="30" s="1"/>
  <c r="AG3189" i="30"/>
  <c r="AF3189" i="30"/>
  <c r="AH3189" i="30" s="1"/>
  <c r="AG3191" i="30"/>
  <c r="AF3191" i="30"/>
  <c r="AH3191" i="30" s="1"/>
  <c r="AG3193" i="30"/>
  <c r="AF3193" i="30"/>
  <c r="AH3193" i="30" s="1"/>
  <c r="AG3195" i="30"/>
  <c r="AF3195" i="30"/>
  <c r="AH3195" i="30" s="1"/>
  <c r="AF2468" i="30"/>
  <c r="AH2468" i="30" s="1"/>
  <c r="AF2469" i="30"/>
  <c r="AH2469" i="30" s="1"/>
  <c r="AF2470" i="30"/>
  <c r="AH2470" i="30" s="1"/>
  <c r="AF2471" i="30"/>
  <c r="AH2471" i="30" s="1"/>
  <c r="AF2472" i="30"/>
  <c r="AH2472" i="30" s="1"/>
  <c r="AF2473" i="30"/>
  <c r="AH2473" i="30" s="1"/>
  <c r="AF2474" i="30"/>
  <c r="AH2474" i="30" s="1"/>
  <c r="AF2475" i="30"/>
  <c r="AH2475" i="30" s="1"/>
  <c r="AF2476" i="30"/>
  <c r="AH2476" i="30" s="1"/>
  <c r="AF2477" i="30"/>
  <c r="AH2477" i="30" s="1"/>
  <c r="AF2478" i="30"/>
  <c r="AH2478" i="30" s="1"/>
  <c r="AF2479" i="30"/>
  <c r="AH2479" i="30" s="1"/>
  <c r="AF2480" i="30"/>
  <c r="AH2480" i="30" s="1"/>
  <c r="AF2481" i="30"/>
  <c r="AH2481" i="30" s="1"/>
  <c r="AF2482" i="30"/>
  <c r="AH2482" i="30" s="1"/>
  <c r="AF2483" i="30"/>
  <c r="AH2483" i="30" s="1"/>
  <c r="AF2484" i="30"/>
  <c r="AH2484" i="30" s="1"/>
  <c r="AF2485" i="30"/>
  <c r="AH2485" i="30" s="1"/>
  <c r="AF2486" i="30"/>
  <c r="AH2486" i="30" s="1"/>
  <c r="AF2487" i="30"/>
  <c r="AH2487" i="30" s="1"/>
  <c r="AF2488" i="30"/>
  <c r="AH2488" i="30" s="1"/>
  <c r="AF2489" i="30"/>
  <c r="AH2489" i="30" s="1"/>
  <c r="AF2490" i="30"/>
  <c r="AH2490" i="30" s="1"/>
  <c r="AF2491" i="30"/>
  <c r="AH2491" i="30" s="1"/>
  <c r="AF2492" i="30"/>
  <c r="AH2492" i="30" s="1"/>
  <c r="AF2493" i="30"/>
  <c r="AH2493" i="30" s="1"/>
  <c r="AF2494" i="30"/>
  <c r="AH2494" i="30" s="1"/>
  <c r="AF2495" i="30"/>
  <c r="AH2495" i="30" s="1"/>
  <c r="AF2496" i="30"/>
  <c r="AH2496" i="30" s="1"/>
  <c r="AF2497" i="30"/>
  <c r="AH2497" i="30" s="1"/>
  <c r="AF2498" i="30"/>
  <c r="AH2498" i="30" s="1"/>
  <c r="AF2499" i="30"/>
  <c r="AH2499" i="30" s="1"/>
  <c r="AF2500" i="30"/>
  <c r="AH2500" i="30" s="1"/>
  <c r="AF2501" i="30"/>
  <c r="AH2501" i="30" s="1"/>
  <c r="AF2502" i="30"/>
  <c r="AH2502" i="30" s="1"/>
  <c r="AF2503" i="30"/>
  <c r="AH2503" i="30" s="1"/>
  <c r="AF2504" i="30"/>
  <c r="AH2504" i="30" s="1"/>
  <c r="AF2505" i="30"/>
  <c r="AH2505" i="30" s="1"/>
  <c r="AF2506" i="30"/>
  <c r="AH2506" i="30" s="1"/>
  <c r="AF2507" i="30"/>
  <c r="AH2507" i="30" s="1"/>
  <c r="AF2508" i="30"/>
  <c r="AH2508" i="30" s="1"/>
  <c r="AF2509" i="30"/>
  <c r="AH2509" i="30" s="1"/>
  <c r="AF2510" i="30"/>
  <c r="AH2510" i="30" s="1"/>
  <c r="AF2511" i="30"/>
  <c r="AH2511" i="30" s="1"/>
  <c r="AF2512" i="30"/>
  <c r="AH2512" i="30" s="1"/>
  <c r="AF2513" i="30"/>
  <c r="AH2513" i="30" s="1"/>
  <c r="AF2514" i="30"/>
  <c r="AH2514" i="30" s="1"/>
  <c r="AF2515" i="30"/>
  <c r="AH2515" i="30" s="1"/>
  <c r="AF2516" i="30"/>
  <c r="AH2516" i="30" s="1"/>
  <c r="AF2517" i="30"/>
  <c r="AH2517" i="30" s="1"/>
  <c r="AF2518" i="30"/>
  <c r="AH2518" i="30" s="1"/>
  <c r="AF2519" i="30"/>
  <c r="AH2519" i="30" s="1"/>
  <c r="AF2520" i="30"/>
  <c r="AH2520" i="30" s="1"/>
  <c r="AF2521" i="30"/>
  <c r="AH2521" i="30" s="1"/>
  <c r="AF2522" i="30"/>
  <c r="AH2522" i="30" s="1"/>
  <c r="AF2523" i="30"/>
  <c r="AH2523" i="30" s="1"/>
  <c r="AF2524" i="30"/>
  <c r="AH2524" i="30" s="1"/>
  <c r="AF2525" i="30"/>
  <c r="AH2525" i="30" s="1"/>
  <c r="AF2526" i="30"/>
  <c r="AH2526" i="30" s="1"/>
  <c r="AF2527" i="30"/>
  <c r="AH2527" i="30" s="1"/>
  <c r="AF2528" i="30"/>
  <c r="AH2528" i="30" s="1"/>
  <c r="AF2529" i="30"/>
  <c r="AH2529" i="30" s="1"/>
  <c r="AF2530" i="30"/>
  <c r="AH2530" i="30" s="1"/>
  <c r="AF2531" i="30"/>
  <c r="AH2531" i="30" s="1"/>
  <c r="AF2532" i="30"/>
  <c r="AH2532" i="30" s="1"/>
  <c r="AF2533" i="30"/>
  <c r="AH2533" i="30" s="1"/>
  <c r="AF2534" i="30"/>
  <c r="AH2534" i="30" s="1"/>
  <c r="AF2535" i="30"/>
  <c r="AH2535" i="30" s="1"/>
  <c r="AF2536" i="30"/>
  <c r="AH2536" i="30" s="1"/>
  <c r="AF2537" i="30"/>
  <c r="AH2537" i="30" s="1"/>
  <c r="AF2538" i="30"/>
  <c r="AH2538" i="30" s="1"/>
  <c r="AF2539" i="30"/>
  <c r="AH2539" i="30" s="1"/>
  <c r="AF2540" i="30"/>
  <c r="AH2540" i="30" s="1"/>
  <c r="AF2541" i="30"/>
  <c r="AH2541" i="30" s="1"/>
  <c r="AF2542" i="30"/>
  <c r="AH2542" i="30" s="1"/>
  <c r="AF2543" i="30"/>
  <c r="AH2543" i="30" s="1"/>
  <c r="AF2544" i="30"/>
  <c r="AH2544" i="30" s="1"/>
  <c r="AF2545" i="30"/>
  <c r="AH2545" i="30" s="1"/>
  <c r="AF2546" i="30"/>
  <c r="AH2546" i="30" s="1"/>
  <c r="AF2547" i="30"/>
  <c r="AH2547" i="30" s="1"/>
  <c r="AF2548" i="30"/>
  <c r="AH2548" i="30" s="1"/>
  <c r="AF2549" i="30"/>
  <c r="AH2549" i="30" s="1"/>
  <c r="AF2550" i="30"/>
  <c r="AH2550" i="30" s="1"/>
  <c r="AF2551" i="30"/>
  <c r="AH2551" i="30" s="1"/>
  <c r="AF2552" i="30"/>
  <c r="AH2552" i="30" s="1"/>
  <c r="AF2553" i="30"/>
  <c r="AH2553" i="30" s="1"/>
  <c r="AF2554" i="30"/>
  <c r="AH2554" i="30" s="1"/>
  <c r="AF2555" i="30"/>
  <c r="AH2555" i="30" s="1"/>
  <c r="AF2556" i="30"/>
  <c r="AH2556" i="30" s="1"/>
  <c r="AF2557" i="30"/>
  <c r="AH2557" i="30" s="1"/>
  <c r="AF2558" i="30"/>
  <c r="AH2558" i="30" s="1"/>
  <c r="AF2559" i="30"/>
  <c r="AH2559" i="30" s="1"/>
  <c r="AF2560" i="30"/>
  <c r="AH2560" i="30" s="1"/>
  <c r="AF2561" i="30"/>
  <c r="AH2561" i="30" s="1"/>
  <c r="AF2562" i="30"/>
  <c r="AH2562" i="30" s="1"/>
  <c r="AF2563" i="30"/>
  <c r="AH2563" i="30" s="1"/>
  <c r="AF2564" i="30"/>
  <c r="AH2564" i="30" s="1"/>
  <c r="AF2565" i="30"/>
  <c r="AH2565" i="30" s="1"/>
  <c r="AF2566" i="30"/>
  <c r="AH2566" i="30" s="1"/>
  <c r="AF2567" i="30"/>
  <c r="AH2567" i="30" s="1"/>
  <c r="AF2568" i="30"/>
  <c r="AH2568" i="30" s="1"/>
  <c r="AF2569" i="30"/>
  <c r="AH2569" i="30" s="1"/>
  <c r="AF2570" i="30"/>
  <c r="AH2570" i="30" s="1"/>
  <c r="AF2571" i="30"/>
  <c r="AH2571" i="30" s="1"/>
  <c r="AF2572" i="30"/>
  <c r="AH2572" i="30" s="1"/>
  <c r="AF2573" i="30"/>
  <c r="AH2573" i="30" s="1"/>
  <c r="AF2574" i="30"/>
  <c r="AH2574" i="30" s="1"/>
  <c r="AF2575" i="30"/>
  <c r="AH2575" i="30" s="1"/>
  <c r="AF2576" i="30"/>
  <c r="AH2576" i="30" s="1"/>
  <c r="AF2577" i="30"/>
  <c r="AH2577" i="30" s="1"/>
  <c r="AF2578" i="30"/>
  <c r="AH2578" i="30" s="1"/>
  <c r="AF2579" i="30"/>
  <c r="AH2579" i="30" s="1"/>
  <c r="AF2580" i="30"/>
  <c r="AH2580" i="30" s="1"/>
  <c r="AF2581" i="30"/>
  <c r="AH2581" i="30" s="1"/>
  <c r="AF2582" i="30"/>
  <c r="AH2582" i="30" s="1"/>
  <c r="AF2583" i="30"/>
  <c r="AH2583" i="30" s="1"/>
  <c r="AF2584" i="30"/>
  <c r="AH2584" i="30" s="1"/>
  <c r="AF2585" i="30"/>
  <c r="AH2585" i="30" s="1"/>
  <c r="AF2586" i="30"/>
  <c r="AH2586" i="30" s="1"/>
  <c r="AF2587" i="30"/>
  <c r="AH2587" i="30" s="1"/>
  <c r="AF2588" i="30"/>
  <c r="AH2588" i="30" s="1"/>
  <c r="AF2589" i="30"/>
  <c r="AH2589" i="30" s="1"/>
  <c r="AF2590" i="30"/>
  <c r="AH2590" i="30" s="1"/>
  <c r="AF2591" i="30"/>
  <c r="AH2591" i="30" s="1"/>
  <c r="AF2592" i="30"/>
  <c r="AH2592" i="30" s="1"/>
  <c r="AF2593" i="30"/>
  <c r="AH2593" i="30" s="1"/>
  <c r="AF2594" i="30"/>
  <c r="AH2594" i="30" s="1"/>
  <c r="AF2595" i="30"/>
  <c r="AH2595" i="30" s="1"/>
  <c r="AF2596" i="30"/>
  <c r="AH2596" i="30" s="1"/>
  <c r="AF2597" i="30"/>
  <c r="AH2597" i="30" s="1"/>
  <c r="AF2598" i="30"/>
  <c r="AH2598" i="30" s="1"/>
  <c r="AF2599" i="30"/>
  <c r="AH2599" i="30" s="1"/>
  <c r="AF2600" i="30"/>
  <c r="AH2600" i="30" s="1"/>
  <c r="AF2601" i="30"/>
  <c r="AH2601" i="30" s="1"/>
  <c r="AF2602" i="30"/>
  <c r="AH2602" i="30" s="1"/>
  <c r="AF2603" i="30"/>
  <c r="AH2603" i="30" s="1"/>
  <c r="AF2604" i="30"/>
  <c r="AH2604" i="30" s="1"/>
  <c r="AF2605" i="30"/>
  <c r="AH2605" i="30" s="1"/>
  <c r="AF2606" i="30"/>
  <c r="AH2606" i="30" s="1"/>
  <c r="AF2607" i="30"/>
  <c r="AH2607" i="30" s="1"/>
  <c r="AF2608" i="30"/>
  <c r="AH2608" i="30" s="1"/>
  <c r="AF2609" i="30"/>
  <c r="AH2609" i="30" s="1"/>
  <c r="AF2610" i="30"/>
  <c r="AH2610" i="30" s="1"/>
  <c r="AF2611" i="30"/>
  <c r="AH2611" i="30" s="1"/>
  <c r="AF2612" i="30"/>
  <c r="AH2612" i="30" s="1"/>
  <c r="AF2613" i="30"/>
  <c r="AH2613" i="30" s="1"/>
  <c r="AF2614" i="30"/>
  <c r="AH2614" i="30" s="1"/>
  <c r="AF2615" i="30"/>
  <c r="AH2615" i="30" s="1"/>
  <c r="AF2616" i="30"/>
  <c r="AH2616" i="30" s="1"/>
  <c r="AF2617" i="30"/>
  <c r="AH2617" i="30" s="1"/>
  <c r="AF2618" i="30"/>
  <c r="AH2618" i="30" s="1"/>
  <c r="AF2619" i="30"/>
  <c r="AH2619" i="30" s="1"/>
  <c r="AF2620" i="30"/>
  <c r="AH2620" i="30" s="1"/>
  <c r="AF2621" i="30"/>
  <c r="AH2621" i="30" s="1"/>
  <c r="AF2622" i="30"/>
  <c r="AH2622" i="30" s="1"/>
  <c r="AF2623" i="30"/>
  <c r="AH2623" i="30" s="1"/>
  <c r="AF2624" i="30"/>
  <c r="AH2624" i="30" s="1"/>
  <c r="AF2625" i="30"/>
  <c r="AH2625" i="30" s="1"/>
  <c r="AF2626" i="30"/>
  <c r="AH2626" i="30" s="1"/>
  <c r="AF2627" i="30"/>
  <c r="AH2627" i="30" s="1"/>
  <c r="AF2628" i="30"/>
  <c r="AH2628" i="30" s="1"/>
  <c r="AF2629" i="30"/>
  <c r="AH2629" i="30" s="1"/>
  <c r="AF2630" i="30"/>
  <c r="AH2630" i="30" s="1"/>
  <c r="AF2631" i="30"/>
  <c r="AH2631" i="30" s="1"/>
  <c r="AF2632" i="30"/>
  <c r="AH2632" i="30" s="1"/>
  <c r="AF2633" i="30"/>
  <c r="AH2633" i="30" s="1"/>
  <c r="AF2634" i="30"/>
  <c r="AH2634" i="30" s="1"/>
  <c r="AF2635" i="30"/>
  <c r="AH2635" i="30" s="1"/>
  <c r="AF2636" i="30"/>
  <c r="AH2636" i="30" s="1"/>
  <c r="AF2637" i="30"/>
  <c r="AH2637" i="30" s="1"/>
  <c r="AF2638" i="30"/>
  <c r="AH2638" i="30" s="1"/>
  <c r="AF2639" i="30"/>
  <c r="AH2639" i="30" s="1"/>
  <c r="AF2640" i="30"/>
  <c r="AH2640" i="30" s="1"/>
  <c r="AF2641" i="30"/>
  <c r="AH2641" i="30" s="1"/>
  <c r="AF2642" i="30"/>
  <c r="AH2642" i="30" s="1"/>
  <c r="AF2643" i="30"/>
  <c r="AH2643" i="30" s="1"/>
  <c r="AF2644" i="30"/>
  <c r="AH2644" i="30" s="1"/>
  <c r="AF2645" i="30"/>
  <c r="AH2645" i="30" s="1"/>
  <c r="AF2646" i="30"/>
  <c r="AH2646" i="30" s="1"/>
  <c r="AF2647" i="30"/>
  <c r="AH2647" i="30" s="1"/>
  <c r="AF2648" i="30"/>
  <c r="AH2648" i="30" s="1"/>
  <c r="AF2649" i="30"/>
  <c r="AH2649" i="30" s="1"/>
  <c r="AF2650" i="30"/>
  <c r="AH2650" i="30" s="1"/>
  <c r="AF2651" i="30"/>
  <c r="AH2651" i="30" s="1"/>
  <c r="AF2652" i="30"/>
  <c r="AH2652" i="30" s="1"/>
  <c r="AF2653" i="30"/>
  <c r="AH2653" i="30" s="1"/>
  <c r="AF2654" i="30"/>
  <c r="AH2654" i="30" s="1"/>
  <c r="AF2655" i="30"/>
  <c r="AH2655" i="30" s="1"/>
  <c r="AF2656" i="30"/>
  <c r="AH2656" i="30" s="1"/>
  <c r="AF2657" i="30"/>
  <c r="AH2657" i="30" s="1"/>
  <c r="AF2658" i="30"/>
  <c r="AH2658" i="30" s="1"/>
  <c r="AF2659" i="30"/>
  <c r="AH2659" i="30" s="1"/>
  <c r="AF2660" i="30"/>
  <c r="AH2660" i="30" s="1"/>
  <c r="AF2661" i="30"/>
  <c r="AH2661" i="30" s="1"/>
  <c r="AF2662" i="30"/>
  <c r="AH2662" i="30" s="1"/>
  <c r="AF2663" i="30"/>
  <c r="AH2663" i="30" s="1"/>
  <c r="AF2664" i="30"/>
  <c r="AH2664" i="30" s="1"/>
  <c r="AF2665" i="30"/>
  <c r="AH2665" i="30" s="1"/>
  <c r="AF2666" i="30"/>
  <c r="AH2666" i="30" s="1"/>
  <c r="AF2667" i="30"/>
  <c r="AH2667" i="30" s="1"/>
  <c r="AF2668" i="30"/>
  <c r="AH2668" i="30" s="1"/>
  <c r="AF2669" i="30"/>
  <c r="AH2669" i="30" s="1"/>
  <c r="AF2670" i="30"/>
  <c r="AH2670" i="30" s="1"/>
  <c r="AF2671" i="30"/>
  <c r="AH2671" i="30" s="1"/>
  <c r="AF2672" i="30"/>
  <c r="AH2672" i="30" s="1"/>
  <c r="AF2673" i="30"/>
  <c r="AH2673" i="30" s="1"/>
  <c r="AF2674" i="30"/>
  <c r="AH2674" i="30" s="1"/>
  <c r="AF2675" i="30"/>
  <c r="AH2675" i="30" s="1"/>
  <c r="AF2676" i="30"/>
  <c r="AH2676" i="30" s="1"/>
  <c r="AF2677" i="30"/>
  <c r="AH2677" i="30" s="1"/>
  <c r="AF2678" i="30"/>
  <c r="AH2678" i="30" s="1"/>
  <c r="AF2679" i="30"/>
  <c r="AH2679" i="30" s="1"/>
  <c r="AF2680" i="30"/>
  <c r="AH2680" i="30" s="1"/>
  <c r="AF2681" i="30"/>
  <c r="AH2681" i="30" s="1"/>
  <c r="AF2682" i="30"/>
  <c r="AH2682" i="30" s="1"/>
  <c r="AF2683" i="30"/>
  <c r="AH2683" i="30" s="1"/>
  <c r="AF2684" i="30"/>
  <c r="AH2684" i="30" s="1"/>
  <c r="AF2685" i="30"/>
  <c r="AH2685" i="30" s="1"/>
  <c r="AF2686" i="30"/>
  <c r="AH2686" i="30" s="1"/>
  <c r="AF2687" i="30"/>
  <c r="AH2687" i="30" s="1"/>
  <c r="AF2688" i="30"/>
  <c r="AH2688" i="30" s="1"/>
  <c r="AF2689" i="30"/>
  <c r="AH2689" i="30" s="1"/>
  <c r="AF2690" i="30"/>
  <c r="AH2690" i="30" s="1"/>
  <c r="AF2691" i="30"/>
  <c r="AH2691" i="30" s="1"/>
  <c r="AF2692" i="30"/>
  <c r="AH2692" i="30" s="1"/>
  <c r="AF2693" i="30"/>
  <c r="AH2693" i="30" s="1"/>
  <c r="AF2694" i="30"/>
  <c r="AH2694" i="30" s="1"/>
  <c r="AF2695" i="30"/>
  <c r="AH2695" i="30" s="1"/>
  <c r="AF2696" i="30"/>
  <c r="AH2696" i="30" s="1"/>
  <c r="AF2697" i="30"/>
  <c r="AH2697" i="30" s="1"/>
  <c r="AF2698" i="30"/>
  <c r="AH2698" i="30" s="1"/>
  <c r="AF2699" i="30"/>
  <c r="AH2699" i="30" s="1"/>
  <c r="AF2700" i="30"/>
  <c r="AH2700" i="30" s="1"/>
  <c r="AF2701" i="30"/>
  <c r="AH2701" i="30" s="1"/>
  <c r="AF2702" i="30"/>
  <c r="AH2702" i="30" s="1"/>
  <c r="AF2703" i="30"/>
  <c r="AH2703" i="30" s="1"/>
  <c r="AF2704" i="30"/>
  <c r="AH2704" i="30" s="1"/>
  <c r="AF2705" i="30"/>
  <c r="AH2705" i="30" s="1"/>
  <c r="AF2706" i="30"/>
  <c r="AH2706" i="30" s="1"/>
  <c r="AF2707" i="30"/>
  <c r="AH2707" i="30" s="1"/>
  <c r="AF2708" i="30"/>
  <c r="AH2708" i="30" s="1"/>
  <c r="AF2709" i="30"/>
  <c r="AH2709" i="30" s="1"/>
  <c r="AF2710" i="30"/>
  <c r="AH2710" i="30" s="1"/>
  <c r="AF2711" i="30"/>
  <c r="AH2711" i="30" s="1"/>
  <c r="AF2712" i="30"/>
  <c r="AH2712" i="30" s="1"/>
  <c r="AF2713" i="30"/>
  <c r="AH2713" i="30" s="1"/>
  <c r="AF2714" i="30"/>
  <c r="AH2714" i="30" s="1"/>
  <c r="AF2715" i="30"/>
  <c r="AH2715" i="30" s="1"/>
  <c r="AF2716" i="30"/>
  <c r="AH2716" i="30" s="1"/>
  <c r="AF2717" i="30"/>
  <c r="AH2717" i="30" s="1"/>
  <c r="AF2718" i="30"/>
  <c r="AH2718" i="30" s="1"/>
  <c r="AF2719" i="30"/>
  <c r="AH2719" i="30" s="1"/>
  <c r="AF2720" i="30"/>
  <c r="AH2720" i="30" s="1"/>
  <c r="AF2721" i="30"/>
  <c r="AH2721" i="30" s="1"/>
  <c r="AF2722" i="30"/>
  <c r="AH2722" i="30" s="1"/>
  <c r="AF2723" i="30"/>
  <c r="AH2723" i="30" s="1"/>
  <c r="AF2724" i="30"/>
  <c r="AH2724" i="30" s="1"/>
  <c r="AF2725" i="30"/>
  <c r="AH2725" i="30" s="1"/>
  <c r="AF2726" i="30"/>
  <c r="AH2726" i="30" s="1"/>
  <c r="AF2727" i="30"/>
  <c r="AH2727" i="30" s="1"/>
  <c r="AF2728" i="30"/>
  <c r="AH2728" i="30" s="1"/>
  <c r="AF2729" i="30"/>
  <c r="AH2729" i="30" s="1"/>
  <c r="AF2730" i="30"/>
  <c r="AH2730" i="30" s="1"/>
  <c r="AF2731" i="30"/>
  <c r="AH2731" i="30" s="1"/>
  <c r="AF2732" i="30"/>
  <c r="AH2732" i="30" s="1"/>
  <c r="AF2733" i="30"/>
  <c r="AH2733" i="30" s="1"/>
  <c r="AF2734" i="30"/>
  <c r="AH2734" i="30" s="1"/>
  <c r="AF2735" i="30"/>
  <c r="AH2735" i="30" s="1"/>
  <c r="AF2736" i="30"/>
  <c r="AH2736" i="30" s="1"/>
  <c r="AF2737" i="30"/>
  <c r="AH2737" i="30" s="1"/>
  <c r="AF2738" i="30"/>
  <c r="AH2738" i="30" s="1"/>
  <c r="AF2739" i="30"/>
  <c r="AH2739" i="30" s="1"/>
  <c r="AF2740" i="30"/>
  <c r="AH2740" i="30" s="1"/>
  <c r="AF2741" i="30"/>
  <c r="AH2741" i="30" s="1"/>
  <c r="AF2742" i="30"/>
  <c r="AH2742" i="30" s="1"/>
  <c r="AF2743" i="30"/>
  <c r="AH2743" i="30" s="1"/>
  <c r="AF2744" i="30"/>
  <c r="AH2744" i="30" s="1"/>
  <c r="AF2745" i="30"/>
  <c r="AH2745" i="30" s="1"/>
  <c r="AF2746" i="30"/>
  <c r="AH2746" i="30" s="1"/>
  <c r="AF2747" i="30"/>
  <c r="AH2747" i="30" s="1"/>
  <c r="AF2748" i="30"/>
  <c r="AH2748" i="30" s="1"/>
  <c r="AF2749" i="30"/>
  <c r="AH2749" i="30" s="1"/>
  <c r="AF2750" i="30"/>
  <c r="AH2750" i="30" s="1"/>
  <c r="AF2751" i="30"/>
  <c r="AH2751" i="30" s="1"/>
  <c r="AF2752" i="30"/>
  <c r="AH2752" i="30" s="1"/>
  <c r="AF2753" i="30"/>
  <c r="AH2753" i="30" s="1"/>
  <c r="AF2754" i="30"/>
  <c r="AH2754" i="30" s="1"/>
  <c r="AF2755" i="30"/>
  <c r="AH2755" i="30" s="1"/>
  <c r="AF2756" i="30"/>
  <c r="AH2756" i="30" s="1"/>
  <c r="AF2757" i="30"/>
  <c r="AH2757" i="30" s="1"/>
  <c r="AF2758" i="30"/>
  <c r="AH2758" i="30" s="1"/>
  <c r="AF2759" i="30"/>
  <c r="AH2759" i="30" s="1"/>
  <c r="AF2760" i="30"/>
  <c r="AH2760" i="30" s="1"/>
  <c r="AF2761" i="30"/>
  <c r="AH2761" i="30" s="1"/>
  <c r="AF2762" i="30"/>
  <c r="AH2762" i="30" s="1"/>
  <c r="AF2763" i="30"/>
  <c r="AH2763" i="30" s="1"/>
  <c r="AF2764" i="30"/>
  <c r="AH2764" i="30" s="1"/>
  <c r="AF2765" i="30"/>
  <c r="AH2765" i="30" s="1"/>
  <c r="AF2766" i="30"/>
  <c r="AH2766" i="30" s="1"/>
  <c r="AF2767" i="30"/>
  <c r="AH2767" i="30" s="1"/>
  <c r="AF2768" i="30"/>
  <c r="AH2768" i="30" s="1"/>
  <c r="AF2769" i="30"/>
  <c r="AH2769" i="30" s="1"/>
  <c r="AF2770" i="30"/>
  <c r="AH2770" i="30" s="1"/>
  <c r="AF2771" i="30"/>
  <c r="AH2771" i="30" s="1"/>
  <c r="AF2772" i="30"/>
  <c r="AH2772" i="30" s="1"/>
  <c r="AF2773" i="30"/>
  <c r="AH2773" i="30" s="1"/>
  <c r="AF2774" i="30"/>
  <c r="AH2774" i="30" s="1"/>
  <c r="AG3567" i="30"/>
  <c r="AF3567" i="30"/>
  <c r="AH3567" i="30" s="1"/>
  <c r="AG3569" i="30"/>
  <c r="AF3569" i="30"/>
  <c r="AH3569" i="30" s="1"/>
  <c r="AG3571" i="30"/>
  <c r="AF3571" i="30"/>
  <c r="AH3571" i="30" s="1"/>
  <c r="AG3573" i="30"/>
  <c r="AF3573" i="30"/>
  <c r="AH3573" i="30" s="1"/>
  <c r="AG3575" i="30"/>
  <c r="AF3575" i="30"/>
  <c r="AH3575" i="30" s="1"/>
  <c r="AG3577" i="30"/>
  <c r="AF3577" i="30"/>
  <c r="AH3577" i="30" s="1"/>
  <c r="AG3579" i="30"/>
  <c r="AF3579" i="30"/>
  <c r="AH3579" i="30" s="1"/>
  <c r="AG3581" i="30"/>
  <c r="AF3581" i="30"/>
  <c r="AH3581" i="30" s="1"/>
  <c r="AG3583" i="30"/>
  <c r="AF3583" i="30"/>
  <c r="AH3583" i="30" s="1"/>
  <c r="AG3585" i="30"/>
  <c r="AF3585" i="30"/>
  <c r="AH3585" i="30" s="1"/>
  <c r="AG3587" i="30"/>
  <c r="AF3587" i="30"/>
  <c r="AH3587" i="30" s="1"/>
  <c r="AG3589" i="30"/>
  <c r="AF3589" i="30"/>
  <c r="AH3589" i="30" s="1"/>
  <c r="AG3591" i="30"/>
  <c r="AF3591" i="30"/>
  <c r="AH3591" i="30" s="1"/>
  <c r="AG3593" i="30"/>
  <c r="AF3593" i="30"/>
  <c r="AH3593" i="30" s="1"/>
  <c r="AG3595" i="30"/>
  <c r="AF3595" i="30"/>
  <c r="AH3595" i="30" s="1"/>
  <c r="AG3597" i="30"/>
  <c r="AF3597" i="30"/>
  <c r="AH3597" i="30" s="1"/>
  <c r="AG3599" i="30"/>
  <c r="AF3599" i="30"/>
  <c r="AH3599" i="30" s="1"/>
  <c r="AG3601" i="30"/>
  <c r="AF3601" i="30"/>
  <c r="AH3601" i="30" s="1"/>
  <c r="AG3603" i="30"/>
  <c r="AF3603" i="30"/>
  <c r="AH3603" i="30" s="1"/>
  <c r="AG3605" i="30"/>
  <c r="AF3605" i="30"/>
  <c r="AH3605" i="30" s="1"/>
  <c r="AG3607" i="30"/>
  <c r="AF3607" i="30"/>
  <c r="AH3607" i="30" s="1"/>
  <c r="AG3609" i="30"/>
  <c r="AF3609" i="30"/>
  <c r="AH3609" i="30" s="1"/>
  <c r="AG3611" i="30"/>
  <c r="AF3611" i="30"/>
  <c r="AH3611" i="30" s="1"/>
  <c r="AG3613" i="30"/>
  <c r="AF3613" i="30"/>
  <c r="AH3613" i="30" s="1"/>
  <c r="AG3615" i="30"/>
  <c r="AF3615" i="30"/>
  <c r="AH3615" i="30" s="1"/>
  <c r="AG3617" i="30"/>
  <c r="AF3617" i="30"/>
  <c r="AH3617" i="30" s="1"/>
  <c r="AG3619" i="30"/>
  <c r="AF3619" i="30"/>
  <c r="AH3619" i="30" s="1"/>
  <c r="AG3621" i="30"/>
  <c r="AF3621" i="30"/>
  <c r="AH3621" i="30" s="1"/>
  <c r="AG3623" i="30"/>
  <c r="AF3623" i="30"/>
  <c r="AH3623" i="30" s="1"/>
  <c r="AG3625" i="30"/>
  <c r="AF3625" i="30"/>
  <c r="AH3625" i="30" s="1"/>
  <c r="AG3627" i="30"/>
  <c r="AF3627" i="30"/>
  <c r="AH3627" i="30" s="1"/>
  <c r="AG3629" i="30"/>
  <c r="AF3629" i="30"/>
  <c r="AH3629" i="30" s="1"/>
  <c r="AG3631" i="30"/>
  <c r="AF3631" i="30"/>
  <c r="AH3631" i="30" s="1"/>
  <c r="AG3633" i="30"/>
  <c r="AF3633" i="30"/>
  <c r="AH3633" i="30" s="1"/>
  <c r="AG3635" i="30"/>
  <c r="AF3635" i="30"/>
  <c r="AH3635" i="30" s="1"/>
  <c r="AG3637" i="30"/>
  <c r="AF3637" i="30"/>
  <c r="AH3637" i="30" s="1"/>
  <c r="AG3639" i="30"/>
  <c r="AF3639" i="30"/>
  <c r="AH3639" i="30" s="1"/>
  <c r="AG3641" i="30"/>
  <c r="AF3641" i="30"/>
  <c r="AH3641" i="30" s="1"/>
  <c r="AG3643" i="30"/>
  <c r="AF3643" i="30"/>
  <c r="AH3643" i="30" s="1"/>
  <c r="AG3645" i="30"/>
  <c r="AF3645" i="30"/>
  <c r="AH3645" i="30" s="1"/>
  <c r="AG3647" i="30"/>
  <c r="AF3647" i="30"/>
  <c r="AH3647" i="30" s="1"/>
  <c r="AG3649" i="30"/>
  <c r="AF3649" i="30"/>
  <c r="AH3649" i="30" s="1"/>
  <c r="AG3651" i="30"/>
  <c r="AF3651" i="30"/>
  <c r="AH3651" i="30" s="1"/>
  <c r="AG3653" i="30"/>
  <c r="AF3653" i="30"/>
  <c r="AH3653" i="30" s="1"/>
  <c r="AG3655" i="30"/>
  <c r="AF3655" i="30"/>
  <c r="AH3655" i="30" s="1"/>
  <c r="AG3657" i="30"/>
  <c r="AF3657" i="30"/>
  <c r="AH3657" i="30" s="1"/>
  <c r="AG3659" i="30"/>
  <c r="AF3659" i="30"/>
  <c r="AH3659" i="30" s="1"/>
  <c r="AG3661" i="30"/>
  <c r="AF3661" i="30"/>
  <c r="AH3661" i="30" s="1"/>
  <c r="AG3663" i="30"/>
  <c r="AF3663" i="30"/>
  <c r="AH3663" i="30" s="1"/>
  <c r="AG3665" i="30"/>
  <c r="AF3665" i="30"/>
  <c r="AH3665" i="30" s="1"/>
  <c r="AG3667" i="30"/>
  <c r="AF3667" i="30"/>
  <c r="AH3667" i="30" s="1"/>
  <c r="AG3669" i="30"/>
  <c r="AF3669" i="30"/>
  <c r="AH3669" i="30" s="1"/>
  <c r="AG3671" i="30"/>
  <c r="AF3671" i="30"/>
  <c r="AH3671" i="30" s="1"/>
  <c r="AG3673" i="30"/>
  <c r="AF3673" i="30"/>
  <c r="AH3673" i="30" s="1"/>
  <c r="AG3675" i="30"/>
  <c r="AF3675" i="30"/>
  <c r="AH3675" i="30" s="1"/>
  <c r="AG3677" i="30"/>
  <c r="AF3677" i="30"/>
  <c r="AH3677" i="30" s="1"/>
  <c r="AG3679" i="30"/>
  <c r="AF3679" i="30"/>
  <c r="AH3679" i="30" s="1"/>
  <c r="AG3681" i="30"/>
  <c r="AF3681" i="30"/>
  <c r="AH3681" i="30" s="1"/>
  <c r="AG3683" i="30"/>
  <c r="AF3683" i="30"/>
  <c r="AH3683" i="30" s="1"/>
  <c r="AG3685" i="30"/>
  <c r="AF3685" i="30"/>
  <c r="AH3685" i="30" s="1"/>
  <c r="AG3687" i="30"/>
  <c r="AF3687" i="30"/>
  <c r="AH3687" i="30" s="1"/>
  <c r="AG3689" i="30"/>
  <c r="AF3689" i="30"/>
  <c r="AH3689" i="30" s="1"/>
  <c r="AG3691" i="30"/>
  <c r="AF3691" i="30"/>
  <c r="AH3691" i="30" s="1"/>
  <c r="AG3693" i="30"/>
  <c r="AF3693" i="30"/>
  <c r="AH3693" i="30" s="1"/>
  <c r="AG3695" i="30"/>
  <c r="AF3695" i="30"/>
  <c r="AH3695" i="30" s="1"/>
  <c r="AG3697" i="30"/>
  <c r="AF3697" i="30"/>
  <c r="AH3697" i="30" s="1"/>
  <c r="AG3699" i="30"/>
  <c r="AF3699" i="30"/>
  <c r="AH3699" i="30" s="1"/>
  <c r="AG3701" i="30"/>
  <c r="AF3701" i="30"/>
  <c r="AH3701" i="30" s="1"/>
  <c r="AG3703" i="30"/>
  <c r="AF3703" i="30"/>
  <c r="AH3703" i="30" s="1"/>
  <c r="AG3705" i="30"/>
  <c r="AF3705" i="30"/>
  <c r="AH3705" i="30" s="1"/>
  <c r="AG3707" i="30"/>
  <c r="AF3707" i="30"/>
  <c r="AH3707" i="30" s="1"/>
  <c r="AG3709" i="30"/>
  <c r="AF3709" i="30"/>
  <c r="AH3709" i="30" s="1"/>
  <c r="AG3711" i="30"/>
  <c r="AF3711" i="30"/>
  <c r="AH3711" i="30" s="1"/>
  <c r="AG3713" i="30"/>
  <c r="AF3713" i="30"/>
  <c r="AH3713" i="30" s="1"/>
  <c r="AG3715" i="30"/>
  <c r="AF3715" i="30"/>
  <c r="AH3715" i="30" s="1"/>
  <c r="AG3717" i="30"/>
  <c r="AF3717" i="30"/>
  <c r="AH3717" i="30" s="1"/>
  <c r="AG3719" i="30"/>
  <c r="AF3719" i="30"/>
  <c r="AH3719" i="30" s="1"/>
  <c r="AG3721" i="30"/>
  <c r="AF3721" i="30"/>
  <c r="AH3721" i="30" s="1"/>
  <c r="AG3723" i="30"/>
  <c r="AF3723" i="30"/>
  <c r="AH3723" i="30" s="1"/>
  <c r="AG3725" i="30"/>
  <c r="AF3725" i="30"/>
  <c r="AH3725" i="30" s="1"/>
  <c r="AG3727" i="30"/>
  <c r="AF3727" i="30"/>
  <c r="AH3727" i="30" s="1"/>
  <c r="AG3729" i="30"/>
  <c r="AF3729" i="30"/>
  <c r="AH3729" i="30" s="1"/>
  <c r="AG3731" i="30"/>
  <c r="AF3731" i="30"/>
  <c r="AH3731" i="30" s="1"/>
  <c r="AG3733" i="30"/>
  <c r="AF3733" i="30"/>
  <c r="AH3733" i="30" s="1"/>
  <c r="AG3566" i="30"/>
  <c r="AF3566" i="30"/>
  <c r="AH3566" i="30" s="1"/>
  <c r="AG3568" i="30"/>
  <c r="AF3568" i="30"/>
  <c r="AH3568" i="30" s="1"/>
  <c r="AG3570" i="30"/>
  <c r="AF3570" i="30"/>
  <c r="AH3570" i="30" s="1"/>
  <c r="AG3572" i="30"/>
  <c r="AF3572" i="30"/>
  <c r="AH3572" i="30" s="1"/>
  <c r="AG3574" i="30"/>
  <c r="AF3574" i="30"/>
  <c r="AH3574" i="30" s="1"/>
  <c r="AG3576" i="30"/>
  <c r="AF3576" i="30"/>
  <c r="AH3576" i="30" s="1"/>
  <c r="AG3578" i="30"/>
  <c r="AF3578" i="30"/>
  <c r="AH3578" i="30" s="1"/>
  <c r="AG3580" i="30"/>
  <c r="AF3580" i="30"/>
  <c r="AH3580" i="30" s="1"/>
  <c r="AG3582" i="30"/>
  <c r="AF3582" i="30"/>
  <c r="AH3582" i="30" s="1"/>
  <c r="AG3584" i="30"/>
  <c r="AF3584" i="30"/>
  <c r="AH3584" i="30" s="1"/>
  <c r="AG3586" i="30"/>
  <c r="AF3586" i="30"/>
  <c r="AH3586" i="30" s="1"/>
  <c r="AG3588" i="30"/>
  <c r="AF3588" i="30"/>
  <c r="AH3588" i="30" s="1"/>
  <c r="AG3590" i="30"/>
  <c r="AF3590" i="30"/>
  <c r="AH3590" i="30" s="1"/>
  <c r="AG3592" i="30"/>
  <c r="AF3592" i="30"/>
  <c r="AH3592" i="30" s="1"/>
  <c r="AG3594" i="30"/>
  <c r="AF3594" i="30"/>
  <c r="AH3594" i="30" s="1"/>
  <c r="AG3596" i="30"/>
  <c r="AF3596" i="30"/>
  <c r="AH3596" i="30" s="1"/>
  <c r="AG3598" i="30"/>
  <c r="AF3598" i="30"/>
  <c r="AH3598" i="30" s="1"/>
  <c r="AG3600" i="30"/>
  <c r="AF3600" i="30"/>
  <c r="AH3600" i="30" s="1"/>
  <c r="AG3602" i="30"/>
  <c r="AF3602" i="30"/>
  <c r="AH3602" i="30" s="1"/>
  <c r="AG3604" i="30"/>
  <c r="AF3604" i="30"/>
  <c r="AH3604" i="30" s="1"/>
  <c r="AG3606" i="30"/>
  <c r="AF3606" i="30"/>
  <c r="AH3606" i="30" s="1"/>
  <c r="AG3608" i="30"/>
  <c r="AF3608" i="30"/>
  <c r="AH3608" i="30" s="1"/>
  <c r="AG3610" i="30"/>
  <c r="AF3610" i="30"/>
  <c r="AH3610" i="30" s="1"/>
  <c r="AG3612" i="30"/>
  <c r="AF3612" i="30"/>
  <c r="AH3612" i="30" s="1"/>
  <c r="AG3614" i="30"/>
  <c r="AF3614" i="30"/>
  <c r="AH3614" i="30" s="1"/>
  <c r="AG3616" i="30"/>
  <c r="AF3616" i="30"/>
  <c r="AH3616" i="30" s="1"/>
  <c r="AG3618" i="30"/>
  <c r="AF3618" i="30"/>
  <c r="AH3618" i="30" s="1"/>
  <c r="AG3620" i="30"/>
  <c r="AF3620" i="30"/>
  <c r="AH3620" i="30" s="1"/>
  <c r="AG3622" i="30"/>
  <c r="AF3622" i="30"/>
  <c r="AH3622" i="30" s="1"/>
  <c r="AG3624" i="30"/>
  <c r="AF3624" i="30"/>
  <c r="AH3624" i="30" s="1"/>
  <c r="AG3626" i="30"/>
  <c r="AF3626" i="30"/>
  <c r="AH3626" i="30" s="1"/>
  <c r="AG3628" i="30"/>
  <c r="AF3628" i="30"/>
  <c r="AH3628" i="30" s="1"/>
  <c r="AG3630" i="30"/>
  <c r="AF3630" i="30"/>
  <c r="AH3630" i="30" s="1"/>
  <c r="AG3632" i="30"/>
  <c r="AF3632" i="30"/>
  <c r="AH3632" i="30" s="1"/>
  <c r="AG3634" i="30"/>
  <c r="AF3634" i="30"/>
  <c r="AH3634" i="30" s="1"/>
  <c r="AG3636" i="30"/>
  <c r="AF3636" i="30"/>
  <c r="AH3636" i="30" s="1"/>
  <c r="AG3638" i="30"/>
  <c r="AF3638" i="30"/>
  <c r="AH3638" i="30" s="1"/>
  <c r="AG3640" i="30"/>
  <c r="AF3640" i="30"/>
  <c r="AH3640" i="30" s="1"/>
  <c r="AG3642" i="30"/>
  <c r="AF3642" i="30"/>
  <c r="AH3642" i="30" s="1"/>
  <c r="AG3644" i="30"/>
  <c r="AF3644" i="30"/>
  <c r="AH3644" i="30" s="1"/>
  <c r="AG3646" i="30"/>
  <c r="AF3646" i="30"/>
  <c r="AH3646" i="30" s="1"/>
  <c r="AG3648" i="30"/>
  <c r="AF3648" i="30"/>
  <c r="AH3648" i="30" s="1"/>
  <c r="AG3650" i="30"/>
  <c r="AF3650" i="30"/>
  <c r="AH3650" i="30" s="1"/>
  <c r="AG3652" i="30"/>
  <c r="AF3652" i="30"/>
  <c r="AH3652" i="30" s="1"/>
  <c r="AG3654" i="30"/>
  <c r="AF3654" i="30"/>
  <c r="AH3654" i="30" s="1"/>
  <c r="AG3656" i="30"/>
  <c r="AF3656" i="30"/>
  <c r="AH3656" i="30" s="1"/>
  <c r="AG3658" i="30"/>
  <c r="AF3658" i="30"/>
  <c r="AH3658" i="30" s="1"/>
  <c r="AG3660" i="30"/>
  <c r="AF3660" i="30"/>
  <c r="AH3660" i="30" s="1"/>
  <c r="AG3662" i="30"/>
  <c r="AF3662" i="30"/>
  <c r="AH3662" i="30" s="1"/>
  <c r="AG3664" i="30"/>
  <c r="AF3664" i="30"/>
  <c r="AH3664" i="30" s="1"/>
  <c r="AG3666" i="30"/>
  <c r="AF3666" i="30"/>
  <c r="AH3666" i="30" s="1"/>
  <c r="AG3668" i="30"/>
  <c r="AF3668" i="30"/>
  <c r="AH3668" i="30" s="1"/>
  <c r="AG3670" i="30"/>
  <c r="AF3670" i="30"/>
  <c r="AH3670" i="30" s="1"/>
  <c r="AG3672" i="30"/>
  <c r="AF3672" i="30"/>
  <c r="AH3672" i="30" s="1"/>
  <c r="AG3674" i="30"/>
  <c r="AF3674" i="30"/>
  <c r="AH3674" i="30" s="1"/>
  <c r="AG3676" i="30"/>
  <c r="AF3676" i="30"/>
  <c r="AH3676" i="30" s="1"/>
  <c r="AG3678" i="30"/>
  <c r="AF3678" i="30"/>
  <c r="AH3678" i="30" s="1"/>
  <c r="AG3680" i="30"/>
  <c r="AF3680" i="30"/>
  <c r="AH3680" i="30" s="1"/>
  <c r="AG3682" i="30"/>
  <c r="AF3682" i="30"/>
  <c r="AH3682" i="30" s="1"/>
  <c r="AG3684" i="30"/>
  <c r="AF3684" i="30"/>
  <c r="AH3684" i="30" s="1"/>
  <c r="AG3686" i="30"/>
  <c r="AF3686" i="30"/>
  <c r="AH3686" i="30" s="1"/>
  <c r="AG3688" i="30"/>
  <c r="AF3688" i="30"/>
  <c r="AH3688" i="30" s="1"/>
  <c r="AG3690" i="30"/>
  <c r="AF3690" i="30"/>
  <c r="AH3690" i="30" s="1"/>
  <c r="AG3692" i="30"/>
  <c r="AF3692" i="30"/>
  <c r="AH3692" i="30" s="1"/>
  <c r="AG3694" i="30"/>
  <c r="AF3694" i="30"/>
  <c r="AH3694" i="30" s="1"/>
  <c r="AG3696" i="30"/>
  <c r="AF3696" i="30"/>
  <c r="AH3696" i="30" s="1"/>
  <c r="AG3698" i="30"/>
  <c r="AF3698" i="30"/>
  <c r="AH3698" i="30" s="1"/>
  <c r="AG3700" i="30"/>
  <c r="AF3700" i="30"/>
  <c r="AH3700" i="30" s="1"/>
  <c r="AG3702" i="30"/>
  <c r="AF3702" i="30"/>
  <c r="AH3702" i="30" s="1"/>
  <c r="AG3704" i="30"/>
  <c r="AF3704" i="30"/>
  <c r="AH3704" i="30" s="1"/>
  <c r="AG3706" i="30"/>
  <c r="AF3706" i="30"/>
  <c r="AH3706" i="30" s="1"/>
  <c r="AG3708" i="30"/>
  <c r="AF3708" i="30"/>
  <c r="AH3708" i="30" s="1"/>
  <c r="AG3710" i="30"/>
  <c r="AF3710" i="30"/>
  <c r="AH3710" i="30" s="1"/>
  <c r="AG3712" i="30"/>
  <c r="AF3712" i="30"/>
  <c r="AH3712" i="30" s="1"/>
  <c r="AG3714" i="30"/>
  <c r="AF3714" i="30"/>
  <c r="AH3714" i="30" s="1"/>
  <c r="AG3716" i="30"/>
  <c r="AF3716" i="30"/>
  <c r="AH3716" i="30" s="1"/>
  <c r="AG3718" i="30"/>
  <c r="AF3718" i="30"/>
  <c r="AH3718" i="30" s="1"/>
  <c r="AG3720" i="30"/>
  <c r="AF3720" i="30"/>
  <c r="AH3720" i="30" s="1"/>
  <c r="AG3722" i="30"/>
  <c r="AF3722" i="30"/>
  <c r="AH3722" i="30" s="1"/>
  <c r="AG3724" i="30"/>
  <c r="AF3724" i="30"/>
  <c r="AH3724" i="30" s="1"/>
  <c r="AG3726" i="30"/>
  <c r="AF3726" i="30"/>
  <c r="AH3726" i="30" s="1"/>
  <c r="AG3728" i="30"/>
  <c r="AF3728" i="30"/>
  <c r="AH3728" i="30" s="1"/>
  <c r="AG3730" i="30"/>
  <c r="AF3730" i="30"/>
  <c r="AH3730" i="30" s="1"/>
  <c r="AG3732" i="30"/>
  <c r="AF3732" i="30"/>
  <c r="AH3732" i="30" s="1"/>
  <c r="AG3734" i="30"/>
  <c r="AF3734" i="30"/>
  <c r="AH3734" i="30" s="1"/>
  <c r="AF3197" i="30"/>
  <c r="AH3197" i="30" s="1"/>
  <c r="AF3198" i="30"/>
  <c r="AH3198" i="30" s="1"/>
  <c r="AF3199" i="30"/>
  <c r="AH3199" i="30" s="1"/>
  <c r="AF3200" i="30"/>
  <c r="AH3200" i="30" s="1"/>
  <c r="AF3201" i="30"/>
  <c r="AH3201" i="30" s="1"/>
  <c r="AF3202" i="30"/>
  <c r="AH3202" i="30" s="1"/>
  <c r="AF3203" i="30"/>
  <c r="AH3203" i="30" s="1"/>
  <c r="AF3204" i="30"/>
  <c r="AH3204" i="30" s="1"/>
  <c r="AF3205" i="30"/>
  <c r="AH3205" i="30" s="1"/>
  <c r="AF3206" i="30"/>
  <c r="AH3206" i="30" s="1"/>
  <c r="AF3207" i="30"/>
  <c r="AH3207" i="30" s="1"/>
  <c r="AF3208" i="30"/>
  <c r="AH3208" i="30" s="1"/>
  <c r="AF3209" i="30"/>
  <c r="AH3209" i="30" s="1"/>
  <c r="AF3210" i="30"/>
  <c r="AH3210" i="30" s="1"/>
  <c r="AF3211" i="30"/>
  <c r="AH3211" i="30" s="1"/>
  <c r="AF3212" i="30"/>
  <c r="AH3212" i="30" s="1"/>
  <c r="AF3213" i="30"/>
  <c r="AH3213" i="30" s="1"/>
  <c r="AF3214" i="30"/>
  <c r="AH3214" i="30" s="1"/>
  <c r="AF3215" i="30"/>
  <c r="AH3215" i="30" s="1"/>
  <c r="AF3216" i="30"/>
  <c r="AH3216" i="30" s="1"/>
  <c r="AF3217" i="30"/>
  <c r="AH3217" i="30" s="1"/>
  <c r="AF3218" i="30"/>
  <c r="AH3218" i="30" s="1"/>
  <c r="AF3219" i="30"/>
  <c r="AH3219" i="30" s="1"/>
  <c r="AF3220" i="30"/>
  <c r="AH3220" i="30" s="1"/>
  <c r="AF3221" i="30"/>
  <c r="AH3221" i="30" s="1"/>
  <c r="AF3222" i="30"/>
  <c r="AH3222" i="30" s="1"/>
  <c r="AF3223" i="30"/>
  <c r="AH3223" i="30" s="1"/>
  <c r="AF3224" i="30"/>
  <c r="AH3224" i="30" s="1"/>
  <c r="AF3225" i="30"/>
  <c r="AH3225" i="30" s="1"/>
  <c r="AF3226" i="30"/>
  <c r="AH3226" i="30" s="1"/>
  <c r="AF3227" i="30"/>
  <c r="AH3227" i="30" s="1"/>
  <c r="AF3228" i="30"/>
  <c r="AH3228" i="30" s="1"/>
  <c r="AF3229" i="30"/>
  <c r="AH3229" i="30" s="1"/>
  <c r="AF3230" i="30"/>
  <c r="AH3230" i="30" s="1"/>
  <c r="AF3231" i="30"/>
  <c r="AH3231" i="30" s="1"/>
  <c r="AF3232" i="30"/>
  <c r="AH3232" i="30" s="1"/>
  <c r="AF3233" i="30"/>
  <c r="AH3233" i="30" s="1"/>
  <c r="AF3234" i="30"/>
  <c r="AH3234" i="30" s="1"/>
  <c r="AF3235" i="30"/>
  <c r="AH3235" i="30" s="1"/>
  <c r="AF3236" i="30"/>
  <c r="AH3236" i="30" s="1"/>
  <c r="AF3237" i="30"/>
  <c r="AH3237" i="30" s="1"/>
  <c r="AF3238" i="30"/>
  <c r="AH3238" i="30" s="1"/>
  <c r="AF3239" i="30"/>
  <c r="AH3239" i="30" s="1"/>
  <c r="AF3240" i="30"/>
  <c r="AH3240" i="30" s="1"/>
  <c r="AF3241" i="30"/>
  <c r="AH3241" i="30" s="1"/>
  <c r="AF3242" i="30"/>
  <c r="AH3242" i="30" s="1"/>
  <c r="AF3243" i="30"/>
  <c r="AH3243" i="30" s="1"/>
  <c r="AF3244" i="30"/>
  <c r="AH3244" i="30" s="1"/>
  <c r="AF3245" i="30"/>
  <c r="AH3245" i="30" s="1"/>
  <c r="AF3246" i="30"/>
  <c r="AH3246" i="30" s="1"/>
  <c r="AF3247" i="30"/>
  <c r="AH3247" i="30" s="1"/>
  <c r="AF3248" i="30"/>
  <c r="AH3248" i="30" s="1"/>
  <c r="AF3249" i="30"/>
  <c r="AH3249" i="30" s="1"/>
  <c r="AF3250" i="30"/>
  <c r="AH3250" i="30" s="1"/>
  <c r="AF3251" i="30"/>
  <c r="AH3251" i="30" s="1"/>
  <c r="AF3252" i="30"/>
  <c r="AH3252" i="30" s="1"/>
  <c r="AF3253" i="30"/>
  <c r="AH3253" i="30" s="1"/>
  <c r="AF3254" i="30"/>
  <c r="AH3254" i="30" s="1"/>
  <c r="AF3255" i="30"/>
  <c r="AH3255" i="30" s="1"/>
  <c r="AF3256" i="30"/>
  <c r="AH3256" i="30" s="1"/>
  <c r="AF3257" i="30"/>
  <c r="AH3257" i="30" s="1"/>
  <c r="AF3258" i="30"/>
  <c r="AH3258" i="30" s="1"/>
  <c r="AF3259" i="30"/>
  <c r="AH3259" i="30" s="1"/>
  <c r="AF3260" i="30"/>
  <c r="AH3260" i="30" s="1"/>
  <c r="AF3261" i="30"/>
  <c r="AH3261" i="30" s="1"/>
  <c r="AF3262" i="30"/>
  <c r="AH3262" i="30" s="1"/>
  <c r="AF3263" i="30"/>
  <c r="AH3263" i="30" s="1"/>
  <c r="AF3264" i="30"/>
  <c r="AH3264" i="30" s="1"/>
  <c r="AF3265" i="30"/>
  <c r="AH3265" i="30" s="1"/>
  <c r="AF3266" i="30"/>
  <c r="AH3266" i="30" s="1"/>
  <c r="AF3267" i="30"/>
  <c r="AH3267" i="30" s="1"/>
  <c r="AF3268" i="30"/>
  <c r="AH3268" i="30" s="1"/>
  <c r="AF3269" i="30"/>
  <c r="AH3269" i="30" s="1"/>
  <c r="AF3270" i="30"/>
  <c r="AH3270" i="30" s="1"/>
  <c r="AF3271" i="30"/>
  <c r="AH3271" i="30" s="1"/>
  <c r="AF3272" i="30"/>
  <c r="AH3272" i="30" s="1"/>
  <c r="AF3273" i="30"/>
  <c r="AH3273" i="30" s="1"/>
  <c r="AF3274" i="30"/>
  <c r="AH3274" i="30" s="1"/>
  <c r="AF3275" i="30"/>
  <c r="AH3275" i="30" s="1"/>
  <c r="AF3276" i="30"/>
  <c r="AH3276" i="30" s="1"/>
  <c r="AF3277" i="30"/>
  <c r="AH3277" i="30" s="1"/>
  <c r="AF3278" i="30"/>
  <c r="AH3278" i="30" s="1"/>
  <c r="AF3279" i="30"/>
  <c r="AH3279" i="30" s="1"/>
  <c r="AF3280" i="30"/>
  <c r="AH3280" i="30" s="1"/>
  <c r="AF3281" i="30"/>
  <c r="AH3281" i="30" s="1"/>
  <c r="AF3282" i="30"/>
  <c r="AH3282" i="30" s="1"/>
  <c r="AF3283" i="30"/>
  <c r="AH3283" i="30" s="1"/>
  <c r="AF3284" i="30"/>
  <c r="AH3284" i="30" s="1"/>
  <c r="AF3285" i="30"/>
  <c r="AH3285" i="30" s="1"/>
  <c r="AF3286" i="30"/>
  <c r="AH3286" i="30" s="1"/>
  <c r="AF3287" i="30"/>
  <c r="AH3287" i="30" s="1"/>
  <c r="AF3288" i="30"/>
  <c r="AH3288" i="30" s="1"/>
  <c r="AF3289" i="30"/>
  <c r="AH3289" i="30" s="1"/>
  <c r="AF3290" i="30"/>
  <c r="AH3290" i="30" s="1"/>
  <c r="AF3291" i="30"/>
  <c r="AH3291" i="30" s="1"/>
  <c r="AF3292" i="30"/>
  <c r="AH3292" i="30" s="1"/>
  <c r="AF3293" i="30"/>
  <c r="AH3293" i="30" s="1"/>
  <c r="AF3294" i="30"/>
  <c r="AH3294" i="30" s="1"/>
  <c r="AF3295" i="30"/>
  <c r="AH3295" i="30" s="1"/>
  <c r="AF3296" i="30"/>
  <c r="AH3296" i="30" s="1"/>
  <c r="AF3297" i="30"/>
  <c r="AH3297" i="30" s="1"/>
  <c r="AF3298" i="30"/>
  <c r="AH3298" i="30" s="1"/>
  <c r="AF3299" i="30"/>
  <c r="AH3299" i="30" s="1"/>
  <c r="AF3300" i="30"/>
  <c r="AH3300" i="30" s="1"/>
  <c r="AF3301" i="30"/>
  <c r="AH3301" i="30" s="1"/>
  <c r="AF3302" i="30"/>
  <c r="AH3302" i="30" s="1"/>
  <c r="AF3303" i="30"/>
  <c r="AH3303" i="30" s="1"/>
  <c r="AF3304" i="30"/>
  <c r="AH3304" i="30" s="1"/>
  <c r="AF3305" i="30"/>
  <c r="AH3305" i="30" s="1"/>
  <c r="AF3306" i="30"/>
  <c r="AH3306" i="30" s="1"/>
  <c r="AF3307" i="30"/>
  <c r="AH3307" i="30" s="1"/>
  <c r="AF3308" i="30"/>
  <c r="AH3308" i="30" s="1"/>
  <c r="AF3309" i="30"/>
  <c r="AH3309" i="30" s="1"/>
  <c r="AF3310" i="30"/>
  <c r="AH3310" i="30" s="1"/>
  <c r="AF3311" i="30"/>
  <c r="AH3311" i="30" s="1"/>
  <c r="AF3312" i="30"/>
  <c r="AH3312" i="30" s="1"/>
  <c r="AF3313" i="30"/>
  <c r="AH3313" i="30" s="1"/>
  <c r="AF3314" i="30"/>
  <c r="AH3314" i="30" s="1"/>
  <c r="AF3315" i="30"/>
  <c r="AH3315" i="30" s="1"/>
  <c r="AF3316" i="30"/>
  <c r="AH3316" i="30" s="1"/>
  <c r="AF3317" i="30"/>
  <c r="AH3317" i="30" s="1"/>
  <c r="AF3318" i="30"/>
  <c r="AH3318" i="30" s="1"/>
  <c r="AF3319" i="30"/>
  <c r="AH3319" i="30" s="1"/>
  <c r="AF3320" i="30"/>
  <c r="AH3320" i="30" s="1"/>
  <c r="AF3321" i="30"/>
  <c r="AH3321" i="30" s="1"/>
  <c r="AF3322" i="30"/>
  <c r="AH3322" i="30" s="1"/>
  <c r="AF3323" i="30"/>
  <c r="AH3323" i="30" s="1"/>
  <c r="AF3324" i="30"/>
  <c r="AH3324" i="30" s="1"/>
  <c r="AF3325" i="30"/>
  <c r="AH3325" i="30" s="1"/>
  <c r="AF3326" i="30"/>
  <c r="AH3326" i="30" s="1"/>
  <c r="AF3327" i="30"/>
  <c r="AH3327" i="30" s="1"/>
  <c r="AF3328" i="30"/>
  <c r="AH3328" i="30" s="1"/>
  <c r="AF3329" i="30"/>
  <c r="AH3329" i="30" s="1"/>
  <c r="AF3330" i="30"/>
  <c r="AH3330" i="30" s="1"/>
  <c r="AF3331" i="30"/>
  <c r="AH3331" i="30" s="1"/>
  <c r="AF3332" i="30"/>
  <c r="AH3332" i="30" s="1"/>
  <c r="AF3333" i="30"/>
  <c r="AH3333" i="30" s="1"/>
  <c r="AF3334" i="30"/>
  <c r="AH3334" i="30" s="1"/>
  <c r="AF3335" i="30"/>
  <c r="AH3335" i="30" s="1"/>
  <c r="AF3336" i="30"/>
  <c r="AH3336" i="30" s="1"/>
  <c r="AF3337" i="30"/>
  <c r="AH3337" i="30" s="1"/>
  <c r="AF3338" i="30"/>
  <c r="AH3338" i="30" s="1"/>
  <c r="AF3339" i="30"/>
  <c r="AH3339" i="30" s="1"/>
  <c r="AF3340" i="30"/>
  <c r="AH3340" i="30" s="1"/>
  <c r="AF3341" i="30"/>
  <c r="AH3341" i="30" s="1"/>
  <c r="AF3342" i="30"/>
  <c r="AH3342" i="30" s="1"/>
  <c r="AF3343" i="30"/>
  <c r="AH3343" i="30" s="1"/>
  <c r="AF3344" i="30"/>
  <c r="AH3344" i="30" s="1"/>
  <c r="AF3345" i="30"/>
  <c r="AH3345" i="30" s="1"/>
  <c r="AF3346" i="30"/>
  <c r="AH3346" i="30" s="1"/>
  <c r="AF3347" i="30"/>
  <c r="AH3347" i="30" s="1"/>
  <c r="AF3348" i="30"/>
  <c r="AH3348" i="30" s="1"/>
  <c r="AF3349" i="30"/>
  <c r="AH3349" i="30" s="1"/>
  <c r="AF3350" i="30"/>
  <c r="AH3350" i="30" s="1"/>
  <c r="AG5694" i="30"/>
  <c r="AF5694" i="30"/>
  <c r="AH5694" i="30" s="1"/>
  <c r="AG5696" i="30"/>
  <c r="AF5696" i="30"/>
  <c r="AH5696" i="30" s="1"/>
  <c r="AG5698" i="30"/>
  <c r="AF5698" i="30"/>
  <c r="AH5698" i="30" s="1"/>
  <c r="AG5700" i="30"/>
  <c r="AF5700" i="30"/>
  <c r="AH5700" i="30" s="1"/>
  <c r="AG5702" i="30"/>
  <c r="AF5702" i="30"/>
  <c r="AH5702" i="30" s="1"/>
  <c r="AG5704" i="30"/>
  <c r="AF5704" i="30"/>
  <c r="AH5704" i="30" s="1"/>
  <c r="AG5706" i="30"/>
  <c r="AF5706" i="30"/>
  <c r="AH5706" i="30" s="1"/>
  <c r="AG5708" i="30"/>
  <c r="AF5708" i="30"/>
  <c r="AH5708" i="30" s="1"/>
  <c r="AG5710" i="30"/>
  <c r="AF5710" i="30"/>
  <c r="AH5710" i="30" s="1"/>
  <c r="AG5712" i="30"/>
  <c r="AF5712" i="30"/>
  <c r="AH5712" i="30" s="1"/>
  <c r="AG5714" i="30"/>
  <c r="AF5714" i="30"/>
  <c r="AH5714" i="30" s="1"/>
  <c r="AG5716" i="30"/>
  <c r="AF5716" i="30"/>
  <c r="AH5716" i="30" s="1"/>
  <c r="AG5718" i="30"/>
  <c r="AF5718" i="30"/>
  <c r="AH5718" i="30" s="1"/>
  <c r="AG5720" i="30"/>
  <c r="AF5720" i="30"/>
  <c r="AH5720" i="30" s="1"/>
  <c r="AG5722" i="30"/>
  <c r="AF5722" i="30"/>
  <c r="AH5722" i="30" s="1"/>
  <c r="AG5724" i="30"/>
  <c r="AF5724" i="30"/>
  <c r="AH5724" i="30" s="1"/>
  <c r="AG5726" i="30"/>
  <c r="AF5726" i="30"/>
  <c r="AH5726" i="30" s="1"/>
  <c r="AG5728" i="30"/>
  <c r="AF5728" i="30"/>
  <c r="AH5728" i="30" s="1"/>
  <c r="AG5730" i="30"/>
  <c r="AF5730" i="30"/>
  <c r="AH5730" i="30" s="1"/>
  <c r="AG5732" i="30"/>
  <c r="AF5732" i="30"/>
  <c r="AH5732" i="30" s="1"/>
  <c r="AG5734" i="30"/>
  <c r="AF5734" i="30"/>
  <c r="AH5734" i="30" s="1"/>
  <c r="AG5736" i="30"/>
  <c r="AF5736" i="30"/>
  <c r="AH5736" i="30" s="1"/>
  <c r="AG5738" i="30"/>
  <c r="AF5738" i="30"/>
  <c r="AH5738" i="30" s="1"/>
  <c r="AG5740" i="30"/>
  <c r="AF5740" i="30"/>
  <c r="AH5740" i="30" s="1"/>
  <c r="AG5742" i="30"/>
  <c r="AF5742" i="30"/>
  <c r="AH5742" i="30" s="1"/>
  <c r="AG5744" i="30"/>
  <c r="AF5744" i="30"/>
  <c r="AH5744" i="30" s="1"/>
  <c r="AG5746" i="30"/>
  <c r="AF5746" i="30"/>
  <c r="AH5746" i="30" s="1"/>
  <c r="AG5748" i="30"/>
  <c r="AF5748" i="30"/>
  <c r="AH5748" i="30" s="1"/>
  <c r="AG5750" i="30"/>
  <c r="AF5750" i="30"/>
  <c r="AH5750" i="30" s="1"/>
  <c r="AG5752" i="30"/>
  <c r="AF5752" i="30"/>
  <c r="AH5752" i="30" s="1"/>
  <c r="AG5754" i="30"/>
  <c r="AF5754" i="30"/>
  <c r="AH5754" i="30" s="1"/>
  <c r="AG5756" i="30"/>
  <c r="AF5756" i="30"/>
  <c r="AH5756" i="30" s="1"/>
  <c r="AG5758" i="30"/>
  <c r="AF5758" i="30"/>
  <c r="AH5758" i="30" s="1"/>
  <c r="AG5760" i="30"/>
  <c r="AF5760" i="30"/>
  <c r="AH5760" i="30" s="1"/>
  <c r="AG5762" i="30"/>
  <c r="AF5762" i="30"/>
  <c r="AH5762" i="30" s="1"/>
  <c r="AG5765" i="30"/>
  <c r="AF5765" i="30"/>
  <c r="AH5765" i="30" s="1"/>
  <c r="AG5769" i="30"/>
  <c r="AF5769" i="30"/>
  <c r="AH5769" i="30" s="1"/>
  <c r="AG5773" i="30"/>
  <c r="AF5773" i="30"/>
  <c r="AH5773" i="30" s="1"/>
  <c r="AG5777" i="30"/>
  <c r="AF5777" i="30"/>
  <c r="AH5777" i="30" s="1"/>
  <c r="AG5781" i="30"/>
  <c r="AF5781" i="30"/>
  <c r="AH5781" i="30" s="1"/>
  <c r="AG5785" i="30"/>
  <c r="AF5785" i="30"/>
  <c r="AH5785" i="30" s="1"/>
  <c r="AG5789" i="30"/>
  <c r="AF5789" i="30"/>
  <c r="AH5789" i="30" s="1"/>
  <c r="AG5793" i="30"/>
  <c r="AF5793" i="30"/>
  <c r="AH5793" i="30" s="1"/>
  <c r="AG5797" i="30"/>
  <c r="AF5797" i="30"/>
  <c r="AH5797" i="30" s="1"/>
  <c r="AG5801" i="30"/>
  <c r="AF5801" i="30"/>
  <c r="AH5801" i="30" s="1"/>
  <c r="AG5805" i="30"/>
  <c r="AF5805" i="30"/>
  <c r="AH5805" i="30" s="1"/>
  <c r="AG5809" i="30"/>
  <c r="AF5809" i="30"/>
  <c r="AH5809" i="30" s="1"/>
  <c r="AG5813" i="30"/>
  <c r="AF5813" i="30"/>
  <c r="AH5813" i="30" s="1"/>
  <c r="AG5817" i="30"/>
  <c r="AF5817" i="30"/>
  <c r="AH5817" i="30" s="1"/>
  <c r="AG5821" i="30"/>
  <c r="AF5821" i="30"/>
  <c r="AH5821" i="30" s="1"/>
  <c r="AG5825" i="30"/>
  <c r="AF5825" i="30"/>
  <c r="AH5825" i="30" s="1"/>
  <c r="AG5829" i="30"/>
  <c r="AF5829" i="30"/>
  <c r="AH5829" i="30" s="1"/>
  <c r="AG5833" i="30"/>
  <c r="AF5833" i="30"/>
  <c r="AH5833" i="30" s="1"/>
  <c r="AG5837" i="30"/>
  <c r="AF5837" i="30"/>
  <c r="AH5837" i="30" s="1"/>
  <c r="AG5841" i="30"/>
  <c r="AF5841" i="30"/>
  <c r="AH5841" i="30" s="1"/>
  <c r="AG5845" i="30"/>
  <c r="AF5845" i="30"/>
  <c r="AH5845" i="30" s="1"/>
  <c r="AG5849" i="30"/>
  <c r="AF5849" i="30"/>
  <c r="AH5849" i="30" s="1"/>
  <c r="AG5853" i="30"/>
  <c r="AF5853" i="30"/>
  <c r="AH5853" i="30" s="1"/>
  <c r="AG5857" i="30"/>
  <c r="AF5857" i="30"/>
  <c r="AH5857" i="30" s="1"/>
  <c r="AG5861" i="30"/>
  <c r="AF5861" i="30"/>
  <c r="AH5861" i="30" s="1"/>
  <c r="AG5865" i="30"/>
  <c r="AF5865" i="30"/>
  <c r="AH5865" i="30" s="1"/>
  <c r="AG5869" i="30"/>
  <c r="AF5869" i="30"/>
  <c r="AH5869" i="30" s="1"/>
  <c r="AG5873" i="30"/>
  <c r="AF5873" i="30"/>
  <c r="AH5873" i="30" s="1"/>
  <c r="AG5877" i="30"/>
  <c r="AF5877" i="30"/>
  <c r="AH5877" i="30" s="1"/>
  <c r="AG5881" i="30"/>
  <c r="AF5881" i="30"/>
  <c r="AH5881" i="30" s="1"/>
  <c r="AG5885" i="30"/>
  <c r="AF5885" i="30"/>
  <c r="AH5885" i="30" s="1"/>
  <c r="AG5889" i="30"/>
  <c r="AF5889" i="30"/>
  <c r="AH5889" i="30" s="1"/>
  <c r="AG5893" i="30"/>
  <c r="AF5893" i="30"/>
  <c r="AH5893" i="30" s="1"/>
  <c r="AG5897" i="30"/>
  <c r="AF5897" i="30"/>
  <c r="AH5897" i="30" s="1"/>
  <c r="AG5901" i="30"/>
  <c r="AF5901" i="30"/>
  <c r="AH5901" i="30" s="1"/>
  <c r="AG5905" i="30"/>
  <c r="AF5905" i="30"/>
  <c r="AH5905" i="30" s="1"/>
  <c r="AG5909" i="30"/>
  <c r="AF5909" i="30"/>
  <c r="AH5909" i="30" s="1"/>
  <c r="AG5913" i="30"/>
  <c r="AF5913" i="30"/>
  <c r="AH5913" i="30" s="1"/>
  <c r="AG5917" i="30"/>
  <c r="AF5917" i="30"/>
  <c r="AH5917" i="30" s="1"/>
  <c r="AG5921" i="30"/>
  <c r="AF5921" i="30"/>
  <c r="AH5921" i="30" s="1"/>
  <c r="AG5925" i="30"/>
  <c r="AF5925" i="30"/>
  <c r="AH5925" i="30" s="1"/>
  <c r="AG5929" i="30"/>
  <c r="AF5929" i="30"/>
  <c r="AH5929" i="30" s="1"/>
  <c r="AG5933" i="30"/>
  <c r="AF5933" i="30"/>
  <c r="AH5933" i="30" s="1"/>
  <c r="AG5937" i="30"/>
  <c r="AF5937" i="30"/>
  <c r="AH5937" i="30" s="1"/>
  <c r="AG5941" i="30"/>
  <c r="AF5941" i="30"/>
  <c r="AH5941" i="30" s="1"/>
  <c r="AG5945" i="30"/>
  <c r="AF5945" i="30"/>
  <c r="AH5945" i="30" s="1"/>
  <c r="AG5949" i="30"/>
  <c r="AF5949" i="30"/>
  <c r="AH5949" i="30" s="1"/>
  <c r="AG5953" i="30"/>
  <c r="AF5953" i="30"/>
  <c r="AH5953" i="30" s="1"/>
  <c r="AG5957" i="30"/>
  <c r="AF5957" i="30"/>
  <c r="AH5957" i="30" s="1"/>
  <c r="AG5961" i="30"/>
  <c r="AF5961" i="30"/>
  <c r="AH5961" i="30" s="1"/>
  <c r="AG5965" i="30"/>
  <c r="AF5965" i="30"/>
  <c r="AH5965" i="30" s="1"/>
  <c r="AG5969" i="30"/>
  <c r="AF5969" i="30"/>
  <c r="AH5969" i="30" s="1"/>
  <c r="AG5973" i="30"/>
  <c r="AF5973" i="30"/>
  <c r="AH5973" i="30" s="1"/>
  <c r="AG5977" i="30"/>
  <c r="AF5977" i="30"/>
  <c r="AH5977" i="30" s="1"/>
  <c r="AG5981" i="30"/>
  <c r="AF5981" i="30"/>
  <c r="AH5981" i="30" s="1"/>
  <c r="AG5985" i="30"/>
  <c r="AF5985" i="30"/>
  <c r="AH5985" i="30" s="1"/>
  <c r="AG5989" i="30"/>
  <c r="AF5989" i="30"/>
  <c r="AH5989" i="30" s="1"/>
  <c r="AG5993" i="30"/>
  <c r="AF5993" i="30"/>
  <c r="AH5993" i="30" s="1"/>
  <c r="AG5997" i="30"/>
  <c r="AF5997" i="30"/>
  <c r="AH5997" i="30" s="1"/>
  <c r="AG5693" i="30"/>
  <c r="AF5693" i="30"/>
  <c r="AH5693" i="30" s="1"/>
  <c r="AG5695" i="30"/>
  <c r="AF5695" i="30"/>
  <c r="AH5695" i="30" s="1"/>
  <c r="AG5697" i="30"/>
  <c r="AF5697" i="30"/>
  <c r="AH5697" i="30" s="1"/>
  <c r="AG5699" i="30"/>
  <c r="AF5699" i="30"/>
  <c r="AH5699" i="30" s="1"/>
  <c r="AG5701" i="30"/>
  <c r="AF5701" i="30"/>
  <c r="AH5701" i="30" s="1"/>
  <c r="AG5703" i="30"/>
  <c r="AF5703" i="30"/>
  <c r="AH5703" i="30" s="1"/>
  <c r="AG5705" i="30"/>
  <c r="AF5705" i="30"/>
  <c r="AH5705" i="30" s="1"/>
  <c r="AG5707" i="30"/>
  <c r="AF5707" i="30"/>
  <c r="AH5707" i="30" s="1"/>
  <c r="AG5709" i="30"/>
  <c r="AF5709" i="30"/>
  <c r="AH5709" i="30" s="1"/>
  <c r="AG5711" i="30"/>
  <c r="AF5711" i="30"/>
  <c r="AH5711" i="30" s="1"/>
  <c r="AG5713" i="30"/>
  <c r="AF5713" i="30"/>
  <c r="AH5713" i="30" s="1"/>
  <c r="AG5715" i="30"/>
  <c r="AF5715" i="30"/>
  <c r="AH5715" i="30" s="1"/>
  <c r="AG5717" i="30"/>
  <c r="AF5717" i="30"/>
  <c r="AH5717" i="30" s="1"/>
  <c r="AG5719" i="30"/>
  <c r="AF5719" i="30"/>
  <c r="AH5719" i="30" s="1"/>
  <c r="AG5721" i="30"/>
  <c r="AF5721" i="30"/>
  <c r="AH5721" i="30" s="1"/>
  <c r="AG5723" i="30"/>
  <c r="AF5723" i="30"/>
  <c r="AH5723" i="30" s="1"/>
  <c r="AG5725" i="30"/>
  <c r="AF5725" i="30"/>
  <c r="AH5725" i="30" s="1"/>
  <c r="AG5727" i="30"/>
  <c r="AF5727" i="30"/>
  <c r="AH5727" i="30" s="1"/>
  <c r="AG5729" i="30"/>
  <c r="AF5729" i="30"/>
  <c r="AH5729" i="30" s="1"/>
  <c r="AG5731" i="30"/>
  <c r="AF5731" i="30"/>
  <c r="AH5731" i="30" s="1"/>
  <c r="AG5733" i="30"/>
  <c r="AF5733" i="30"/>
  <c r="AH5733" i="30" s="1"/>
  <c r="AG5735" i="30"/>
  <c r="AF5735" i="30"/>
  <c r="AH5735" i="30" s="1"/>
  <c r="AG5737" i="30"/>
  <c r="AF5737" i="30"/>
  <c r="AH5737" i="30" s="1"/>
  <c r="AG5739" i="30"/>
  <c r="AF5739" i="30"/>
  <c r="AH5739" i="30" s="1"/>
  <c r="AG5741" i="30"/>
  <c r="AF5741" i="30"/>
  <c r="AH5741" i="30" s="1"/>
  <c r="AG5743" i="30"/>
  <c r="AF5743" i="30"/>
  <c r="AH5743" i="30" s="1"/>
  <c r="AG5745" i="30"/>
  <c r="AF5745" i="30"/>
  <c r="AH5745" i="30" s="1"/>
  <c r="AG5747" i="30"/>
  <c r="AF5747" i="30"/>
  <c r="AH5747" i="30" s="1"/>
  <c r="AG5749" i="30"/>
  <c r="AF5749" i="30"/>
  <c r="AH5749" i="30" s="1"/>
  <c r="AG5751" i="30"/>
  <c r="AF5751" i="30"/>
  <c r="AH5751" i="30" s="1"/>
  <c r="AG5753" i="30"/>
  <c r="AF5753" i="30"/>
  <c r="AH5753" i="30" s="1"/>
  <c r="AG5755" i="30"/>
  <c r="AF5755" i="30"/>
  <c r="AH5755" i="30" s="1"/>
  <c r="AG5757" i="30"/>
  <c r="AF5757" i="30"/>
  <c r="AH5757" i="30" s="1"/>
  <c r="AG5759" i="30"/>
  <c r="AF5759" i="30"/>
  <c r="AH5759" i="30" s="1"/>
  <c r="AG5761" i="30"/>
  <c r="AF5761" i="30"/>
  <c r="AH5761" i="30" s="1"/>
  <c r="AG5763" i="30"/>
  <c r="AF5763" i="30"/>
  <c r="AH5763" i="30" s="1"/>
  <c r="AG5767" i="30"/>
  <c r="AF5767" i="30"/>
  <c r="AH5767" i="30" s="1"/>
  <c r="AG5771" i="30"/>
  <c r="AF5771" i="30"/>
  <c r="AH5771" i="30" s="1"/>
  <c r="AG5775" i="30"/>
  <c r="AF5775" i="30"/>
  <c r="AH5775" i="30" s="1"/>
  <c r="AG5779" i="30"/>
  <c r="AF5779" i="30"/>
  <c r="AH5779" i="30" s="1"/>
  <c r="AG5783" i="30"/>
  <c r="AF5783" i="30"/>
  <c r="AH5783" i="30" s="1"/>
  <c r="AG5787" i="30"/>
  <c r="AF5787" i="30"/>
  <c r="AH5787" i="30" s="1"/>
  <c r="AG5791" i="30"/>
  <c r="AF5791" i="30"/>
  <c r="AH5791" i="30" s="1"/>
  <c r="AG5795" i="30"/>
  <c r="AF5795" i="30"/>
  <c r="AH5795" i="30" s="1"/>
  <c r="AG5799" i="30"/>
  <c r="AF5799" i="30"/>
  <c r="AH5799" i="30" s="1"/>
  <c r="AG5803" i="30"/>
  <c r="AF5803" i="30"/>
  <c r="AH5803" i="30" s="1"/>
  <c r="AG5807" i="30"/>
  <c r="AF5807" i="30"/>
  <c r="AH5807" i="30" s="1"/>
  <c r="AG5811" i="30"/>
  <c r="AF5811" i="30"/>
  <c r="AH5811" i="30" s="1"/>
  <c r="AG5815" i="30"/>
  <c r="AF5815" i="30"/>
  <c r="AH5815" i="30" s="1"/>
  <c r="AG5819" i="30"/>
  <c r="AF5819" i="30"/>
  <c r="AH5819" i="30" s="1"/>
  <c r="AG5823" i="30"/>
  <c r="AF5823" i="30"/>
  <c r="AH5823" i="30" s="1"/>
  <c r="AG5827" i="30"/>
  <c r="AF5827" i="30"/>
  <c r="AH5827" i="30" s="1"/>
  <c r="AG5831" i="30"/>
  <c r="AF5831" i="30"/>
  <c r="AH5831" i="30" s="1"/>
  <c r="AG5835" i="30"/>
  <c r="AF5835" i="30"/>
  <c r="AH5835" i="30" s="1"/>
  <c r="AG5839" i="30"/>
  <c r="AF5839" i="30"/>
  <c r="AH5839" i="30" s="1"/>
  <c r="AG5843" i="30"/>
  <c r="AF5843" i="30"/>
  <c r="AH5843" i="30" s="1"/>
  <c r="AG5847" i="30"/>
  <c r="AF5847" i="30"/>
  <c r="AH5847" i="30" s="1"/>
  <c r="AG5851" i="30"/>
  <c r="AF5851" i="30"/>
  <c r="AH5851" i="30" s="1"/>
  <c r="AG5855" i="30"/>
  <c r="AF5855" i="30"/>
  <c r="AH5855" i="30" s="1"/>
  <c r="AG5859" i="30"/>
  <c r="AF5859" i="30"/>
  <c r="AH5859" i="30" s="1"/>
  <c r="AG5863" i="30"/>
  <c r="AF5863" i="30"/>
  <c r="AH5863" i="30" s="1"/>
  <c r="AG5867" i="30"/>
  <c r="AF5867" i="30"/>
  <c r="AH5867" i="30" s="1"/>
  <c r="AG5871" i="30"/>
  <c r="AF5871" i="30"/>
  <c r="AH5871" i="30" s="1"/>
  <c r="AG5875" i="30"/>
  <c r="AF5875" i="30"/>
  <c r="AH5875" i="30" s="1"/>
  <c r="AG5879" i="30"/>
  <c r="AF5879" i="30"/>
  <c r="AH5879" i="30" s="1"/>
  <c r="AG5883" i="30"/>
  <c r="AF5883" i="30"/>
  <c r="AH5883" i="30" s="1"/>
  <c r="AG5887" i="30"/>
  <c r="AF5887" i="30"/>
  <c r="AH5887" i="30" s="1"/>
  <c r="AG5891" i="30"/>
  <c r="AF5891" i="30"/>
  <c r="AH5891" i="30" s="1"/>
  <c r="AG5895" i="30"/>
  <c r="AF5895" i="30"/>
  <c r="AH5895" i="30" s="1"/>
  <c r="AG5899" i="30"/>
  <c r="AF5899" i="30"/>
  <c r="AH5899" i="30" s="1"/>
  <c r="AG5903" i="30"/>
  <c r="AF5903" i="30"/>
  <c r="AH5903" i="30" s="1"/>
  <c r="AG5907" i="30"/>
  <c r="AF5907" i="30"/>
  <c r="AH5907" i="30" s="1"/>
  <c r="AG5911" i="30"/>
  <c r="AF5911" i="30"/>
  <c r="AH5911" i="30" s="1"/>
  <c r="AG5915" i="30"/>
  <c r="AF5915" i="30"/>
  <c r="AH5915" i="30" s="1"/>
  <c r="AG5919" i="30"/>
  <c r="AF5919" i="30"/>
  <c r="AH5919" i="30" s="1"/>
  <c r="AG5923" i="30"/>
  <c r="AF5923" i="30"/>
  <c r="AH5923" i="30" s="1"/>
  <c r="AG5927" i="30"/>
  <c r="AF5927" i="30"/>
  <c r="AH5927" i="30" s="1"/>
  <c r="AG5931" i="30"/>
  <c r="AF5931" i="30"/>
  <c r="AH5931" i="30" s="1"/>
  <c r="AG5935" i="30"/>
  <c r="AF5935" i="30"/>
  <c r="AH5935" i="30" s="1"/>
  <c r="AG5939" i="30"/>
  <c r="AF5939" i="30"/>
  <c r="AH5939" i="30" s="1"/>
  <c r="AG5943" i="30"/>
  <c r="AF5943" i="30"/>
  <c r="AH5943" i="30" s="1"/>
  <c r="AG5947" i="30"/>
  <c r="AF5947" i="30"/>
  <c r="AH5947" i="30" s="1"/>
  <c r="AG5951" i="30"/>
  <c r="AF5951" i="30"/>
  <c r="AH5951" i="30" s="1"/>
  <c r="AG5955" i="30"/>
  <c r="AF5955" i="30"/>
  <c r="AH5955" i="30" s="1"/>
  <c r="AG5959" i="30"/>
  <c r="AF5959" i="30"/>
  <c r="AH5959" i="30" s="1"/>
  <c r="AG5963" i="30"/>
  <c r="AF5963" i="30"/>
  <c r="AH5963" i="30" s="1"/>
  <c r="AG5967" i="30"/>
  <c r="AF5967" i="30"/>
  <c r="AH5967" i="30" s="1"/>
  <c r="AG5971" i="30"/>
  <c r="AF5971" i="30"/>
  <c r="AH5971" i="30" s="1"/>
  <c r="AG5975" i="30"/>
  <c r="AF5975" i="30"/>
  <c r="AH5975" i="30" s="1"/>
  <c r="AG5979" i="30"/>
  <c r="AF5979" i="30"/>
  <c r="AH5979" i="30" s="1"/>
  <c r="AG5983" i="30"/>
  <c r="AF5983" i="30"/>
  <c r="AH5983" i="30" s="1"/>
  <c r="AG5987" i="30"/>
  <c r="AF5987" i="30"/>
  <c r="AH5987" i="30" s="1"/>
  <c r="AG5991" i="30"/>
  <c r="AF5991" i="30"/>
  <c r="AH5991" i="30" s="1"/>
  <c r="AG5995" i="30"/>
  <c r="AF5995" i="30"/>
  <c r="AH5995" i="30" s="1"/>
  <c r="AF3735" i="30"/>
  <c r="AH3735" i="30" s="1"/>
  <c r="AF3736" i="30"/>
  <c r="AH3736" i="30" s="1"/>
  <c r="AF3737" i="30"/>
  <c r="AH3737" i="30" s="1"/>
  <c r="AF3738" i="30"/>
  <c r="AH3738" i="30" s="1"/>
  <c r="AF3739" i="30"/>
  <c r="AH3739" i="30" s="1"/>
  <c r="AF3740" i="30"/>
  <c r="AH3740" i="30" s="1"/>
  <c r="AF3741" i="30"/>
  <c r="AH3741" i="30" s="1"/>
  <c r="AF3742" i="30"/>
  <c r="AH3742" i="30" s="1"/>
  <c r="AF3743" i="30"/>
  <c r="AH3743" i="30" s="1"/>
  <c r="AF3744" i="30"/>
  <c r="AH3744" i="30" s="1"/>
  <c r="AF3745" i="30"/>
  <c r="AH3745" i="30" s="1"/>
  <c r="AF3746" i="30"/>
  <c r="AH3746" i="30" s="1"/>
  <c r="AF3747" i="30"/>
  <c r="AH3747" i="30" s="1"/>
  <c r="AF3748" i="30"/>
  <c r="AH3748" i="30" s="1"/>
  <c r="AF3749" i="30"/>
  <c r="AH3749" i="30" s="1"/>
  <c r="AF3750" i="30"/>
  <c r="AH3750" i="30" s="1"/>
  <c r="AF3751" i="30"/>
  <c r="AH3751" i="30" s="1"/>
  <c r="AF3752" i="30"/>
  <c r="AH3752" i="30" s="1"/>
  <c r="AF3753" i="30"/>
  <c r="AH3753" i="30" s="1"/>
  <c r="AF3754" i="30"/>
  <c r="AH3754" i="30" s="1"/>
  <c r="AF3755" i="30"/>
  <c r="AH3755" i="30" s="1"/>
  <c r="AF3756" i="30"/>
  <c r="AH3756" i="30" s="1"/>
  <c r="AF3757" i="30"/>
  <c r="AH3757" i="30" s="1"/>
  <c r="AF3758" i="30"/>
  <c r="AH3758" i="30" s="1"/>
  <c r="AF3759" i="30"/>
  <c r="AH3759" i="30" s="1"/>
  <c r="AF3760" i="30"/>
  <c r="AH3760" i="30" s="1"/>
  <c r="AF3761" i="30"/>
  <c r="AH3761" i="30" s="1"/>
  <c r="AF3762" i="30"/>
  <c r="AH3762" i="30" s="1"/>
  <c r="AF3763" i="30"/>
  <c r="AH3763" i="30" s="1"/>
  <c r="AF3764" i="30"/>
  <c r="AH3764" i="30" s="1"/>
  <c r="AF3765" i="30"/>
  <c r="AH3765" i="30" s="1"/>
  <c r="AF3766" i="30"/>
  <c r="AH3766" i="30" s="1"/>
  <c r="AF3767" i="30"/>
  <c r="AH3767" i="30" s="1"/>
  <c r="AF3768" i="30"/>
  <c r="AH3768" i="30" s="1"/>
  <c r="AF3769" i="30"/>
  <c r="AH3769" i="30" s="1"/>
  <c r="AF3770" i="30"/>
  <c r="AH3770" i="30" s="1"/>
  <c r="AF3771" i="30"/>
  <c r="AH3771" i="30" s="1"/>
  <c r="AF3772" i="30"/>
  <c r="AH3772" i="30" s="1"/>
  <c r="AF3773" i="30"/>
  <c r="AH3773" i="30" s="1"/>
  <c r="AF3774" i="30"/>
  <c r="AH3774" i="30" s="1"/>
  <c r="AF3775" i="30"/>
  <c r="AH3775" i="30" s="1"/>
  <c r="AF3776" i="30"/>
  <c r="AH3776" i="30" s="1"/>
  <c r="AF3777" i="30"/>
  <c r="AH3777" i="30" s="1"/>
  <c r="AF3778" i="30"/>
  <c r="AH3778" i="30" s="1"/>
  <c r="AF3779" i="30"/>
  <c r="AH3779" i="30" s="1"/>
  <c r="AF3780" i="30"/>
  <c r="AH3780" i="30" s="1"/>
  <c r="AF3781" i="30"/>
  <c r="AH3781" i="30" s="1"/>
  <c r="AF3782" i="30"/>
  <c r="AH3782" i="30" s="1"/>
  <c r="AF3783" i="30"/>
  <c r="AH3783" i="30" s="1"/>
  <c r="AF3784" i="30"/>
  <c r="AH3784" i="30" s="1"/>
  <c r="AF3785" i="30"/>
  <c r="AH3785" i="30" s="1"/>
  <c r="AF3786" i="30"/>
  <c r="AH3786" i="30" s="1"/>
  <c r="AF3787" i="30"/>
  <c r="AH3787" i="30" s="1"/>
  <c r="AF3788" i="30"/>
  <c r="AH3788" i="30" s="1"/>
  <c r="AF3789" i="30"/>
  <c r="AH3789" i="30" s="1"/>
  <c r="AF3790" i="30"/>
  <c r="AH3790" i="30" s="1"/>
  <c r="AF3791" i="30"/>
  <c r="AH3791" i="30" s="1"/>
  <c r="AF3792" i="30"/>
  <c r="AH3792" i="30" s="1"/>
  <c r="AF3793" i="30"/>
  <c r="AH3793" i="30" s="1"/>
  <c r="AF3794" i="30"/>
  <c r="AH3794" i="30" s="1"/>
  <c r="AF3795" i="30"/>
  <c r="AH3795" i="30" s="1"/>
  <c r="AF3796" i="30"/>
  <c r="AH3796" i="30" s="1"/>
  <c r="AF3797" i="30"/>
  <c r="AH3797" i="30" s="1"/>
  <c r="AF3798" i="30"/>
  <c r="AH3798" i="30" s="1"/>
  <c r="AF3799" i="30"/>
  <c r="AH3799" i="30" s="1"/>
  <c r="AF3800" i="30"/>
  <c r="AH3800" i="30" s="1"/>
  <c r="AF3801" i="30"/>
  <c r="AH3801" i="30" s="1"/>
  <c r="AF3802" i="30"/>
  <c r="AH3802" i="30" s="1"/>
  <c r="AF3803" i="30"/>
  <c r="AH3803" i="30" s="1"/>
  <c r="AF3804" i="30"/>
  <c r="AH3804" i="30" s="1"/>
  <c r="AF3805" i="30"/>
  <c r="AH3805" i="30" s="1"/>
  <c r="AF3806" i="30"/>
  <c r="AH3806" i="30" s="1"/>
  <c r="AF3807" i="30"/>
  <c r="AH3807" i="30" s="1"/>
  <c r="AF3808" i="30"/>
  <c r="AH3808" i="30" s="1"/>
  <c r="AF3809" i="30"/>
  <c r="AH3809" i="30" s="1"/>
  <c r="AF3810" i="30"/>
  <c r="AH3810" i="30" s="1"/>
  <c r="AF3811" i="30"/>
  <c r="AH3811" i="30" s="1"/>
  <c r="AF3812" i="30"/>
  <c r="AH3812" i="30" s="1"/>
  <c r="AF3813" i="30"/>
  <c r="AH3813" i="30" s="1"/>
  <c r="AF3814" i="30"/>
  <c r="AH3814" i="30" s="1"/>
  <c r="AF3815" i="30"/>
  <c r="AH3815" i="30" s="1"/>
  <c r="AF3816" i="30"/>
  <c r="AH3816" i="30" s="1"/>
  <c r="AF3817" i="30"/>
  <c r="AH3817" i="30" s="1"/>
  <c r="AF3818" i="30"/>
  <c r="AH3818" i="30" s="1"/>
  <c r="AF3819" i="30"/>
  <c r="AH3819" i="30" s="1"/>
  <c r="AF5999" i="30"/>
  <c r="AH5999" i="30" s="1"/>
  <c r="AF6001" i="30"/>
  <c r="AH6001" i="30" s="1"/>
  <c r="AF6003" i="30"/>
  <c r="AH6003" i="30" s="1"/>
  <c r="AF6005" i="30"/>
  <c r="AH6005" i="30" s="1"/>
  <c r="AF6007" i="30"/>
  <c r="AH6007" i="30" s="1"/>
  <c r="AF6009" i="30"/>
  <c r="AH6009" i="30" s="1"/>
  <c r="AF6011" i="30"/>
  <c r="AH6011" i="30" s="1"/>
  <c r="AF6013" i="30"/>
  <c r="AH6013" i="30" s="1"/>
  <c r="AF6015" i="30"/>
  <c r="AH6015" i="30" s="1"/>
  <c r="AF6017" i="30"/>
  <c r="AH6017" i="30" s="1"/>
  <c r="AF6019" i="30"/>
  <c r="AH6019" i="30" s="1"/>
  <c r="AF6021" i="30"/>
  <c r="AH6021" i="30" s="1"/>
  <c r="AF6023" i="30"/>
  <c r="AH6023" i="30" s="1"/>
  <c r="AF6025" i="30"/>
  <c r="AH6025" i="30" s="1"/>
  <c r="AF6027" i="30"/>
  <c r="AH6027" i="30" s="1"/>
  <c r="AF6029" i="30"/>
  <c r="AH6029" i="30" s="1"/>
  <c r="AF6031" i="30"/>
  <c r="AH6031" i="30" s="1"/>
  <c r="AF6033" i="30"/>
  <c r="AH6033" i="30" s="1"/>
  <c r="AF6035" i="30"/>
  <c r="AH6035" i="30" s="1"/>
  <c r="AF6037" i="30"/>
  <c r="AH6037" i="30" s="1"/>
  <c r="AF6039" i="30"/>
  <c r="AH6039" i="30" s="1"/>
  <c r="AF6041" i="30"/>
  <c r="AH6041" i="30" s="1"/>
  <c r="AF6043" i="30"/>
  <c r="AH6043" i="30" s="1"/>
  <c r="AF6045" i="30"/>
  <c r="AH6045" i="30" s="1"/>
  <c r="AF6047" i="30"/>
  <c r="AH6047" i="30" s="1"/>
  <c r="AF6049" i="30"/>
  <c r="AH6049" i="30" s="1"/>
  <c r="AF6051" i="30"/>
  <c r="AH6051" i="30" s="1"/>
  <c r="AF6053" i="30"/>
  <c r="AH6053" i="30" s="1"/>
  <c r="AF6055" i="30"/>
  <c r="AH6055" i="30" s="1"/>
  <c r="AF6057" i="30"/>
  <c r="AH6057" i="30" s="1"/>
  <c r="AF6059" i="30"/>
  <c r="AH6059" i="30" s="1"/>
  <c r="AF6061" i="30"/>
  <c r="AH6061" i="30" s="1"/>
  <c r="AF6063" i="30"/>
  <c r="AH6063" i="30" s="1"/>
  <c r="AF6065" i="30"/>
  <c r="AH6065" i="30" s="1"/>
  <c r="AF6067" i="30"/>
  <c r="AH6067" i="30" s="1"/>
  <c r="AF6069" i="30"/>
  <c r="AH6069" i="30" s="1"/>
  <c r="AF6071" i="30"/>
  <c r="AH6071" i="30" s="1"/>
  <c r="AF6073" i="30"/>
  <c r="AH6073" i="30" s="1"/>
  <c r="AF6075" i="30"/>
  <c r="AH6075" i="30" s="1"/>
  <c r="AF6077" i="30"/>
  <c r="AH6077" i="30" s="1"/>
  <c r="AF6079" i="30"/>
  <c r="AH6079" i="30" s="1"/>
  <c r="AF6081" i="30"/>
  <c r="AH6081" i="30" s="1"/>
  <c r="AF6083" i="30"/>
  <c r="AH6083" i="30" s="1"/>
  <c r="AF6085" i="30"/>
  <c r="AH6085" i="30" s="1"/>
  <c r="AF6087" i="30"/>
  <c r="AH6087" i="30" s="1"/>
  <c r="AF6089" i="30"/>
  <c r="AH6089" i="30" s="1"/>
  <c r="AF6091" i="30"/>
  <c r="AH6091" i="30" s="1"/>
  <c r="AF6093" i="30"/>
  <c r="AH6093" i="30" s="1"/>
  <c r="AF6095" i="30"/>
  <c r="AH6095" i="30" s="1"/>
  <c r="AF6097" i="30"/>
  <c r="AH6097" i="30" s="1"/>
  <c r="AF6099" i="30"/>
  <c r="AH6099" i="30" s="1"/>
  <c r="AF6101" i="30"/>
  <c r="AH6101" i="30" s="1"/>
  <c r="AF6103" i="30"/>
  <c r="AH6103" i="30" s="1"/>
  <c r="AF6105" i="30"/>
  <c r="AH6105" i="30" s="1"/>
  <c r="AF6107" i="30"/>
  <c r="AH6107" i="30" s="1"/>
  <c r="AF6109" i="30"/>
  <c r="AH6109" i="30" s="1"/>
  <c r="AF6111" i="30"/>
  <c r="AH6111" i="30" s="1"/>
  <c r="AF6113" i="30"/>
  <c r="AH6113" i="30" s="1"/>
  <c r="AF6115" i="30"/>
  <c r="AH6115" i="30" s="1"/>
  <c r="AF6117" i="30"/>
  <c r="AH6117" i="30" s="1"/>
  <c r="AF6119" i="30"/>
  <c r="AH6119" i="30" s="1"/>
  <c r="AF6121" i="30"/>
  <c r="AH6121" i="30" s="1"/>
  <c r="AF6123" i="30"/>
  <c r="AH6123" i="30" s="1"/>
  <c r="AF6125" i="30"/>
  <c r="AH6125" i="30" s="1"/>
  <c r="AF6127" i="30"/>
  <c r="AH6127" i="30" s="1"/>
  <c r="AF6129" i="30"/>
  <c r="AH6129" i="30" s="1"/>
  <c r="AF6131" i="30"/>
  <c r="AH6131" i="30" s="1"/>
  <c r="S5" i="32"/>
  <c r="B68" i="12"/>
  <c r="Z4" i="32" l="1"/>
  <c r="U5" i="32"/>
  <c r="Y5" i="32"/>
  <c r="AC5" i="32"/>
  <c r="S4" i="32"/>
  <c r="AD5" i="32"/>
  <c r="AB4" i="32"/>
  <c r="Y4" i="32"/>
  <c r="AA4" i="32"/>
  <c r="AA5" i="32"/>
  <c r="Z5" i="32"/>
  <c r="AD4" i="32"/>
  <c r="AC4" i="32"/>
  <c r="AB5" i="32"/>
  <c r="X4" i="32"/>
  <c r="W5" i="32"/>
  <c r="V5" i="32"/>
  <c r="X5" i="32"/>
  <c r="W4" i="32"/>
  <c r="V4" i="32"/>
  <c r="U4" i="32"/>
  <c r="T4" i="32"/>
  <c r="B47" i="12" l="1"/>
  <c r="B46" i="12"/>
  <c r="B22" i="12" l="1"/>
  <c r="B28" i="12"/>
  <c r="B27" i="12"/>
  <c r="B26" i="12"/>
  <c r="B25" i="12"/>
  <c r="B24" i="12"/>
  <c r="B23" i="12"/>
  <c r="E77" i="12" l="1"/>
  <c r="E72" i="12"/>
  <c r="B72" i="12" s="1"/>
  <c r="E67" i="12"/>
  <c r="E249" i="12" l="1"/>
  <c r="E247" i="12"/>
  <c r="E251" i="12" l="1"/>
  <c r="B251" i="12" s="1"/>
  <c r="E250" i="12"/>
  <c r="B250" i="12" s="1"/>
  <c r="E196" i="12"/>
  <c r="G31" i="12"/>
  <c r="B31" i="12" s="1"/>
  <c r="G32" i="12"/>
  <c r="B32" i="12" s="1"/>
  <c r="G33" i="12"/>
  <c r="G34" i="12"/>
  <c r="G35" i="12"/>
  <c r="G36" i="12"/>
  <c r="G37" i="12"/>
  <c r="G38" i="12"/>
  <c r="G40" i="12"/>
  <c r="G49" i="12"/>
  <c r="B49" i="12" s="1"/>
  <c r="G50" i="12"/>
  <c r="B50" i="12" s="1"/>
  <c r="G51" i="12"/>
  <c r="G52" i="12"/>
  <c r="G53" i="12"/>
  <c r="G54" i="12"/>
  <c r="G55" i="12"/>
  <c r="G56" i="12"/>
  <c r="G57" i="12"/>
  <c r="G58" i="12"/>
  <c r="G59" i="12"/>
  <c r="G60" i="12"/>
  <c r="E187" i="12" l="1"/>
  <c r="B187" i="12" l="1"/>
  <c r="B247" i="12"/>
  <c r="E243" i="12"/>
  <c r="B243" i="12" s="1"/>
  <c r="E248" i="12"/>
  <c r="B248" i="12" s="1"/>
  <c r="E245" i="12"/>
  <c r="B245" i="12" s="1"/>
  <c r="E246" i="12"/>
  <c r="B246" i="12" s="1"/>
  <c r="B249" i="12"/>
  <c r="E239" i="12"/>
  <c r="B239" i="12" s="1"/>
  <c r="E240" i="12"/>
  <c r="B240" i="12" s="1"/>
  <c r="E241" i="12"/>
  <c r="B241" i="12" s="1"/>
  <c r="E242" i="12"/>
  <c r="E238" i="12"/>
  <c r="B238" i="12" s="1"/>
  <c r="E159" i="12" l="1"/>
  <c r="E244" i="12" l="1"/>
  <c r="B244" i="12" s="1"/>
  <c r="B161" i="12" l="1"/>
  <c r="B159" i="12" l="1"/>
  <c r="B158" i="12"/>
  <c r="Q32" i="12" l="1"/>
  <c r="E237" i="12" l="1"/>
  <c r="E236" i="12"/>
  <c r="Q31" i="12"/>
  <c r="B242" i="12" l="1"/>
  <c r="D60" i="37" l="1"/>
  <c r="J10" i="39" s="1"/>
  <c r="D58" i="37"/>
  <c r="D12" i="37"/>
  <c r="J32" i="39" l="1"/>
  <c r="J29" i="39"/>
  <c r="J27" i="39"/>
  <c r="J24" i="39"/>
  <c r="J22" i="39"/>
  <c r="J19" i="39"/>
  <c r="J30" i="39"/>
  <c r="J28" i="39"/>
  <c r="J25" i="39"/>
  <c r="J23" i="39"/>
  <c r="J20" i="39"/>
  <c r="J18" i="39"/>
  <c r="J6" i="39" l="1"/>
  <c r="J14" i="39" l="1"/>
  <c r="J15" i="39" s="1"/>
  <c r="J11" i="39"/>
  <c r="J9" i="39"/>
  <c r="H49" i="28" l="1"/>
  <c r="F49" i="28"/>
  <c r="J4" i="39"/>
  <c r="J7" i="39"/>
  <c r="D26" i="37" l="1"/>
  <c r="N619" i="30"/>
  <c r="N620" i="30"/>
  <c r="N621" i="30"/>
  <c r="N622" i="30"/>
  <c r="N623" i="30"/>
  <c r="N624" i="30"/>
  <c r="N625" i="30"/>
  <c r="N626" i="30"/>
  <c r="N627" i="30"/>
  <c r="N628" i="30"/>
  <c r="N629" i="30"/>
  <c r="N630" i="30"/>
  <c r="N631" i="30"/>
  <c r="N632" i="30"/>
  <c r="N633" i="30"/>
  <c r="N634" i="30"/>
  <c r="N635" i="30"/>
  <c r="N636" i="30"/>
  <c r="N637" i="30"/>
  <c r="N638" i="30"/>
  <c r="N639" i="30"/>
  <c r="N640" i="30"/>
  <c r="N641" i="30"/>
  <c r="N618" i="30"/>
  <c r="K618" i="30" l="1"/>
  <c r="L618" i="30"/>
  <c r="M618" i="30"/>
  <c r="K619" i="30"/>
  <c r="L619" i="30"/>
  <c r="M619" i="30"/>
  <c r="K620" i="30"/>
  <c r="L620" i="30"/>
  <c r="M620" i="30"/>
  <c r="K621" i="30"/>
  <c r="L621" i="30"/>
  <c r="M621" i="30"/>
  <c r="K622" i="30"/>
  <c r="L622" i="30"/>
  <c r="M622" i="30"/>
  <c r="K623" i="30"/>
  <c r="L623" i="30"/>
  <c r="M623" i="30"/>
  <c r="K624" i="30"/>
  <c r="L624" i="30"/>
  <c r="M624" i="30"/>
  <c r="K625" i="30"/>
  <c r="L625" i="30"/>
  <c r="M625" i="30"/>
  <c r="K626" i="30"/>
  <c r="L626" i="30"/>
  <c r="M626" i="30"/>
  <c r="K627" i="30"/>
  <c r="L627" i="30"/>
  <c r="M627" i="30"/>
  <c r="K628" i="30"/>
  <c r="L628" i="30"/>
  <c r="M628" i="30"/>
  <c r="K629" i="30"/>
  <c r="L629" i="30"/>
  <c r="M629" i="30"/>
  <c r="K630" i="30"/>
  <c r="L630" i="30"/>
  <c r="M630" i="30"/>
  <c r="K631" i="30"/>
  <c r="L631" i="30"/>
  <c r="M631" i="30"/>
  <c r="K632" i="30"/>
  <c r="L632" i="30"/>
  <c r="M632" i="30"/>
  <c r="K633" i="30"/>
  <c r="L633" i="30"/>
  <c r="M633" i="30"/>
  <c r="K634" i="30"/>
  <c r="L634" i="30"/>
  <c r="M634" i="30"/>
  <c r="K635" i="30"/>
  <c r="L635" i="30"/>
  <c r="M635" i="30"/>
  <c r="K636" i="30"/>
  <c r="L636" i="30"/>
  <c r="M636" i="30"/>
  <c r="K637" i="30"/>
  <c r="L637" i="30"/>
  <c r="M637" i="30"/>
  <c r="K638" i="30"/>
  <c r="L638" i="30"/>
  <c r="M638" i="30"/>
  <c r="K639" i="30"/>
  <c r="L639" i="30"/>
  <c r="M639" i="30"/>
  <c r="K640" i="30"/>
  <c r="L640" i="30"/>
  <c r="M640" i="30"/>
  <c r="K641" i="30"/>
  <c r="L641" i="30"/>
  <c r="M641" i="30"/>
  <c r="D43" i="37"/>
  <c r="D39" i="37"/>
  <c r="B236" i="12" l="1"/>
  <c r="B237" i="12"/>
  <c r="D443" i="30"/>
  <c r="E443" i="30"/>
  <c r="F443" i="30"/>
  <c r="G44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C361" i="30" l="1"/>
  <c r="E363" i="30"/>
  <c r="F363" i="30"/>
  <c r="G363" i="30"/>
  <c r="G364" i="30"/>
  <c r="G365" i="30"/>
  <c r="E366" i="30"/>
  <c r="F366" i="30"/>
  <c r="G366" i="30"/>
  <c r="G367" i="30"/>
  <c r="G368" i="30"/>
  <c r="C371" i="30"/>
  <c r="F373" i="30"/>
  <c r="G373" i="30"/>
  <c r="F374" i="30"/>
  <c r="G374" i="30"/>
  <c r="E375" i="30"/>
  <c r="F375" i="30"/>
  <c r="G375" i="30"/>
  <c r="F376" i="30"/>
  <c r="G376" i="30"/>
  <c r="C340" i="30"/>
  <c r="C346" i="30"/>
  <c r="B12" i="28"/>
  <c r="B11" i="28"/>
  <c r="B330" i="30"/>
  <c r="H194" i="30"/>
  <c r="N194" i="30"/>
  <c r="H199" i="30"/>
  <c r="N201" i="30"/>
  <c r="H209" i="30"/>
  <c r="N209" i="30"/>
  <c r="H215" i="30"/>
  <c r="L215" i="30"/>
  <c r="N215" i="30"/>
  <c r="H220" i="30"/>
  <c r="L223" i="30"/>
  <c r="H230" i="30"/>
  <c r="L230" i="30"/>
  <c r="N230" i="30"/>
  <c r="H236" i="30"/>
  <c r="N236" i="30"/>
  <c r="H241" i="30"/>
  <c r="N243" i="30"/>
  <c r="H251" i="30"/>
  <c r="N251" i="30"/>
  <c r="H264" i="30"/>
  <c r="N264" i="30"/>
  <c r="H269" i="30"/>
  <c r="N271" i="30"/>
  <c r="H279" i="30"/>
  <c r="N279" i="30"/>
  <c r="B284" i="30"/>
  <c r="H285" i="30"/>
  <c r="N285" i="30"/>
  <c r="M287" i="30"/>
  <c r="M289" i="30"/>
  <c r="H290" i="30"/>
  <c r="N292" i="30"/>
  <c r="H300" i="30"/>
  <c r="N300" i="30"/>
  <c r="H306" i="30"/>
  <c r="N306" i="30"/>
  <c r="H311" i="30"/>
  <c r="N313" i="30"/>
  <c r="H321" i="30"/>
  <c r="N321" i="30"/>
  <c r="D162" i="30"/>
  <c r="D161" i="30" s="1"/>
  <c r="D179" i="30"/>
  <c r="D178" i="30" s="1"/>
  <c r="I50" i="28"/>
  <c r="H50" i="28"/>
  <c r="C135" i="30"/>
  <c r="C142" i="30"/>
  <c r="D3" i="30"/>
  <c r="D4" i="30" s="1"/>
  <c r="B55" i="28" l="1"/>
  <c r="B52" i="28"/>
  <c r="D56" i="28"/>
  <c r="D52" i="28"/>
  <c r="N222" i="30"/>
  <c r="R226" i="30" s="1"/>
  <c r="F365" i="30"/>
  <c r="F364" i="30"/>
  <c r="F368" i="30"/>
  <c r="F367" i="30"/>
  <c r="E367" i="30"/>
  <c r="D36" i="28"/>
  <c r="D28" i="28"/>
  <c r="I60" i="28"/>
  <c r="I61" i="28"/>
  <c r="I59" i="28"/>
  <c r="H60" i="28"/>
  <c r="H61" i="28"/>
  <c r="H59" i="28"/>
  <c r="D42" i="28"/>
  <c r="D27" i="28"/>
  <c r="D48" i="28"/>
  <c r="D35" i="28"/>
  <c r="D47" i="28"/>
  <c r="D43" i="28"/>
  <c r="C644" i="30"/>
  <c r="C645" i="30"/>
  <c r="D39" i="28"/>
  <c r="D46" i="28"/>
  <c r="D34" i="28"/>
  <c r="D57" i="28"/>
  <c r="D53" i="28"/>
  <c r="B56" i="28"/>
  <c r="I51" i="28"/>
  <c r="I52" i="28"/>
  <c r="I54" i="28"/>
  <c r="I55" i="28"/>
  <c r="I56" i="28"/>
  <c r="B53" i="28"/>
  <c r="H51" i="28"/>
  <c r="H52" i="28"/>
  <c r="H54" i="28"/>
  <c r="H55" i="28"/>
  <c r="H56" i="28"/>
  <c r="D20" i="28"/>
  <c r="D26" i="28"/>
  <c r="D21" i="28"/>
  <c r="D19" i="28"/>
  <c r="D40" i="28"/>
  <c r="D38" i="28"/>
  <c r="D44" i="28"/>
  <c r="D41" i="28"/>
  <c r="D37" i="28"/>
  <c r="D45" i="28"/>
  <c r="D136" i="30"/>
  <c r="D32" i="28"/>
  <c r="D33" i="28"/>
  <c r="E368" i="30"/>
  <c r="E365" i="30"/>
  <c r="E364" i="30"/>
  <c r="E376" i="30"/>
  <c r="E374" i="30"/>
  <c r="E373" i="30"/>
  <c r="C342" i="30"/>
  <c r="C341" i="30"/>
  <c r="C348" i="30"/>
  <c r="C347" i="30"/>
  <c r="H309" i="30"/>
  <c r="L307" i="30"/>
  <c r="L304" i="30"/>
  <c r="H298" i="30"/>
  <c r="L296" i="30"/>
  <c r="N294" i="30"/>
  <c r="H288" i="30"/>
  <c r="H287" i="30"/>
  <c r="L285" i="30"/>
  <c r="L284" i="30"/>
  <c r="L283" i="30"/>
  <c r="H277" i="30"/>
  <c r="L275" i="30"/>
  <c r="N273" i="30"/>
  <c r="L268" i="30"/>
  <c r="H266" i="30"/>
  <c r="L264" i="30"/>
  <c r="L263" i="30"/>
  <c r="H262" i="30"/>
  <c r="H249" i="30"/>
  <c r="L247" i="30"/>
  <c r="N245" i="30"/>
  <c r="H239" i="30"/>
  <c r="L237" i="30"/>
  <c r="L235" i="30"/>
  <c r="L229" i="30"/>
  <c r="H227" i="30"/>
  <c r="N225" i="30"/>
  <c r="L219" i="30"/>
  <c r="M217" i="30"/>
  <c r="L216" i="30"/>
  <c r="L213" i="30"/>
  <c r="L208" i="30"/>
  <c r="H206" i="30"/>
  <c r="N204" i="30"/>
  <c r="L198" i="30"/>
  <c r="H196" i="30"/>
  <c r="L192" i="30"/>
  <c r="H190" i="30"/>
  <c r="H319" i="30"/>
  <c r="L317" i="30"/>
  <c r="N316" i="30"/>
  <c r="L315" i="30"/>
  <c r="L321" i="30"/>
  <c r="L320" i="30"/>
  <c r="H318" i="30"/>
  <c r="N315" i="30"/>
  <c r="L310" i="30"/>
  <c r="H308" i="30"/>
  <c r="L306" i="30"/>
  <c r="L305" i="30"/>
  <c r="L300" i="30"/>
  <c r="L299" i="30"/>
  <c r="H297" i="30"/>
  <c r="N295" i="30"/>
  <c r="L294" i="30"/>
  <c r="L289" i="30"/>
  <c r="L286" i="30"/>
  <c r="L279" i="30"/>
  <c r="L278" i="30"/>
  <c r="H276" i="30"/>
  <c r="N274" i="30"/>
  <c r="L273" i="30"/>
  <c r="H267" i="30"/>
  <c r="L265" i="30"/>
  <c r="L262" i="30"/>
  <c r="H260" i="30"/>
  <c r="L250" i="30"/>
  <c r="H248" i="30"/>
  <c r="N246" i="30"/>
  <c r="L240" i="30"/>
  <c r="H238" i="30"/>
  <c r="L234" i="30"/>
  <c r="H228" i="30"/>
  <c r="L226" i="30"/>
  <c r="N224" i="30"/>
  <c r="M219" i="30"/>
  <c r="H218" i="30"/>
  <c r="H217" i="30"/>
  <c r="L214" i="30"/>
  <c r="H207" i="30"/>
  <c r="L205" i="30"/>
  <c r="N203" i="30"/>
  <c r="H197" i="30"/>
  <c r="L195" i="30"/>
  <c r="L193" i="30"/>
  <c r="H192" i="30"/>
  <c r="C163" i="30"/>
  <c r="C162" i="30" s="1"/>
  <c r="C180" i="30"/>
  <c r="C179" i="30" s="1"/>
  <c r="D146" i="30"/>
  <c r="B148" i="30"/>
  <c r="D10" i="28" s="1"/>
  <c r="D144" i="30"/>
  <c r="D145" i="30"/>
  <c r="D143" i="30"/>
  <c r="D141" i="30"/>
  <c r="D139" i="30"/>
  <c r="D137" i="30"/>
  <c r="D140" i="30"/>
  <c r="D138" i="30"/>
  <c r="P222" i="30" l="1"/>
  <c r="Q223" i="30"/>
  <c r="C646" i="30"/>
  <c r="B57" i="28" s="1"/>
  <c r="P215" i="30"/>
  <c r="P201" i="30"/>
  <c r="P194" i="30"/>
  <c r="P243" i="30"/>
  <c r="P264" i="30"/>
  <c r="P292" i="30"/>
  <c r="P306" i="30"/>
  <c r="Q316" i="30"/>
  <c r="P313" i="30"/>
  <c r="P271" i="30"/>
  <c r="P285" i="30"/>
  <c r="P236" i="30"/>
  <c r="E234" i="12"/>
  <c r="B234" i="12" s="1"/>
  <c r="E230" i="12"/>
  <c r="E233" i="12" l="1"/>
  <c r="B233" i="12" s="1"/>
  <c r="B230" i="12"/>
  <c r="E232" i="12"/>
  <c r="B232" i="12" s="1"/>
  <c r="O82" i="12"/>
  <c r="E231" i="12"/>
  <c r="B231" i="12" s="1"/>
  <c r="E229" i="12" l="1"/>
  <c r="B229" i="12" s="1"/>
  <c r="E90" i="12"/>
  <c r="E227" i="12"/>
  <c r="E226" i="12"/>
  <c r="B226" i="12" s="1"/>
  <c r="E225" i="12"/>
  <c r="B225" i="12" s="1"/>
  <c r="E224" i="12"/>
  <c r="B224" i="12" s="1"/>
  <c r="B165" i="12"/>
  <c r="B164" i="12"/>
  <c r="E120" i="12"/>
  <c r="E121" i="12"/>
  <c r="E122" i="12"/>
  <c r="B227" i="12" l="1"/>
  <c r="E228" i="12"/>
  <c r="B228" i="12" s="1"/>
  <c r="Q36" i="12"/>
  <c r="E65" i="12"/>
  <c r="E64" i="12"/>
  <c r="E63" i="12"/>
  <c r="E88" i="12"/>
  <c r="C443" i="30"/>
  <c r="E235" i="12"/>
  <c r="B235" i="12" s="1"/>
  <c r="B90" i="12"/>
  <c r="E91" i="12"/>
  <c r="B91" i="12" s="1"/>
  <c r="D363" i="30"/>
  <c r="H363" i="30" s="1"/>
  <c r="I363" i="30" s="1"/>
  <c r="D366" i="30"/>
  <c r="H366" i="30" s="1"/>
  <c r="I366" i="30" s="1"/>
  <c r="H203" i="30"/>
  <c r="H273" i="30"/>
  <c r="H224" i="30"/>
  <c r="H245" i="30"/>
  <c r="H315" i="30"/>
  <c r="H294" i="30"/>
  <c r="L322" i="30"/>
  <c r="P321" i="30" s="1"/>
  <c r="L302" i="30"/>
  <c r="L281" i="30"/>
  <c r="H255" i="30"/>
  <c r="H234" i="30"/>
  <c r="L210" i="30"/>
  <c r="P209" i="30" s="1"/>
  <c r="H325" i="30"/>
  <c r="H304" i="30"/>
  <c r="H281" i="30"/>
  <c r="L253" i="30"/>
  <c r="L232" i="30"/>
  <c r="H211" i="30"/>
  <c r="L301" i="30"/>
  <c r="P300" i="30" s="1"/>
  <c r="L280" i="30"/>
  <c r="P279" i="30" s="1"/>
  <c r="H253" i="30"/>
  <c r="H232" i="30"/>
  <c r="L211" i="30"/>
  <c r="L323" i="30"/>
  <c r="H323" i="30"/>
  <c r="H302" i="30"/>
  <c r="H283" i="30"/>
  <c r="L252" i="30"/>
  <c r="P251" i="30" s="1"/>
  <c r="L231" i="30"/>
  <c r="H213" i="30"/>
  <c r="P230" i="30" l="1"/>
  <c r="Q226" i="30"/>
  <c r="E223" i="12"/>
  <c r="B223" i="12" s="1"/>
  <c r="E222" i="12"/>
  <c r="B222" i="12" s="1"/>
  <c r="E221" i="12"/>
  <c r="B221" i="12" s="1"/>
  <c r="E219" i="12"/>
  <c r="B219" i="12" s="1"/>
  <c r="E220" i="12"/>
  <c r="B220" i="12" s="1"/>
  <c r="F28" i="18"/>
  <c r="E28" i="18"/>
  <c r="F27" i="18"/>
  <c r="E27" i="18"/>
  <c r="F26" i="18"/>
  <c r="E26" i="18"/>
  <c r="F24" i="18"/>
  <c r="E24" i="18"/>
  <c r="F23" i="18"/>
  <c r="E23" i="18"/>
  <c r="F22" i="18"/>
  <c r="E22" i="18"/>
  <c r="E218" i="12"/>
  <c r="B218" i="12" s="1"/>
  <c r="E217" i="12"/>
  <c r="B217" i="12" s="1"/>
  <c r="E216" i="12"/>
  <c r="B216" i="12" s="1"/>
  <c r="E214" i="12"/>
  <c r="E213" i="12"/>
  <c r="N14" i="12"/>
  <c r="E205" i="12" s="1"/>
  <c r="N12" i="12"/>
  <c r="N13" i="12" l="1"/>
  <c r="E199" i="12"/>
  <c r="B199" i="12" s="1"/>
  <c r="N16" i="12"/>
  <c r="N17" i="12" s="1"/>
  <c r="E203" i="12"/>
  <c r="N19" i="12"/>
  <c r="E270" i="12" s="1"/>
  <c r="B270" i="12" s="1"/>
  <c r="B214" i="12"/>
  <c r="B213" i="12"/>
  <c r="B205" i="12"/>
  <c r="B204" i="12"/>
  <c r="B198" i="12"/>
  <c r="B196" i="12"/>
  <c r="B189" i="12"/>
  <c r="B188" i="12"/>
  <c r="B190" i="12"/>
  <c r="B191" i="12"/>
  <c r="B179" i="12"/>
  <c r="B180" i="12"/>
  <c r="B181" i="12"/>
  <c r="B182" i="12"/>
  <c r="E183" i="12"/>
  <c r="B183" i="12" s="1"/>
  <c r="N78" i="30" l="1"/>
  <c r="N18" i="12"/>
  <c r="E209" i="12"/>
  <c r="E212" i="12" s="1"/>
  <c r="B212" i="12" s="1"/>
  <c r="E200" i="12"/>
  <c r="B200" i="12" s="1"/>
  <c r="E201" i="12"/>
  <c r="B201" i="12" s="1"/>
  <c r="H76" i="30"/>
  <c r="H79" i="30"/>
  <c r="N72" i="30"/>
  <c r="H73" i="30"/>
  <c r="N77" i="30"/>
  <c r="N20" i="12"/>
  <c r="E271" i="12" s="1"/>
  <c r="B271" i="12" s="1"/>
  <c r="H72" i="30"/>
  <c r="H78" i="30"/>
  <c r="N76" i="30"/>
  <c r="N125" i="30"/>
  <c r="H77" i="30"/>
  <c r="N73" i="30"/>
  <c r="N126" i="30"/>
  <c r="N79" i="30"/>
  <c r="N120" i="30"/>
  <c r="B203" i="12"/>
  <c r="E202" i="12"/>
  <c r="B202" i="12" s="1"/>
  <c r="E211" i="12"/>
  <c r="B211" i="12" s="1"/>
  <c r="E185" i="12"/>
  <c r="B185" i="12" s="1"/>
  <c r="E186" i="12"/>
  <c r="B186" i="12" s="1"/>
  <c r="E184" i="12"/>
  <c r="D12" i="28" l="1"/>
  <c r="D367" i="30" s="1"/>
  <c r="H367" i="30" s="1"/>
  <c r="I367" i="30" s="1"/>
  <c r="E269" i="12"/>
  <c r="B269" i="12" s="1"/>
  <c r="D11" i="28"/>
  <c r="D373" i="30" s="1"/>
  <c r="H373" i="30" s="1"/>
  <c r="I373" i="30" s="1"/>
  <c r="B184" i="12"/>
  <c r="E210" i="12"/>
  <c r="B210" i="12" s="1"/>
  <c r="B209" i="12"/>
  <c r="E208" i="12"/>
  <c r="B208" i="12" s="1"/>
  <c r="E176" i="12"/>
  <c r="B176" i="12" s="1"/>
  <c r="E175" i="12"/>
  <c r="B175" i="12" s="1"/>
  <c r="E174" i="12"/>
  <c r="E178" i="12" s="1"/>
  <c r="B178" i="12" s="1"/>
  <c r="E173" i="12"/>
  <c r="B173" i="12" s="1"/>
  <c r="E172" i="12"/>
  <c r="E177" i="12" s="1"/>
  <c r="B177" i="12" s="1"/>
  <c r="E171" i="12"/>
  <c r="B171" i="12" s="1"/>
  <c r="E43" i="12"/>
  <c r="B43" i="12" s="1"/>
  <c r="E14" i="12"/>
  <c r="B14" i="12" s="1"/>
  <c r="E346" i="30" l="1"/>
  <c r="D365" i="30"/>
  <c r="H365" i="30" s="1"/>
  <c r="I365" i="30" s="1"/>
  <c r="D368" i="30"/>
  <c r="H368" i="30" s="1"/>
  <c r="I368" i="30" s="1"/>
  <c r="E348" i="30"/>
  <c r="D364" i="30"/>
  <c r="H364" i="30" s="1"/>
  <c r="I364" i="30" s="1"/>
  <c r="E347" i="30"/>
  <c r="E340" i="30"/>
  <c r="E341" i="30"/>
  <c r="D376" i="30"/>
  <c r="H376" i="30" s="1"/>
  <c r="I376" i="30" s="1"/>
  <c r="D375" i="30"/>
  <c r="H375" i="30" s="1"/>
  <c r="I375" i="30" s="1"/>
  <c r="D374" i="30"/>
  <c r="H374" i="30" s="1"/>
  <c r="I374" i="30" s="1"/>
  <c r="E207" i="12"/>
  <c r="B207" i="12" s="1"/>
  <c r="E206" i="12"/>
  <c r="B206" i="12" s="1"/>
  <c r="B172" i="12"/>
  <c r="B174" i="12"/>
  <c r="E349" i="30" l="1"/>
  <c r="C349" i="30" s="1"/>
  <c r="C352" i="30" s="1"/>
  <c r="C353" i="30" s="1"/>
  <c r="C343" i="30"/>
  <c r="E124" i="12"/>
  <c r="B124" i="12" s="1"/>
  <c r="L82" i="12"/>
  <c r="L62" i="12"/>
  <c r="L63" i="12"/>
  <c r="L64" i="12"/>
  <c r="L61" i="12"/>
  <c r="B169" i="12"/>
  <c r="B168" i="12"/>
  <c r="B167" i="12"/>
  <c r="B162" i="12"/>
  <c r="B160" i="12"/>
  <c r="B156" i="12"/>
  <c r="B155" i="12"/>
  <c r="B154" i="12"/>
  <c r="B153" i="12"/>
  <c r="B152" i="12"/>
  <c r="B151" i="12"/>
  <c r="B150" i="12"/>
  <c r="B149" i="12"/>
  <c r="B148" i="12"/>
  <c r="B147" i="12"/>
  <c r="B146" i="12"/>
  <c r="B145" i="12"/>
  <c r="B143" i="12" l="1"/>
  <c r="B142" i="12"/>
  <c r="B141" i="12"/>
  <c r="B140" i="12"/>
  <c r="B139" i="12"/>
  <c r="B138" i="12"/>
  <c r="B137" i="12"/>
  <c r="B136" i="12"/>
  <c r="B135" i="12"/>
  <c r="B134" i="12"/>
  <c r="B133" i="12"/>
  <c r="B132" i="12"/>
  <c r="B131" i="12"/>
  <c r="B130" i="12"/>
  <c r="B129" i="12"/>
  <c r="B128" i="12"/>
  <c r="B127" i="12"/>
  <c r="B126" i="12"/>
  <c r="E61" i="12" l="1"/>
  <c r="B61" i="12" s="1"/>
  <c r="E102" i="12"/>
  <c r="B102" i="12" s="1"/>
  <c r="B122" i="12" l="1"/>
  <c r="B121" i="12"/>
  <c r="B120" i="12"/>
  <c r="B119" i="12"/>
  <c r="B118" i="12"/>
  <c r="B117" i="12"/>
  <c r="B116" i="12"/>
  <c r="B115" i="12"/>
  <c r="B114" i="12"/>
  <c r="B113" i="12"/>
  <c r="B112" i="12"/>
  <c r="B111" i="12"/>
  <c r="B110" i="12"/>
  <c r="B109" i="12"/>
  <c r="B108" i="12"/>
  <c r="B107" i="12"/>
  <c r="B106" i="12"/>
  <c r="B105" i="12"/>
  <c r="E30" i="12" l="1"/>
  <c r="B30" i="12" s="1"/>
  <c r="B101" i="12"/>
  <c r="E84" i="12"/>
  <c r="B84" i="12" s="1"/>
  <c r="E98" i="12"/>
  <c r="B98" i="12" s="1"/>
  <c r="C65" i="30"/>
  <c r="C66" i="30"/>
  <c r="C67" i="30"/>
  <c r="C62" i="30"/>
  <c r="C61" i="30"/>
  <c r="C78" i="30" s="1"/>
  <c r="C60" i="30"/>
  <c r="C64" i="30"/>
  <c r="C79" i="30" s="1"/>
  <c r="G64" i="30" s="1"/>
  <c r="C59" i="30"/>
  <c r="C77" i="30" s="1"/>
  <c r="G62" i="30" s="1"/>
  <c r="C56" i="30"/>
  <c r="C72" i="30" s="1"/>
  <c r="G57" i="30" s="1"/>
  <c r="C57" i="30"/>
  <c r="C73" i="30" s="1"/>
  <c r="G58" i="30" s="1"/>
  <c r="C9" i="30"/>
  <c r="C13" i="30"/>
  <c r="C23" i="30"/>
  <c r="F23" i="30" s="1"/>
  <c r="C49" i="30"/>
  <c r="F49" i="30" s="1"/>
  <c r="C50" i="30"/>
  <c r="F50" i="30" s="1"/>
  <c r="C55" i="30"/>
  <c r="C58" i="30"/>
  <c r="L61" i="30"/>
  <c r="N61" i="30" s="1"/>
  <c r="C63" i="30"/>
  <c r="T72" i="30"/>
  <c r="T73" i="30"/>
  <c r="T76" i="30"/>
  <c r="T77" i="30"/>
  <c r="T78" i="30"/>
  <c r="T79" i="30"/>
  <c r="J80" i="30"/>
  <c r="H80" i="30" s="1"/>
  <c r="P80" i="30"/>
  <c r="N80" i="30" s="1"/>
  <c r="V80" i="30"/>
  <c r="T80" i="30" s="1"/>
  <c r="C84" i="30"/>
  <c r="C110" i="30" s="1"/>
  <c r="D84" i="30"/>
  <c r="D110" i="30" s="1"/>
  <c r="E84" i="30"/>
  <c r="E110" i="30" s="1"/>
  <c r="F84" i="30"/>
  <c r="F110" i="30" s="1"/>
  <c r="G84" i="30"/>
  <c r="G110" i="30" s="1"/>
  <c r="H84" i="30"/>
  <c r="H110" i="30" s="1"/>
  <c r="I84" i="30"/>
  <c r="I110" i="30" s="1"/>
  <c r="J84" i="30"/>
  <c r="J110" i="30" s="1"/>
  <c r="K84" i="30"/>
  <c r="K110" i="30" s="1"/>
  <c r="L84" i="30"/>
  <c r="L110" i="30" s="1"/>
  <c r="M84" i="30"/>
  <c r="M110" i="30" s="1"/>
  <c r="N84" i="30"/>
  <c r="N110" i="30" s="1"/>
  <c r="C85" i="30"/>
  <c r="D85" i="30"/>
  <c r="E85" i="30"/>
  <c r="F85" i="30"/>
  <c r="G85" i="30"/>
  <c r="H85" i="30"/>
  <c r="I85" i="30"/>
  <c r="J85" i="30"/>
  <c r="K85" i="30"/>
  <c r="L85" i="30"/>
  <c r="M85" i="30"/>
  <c r="N85" i="30"/>
  <c r="C86" i="30"/>
  <c r="D86" i="30"/>
  <c r="E86" i="30"/>
  <c r="F86" i="30"/>
  <c r="G86" i="30"/>
  <c r="H86" i="30"/>
  <c r="I86" i="30"/>
  <c r="J86" i="30"/>
  <c r="K86" i="30"/>
  <c r="L86" i="30"/>
  <c r="M86" i="30"/>
  <c r="N86" i="30"/>
  <c r="C87" i="30"/>
  <c r="C113" i="30" s="1"/>
  <c r="D87" i="30"/>
  <c r="D113" i="30" s="1"/>
  <c r="E87" i="30"/>
  <c r="E113" i="30" s="1"/>
  <c r="F87" i="30"/>
  <c r="F113" i="30" s="1"/>
  <c r="G87" i="30"/>
  <c r="G113" i="30" s="1"/>
  <c r="H87" i="30"/>
  <c r="H113" i="30" s="1"/>
  <c r="I87" i="30"/>
  <c r="I113" i="30" s="1"/>
  <c r="J87" i="30"/>
  <c r="J113" i="30" s="1"/>
  <c r="K87" i="30"/>
  <c r="K113" i="30" s="1"/>
  <c r="L87" i="30"/>
  <c r="L113" i="30" s="1"/>
  <c r="M87" i="30"/>
  <c r="M113" i="30" s="1"/>
  <c r="N87" i="30"/>
  <c r="N113" i="30" s="1"/>
  <c r="C88" i="30"/>
  <c r="D88" i="30"/>
  <c r="D114" i="30" s="1"/>
  <c r="E88" i="30"/>
  <c r="F88" i="30"/>
  <c r="G88" i="30"/>
  <c r="H88" i="30"/>
  <c r="H114" i="30" s="1"/>
  <c r="I88" i="30"/>
  <c r="J88" i="30"/>
  <c r="K88" i="30"/>
  <c r="L88" i="30"/>
  <c r="L114" i="30" s="1"/>
  <c r="M88" i="30"/>
  <c r="N88" i="30"/>
  <c r="C89" i="30"/>
  <c r="C115" i="30" s="1"/>
  <c r="D89" i="30"/>
  <c r="D115" i="30" s="1"/>
  <c r="E89" i="30"/>
  <c r="E115" i="30" s="1"/>
  <c r="F89" i="30"/>
  <c r="F115" i="30" s="1"/>
  <c r="G89" i="30"/>
  <c r="G115" i="30" s="1"/>
  <c r="H89" i="30"/>
  <c r="H115" i="30" s="1"/>
  <c r="I89" i="30"/>
  <c r="I115" i="30" s="1"/>
  <c r="J89" i="30"/>
  <c r="J115" i="30" s="1"/>
  <c r="K89" i="30"/>
  <c r="K115" i="30" s="1"/>
  <c r="L89" i="30"/>
  <c r="L115" i="30" s="1"/>
  <c r="M89" i="30"/>
  <c r="M115" i="30" s="1"/>
  <c r="N89" i="30"/>
  <c r="N115" i="30" s="1"/>
  <c r="C90" i="30"/>
  <c r="D90" i="30"/>
  <c r="D116" i="30" s="1"/>
  <c r="E90" i="30"/>
  <c r="F90" i="30"/>
  <c r="G90" i="30"/>
  <c r="H90" i="30"/>
  <c r="H116" i="30" s="1"/>
  <c r="I90" i="30"/>
  <c r="J90" i="30"/>
  <c r="K90" i="30"/>
  <c r="L90" i="30"/>
  <c r="M90" i="30"/>
  <c r="N90" i="30"/>
  <c r="C91" i="30"/>
  <c r="C117" i="30" s="1"/>
  <c r="C93" i="30"/>
  <c r="C119" i="30" s="1"/>
  <c r="D91" i="30"/>
  <c r="D117" i="30" s="1"/>
  <c r="E91" i="30"/>
  <c r="E117" i="30" s="1"/>
  <c r="E93" i="30"/>
  <c r="E119" i="30" s="1"/>
  <c r="F91" i="30"/>
  <c r="G91" i="30"/>
  <c r="G117" i="30" s="1"/>
  <c r="G93" i="30"/>
  <c r="H91" i="30"/>
  <c r="H117" i="30" s="1"/>
  <c r="I91" i="30"/>
  <c r="I117" i="30" s="1"/>
  <c r="I93" i="30"/>
  <c r="J91" i="30"/>
  <c r="J117" i="30" s="1"/>
  <c r="K91" i="30"/>
  <c r="K117" i="30" s="1"/>
  <c r="K93" i="30"/>
  <c r="L91" i="30"/>
  <c r="L117" i="30" s="1"/>
  <c r="M91" i="30"/>
  <c r="M117" i="30" s="1"/>
  <c r="M93" i="30"/>
  <c r="N91" i="30"/>
  <c r="N117" i="30" s="1"/>
  <c r="C92" i="30"/>
  <c r="C118" i="30" s="1"/>
  <c r="D92" i="30"/>
  <c r="D118" i="30" s="1"/>
  <c r="E92" i="30"/>
  <c r="E118" i="30" s="1"/>
  <c r="F92" i="30"/>
  <c r="F118" i="30" s="1"/>
  <c r="G92" i="30"/>
  <c r="G118" i="30" s="1"/>
  <c r="H92" i="30"/>
  <c r="H118" i="30" s="1"/>
  <c r="I92" i="30"/>
  <c r="I118" i="30" s="1"/>
  <c r="J92" i="30"/>
  <c r="J118" i="30" s="1"/>
  <c r="K92" i="30"/>
  <c r="K118" i="30" s="1"/>
  <c r="L92" i="30"/>
  <c r="L118" i="30" s="1"/>
  <c r="M92" i="30"/>
  <c r="M118" i="30" s="1"/>
  <c r="N92" i="30"/>
  <c r="N118" i="30" s="1"/>
  <c r="D93" i="30"/>
  <c r="D119" i="30" s="1"/>
  <c r="F93" i="30"/>
  <c r="F119" i="30" s="1"/>
  <c r="H93" i="30"/>
  <c r="H119" i="30" s="1"/>
  <c r="J93" i="30"/>
  <c r="J119" i="30" s="1"/>
  <c r="L93" i="30"/>
  <c r="L119" i="30" s="1"/>
  <c r="N93" i="30"/>
  <c r="B10" i="12"/>
  <c r="B12" i="12"/>
  <c r="B13" i="12"/>
  <c r="B15" i="12"/>
  <c r="B16" i="12"/>
  <c r="E17" i="12"/>
  <c r="B17" i="12" s="1"/>
  <c r="B21" i="12"/>
  <c r="E33" i="12"/>
  <c r="E34" i="12"/>
  <c r="E35" i="12"/>
  <c r="E37" i="12"/>
  <c r="E38" i="12"/>
  <c r="E39" i="12"/>
  <c r="E40" i="12"/>
  <c r="B40" i="12" s="1"/>
  <c r="E41" i="12"/>
  <c r="E42" i="12"/>
  <c r="E48" i="12"/>
  <c r="B48" i="12" s="1"/>
  <c r="E51" i="12"/>
  <c r="E52" i="12"/>
  <c r="E53" i="12"/>
  <c r="E54" i="12"/>
  <c r="E55" i="12"/>
  <c r="E56" i="12"/>
  <c r="E57" i="12"/>
  <c r="E58" i="12"/>
  <c r="E59" i="12"/>
  <c r="E60" i="12"/>
  <c r="B63" i="12"/>
  <c r="B64" i="12"/>
  <c r="B65" i="12"/>
  <c r="B67" i="12"/>
  <c r="B77" i="12"/>
  <c r="B83" i="12"/>
  <c r="E93" i="12"/>
  <c r="B93" i="12" s="1"/>
  <c r="B94" i="12"/>
  <c r="E103" i="12"/>
  <c r="B103" i="12" s="1"/>
  <c r="E95" i="12"/>
  <c r="B95" i="12" s="1"/>
  <c r="E96" i="12"/>
  <c r="B96" i="12" s="1"/>
  <c r="E97" i="12"/>
  <c r="B97" i="12" s="1"/>
  <c r="B81" i="12" l="1"/>
  <c r="B54" i="12"/>
  <c r="L62" i="30"/>
  <c r="N62" i="30" s="1"/>
  <c r="B82" i="12"/>
  <c r="B88" i="12"/>
  <c r="J71" i="30"/>
  <c r="M104" i="30"/>
  <c r="M130" i="30" s="1"/>
  <c r="P7" i="32" s="1"/>
  <c r="M119" i="30"/>
  <c r="I104" i="30"/>
  <c r="I130" i="30" s="1"/>
  <c r="L7" i="32" s="1"/>
  <c r="I119" i="30"/>
  <c r="M103" i="30"/>
  <c r="M129" i="30" s="1"/>
  <c r="P8" i="32" s="1"/>
  <c r="M116" i="30"/>
  <c r="K103" i="30"/>
  <c r="K129" i="30" s="1"/>
  <c r="N8" i="32" s="1"/>
  <c r="K116" i="30"/>
  <c r="I103" i="30"/>
  <c r="I129" i="30" s="1"/>
  <c r="L8" i="32" s="1"/>
  <c r="I116" i="30"/>
  <c r="G103" i="30"/>
  <c r="G129" i="30" s="1"/>
  <c r="J8" i="32" s="1"/>
  <c r="G116" i="30"/>
  <c r="E103" i="30"/>
  <c r="E129" i="30" s="1"/>
  <c r="H8" i="32" s="1"/>
  <c r="E116" i="30"/>
  <c r="C103" i="30"/>
  <c r="C129" i="30" s="1"/>
  <c r="F8" i="32" s="1"/>
  <c r="C116" i="30"/>
  <c r="M102" i="30"/>
  <c r="M128" i="30" s="1"/>
  <c r="P9" i="32" s="1"/>
  <c r="M114" i="30"/>
  <c r="K102" i="30"/>
  <c r="K128" i="30" s="1"/>
  <c r="N9" i="32" s="1"/>
  <c r="K114" i="30"/>
  <c r="I102" i="30"/>
  <c r="I128" i="30" s="1"/>
  <c r="L9" i="32" s="1"/>
  <c r="I114" i="30"/>
  <c r="G102" i="30"/>
  <c r="G128" i="30" s="1"/>
  <c r="J9" i="32" s="1"/>
  <c r="G114" i="30"/>
  <c r="E102" i="30"/>
  <c r="E128" i="30" s="1"/>
  <c r="H9" i="32" s="1"/>
  <c r="E114" i="30"/>
  <c r="C102" i="30"/>
  <c r="C128" i="30" s="1"/>
  <c r="F9" i="32" s="1"/>
  <c r="C114" i="30"/>
  <c r="M98" i="30"/>
  <c r="M124" i="30" s="1"/>
  <c r="P6" i="32" s="1"/>
  <c r="M112" i="30"/>
  <c r="K98" i="30"/>
  <c r="K124" i="30" s="1"/>
  <c r="N6" i="32" s="1"/>
  <c r="K112" i="30"/>
  <c r="I98" i="30"/>
  <c r="I124" i="30" s="1"/>
  <c r="L6" i="32" s="1"/>
  <c r="I112" i="30"/>
  <c r="G98" i="30"/>
  <c r="G124" i="30" s="1"/>
  <c r="J6" i="32" s="1"/>
  <c r="G112" i="30"/>
  <c r="E98" i="30"/>
  <c r="E124" i="30" s="1"/>
  <c r="H6" i="32" s="1"/>
  <c r="E112" i="30"/>
  <c r="C98" i="30"/>
  <c r="C124" i="30" s="1"/>
  <c r="F6" i="32" s="1"/>
  <c r="C112" i="30"/>
  <c r="M97" i="30"/>
  <c r="M123" i="30" s="1"/>
  <c r="P5" i="32" s="1"/>
  <c r="M111" i="30"/>
  <c r="K97" i="30"/>
  <c r="K123" i="30" s="1"/>
  <c r="N5" i="32" s="1"/>
  <c r="K111" i="30"/>
  <c r="I97" i="30"/>
  <c r="I123" i="30" s="1"/>
  <c r="L5" i="32" s="1"/>
  <c r="I111" i="30"/>
  <c r="G97" i="30"/>
  <c r="G123" i="30" s="1"/>
  <c r="J5" i="32" s="1"/>
  <c r="G111" i="30"/>
  <c r="E97" i="30"/>
  <c r="E123" i="30" s="1"/>
  <c r="H5" i="32" s="1"/>
  <c r="E111" i="30"/>
  <c r="C97" i="30"/>
  <c r="C123" i="30" s="1"/>
  <c r="F5" i="32" s="1"/>
  <c r="C111" i="30"/>
  <c r="G63" i="30"/>
  <c r="N104" i="30"/>
  <c r="N130" i="30" s="1"/>
  <c r="Q7" i="32" s="1"/>
  <c r="N119" i="30"/>
  <c r="K104" i="30"/>
  <c r="K130" i="30" s="1"/>
  <c r="N7" i="32" s="1"/>
  <c r="K119" i="30"/>
  <c r="G104" i="30"/>
  <c r="G130" i="30" s="1"/>
  <c r="J7" i="32" s="1"/>
  <c r="G119" i="30"/>
  <c r="F101" i="30"/>
  <c r="F127" i="30" s="1"/>
  <c r="I10" i="32" s="1"/>
  <c r="F117" i="30"/>
  <c r="N103" i="30"/>
  <c r="N129" i="30" s="1"/>
  <c r="Q8" i="32" s="1"/>
  <c r="N116" i="30"/>
  <c r="L103" i="30"/>
  <c r="L129" i="30" s="1"/>
  <c r="O8" i="32" s="1"/>
  <c r="L116" i="30"/>
  <c r="J103" i="30"/>
  <c r="J129" i="30" s="1"/>
  <c r="M8" i="32" s="1"/>
  <c r="J116" i="30"/>
  <c r="F103" i="30"/>
  <c r="F129" i="30" s="1"/>
  <c r="I8" i="32" s="1"/>
  <c r="F116" i="30"/>
  <c r="N102" i="30"/>
  <c r="N128" i="30" s="1"/>
  <c r="Q9" i="32" s="1"/>
  <c r="N114" i="30"/>
  <c r="J102" i="30"/>
  <c r="J128" i="30" s="1"/>
  <c r="M9" i="32" s="1"/>
  <c r="J114" i="30"/>
  <c r="F102" i="30"/>
  <c r="F128" i="30" s="1"/>
  <c r="I9" i="32" s="1"/>
  <c r="F114" i="30"/>
  <c r="N98" i="30"/>
  <c r="N124" i="30" s="1"/>
  <c r="Q6" i="32" s="1"/>
  <c r="N112" i="30"/>
  <c r="L98" i="30"/>
  <c r="L124" i="30" s="1"/>
  <c r="O6" i="32" s="1"/>
  <c r="L112" i="30"/>
  <c r="J98" i="30"/>
  <c r="J124" i="30" s="1"/>
  <c r="M6" i="32" s="1"/>
  <c r="J112" i="30"/>
  <c r="H98" i="30"/>
  <c r="H124" i="30" s="1"/>
  <c r="K6" i="32" s="1"/>
  <c r="H112" i="30"/>
  <c r="F98" i="30"/>
  <c r="F124" i="30" s="1"/>
  <c r="I6" i="32" s="1"/>
  <c r="F112" i="30"/>
  <c r="D98" i="30"/>
  <c r="D124" i="30" s="1"/>
  <c r="G6" i="32" s="1"/>
  <c r="D112" i="30"/>
  <c r="N97" i="30"/>
  <c r="N123" i="30" s="1"/>
  <c r="Q5" i="32" s="1"/>
  <c r="N111" i="30"/>
  <c r="L97" i="30"/>
  <c r="L123" i="30" s="1"/>
  <c r="O5" i="32" s="1"/>
  <c r="L111" i="30"/>
  <c r="J97" i="30"/>
  <c r="J123" i="30" s="1"/>
  <c r="M5" i="32" s="1"/>
  <c r="J111" i="30"/>
  <c r="H97" i="30"/>
  <c r="H123" i="30" s="1"/>
  <c r="K5" i="32" s="1"/>
  <c r="H111" i="30"/>
  <c r="F97" i="30"/>
  <c r="F123" i="30" s="1"/>
  <c r="I5" i="32" s="1"/>
  <c r="F111" i="30"/>
  <c r="D97" i="30"/>
  <c r="D123" i="30" s="1"/>
  <c r="G5" i="32" s="1"/>
  <c r="D111" i="30"/>
  <c r="B35" i="12"/>
  <c r="B33" i="12"/>
  <c r="B87" i="12"/>
  <c r="B92" i="12"/>
  <c r="D16" i="28"/>
  <c r="D24" i="28"/>
  <c r="D15" i="28"/>
  <c r="D25" i="28"/>
  <c r="D23" i="28"/>
  <c r="B34" i="12"/>
  <c r="B85" i="12"/>
  <c r="B18" i="12"/>
  <c r="B60" i="12"/>
  <c r="B58" i="12"/>
  <c r="B56" i="12"/>
  <c r="B55" i="12"/>
  <c r="B52" i="12"/>
  <c r="B42" i="12"/>
  <c r="B38" i="12"/>
  <c r="D103" i="30"/>
  <c r="D129" i="30" s="1"/>
  <c r="G8" i="32" s="1"/>
  <c r="C76" i="30"/>
  <c r="V71" i="30"/>
  <c r="T71" i="30" s="1"/>
  <c r="B45" i="12"/>
  <c r="B41" i="12"/>
  <c r="B39" i="12"/>
  <c r="L57" i="30"/>
  <c r="B20" i="12"/>
  <c r="B59" i="12"/>
  <c r="B57" i="12"/>
  <c r="B53" i="12"/>
  <c r="B51" i="12"/>
  <c r="B37" i="12"/>
  <c r="B19" i="12"/>
  <c r="M95" i="30"/>
  <c r="M121" i="30" s="1"/>
  <c r="P12" i="32" s="1"/>
  <c r="H103" i="30"/>
  <c r="H129" i="30" s="1"/>
  <c r="K8" i="32" s="1"/>
  <c r="F95" i="30"/>
  <c r="F121" i="30" s="1"/>
  <c r="I12" i="32" s="1"/>
  <c r="C104" i="30"/>
  <c r="C130" i="30" s="1"/>
  <c r="F7" i="32" s="1"/>
  <c r="E86" i="12"/>
  <c r="B86" i="12" s="1"/>
  <c r="B89" i="12"/>
  <c r="L56" i="30"/>
  <c r="N56" i="30" s="1"/>
  <c r="C70" i="30"/>
  <c r="L58" i="30"/>
  <c r="L64" i="30"/>
  <c r="H95" i="30"/>
  <c r="H121" i="30" s="1"/>
  <c r="K12" i="32" s="1"/>
  <c r="K101" i="30"/>
  <c r="K127" i="30" s="1"/>
  <c r="N10" i="32" s="1"/>
  <c r="C71" i="30"/>
  <c r="G56" i="30" s="1"/>
  <c r="N95" i="30"/>
  <c r="N121" i="30" s="1"/>
  <c r="Q12" i="32" s="1"/>
  <c r="L95" i="30"/>
  <c r="L121" i="30" s="1"/>
  <c r="O12" i="32" s="1"/>
  <c r="I101" i="30"/>
  <c r="I127" i="30" s="1"/>
  <c r="L10" i="32" s="1"/>
  <c r="C95" i="30"/>
  <c r="C121" i="30" s="1"/>
  <c r="F12" i="32" s="1"/>
  <c r="K95" i="30"/>
  <c r="K121" i="30" s="1"/>
  <c r="N12" i="32" s="1"/>
  <c r="J104" i="30"/>
  <c r="J130" i="30" s="1"/>
  <c r="M7" i="32" s="1"/>
  <c r="I95" i="30"/>
  <c r="I121" i="30" s="1"/>
  <c r="L12" i="32" s="1"/>
  <c r="D102" i="30"/>
  <c r="D128" i="30" s="1"/>
  <c r="G9" i="32" s="1"/>
  <c r="G95" i="30"/>
  <c r="G121" i="30" s="1"/>
  <c r="J12" i="32" s="1"/>
  <c r="N101" i="30"/>
  <c r="N127" i="30" s="1"/>
  <c r="Q10" i="32" s="1"/>
  <c r="I96" i="30"/>
  <c r="I122" i="30" s="1"/>
  <c r="L11" i="32" s="1"/>
  <c r="G96" i="30"/>
  <c r="G122" i="30" s="1"/>
  <c r="J11" i="32" s="1"/>
  <c r="E96" i="30"/>
  <c r="E122" i="30" s="1"/>
  <c r="H11" i="32" s="1"/>
  <c r="D101" i="30"/>
  <c r="D127" i="30" s="1"/>
  <c r="G10" i="32" s="1"/>
  <c r="C3" i="30"/>
  <c r="M101" i="30"/>
  <c r="M127" i="30" s="1"/>
  <c r="P10" i="32" s="1"/>
  <c r="D17" i="28"/>
  <c r="H104" i="30"/>
  <c r="H130" i="30" s="1"/>
  <c r="K7" i="32" s="1"/>
  <c r="G101" i="30"/>
  <c r="G127" i="30" s="1"/>
  <c r="J10" i="32" s="1"/>
  <c r="L102" i="30"/>
  <c r="L128" i="30" s="1"/>
  <c r="O9" i="32" s="1"/>
  <c r="H101" i="30"/>
  <c r="H127" i="30" s="1"/>
  <c r="K10" i="32" s="1"/>
  <c r="E104" i="30"/>
  <c r="E130" i="30" s="1"/>
  <c r="H7" i="32" s="1"/>
  <c r="L101" i="30"/>
  <c r="L127" i="30" s="1"/>
  <c r="O10" i="32" s="1"/>
  <c r="J101" i="30"/>
  <c r="J127" i="30" s="1"/>
  <c r="M10" i="32" s="1"/>
  <c r="C96" i="30"/>
  <c r="C122" i="30" s="1"/>
  <c r="F11" i="32" s="1"/>
  <c r="H96" i="30"/>
  <c r="H122" i="30" s="1"/>
  <c r="K11" i="32" s="1"/>
  <c r="P71" i="30"/>
  <c r="N71" i="30" s="1"/>
  <c r="J95" i="30"/>
  <c r="J121" i="30" s="1"/>
  <c r="M12" i="32" s="1"/>
  <c r="K96" i="30"/>
  <c r="K122" i="30" s="1"/>
  <c r="N11" i="32" s="1"/>
  <c r="E101" i="30"/>
  <c r="E127" i="30" s="1"/>
  <c r="H10" i="32" s="1"/>
  <c r="D104" i="30"/>
  <c r="D130" i="30" s="1"/>
  <c r="G7" i="32" s="1"/>
  <c r="D95" i="30"/>
  <c r="D121" i="30" s="1"/>
  <c r="G12" i="32" s="1"/>
  <c r="C101" i="30"/>
  <c r="C127" i="30" s="1"/>
  <c r="F10" i="32" s="1"/>
  <c r="N96" i="30"/>
  <c r="N122" i="30" s="1"/>
  <c r="Q11" i="32" s="1"/>
  <c r="F96" i="30"/>
  <c r="F122" i="30" s="1"/>
  <c r="I11" i="32" s="1"/>
  <c r="D96" i="30"/>
  <c r="D122" i="30" s="1"/>
  <c r="G11" i="32" s="1"/>
  <c r="D18" i="28"/>
  <c r="F104" i="30"/>
  <c r="F130" i="30" s="1"/>
  <c r="I7" i="32" s="1"/>
  <c r="L104" i="30"/>
  <c r="L130" i="30" s="1"/>
  <c r="O7" i="32" s="1"/>
  <c r="E95" i="30"/>
  <c r="E121" i="30" s="1"/>
  <c r="H12" i="32" s="1"/>
  <c r="L55" i="30"/>
  <c r="N55" i="30" s="1"/>
  <c r="F13" i="30"/>
  <c r="H102" i="30"/>
  <c r="H128" i="30" s="1"/>
  <c r="K9" i="32" s="1"/>
  <c r="L96" i="30"/>
  <c r="L122" i="30" s="1"/>
  <c r="O11" i="32" s="1"/>
  <c r="J96" i="30"/>
  <c r="J122" i="30" s="1"/>
  <c r="M11" i="32" s="1"/>
  <c r="M96" i="30"/>
  <c r="M122" i="30" s="1"/>
  <c r="P11" i="32" s="1"/>
  <c r="V70" i="30" l="1"/>
  <c r="T70" i="30" s="1"/>
  <c r="C7" i="32"/>
  <c r="E7" i="32" s="1"/>
  <c r="C10" i="32"/>
  <c r="E10" i="32" s="1"/>
  <c r="C5" i="32"/>
  <c r="E5" i="32" s="1"/>
  <c r="C6" i="32"/>
  <c r="E6" i="32" s="1"/>
  <c r="C12" i="32"/>
  <c r="C9" i="32"/>
  <c r="E9" i="32" s="1"/>
  <c r="C8" i="32"/>
  <c r="E8" i="32" s="1"/>
  <c r="C11" i="32"/>
  <c r="J70" i="30"/>
  <c r="H70" i="30" s="1"/>
  <c r="H71" i="30"/>
  <c r="L63" i="30"/>
  <c r="L65" i="30" s="1"/>
  <c r="N65" i="30" s="1"/>
  <c r="G61" i="30"/>
  <c r="N58" i="30"/>
  <c r="G55" i="30"/>
  <c r="N57" i="30"/>
  <c r="N64" i="30"/>
  <c r="C80" i="30"/>
  <c r="G65" i="30" s="1"/>
  <c r="F105" i="30"/>
  <c r="F131" i="30" s="1"/>
  <c r="I105" i="30"/>
  <c r="I131" i="30" s="1"/>
  <c r="K105" i="30"/>
  <c r="K131" i="30" s="1"/>
  <c r="N105" i="30"/>
  <c r="N131" i="30" s="1"/>
  <c r="M105" i="30"/>
  <c r="M131" i="30" s="1"/>
  <c r="L105" i="30"/>
  <c r="L131" i="30" s="1"/>
  <c r="G105" i="30"/>
  <c r="G131" i="30" s="1"/>
  <c r="D105" i="30"/>
  <c r="D131" i="30" s="1"/>
  <c r="C105" i="30"/>
  <c r="C131" i="30" s="1"/>
  <c r="J105" i="30"/>
  <c r="J131" i="30" s="1"/>
  <c r="C36" i="30"/>
  <c r="F36" i="30" s="1"/>
  <c r="C20" i="30"/>
  <c r="F20" i="30" s="1"/>
  <c r="C30" i="30"/>
  <c r="F30" i="30" s="1"/>
  <c r="C35" i="30"/>
  <c r="F35" i="30" s="1"/>
  <c r="C33" i="30"/>
  <c r="F33" i="30" s="1"/>
  <c r="C17" i="30"/>
  <c r="F17" i="30" s="1"/>
  <c r="C28" i="30"/>
  <c r="F28" i="30" s="1"/>
  <c r="C46" i="30"/>
  <c r="F46" i="30" s="1"/>
  <c r="C16" i="30"/>
  <c r="F16" i="30" s="1"/>
  <c r="C34" i="30"/>
  <c r="F34" i="30" s="1"/>
  <c r="C27" i="30"/>
  <c r="F27" i="30" s="1"/>
  <c r="C7" i="30"/>
  <c r="F7" i="30" s="1"/>
  <c r="C37" i="30"/>
  <c r="F37" i="30" s="1"/>
  <c r="C25" i="30"/>
  <c r="F25" i="30" s="1"/>
  <c r="D29" i="28"/>
  <c r="C18" i="30"/>
  <c r="F18" i="30" s="1"/>
  <c r="C26" i="30"/>
  <c r="F26" i="30" s="1"/>
  <c r="C24" i="30"/>
  <c r="F24" i="30" s="1"/>
  <c r="C171" i="30" s="1"/>
  <c r="C170" i="30" s="1"/>
  <c r="C45" i="30"/>
  <c r="F45" i="30" s="1"/>
  <c r="C6" i="30"/>
  <c r="F6" i="30" s="1"/>
  <c r="C14" i="30"/>
  <c r="F14" i="30" s="1"/>
  <c r="C154" i="30" s="1"/>
  <c r="C153" i="30" s="1"/>
  <c r="C5" i="30"/>
  <c r="C15" i="30"/>
  <c r="F15" i="30" s="1"/>
  <c r="P70" i="30"/>
  <c r="N70" i="30" s="1"/>
  <c r="H105" i="30"/>
  <c r="H131" i="30" s="1"/>
  <c r="E105" i="30"/>
  <c r="E131" i="30" s="1"/>
  <c r="D7" i="32" l="1"/>
  <c r="C157" i="30"/>
  <c r="C156" i="30" s="1"/>
  <c r="C174" i="30"/>
  <c r="C172" i="30" s="1"/>
  <c r="C160" i="30"/>
  <c r="C159" i="30" s="1"/>
  <c r="C177" i="30"/>
  <c r="C178" i="30" s="1"/>
  <c r="I53" i="28"/>
  <c r="I58" i="28"/>
  <c r="H53" i="28"/>
  <c r="H58" i="28"/>
  <c r="D22" i="28"/>
  <c r="C164" i="30" s="1"/>
  <c r="B149" i="30"/>
  <c r="C182" i="30" s="1"/>
  <c r="D159" i="30"/>
  <c r="D166" i="30"/>
  <c r="D167" i="30"/>
  <c r="D184" i="30"/>
  <c r="D176" i="30"/>
  <c r="D183" i="30"/>
  <c r="E11" i="32"/>
  <c r="E12" i="32" s="1"/>
  <c r="N63" i="30"/>
  <c r="H37" i="30"/>
  <c r="C335" i="30" s="1"/>
  <c r="H33" i="30"/>
  <c r="C331" i="30" s="1"/>
  <c r="C38" i="30"/>
  <c r="F38" i="30" s="1"/>
  <c r="H38" i="30" s="1"/>
  <c r="C336" i="30" s="1"/>
  <c r="H34" i="30"/>
  <c r="C332" i="30" s="1"/>
  <c r="H36" i="30"/>
  <c r="C334" i="30" s="1"/>
  <c r="H35" i="30"/>
  <c r="C333" i="30" s="1"/>
  <c r="F5" i="30"/>
  <c r="D9" i="28"/>
  <c r="C165" i="30" l="1"/>
  <c r="E355" i="30" s="1"/>
  <c r="E358" i="30"/>
  <c r="C181" i="30"/>
  <c r="C155" i="30"/>
  <c r="E356" i="30" s="1"/>
  <c r="C158" i="30"/>
  <c r="C173" i="30"/>
  <c r="C176" i="30"/>
  <c r="H57" i="28"/>
  <c r="C175" i="30"/>
  <c r="I57" i="28"/>
  <c r="C161" i="30"/>
  <c r="E351" i="30"/>
  <c r="C351" i="30" s="1"/>
  <c r="D175" i="30"/>
  <c r="D174" i="30" s="1"/>
  <c r="D177" i="30"/>
  <c r="D158" i="30"/>
  <c r="D157" i="30" s="1"/>
  <c r="D160" i="30"/>
  <c r="E350" i="30" l="1"/>
  <c r="C350" i="30" s="1"/>
  <c r="E357" i="30"/>
  <c r="E359" i="30" s="1"/>
  <c r="D356" i="30" s="1"/>
  <c r="E342" i="30"/>
  <c r="D12" i="32"/>
  <c r="D6" i="32"/>
  <c r="D8" i="32"/>
  <c r="D9" i="32"/>
  <c r="D5" i="32"/>
  <c r="D10" i="32"/>
  <c r="D11" i="32"/>
  <c r="B36" i="12"/>
  <c r="D358" i="30" l="1"/>
  <c r="D357" i="30"/>
  <c r="J13" i="39"/>
</calcChain>
</file>

<file path=xl/comments1.xml><?xml version="1.0" encoding="utf-8"?>
<comments xmlns="http://schemas.openxmlformats.org/spreadsheetml/2006/main">
  <authors>
    <author>Reviewer</author>
  </authors>
  <commentList>
    <comment ref="D5" authorId="0">
      <text>
        <r>
          <rPr>
            <b/>
            <sz val="8"/>
            <color indexed="81"/>
            <rFont val="Tahoma"/>
            <family val="2"/>
          </rPr>
          <t>0 to 360 - 0=North</t>
        </r>
        <r>
          <rPr>
            <sz val="8"/>
            <color indexed="81"/>
            <rFont val="Tahoma"/>
            <family val="2"/>
          </rPr>
          <t xml:space="preserve">
</t>
        </r>
      </text>
    </comment>
    <comment ref="D49" authorId="0">
      <text>
        <r>
          <rPr>
            <sz val="8"/>
            <color indexed="81"/>
            <rFont val="Tahoma"/>
            <family val="2"/>
          </rPr>
          <t>To date this value cannot be changed</t>
        </r>
      </text>
    </comment>
  </commentList>
</comments>
</file>

<file path=xl/comments2.xml><?xml version="1.0" encoding="utf-8"?>
<comments xmlns="http://schemas.openxmlformats.org/spreadsheetml/2006/main">
  <authors>
    <author>Reviewer</author>
  </authors>
  <commentList>
    <comment ref="F59" authorId="0">
      <text>
        <r>
          <rPr>
            <sz val="10"/>
            <color indexed="81"/>
            <rFont val="Tahoma"/>
            <family val="2"/>
          </rPr>
          <t>It is instantaneous fraction of the total zone cooling load that goes to the supply plenum.</t>
        </r>
        <r>
          <rPr>
            <sz val="8"/>
            <color indexed="81"/>
            <rFont val="Tahoma"/>
            <family val="2"/>
          </rPr>
          <t xml:space="preserve">
</t>
        </r>
      </text>
    </comment>
    <comment ref="F60" authorId="0">
      <text>
        <r>
          <rPr>
            <sz val="10"/>
            <color indexed="81"/>
            <rFont val="Tahoma"/>
            <family val="2"/>
          </rPr>
          <t>It is instantaneous fraction of the total zone cooling load that goes to the room.</t>
        </r>
        <r>
          <rPr>
            <sz val="8"/>
            <color indexed="81"/>
            <rFont val="Tahoma"/>
            <family val="2"/>
          </rPr>
          <t xml:space="preserve">
</t>
        </r>
      </text>
    </comment>
    <comment ref="F61" authorId="0">
      <text>
        <r>
          <rPr>
            <sz val="10"/>
            <color indexed="81"/>
            <rFont val="Tahoma"/>
            <family val="2"/>
          </rPr>
          <t>It is instantaneous fraction of the total zone cooling load that goes to the return plenum.</t>
        </r>
        <r>
          <rPr>
            <sz val="8"/>
            <color indexed="81"/>
            <rFont val="Tahoma"/>
            <family val="2"/>
          </rPr>
          <t xml:space="preserve">
</t>
        </r>
      </text>
    </comment>
  </commentList>
</comments>
</file>

<file path=xl/comments3.xml><?xml version="1.0" encoding="utf-8"?>
<comments xmlns="http://schemas.openxmlformats.org/spreadsheetml/2006/main">
  <authors>
    <author>Reviewer</author>
  </authors>
  <commentList>
    <comment ref="I35" authorId="0">
      <text>
        <r>
          <rPr>
            <sz val="10"/>
            <color indexed="81"/>
            <rFont val="Tahoma"/>
            <family val="2"/>
          </rPr>
          <t>Supply Plenum Fraction: it is the fraction of the total zone design day peak cooling load that goes to the supply plenum.</t>
        </r>
        <r>
          <rPr>
            <sz val="8"/>
            <color indexed="81"/>
            <rFont val="Tahoma"/>
            <family val="2"/>
          </rPr>
          <t xml:space="preserve">
</t>
        </r>
      </text>
    </comment>
    <comment ref="J35" authorId="0">
      <text>
        <r>
          <rPr>
            <sz val="10"/>
            <color indexed="81"/>
            <rFont val="Tahoma"/>
            <family val="2"/>
          </rPr>
          <t>Room Fraction: it is the fraction of the total zone design day peak cooling load that goes to the room.</t>
        </r>
        <r>
          <rPr>
            <sz val="8"/>
            <color indexed="81"/>
            <rFont val="Tahoma"/>
            <family val="2"/>
          </rPr>
          <t xml:space="preserve">
</t>
        </r>
      </text>
    </comment>
    <comment ref="K35" authorId="0">
      <text>
        <r>
          <rPr>
            <sz val="10"/>
            <color indexed="81"/>
            <rFont val="Tahoma"/>
            <family val="2"/>
          </rPr>
          <t>Return Plenum Fraction: it is the fraction of the total zone design day peak cooling load that goes to the return plenum.</t>
        </r>
      </text>
    </comment>
  </commentList>
</comments>
</file>

<file path=xl/comments4.xml><?xml version="1.0" encoding="utf-8"?>
<comments xmlns="http://schemas.openxmlformats.org/spreadsheetml/2006/main">
  <authors>
    <author>thoyt</author>
  </authors>
  <commentList>
    <comment ref="C14" authorId="0">
      <text>
        <r>
          <rPr>
            <b/>
            <sz val="9"/>
            <color indexed="81"/>
            <rFont val="Tahoma"/>
            <family val="2"/>
          </rPr>
          <t>thoyt:</t>
        </r>
        <r>
          <rPr>
            <sz val="9"/>
            <color indexed="81"/>
            <rFont val="Tahoma"/>
            <family val="2"/>
          </rPr>
          <t xml:space="preserve">
This may be changed for special diffusers</t>
        </r>
      </text>
    </comment>
    <comment ref="C17" authorId="0">
      <text>
        <r>
          <rPr>
            <b/>
            <sz val="9"/>
            <color indexed="81"/>
            <rFont val="Tahoma"/>
            <family val="2"/>
          </rPr>
          <t>thoyt:</t>
        </r>
        <r>
          <rPr>
            <sz val="9"/>
            <color indexed="81"/>
            <rFont val="Tahoma"/>
            <family val="2"/>
          </rPr>
          <t xml:space="preserve">
Phi is constant, so numdiffs is not required</t>
        </r>
      </text>
    </comment>
  </commentList>
</comments>
</file>

<file path=xl/sharedStrings.xml><?xml version="1.0" encoding="utf-8"?>
<sst xmlns="http://schemas.openxmlformats.org/spreadsheetml/2006/main" count="5386" uniqueCount="2990">
  <si>
    <t>Non_N_Nothing[]</t>
  </si>
  <si>
    <t>N_Nothing[]</t>
  </si>
  <si>
    <t>None</t>
  </si>
  <si>
    <t>Supply Plenum</t>
  </si>
  <si>
    <t>Supply_Plenum[]</t>
  </si>
  <si>
    <t>Window_Height_TF[]</t>
  </si>
  <si>
    <t>weather data</t>
  </si>
  <si>
    <t>San_Francisco</t>
  </si>
  <si>
    <t>Los_Angeles</t>
  </si>
  <si>
    <t>Sacramento</t>
  </si>
  <si>
    <t>Window_Height_GF[]</t>
  </si>
  <si>
    <t>Window_Height_MF[]</t>
  </si>
  <si>
    <t>AHU Supply Air Temperature</t>
  </si>
  <si>
    <t>AHU_Design_SP[]</t>
  </si>
  <si>
    <t>iwc</t>
  </si>
  <si>
    <t>Pa</t>
  </si>
  <si>
    <t>AHU Design Static Pressure</t>
  </si>
  <si>
    <t>Window to Wall Ratio</t>
  </si>
  <si>
    <t>Non_N_Solar_Transmittance[]</t>
  </si>
  <si>
    <t>N_Solar_Transmittance[]</t>
  </si>
  <si>
    <t>Non_N</t>
  </si>
  <si>
    <t>Transmittance</t>
  </si>
  <si>
    <t>WWR</t>
  </si>
  <si>
    <t>autocalculate</t>
  </si>
  <si>
    <t>no</t>
  </si>
  <si>
    <t>Date/Time</t>
  </si>
  <si>
    <t>Environment:Outdoor Dry Bulb [C](Hourly)</t>
  </si>
  <si>
    <t>Interior Zone Reheat</t>
  </si>
  <si>
    <t>OSA_Min_Flow[]</t>
  </si>
  <si>
    <t>cfm/sf</t>
  </si>
  <si>
    <t>Weather_Location[]</t>
  </si>
  <si>
    <t>TFCore ATU OUTLET NODE:System Node Temp[C](hourly)</t>
  </si>
  <si>
    <t xml:space="preserve"> 01/05  09:00:00</t>
  </si>
  <si>
    <t xml:space="preserve"> 01/05  10:00:00</t>
  </si>
  <si>
    <t xml:space="preserve"> 01/05  11:00:00</t>
  </si>
  <si>
    <t xml:space="preserve"> 01/05  12:00:00</t>
  </si>
  <si>
    <t xml:space="preserve"> 01/05  13:00:00</t>
  </si>
  <si>
    <t xml:space="preserve"> 01/05  14:00:00</t>
  </si>
  <si>
    <t xml:space="preserve"> 01/05  15:00:00</t>
  </si>
  <si>
    <t xml:space="preserve"> 01/05  16:00:00</t>
  </si>
  <si>
    <t xml:space="preserve"> 01/05  17:00:00</t>
  </si>
  <si>
    <t xml:space="preserve"> 01/05  18:00:00</t>
  </si>
  <si>
    <t xml:space="preserve"> 01/05  19:00:00</t>
  </si>
  <si>
    <t xml:space="preserve"> 01/05  20:00:00</t>
  </si>
  <si>
    <t xml:space="preserve"> 01/05  21:00:00</t>
  </si>
  <si>
    <t xml:space="preserve"> 01/05  22:00:00</t>
  </si>
  <si>
    <t xml:space="preserve"> 01/05  23:00:00</t>
  </si>
  <si>
    <t xml:space="preserve"> 01/05  24:00:00</t>
  </si>
  <si>
    <t xml:space="preserve"> 01/06  01:00:00</t>
  </si>
  <si>
    <t xml:space="preserve"> 01/06  02:00:00</t>
  </si>
  <si>
    <t xml:space="preserve"> 01/06  03:00:00</t>
  </si>
  <si>
    <t xml:space="preserve"> 01/06  04:00:00</t>
  </si>
  <si>
    <t xml:space="preserve"> 01/06  05:00:00</t>
  </si>
  <si>
    <t xml:space="preserve"> 01/06  06:00:00</t>
  </si>
  <si>
    <t xml:space="preserve"> 01/06  07:00:00</t>
  </si>
  <si>
    <t xml:space="preserve"> 01/06  08:00:00</t>
  </si>
  <si>
    <t xml:space="preserve"> 01/06  09:00:00</t>
  </si>
  <si>
    <t xml:space="preserve"> 01/06  10:00:00</t>
  </si>
  <si>
    <t xml:space="preserve"> 01/06  11:00:00</t>
  </si>
  <si>
    <t xml:space="preserve"> 01/06  12:00:00</t>
  </si>
  <si>
    <t xml:space="preserve"> 01/06  13:00:00</t>
  </si>
  <si>
    <t xml:space="preserve"> 01/06  14:00:00</t>
  </si>
  <si>
    <t xml:space="preserve"> 01/06  15:00:00</t>
  </si>
  <si>
    <t xml:space="preserve"> 01/06  16:00:00</t>
  </si>
  <si>
    <t xml:space="preserve"> 01/06  17:00:00</t>
  </si>
  <si>
    <t>AHU_SAT_SPT_Cool[]</t>
  </si>
  <si>
    <t>INTReheat_Coil_ONOFF[]</t>
  </si>
  <si>
    <t>Airside load</t>
  </si>
  <si>
    <t>Coil rate</t>
  </si>
  <si>
    <t>Btuh/sf</t>
  </si>
  <si>
    <t>Month</t>
  </si>
  <si>
    <t>Day</t>
  </si>
  <si>
    <t>GFCore</t>
  </si>
  <si>
    <t>GFEast</t>
  </si>
  <si>
    <t>GFWest</t>
  </si>
  <si>
    <t>Start</t>
  </si>
  <si>
    <t>Area</t>
  </si>
  <si>
    <t>Total Energy Usage [J] (Annual)</t>
  </si>
  <si>
    <t>Total HVAC Usage [J] (Annual)</t>
  </si>
  <si>
    <t>Total Interior Lighting [J] (Annual)</t>
  </si>
  <si>
    <t>Total Interior Equipment [J] (Annual)</t>
  </si>
  <si>
    <t>Annual</t>
  </si>
  <si>
    <t>Monthly</t>
  </si>
  <si>
    <t>OH EUI</t>
  </si>
  <si>
    <t>UFAD_Int_CoeffB[]</t>
  </si>
  <si>
    <t>Perimeter Zone</t>
  </si>
  <si>
    <t>Name</t>
  </si>
  <si>
    <t>Perimeter Zones</t>
  </si>
  <si>
    <t>Row</t>
  </si>
  <si>
    <t>F</t>
  </si>
  <si>
    <t>Zone</t>
  </si>
  <si>
    <t>OA DB Temp</t>
  </si>
  <si>
    <t>SP</t>
  </si>
  <si>
    <t>RP</t>
  </si>
  <si>
    <t>Supply Plenum Avg Temp</t>
  </si>
  <si>
    <t>Room Avg Temp</t>
  </si>
  <si>
    <t>Return Plenum Avg Temp</t>
  </si>
  <si>
    <t>Supply Air Temp</t>
  </si>
  <si>
    <t>Interior Zone</t>
  </si>
  <si>
    <t>Interior Zones</t>
  </si>
  <si>
    <t>graph point</t>
  </si>
  <si>
    <t>Return Air Temperature</t>
  </si>
  <si>
    <t>Return Plenum Air Temperarture</t>
  </si>
  <si>
    <t>Return Grille Temperature</t>
  </si>
  <si>
    <t>TFCORE:UF Occupied Subzone Temperature[C](Hourly)</t>
  </si>
  <si>
    <t>Perim</t>
  </si>
  <si>
    <t>Int</t>
  </si>
  <si>
    <t>m3/s</t>
  </si>
  <si>
    <t>cfm</t>
  </si>
  <si>
    <t xml:space="preserve"> 01/04  01:00:00</t>
  </si>
  <si>
    <t xml:space="preserve"> 01/04  02:00:00</t>
  </si>
  <si>
    <t xml:space="preserve"> 01/04  03:00:00</t>
  </si>
  <si>
    <t xml:space="preserve"> 01/04  04:00:00</t>
  </si>
  <si>
    <t xml:space="preserve"> 01/04  05:00:00</t>
  </si>
  <si>
    <t xml:space="preserve"> 01/04  06:00:00</t>
  </si>
  <si>
    <t xml:space="preserve"> 01/04  07:00:00</t>
  </si>
  <si>
    <t xml:space="preserve"> 01/04  08:00:00</t>
  </si>
  <si>
    <t xml:space="preserve"> 01/04  09:00:00</t>
  </si>
  <si>
    <t xml:space="preserve"> 01/04  10:00:00</t>
  </si>
  <si>
    <t xml:space="preserve"> 01/04  11:00:00</t>
  </si>
  <si>
    <t xml:space="preserve"> 01/04  12:00:00</t>
  </si>
  <si>
    <t xml:space="preserve"> 01/04  13:00:00</t>
  </si>
  <si>
    <t xml:space="preserve"> 01/04  14:00:00</t>
  </si>
  <si>
    <t xml:space="preserve"> 01/04  15:00:00</t>
  </si>
  <si>
    <t xml:space="preserve"> 01/04  16:00:00</t>
  </si>
  <si>
    <t xml:space="preserve"> 01/04  17:00:00</t>
  </si>
  <si>
    <t xml:space="preserve"> 01/04  18:00:00</t>
  </si>
  <si>
    <t xml:space="preserve"> 01/04  19:00:00</t>
  </si>
  <si>
    <t xml:space="preserve"> 01/04  20:00:00</t>
  </si>
  <si>
    <t xml:space="preserve"> 01/04  21:00:00</t>
  </si>
  <si>
    <t xml:space="preserve"> 01/04  22:00:00</t>
  </si>
  <si>
    <t>InteriorLights:Electricity [J](Monthly)</t>
  </si>
  <si>
    <t>InteriorEquipment:Electricity [J](Monthly)</t>
  </si>
  <si>
    <t>Electricity:Building [J](Monthly)</t>
  </si>
  <si>
    <t>Fans:Electricity [J](Monthly)</t>
  </si>
  <si>
    <t>Pumps:Electricity [J](Monthly)</t>
  </si>
  <si>
    <t>Cooling:Electricity [J](Monthly)</t>
  </si>
  <si>
    <t>Gas:Facility [J](Monthly)</t>
  </si>
  <si>
    <t>Electricity:Plant [J](Monthly)</t>
  </si>
  <si>
    <t>J</t>
  </si>
  <si>
    <t>Total Energy Usage [J] (Monthly)</t>
  </si>
  <si>
    <t>Total HVAC Usage [J] (Monthly)</t>
  </si>
  <si>
    <t>Total Interior Lighting [J] (Monthly)</t>
  </si>
  <si>
    <t>Total Interior Equipment [J] (Monthly)</t>
  </si>
  <si>
    <t>UFAD_Int_CoeffC[]</t>
  </si>
  <si>
    <t>UFAD_Int_CoeffD[]</t>
  </si>
  <si>
    <t>UFAD_Int_CoeffE[]</t>
  </si>
  <si>
    <t>Coefficient D</t>
  </si>
  <si>
    <t>Coefficient E</t>
  </si>
  <si>
    <t>0.00000</t>
  </si>
  <si>
    <t>0.00</t>
  </si>
  <si>
    <t>0.000</t>
  </si>
  <si>
    <t>0.0000</t>
  </si>
  <si>
    <t>Total Bldg</t>
  </si>
  <si>
    <t>Total HVAC</t>
  </si>
  <si>
    <t>Test Chamber Air Temperatrure-upper (mixed)</t>
  </si>
  <si>
    <t>Window Shading ON or OFF</t>
  </si>
  <si>
    <t>Window_Shading[]</t>
  </si>
  <si>
    <t>%</t>
  </si>
  <si>
    <t>INT/PER #1</t>
  </si>
  <si>
    <t>INT/PER #2</t>
  </si>
  <si>
    <t>INT/PER #3</t>
  </si>
  <si>
    <t>0.0</t>
  </si>
  <si>
    <t xml:space="preserve"> 01/10  14:00:00</t>
  </si>
  <si>
    <t xml:space="preserve"> 01/10  15:00:00</t>
  </si>
  <si>
    <t xml:space="preserve"> 01/10  16:00:00</t>
  </si>
  <si>
    <t xml:space="preserve"> 01/10  17:00:00</t>
  </si>
  <si>
    <t xml:space="preserve"> 01/10  18:00:00</t>
  </si>
  <si>
    <t xml:space="preserve"> 01/10  19:00:00</t>
  </si>
  <si>
    <t xml:space="preserve"> 01/10  20:00:00</t>
  </si>
  <si>
    <t xml:space="preserve"> 01/10  21:00:00</t>
  </si>
  <si>
    <t xml:space="preserve"> 01/10  22:00:00</t>
  </si>
  <si>
    <t xml:space="preserve"> 01/10  23:00:00</t>
  </si>
  <si>
    <t>AHU_SAT_SPT[]</t>
  </si>
  <si>
    <t>Electricity:Facility [J](RunPeriod)</t>
  </si>
  <si>
    <t>Average</t>
  </si>
  <si>
    <t>Air Flow Rate</t>
  </si>
  <si>
    <t>Set Point Temperature</t>
  </si>
  <si>
    <t>ZONE NODE:System Node Setpoint Temp[C](Hourly)</t>
  </si>
  <si>
    <t>Setpoint Temperature</t>
  </si>
  <si>
    <t>Electricity:Facility [Btu/sf](Monthly)</t>
  </si>
  <si>
    <t>InteriorLights:Electricity [kBtu/sf](Monthly)</t>
  </si>
  <si>
    <t>InteriorEquipment:Electricity [kBtu/sf](Monthly)</t>
  </si>
  <si>
    <t>Electricity:Building [kBtu/sf](Monthly)</t>
  </si>
  <si>
    <t>Fans:Electricity [kBtu/sf](Monthly)</t>
  </si>
  <si>
    <t>Pumps:Electricity [kBtu/sf](Monthly)</t>
  </si>
  <si>
    <t>Cooling:Electricity [kBtu/sf](Monthly)</t>
  </si>
  <si>
    <t>Electricity:Plant [kBtu/sf](Monthly)</t>
  </si>
  <si>
    <t xml:space="preserve">Electricity:HVAC [kBtu/sf](Monthly) </t>
  </si>
  <si>
    <t>Gas:Facility [kBtu/sf](Monthly)</t>
  </si>
  <si>
    <t>Total Energy Usage [kBtu/sf] (Monthly)</t>
  </si>
  <si>
    <t>jump to sheet:</t>
  </si>
  <si>
    <t>Eplus Input File Version</t>
  </si>
  <si>
    <t>Parameter Text</t>
  </si>
  <si>
    <t>PARAMETERS START</t>
  </si>
  <si>
    <t>PARAMETERS END</t>
  </si>
  <si>
    <t>Value</t>
  </si>
  <si>
    <t>Units</t>
  </si>
  <si>
    <t>copy/paste text below into .imf file</t>
  </si>
  <si>
    <t>UFAD Diffuser Types</t>
  </si>
  <si>
    <t>imf input text</t>
  </si>
  <si>
    <t>MIXED</t>
  </si>
  <si>
    <t>DV</t>
  </si>
  <si>
    <t>UFAD</t>
  </si>
  <si>
    <t>Format</t>
  </si>
  <si>
    <t>EnergyPlus Path</t>
  </si>
  <si>
    <t>Run</t>
  </si>
  <si>
    <t>Parameters Path</t>
  </si>
  <si>
    <t>OH</t>
  </si>
  <si>
    <t>UF</t>
  </si>
  <si>
    <t>RunType[]</t>
  </si>
  <si>
    <t>0</t>
  </si>
  <si>
    <t>-</t>
  </si>
  <si>
    <t>Whole_Bldg</t>
  </si>
  <si>
    <t>StartMonth[]</t>
  </si>
  <si>
    <t>StartDay[]</t>
  </si>
  <si>
    <t>EndMonth[]</t>
  </si>
  <si>
    <t>EndDay[]</t>
  </si>
  <si>
    <t>UFAD_PowerPerPlume[]</t>
  </si>
  <si>
    <t>UFAD_DiffEffectiveArea[]</t>
  </si>
  <si>
    <t>UFAD_DiffSlotAngle[]</t>
  </si>
  <si>
    <t>UFAD_TStatHeight[]</t>
  </si>
  <si>
    <t>UFAD_ComfortHeight[]</t>
  </si>
  <si>
    <t>UFAD_TempDiffReporting[]</t>
  </si>
  <si>
    <t>UFAD_DiffType[]</t>
  </si>
  <si>
    <t>UFAD_TransitionHeight[]</t>
  </si>
  <si>
    <t>UFAD_CoeffA[]</t>
  </si>
  <si>
    <t>UFAD_CoeffB[]</t>
  </si>
  <si>
    <t>UFAD_CoeffC[]</t>
  </si>
  <si>
    <t>UFAD_CoeffD[]</t>
  </si>
  <si>
    <t>UFAD_CoeffE[]</t>
  </si>
  <si>
    <t>Power Per Plume</t>
  </si>
  <si>
    <t>W</t>
  </si>
  <si>
    <t>m2</t>
  </si>
  <si>
    <t>deg</t>
  </si>
  <si>
    <t>Thermostat Height</t>
  </si>
  <si>
    <t>m</t>
  </si>
  <si>
    <t>Comfort Measurement Height</t>
  </si>
  <si>
    <t>Temp. Difference Threshold for Reporting</t>
  </si>
  <si>
    <t>C</t>
  </si>
  <si>
    <t>Diffuser Type</t>
  </si>
  <si>
    <t>User Specified Transition Height</t>
  </si>
  <si>
    <t>Coefficient A in the formula Kc = A*Gamma**B + C + D*Gamma + E*Gamma**2</t>
  </si>
  <si>
    <t>Coefficient B</t>
  </si>
  <si>
    <t>Coefficient C</t>
  </si>
  <si>
    <t>Fan and pump</t>
  </si>
  <si>
    <t>RunType</t>
  </si>
  <si>
    <t>Location</t>
  </si>
  <si>
    <t>CEUS</t>
  </si>
  <si>
    <t>Test Chamber Air Temperatrure-lower (mixed)</t>
  </si>
  <si>
    <t>Test Chamber Air Temperatrure-floor (mixed)</t>
  </si>
  <si>
    <t>Supply Diffuser Temperature</t>
  </si>
  <si>
    <t>Supply Plenum Air Temperature</t>
  </si>
  <si>
    <t>Supply Air Temperature</t>
  </si>
  <si>
    <t>UF Transition Height [m](Hourly)</t>
  </si>
  <si>
    <t>UFAD Upper Zone Temp</t>
  </si>
  <si>
    <t>UFAD Lower Zone Temp</t>
  </si>
  <si>
    <t>UFAD Transition Height</t>
  </si>
  <si>
    <t>in</t>
  </si>
  <si>
    <t>Temp</t>
  </si>
  <si>
    <t>[F]</t>
  </si>
  <si>
    <t>Height</t>
  </si>
  <si>
    <t>[in]</t>
  </si>
  <si>
    <t>Transition Height Data</t>
  </si>
  <si>
    <t xml:space="preserve"> 01/08  16:00:00</t>
  </si>
  <si>
    <t xml:space="preserve"> 01/08  17:00:00</t>
  </si>
  <si>
    <t xml:space="preserve"> 01/08  18:00:00</t>
  </si>
  <si>
    <t xml:space="preserve"> 01/08  19:00:00</t>
  </si>
  <si>
    <t xml:space="preserve"> 01/08  20:00:00</t>
  </si>
  <si>
    <t xml:space="preserve"> 01/08  21:00:00</t>
  </si>
  <si>
    <t xml:space="preserve"> 01/08  22:00:00</t>
  </si>
  <si>
    <t xml:space="preserve"> 01/08  23:00:00</t>
  </si>
  <si>
    <t xml:space="preserve"> 01/08  24:00:00</t>
  </si>
  <si>
    <t xml:space="preserve"> 01/09  01:00:00</t>
  </si>
  <si>
    <t xml:space="preserve"> 01/09  02:00:00</t>
  </si>
  <si>
    <t xml:space="preserve"> 01/09  03:00:00</t>
  </si>
  <si>
    <t xml:space="preserve"> 01/09  04:00:00</t>
  </si>
  <si>
    <t xml:space="preserve"> 01/09  05:00:00</t>
  </si>
  <si>
    <t xml:space="preserve"> 01/09  06:00:00</t>
  </si>
  <si>
    <t xml:space="preserve"> 01/09  07:00:00</t>
  </si>
  <si>
    <t xml:space="preserve"> 01/09  08:00:00</t>
  </si>
  <si>
    <t xml:space="preserve"> 01/09  09:00:00</t>
  </si>
  <si>
    <t xml:space="preserve"> 01/09  10:00:00</t>
  </si>
  <si>
    <t xml:space="preserve"> 01/09  11:00:00</t>
  </si>
  <si>
    <t xml:space="preserve"> 01/09  12:00:00</t>
  </si>
  <si>
    <t xml:space="preserve"> 01/09  13:00:00</t>
  </si>
  <si>
    <t xml:space="preserve"> 01/09  14:00:00</t>
  </si>
  <si>
    <t xml:space="preserve"> 01/09  15:00:00</t>
  </si>
  <si>
    <t xml:space="preserve"> 01/09  16:00:00</t>
  </si>
  <si>
    <t xml:space="preserve"> 01/09  17:00:00</t>
  </si>
  <si>
    <t xml:space="preserve"> 01/09  18:00:00</t>
  </si>
  <si>
    <t xml:space="preserve"> 01/09  19:00:00</t>
  </si>
  <si>
    <t xml:space="preserve"> 01/09  20:00:00</t>
  </si>
  <si>
    <t xml:space="preserve"> 01/09  21:00:00</t>
  </si>
  <si>
    <t xml:space="preserve"> 01/09  22:00:00</t>
  </si>
  <si>
    <t xml:space="preserve"> 01/09  23:00:00</t>
  </si>
  <si>
    <t xml:space="preserve"> 01/09  24:00:00</t>
  </si>
  <si>
    <t xml:space="preserve"> 01/10  01:00:00</t>
  </si>
  <si>
    <t xml:space="preserve"> 01/10  02:00:00</t>
  </si>
  <si>
    <t xml:space="preserve"> 01/10  03:00:00</t>
  </si>
  <si>
    <t xml:space="preserve"> 01/10  04:00:00</t>
  </si>
  <si>
    <t xml:space="preserve"> 01/10  05:00:00</t>
  </si>
  <si>
    <t xml:space="preserve"> 01/10  06:00:00</t>
  </si>
  <si>
    <t xml:space="preserve"> 01/10  07:00:00</t>
  </si>
  <si>
    <t xml:space="preserve"> 01/10  08:00:00</t>
  </si>
  <si>
    <t xml:space="preserve"> 01/10  09:00:00</t>
  </si>
  <si>
    <t xml:space="preserve"> 01/10  10:00:00</t>
  </si>
  <si>
    <t xml:space="preserve"> 01/10  11:00:00</t>
  </si>
  <si>
    <t xml:space="preserve"> 01/10  12:00:00</t>
  </si>
  <si>
    <t xml:space="preserve"> 01/10  13:00:00</t>
  </si>
  <si>
    <t>Thermal Decay</t>
  </si>
  <si>
    <t>EAST ATU INLET NODE:System Node Temp[C](Hourly)</t>
  </si>
  <si>
    <t>WEST ATU INLET NODE:System Node Temp[C](Hourly)</t>
  </si>
  <si>
    <t>SOUTH ATU INLET NODE:System Node Temp[C](Hourly)</t>
  </si>
  <si>
    <t>NORTH ATU INLET NODE:System Node Temp[C](Hourly)</t>
  </si>
  <si>
    <t>CORE ATU INLET NODE:System Node Temp[C](Hourly)</t>
  </si>
  <si>
    <t>Decay</t>
  </si>
  <si>
    <t>East ATU Inlet Temperature</t>
  </si>
  <si>
    <t>West ATU Inlet Temperature</t>
  </si>
  <si>
    <t>South ATU Inlet Temperature</t>
  </si>
  <si>
    <t>North ATU Inlet Temperature</t>
  </si>
  <si>
    <t>Core ATU Inlet Temperature</t>
  </si>
  <si>
    <t>InteriorLights:Electricity [J](RunPeriod)</t>
  </si>
  <si>
    <t>TFCORE ATU OUTLET NODE:System Node VolFlowRate[m3/s](Hourly)</t>
  </si>
  <si>
    <t>Electricity:Facility [J](Monthly)</t>
  </si>
  <si>
    <t>InteriorEquipment:Electricity [J](RunPeriod)</t>
  </si>
  <si>
    <t>Electricity:Building [J](RunPeriod)</t>
  </si>
  <si>
    <t>Fans:Electricity [J](RunPeriod)</t>
  </si>
  <si>
    <t>Pumps:Electricity [J](RunPeriod)</t>
  </si>
  <si>
    <t>Cooling:Electricity [J](RunPeriod)</t>
  </si>
  <si>
    <t>Gas:Facility [J](RunPeriod)</t>
  </si>
  <si>
    <t>Electricity:Plant [J](RunPeriod)</t>
  </si>
  <si>
    <t xml:space="preserve">Electricity:HVAC [J](RunPeriod) </t>
  </si>
  <si>
    <t>AHU_SAT_SPT_Heat[]</t>
  </si>
  <si>
    <t>HOT WATER LOOP HW SUPPLY PUMP:Pump Electric Consumption [J]</t>
  </si>
  <si>
    <t>CHILLED WATER LOOP CHW SUPPLY PUMP:Pump Electric Consumption [J]</t>
  </si>
  <si>
    <t>Ventilation</t>
  </si>
  <si>
    <t>Btu/sf</t>
  </si>
  <si>
    <t>Joe Huang</t>
  </si>
  <si>
    <t>EPlus</t>
  </si>
  <si>
    <t>AHU SUPPLY FAN OUTLET:System Node Temp[C](Hourly)</t>
  </si>
  <si>
    <t>Zone_Cool_SAT_Perim[]</t>
  </si>
  <si>
    <t>Zone_Cool_SAT_Serv[]</t>
  </si>
  <si>
    <t>Zone_Cool_SAT_Core[]</t>
  </si>
  <si>
    <t>TFCore:Zone/sys Thermostat Cooling Setpoint[C](hourly)</t>
  </si>
  <si>
    <t>TFCore:Zone/sys Thermostat Heating Setpoint[C](hourly)</t>
  </si>
  <si>
    <t xml:space="preserve"> 01/10  24:00:00</t>
  </si>
  <si>
    <t>Electricity:HVAC [J](Monthly)</t>
  </si>
  <si>
    <t>Pumps etc</t>
  </si>
  <si>
    <t>Fan</t>
  </si>
  <si>
    <t>Cooling</t>
  </si>
  <si>
    <t>Heating</t>
  </si>
  <si>
    <t>HVAC Breakdown</t>
  </si>
  <si>
    <t>HVAC</t>
  </si>
  <si>
    <t>Lighting</t>
  </si>
  <si>
    <t>Equipment</t>
  </si>
  <si>
    <t>Building</t>
  </si>
  <si>
    <t>Floor</t>
  </si>
  <si>
    <t>Floors</t>
  </si>
  <si>
    <t>GF</t>
  </si>
  <si>
    <t>MF</t>
  </si>
  <si>
    <t>TF</t>
  </si>
  <si>
    <t>North</t>
  </si>
  <si>
    <t>South</t>
  </si>
  <si>
    <t>East</t>
  </si>
  <si>
    <t>West</t>
  </si>
  <si>
    <t>Core</t>
  </si>
  <si>
    <t>ServCore</t>
  </si>
  <si>
    <t>AHU SAT</t>
  </si>
  <si>
    <t>.</t>
  </si>
  <si>
    <t xml:space="preserve"> 01/06  18:00:00</t>
  </si>
  <si>
    <t xml:space="preserve"> 01/06  19:00:00</t>
  </si>
  <si>
    <t xml:space="preserve"> 01/06  20:00:00</t>
  </si>
  <si>
    <t xml:space="preserve"> 01/06  21:00:00</t>
  </si>
  <si>
    <t xml:space="preserve"> 01/06  22:00:00</t>
  </si>
  <si>
    <t xml:space="preserve"> 01/06  23:00:00</t>
  </si>
  <si>
    <t xml:space="preserve"> 01/06  24:00:00</t>
  </si>
  <si>
    <t xml:space="preserve"> 01/07  01:00:00</t>
  </si>
  <si>
    <t xml:space="preserve"> 01/07  02:00:00</t>
  </si>
  <si>
    <t xml:space="preserve"> 01/07  03:00:00</t>
  </si>
  <si>
    <t xml:space="preserve"> 01/07  04:00:00</t>
  </si>
  <si>
    <t xml:space="preserve"> 01/07  05:00:00</t>
  </si>
  <si>
    <t xml:space="preserve"> 01/07  06:00:00</t>
  </si>
  <si>
    <t xml:space="preserve"> 01/07  07:00:00</t>
  </si>
  <si>
    <t xml:space="preserve"> 01/07  08:00:00</t>
  </si>
  <si>
    <t xml:space="preserve"> 01/07  09:00:00</t>
  </si>
  <si>
    <t xml:space="preserve"> 01/07  10:00:00</t>
  </si>
  <si>
    <t xml:space="preserve"> 01/04  23:00:00</t>
  </si>
  <si>
    <t xml:space="preserve"> 01/04  24:00:00</t>
  </si>
  <si>
    <t xml:space="preserve"> 01/05  01:00:00</t>
  </si>
  <si>
    <t xml:space="preserve"> 01/05  02:00:00</t>
  </si>
  <si>
    <t xml:space="preserve"> 01/05  03:00:00</t>
  </si>
  <si>
    <t xml:space="preserve"> 01/05  04:00:00</t>
  </si>
  <si>
    <t xml:space="preserve"> 01/05  05:00:00</t>
  </si>
  <si>
    <t xml:space="preserve"> 01/05  06:00:00</t>
  </si>
  <si>
    <t xml:space="preserve"> 01/05  07:00:00</t>
  </si>
  <si>
    <t xml:space="preserve"> 01/05  08:00:00</t>
  </si>
  <si>
    <t>CC_Outlet_Temp[]</t>
  </si>
  <si>
    <t>CC_Intlet_Temp[]</t>
  </si>
  <si>
    <t>GFSouth</t>
  </si>
  <si>
    <t>GFNorth</t>
  </si>
  <si>
    <t>TFCore</t>
  </si>
  <si>
    <t>TFEast</t>
  </si>
  <si>
    <t>TFWest</t>
  </si>
  <si>
    <t>TFSouth</t>
  </si>
  <si>
    <t>TFNorth</t>
  </si>
  <si>
    <t>MFCore</t>
  </si>
  <si>
    <t>MFEast</t>
  </si>
  <si>
    <t>MFWest</t>
  </si>
  <si>
    <t>MFSouth</t>
  </si>
  <si>
    <t>MFNorth</t>
  </si>
  <si>
    <t>Chiller</t>
  </si>
  <si>
    <t>Boiler</t>
  </si>
  <si>
    <t>CoolCoil_Water_Flow[]</t>
  </si>
  <si>
    <t xml:space="preserve"> 01/07  11:00:00</t>
  </si>
  <si>
    <t xml:space="preserve"> 01/07  12:00:00</t>
  </si>
  <si>
    <t xml:space="preserve"> 01/07  13:00:00</t>
  </si>
  <si>
    <t xml:space="preserve"> 01/07  14:00:00</t>
  </si>
  <si>
    <t xml:space="preserve"> 01/07  15:00:00</t>
  </si>
  <si>
    <t xml:space="preserve"> 01/07  16:00:00</t>
  </si>
  <si>
    <t xml:space="preserve"> 01/07  17:00:00</t>
  </si>
  <si>
    <t xml:space="preserve"> 01/07  18:00:00</t>
  </si>
  <si>
    <t xml:space="preserve"> 01/07  19:00:00</t>
  </si>
  <si>
    <t xml:space="preserve"> 01/07  20:00:00</t>
  </si>
  <si>
    <t xml:space="preserve"> 01/07  21:00:00</t>
  </si>
  <si>
    <t xml:space="preserve"> 01/07  22:00:00</t>
  </si>
  <si>
    <t xml:space="preserve"> 01/07  23:00:00</t>
  </si>
  <si>
    <t xml:space="preserve"> 01/07  24:00:00</t>
  </si>
  <si>
    <t xml:space="preserve"> 01/08  01:00:00</t>
  </si>
  <si>
    <t xml:space="preserve"> 01/08  02:00:00</t>
  </si>
  <si>
    <t xml:space="preserve"> 01/08  03:00:00</t>
  </si>
  <si>
    <t xml:space="preserve"> 01/08  04:00:00</t>
  </si>
  <si>
    <t xml:space="preserve"> 01/08  05:00:00</t>
  </si>
  <si>
    <t xml:space="preserve"> 01/08  06:00:00</t>
  </si>
  <si>
    <t xml:space="preserve"> 01/08  07:00:00</t>
  </si>
  <si>
    <t xml:space="preserve"> 01/08  08:00:00</t>
  </si>
  <si>
    <t xml:space="preserve"> 01/08  09:00:00</t>
  </si>
  <si>
    <t xml:space="preserve"> 01/08  10:00:00</t>
  </si>
  <si>
    <t xml:space="preserve"> 01/08  11:00:00</t>
  </si>
  <si>
    <t xml:space="preserve"> 01/08  12:00:00</t>
  </si>
  <si>
    <t xml:space="preserve"> 01/08  13:00:00</t>
  </si>
  <si>
    <t xml:space="preserve"> 01/08  14:00:00</t>
  </si>
  <si>
    <t xml:space="preserve"> 01/08  15:00:00</t>
  </si>
  <si>
    <t>Total HVAC Usage [kBtu/sf] (Monthly)</t>
  </si>
  <si>
    <t>Total Interior Lighting [kBtu/sf] (Monthly)</t>
  </si>
  <si>
    <t>Total Interior Equipment [kBtu/sf] (Monthly)</t>
  </si>
  <si>
    <t>Total HVAC Usage [kBtu/sf] (Annual)</t>
  </si>
  <si>
    <t>Perimeter Zone UFAD Parameters</t>
  </si>
  <si>
    <t>Interior Zone UFAD Parameters</t>
  </si>
  <si>
    <t>UFAD_Int_PowerPerPlume[]</t>
  </si>
  <si>
    <t>UFAD_Int_DiffEffectiveArea[]</t>
  </si>
  <si>
    <t>UFAD_Int_DiffSlotAngle[]</t>
  </si>
  <si>
    <t>UFAD_Int_TStatHeight[]</t>
  </si>
  <si>
    <t>UFAD_Int_ComfortHeight[]</t>
  </si>
  <si>
    <t>UFAD_Int_TempDiffReporting[]</t>
  </si>
  <si>
    <t>UFAD_Int_DiffType[]</t>
  </si>
  <si>
    <t>UFAD_Int_TransitionHeight[]</t>
  </si>
  <si>
    <t>UFAD_Int_CoeffA[]</t>
  </si>
  <si>
    <t>RCLR</t>
  </si>
  <si>
    <t>Internal</t>
  </si>
  <si>
    <t>Solar</t>
  </si>
  <si>
    <t>W/Km2</t>
  </si>
  <si>
    <t>W/m2</t>
  </si>
  <si>
    <t>Outside</t>
  </si>
  <si>
    <t>U-val</t>
  </si>
  <si>
    <t>Inside</t>
  </si>
  <si>
    <t>Transfer</t>
  </si>
  <si>
    <t>Exterior Wall</t>
  </si>
  <si>
    <t>Floor (Concrete Slab)</t>
  </si>
  <si>
    <t>Supply</t>
  </si>
  <si>
    <t>Plenum</t>
  </si>
  <si>
    <t>Return</t>
  </si>
  <si>
    <t>Ceiling (Concrete Slab)</t>
  </si>
  <si>
    <t>Floor (Hung Ceiling)</t>
  </si>
  <si>
    <t>Ceiling (Raised Floor)</t>
  </si>
  <si>
    <t>W/sf</t>
  </si>
  <si>
    <t>% total</t>
  </si>
  <si>
    <t>RCLR_pln</t>
  </si>
  <si>
    <t>RCLR_RA</t>
  </si>
  <si>
    <t>RCLR_Qcs</t>
  </si>
  <si>
    <t>Sys Clg</t>
  </si>
  <si>
    <t>Rm clg</t>
  </si>
  <si>
    <t>pln clg</t>
  </si>
  <si>
    <t>Rapln clg</t>
  </si>
  <si>
    <t>GFCore:Zone/Sys Air Temperature[C](Hourly)</t>
  </si>
  <si>
    <t>Surface</t>
  </si>
  <si>
    <t>Air</t>
  </si>
  <si>
    <t>Convection</t>
  </si>
  <si>
    <t>Yes</t>
  </si>
  <si>
    <t>No</t>
  </si>
  <si>
    <t>FSFan_UFAD_Min_Frac_GFEast[]</t>
  </si>
  <si>
    <t>FSFan_UFAD_Min_Frac_GFWest[]</t>
  </si>
  <si>
    <t>FSFan_UFAD_Min_Frac_GFSouth[]</t>
  </si>
  <si>
    <t>FSFan_UFAD_Min_Frac_GFNorth[]</t>
  </si>
  <si>
    <t>FSFan_UFAD_Min_Frac_MFEast[]</t>
  </si>
  <si>
    <t>FSFan_UFAD_Min_Frac_MFWest[]</t>
  </si>
  <si>
    <t>FSFan_UFAD_Min_Frac_MFSouth[]</t>
  </si>
  <si>
    <t>FSFan_UFAD_Min_Frac_MFNorth[]</t>
  </si>
  <si>
    <t>FSFan_UFAD_Min_Frac_TFEast[]</t>
  </si>
  <si>
    <t>FSFan_UFAD_Min_Frac_TFWest[]</t>
  </si>
  <si>
    <t>FSFan_UFAD_Min_Frac_TFSouth[]</t>
  </si>
  <si>
    <t>FSFan_UFAD_Min_Frac_TFNorth[]</t>
  </si>
  <si>
    <t>Fans</t>
  </si>
  <si>
    <t>Heat Recovery</t>
  </si>
  <si>
    <t>FSFan_UFAD_Min_Frac_GFCore[]</t>
  </si>
  <si>
    <t>FSFan_UFAD_Min_Frac_MFCore[]</t>
  </si>
  <si>
    <t>FSFan_UFAD_Min_Frac_TFCore[]</t>
  </si>
  <si>
    <t>FSFan_UFAD_Min_Frac_GFServ[]</t>
  </si>
  <si>
    <t>FSFan_UFAD_Min_Frac_MFServ[]</t>
  </si>
  <si>
    <t>FSFan_UFAD_Min_Frac_TFServ[]</t>
  </si>
  <si>
    <t>Occupied</t>
  </si>
  <si>
    <t>Mixed</t>
  </si>
  <si>
    <t>Return Plenum</t>
  </si>
  <si>
    <t>GF Slab</t>
  </si>
  <si>
    <t>MF Slab</t>
  </si>
  <si>
    <t>TF Slab</t>
  </si>
  <si>
    <t>Roof</t>
  </si>
  <si>
    <t>Whole_Floor_Breakdown[]</t>
  </si>
  <si>
    <t>RA ext</t>
  </si>
  <si>
    <t>Rm Ext</t>
  </si>
  <si>
    <t>SA Ext</t>
  </si>
  <si>
    <t>ACT</t>
  </si>
  <si>
    <t>Room</t>
  </si>
  <si>
    <t>RF</t>
  </si>
  <si>
    <t>Top Floor</t>
  </si>
  <si>
    <t>Internal_Mass[]</t>
  </si>
  <si>
    <t>Middle Floor</t>
  </si>
  <si>
    <t>Ground Floor</t>
  </si>
  <si>
    <t>Core (Interior)</t>
  </si>
  <si>
    <t>Ext Wall Convection</t>
  </si>
  <si>
    <t>Conduction</t>
  </si>
  <si>
    <t>Series</t>
  </si>
  <si>
    <t>Autosize</t>
  </si>
  <si>
    <t>FSFan_Max_CoolingAir_GFEast[]</t>
  </si>
  <si>
    <t>FSFan_Max_CoolingAir_GFWest[]</t>
  </si>
  <si>
    <t>FSFan_Max_CoolingAir_GFSouth[]</t>
  </si>
  <si>
    <t>FSFan_Max_CoolingAir_GFNorth[]</t>
  </si>
  <si>
    <t>FSFan_Max_CoolingAir_MFEast[]</t>
  </si>
  <si>
    <t>FSFan_Max_CoolingAir_MFWest[]</t>
  </si>
  <si>
    <t>FSFan_Max_CoolingAir_MFSouth[]</t>
  </si>
  <si>
    <t>FSFan_Max_CoolingAir_MFNorth[]</t>
  </si>
  <si>
    <t>FSFan_Max_CoolingAir_TFEast[]</t>
  </si>
  <si>
    <t>FSFan_Max_CoolingAir_TFWest[]</t>
  </si>
  <si>
    <t>FSFan_Max_CoolingAir_TFSouth[]</t>
  </si>
  <si>
    <t>FSFan_Max_CoolingAir_TFNorth[]</t>
  </si>
  <si>
    <t>FSFan_Max_CoolingAir_GFCore[]</t>
  </si>
  <si>
    <t>FSFan_Max_CoolingAir_MFCore[]</t>
  </si>
  <si>
    <t>FSFan_Max_CoolingAir_TFCore[]</t>
  </si>
  <si>
    <t>FSFan_Max_CoolingAir_GFServ[]</t>
  </si>
  <si>
    <t>FSFan_Max_CoolingAir_MFServ[]</t>
  </si>
  <si>
    <t>FSFan_Max_CoolingAir_TFServ[]</t>
  </si>
  <si>
    <t>autosize</t>
  </si>
  <si>
    <t>Boiler_Capacity[]</t>
  </si>
  <si>
    <t>Chiller_Capacity[]</t>
  </si>
  <si>
    <t>HW_Pump_MaxFlow[]</t>
  </si>
  <si>
    <t>ChW_Pump_MaxFlow[]</t>
  </si>
  <si>
    <t>FSFan_Max_HeatingAir_GFEast[]</t>
  </si>
  <si>
    <t>FSFan_Max_HeatingAir_GFWest[]</t>
  </si>
  <si>
    <t>FSFan_Max_HeatingAir_GFSouth[]</t>
  </si>
  <si>
    <t>FSFan_Max_HeatingAir_GFNorth[]</t>
  </si>
  <si>
    <t>FSFan_Max_HeatingAir_MFEast[]</t>
  </si>
  <si>
    <t>FSFan_Max_HeatingAir_MFWest[]</t>
  </si>
  <si>
    <t>FSFan_Max_HeatingAir_MFSouth[]</t>
  </si>
  <si>
    <t>FSFan_Max_HeatingAir_MFNorth[]</t>
  </si>
  <si>
    <t>FSFan_Max_HeatingAir_TFEast[]</t>
  </si>
  <si>
    <t>FSFan_Max_HeatingAir_TFWest[]</t>
  </si>
  <si>
    <t>FSFan_Max_HeatingAir_TFSouth[]</t>
  </si>
  <si>
    <t>FSFan_Max_HeatingAir_TFNorth[]</t>
  </si>
  <si>
    <t>Central_SupplyFan_MaxFlow[]</t>
  </si>
  <si>
    <t>Central_ReturnFan_MaxFlow[]</t>
  </si>
  <si>
    <t>Condenser_Pump_MaxFlow[]</t>
  </si>
  <si>
    <t>0.000000</t>
  </si>
  <si>
    <t>DDR</t>
  </si>
  <si>
    <t>Design</t>
  </si>
  <si>
    <t>UFAD Chiller Sizing Factor</t>
  </si>
  <si>
    <t>Chiller Model</t>
  </si>
  <si>
    <t>CBE_RegularEIR</t>
  </si>
  <si>
    <t>Chiller_Model_Type[]</t>
  </si>
  <si>
    <t>Zone/Sys Air Temperature [C](Hourly)</t>
  </si>
  <si>
    <t>UF Mixed Subzone Temperature [C](Hourly)</t>
  </si>
  <si>
    <t>UF Occupied Subzone Temperature [C](Hourly)</t>
  </si>
  <si>
    <t>Ceiling Height?</t>
  </si>
  <si>
    <t>RadiantSimulation[]</t>
  </si>
  <si>
    <t>Return_Plenum[]</t>
  </si>
  <si>
    <t>GF_Height[]</t>
  </si>
  <si>
    <t>MFSP_Height[]</t>
  </si>
  <si>
    <t>MF_Height[]</t>
  </si>
  <si>
    <t>TFSP_Height[]</t>
  </si>
  <si>
    <t>TF_Height[]</t>
  </si>
  <si>
    <t>Radiant_Window_Height_GF[]</t>
  </si>
  <si>
    <t>Radiant_Window_Height_MF[]</t>
  </si>
  <si>
    <t>Radiant_Window_Height_TF[]</t>
  </si>
  <si>
    <t>Tubing_Position[]</t>
  </si>
  <si>
    <t>Radiant_Calc_Dimension[]</t>
  </si>
  <si>
    <t>Tube_Spacing[]</t>
  </si>
  <si>
    <t>Tubing_Inside_Diameter[]</t>
  </si>
  <si>
    <t>Internal_Calculation_Variable[]</t>
  </si>
  <si>
    <t>Tubing_Length_Core[]</t>
  </si>
  <si>
    <t>Tubing_Length_NorthSouth[]</t>
  </si>
  <si>
    <t>Tubing_Length_EastWest[]</t>
  </si>
  <si>
    <t>RadiantSystem_ControlType[]</t>
  </si>
  <si>
    <t>RadiantSystem_HeatingThrottleRange[]</t>
  </si>
  <si>
    <t>RadiantSystem_CoolingThrottleRange[]</t>
  </si>
  <si>
    <t>RadiantSystem_Priority[]</t>
  </si>
  <si>
    <t>Internal Mass</t>
  </si>
  <si>
    <t>RadiantSystem_MaxFlow_Core[]</t>
  </si>
  <si>
    <t xml:space="preserve"> m3/s</t>
  </si>
  <si>
    <t>TowerWaterFlowRate[]</t>
  </si>
  <si>
    <t>TowerAirFlowRate[]</t>
  </si>
  <si>
    <t>TowerFanPower[]</t>
  </si>
  <si>
    <t>TowerUA[]</t>
  </si>
  <si>
    <t>W/K</t>
  </si>
  <si>
    <t>TowerSizingFactor[]</t>
  </si>
  <si>
    <t>3C</t>
  </si>
  <si>
    <t>X_First[]</t>
  </si>
  <si>
    <t>X_Second[]</t>
  </si>
  <si>
    <t>X_Third[]</t>
  </si>
  <si>
    <t>X_Fourth[]</t>
  </si>
  <si>
    <t>X_Fifth[]</t>
  </si>
  <si>
    <t>X_Sixth[]</t>
  </si>
  <si>
    <t>Y_First[]</t>
  </si>
  <si>
    <t>Y_Second[]</t>
  </si>
  <si>
    <t>Y_Third[]</t>
  </si>
  <si>
    <t>Y_Fourth[]</t>
  </si>
  <si>
    <t>Y_Fifth[]</t>
  </si>
  <si>
    <t>Y_Sixth[]</t>
  </si>
  <si>
    <t>Y_Half[]</t>
  </si>
  <si>
    <t>sf</t>
  </si>
  <si>
    <t>Floor Area</t>
  </si>
  <si>
    <t>Aspect Ratio</t>
  </si>
  <si>
    <t>Length</t>
  </si>
  <si>
    <t>Width</t>
  </si>
  <si>
    <t>Perimeter Zone Depth</t>
  </si>
  <si>
    <t>ft</t>
  </si>
  <si>
    <t>Perimeter</t>
  </si>
  <si>
    <t>Service Area</t>
  </si>
  <si>
    <t>Service Length</t>
  </si>
  <si>
    <t>Service Width</t>
  </si>
  <si>
    <t>X_Window_Second[]</t>
  </si>
  <si>
    <t>Y_Window_Second[]</t>
  </si>
  <si>
    <t>X_Window_First[]</t>
  </si>
  <si>
    <t>Y_Window_First[]</t>
  </si>
  <si>
    <t>Return System</t>
  </si>
  <si>
    <t>Return_System[]</t>
  </si>
  <si>
    <t>Heat_Recovery[]</t>
  </si>
  <si>
    <t>6B</t>
  </si>
  <si>
    <t>6A</t>
  </si>
  <si>
    <t>5B</t>
  </si>
  <si>
    <t>5A</t>
  </si>
  <si>
    <t>4C</t>
  </si>
  <si>
    <t>4B</t>
  </si>
  <si>
    <t>4A</t>
  </si>
  <si>
    <t>3B</t>
  </si>
  <si>
    <t>3A</t>
  </si>
  <si>
    <t>2B</t>
  </si>
  <si>
    <t>2A</t>
  </si>
  <si>
    <t>1A</t>
  </si>
  <si>
    <t>Weather Code</t>
  </si>
  <si>
    <t>Building_Orientation[]</t>
  </si>
  <si>
    <t>Building Orientation</t>
  </si>
  <si>
    <t>Orientation 0 = Long in the east-west axis</t>
  </si>
  <si>
    <t>Orientation 90 = Long in the south-north axis</t>
  </si>
  <si>
    <t>EW Area</t>
  </si>
  <si>
    <t>SN Area</t>
  </si>
  <si>
    <t>Core Area</t>
  </si>
  <si>
    <t>Occupancy</t>
  </si>
  <si>
    <t>sf/person</t>
  </si>
  <si>
    <t>Cooling_Setback[]</t>
  </si>
  <si>
    <t>Cooling_Setpoint[]</t>
  </si>
  <si>
    <t>Cooling Setpoint</t>
  </si>
  <si>
    <t>Cooling Setback</t>
  </si>
  <si>
    <t>Heating_Setpoint[]</t>
  </si>
  <si>
    <t>Heating_Setback[]</t>
  </si>
  <si>
    <t>Heating Setpoint</t>
  </si>
  <si>
    <t>Heating Setback</t>
  </si>
  <si>
    <t>SAT Reset?</t>
  </si>
  <si>
    <t>SAT_Reset[]</t>
  </si>
  <si>
    <t>High_AHU_SAT[]</t>
  </si>
  <si>
    <t>Whole Floor Breakdown</t>
  </si>
  <si>
    <t>Radiant Simulation</t>
  </si>
  <si>
    <t>Return Plenum Exist</t>
  </si>
  <si>
    <t>Sizing</t>
  </si>
  <si>
    <t>- Building Geometry -</t>
  </si>
  <si>
    <t>degree</t>
  </si>
  <si>
    <t>- Internal Load -</t>
  </si>
  <si>
    <t>- UFAD -</t>
  </si>
  <si>
    <t>- System -</t>
  </si>
  <si>
    <t>keep Eplus run window open</t>
  </si>
  <si>
    <t>set Eplus pausing</t>
  </si>
  <si>
    <t>- Simulation Control -</t>
  </si>
  <si>
    <t>- DR Limiting -</t>
  </si>
  <si>
    <t>VAV Box Minimum Fraction</t>
  </si>
  <si>
    <t>OH or UFAD or UFAD/Radiant</t>
  </si>
  <si>
    <t>Sizing?</t>
  </si>
  <si>
    <t>Valid only for UFAD and UFAD/Radiant</t>
  </si>
  <si>
    <t>Condenser water loop CNDW SUPPLY PUMP:Pump Electric Consumption [J]</t>
  </si>
  <si>
    <t>Threshold</t>
  </si>
  <si>
    <t>Valid only when no return plenum exists (UFAD_NoReturnPlen and UFAD/Radiant)</t>
  </si>
  <si>
    <t>OSA volume</t>
  </si>
  <si>
    <t>Chiller Staging?</t>
  </si>
  <si>
    <t>Chiller_Staging[]</t>
  </si>
  <si>
    <t>Boiler Staging?</t>
  </si>
  <si>
    <t>Boiler_Staging[]</t>
  </si>
  <si>
    <t>ChW_Reset[]</t>
  </si>
  <si>
    <t>ChW Reset?</t>
  </si>
  <si>
    <t>HW Reset?</t>
  </si>
  <si>
    <t>AHU Static Reset?</t>
  </si>
  <si>
    <t>AHU Shutoff Pressure?</t>
  </si>
  <si>
    <t>AHU_Static_Reset[]</t>
  </si>
  <si>
    <t>Shutoff_Pressure[]</t>
  </si>
  <si>
    <t>Internal_Schedule[]</t>
  </si>
  <si>
    <t>For: Weekdays</t>
  </si>
  <si>
    <t xml:space="preserve">  Until: 7:00</t>
  </si>
  <si>
    <t xml:space="preserve">  Until: 8:00</t>
  </si>
  <si>
    <t xml:space="preserve">  Until: 17:00</t>
  </si>
  <si>
    <t xml:space="preserve">  Until: 9:00</t>
  </si>
  <si>
    <t xml:space="preserve">  Until: 24:00</t>
  </si>
  <si>
    <t>For: AllOtherDays</t>
  </si>
  <si>
    <t xml:space="preserve">  Until: 18:00</t>
  </si>
  <si>
    <t xml:space="preserve">  Until: 12:00</t>
  </si>
  <si>
    <t xml:space="preserve">  Until: 13:00</t>
  </si>
  <si>
    <t>LBL Schedule</t>
  </si>
  <si>
    <t>ASHRAE Schedule</t>
  </si>
  <si>
    <t xml:space="preserve">    For: Weekdays</t>
  </si>
  <si>
    <t xml:space="preserve">    Until: 06:00</t>
  </si>
  <si>
    <t xml:space="preserve">    Until: 07:00</t>
  </si>
  <si>
    <t xml:space="preserve">    Until: 08:00</t>
  </si>
  <si>
    <t xml:space="preserve">    Until: 12:00</t>
  </si>
  <si>
    <t xml:space="preserve">    Until: 13:00</t>
  </si>
  <si>
    <t xml:space="preserve">    Until: 17:00</t>
  </si>
  <si>
    <t xml:space="preserve">    Until: 18:00</t>
  </si>
  <si>
    <t xml:space="preserve">    Until: 24:00</t>
  </si>
  <si>
    <t xml:space="preserve">    For: SummerDesignDay</t>
  </si>
  <si>
    <t xml:space="preserve">    Until: 22:00</t>
  </si>
  <si>
    <t xml:space="preserve">    For: Saturday</t>
  </si>
  <si>
    <t xml:space="preserve">    For: WinterDesignDay</t>
  </si>
  <si>
    <t xml:space="preserve">    For: Sunday Holidays</t>
  </si>
  <si>
    <t xml:space="preserve">    Until: 21:00</t>
  </si>
  <si>
    <t>HVAC_Schedule[]</t>
  </si>
  <si>
    <t xml:space="preserve">  Until: 5:00</t>
  </si>
  <si>
    <t xml:space="preserve">  Until: 19:00</t>
  </si>
  <si>
    <t>For: SummerDesignDay</t>
  </si>
  <si>
    <t>For: WinterDesignDay</t>
  </si>
  <si>
    <t xml:space="preserve">  Until: 6:00</t>
  </si>
  <si>
    <t xml:space="preserve">  Until: 22:00</t>
  </si>
  <si>
    <t>For: Saturday</t>
  </si>
  <si>
    <t>LBL</t>
  </si>
  <si>
    <t>Slab Insulation</t>
  </si>
  <si>
    <t>Slab_Insulation[]</t>
  </si>
  <si>
    <t>/sf</t>
  </si>
  <si>
    <t xml:space="preserve">     VAV Heating for OH System?</t>
  </si>
  <si>
    <t>Valid only for OH</t>
  </si>
  <si>
    <t>System Type</t>
  </si>
  <si>
    <t>OH_VAV_Heating[]</t>
  </si>
  <si>
    <t>HW_Reset[]</t>
  </si>
  <si>
    <t>CBE UFAD Simulation Toolkit</t>
  </si>
  <si>
    <t>Center for the Built Environment - University of California, Berkeley</t>
  </si>
  <si>
    <t>Version 1.0</t>
  </si>
  <si>
    <t>Copyright ©2009 Version 1.0. The Regents of the University of California (Regents). All Rights Reserved.</t>
  </si>
  <si>
    <r>
      <t xml:space="preserve">Permission to use this software and its documentation for educational, research, and not-for-profit purposes, without fee and without a signed licensing agreement, is hereby granted to Center of the Built Environment (CBE) Industry Partners in good standing as of October 1, 2004, provided that the above copyright notice, this paragraph and the following two paragraphs appear in all copies and/or modifications. This software and its documentation may not be distributed to non-CBE Industry Partners without prior written approval of the Office of Technology Licensing, UC Berkeley. For information on commercial use of this software, contact The Office of Technology Licensing, UC Berkeley, 2150 Shattuck Avenue, Suite 510, Berkeley, CA 94720-1620, (510) 643-7201, for commercial licensing opportunities. </t>
    </r>
    <r>
      <rPr>
        <i/>
        <sz val="10"/>
        <rFont val="Times New Roman"/>
        <family val="1"/>
      </rPr>
      <t>Created by Kwang Ho Lee, Tom Webster, Allan Daly, Tyler Hoyt, Stefano Schiavon and Fred Bauman, Center for Environmental Design Research, University of California, Berkeley.</t>
    </r>
  </si>
  <si>
    <t>IN NO EVENT SHALL REGENTS BE LIABLE TO ANY PARTY FOR DIRECT, INDIRECT, SPECIAL, INCIDENTAL, OR CONSEQUENTIAL DAMAGES, INCLUDING LOST PROFITS, ARISING OUT OF THE USE OF THIS SOFTWARE AND ITS DOCUMENTATION, EVEN IF REGENTS HAS BEEN ADVISED OF THE POSSIBILITY OF SUCH DAMAGE.</t>
  </si>
  <si>
    <t>REGENTS SPECIFICALLY DISCLAIMS ANY WARRANTIES, INCLUDING, BUT NOT LIMITED TO, THE IMPLIED WARRANTIES OF MERCHANTABILITY AND FITNESS FOR A PARTICULAR PURPOSE. THE SOFTWARE AND ACCOMPANYING DOCUMENTATION, IF ANY, PROVIDED HEREUNDER IS PROVIDED "AS IS". REGENTS HAS NO OBLIGATION TO PROVIDE MAINTENANCE, SUPPORT, UPDATES, ENHANCEMENTS, OR MODIFICATIONS.</t>
  </si>
  <si>
    <t>Contact information for questions, comments, and problem reporting:</t>
  </si>
  <si>
    <t>Tom Webster</t>
  </si>
  <si>
    <t>twebster@berkeley.edu</t>
  </si>
  <si>
    <t>Unit</t>
  </si>
  <si>
    <t xml:space="preserve">Default value </t>
  </si>
  <si>
    <t>GENERAL</t>
  </si>
  <si>
    <t>San Francisco</t>
  </si>
  <si>
    <t>Orientation</t>
  </si>
  <si>
    <t>Simulation period</t>
  </si>
  <si>
    <t>Simulation period: Starting Month</t>
  </si>
  <si>
    <t>Simulation period: Starting Day</t>
  </si>
  <si>
    <t>Simulation period: Ending Month</t>
  </si>
  <si>
    <t>Simulation period: Ending Day</t>
  </si>
  <si>
    <t>Global sizing factor</t>
  </si>
  <si>
    <t>SCHEDULE</t>
  </si>
  <si>
    <t>Room occupied cooling spt</t>
  </si>
  <si>
    <t>°F</t>
  </si>
  <si>
    <t>Room unoccupied cooling spt</t>
  </si>
  <si>
    <t>Room occupied heating spt</t>
  </si>
  <si>
    <t>Room unoccupied heating spt</t>
  </si>
  <si>
    <t>CONSTRUCTION</t>
  </si>
  <si>
    <t>Floorplate area</t>
  </si>
  <si>
    <t>Floorplate aspect ratio</t>
  </si>
  <si>
    <t>Window to wall ratio</t>
  </si>
  <si>
    <t>Window type: SHGC</t>
  </si>
  <si>
    <t>Internal mass</t>
  </si>
  <si>
    <t>Slab insulation</t>
  </si>
  <si>
    <t>LOAD</t>
  </si>
  <si>
    <t>Plug loads</t>
  </si>
  <si>
    <t>Lighting power input</t>
  </si>
  <si>
    <t>SYSTEM</t>
  </si>
  <si>
    <t>OH zone heating strategy</t>
  </si>
  <si>
    <t>UFAD supply air plenum configuration</t>
  </si>
  <si>
    <t>UFAD interior diffuser type</t>
  </si>
  <si>
    <t>UFAD interior diffuser assignment</t>
  </si>
  <si>
    <t>UFAD interior method: diffuser per person</t>
  </si>
  <si>
    <t>1/person</t>
  </si>
  <si>
    <t>UFAD interior method: diffuser per area</t>
  </si>
  <si>
    <t>sf/diff</t>
  </si>
  <si>
    <t>UFAD perimeter diffuser type</t>
  </si>
  <si>
    <t>AHU supply air temperature setpoint</t>
  </si>
  <si>
    <t>AHU supply air temperature reset</t>
  </si>
  <si>
    <t>AHU design static pressure</t>
  </si>
  <si>
    <t>AHU static reset</t>
  </si>
  <si>
    <t>AHU shutoff pressure</t>
  </si>
  <si>
    <t>PLANT</t>
  </si>
  <si>
    <t>Chiller staging</t>
  </si>
  <si>
    <t>Chiller water reset</t>
  </si>
  <si>
    <t>Boiler staging</t>
  </si>
  <si>
    <t>Hot water reset</t>
  </si>
  <si>
    <t>Sizing_Factor[]</t>
  </si>
  <si>
    <t>Global Sizing Factor</t>
  </si>
  <si>
    <t>Interface version</t>
  </si>
  <si>
    <t>Component</t>
  </si>
  <si>
    <t>Output Annual</t>
  </si>
  <si>
    <t>Jan</t>
  </si>
  <si>
    <t>Feb</t>
  </si>
  <si>
    <t>Mar</t>
  </si>
  <si>
    <t>Apr</t>
  </si>
  <si>
    <t>May</t>
  </si>
  <si>
    <t>Jun</t>
  </si>
  <si>
    <t>Jul</t>
  </si>
  <si>
    <t>Aug</t>
  </si>
  <si>
    <t>Sep</t>
  </si>
  <si>
    <t>Oct</t>
  </si>
  <si>
    <t>Nov</t>
  </si>
  <si>
    <t>Dec</t>
  </si>
  <si>
    <t>Output Monthly [kBtu/sf]</t>
  </si>
  <si>
    <t>ENERGY USE INDEX</t>
  </si>
  <si>
    <t>Outside airflow rate</t>
  </si>
  <si>
    <t>Fixed Minimum</t>
  </si>
  <si>
    <t>Hour</t>
  </si>
  <si>
    <t>Occupancy - Weekdays</t>
  </si>
  <si>
    <t>Equipment - Weekdays</t>
  </si>
  <si>
    <t>Lighting - Weekdays</t>
  </si>
  <si>
    <t>HVAC - Weekdays</t>
  </si>
  <si>
    <t>Graph</t>
  </si>
  <si>
    <t>Design Day Simulation</t>
  </si>
  <si>
    <t>DesignDay_Sim[]</t>
  </si>
  <si>
    <t>WeatherFile_Sim[]</t>
  </si>
  <si>
    <t>User Specified</t>
  </si>
  <si>
    <t>Auxiliaries</t>
  </si>
  <si>
    <t>Site [kBtu/sf]</t>
  </si>
  <si>
    <t>Site [%]</t>
  </si>
  <si>
    <t>Source [kBtu/sf]</t>
  </si>
  <si>
    <t>Zone first graph</t>
  </si>
  <si>
    <t>Zone second graph</t>
  </si>
  <si>
    <t>Day from starting simulation</t>
  </si>
  <si>
    <t>Hour from starting simulation</t>
  </si>
  <si>
    <t>Displayed date</t>
  </si>
  <si>
    <t>Day of week displayed</t>
  </si>
  <si>
    <t>OA flow rate</t>
  </si>
  <si>
    <t xml:space="preserve">OA air temperature </t>
  </si>
  <si>
    <t xml:space="preserve">Mixed air flow rate </t>
  </si>
  <si>
    <t xml:space="preserve">Return air temperature </t>
  </si>
  <si>
    <t xml:space="preserve">Return air flow rate </t>
  </si>
  <si>
    <t xml:space="preserve">Relief air temperature </t>
  </si>
  <si>
    <t xml:space="preserve">Relief air flow rate </t>
  </si>
  <si>
    <t>Operative temperature</t>
  </si>
  <si>
    <t xml:space="preserve">Mean radiant temperature </t>
  </si>
  <si>
    <t>Transition height</t>
  </si>
  <si>
    <t>PERIMETER</t>
  </si>
  <si>
    <t>INTERIOR</t>
  </si>
  <si>
    <t>AHU supply air temperature</t>
  </si>
  <si>
    <t>Heating set point</t>
  </si>
  <si>
    <t>Cooling set point</t>
  </si>
  <si>
    <t>Temperature diff upper and lower zone</t>
  </si>
  <si>
    <t>Air flow rate entering the zone</t>
  </si>
  <si>
    <t>Number of days</t>
  </si>
  <si>
    <t xml:space="preserve">AHU </t>
  </si>
  <si>
    <t>CONTROL OF DISPLAYED DATA</t>
  </si>
  <si>
    <t>AHU fan power</t>
  </si>
  <si>
    <t>ATU fans power</t>
  </si>
  <si>
    <t>Ratio AHU fan / ATU fans</t>
  </si>
  <si>
    <t>Start Month</t>
  </si>
  <si>
    <t>Start Day</t>
  </si>
  <si>
    <t>End Month</t>
  </si>
  <si>
    <t>End Day</t>
  </si>
  <si>
    <t>[%]</t>
  </si>
  <si>
    <t>TIME SETPOINT NOT MET</t>
  </si>
  <si>
    <t xml:space="preserve">Mixed air temperature </t>
  </si>
  <si>
    <t>Hour indicating the data to display</t>
  </si>
  <si>
    <t>Boiler heating output rate</t>
  </si>
  <si>
    <t>Cooling tower water mass flow</t>
  </si>
  <si>
    <t>Cooling tower fan electric power</t>
  </si>
  <si>
    <t>Cooling tower heat transfer</t>
  </si>
  <si>
    <t>Chiller COP</t>
  </si>
  <si>
    <t>Chiller part load ratio</t>
  </si>
  <si>
    <t>Chiller electric power</t>
  </si>
  <si>
    <t>Window type: U-value</t>
  </si>
  <si>
    <t>AHU cooling coil inlet temperature</t>
  </si>
  <si>
    <t>AHU cooling coil outlet temperature</t>
  </si>
  <si>
    <t>AHU heating coil outlet temperature</t>
  </si>
  <si>
    <t>Boiler water mass flow</t>
  </si>
  <si>
    <t>Chiller water evaporator mass flow</t>
  </si>
  <si>
    <t>Chiller evaporator heat transfer</t>
  </si>
  <si>
    <t>Boiler water supply temperature</t>
  </si>
  <si>
    <t>Chiller water evaporator supply temperature</t>
  </si>
  <si>
    <t>Cooling tower water supply temperature</t>
  </si>
  <si>
    <t>Boiler water return temperature</t>
  </si>
  <si>
    <t>Chiller water evaporator return temperature</t>
  </si>
  <si>
    <t>Cooling tower water return temperature</t>
  </si>
  <si>
    <t>UFAD_SysType[]</t>
  </si>
  <si>
    <t>TowerType[]</t>
  </si>
  <si>
    <t>RadiantTowerCtrlType[]</t>
  </si>
  <si>
    <t>CoolingLoad</t>
  </si>
  <si>
    <t>Cooling Tower</t>
  </si>
  <si>
    <t>UFAD System Type</t>
  </si>
  <si>
    <t>UFAD_York</t>
  </si>
  <si>
    <t xml:space="preserve"> Zone</t>
  </si>
  <si>
    <t>Internal load and HVAC schedule</t>
  </si>
  <si>
    <t>Not user input</t>
  </si>
  <si>
    <t>UFAD_FCU</t>
  </si>
  <si>
    <t>Design Day</t>
  </si>
  <si>
    <t>Parameter</t>
  </si>
  <si>
    <t>SimulationInput</t>
  </si>
  <si>
    <t>SystemType</t>
  </si>
  <si>
    <t>Per Area</t>
  </si>
  <si>
    <t>CBE Schedule</t>
  </si>
  <si>
    <t>UFADInteriorDiffuser</t>
  </si>
  <si>
    <t>Per Person</t>
  </si>
  <si>
    <t>Airflow rate per diffuser</t>
  </si>
  <si>
    <t>cfm/diff</t>
  </si>
  <si>
    <t>[hr]</t>
  </si>
  <si>
    <r>
      <t>Btu/(hr ft</t>
    </r>
    <r>
      <rPr>
        <vertAlign val="superscript"/>
        <sz val="10"/>
        <color theme="1"/>
        <rFont val="Arial"/>
        <family val="2"/>
      </rPr>
      <t xml:space="preserve">2 </t>
    </r>
    <r>
      <rPr>
        <sz val="10"/>
        <color theme="1"/>
        <rFont val="Arial"/>
        <family val="2"/>
      </rPr>
      <t>F)</t>
    </r>
  </si>
  <si>
    <t>Tons</t>
  </si>
  <si>
    <t>Btu/hr/sf</t>
  </si>
  <si>
    <t>RPF</t>
  </si>
  <si>
    <t>SPF</t>
  </si>
  <si>
    <t xml:space="preserve">Instantaneous supply plenum fraction 
</t>
  </si>
  <si>
    <t>Instantaneous room fraction</t>
  </si>
  <si>
    <t xml:space="preserve">Instantaneous return plenum fraction </t>
  </si>
  <si>
    <t>Relief Air</t>
  </si>
  <si>
    <t>RA</t>
  </si>
  <si>
    <t>Mixed Air</t>
  </si>
  <si>
    <t>OA</t>
  </si>
  <si>
    <t>sf/ton</t>
  </si>
  <si>
    <t>kBtu/hr</t>
  </si>
  <si>
    <t>Return system fans</t>
  </si>
  <si>
    <t>UFAD diffuser center to center spacing - North</t>
  </si>
  <si>
    <t>UFAD diffuser center to center spacing - West</t>
  </si>
  <si>
    <t>UFAD diffuser center to center spacing - South</t>
  </si>
  <si>
    <t>UFAD diffuser center to center spacing - East</t>
  </si>
  <si>
    <t xml:space="preserve">ECONOMIZER </t>
  </si>
  <si>
    <r>
      <t>cfm/ft</t>
    </r>
    <r>
      <rPr>
        <vertAlign val="superscript"/>
        <sz val="10"/>
        <rFont val="Arial"/>
        <family val="2"/>
      </rPr>
      <t>2</t>
    </r>
  </si>
  <si>
    <t>gpm</t>
  </si>
  <si>
    <t>Boiler part load ratio</t>
  </si>
  <si>
    <t>mixed air</t>
  </si>
  <si>
    <t>OA air</t>
  </si>
  <si>
    <t>Damper OA</t>
  </si>
  <si>
    <t>kW/ton</t>
  </si>
  <si>
    <t>Chiller simulation period peak load</t>
  </si>
  <si>
    <t>Chiller simulation period efficiency</t>
  </si>
  <si>
    <t>Boiler simulation period peak load</t>
  </si>
  <si>
    <t>AHU simulation period peak airflow</t>
  </si>
  <si>
    <t xml:space="preserve">SIMULATION PERIOD VS. DESIGN DAY </t>
  </si>
  <si>
    <t>DESIGN AIRFLOW RATE PER DIFFUSER</t>
  </si>
  <si>
    <t>Floor-Zone</t>
  </si>
  <si>
    <t>Floor -</t>
  </si>
  <si>
    <t>kW</t>
  </si>
  <si>
    <t>UFAD DESIGN PEAK COOLING LOAD SPLIT</t>
  </si>
  <si>
    <t>VAV minimum fraction</t>
  </si>
  <si>
    <t>OUTPUT</t>
  </si>
  <si>
    <t>Save Output?</t>
  </si>
  <si>
    <t>Destination Path</t>
  </si>
  <si>
    <t>Base Filename</t>
  </si>
  <si>
    <t>Chiller design capacity</t>
  </si>
  <si>
    <t>Boiler design capacity</t>
  </si>
  <si>
    <t>AHU design capacity</t>
  </si>
  <si>
    <t>Min_OSA</t>
  </si>
  <si>
    <t>Relief_Fan</t>
  </si>
  <si>
    <t>VariableSpeed</t>
  </si>
  <si>
    <t>Max</t>
  </si>
  <si>
    <t>E:\iruse\People\Paul Raftery\CBE Files\Output_Processing\</t>
  </si>
  <si>
    <t>UFADRad_York</t>
  </si>
  <si>
    <t>SingleSpeed</t>
  </si>
  <si>
    <t xml:space="preserve"> - Radiant system parameters -</t>
  </si>
  <si>
    <t>Cooling Tower Type</t>
  </si>
  <si>
    <t>Cooling Tower Control Type</t>
  </si>
  <si>
    <t>BoilerEfficiency</t>
  </si>
  <si>
    <t>BoilerFirstStageRatio[]</t>
  </si>
  <si>
    <t>Boiler2_Capacity[]</t>
  </si>
  <si>
    <t>BoilerEfficiencyCurve[]</t>
  </si>
  <si>
    <t>8/31</t>
  </si>
  <si>
    <t>9/30</t>
  </si>
  <si>
    <t>10/31</t>
  </si>
  <si>
    <t>Sac</t>
  </si>
  <si>
    <t>SF</t>
  </si>
  <si>
    <t>Season end dates</t>
  </si>
  <si>
    <t>3/31</t>
  </si>
  <si>
    <t>4/30</t>
  </si>
  <si>
    <t>5/31</t>
  </si>
  <si>
    <t>Boiler 1st Stage Ratio</t>
  </si>
  <si>
    <t>2/28</t>
  </si>
  <si>
    <t>Tower Size compared to UFAD run</t>
  </si>
  <si>
    <t>CndW_Radiant_Pump_MaxFlow[]</t>
  </si>
  <si>
    <t>Summer Cooling season end</t>
  </si>
  <si>
    <t>Fall swing season end</t>
  </si>
  <si>
    <t>Spring swing season end</t>
  </si>
  <si>
    <t xml:space="preserve">Winter heating season end </t>
  </si>
  <si>
    <t>AverageWetbulbOffset</t>
  </si>
  <si>
    <t>RadiantPerim_CoolingSP[]</t>
  </si>
  <si>
    <t>RadiantCore_CoolingSP[]</t>
  </si>
  <si>
    <t>RadiantCore_NightCoolingSP[]</t>
  </si>
  <si>
    <t>Condenser water temp variable</t>
  </si>
  <si>
    <t>Condenser water control</t>
  </si>
  <si>
    <t>Spring</t>
  </si>
  <si>
    <t>Fall</t>
  </si>
  <si>
    <t>3/15</t>
  </si>
  <si>
    <t>4/15</t>
  </si>
  <si>
    <t>9/15</t>
  </si>
  <si>
    <t>10/15</t>
  </si>
  <si>
    <t>5/15</t>
  </si>
  <si>
    <t>Recommended</t>
  </si>
  <si>
    <t>-50 = off</t>
  </si>
  <si>
    <t>WinterHeatingSeasonEndDate[]</t>
  </si>
  <si>
    <t>SpringSwingSeasonEndDate[]</t>
  </si>
  <si>
    <t>SummerCoolingSeasonEndDate[]</t>
  </si>
  <si>
    <t>FallSwingSeasonEndDate[]</t>
  </si>
  <si>
    <t>CndW_Radiant_ControlVar[]</t>
  </si>
  <si>
    <t>CndW_Radiant_Setpoint_Cntrl[]</t>
  </si>
  <si>
    <t xml:space="preserve">CndW_Radiant loop max flow </t>
  </si>
  <si>
    <t>RadiantPerim_NightCoolingSP[]</t>
  </si>
  <si>
    <t>InsideSurfaceTemperature</t>
  </si>
  <si>
    <t>21.5</t>
  </si>
  <si>
    <t>Swing_Season_Operation[]</t>
  </si>
  <si>
    <t>Radiant slab control method</t>
  </si>
  <si>
    <t>3.0</t>
  </si>
  <si>
    <t>TDV Evaluation</t>
  </si>
  <si>
    <t>TDV_Evaluation[]</t>
  </si>
  <si>
    <t>Simulation complete box popup</t>
  </si>
  <si>
    <t>TwoSpeed</t>
  </si>
  <si>
    <t>Off</t>
  </si>
  <si>
    <t>Fixed Temp</t>
  </si>
  <si>
    <t>Equipment_Level[]</t>
  </si>
  <si>
    <t>Lighting_Level[]</t>
  </si>
  <si>
    <t>Area/Person[]</t>
  </si>
  <si>
    <t>UFAD_NumDiffsPerZone_GFE[]</t>
  </si>
  <si>
    <t>UFAD_NumDiffsPerZone_GFW[]</t>
  </si>
  <si>
    <t>UFAD_NumDiffsPerZone_GFS[]</t>
  </si>
  <si>
    <t>UFAD_NumDiffsPerZone_GFN[]</t>
  </si>
  <si>
    <t>UFAD_NumDiffsPerZone_MFE[]</t>
  </si>
  <si>
    <t>UFAD_NumDiffsPerZone_MFW[]</t>
  </si>
  <si>
    <t>UFAD_NumDiffsPerZone_MFS[]</t>
  </si>
  <si>
    <t>UFAD_NumDiffsPerZone_MFN[]</t>
  </si>
  <si>
    <t>UFAD_NumDiffsPerZone_TFE[]</t>
  </si>
  <si>
    <t>UFAD_NumDiffsPerZone_TFW[]</t>
  </si>
  <si>
    <t>UFAD_NumDiffsPerZone_TFS[]</t>
  </si>
  <si>
    <t>UFAD_NumDiffsPerZone_TFN[]</t>
  </si>
  <si>
    <t>UFAD_Int_NumDiffsPerZone_GF[]</t>
  </si>
  <si>
    <t>UFAD_Int_NumDiffsPerZone_MF[]</t>
  </si>
  <si>
    <t>UFAD_Int_NumDiffsPerZone_TF[]</t>
  </si>
  <si>
    <t xml:space="preserve">     Design Phi</t>
  </si>
  <si>
    <t>To be fine-tuned later</t>
  </si>
  <si>
    <t>Low</t>
  </si>
  <si>
    <t>FCU</t>
  </si>
  <si>
    <t>Floor_Multiplier</t>
  </si>
  <si>
    <t>Floor_Multiplier[]</t>
  </si>
  <si>
    <t>FloorMultiplier_Flag[]</t>
  </si>
  <si>
    <t>SPFloor_Coeff[]</t>
  </si>
  <si>
    <t>SPWall_Coeff[]</t>
  </si>
  <si>
    <t>SPCeiling_Coeff[]</t>
  </si>
  <si>
    <t>Return_Bypass[]</t>
  </si>
  <si>
    <t>! INCLUDES</t>
  </si>
  <si>
    <t>City</t>
  </si>
  <si>
    <t>Miami, FL</t>
  </si>
  <si>
    <t>Houston, TX</t>
  </si>
  <si>
    <t>Phoenix, AZ</t>
  </si>
  <si>
    <t>Los Angeles, CA</t>
  </si>
  <si>
    <t>Atlanta, GA</t>
  </si>
  <si>
    <t>Las Vegas, NV</t>
  </si>
  <si>
    <t>San Francisco, CA</t>
  </si>
  <si>
    <t>Baltimore, MD</t>
  </si>
  <si>
    <t>Albuquerque, NM</t>
  </si>
  <si>
    <t>Seattle, WA</t>
  </si>
  <si>
    <t>Chicago, IL</t>
  </si>
  <si>
    <t>Boulder, CO</t>
  </si>
  <si>
    <t>Minneapolis, MN</t>
  </si>
  <si>
    <t>Helena, MT</t>
  </si>
  <si>
    <t>Duluth, MN</t>
  </si>
  <si>
    <t>Fairbanks, AK</t>
  </si>
  <si>
    <t>Central Heating Coil Operation?</t>
  </si>
  <si>
    <t>Central_HeatingCoil[]</t>
  </si>
  <si>
    <t xml:space="preserve">Monthly average Fanger PPD -- Zone : </t>
  </si>
  <si>
    <t>Too cold</t>
  </si>
  <si>
    <t>Too hot</t>
  </si>
  <si>
    <t>ZONE PMV</t>
  </si>
  <si>
    <t>ZONE OCC</t>
  </si>
  <si>
    <t>PPD HOT</t>
  </si>
  <si>
    <t>ZONE PPD</t>
  </si>
  <si>
    <t>PPD COOL</t>
  </si>
  <si>
    <t>PPD HOT OCC</t>
  </si>
  <si>
    <t>PPD COOL OCC</t>
  </si>
  <si>
    <t>*GFNORTH*Time Cooling Setpoint Not Met While Occupied[hr](Monthly)</t>
  </si>
  <si>
    <t>*GFSOUTH*Time Cooling Setpoint Not Met While Occupied[hr](Monthly)</t>
  </si>
  <si>
    <t>*GFEAST*Time Cooling Setpoint Not Met While Occupied[hr](Monthly)</t>
  </si>
  <si>
    <t>*GFWEST*Time Cooling Setpoint Not Met While Occupied[hr](Monthly)</t>
  </si>
  <si>
    <t>*GFCORE*Time Cooling Setpoint Not Met While Occupied[hr](Monthly)</t>
  </si>
  <si>
    <t>*MFCORE*Time Cooling Setpoint Not Met While Occupied[hr](Monthly)</t>
  </si>
  <si>
    <t>*MFNORTH*Time Cooling Setpoint Not Met While Occupied[hr](Monthly)</t>
  </si>
  <si>
    <t>*MFSOUTH*Time Cooling Setpoint Not Met While Occupied[hr](Monthly)</t>
  </si>
  <si>
    <t>*MFEAST*Time Cooling Setpoint Not Met While Occupied[hr](Monthly)</t>
  </si>
  <si>
    <t>*MFWEST*Time Cooling Setpoint Not Met While Occupied[hr](Monthly)</t>
  </si>
  <si>
    <t>*TFCORE*Time Cooling Setpoint Not Met While Occupied[hr](Monthly)</t>
  </si>
  <si>
    <t>*TFNORTH*Time Cooling Setpoint Not Met While Occupied[hr](Monthly)</t>
  </si>
  <si>
    <t>*TFSOUTH*Time Cooling Setpoint Not Met While Occupied[hr](Monthly)</t>
  </si>
  <si>
    <t>*TFEAST*Time Cooling Setpoint Not Met While Occupied[hr](Monthly)</t>
  </si>
  <si>
    <t>*TFWEST*Time Cooling Setpoint Not Met While Occupied[hr](Monthly)</t>
  </si>
  <si>
    <t>Core Occupancy</t>
  </si>
  <si>
    <t>Core Lighting</t>
  </si>
  <si>
    <t>Core Equipment</t>
  </si>
  <si>
    <t>Equipment_Level_Core[]</t>
  </si>
  <si>
    <t>Lighting_Level_Core[]</t>
  </si>
  <si>
    <t>Area/Person_Core[]</t>
  </si>
  <si>
    <t>High AHU Supply Air Temperature</t>
  </si>
  <si>
    <t xml:space="preserve"> </t>
  </si>
  <si>
    <t>Damper Heating Action</t>
  </si>
  <si>
    <t>Damper_action[]</t>
  </si>
  <si>
    <t>CBE</t>
  </si>
  <si>
    <t>Reverse</t>
  </si>
  <si>
    <t>Chiller_SizingFactor[]</t>
  </si>
  <si>
    <t>Fake UFAD?</t>
  </si>
  <si>
    <t>People_RoomRatio[]</t>
  </si>
  <si>
    <t>Equipment_RoomRatio[]</t>
  </si>
  <si>
    <t>Lighting_RoomRatio[]</t>
  </si>
  <si>
    <t>Remainder_PeopleRoom[]</t>
  </si>
  <si>
    <t>Remainder_EquipmentRoom[]</t>
  </si>
  <si>
    <t>Remainder_LightingRoom[]</t>
  </si>
  <si>
    <t>Window_RoomRatio[]</t>
  </si>
  <si>
    <t>Window_SecondHeight_GF[]</t>
  </si>
  <si>
    <t>Window_SecondHeight_MF[]</t>
  </si>
  <si>
    <t>Window_SecondHeight_TF[]</t>
  </si>
  <si>
    <t>C:\EnergyPlusV6-0-0\</t>
  </si>
  <si>
    <t>ATU OUTLET NODE:System Node Volume Flow Rate Standard Density [m3/s](Hourly)</t>
  </si>
  <si>
    <t>WWR_Text[]</t>
  </si>
  <si>
    <t>EWPerimeter_Area[]</t>
  </si>
  <si>
    <t>SNPerimeter_Area[]</t>
  </si>
  <si>
    <t>Core_Area[]</t>
  </si>
  <si>
    <t>Detailed Report</t>
  </si>
  <si>
    <t>DetailedReport[]</t>
  </si>
  <si>
    <t>Detailed Report 2</t>
  </si>
  <si>
    <t>Fake_UFAD[]</t>
  </si>
  <si>
    <t>Environment:Outdoor Dry Bulb [C](Monthly)</t>
  </si>
  <si>
    <t>Environment:Outdoor Wet Bulb [C](Hourly)</t>
  </si>
  <si>
    <t>Environment:Outdoor Wet Bulb [C](Monthly)</t>
  </si>
  <si>
    <t>Environment:DayType Index [](Hourly)</t>
  </si>
  <si>
    <t>GFNORTH:Zone Total Internal Convective Heat Gain [J](Hourly)</t>
  </si>
  <si>
    <t>GFNORTH:Zone Total Internal Total Heat Gain [J](Hourly)</t>
  </si>
  <si>
    <t>GFEAST:Zone Total Internal Convective Heat Gain [J](Hourly)</t>
  </si>
  <si>
    <t>GFEAST:Zone Total Internal Total Heat Gain [J](Hourly)</t>
  </si>
  <si>
    <t>GFSOUTH:Zone Total Internal Convective Heat Gain [J](Hourly)</t>
  </si>
  <si>
    <t>GFSOUTH:Zone Total Internal Total Heat Gain [J](Hourly)</t>
  </si>
  <si>
    <t>GFWEST:Zone Total Internal Convective Heat Gain [J](Hourly)</t>
  </si>
  <si>
    <t>GFWEST:Zone Total Internal Total Heat Gain [J](Hourly)</t>
  </si>
  <si>
    <t>GFCORE:Zone Total Internal Convective Heat Gain [J](Hourly)</t>
  </si>
  <si>
    <t>GFCORE:Zone Total Internal Total Heat Gain [J](Hourly)</t>
  </si>
  <si>
    <t>MFNORTH:Zone Total Internal Convective Heat Gain [J](Hourly)</t>
  </si>
  <si>
    <t>MFNORTH:Zone Total Internal Total Heat Gain [J](Hourly)</t>
  </si>
  <si>
    <t>MFEAST:Zone Total Internal Convective Heat Gain [J](Hourly)</t>
  </si>
  <si>
    <t>MFEAST:Zone Total Internal Total Heat Gain [J](Hourly)</t>
  </si>
  <si>
    <t>MFSOUTH:Zone Total Internal Convective Heat Gain [J](Hourly)</t>
  </si>
  <si>
    <t>MFSOUTH:Zone Total Internal Total Heat Gain [J](Hourly)</t>
  </si>
  <si>
    <t>MFWEST:Zone Total Internal Convective Heat Gain [J](Hourly)</t>
  </si>
  <si>
    <t>MFWEST:Zone Total Internal Total Heat Gain [J](Hourly)</t>
  </si>
  <si>
    <t>MFCORE:Zone Total Internal Convective Heat Gain [J](Hourly)</t>
  </si>
  <si>
    <t>MFCORE:Zone Total Internal Total Heat Gain [J](Hourly)</t>
  </si>
  <si>
    <t>TFNORTH:Zone Total Internal Convective Heat Gain [J](Hourly)</t>
  </si>
  <si>
    <t>TFNORTH:Zone Total Internal Total Heat Gain [J](Hourly)</t>
  </si>
  <si>
    <t>TFEAST:Zone Total Internal Convective Heat Gain [J](Hourly)</t>
  </si>
  <si>
    <t>TFEAST:Zone Total Internal Total Heat Gain [J](Hourly)</t>
  </si>
  <si>
    <t>TFSOUTH:Zone Total Internal Convective Heat Gain [J](Hourly)</t>
  </si>
  <si>
    <t>TFSOUTH:Zone Total Internal Total Heat Gain [J](Hourly)</t>
  </si>
  <si>
    <t>TFWEST:Zone Total Internal Convective Heat Gain [J](Hourly)</t>
  </si>
  <si>
    <t>TFWEST:Zone Total Internal Total Heat Gain [J](Hourly)</t>
  </si>
  <si>
    <t>TFCORE:Zone Total Internal Convective Heat Gain [J](Hourly)</t>
  </si>
  <si>
    <t>TFCORE:Zone Total Internal Total Heat Gain [J](Hourly)</t>
  </si>
  <si>
    <t>GFSOUTH:Zone People Number Of Occupants [](Hourly)</t>
  </si>
  <si>
    <t>GFSOUTH:Zone People Convective Heat Gain [J](Hourly)</t>
  </si>
  <si>
    <t>GFSOUTH:Zone People Total Heat Gain [J](Hourly)</t>
  </si>
  <si>
    <t>GFNORTH:Zone People Number Of Occupants [](Hourly)</t>
  </si>
  <si>
    <t>GFNORTH:Zone People Convective Heat Gain [J](Hourly)</t>
  </si>
  <si>
    <t>GFNORTH:Zone People Total Heat Gain [J](Hourly)</t>
  </si>
  <si>
    <t>GFWEST:Zone People Number Of Occupants [](Hourly)</t>
  </si>
  <si>
    <t>GFWEST:Zone People Convective Heat Gain [J](Hourly)</t>
  </si>
  <si>
    <t>GFWEST:Zone People Total Heat Gain [J](Hourly)</t>
  </si>
  <si>
    <t>GFEAST:Zone People Number Of Occupants [](Hourly)</t>
  </si>
  <si>
    <t>GFEAST:Zone People Convective Heat Gain [J](Hourly)</t>
  </si>
  <si>
    <t>GFEAST:Zone People Total Heat Gain [J](Hourly)</t>
  </si>
  <si>
    <t>MFSOUTH:Zone People Number Of Occupants [](Hourly)</t>
  </si>
  <si>
    <t>MFSOUTH:Zone People Convective Heat Gain [J](Hourly)</t>
  </si>
  <si>
    <t>MFSOUTH:Zone People Total Heat Gain [J](Hourly)</t>
  </si>
  <si>
    <t>MFNORTH:Zone People Number Of Occupants [](Hourly)</t>
  </si>
  <si>
    <t>MFNORTH:Zone People Convective Heat Gain [J](Hourly)</t>
  </si>
  <si>
    <t>MFNORTH:Zone People Total Heat Gain [J](Hourly)</t>
  </si>
  <si>
    <t>MFWEST:Zone People Number Of Occupants [](Hourly)</t>
  </si>
  <si>
    <t>MFWEST:Zone People Convective Heat Gain [J](Hourly)</t>
  </si>
  <si>
    <t>MFWEST:Zone People Total Heat Gain [J](Hourly)</t>
  </si>
  <si>
    <t>MFEAST:Zone People Number Of Occupants [](Hourly)</t>
  </si>
  <si>
    <t>MFEAST:Zone People Convective Heat Gain [J](Hourly)</t>
  </si>
  <si>
    <t>MFEAST:Zone People Total Heat Gain [J](Hourly)</t>
  </si>
  <si>
    <t>TFSOUTH:Zone People Number Of Occupants [](Hourly)</t>
  </si>
  <si>
    <t>TFSOUTH:Zone People Convective Heat Gain [J](Hourly)</t>
  </si>
  <si>
    <t>TFSOUTH:Zone People Total Heat Gain [J](Hourly)</t>
  </si>
  <si>
    <t>TFNORTH:Zone People Number Of Occupants [](Hourly)</t>
  </si>
  <si>
    <t>TFNORTH:Zone People Convective Heat Gain [J](Hourly)</t>
  </si>
  <si>
    <t>TFNORTH:Zone People Total Heat Gain [J](Hourly)</t>
  </si>
  <si>
    <t>TFWEST:Zone People Number Of Occupants [](Hourly)</t>
  </si>
  <si>
    <t>TFWEST:Zone People Convective Heat Gain [J](Hourly)</t>
  </si>
  <si>
    <t>TFWEST:Zone People Total Heat Gain [J](Hourly)</t>
  </si>
  <si>
    <t>TFEAST:Zone People Number Of Occupants [](Hourly)</t>
  </si>
  <si>
    <t>TFEAST:Zone People Convective Heat Gain [J](Hourly)</t>
  </si>
  <si>
    <t>TFEAST:Zone People Total Heat Gain [J](Hourly)</t>
  </si>
  <si>
    <t>GFCORE PEOPLE:People Total Heat Gain [J](Hourly)</t>
  </si>
  <si>
    <t>GFCORE:Zone People Number Of Occupants [](Hourly)</t>
  </si>
  <si>
    <t>GFCORE:Zone People Convective Heat Gain [J](Hourly)</t>
  </si>
  <si>
    <t>GFCORE:Zone People Total Heat Gain [J](Hourly)</t>
  </si>
  <si>
    <t>MFCORE:Zone People Number Of Occupants [](Hourly)</t>
  </si>
  <si>
    <t>MFCORE:Zone People Convective Heat Gain [J](Hourly)</t>
  </si>
  <si>
    <t>MFCORE:Zone People Total Heat Gain [J](Hourly)</t>
  </si>
  <si>
    <t>TFCORE:Zone People Number Of Occupants [](Hourly)</t>
  </si>
  <si>
    <t>TFCORE:Zone People Convective Heat Gain [J](Hourly)</t>
  </si>
  <si>
    <t>TFCORE:Zone People Total Heat Gain [J](Hourly)</t>
  </si>
  <si>
    <t>GFSOUTH:Zone Lights Convective Heat Gain [J](Hourly)</t>
  </si>
  <si>
    <t>GFSOUTH:Zone Lights Total Heat Gain [J](Hourly)</t>
  </si>
  <si>
    <t>GFNORTH:Zone Lights Convective Heat Gain [J](Hourly)</t>
  </si>
  <si>
    <t>GFNORTH:Zone Lights Total Heat Gain [J](Hourly)</t>
  </si>
  <si>
    <t>GFWEST:Zone Lights Convective Heat Gain [J](Hourly)</t>
  </si>
  <si>
    <t>GFWEST:Zone Lights Total Heat Gain [J](Hourly)</t>
  </si>
  <si>
    <t>GFEAST:Zone Lights Convective Heat Gain [J](Hourly)</t>
  </si>
  <si>
    <t>GFEAST:Zone Lights Total Heat Gain [J](Hourly)</t>
  </si>
  <si>
    <t>MFSOUTH:Zone Lights Convective Heat Gain [J](Hourly)</t>
  </si>
  <si>
    <t>MFSOUTH:Zone Lights Total Heat Gain [J](Hourly)</t>
  </si>
  <si>
    <t>MFNORTH:Zone Lights Convective Heat Gain [J](Hourly)</t>
  </si>
  <si>
    <t>MFNORTH:Zone Lights Total Heat Gain [J](Hourly)</t>
  </si>
  <si>
    <t>MFWEST:Zone Lights Convective Heat Gain [J](Hourly)</t>
  </si>
  <si>
    <t>MFWEST:Zone Lights Total Heat Gain [J](Hourly)</t>
  </si>
  <si>
    <t>MFEAST:Zone Lights Convective Heat Gain [J](Hourly)</t>
  </si>
  <si>
    <t>MFEAST:Zone Lights Total Heat Gain [J](Hourly)</t>
  </si>
  <si>
    <t>TFSOUTH:Zone Lights Convective Heat Gain [J](Hourly)</t>
  </si>
  <si>
    <t>TFSOUTH:Zone Lights Total Heat Gain [J](Hourly)</t>
  </si>
  <si>
    <t>TFNORTH:Zone Lights Convective Heat Gain [J](Hourly)</t>
  </si>
  <si>
    <t>TFNORTH:Zone Lights Total Heat Gain [J](Hourly)</t>
  </si>
  <si>
    <t>TFWEST:Zone Lights Convective Heat Gain [J](Hourly)</t>
  </si>
  <si>
    <t>TFWEST:Zone Lights Total Heat Gain [J](Hourly)</t>
  </si>
  <si>
    <t>TFEAST:Zone Lights Convective Heat Gain [J](Hourly)</t>
  </si>
  <si>
    <t>TFEAST:Zone Lights Total Heat Gain [J](Hourly)</t>
  </si>
  <si>
    <t>GFCORE:Zone Lights Convective Heat Gain [J](Hourly)</t>
  </si>
  <si>
    <t>GFCORE:Zone Lights Total Heat Gain [J](Hourly)</t>
  </si>
  <si>
    <t>MFCORE:Zone Lights Convective Heat Gain [J](Hourly)</t>
  </si>
  <si>
    <t>MFCORE:Zone Lights Total Heat Gain [J](Hourly)</t>
  </si>
  <si>
    <t>TFCORE:Zone Lights Convective Heat Gain [J](Hourly)</t>
  </si>
  <si>
    <t>TFCORE:Zone Lights Total Heat Gain [J](Hourly)</t>
  </si>
  <si>
    <t>GFSOUTH:Zone Electric Equipment Convective Heat Gain [J](Hourly)</t>
  </si>
  <si>
    <t>GFSOUTH:Zone Electric Equipment Total Heat Gain [J](Hourly)</t>
  </si>
  <si>
    <t>GFNORTH:Zone Electric Equipment Convective Heat Gain [J](Hourly)</t>
  </si>
  <si>
    <t>GFNORTH:Zone Electric Equipment Total Heat Gain [J](Hourly)</t>
  </si>
  <si>
    <t>GFWEST:Zone Electric Equipment Convective Heat Gain [J](Hourly)</t>
  </si>
  <si>
    <t>GFWEST:Zone Electric Equipment Total Heat Gain [J](Hourly)</t>
  </si>
  <si>
    <t>GFEAST:Zone Electric Equipment Convective Heat Gain [J](Hourly)</t>
  </si>
  <si>
    <t>GFEAST:Zone Electric Equipment Total Heat Gain [J](Hourly)</t>
  </si>
  <si>
    <t>MFSOUTH:Zone Electric Equipment Convective Heat Gain [J](Hourly)</t>
  </si>
  <si>
    <t>MFSOUTH:Zone Electric Equipment Total Heat Gain [J](Hourly)</t>
  </si>
  <si>
    <t>MFNORTH:Zone Electric Equipment Convective Heat Gain [J](Hourly)</t>
  </si>
  <si>
    <t>MFNORTH:Zone Electric Equipment Total Heat Gain [J](Hourly)</t>
  </si>
  <si>
    <t>MFWEST:Zone Electric Equipment Convective Heat Gain [J](Hourly)</t>
  </si>
  <si>
    <t>MFWEST:Zone Electric Equipment Total Heat Gain [J](Hourly)</t>
  </si>
  <si>
    <t>MFEAST:Zone Electric Equipment Convective Heat Gain [J](Hourly)</t>
  </si>
  <si>
    <t>MFEAST:Zone Electric Equipment Total Heat Gain [J](Hourly)</t>
  </si>
  <si>
    <t>TFSOUTH:Zone Electric Equipment Convective Heat Gain [J](Hourly)</t>
  </si>
  <si>
    <t>TFSOUTH:Zone Electric Equipment Total Heat Gain [J](Hourly)</t>
  </si>
  <si>
    <t>TFNORTH:Zone Electric Equipment Convective Heat Gain [J](Hourly)</t>
  </si>
  <si>
    <t>TFNORTH:Zone Electric Equipment Total Heat Gain [J](Hourly)</t>
  </si>
  <si>
    <t>TFWEST:Zone Electric Equipment Convective Heat Gain [J](Hourly)</t>
  </si>
  <si>
    <t>TFWEST:Zone Electric Equipment Total Heat Gain [J](Hourly)</t>
  </si>
  <si>
    <t>TFEAST:Zone Electric Equipment Convective Heat Gain [J](Hourly)</t>
  </si>
  <si>
    <t>TFEAST:Zone Electric Equipment Total Heat Gain [J](Hourly)</t>
  </si>
  <si>
    <t>GFCORE:Zone Electric Equipment Convective Heat Gain [J](Hourly)</t>
  </si>
  <si>
    <t>GFCORE:Zone Electric Equipment Total Heat Gain [J](Hourly)</t>
  </si>
  <si>
    <t>MFCORE:Zone Electric Equipment Convective Heat Gain [J](Hourly)</t>
  </si>
  <si>
    <t>MFCORE:Zone Electric Equipment Total Heat Gain [J](Hourly)</t>
  </si>
  <si>
    <t>TFCORE:Zone Electric Equipment Convective Heat Gain [J](Hourly)</t>
  </si>
  <si>
    <t>TFCORE:Zone Electric Equipment Total Heat Gain [J](Hourly)</t>
  </si>
  <si>
    <t>GFNORTH:Zone Window Heat Gain[W](Hourly)</t>
  </si>
  <si>
    <t>GFEAST:Zone Window Heat Gain[W](Hourly)</t>
  </si>
  <si>
    <t>GFSOUTH:Zone Window Heat Gain[W](Hourly)</t>
  </si>
  <si>
    <t>GFWEST:Zone Window Heat Gain[W](Hourly)</t>
  </si>
  <si>
    <t>GFCORE:Zone Window Heat Gain[W](Hourly)</t>
  </si>
  <si>
    <t>MFNORTH:Zone Window Heat Gain[W](Hourly)</t>
  </si>
  <si>
    <t>MFEAST:Zone Window Heat Gain[W](Hourly)</t>
  </si>
  <si>
    <t>MFSOUTH:Zone Window Heat Gain[W](Hourly)</t>
  </si>
  <si>
    <t>MFWEST:Zone Transmitted Solar[W](Hourly)</t>
  </si>
  <si>
    <t>MFWEST:Zone Window Heat Gain[W](Hourly)</t>
  </si>
  <si>
    <t>MFCORE:Zone Window Heat Gain[W](Hourly)</t>
  </si>
  <si>
    <t>TFNORTH:Zone Window Heat Gain[W](Hourly)</t>
  </si>
  <si>
    <t>TFEAST:Zone Transmitted Solar[W](Hourly)</t>
  </si>
  <si>
    <t>TFEAST:Zone Window Heat Gain[W](Hourly)</t>
  </si>
  <si>
    <t>TFSOUTH:Zone Window Heat Gain[W](Hourly)</t>
  </si>
  <si>
    <t>TFWEST:Zone Transmitted Solar[W](Hourly)</t>
  </si>
  <si>
    <t>TFWEST:Zone Window Heat Gain[W](Hourly)</t>
  </si>
  <si>
    <t>TFCORE:Zone Window Heat Gain[W](Hourly)</t>
  </si>
  <si>
    <t>GFNORTH_WIN_N:Window Convection Heat Gain from Glazing to Zone [W](Hourly)</t>
  </si>
  <si>
    <t>GFEAST_WIN_E:Window Convection Heat Gain from Glazing to Zone [W](Hourly)</t>
  </si>
  <si>
    <t>GFSOUTH_WIN_S:Window Convection Heat Gain from Glazing to Zone [W](Hourly)</t>
  </si>
  <si>
    <t>GFWEST_WIN_W:Window Convection Heat Gain from Glazing to Zone [W](Hourly)</t>
  </si>
  <si>
    <t>MFNORTH_WIN_N:Window Convection Heat Gain from Glazing to Zone [W](Hourly)</t>
  </si>
  <si>
    <t>MFEAST_WIN_E:Window Convection Heat Gain from Glazing to Zone [W](Hourly)</t>
  </si>
  <si>
    <t>MFSOUTH_WIN_S:Window Convection Heat Gain from Glazing to Zone [W](Hourly)</t>
  </si>
  <si>
    <t>MFWEST_WIN_W:Window Convection Heat Gain from Glazing to Zone [W](Hourly)</t>
  </si>
  <si>
    <t>TFNORTH_WIN_N:Window Convection Heat Gain from Glazing to Zone [W](Hourly)</t>
  </si>
  <si>
    <t>TFEAST_WIN_E:Window Convection Heat Gain from Glazing to Zone [W](Hourly)</t>
  </si>
  <si>
    <t>TFEAST_WIN_E:Blind Diffuse-Diffuse Solar Transmittance[](Hourly)</t>
  </si>
  <si>
    <t>TFEAST_WIN_E:Blind/Glass System Beam-Beam Solar Transmittance[](Hourly)</t>
  </si>
  <si>
    <t>TFEAST_WIN_E:Blind/Glass System Diffuse-Diffuse Solar Transmittance[](Hourly)</t>
  </si>
  <si>
    <t>TFSOUTH_WIN_S:Window Convection Heat Gain from Glazing to Zone [W](Hourly)</t>
  </si>
  <si>
    <t>TFWEST_WIN_W:Window Heat Gain [W](Hourly)</t>
  </si>
  <si>
    <t>TFWEST_WIN_W:Window Gap Convective Heat Flow [W](Hourly)</t>
  </si>
  <si>
    <t>TFWEST_WIN_W:Window Solar Absorbed:Shading Device [W](Hourly)</t>
  </si>
  <si>
    <t>TFWEST_WIN_W:Window Convection Heat Gain from Glazing to Zone [W](Hourly)</t>
  </si>
  <si>
    <t>TFWEST_WIN_W:Blind Beam-Beam Solar Transmittance[](Hourly)</t>
  </si>
  <si>
    <t>TFWEST_WIN_W:Blind Beam-Diffuse Solar Transmittance[](Hourly)</t>
  </si>
  <si>
    <t>TFWEST_WIN_W:Blind Diffuse-Diffuse Solar Transmittance[](Hourly)</t>
  </si>
  <si>
    <t>TFWEST_WIN_W:Blind/Glass System Beam-Beam Solar Transmittance[](Hourly)</t>
  </si>
  <si>
    <t>TFWEST_WIN_W:Blind/Glass System Diffuse-Diffuse Solar Transmittance[](Hourly)</t>
  </si>
  <si>
    <t>GFNORTH_WALL_N:Surface Int Convection Heat Rate [W](Hourly)</t>
  </si>
  <si>
    <t>GFNORTH_FLOOR:Surface Int Convection Heat Rate [W](Hourly)</t>
  </si>
  <si>
    <t>GFNORTH_CEILING:Surface Int Convection Heat Rate [W](Hourly)</t>
  </si>
  <si>
    <t>GFEAST_WALL_E:Surface Int Convection Heat Rate [W](Hourly)</t>
  </si>
  <si>
    <t>GFEAST_FLOOR:Surface Int Convection Heat Rate [W](Hourly)</t>
  </si>
  <si>
    <t>GFEAST_CEILING:Surface Int Convection Heat Rate [W](Hourly)</t>
  </si>
  <si>
    <t>GFSOUTH_WALL_S:Surface Int Convection Heat Rate [W](Hourly)</t>
  </si>
  <si>
    <t>GFSOUTH_FLOOR:Surface Int Convection Heat Rate [W](Hourly)</t>
  </si>
  <si>
    <t>GFSOUTH_CEILING:Surface Int Convection Heat Rate [W](Hourly)</t>
  </si>
  <si>
    <t>GFWEST_WALL_W:Surface Int Convection Heat Rate [W](Hourly)</t>
  </si>
  <si>
    <t>GFWEST_FLOOR:Surface Int Convection Heat Rate [W](Hourly)</t>
  </si>
  <si>
    <t>GFWEST_CEILING:Surface Int Convection Heat Rate [W](Hourly)</t>
  </si>
  <si>
    <t>GFRPNORTH_WALL_N:Surface Int Convection Heat Rate [W](Hourly)</t>
  </si>
  <si>
    <t>GFRPNORTH_FLOOR:Surface Inside Temperature [C](Hourly)</t>
  </si>
  <si>
    <t>GFRPNORTH_FLOOR:Surface Outside Temperature [C](Hourly)</t>
  </si>
  <si>
    <t>GFRPNORTH_FLOOR:Surface Int Convection Heat Rate [W](Hourly)</t>
  </si>
  <si>
    <t>GFRPNORTH_CEILING:Surface Int Convection Heat Rate [W](Hourly)</t>
  </si>
  <si>
    <t>GFRPNORTH_CEILING:Opaque Surface Inside Face Conduction [W](Hourly)</t>
  </si>
  <si>
    <t>GFRPEAST_WALL_E:Surface Int Convection Heat Rate [W](Hourly)</t>
  </si>
  <si>
    <t>GFRPEAST_FLOOR:Surface Inside Temperature [C](Hourly)</t>
  </si>
  <si>
    <t>GFRPEAST_FLOOR:Surface Outside Temperature [C](Hourly)</t>
  </si>
  <si>
    <t>GFRPEAST_FLOOR:Surface Int Convection Heat Rate [W](Hourly)</t>
  </si>
  <si>
    <t>GFRPEAST_CEILING:Surface Int Convection Heat Rate [W](Hourly)</t>
  </si>
  <si>
    <t>GFRPEAST_CEILING:Opaque Surface Inside Face Conduction [W](Hourly)</t>
  </si>
  <si>
    <t>GFRPSOUTH_WALL_S:Surface Int Convection Heat Rate [W](Hourly)</t>
  </si>
  <si>
    <t>GFRPSOUTH_FLOOR:Surface Inside Temperature [C](Hourly)</t>
  </si>
  <si>
    <t>GFRPSOUTH_FLOOR:Surface Outside Temperature [C](Hourly)</t>
  </si>
  <si>
    <t>GFRPSOUTH_FLOOR:Surface Int Convection Heat Rate [W](Hourly)</t>
  </si>
  <si>
    <t>GFRPSOUTH_CEILING:Surface Int Convection Heat Rate [W](Hourly)</t>
  </si>
  <si>
    <t>GFRPSOUTH_CEILING:Opaque Surface Inside Face Conduction [W](Hourly)</t>
  </si>
  <si>
    <t>GFRPWEST_WALL_W:Surface Int Convection Heat Rate [W](Hourly)</t>
  </si>
  <si>
    <t>GFRPWEST_FLOOR:Surface Inside Temperature [C](Hourly)</t>
  </si>
  <si>
    <t>GFRPWEST_FLOOR:Surface Outside Temperature [C](Hourly)</t>
  </si>
  <si>
    <t>GFRPWEST_FLOOR:Surface Int Convection Heat Rate [W](Hourly)</t>
  </si>
  <si>
    <t>GFRPWEST_CEILING:Surface Int Convection Heat Rate [W](Hourly)</t>
  </si>
  <si>
    <t>GFRPWEST_CEILING:Opaque Surface Inside Face Conduction [W](Hourly)</t>
  </si>
  <si>
    <t>MFNORTH_WALL_N:Surface Int Convection Heat Rate [W](Hourly)</t>
  </si>
  <si>
    <t>MFNORTH_WALL_S:Surface Inside Temperature [C](Hourly)</t>
  </si>
  <si>
    <t>MFNORTH_WALL_S:Surface Outside Temperature [C](Hourly)</t>
  </si>
  <si>
    <t>MFNORTH_WALL_S:Surface Int Convection Heat Rate [W](Hourly)</t>
  </si>
  <si>
    <t>MFNORTH_FLOOR:Surface Int Convection Heat Rate [W](Hourly)</t>
  </si>
  <si>
    <t>MFNORTH_CEILING:Surface Inside Temperature [C](Hourly)</t>
  </si>
  <si>
    <t>MFNORTH_CEILING:Surface Int Convection Heat Rate [W](Hourly)</t>
  </si>
  <si>
    <t>MFEAST_WALL_E:Surface Int Convection Heat Rate [W](Hourly)</t>
  </si>
  <si>
    <t>MFEAST_WALL_W:Surface Inside Temperature [C](Hourly)</t>
  </si>
  <si>
    <t>MFEAST_WALL_W:Surface Outside Temperature [C](Hourly)</t>
  </si>
  <si>
    <t>MFEAST_WALL_W:Surface Int Convection Heat Rate [W](Hourly)</t>
  </si>
  <si>
    <t>MFEAST_FLOOR:Surface Int Convection Heat Rate [W](Hourly)</t>
  </si>
  <si>
    <t>MFEAST_CEILING:Surface Inside Temperature [C](Hourly)</t>
  </si>
  <si>
    <t>MFEAST_CEILING:Surface Int Convection Heat Rate [W](Hourly)</t>
  </si>
  <si>
    <t>MFSOUTH_WALL_N:Surface Inside Temperature [C](Hourly)</t>
  </si>
  <si>
    <t>MFSOUTH_WALL_N:Surface Outside Temperature [C](Hourly)</t>
  </si>
  <si>
    <t>MFSOUTH_WALL_N:Surface Int Convection Heat Rate [W](Hourly)</t>
  </si>
  <si>
    <t>MFSOUTH_WALL_S:Surface Int Convection Heat Rate [W](Hourly)</t>
  </si>
  <si>
    <t>MFSOUTH_FLOOR:Surface Int Convection Heat Rate [W](Hourly)</t>
  </si>
  <si>
    <t>MFSOUTH_CEILING:Surface Inside Temperature [C](Hourly)</t>
  </si>
  <si>
    <t>MFSOUTH_CEILING:Surface Int Convection Heat Rate [W](Hourly)</t>
  </si>
  <si>
    <t>MFWEST_WALL_N:Surface Int Convection Heat Rate [W](Hourly)</t>
  </si>
  <si>
    <t>MFWEST_WALL_E:Surface Inside Temperature [C](Hourly)</t>
  </si>
  <si>
    <t>MFWEST_WALL_E:Surface Outside Temperature [C](Hourly)</t>
  </si>
  <si>
    <t>MFWEST_WALL_E:Surface Int Convection Heat Rate [W](Hourly)</t>
  </si>
  <si>
    <t>MFWEST_WALL_S:Surface Int Convection Heat Rate [W](Hourly)</t>
  </si>
  <si>
    <t>MFWEST_WALL_W:Surface Int Convection Heat Rate [W](Hourly)</t>
  </si>
  <si>
    <t>MFWEST_FLOOR:Surface Int Convection Heat Rate [W](Hourly)</t>
  </si>
  <si>
    <t>MFWEST_CEILING:Surface Inside Temperature [C](Hourly)</t>
  </si>
  <si>
    <t>MFWEST_CEILING:Surface Int Convection Coeff [W/m2-K](Hourly)</t>
  </si>
  <si>
    <t>MFWEST_CEILING:Surface Int Convection Heat Rate [W](Hourly)</t>
  </si>
  <si>
    <t>MFCORE_CEILING:Surface Int Convection Heat Rate [W](Hourly)</t>
  </si>
  <si>
    <t>MFRPNORTH_WALL_N:Surface Int Convection Heat Rate [W](Hourly)</t>
  </si>
  <si>
    <t>MFRPNORTH_FLOOR:Surface Inside Temperature [C](Hourly)</t>
  </si>
  <si>
    <t>MFRPNORTH_FLOOR:Surface Outside Temperature [C](Hourly)</t>
  </si>
  <si>
    <t>MFRPNORTH_FLOOR:Surface Int Convection Heat Rate [W](Hourly)</t>
  </si>
  <si>
    <t>MFRPNORTH_CEILING:Surface Int Convection Heat Rate [W](Hourly)</t>
  </si>
  <si>
    <t>MFRPNORTH_CEILING:Opaque Surface Inside Face Conduction [W](Hourly)</t>
  </si>
  <si>
    <t>MFRPEAST_WALL_E:Surface Int Convection Heat Rate [W](Hourly)</t>
  </si>
  <si>
    <t>MFRPEAST_FLOOR:Surface Inside Temperature [C](Hourly)</t>
  </si>
  <si>
    <t>MFRPEAST_FLOOR:Surface Outside Temperature [C](Hourly)</t>
  </si>
  <si>
    <t>MFRPEAST_FLOOR:Surface Int Convection Heat Rate [W](Hourly)</t>
  </si>
  <si>
    <t>MFRPEAST_CEILING:Surface Int Convection Heat Rate [W](Hourly)</t>
  </si>
  <si>
    <t>MFRPEAST_CEILING:Opaque Surface Inside Face Conduction [W](Hourly)</t>
  </si>
  <si>
    <t>MFRPSOUTH_WALL_S:Surface Int Convection Heat Rate [W](Hourly)</t>
  </si>
  <si>
    <t>MFRPSOUTH_FLOOR:Surface Inside Temperature [C](Hourly)</t>
  </si>
  <si>
    <t>MFRPSOUTH_FLOOR:Surface Outside Temperature [C](Hourly)</t>
  </si>
  <si>
    <t>MFRPSOUTH_FLOOR:Surface Int Convection Heat Rate [W](Hourly)</t>
  </si>
  <si>
    <t>MFRPSOUTH_CEILING:Surface Int Convection Heat Rate [W](Hourly)</t>
  </si>
  <si>
    <t>MFRPSOUTH_CEILING:Opaque Surface Inside Face Conduction [W](Hourly)</t>
  </si>
  <si>
    <t>MFRPWEST_WALL_W:Surface Int Convection Heat Rate [W](Hourly)</t>
  </si>
  <si>
    <t>MFRPWEST_FLOOR:Surface Inside Temperature [C](Hourly)</t>
  </si>
  <si>
    <t>MFRPWEST_FLOOR:Surface Outside Temperature [C](Hourly)</t>
  </si>
  <si>
    <t>MFRPWEST_FLOOR:Surface Int Convection Coeff [W/m2-K](Hourly)</t>
  </si>
  <si>
    <t>MFRPWEST_FLOOR:Surface Int Convection Heat Rate [W](Hourly)</t>
  </si>
  <si>
    <t>MFRPWEST_CEILING:Surface Int Convection Coeff [W/m2-K](Hourly)</t>
  </si>
  <si>
    <t>MFRPWEST_CEILING:Surface Int Convection Heat Rate [W](Hourly)</t>
  </si>
  <si>
    <t>MFRPWEST_CEILING:Opaque Surface Inside Face Conduction [W](Hourly)</t>
  </si>
  <si>
    <t>TFNORTH_WALL_N:Surface Int Convection Heat Rate [W](Hourly)</t>
  </si>
  <si>
    <t>TFNORTH_FLOOR:Surface Int Convection Heat Rate [W](Hourly)</t>
  </si>
  <si>
    <t>TFNORTH_CEILING:Surface Int Convection Heat Rate [W](Hourly)</t>
  </si>
  <si>
    <t>TFEAST_WALL_E:Surface Int Convection Heat Rate [W](Hourly)</t>
  </si>
  <si>
    <t>TFEAST_FLOOR:Surface Int Convection Heat Rate [W](Hourly)</t>
  </si>
  <si>
    <t>TFEAST_CEILING:Surface Int Convection Heat Rate [W](Hourly)</t>
  </si>
  <si>
    <t>TFSOUTH_WALL_S:Surface Int Convection Heat Rate [W](Hourly)</t>
  </si>
  <si>
    <t>TFSOUTH_FLOOR:Surface Int Convection Heat Rate [W](Hourly)</t>
  </si>
  <si>
    <t>TFSOUTH_CEILING:Surface Int Convection Heat Rate [W](Hourly)</t>
  </si>
  <si>
    <t>TFWEST_WALL_W:Surface Int Convection Heat Rate [W](Hourly)</t>
  </si>
  <si>
    <t>TFWEST_WIN_W:Surface Inside Temperature [C](Hourly)</t>
  </si>
  <si>
    <t>TFWEST_WIN_W:Surface Int Convection Heat Rate [W](Hourly)</t>
  </si>
  <si>
    <t>TFWEST_FLOOR:Surface Int Convection Coeff [W/m2-K](Hourly)</t>
  </si>
  <si>
    <t>TFWEST_FLOOR:Surface Int Convection Heat Rate [W](Hourly)</t>
  </si>
  <si>
    <t>TFWEST_CEILING:Surface Int Convection Heat Rate [W](Hourly)</t>
  </si>
  <si>
    <t>TFRPNORTH_WALL_N:Surface Int Convection Heat Rate [W](Hourly)</t>
  </si>
  <si>
    <t>TFRPNORTH_FLOOR:Surface Inside Temperature [C](Hourly)</t>
  </si>
  <si>
    <t>TFRPNORTH_FLOOR:Surface Outside Temperature [C](Hourly)</t>
  </si>
  <si>
    <t>TFRPNORTH_FLOOR:Surface Int Convection Heat Rate [W](Hourly)</t>
  </si>
  <si>
    <t>TFRPNORTH_CEILING:Surface Inside Temperature [C](Hourly)</t>
  </si>
  <si>
    <t>TFRPNORTH_CEILING:Surface Outside Temperature [C](Hourly)</t>
  </si>
  <si>
    <t>TFRPNORTH_CEILING:Surface Int Convection Heat Rate [W](Hourly)</t>
  </si>
  <si>
    <t>TFRPNORTH_CEILING:Opaque Surface Inside Face Conduction [W](Hourly)</t>
  </si>
  <si>
    <t>TFRPEAST_WALL_E:Surface Int Convection Heat Rate [W](Hourly)</t>
  </si>
  <si>
    <t>TFRPEAST_FLOOR:Surface Inside Temperature [C](Hourly)</t>
  </si>
  <si>
    <t>TFRPEAST_FLOOR:Surface Outside Temperature [C](Hourly)</t>
  </si>
  <si>
    <t>TFRPEAST_FLOOR:Surface Int Convection Heat Rate [W](Hourly)</t>
  </si>
  <si>
    <t>TFRPEAST_CEILING:Surface Inside Temperature [C](Hourly)</t>
  </si>
  <si>
    <t>TFRPEAST_CEILING:Surface Outside Temperature [C](Hourly)</t>
  </si>
  <si>
    <t>TFRPEAST_CEILING:Surface Int Convection Heat Rate [W](Hourly)</t>
  </si>
  <si>
    <t>TFRPEAST_CEILING:Opaque Surface Inside Face Conduction [W](Hourly)</t>
  </si>
  <si>
    <t>TFRPSOUTH_WALL_S:Surface Int Convection Heat Rate [W](Hourly)</t>
  </si>
  <si>
    <t>TFRPSOUTH_FLOOR:Surface Inside Temperature [C](Hourly)</t>
  </si>
  <si>
    <t>TFRPSOUTH_FLOOR:Surface Outside Temperature [C](Hourly)</t>
  </si>
  <si>
    <t>TFRPSOUTH_FLOOR:Surface Int Convection Heat Rate [W](Hourly)</t>
  </si>
  <si>
    <t>TFRPSOUTH_CEILING:Surface Inside Temperature [C](Hourly)</t>
  </si>
  <si>
    <t>TFRPSOUTH_CEILING:Surface Outside Temperature [C](Hourly)</t>
  </si>
  <si>
    <t>TFRPSOUTH_CEILING:Surface Int Convection Heat Rate [W](Hourly)</t>
  </si>
  <si>
    <t>TFRPSOUTH_CEILING:Opaque Surface Inside Face Conduction [W](Hourly)</t>
  </si>
  <si>
    <t>TFRPWEST_WALL_W:Surface Int Convection Heat Rate [W](Hourly)</t>
  </si>
  <si>
    <t>TFRPWEST_FLOOR:Surface Inside Temperature [C](Hourly)</t>
  </si>
  <si>
    <t>TFRPWEST_FLOOR:Surface Outside Temperature [C](Hourly)</t>
  </si>
  <si>
    <t>TFRPWEST_FLOOR:Surface Int Convection Heat Rate [W](Hourly)</t>
  </si>
  <si>
    <t>TFRPWEST_CEILING:Surface Inside Temperature [C](Hourly)</t>
  </si>
  <si>
    <t>TFRPWEST_CEILING:Surface Outside Temperature [C](Hourly)</t>
  </si>
  <si>
    <t>TFRPWEST_CEILING:Surface Int Convection Heat Rate [W](Hourly)</t>
  </si>
  <si>
    <t>TFRPWEST_CEILING:Opaque Surface Inside Face Conduction [W](Hourly)</t>
  </si>
  <si>
    <t>GFNORTH:Zone Mean Radiant Temperature [C](Hourly)</t>
  </si>
  <si>
    <t>GFEAST:Zone Mean Radiant Temperature [C](Hourly)</t>
  </si>
  <si>
    <t>GFSOUTH:Zone Mean Radiant Temperature [C](Hourly)</t>
  </si>
  <si>
    <t>GFWEST:Zone Mean Radiant Temperature [C](Hourly)</t>
  </si>
  <si>
    <t>GFCORE:Zone Mean Radiant Temperature [C](Hourly)</t>
  </si>
  <si>
    <t>MFNORTH:Zone Mean Radiant Temperature [C](Hourly)</t>
  </si>
  <si>
    <t>MFEAST:Zone Mean Radiant Temperature [C](Hourly)</t>
  </si>
  <si>
    <t>MFSOUTH:Zone Mean Radiant Temperature [C](Hourly)</t>
  </si>
  <si>
    <t>MFWEST:Zone Mean Radiant Temperature [C](Hourly)</t>
  </si>
  <si>
    <t>MFCORE:Zone Mean Radiant Temperature [C](Hourly)</t>
  </si>
  <si>
    <t>TFNORTH:Zone Mean Radiant Temperature [C](Hourly)</t>
  </si>
  <si>
    <t>TFEAST:Zone Mean Radiant Temperature [C](Hourly)</t>
  </si>
  <si>
    <t>TFSOUTH:Zone Mean Radiant Temperature [C](Hourly)</t>
  </si>
  <si>
    <t>TFWEST:Zone Mean Radiant Temperature [C](Hourly)</t>
  </si>
  <si>
    <t>TFCORE:Zone Mean Radiant Temperature [C](Hourly)</t>
  </si>
  <si>
    <t>GFNORTH:Zone Operative Temperature [C](Hourly)</t>
  </si>
  <si>
    <t>GFEAST:Zone Operative Temperature [C](Hourly)</t>
  </si>
  <si>
    <t>GFSOUTH:Zone Operative Temperature [C](Hourly)</t>
  </si>
  <si>
    <t>GFWEST:Zone Operative Temperature [C](Hourly)</t>
  </si>
  <si>
    <t>GFCORE:Zone Operative Temperature [C](Hourly)</t>
  </si>
  <si>
    <t>MFNORTH:Zone Operative Temperature [C](Hourly)</t>
  </si>
  <si>
    <t>MFEAST:Zone Operative Temperature [C](Hourly)</t>
  </si>
  <si>
    <t>MFSOUTH:Zone Operative Temperature [C](Hourly)</t>
  </si>
  <si>
    <t>MFWEST:Zone Operative Temperature [C](Hourly)</t>
  </si>
  <si>
    <t>MFWEST:Zone Air Balance Surface Convection Rate [W](Hourly)</t>
  </si>
  <si>
    <t>MFCORE:Zone Operative Temperature [C](Hourly)</t>
  </si>
  <si>
    <t>MFCORE:Zone Air Balance Surface Convection Rate [W](Hourly)</t>
  </si>
  <si>
    <t>TFNORTH:Zone Operative Temperature [C](Hourly)</t>
  </si>
  <si>
    <t>TFEAST:Zone Operative Temperature [C](Hourly)</t>
  </si>
  <si>
    <t>TFSOUTH:Zone Operative Temperature [C](Hourly)</t>
  </si>
  <si>
    <t>TFWEST:Zone Operative Temperature [C](Hourly)</t>
  </si>
  <si>
    <t>TFCORE:Zone Operative Temperature [C](Hourly)</t>
  </si>
  <si>
    <t>MFSOUTH:Zone Infiltration Total Heat Loss [J](Hourly)</t>
  </si>
  <si>
    <t>MFSOUTH:Zone Infiltration Total Heat Gain [J](Hourly)</t>
  </si>
  <si>
    <t>MFEAST:Zone Infiltration Total Heat Loss [J](Hourly)</t>
  </si>
  <si>
    <t>MFEAST:Zone Infiltration Total Heat Gain [J](Hourly)</t>
  </si>
  <si>
    <t>MFRPSOUTH:Zone Infiltration Total Heat Loss [J](Hourly)</t>
  </si>
  <si>
    <t>MFRPSOUTH:Zone Infiltration Total Heat Gain [J](Hourly)</t>
  </si>
  <si>
    <t>MFRPEAST:Zone Infiltration Total Heat Loss [J](Hourly)</t>
  </si>
  <si>
    <t>MFRPEAST:Zone Infiltration Total Heat Gain [J](Hourly)</t>
  </si>
  <si>
    <t>GFNORTH:Zone/Sys Sensible Heating Rate [W](Hourly)</t>
  </si>
  <si>
    <t>GFNORTH:Zone/Sys Sensible Cooling Rate [W](Hourly)</t>
  </si>
  <si>
    <t>GFNORTH:Zone/Sys Air Temperature [C](Hourly)</t>
  </si>
  <si>
    <t>GFNORTH:Zone/Sys Sensible Load Predicted [W](Hourly)</t>
  </si>
  <si>
    <t>GFNORTH:Zone/Sys Sensible Load to Heating Setpoint Predicted [W](Hourly)</t>
  </si>
  <si>
    <t>GFNORTH:Zone/Sys Sensible Load to Cooling Setpoint Predicted [W](Hourly)</t>
  </si>
  <si>
    <t>GFEAST:Zone/Sys Sensible Heating Rate [W](Hourly)</t>
  </si>
  <si>
    <t>GFEAST:Zone/Sys Sensible Cooling Rate [W](Hourly)</t>
  </si>
  <si>
    <t>GFEAST:Zone/Sys Air Temperature [C](Hourly)</t>
  </si>
  <si>
    <t>GFEAST:Zone/Sys Sensible Load Predicted [W](Hourly)</t>
  </si>
  <si>
    <t>GFEAST:Zone/Sys Sensible Load to Heating Setpoint Predicted [W](Hourly)</t>
  </si>
  <si>
    <t>GFEAST:Zone/Sys Sensible Load to Cooling Setpoint Predicted [W](Hourly)</t>
  </si>
  <si>
    <t>GFSOUTH:Zone/Sys Sensible Heating Rate [W](Hourly)</t>
  </si>
  <si>
    <t>GFSOUTH:Zone/Sys Sensible Cooling Rate [W](Hourly)</t>
  </si>
  <si>
    <t>GFSOUTH:Zone/Sys Air Temperature [C](Hourly)</t>
  </si>
  <si>
    <t>GFSOUTH:Zone/Sys Sensible Load Predicted [W](Hourly)</t>
  </si>
  <si>
    <t>GFSOUTH:Zone/Sys Sensible Load to Heating Setpoint Predicted [W](Hourly)</t>
  </si>
  <si>
    <t>GFSOUTH:Zone/Sys Sensible Load to Cooling Setpoint Predicted [W](Hourly)</t>
  </si>
  <si>
    <t>GFWEST:Zone/Sys Sensible Heating Rate [W](Hourly)</t>
  </si>
  <si>
    <t>GFWEST:Zone/Sys Sensible Cooling Rate [W](Hourly)</t>
  </si>
  <si>
    <t>GFWEST:Zone/Sys Air Temperature [C](Hourly)</t>
  </si>
  <si>
    <t>GFWEST:Zone/Sys Sensible Load Predicted [W](Hourly)</t>
  </si>
  <si>
    <t>GFWEST:Zone/Sys Sensible Load to Heating Setpoint Predicted [W](Hourly)</t>
  </si>
  <si>
    <t>GFWEST:Zone/Sys Sensible Load to Cooling Setpoint Predicted [W](Hourly)</t>
  </si>
  <si>
    <t>GFCORE:Zone/Sys Sensible Heating Rate [W](Hourly)</t>
  </si>
  <si>
    <t>GFCORE:Zone/Sys Sensible Cooling Rate [W](Hourly)</t>
  </si>
  <si>
    <t>GFCORE:Zone/Sys Air Temperature [C](Hourly)</t>
  </si>
  <si>
    <t>GFCORE:Zone/Sys Sensible Load Predicted [W](Hourly)</t>
  </si>
  <si>
    <t>GFCORE:Zone/Sys Sensible Load to Heating Setpoint Predicted [W](Hourly)</t>
  </si>
  <si>
    <t>GFCORE:Zone/Sys Sensible Load to Cooling Setpoint Predicted [W](Hourly)</t>
  </si>
  <si>
    <t>GFCORE:Zone/Sys Thermostat Heating Setpoint [C](Hourly)</t>
  </si>
  <si>
    <t>GFCORE:Zone/Sys Thermostat Cooling Setpoint [C](Hourly)</t>
  </si>
  <si>
    <t>GFRPNORTH:Zone/Sys Sensible Heating Rate [W](Hourly)</t>
  </si>
  <si>
    <t>GFRPNORTH:Zone/Sys Sensible Cooling Rate [W](Hourly)</t>
  </si>
  <si>
    <t>GFRPNORTH:Zone/Sys Air Temperature [C](Hourly)</t>
  </si>
  <si>
    <t>GFRPNORTH:Zone/Sys Sensible Load Predicted [W](Hourly)</t>
  </si>
  <si>
    <t>GFRPNORTH:Zone/Sys Sensible Load to Heating Setpoint Predicted [W](Hourly)</t>
  </si>
  <si>
    <t>GFRPNORTH:Zone/Sys Sensible Load to Cooling Setpoint Predicted [W](Hourly)</t>
  </si>
  <si>
    <t>GFRPEAST:Zone/Sys Sensible Heating Rate [W](Hourly)</t>
  </si>
  <si>
    <t>GFRPEAST:Zone/Sys Sensible Cooling Rate [W](Hourly)</t>
  </si>
  <si>
    <t>GFRPEAST:Zone/Sys Air Temperature [C](Hourly)</t>
  </si>
  <si>
    <t>GFRPEAST:Zone/Sys Sensible Load Predicted [W](Hourly)</t>
  </si>
  <si>
    <t>GFRPEAST:Zone/Sys Sensible Load to Heating Setpoint Predicted [W](Hourly)</t>
  </si>
  <si>
    <t>GFRPEAST:Zone/Sys Sensible Load to Cooling Setpoint Predicted [W](Hourly)</t>
  </si>
  <si>
    <t>GFRPSOUTH:Zone/Sys Sensible Heating Rate [W](Hourly)</t>
  </si>
  <si>
    <t>GFRPSOUTH:Zone/Sys Sensible Cooling Rate [W](Hourly)</t>
  </si>
  <si>
    <t>GFRPSOUTH:Zone/Sys Air Temperature [C](Hourly)</t>
  </si>
  <si>
    <t>GFRPSOUTH:Zone/Sys Sensible Load Predicted [W](Hourly)</t>
  </si>
  <si>
    <t>GFRPSOUTH:Zone/Sys Sensible Load to Heating Setpoint Predicted [W](Hourly)</t>
  </si>
  <si>
    <t>GFRPSOUTH:Zone/Sys Sensible Load to Cooling Setpoint Predicted [W](Hourly)</t>
  </si>
  <si>
    <t>GFRPWEST:Zone/Sys Sensible Heating Rate [W](Hourly)</t>
  </si>
  <si>
    <t>GFRPWEST:Zone/Sys Sensible Cooling Rate [W](Hourly)</t>
  </si>
  <si>
    <t>GFRPWEST:Zone/Sys Air Temperature [C](Hourly)</t>
  </si>
  <si>
    <t>GFRPWEST:Zone/Sys Sensible Load Predicted [W](Hourly)</t>
  </si>
  <si>
    <t>GFRPWEST:Zone/Sys Sensible Load to Heating Setpoint Predicted [W](Hourly)</t>
  </si>
  <si>
    <t>GFRPWEST:Zone/Sys Sensible Load to Cooling Setpoint Predicted [W](Hourly)</t>
  </si>
  <si>
    <t>GFRPCORE:Zone/Sys Sensible Heating Rate [W](Hourly)</t>
  </si>
  <si>
    <t>GFRPCORE:Zone/Sys Sensible Cooling Rate [W](Hourly)</t>
  </si>
  <si>
    <t>GFRPCORE:Zone/Sys Air Temperature [C](Hourly)</t>
  </si>
  <si>
    <t>GFRPCORE:Zone/Sys Sensible Load Predicted [W](Hourly)</t>
  </si>
  <si>
    <t>GFRPCORE:Zone/Sys Sensible Load to Heating Setpoint Predicted [W](Hourly)</t>
  </si>
  <si>
    <t>GFRPCORE:Zone/Sys Sensible Load to Cooling Setpoint Predicted [W](Hourly)</t>
  </si>
  <si>
    <t>MFNORTH:Zone/Sys Sensible Heating Rate [W](Hourly)</t>
  </si>
  <si>
    <t>MFNORTH:Zone/Sys Sensible Cooling Rate [W](Hourly)</t>
  </si>
  <si>
    <t>MFNORTH:Zone/Sys Air Temperature [C](Hourly)</t>
  </si>
  <si>
    <t>MFNORTH:Zone/Sys Sensible Load Predicted [W](Hourly)</t>
  </si>
  <si>
    <t>MFNORTH:Zone/Sys Sensible Load to Heating Setpoint Predicted [W](Hourly)</t>
  </si>
  <si>
    <t>MFNORTH:Zone/Sys Sensible Load to Cooling Setpoint Predicted [W](Hourly)</t>
  </si>
  <si>
    <t>MFEAST:Zone/Sys Sensible Heating Rate [W](Hourly)</t>
  </si>
  <si>
    <t>MFEAST:Zone/Sys Sensible Cooling Rate [W](Hourly)</t>
  </si>
  <si>
    <t>MFEAST:Zone/Sys Air Temperature [C](Hourly)</t>
  </si>
  <si>
    <t>MFEAST:Zone/Sys Sensible Load Predicted [W](Hourly)</t>
  </si>
  <si>
    <t>MFEAST:Zone/Sys Sensible Load to Heating Setpoint Predicted [W](Hourly)</t>
  </si>
  <si>
    <t>MFEAST:Zone/Sys Sensible Load to Cooling Setpoint Predicted [W](Hourly)</t>
  </si>
  <si>
    <t>MFSOUTH:Zone/Sys Sensible Heating Rate [W](Hourly)</t>
  </si>
  <si>
    <t>MFSOUTH:Zone/Sys Sensible Cooling Rate [W](Hourly)</t>
  </si>
  <si>
    <t>MFSOUTH:Zone/Sys Air Temperature [C](Hourly)</t>
  </si>
  <si>
    <t>MFSOUTH:Zone/Sys Sensible Load Predicted [W](Hourly)</t>
  </si>
  <si>
    <t>MFSOUTH:Zone/Sys Sensible Load to Heating Setpoint Predicted [W](Hourly)</t>
  </si>
  <si>
    <t>MFSOUTH:Zone/Sys Sensible Load to Cooling Setpoint Predicted [W](Hourly)</t>
  </si>
  <si>
    <t>MFWEST:Zone/Sys Sensible Heating Rate [W](Hourly)</t>
  </si>
  <si>
    <t>MFWEST:Zone/Sys Sensible Cooling Rate [W](Hourly)</t>
  </si>
  <si>
    <t>MFWEST:Zone/Sys Air Temperature [C](Hourly)</t>
  </si>
  <si>
    <t>MFWEST:Zone/Sys Sensible Load Predicted [W](Hourly)</t>
  </si>
  <si>
    <t>MFWEST:Zone/Sys Sensible Load to Heating Setpoint Predicted [W](Hourly)</t>
  </si>
  <si>
    <t>MFWEST:Zone/Sys Sensible Load to Cooling Setpoint Predicted [W](Hourly)</t>
  </si>
  <si>
    <t>MFCORE:Zone/Sys Sensible Heating Rate [W](Hourly)</t>
  </si>
  <si>
    <t>MFCORE:Zone/Sys Sensible Cooling Rate [W](Hourly)</t>
  </si>
  <si>
    <t>MFCORE:Zone/Sys Air Temperature [C](Hourly)</t>
  </si>
  <si>
    <t>MFCORE:Zone/Sys Sensible Load Predicted [W](Hourly)</t>
  </si>
  <si>
    <t>MFCORE:Zone/Sys Sensible Load to Heating Setpoint Predicted [W](Hourly)</t>
  </si>
  <si>
    <t>MFCORE:Zone/Sys Sensible Load to Cooling Setpoint Predicted [W](Hourly)</t>
  </si>
  <si>
    <t>MFCORE:Zone/Sys Thermostat Heating Setpoint [C](Hourly)</t>
  </si>
  <si>
    <t>MFCORE:Zone/Sys Thermostat Cooling Setpoint [C](Hourly)</t>
  </si>
  <si>
    <t>MFRPNORTH:Zone/Sys Sensible Heating Rate [W](Hourly)</t>
  </si>
  <si>
    <t>MFRPNORTH:Zone/Sys Sensible Cooling Rate [W](Hourly)</t>
  </si>
  <si>
    <t>MFRPNORTH:Zone/Sys Air Temperature [C](Hourly)</t>
  </si>
  <si>
    <t>MFRPNORTH:Zone/Sys Sensible Load Predicted [W](Hourly)</t>
  </si>
  <si>
    <t>MFRPNORTH:Zone/Sys Sensible Load to Heating Setpoint Predicted [W](Hourly)</t>
  </si>
  <si>
    <t>MFRPNORTH:Zone/Sys Sensible Load to Cooling Setpoint Predicted [W](Hourly)</t>
  </si>
  <si>
    <t>MFRPEAST:Zone/Sys Sensible Heating Rate [W](Hourly)</t>
  </si>
  <si>
    <t>MFRPEAST:Zone/Sys Sensible Cooling Rate [W](Hourly)</t>
  </si>
  <si>
    <t>MFRPEAST:Zone/Sys Air Temperature [C](Hourly)</t>
  </si>
  <si>
    <t>MFRPEAST:Zone/Sys Sensible Load Predicted [W](Hourly)</t>
  </si>
  <si>
    <t>MFRPEAST:Zone/Sys Sensible Load to Heating Setpoint Predicted [W](Hourly)</t>
  </si>
  <si>
    <t>MFRPEAST:Zone/Sys Sensible Load to Cooling Setpoint Predicted [W](Hourly)</t>
  </si>
  <si>
    <t>MFRPSOUTH:Zone/Sys Sensible Heating Rate [W](Hourly)</t>
  </si>
  <si>
    <t>MFRPSOUTH:Zone/Sys Sensible Cooling Rate [W](Hourly)</t>
  </si>
  <si>
    <t>MFRPSOUTH:Zone/Sys Air Temperature [C](Hourly)</t>
  </si>
  <si>
    <t>MFRPSOUTH:Zone/Sys Sensible Load Predicted [W](Hourly)</t>
  </si>
  <si>
    <t>MFRPSOUTH:Zone/Sys Sensible Load to Heating Setpoint Predicted [W](Hourly)</t>
  </si>
  <si>
    <t>MFRPSOUTH:Zone/Sys Sensible Load to Cooling Setpoint Predicted [W](Hourly)</t>
  </si>
  <si>
    <t>MFRPWEST:Zone/Sys Sensible Heating Rate [W](Hourly)</t>
  </si>
  <si>
    <t>MFRPWEST:Zone/Sys Sensible Cooling Rate [W](Hourly)</t>
  </si>
  <si>
    <t>MFRPWEST:Zone/Sys Air Temperature [C](Hourly)</t>
  </si>
  <si>
    <t>MFRPWEST:Zone/Sys Sensible Load Predicted [W](Hourly)</t>
  </si>
  <si>
    <t>MFRPWEST:Zone/Sys Sensible Load to Heating Setpoint Predicted [W](Hourly)</t>
  </si>
  <si>
    <t>MFRPWEST:Zone/Sys Sensible Load to Cooling Setpoint Predicted [W](Hourly)</t>
  </si>
  <si>
    <t>MFRPCORE:Zone/Sys Sensible Heating Rate [W](Hourly)</t>
  </si>
  <si>
    <t>MFRPCORE:Zone/Sys Sensible Cooling Rate [W](Hourly)</t>
  </si>
  <si>
    <t>MFRPCORE:Zone/Sys Air Temperature [C](Hourly)</t>
  </si>
  <si>
    <t>MFRPCORE:Zone/Sys Sensible Load Predicted [W](Hourly)</t>
  </si>
  <si>
    <t>MFRPCORE:Zone/Sys Sensible Load to Heating Setpoint Predicted [W](Hourly)</t>
  </si>
  <si>
    <t>MFRPCORE:Zone/Sys Sensible Load to Cooling Setpoint Predicted [W](Hourly)</t>
  </si>
  <si>
    <t>TFNORTH:Zone/Sys Sensible Heating Rate [W](Hourly)</t>
  </si>
  <si>
    <t>TFNORTH:Zone/Sys Sensible Cooling Rate [W](Hourly)</t>
  </si>
  <si>
    <t>TFNORTH:Zone/Sys Air Temperature [C](Hourly)</t>
  </si>
  <si>
    <t>TFNORTH:Zone/Sys Sensible Load Predicted [W](Hourly)</t>
  </si>
  <si>
    <t>TFNORTH:Zone/Sys Sensible Load to Heating Setpoint Predicted [W](Hourly)</t>
  </si>
  <si>
    <t>TFNORTH:Zone/Sys Sensible Load to Cooling Setpoint Predicted [W](Hourly)</t>
  </si>
  <si>
    <t>TFEAST:Zone/Sys Sensible Cooling Energy [J](Hourly)</t>
  </si>
  <si>
    <t>TFEAST:Zone/Sys Sensible Heating Rate [W](Hourly)</t>
  </si>
  <si>
    <t>TFEAST:Zone/Sys Sensible Cooling Rate [W](Hourly)</t>
  </si>
  <si>
    <t>TFEAST:Zone/Sys Air Temperature [C](Hourly)</t>
  </si>
  <si>
    <t>TFEAST:Zone/Sys Sensible Load Predicted [W](Hourly)</t>
  </si>
  <si>
    <t>TFEAST:Zone/Sys Sensible Load to Heating Setpoint Predicted [W](Hourly)</t>
  </si>
  <si>
    <t>TFEAST:Zone/Sys Sensible Load to Cooling Setpoint Predicted [W](Hourly)</t>
  </si>
  <si>
    <t>TFEAST:Zone/Sys Thermostat Heating Setpoint [C](Hourly)</t>
  </si>
  <si>
    <t>TFEAST:Zone/Sys Thermostat Cooling Setpoint [C](Hourly)</t>
  </si>
  <si>
    <t>TFSOUTH:Zone/Sys Sensible Heating Rate [W](Hourly)</t>
  </si>
  <si>
    <t>TFSOUTH:Zone/Sys Sensible Cooling Rate [W](Hourly)</t>
  </si>
  <si>
    <t>TFSOUTH:Zone/Sys Air Temperature [C](Hourly)</t>
  </si>
  <si>
    <t>TFSOUTH:Zone/Sys Sensible Load Predicted [W](Hourly)</t>
  </si>
  <si>
    <t>TFSOUTH:Zone/Sys Sensible Load to Heating Setpoint Predicted [W](Hourly)</t>
  </si>
  <si>
    <t>TFSOUTH:Zone/Sys Sensible Load to Cooling Setpoint Predicted [W](Hourly)</t>
  </si>
  <si>
    <t>TFWEST:Zone/Sys Sensible Cooling Energy [J](Hourly)</t>
  </si>
  <si>
    <t>TFWEST:Zone/Sys Sensible Heating Rate [W](Hourly)</t>
  </si>
  <si>
    <t>TFWEST:Zone/Sys Sensible Cooling Rate [W](Hourly)</t>
  </si>
  <si>
    <t>TFWEST:Zone/Sys Air Temperature [C](Hourly)</t>
  </si>
  <si>
    <t>TFWEST:Zone/Sys Sensible Load Predicted [W](Hourly)</t>
  </si>
  <si>
    <t>TFWEST:Zone/Sys Sensible Load to Heating Setpoint Predicted [W](Hourly)</t>
  </si>
  <si>
    <t>TFWEST:Zone/Sys Sensible Load to Cooling Setpoint Predicted [W](Hourly)</t>
  </si>
  <si>
    <t>TFCORE:Zone/Sys Sensible Heating Rate [W](Hourly)</t>
  </si>
  <si>
    <t>TFCORE:Zone/Sys Sensible Cooling Rate [W](Hourly)</t>
  </si>
  <si>
    <t>TFCORE:Zone/Sys Air Temperature [C](Hourly)</t>
  </si>
  <si>
    <t>TFCORE:Zone/Sys Sensible Load Predicted [W](Hourly)</t>
  </si>
  <si>
    <t>TFCORE:Zone/Sys Sensible Load to Heating Setpoint Predicted [W](Hourly)</t>
  </si>
  <si>
    <t>TFCORE:Zone/Sys Sensible Load to Cooling Setpoint Predicted [W](Hourly)</t>
  </si>
  <si>
    <t>TFCORE:Zone/Sys Thermostat Heating Setpoint [C](Hourly)</t>
  </si>
  <si>
    <t>TFCORE:Zone/Sys Thermostat Cooling Setpoint [C](Hourly)</t>
  </si>
  <si>
    <t>TFRPNORTH:Zone/Sys Sensible Heating Rate [W](Hourly)</t>
  </si>
  <si>
    <t>TFRPNORTH:Zone/Sys Sensible Cooling Rate [W](Hourly)</t>
  </si>
  <si>
    <t>TFRPNORTH:Zone/Sys Air Temperature [C](Hourly)</t>
  </si>
  <si>
    <t>TFRPNORTH:Zone/Sys Sensible Load Predicted [W](Hourly)</t>
  </si>
  <si>
    <t>TFRPNORTH:Zone/Sys Sensible Load to Heating Setpoint Predicted [W](Hourly)</t>
  </si>
  <si>
    <t>TFRPNORTH:Zone/Sys Sensible Load to Cooling Setpoint Predicted [W](Hourly)</t>
  </si>
  <si>
    <t>TFRPEAST:Zone/Sys Sensible Heating Rate [W](Hourly)</t>
  </si>
  <si>
    <t>TFRPEAST:Zone/Sys Sensible Cooling Rate [W](Hourly)</t>
  </si>
  <si>
    <t>TFRPEAST:Zone/Sys Air Temperature [C](Hourly)</t>
  </si>
  <si>
    <t>TFRPEAST:Zone/Sys Sensible Load Predicted [W](Hourly)</t>
  </si>
  <si>
    <t>TFRPEAST:Zone/Sys Sensible Load to Heating Setpoint Predicted [W](Hourly)</t>
  </si>
  <si>
    <t>TFRPEAST:Zone/Sys Sensible Load to Cooling Setpoint Predicted [W](Hourly)</t>
  </si>
  <si>
    <t>TFRPSOUTH:Zone/Sys Sensible Heating Rate [W](Hourly)</t>
  </si>
  <si>
    <t>TFRPSOUTH:Zone/Sys Sensible Cooling Rate [W](Hourly)</t>
  </si>
  <si>
    <t>TFRPSOUTH:Zone/Sys Air Temperature [C](Hourly)</t>
  </si>
  <si>
    <t>TFRPSOUTH:Zone/Sys Sensible Load Predicted [W](Hourly)</t>
  </si>
  <si>
    <t>TFRPSOUTH:Zone/Sys Sensible Load to Heating Setpoint Predicted [W](Hourly)</t>
  </si>
  <si>
    <t>TFRPSOUTH:Zone/Sys Sensible Load to Cooling Setpoint Predicted [W](Hourly)</t>
  </si>
  <si>
    <t>TFRPWEST:Zone/Sys Sensible Heating Rate [W](Hourly)</t>
  </si>
  <si>
    <t>TFRPWEST:Zone/Sys Sensible Cooling Rate [W](Hourly)</t>
  </si>
  <si>
    <t>TFRPWEST:Zone/Sys Air Temperature [C](Hourly)</t>
  </si>
  <si>
    <t>TFRPWEST:Zone/Sys Sensible Load Predicted [W](Hourly)</t>
  </si>
  <si>
    <t>TFRPWEST:Zone/Sys Sensible Load to Heating Setpoint Predicted [W](Hourly)</t>
  </si>
  <si>
    <t>TFRPWEST:Zone/Sys Sensible Load to Cooling Setpoint Predicted [W](Hourly)</t>
  </si>
  <si>
    <t>TFRPCORE:Zone/Sys Sensible Heating Rate [W](Hourly)</t>
  </si>
  <si>
    <t>TFRPCORE:Zone/Sys Sensible Cooling Rate [W](Hourly)</t>
  </si>
  <si>
    <t>TFRPCORE:Zone/Sys Air Temperature [C](Hourly)</t>
  </si>
  <si>
    <t>TFRPCORE:Zone/Sys Sensible Load Predicted [W](Hourly)</t>
  </si>
  <si>
    <t>TFRPCORE:Zone/Sys Sensible Load to Heating Setpoint Predicted [W](Hourly)</t>
  </si>
  <si>
    <t>TFRPCORE:Zone/Sys Sensible Load to Cooling Setpoint Predicted [W](Hourly)</t>
  </si>
  <si>
    <t>CHILLER:Chiller Part Load Ratio(Hourly)</t>
  </si>
  <si>
    <t>CHILLER:Chiller Electric Consumption [J](Hourly)</t>
  </si>
  <si>
    <t>CHILLER:Chiller Evap Heat Trans Rate [W](Hourly)</t>
  </si>
  <si>
    <t>CHILLER:Chiller Evap Water Inlet Temp [C](Hourly)</t>
  </si>
  <si>
    <t>CHILLER:Chiller Evap Water Outlet Temp [C](Hourly)</t>
  </si>
  <si>
    <t>CHILLER:Chiller Evap Water Mass Flow Rate [kg/s](Hourly)</t>
  </si>
  <si>
    <t>CHILLER:Chiller Cond Heat Trans Rate [W](Hourly)</t>
  </si>
  <si>
    <t>CHILLER:Chiller COP [W/W](Hourly)</t>
  </si>
  <si>
    <t>CHILLER:Chiller Cond Water Inlet Temp [C](Hourly)</t>
  </si>
  <si>
    <t>CHILLER:Chiller Cond Water Outlet Temp [C](Hourly)</t>
  </si>
  <si>
    <t>CHILLER:Chiller Cond Water Mass Flow Rate [kg/s](Hourly)</t>
  </si>
  <si>
    <t>Whole Building:Total Building Electric Demand [W](Hourly)</t>
  </si>
  <si>
    <t>Whole Building:Total Building Electric Demand [W](Daily)</t>
  </si>
  <si>
    <t>Whole Building:Total HVAC Electric Demand [W](Hourly)</t>
  </si>
  <si>
    <t>Whole Building:Total HVAC Electric Demand [W](Daily)</t>
  </si>
  <si>
    <t>Whole Building:Total Electric Demand [W](Hourly)</t>
  </si>
  <si>
    <t>Whole Building:Total Electric Demand [W](Daily)</t>
  </si>
  <si>
    <t>GFSOUTH PEOPLE:FangerPMV(Hourly)</t>
  </si>
  <si>
    <t>GFNORTH PEOPLE:FangerPMV(Hourly)</t>
  </si>
  <si>
    <t>GFWEST PEOPLE:FangerPMV(Hourly)</t>
  </si>
  <si>
    <t>GFEAST PEOPLE:FangerPMV(Hourly)</t>
  </si>
  <si>
    <t>MFSOUTH PEOPLE:FangerPMV(Hourly)</t>
  </si>
  <si>
    <t>MFNORTH PEOPLE:FangerPMV(Hourly)</t>
  </si>
  <si>
    <t>MFWEST PEOPLE:FangerPMV(Hourly)</t>
  </si>
  <si>
    <t>MFEAST PEOPLE:FangerPMV(Hourly)</t>
  </si>
  <si>
    <t>TFSOUTH PEOPLE:FangerPMV(Hourly)</t>
  </si>
  <si>
    <t>TFNORTH PEOPLE:FangerPMV(Hourly)</t>
  </si>
  <si>
    <t>TFWEST PEOPLE:FangerPMV(Hourly)</t>
  </si>
  <si>
    <t>TFEAST PEOPLE:FangerPMV(Hourly)</t>
  </si>
  <si>
    <t>GFCORE PEOPLE:FangerPMV(Hourly)</t>
  </si>
  <si>
    <t>MFCORE PEOPLE:FangerPMV(Hourly)</t>
  </si>
  <si>
    <t>TFCORE PEOPLE:FangerPMV(Hourly)</t>
  </si>
  <si>
    <t>GFNORTH:Time Not Comfortable Summer Or Winter Clothes[hr](Hourly)</t>
  </si>
  <si>
    <t>GFEAST:Time Not Comfortable Summer Or Winter Clothes[hr](Hourly)</t>
  </si>
  <si>
    <t>GFSOUTH:Time Not Comfortable Summer Or Winter Clothes[hr](Hourly)</t>
  </si>
  <si>
    <t>GFWEST:Time Not Comfortable Summer Or Winter Clothes[hr](Hourly)</t>
  </si>
  <si>
    <t>GFCORE:Time Not Comfortable Summer Or Winter Clothes[hr](Hourly)</t>
  </si>
  <si>
    <t>GFRPNORTH:Time Not Comfortable Summer Or Winter Clothes[hr](Hourly)</t>
  </si>
  <si>
    <t>GFRPEAST:Time Not Comfortable Summer Or Winter Clothes[hr](Hourly)</t>
  </si>
  <si>
    <t>GFRPSOUTH:Time Not Comfortable Summer Or Winter Clothes[hr](Hourly)</t>
  </si>
  <si>
    <t>GFRPWEST:Time Not Comfortable Summer Or Winter Clothes[hr](Hourly)</t>
  </si>
  <si>
    <t>GFRPCORE:Time Not Comfortable Summer Or Winter Clothes[hr](Hourly)</t>
  </si>
  <si>
    <t>MFNORTH:Time Not Comfortable Summer Or Winter Clothes[hr](Hourly)</t>
  </si>
  <si>
    <t>MFEAST:Time Not Comfortable Summer Or Winter Clothes[hr](Hourly)</t>
  </si>
  <si>
    <t>MFSOUTH:Time Not Comfortable Summer Or Winter Clothes[hr](Hourly)</t>
  </si>
  <si>
    <t>MFWEST:Time Not Comfortable Summer Or Winter Clothes[hr](Hourly)</t>
  </si>
  <si>
    <t>MFCORE:Time Not Comfortable Summer Or Winter Clothes[hr](Hourly)</t>
  </si>
  <si>
    <t>MFRPNORTH:Time Not Comfortable Summer Or Winter Clothes[hr](Hourly)</t>
  </si>
  <si>
    <t>MFRPEAST:Time Not Comfortable Summer Or Winter Clothes[hr](Hourly)</t>
  </si>
  <si>
    <t>MFRPSOUTH:Time Not Comfortable Summer Or Winter Clothes[hr](Hourly)</t>
  </si>
  <si>
    <t>MFRPWEST:Time Not Comfortable Summer Or Winter Clothes[hr](Hourly)</t>
  </si>
  <si>
    <t>MFRPCORE:Time Not Comfortable Summer Or Winter Clothes[hr](Hourly)</t>
  </si>
  <si>
    <t>TFNORTH:Time Not Comfortable Summer Or Winter Clothes[hr](Hourly)</t>
  </si>
  <si>
    <t>TFEAST:Time Not Comfortable Summer Or Winter Clothes[hr](Hourly)</t>
  </si>
  <si>
    <t>TFSOUTH:Time Not Comfortable Summer Or Winter Clothes[hr](Hourly)</t>
  </si>
  <si>
    <t>TFWEST:Time Not Comfortable Summer Or Winter Clothes[hr](Hourly)</t>
  </si>
  <si>
    <t>TFCORE:Time Not Comfortable Summer Or Winter Clothes[hr](Hourly)</t>
  </si>
  <si>
    <t>TFRPNORTH:Time Not Comfortable Summer Or Winter Clothes[hr](Hourly)</t>
  </si>
  <si>
    <t>TFRPEAST:Time Not Comfortable Summer Or Winter Clothes[hr](Hourly)</t>
  </si>
  <si>
    <t>TFRPSOUTH:Time Not Comfortable Summer Or Winter Clothes[hr](Hourly)</t>
  </si>
  <si>
    <t>TFRPWEST:Time Not Comfortable Summer Or Winter Clothes[hr](Hourly)</t>
  </si>
  <si>
    <t>TFRPCORE:Time Not Comfortable Summer Or Winter Clothes[hr](Hourly)</t>
  </si>
  <si>
    <t>GFWEST REHEAT COIL:Total Water Heating Coil Rate [W](RunPeriod)</t>
  </si>
  <si>
    <t>GFWEST REHEAT COIL:Total Water Heating Coil Rate [W](Hourly)</t>
  </si>
  <si>
    <t>GFCORE REHEAT COIL:Total Water Heating Coil Rate [W](RunPeriod)</t>
  </si>
  <si>
    <t>GFCORE REHEAT COIL:Total Water Heating Coil Rate [W](Hourly)</t>
  </si>
  <si>
    <t>GFEAST REHEAT COIL:Total Water Heating Coil Rate [W](RunPeriod)</t>
  </si>
  <si>
    <t>GFEAST REHEAT COIL:Total Water Heating Coil Rate [W](Hourly)</t>
  </si>
  <si>
    <t>GFNORTH REHEAT COIL:Total Water Heating Coil Rate [W](RunPeriod)</t>
  </si>
  <si>
    <t>GFNORTH REHEAT COIL:Total Water Heating Coil Rate [W](Hourly)</t>
  </si>
  <si>
    <t>GFSOUTH REHEAT COIL:Total Water Heating Coil Rate [W](RunPeriod)</t>
  </si>
  <si>
    <t>GFSOUTH REHEAT COIL:Total Water Heating Coil Rate [W](Hourly)</t>
  </si>
  <si>
    <t>MFCORE REHEAT COIL:Total Water Heating Coil Rate [W](RunPeriod)</t>
  </si>
  <si>
    <t>MFCORE REHEAT COIL:Total Water Heating Coil Rate [W](Hourly)</t>
  </si>
  <si>
    <t>MFEAST REHEAT COIL:Total Water Heating Coil Rate [W](RunPeriod)</t>
  </si>
  <si>
    <t>MFEAST REHEAT COIL:Total Water Heating Coil Rate [W](Hourly)</t>
  </si>
  <si>
    <t>MFWEST REHEAT COIL:Total Water Heating Coil Rate [W](RunPeriod)</t>
  </si>
  <si>
    <t>MFWEST REHEAT COIL:Total Water Heating Coil Rate [W](Hourly)</t>
  </si>
  <si>
    <t>MFNORTH REHEAT COIL:Total Water Heating Coil Rate [W](RunPeriod)</t>
  </si>
  <si>
    <t>MFNORTH REHEAT COIL:Total Water Heating Coil Rate [W](Hourly)</t>
  </si>
  <si>
    <t>MFSOUTH REHEAT COIL:Total Water Heating Coil Rate [W](RunPeriod)</t>
  </si>
  <si>
    <t>MFSOUTH REHEAT COIL:Total Water Heating Coil Rate [W](Hourly)</t>
  </si>
  <si>
    <t>TFCORE REHEAT COIL:Total Water Heating Coil Rate [W](RunPeriod)</t>
  </si>
  <si>
    <t>TFCORE REHEAT COIL:Total Water Heating Coil Rate [W](Hourly)</t>
  </si>
  <si>
    <t>TFEAST REHEAT COIL:Total Water Heating Coil Rate [W](RunPeriod)</t>
  </si>
  <si>
    <t>TFEAST REHEAT COIL:Total Water Heating Coil Rate [W](Hourly)</t>
  </si>
  <si>
    <t>TFWEST REHEAT COIL:Total Water Heating Coil Rate [W](RunPeriod)</t>
  </si>
  <si>
    <t>TFWEST REHEAT COIL:Total Water Heating Coil Rate [W](Hourly)</t>
  </si>
  <si>
    <t>TFNORTH REHEAT COIL:Total Water Heating Coil Rate [W](RunPeriod)</t>
  </si>
  <si>
    <t>TFNORTH REHEAT COIL:Total Water Heating Coil Rate [W](Hourly)</t>
  </si>
  <si>
    <t>TFSOUTH REHEAT COIL:Total Water Heating Coil Rate [W](RunPeriod)</t>
  </si>
  <si>
    <t>TFSOUTH REHEAT COIL:Total Water Heating Coil Rate [W](Hourly)</t>
  </si>
  <si>
    <t>AHU HEATING COIL:Total Water Heating Coil Rate [W](Hourly)</t>
  </si>
  <si>
    <t>AHU HEATING COIL:Total Water Heating Coil Rate [W](RunPeriod)</t>
  </si>
  <si>
    <t>AHU COOLING COIL:Total Water Cooling Coil Rate[W](Hourly)</t>
  </si>
  <si>
    <t>AHU COOLING COIL:Total Water Cooling Coil Rate[W](Monthly)</t>
  </si>
  <si>
    <t>AHU COOLING COIL:Total Water Cooling Coil Rate[W](RunPeriod)</t>
  </si>
  <si>
    <t>AHU SUPPLY FAN:Fan Electric Power[W](Hourly)</t>
  </si>
  <si>
    <t>AHU SUPPLY FAN:Fan Electric Consumption[J](RunPeriod)</t>
  </si>
  <si>
    <t>RELIEF FAN 1:Fan Electric Power[W](Hourly)</t>
  </si>
  <si>
    <t>AHU AVAILABILITY:Availability Manager Night Cycle Control Status(Hourly)</t>
  </si>
  <si>
    <t>HOT_WATER_LOOP:Plant Loop Cooling Demand [W](Hourly)</t>
  </si>
  <si>
    <t>HOT_WATER_LOOP:Plant Loop Heating Demand [W](Hourly)</t>
  </si>
  <si>
    <t>CHILLED_WATER_LOOP:Plant Loop Cooling Demand [W](Hourly)</t>
  </si>
  <si>
    <t>CHILLED_WATER_LOOP:Plant Loop Heating Demand [W](Hourly)</t>
  </si>
  <si>
    <t>BOILER:Boiler Heating Output Rate [W](Hourly)</t>
  </si>
  <si>
    <t>BOILER:Boiler Gas Consumption Rate [W](Hourly)</t>
  </si>
  <si>
    <t>BOILER:Boiler Gas Consumption [J](Hourly)</t>
  </si>
  <si>
    <t>BOILER:Boiler Water Inlet Temp [C](Hourly)</t>
  </si>
  <si>
    <t>BOILER:Boiler Water Outlet Temp [C](Hourly)</t>
  </si>
  <si>
    <t>BOILER:Boiler Water Mass Flow Rate [kg/s](Hourly)</t>
  </si>
  <si>
    <t>BOILER:Boiler Part-Load Ratio(Hourly)</t>
  </si>
  <si>
    <t>BOILER2:Boiler Heating Output Rate [W](Hourly)</t>
  </si>
  <si>
    <t>BOILER2:Boiler Gas Consumption Rate [W](Hourly)</t>
  </si>
  <si>
    <t>BOILER2:Boiler Gas Consumption [J](Hourly)</t>
  </si>
  <si>
    <t>BOILER2:Boiler Water Inlet Temp [C](Hourly)</t>
  </si>
  <si>
    <t>BOILER2:Boiler Water Outlet Temp [C](Hourly)</t>
  </si>
  <si>
    <t>BOILER2:Boiler Water Mass Flow Rate [kg/s](Hourly)</t>
  </si>
  <si>
    <t>BOILER2:Boiler Part-Load Ratio(Hourly)</t>
  </si>
  <si>
    <t>HOT WATER LOOP HW SUPPLY PUMP:Pump Electric Consumption [J](Hourly)</t>
  </si>
  <si>
    <t>HOT WATER LOOP HW SUPPLY PUMP:Pump Electric Consumption [J](RunPeriod)</t>
  </si>
  <si>
    <t>HOT WATER LOOP HW SUPPLY PUMP:Pump Electric Consumption [J](Monthly)</t>
  </si>
  <si>
    <t>HOT WATER LOOP HW SUPPLY PUMP:Pump Electric Power [W](Monthly)</t>
  </si>
  <si>
    <t>CHILLED WATER LOOP CHW SUPPLY PUMP:Pump Electric Consumption [J](Hourly)</t>
  </si>
  <si>
    <t>CHILLED WATER LOOP CHW SUPPLY PUMP:Pump Electric Consumption [J](RunPeriod)</t>
  </si>
  <si>
    <t>CHILLED WATER LOOP CHW SUPPLY PUMP:Pump Electric Consumption [J](Monthly)</t>
  </si>
  <si>
    <t>CHILLED WATER LOOP CHW SUPPLY PUMP:Pump Electric Power [W](Monthly)</t>
  </si>
  <si>
    <t>CONDENSER WATER LOOP CNDW SUPPLY PUMP:Pump Electric Consumption [J](Hourly)</t>
  </si>
  <si>
    <t>CONDENSER WATER LOOP CNDW SUPPLY PUMP:Pump Electric Consumption [J](RunPeriod)</t>
  </si>
  <si>
    <t>CONDENSER WATER LOOP CNDW SUPPLY PUMP:Pump Electric Consumption [J](Monthly)</t>
  </si>
  <si>
    <t>CONDENSER WATER LOOP CNDW SUPPLY PUMP:Pump Electric Power [W](Monthly)</t>
  </si>
  <si>
    <t>TOWER:Tower Water Inlet Temp [C](Hourly)</t>
  </si>
  <si>
    <t>TOWER:Tower Water Outlet Temp [C](Hourly)</t>
  </si>
  <si>
    <t>TOWER:Tower Water Mass Flow Rate [kg/s](Hourly)</t>
  </si>
  <si>
    <t>TOWER:Tower Heat Transfer [W](Hourly)</t>
  </si>
  <si>
    <t>TOWER:Tower Fan Electric Power [W](Hourly)</t>
  </si>
  <si>
    <t>TOWER:Tower Fan Electric Consumption [J](Monthly)</t>
  </si>
  <si>
    <t>AHU COOLING COIL OUTLET:System Node Temp[C](Hourly)</t>
  </si>
  <si>
    <t>AHU COOLING COIL OUTLET:System Node Humidity Ratio[](Hourly)</t>
  </si>
  <si>
    <t>AHU COOLING COIL OUTLET:System Node Volume Flow Rate Standard Density [m3/s](Hourly)</t>
  </si>
  <si>
    <t>AHU MIXED AIR OUTLET:System Node Temp[C](Hourly)</t>
  </si>
  <si>
    <t>AHU MIXED AIR OUTLET:System Node Volume Flow Rate Standard Density [m3/s](Hourly)</t>
  </si>
  <si>
    <t>MFWEST REHEAT COIL HW INLET:System Node Volume Flow Rate Standard Density [m3/s](Hourly)</t>
  </si>
  <si>
    <t>AHU AIR LOOP INLET:System Node Temp[C](Hourly)</t>
  </si>
  <si>
    <t>AHU AIR LOOP INLET:System Node Humidity Ratio[](Hourly)</t>
  </si>
  <si>
    <t>AHU AIR LOOP INLET:System Node Relative Humidity[%](Hourly)</t>
  </si>
  <si>
    <t>AHU AIR LOOP INLET:System Node Volume Flow Rate Standard Density [m3/s](Hourly)</t>
  </si>
  <si>
    <t>AHU HEATING COIL OUTLET:System Node Temp[C](Hourly)</t>
  </si>
  <si>
    <t>AHU HEATING COIL OUTLET:System Node Volume Flow Rate Standard Density [m3/s](Hourly)</t>
  </si>
  <si>
    <t>AHU SUPPLY FAN OUTLET:System Node Volume Flow Rate Standard Density [m3/s](Hourly)</t>
  </si>
  <si>
    <t>AHU COOLING COIL CHW INLET:System Node Temp[C](Hourly)</t>
  </si>
  <si>
    <t>AHU COOLING COIL CHW INLET:System Node Volume Flow Rate Standard Density [m3/s](Hourly)</t>
  </si>
  <si>
    <t>AHU COOLING COIL CHW OUTLET:System Node Temp[C](Hourly)</t>
  </si>
  <si>
    <t>AHU COOLING COIL CHW OUTLET:System Node Volume Flow Rate Standard Density [m3/s](Hourly)</t>
  </si>
  <si>
    <t>HOT WATER LOOP HW PUMP OUTLET:System Node Volume Flow Rate Standard Density [m3/s](Hourly)</t>
  </si>
  <si>
    <t>CHILLER CHW INLET:System Node Temp[C](Hourly)</t>
  </si>
  <si>
    <t>CHILLER CHW INLET:System Node Volume Flow Rate Standard Density [m3/s](Hourly)</t>
  </si>
  <si>
    <t>CHILLED WATER LOOP CHW SUPPLY INLET:System Node Temp[C](Hourly)</t>
  </si>
  <si>
    <t>CHILLED WATER LOOP CHW SUPPLY INLET:System Node Volume Flow Rate Standard Density [m3/s](Hourly)</t>
  </si>
  <si>
    <t>CHILLED WATER LOOP CHW SUPPLY OUTLET:System Node Temp[C](Hourly)</t>
  </si>
  <si>
    <t>CHILLED WATER LOOP CHW SUPPLY OUTLET:System Node Volume Flow Rate Standard Density [m3/s](Hourly)</t>
  </si>
  <si>
    <t>CONDENSER WATER LOOP CNDW PUMP OUTLET:System Node Volume Flow Rate Standard Density [m3/s](Hourly)</t>
  </si>
  <si>
    <t>AHU OUTSIDE AIR INLET:System Node Volume Flow Rate Standard Density [m3/s](Hourly)</t>
  </si>
  <si>
    <t>GFWEST ATU OUTLET NODE:System Node Temp[C](Hourly)</t>
  </si>
  <si>
    <t>GFWEST ATU OUTLET NODE:System Node Volume Flow Rate Standard Density [m3/s](Hourly)</t>
  </si>
  <si>
    <t>GFCORE ATU OUTLET NODE:System Node Temp[C](Hourly)</t>
  </si>
  <si>
    <t>GFCORE ATU OUTLET NODE:System Node Volume Flow Rate Standard Density [m3/s](Hourly)</t>
  </si>
  <si>
    <t>GFEAST ATU OUTLET NODE:System Node Temp[C](Hourly)</t>
  </si>
  <si>
    <t>GFEAST ATU OUTLET NODE:System Node Volume Flow Rate Standard Density [m3/s](Hourly)</t>
  </si>
  <si>
    <t>GFNORTH ATU OUTLET NODE:System Node Temp[C](Hourly)</t>
  </si>
  <si>
    <t>GFNORTH ATU OUTLET NODE:System Node Volume Flow Rate Standard Density [m3/s](Hourly)</t>
  </si>
  <si>
    <t>GFSOUTH ATU OUTLET NODE:System Node Temp[C](Hourly)</t>
  </si>
  <si>
    <t>GFSOUTH ATU OUTLET NODE:System Node Volume Flow Rate Standard Density [m3/s](Hourly)</t>
  </si>
  <si>
    <t>MFCORE ATU OUTLET NODE:System Node Temp[C](Hourly)</t>
  </si>
  <si>
    <t>MFCORE ATU OUTLET NODE:System Node Volume Flow Rate Standard Density [m3/s](Hourly)</t>
  </si>
  <si>
    <t>MFEAST ATU OUTLET NODE:System Node Temp[C](Hourly)</t>
  </si>
  <si>
    <t>MFEAST ATU OUTLET NODE:System Node Volume Flow Rate Standard Density [m3/s](Hourly)</t>
  </si>
  <si>
    <t>MFWEST ATU OUTLET NODE:System Node Temp[C](Hourly)</t>
  </si>
  <si>
    <t>MFWEST ATU OUTLET NODE:System Node Volume Flow Rate Standard Density [m3/s](Hourly)</t>
  </si>
  <si>
    <t>MFNORTH ATU OUTLET NODE:System Node Temp[C](Hourly)</t>
  </si>
  <si>
    <t>MFNORTH ATU OUTLET NODE:System Node Volume Flow Rate Standard Density [m3/s](Hourly)</t>
  </si>
  <si>
    <t>MFSOUTH ATU OUTLET NODE:System Node Temp[C](Hourly)</t>
  </si>
  <si>
    <t>MFSOUTH ATU OUTLET NODE:System Node Volume Flow Rate Standard Density [m3/s](Hourly)</t>
  </si>
  <si>
    <t>TFCORE ATU OUTLET NODE:System Node Temp[C](Hourly)</t>
  </si>
  <si>
    <t>TFCORE ATU OUTLET NODE:System Node Volume Flow Rate Standard Density [m3/s](Hourly)</t>
  </si>
  <si>
    <t>TFEAST ATU OUTLET NODE:System Node Temp[C](Hourly)</t>
  </si>
  <si>
    <t>TFEAST ATU OUTLET NODE:System Node Volume Flow Rate Standard Density [m3/s](Hourly)</t>
  </si>
  <si>
    <t>TFWEST ATU OUTLET NODE:System Node Temp[C](Hourly)</t>
  </si>
  <si>
    <t>TFWEST ATU OUTLET NODE:System Node Volume Flow Rate Standard Density [m3/s](Hourly)</t>
  </si>
  <si>
    <t>TFNORTH ATU OUTLET NODE:System Node Temp[C](Hourly)</t>
  </si>
  <si>
    <t>TFNORTH ATU OUTLET NODE:System Node Volume Flow Rate Standard Density [m3/s](Hourly)</t>
  </si>
  <si>
    <t>TFSOUTH ATU OUTLET NODE:System Node Temp[C](Hourly)</t>
  </si>
  <si>
    <t>TFSOUTH ATU OUTLET NODE:System Node Volume Flow Rate Standard Density [m3/s](Hourly)</t>
  </si>
  <si>
    <t>GFCORE ATU INLET NODE:System Node Temp[C](Hourly)</t>
  </si>
  <si>
    <t>GFEAST ATU INLET NODE:System Node Temp[C](Hourly)</t>
  </si>
  <si>
    <t>GFWEST ATU INLET NODE:System Node Temp[C](Hourly)</t>
  </si>
  <si>
    <t>GFSOUTH ATU INLET NODE:System Node Temp[C](Hourly)</t>
  </si>
  <si>
    <t>GFNORTH ATU INLET NODE:System Node Temp[C](Hourly)</t>
  </si>
  <si>
    <t>MFCORE ATU INLET NODE:System Node Temp[C](Hourly)</t>
  </si>
  <si>
    <t>MFEAST ATU INLET NODE:System Node Temp[C](Hourly)</t>
  </si>
  <si>
    <t>MFWEST ATU INLET NODE:System Node Temp[C](Hourly)</t>
  </si>
  <si>
    <t>MFSOUTH ATU INLET NODE:System Node Temp[C](Hourly)</t>
  </si>
  <si>
    <t>MFNORTH ATU INLET NODE:System Node Temp[C](Hourly)</t>
  </si>
  <si>
    <t>TFCORE ATU INLET NODE:System Node Temp[C](Hourly)</t>
  </si>
  <si>
    <t>TFEAST ATU INLET NODE:System Node Temp[C](Hourly)</t>
  </si>
  <si>
    <t>TFWEST ATU INLET NODE:System Node Temp[C](Hourly)</t>
  </si>
  <si>
    <t>TFSOUTH ATU INLET NODE:System Node Temp[C](Hourly)</t>
  </si>
  <si>
    <t>TFNORTH ATU INLET NODE:System Node Temp[C](Hourly)</t>
  </si>
  <si>
    <t>AHU RELIEF AIR OUTLET:System Node Temp[C](Hourly)</t>
  </si>
  <si>
    <t>AHU RELIEF AIR OUTLET:System Node Volume Flow Rate Standard Density [m3/s](Hourly)</t>
  </si>
  <si>
    <t>AHU SECONDARY RELIEF AIR OUTLET:System Node Temp[C](Hourly)</t>
  </si>
  <si>
    <t xml:space="preserve">AHU SECONDARY RELIEF AIR OUTLET:System Node Volume Flow Rate Standard Density [m3/s](Hourly) </t>
  </si>
  <si>
    <t>Program Version:</t>
  </si>
  <si>
    <t>EnergyPlus</t>
  </si>
  <si>
    <t xml:space="preserve"> Version 6.0</t>
  </si>
  <si>
    <t xml:space="preserve"> Tabular Output Report in Format: </t>
  </si>
  <si>
    <t>Comma</t>
  </si>
  <si>
    <t>Building:</t>
  </si>
  <si>
    <t>Environment:</t>
  </si>
  <si>
    <t>----------------------------------------------------------------------------------------------------</t>
  </si>
  <si>
    <t>REPORT:</t>
  </si>
  <si>
    <t>AnnualBuildingUtilityPerformanceSummary</t>
  </si>
  <si>
    <t>FOR:</t>
  </si>
  <si>
    <t>Entire Facility</t>
  </si>
  <si>
    <t>Site and Source Energy</t>
  </si>
  <si>
    <t>Total Energy [kWh]</t>
  </si>
  <si>
    <t>Energy Per Total Building Area [kWh/m2]</t>
  </si>
  <si>
    <t>Energy Per Conditioned Building Area [kWh/m2]</t>
  </si>
  <si>
    <t>Total Site Energy</t>
  </si>
  <si>
    <t>Net Site Energy</t>
  </si>
  <si>
    <t>Total Source Energy</t>
  </si>
  <si>
    <t>Net Source Energy</t>
  </si>
  <si>
    <t>Site to Source Energy Conversion Factors</t>
  </si>
  <si>
    <t>Site=&gt;Source Conversion Factor</t>
  </si>
  <si>
    <t>Electricity</t>
  </si>
  <si>
    <t>Natural Gas</t>
  </si>
  <si>
    <t>District Cooling</t>
  </si>
  <si>
    <t>District Heating</t>
  </si>
  <si>
    <t>Steam</t>
  </si>
  <si>
    <t>Gasoline</t>
  </si>
  <si>
    <t>Diesel</t>
  </si>
  <si>
    <t>Coal</t>
  </si>
  <si>
    <t>Fuel Oil #1</t>
  </si>
  <si>
    <t>Fuel Oil #2</t>
  </si>
  <si>
    <t>Propane</t>
  </si>
  <si>
    <t>Building Area</t>
  </si>
  <si>
    <t>Area [m2]</t>
  </si>
  <si>
    <t>Total Building Area</t>
  </si>
  <si>
    <t>Net Conditioned Building Area</t>
  </si>
  <si>
    <t>Unconditioned Building Area</t>
  </si>
  <si>
    <t>End Uses</t>
  </si>
  <si>
    <t>Electricity [kWh]</t>
  </si>
  <si>
    <t>Natural Gas [kWh]</t>
  </si>
  <si>
    <t>Other Fuel [kWh]</t>
  </si>
  <si>
    <t>District Cooling [kWh]</t>
  </si>
  <si>
    <t>District Heating [kWh]</t>
  </si>
  <si>
    <t>Water [m3]</t>
  </si>
  <si>
    <t>Interior Lighting</t>
  </si>
  <si>
    <t>Exterior Lighting</t>
  </si>
  <si>
    <t>Interior Equipment</t>
  </si>
  <si>
    <t>Exterior Equipment</t>
  </si>
  <si>
    <t>Pumps</t>
  </si>
  <si>
    <t>Heat Rejection</t>
  </si>
  <si>
    <t>Humidification</t>
  </si>
  <si>
    <t>Water Systems</t>
  </si>
  <si>
    <t>Refrigeration</t>
  </si>
  <si>
    <t>Generators</t>
  </si>
  <si>
    <t>Total End Uses</t>
  </si>
  <si>
    <t>End Uses By Subcategory</t>
  </si>
  <si>
    <t>Subcategory</t>
  </si>
  <si>
    <t>Boiler Parasitic</t>
  </si>
  <si>
    <t>General</t>
  </si>
  <si>
    <t>ELECTRIC EQUIPMENT#GeneralLights# GFSouth</t>
  </si>
  <si>
    <t>ELECTRIC EQUIPMENT#GeneralLights# GFNorth</t>
  </si>
  <si>
    <t>ELECTRIC EQUIPMENT#GeneralLights# GFWest</t>
  </si>
  <si>
    <t>ELECTRIC EQUIPMENT#GeneralLights# GFEast</t>
  </si>
  <si>
    <t>ELECTRIC EQUIPMENT#GeneralLights# MFSouth</t>
  </si>
  <si>
    <t>ELECTRIC EQUIPMENT#GeneralLights# MFNorth</t>
  </si>
  <si>
    <t>ELECTRIC EQUIPMENT#GeneralLights# MFWest</t>
  </si>
  <si>
    <t>ELECTRIC EQUIPMENT#GeneralLights# MFEast</t>
  </si>
  <si>
    <t>ELECTRIC EQUIPMENT#GeneralLights# TFSouth</t>
  </si>
  <si>
    <t>ELECTRIC EQUIPMENT#GeneralLights# TFNorth</t>
  </si>
  <si>
    <t>ELECTRIC EQUIPMENT#GeneralLights# TFWest</t>
  </si>
  <si>
    <t>ELECTRIC EQUIPMENT#GeneralLights# TFEast</t>
  </si>
  <si>
    <t>ELECTRIC EQUIPMENT#GeneralLights# GFCore</t>
  </si>
  <si>
    <t>ELECTRIC EQUIPMENT#GeneralLights# MFCore</t>
  </si>
  <si>
    <t>ELECTRIC EQUIPMENT#GeneralLights# TFCore</t>
  </si>
  <si>
    <t>ELECTRIC EQUIPMENT#GeneralEquipment# GFSouth</t>
  </si>
  <si>
    <t>ELECTRIC EQUIPMENT#GeneralEquipment# GFNorth</t>
  </si>
  <si>
    <t>ELECTRIC EQUIPMENT#GeneralEquipment# GFWest</t>
  </si>
  <si>
    <t>ELECTRIC EQUIPMENT#GeneralEquipment# GFEast</t>
  </si>
  <si>
    <t>ELECTRIC EQUIPMENT#GeneralEquipment# MFSouth</t>
  </si>
  <si>
    <t>ELECTRIC EQUIPMENT#GeneralEquipment# MFNorth</t>
  </si>
  <si>
    <t>ELECTRIC EQUIPMENT#GeneralEquipment# MFWest</t>
  </si>
  <si>
    <t>ELECTRIC EQUIPMENT#GeneralEquipment# MFEast</t>
  </si>
  <si>
    <t>ELECTRIC EQUIPMENT#GeneralEquipment# TFSouth</t>
  </si>
  <si>
    <t>ELECTRIC EQUIPMENT#GeneralEquipment# TFNorth</t>
  </si>
  <si>
    <t>ELECTRIC EQUIPMENT#GeneralEquipment# TFWest</t>
  </si>
  <si>
    <t>ELECTRIC EQUIPMENT#GeneralEquipment# TFEast</t>
  </si>
  <si>
    <t>ELECTRIC EQUIPMENT#GeneralEquipment# GFCore</t>
  </si>
  <si>
    <t>ELECTRIC EQUIPMENT#GeneralEquipment# MFCore</t>
  </si>
  <si>
    <t>ELECTRIC EQUIPMENT#GeneralEquipment# TFCore</t>
  </si>
  <si>
    <t>Normalized Metrics</t>
  </si>
  <si>
    <t>Utility Use Per Conditioned Floor Area</t>
  </si>
  <si>
    <t>Electricity Intensity [kWh/m2]</t>
  </si>
  <si>
    <t>Natural Gas Intensity [kWh/m2]</t>
  </si>
  <si>
    <t>Other Fuel Intensity [kWh/m2]</t>
  </si>
  <si>
    <t>District Cooling Intensity [kWh/m2]</t>
  </si>
  <si>
    <t>District Heating Intensity [kWh/m2]</t>
  </si>
  <si>
    <t>Water Intensity [m3/m2]</t>
  </si>
  <si>
    <t>Other</t>
  </si>
  <si>
    <t>Total</t>
  </si>
  <si>
    <t>Utility Use Per Total Floor Area</t>
  </si>
  <si>
    <t>Electric Loads Satisfied</t>
  </si>
  <si>
    <t>Percent Electricity [%]</t>
  </si>
  <si>
    <t>Fuel-Fired Power Generation</t>
  </si>
  <si>
    <t>High Temperature Geothermal*</t>
  </si>
  <si>
    <t>Photovoltaic Power</t>
  </si>
  <si>
    <t>Wind Power*</t>
  </si>
  <si>
    <t>Net Decrease in On-Site Storage</t>
  </si>
  <si>
    <t>Total On-Site Electric Sources</t>
  </si>
  <si>
    <t>Electricity Coming From Utility</t>
  </si>
  <si>
    <t>Surplus Electricity Going To Utility</t>
  </si>
  <si>
    <t>Net Electricity From Utility</t>
  </si>
  <si>
    <t>Total On-Site and Utility Electric Sources</t>
  </si>
  <si>
    <t>Total Electricity End Uses</t>
  </si>
  <si>
    <t>On-Site Thermal Sources</t>
  </si>
  <si>
    <t>Heat [kWh]</t>
  </si>
  <si>
    <t>Percent Heat [%]</t>
  </si>
  <si>
    <t>Water-Side Heat Recovery</t>
  </si>
  <si>
    <t>Air to Air Heat Recovery for Cooling</t>
  </si>
  <si>
    <t>Air to Air Heat Recovery for Heating</t>
  </si>
  <si>
    <t>High-Temperature Geothermal*</t>
  </si>
  <si>
    <t>Solar Water Thermal</t>
  </si>
  <si>
    <t>Solar Air Thermal</t>
  </si>
  <si>
    <t>Total On-Site Thermal Sources</t>
  </si>
  <si>
    <t>Water Source Summary</t>
  </si>
  <si>
    <t>Percent Water [%]</t>
  </si>
  <si>
    <t>Rainwater Collection</t>
  </si>
  <si>
    <t>Condensate Collection</t>
  </si>
  <si>
    <t>Groundwater Well</t>
  </si>
  <si>
    <t>Total On Site Water Sources</t>
  </si>
  <si>
    <t>Initial Storage</t>
  </si>
  <si>
    <t>Final Storage</t>
  </si>
  <si>
    <t>Change in Storage</t>
  </si>
  <si>
    <t>Water Supplied by Utility</t>
  </si>
  <si>
    <t>Total On Site</t>
  </si>
  <si>
    <t xml:space="preserve"> Change in Storage</t>
  </si>
  <si>
    <t xml:space="preserve"> and Utility Water Sources</t>
  </si>
  <si>
    <t>Total Water End Uses</t>
  </si>
  <si>
    <t>Comfort and Setpoint Not Met Summary</t>
  </si>
  <si>
    <t>Degrees [deltaC]</t>
  </si>
  <si>
    <t>Tolerance for Time Heating Setpoint Not Met</t>
  </si>
  <si>
    <t>Tolerance for Time Cooling Setpoint Not Met</t>
  </si>
  <si>
    <t>Facility [Hours]</t>
  </si>
  <si>
    <t>Time Set Point Not Met During Occupied Heating</t>
  </si>
  <si>
    <t>Time Set Point Not Met During Occupied Cooling</t>
  </si>
  <si>
    <t>Time Not Comfortable Based on Simple ASHRAE 55-2004</t>
  </si>
  <si>
    <t>Note 1: An asterisk (*) indicates that the feature is not yet implemented.</t>
  </si>
  <si>
    <t>InputVerificationandResultsSummary</t>
  </si>
  <si>
    <t>Program Version and Build</t>
  </si>
  <si>
    <t>Weather</t>
  </si>
  <si>
    <t>Latitude [deg]</t>
  </si>
  <si>
    <t>Longitude [deg]</t>
  </si>
  <si>
    <t>Elevation [m]</t>
  </si>
  <si>
    <t>Time Zone</t>
  </si>
  <si>
    <t>North Axis Angle [deg]</t>
  </si>
  <si>
    <t>Rotation for Appendix G [deg]</t>
  </si>
  <si>
    <t>Hours Simulated [hrs]</t>
  </si>
  <si>
    <t>ENVELOPE</t>
  </si>
  <si>
    <t>Window-Wall Ratio</t>
  </si>
  <si>
    <t>North (315 to 45 deg)</t>
  </si>
  <si>
    <t>East (45 to 135 deg)</t>
  </si>
  <si>
    <t>South (135 to 225 deg)</t>
  </si>
  <si>
    <t>West (225 to 315 deg)</t>
  </si>
  <si>
    <t>Gross Wall Area [m2]</t>
  </si>
  <si>
    <t>Window Opening Area [m2]</t>
  </si>
  <si>
    <t>Window-Wall Ratio [%]</t>
  </si>
  <si>
    <t>Skylight-Roof Ratio</t>
  </si>
  <si>
    <t>Gross Roof Area [m2]</t>
  </si>
  <si>
    <t>Skylight Area [m2]</t>
  </si>
  <si>
    <t>Skylight-Roof Ratio [%]</t>
  </si>
  <si>
    <t>PERFORMANCE</t>
  </si>
  <si>
    <t>Zone Summary</t>
  </si>
  <si>
    <t>Conditioned (Y/N)</t>
  </si>
  <si>
    <t>Volume [m3]</t>
  </si>
  <si>
    <t>Multipliers</t>
  </si>
  <si>
    <t>Window Glass Area [m2]</t>
  </si>
  <si>
    <t>Lighting [W/m2]</t>
  </si>
  <si>
    <t>People [m2] per person</t>
  </si>
  <si>
    <t>Plug and Process [W/m2]</t>
  </si>
  <si>
    <t>GFNORTH</t>
  </si>
  <si>
    <t>GFEAST</t>
  </si>
  <si>
    <t>GFSOUTH</t>
  </si>
  <si>
    <t>GFWEST</t>
  </si>
  <si>
    <t>GFCORE</t>
  </si>
  <si>
    <t>GFRPNORTH</t>
  </si>
  <si>
    <t>GFRPEAST</t>
  </si>
  <si>
    <t>GFRPSOUTH</t>
  </si>
  <si>
    <t>GFRPWEST</t>
  </si>
  <si>
    <t>GFRPCORE</t>
  </si>
  <si>
    <t>MFNORTH</t>
  </si>
  <si>
    <t>MFEAST</t>
  </si>
  <si>
    <t>MFSOUTH</t>
  </si>
  <si>
    <t>MFWEST</t>
  </si>
  <si>
    <t>MFCORE</t>
  </si>
  <si>
    <t>MFRPNORTH</t>
  </si>
  <si>
    <t>MFRPEAST</t>
  </si>
  <si>
    <t>MFRPSOUTH</t>
  </si>
  <si>
    <t>MFRPWEST</t>
  </si>
  <si>
    <t>MFRPCORE</t>
  </si>
  <si>
    <t>TFNORTH</t>
  </si>
  <si>
    <t>TFEAST</t>
  </si>
  <si>
    <t>TFSOUTH</t>
  </si>
  <si>
    <t>TFWEST</t>
  </si>
  <si>
    <t>TFCORE</t>
  </si>
  <si>
    <t>TFRPNORTH</t>
  </si>
  <si>
    <t>TFRPEAST</t>
  </si>
  <si>
    <t>TFRPSOUTH</t>
  </si>
  <si>
    <t>TFRPWEST</t>
  </si>
  <si>
    <t>TFRPCORE</t>
  </si>
  <si>
    <t>Conditioned Total</t>
  </si>
  <si>
    <t>Unconditioned Total</t>
  </si>
  <si>
    <t>DemandEndUseComponentsSummary</t>
  </si>
  <si>
    <t>Electricity [W]</t>
  </si>
  <si>
    <t>Natural Gas [W]</t>
  </si>
  <si>
    <t>Propane [W]</t>
  </si>
  <si>
    <t>District Cooling [W]</t>
  </si>
  <si>
    <t>Steam [W]</t>
  </si>
  <si>
    <t>Water [m3/s]</t>
  </si>
  <si>
    <t>Time of Peak</t>
  </si>
  <si>
    <t>ClimaticDataSummary</t>
  </si>
  <si>
    <t>SizingPeriod:DesignDay</t>
  </si>
  <si>
    <t>Maximum Dry Bulb [C]</t>
  </si>
  <si>
    <t>Daily Temperature Range [deltaC]</t>
  </si>
  <si>
    <t>Humidity Value</t>
  </si>
  <si>
    <t>Humidity Type</t>
  </si>
  <si>
    <t>Wind Speed [m/s]</t>
  </si>
  <si>
    <t>Wind Direction</t>
  </si>
  <si>
    <t>Wetbulb [C]</t>
  </si>
  <si>
    <t>Weather Statistics File</t>
  </si>
  <si>
    <t>EnvelopeSummary</t>
  </si>
  <si>
    <t>Opaque Exterior</t>
  </si>
  <si>
    <t>Construction</t>
  </si>
  <si>
    <t>Reflectance</t>
  </si>
  <si>
    <t>U-Factor with Film [W/m2-K]</t>
  </si>
  <si>
    <t>U-Factor no Film [W/m2-K]</t>
  </si>
  <si>
    <t>Gross Area [m2]</t>
  </si>
  <si>
    <t>Azimuth [deg]</t>
  </si>
  <si>
    <t>Tilt [deg]</t>
  </si>
  <si>
    <t>Cardinal Direction</t>
  </si>
  <si>
    <t>GFNORTH_WALL_N</t>
  </si>
  <si>
    <t>EXTERIOR_WALL</t>
  </si>
  <si>
    <t>GFEAST_WALL_E</t>
  </si>
  <si>
    <t>N</t>
  </si>
  <si>
    <t>GFSOUTH_WALL_S</t>
  </si>
  <si>
    <t>E</t>
  </si>
  <si>
    <t>GFWEST_WALL_W</t>
  </si>
  <si>
    <t>S</t>
  </si>
  <si>
    <t>GFRPNORTH_WALL_N</t>
  </si>
  <si>
    <t>GFRPEAST_WALL_E</t>
  </si>
  <si>
    <t>GFRPSOUTH_WALL_S</t>
  </si>
  <si>
    <t>GFRPWEST_WALL_W</t>
  </si>
  <si>
    <t>MFNORTH_WALL_N</t>
  </si>
  <si>
    <t>MFEAST_WALL_E</t>
  </si>
  <si>
    <t>MFSOUTH_WALL_S</t>
  </si>
  <si>
    <t>MFWEST_WALL_W</t>
  </si>
  <si>
    <t>MFRPNORTH_WALL_N</t>
  </si>
  <si>
    <t>MFRPEAST_WALL_E</t>
  </si>
  <si>
    <t>MFRPSOUTH_WALL_S</t>
  </si>
  <si>
    <t>MFRPWEST_WALL_W</t>
  </si>
  <si>
    <t>TFNORTH_WALL_N</t>
  </si>
  <si>
    <t>TFEAST_WALL_E</t>
  </si>
  <si>
    <t>TFSOUTH_WALL_S</t>
  </si>
  <si>
    <t>TFWEST_WALL_W</t>
  </si>
  <si>
    <t>TFRPNORTH_WALL_N</t>
  </si>
  <si>
    <t>TFRPNORTH_CEILING</t>
  </si>
  <si>
    <t>ROOF</t>
  </si>
  <si>
    <t>TFRPEAST_WALL_E</t>
  </si>
  <si>
    <t>TFRPEAST_CEILING</t>
  </si>
  <si>
    <t>TFRPSOUTH_WALL_S</t>
  </si>
  <si>
    <t>TFRPSOUTH_CEILING</t>
  </si>
  <si>
    <t>TFRPWEST_WALL_W</t>
  </si>
  <si>
    <t>TFRPWEST_CEILING</t>
  </si>
  <si>
    <t>TFRPCORE_CEILING</t>
  </si>
  <si>
    <t>GRDSLAB_CORE</t>
  </si>
  <si>
    <t>Fenestration</t>
  </si>
  <si>
    <t>Area of One Opening [m2]</t>
  </si>
  <si>
    <t>Area of Openings [m2]</t>
  </si>
  <si>
    <t>U-Factor [W/m2-K]</t>
  </si>
  <si>
    <t>SHGC</t>
  </si>
  <si>
    <t>Visible Transmittance</t>
  </si>
  <si>
    <t>Shade Control</t>
  </si>
  <si>
    <t>Parent Surface</t>
  </si>
  <si>
    <t>GFNORTH_WIN_N</t>
  </si>
  <si>
    <t>GFEAST_WIN_E</t>
  </si>
  <si>
    <t>WINDOW</t>
  </si>
  <si>
    <t>GFSOUTH_WIN_S</t>
  </si>
  <si>
    <t>GFWEST_WIN_W</t>
  </si>
  <si>
    <t>MFNORTH_WIN_N</t>
  </si>
  <si>
    <t>MFEAST_WIN_E</t>
  </si>
  <si>
    <t>MFSOUTH_WIN_S</t>
  </si>
  <si>
    <t>MFWEST_WIN_W</t>
  </si>
  <si>
    <t>TFNORTH_WIN_N</t>
  </si>
  <si>
    <t>TFEAST_WIN_E</t>
  </si>
  <si>
    <t>TFSOUTH_WIN_S</t>
  </si>
  <si>
    <t>TFWEST_WIN_W</t>
  </si>
  <si>
    <t>Total or Average</t>
  </si>
  <si>
    <t>North Total or Average</t>
  </si>
  <si>
    <t>Non-North Total or Average</t>
  </si>
  <si>
    <t>ShadingSummary</t>
  </si>
  <si>
    <t>Sunlit Fraction</t>
  </si>
  <si>
    <t>March 21 9am</t>
  </si>
  <si>
    <t>March 21 noon</t>
  </si>
  <si>
    <t>March 21 3pm</t>
  </si>
  <si>
    <t>June 21 9am</t>
  </si>
  <si>
    <t>June 21 noon</t>
  </si>
  <si>
    <t>June 21 3pm</t>
  </si>
  <si>
    <t>December 21 9am</t>
  </si>
  <si>
    <t>December 21 noon</t>
  </si>
  <si>
    <t>December 21 3pm</t>
  </si>
  <si>
    <t>Window Control</t>
  </si>
  <si>
    <t>Type</t>
  </si>
  <si>
    <t>Shaded Construction</t>
  </si>
  <si>
    <t>Control</t>
  </si>
  <si>
    <t>Glare Control</t>
  </si>
  <si>
    <t>Interior Blind</t>
  </si>
  <si>
    <t>LightingSummary</t>
  </si>
  <si>
    <t>Lighting Power Density [W/m2]</t>
  </si>
  <si>
    <t>Zone Area [m2]</t>
  </si>
  <si>
    <t>Total Power [W]</t>
  </si>
  <si>
    <t>End Use Subcategory</t>
  </si>
  <si>
    <t>Schedule Name</t>
  </si>
  <si>
    <t>Average Hours/Week [hr]</t>
  </si>
  <si>
    <t>Return Air Fraction</t>
  </si>
  <si>
    <t>GFSOUTH GENERAL LIGHTING</t>
  </si>
  <si>
    <t>Y</t>
  </si>
  <si>
    <t>GFNORTH GENERAL LIGHTING</t>
  </si>
  <si>
    <t>GFWEST GENERAL LIGHTING</t>
  </si>
  <si>
    <t>GFEAST GENERAL LIGHTING</t>
  </si>
  <si>
    <t>MFSOUTH GENERAL LIGHTING</t>
  </si>
  <si>
    <t>MFNORTH GENERAL LIGHTING</t>
  </si>
  <si>
    <t>MFWEST GENERAL LIGHTING</t>
  </si>
  <si>
    <t>MFEAST GENERAL LIGHTING</t>
  </si>
  <si>
    <t>TFSOUTH GENERAL LIGHTING</t>
  </si>
  <si>
    <t>TFNORTH GENERAL LIGHTING</t>
  </si>
  <si>
    <t>TFWEST GENERAL LIGHTING</t>
  </si>
  <si>
    <t>TFEAST GENERAL LIGHTING</t>
  </si>
  <si>
    <t>GFCORE GENERAL LIGHTING</t>
  </si>
  <si>
    <t>MFCORE GENERAL LIGHTING</t>
  </si>
  <si>
    <t>TFCORE GENERAL LIGHTING</t>
  </si>
  <si>
    <t>Interior Lighting Total</t>
  </si>
  <si>
    <t>Daylighting</t>
  </si>
  <si>
    <t>Daylighting Type</t>
  </si>
  <si>
    <t>Control Type</t>
  </si>
  <si>
    <t>Fraction Controlled</t>
  </si>
  <si>
    <t>Lighting Installed in Zone [W]</t>
  </si>
  <si>
    <t>Lighting Controlled [W]</t>
  </si>
  <si>
    <t>Total Watts</t>
  </si>
  <si>
    <t>Astronomical Clock/Schedule</t>
  </si>
  <si>
    <t>Average Annual Hours/Week</t>
  </si>
  <si>
    <t>Exterior Lighting Total</t>
  </si>
  <si>
    <t>EquipmentSummary</t>
  </si>
  <si>
    <t>Central Plant</t>
  </si>
  <si>
    <t>Nominal Capacity [W]</t>
  </si>
  <si>
    <t>Nominal Efficiency [W/W]</t>
  </si>
  <si>
    <t>CHILLER</t>
  </si>
  <si>
    <t>Chiller:Electric:EIR</t>
  </si>
  <si>
    <t>BOILER</t>
  </si>
  <si>
    <t>Boiler:HotWater</t>
  </si>
  <si>
    <t>BOILER2</t>
  </si>
  <si>
    <t>TOWER</t>
  </si>
  <si>
    <t>CoolingTower:TwoSpeed</t>
  </si>
  <si>
    <t>Cooling Coils</t>
  </si>
  <si>
    <t>Nominal Total Capacity [W]</t>
  </si>
  <si>
    <t>Nominal Sensible Capacity [W]</t>
  </si>
  <si>
    <t>Nominal Latent Capacity [W]</t>
  </si>
  <si>
    <t>Nominal Sensible Heat Ratio</t>
  </si>
  <si>
    <t>Nominal Coil UA Value [W/C]</t>
  </si>
  <si>
    <t>Nominal Coil Surface Area [m2]</t>
  </si>
  <si>
    <t>AHU COOLING COIL</t>
  </si>
  <si>
    <t>Coil:Cooling:Water</t>
  </si>
  <si>
    <t>DX Cooling Coils</t>
  </si>
  <si>
    <t>DX Cooling Coil Type</t>
  </si>
  <si>
    <t>Standard Rating (Net) Cooling Capacity [W]</t>
  </si>
  <si>
    <t>SEER in SI Units [W/W]</t>
  </si>
  <si>
    <t>SEER in IP Units [Btu/W-h]</t>
  </si>
  <si>
    <t>EER in SI Units [W/W]</t>
  </si>
  <si>
    <t>EER in IP Units [Btu/W-h]</t>
  </si>
  <si>
    <t>IEER in SI Units [W/W]</t>
  </si>
  <si>
    <t>IEER in IP Units [Btu/W-h]</t>
  </si>
  <si>
    <t>Heating Coils</t>
  </si>
  <si>
    <t>GFNORTH REHEAT COIL</t>
  </si>
  <si>
    <t>Coil:Heating:Water</t>
  </si>
  <si>
    <t>GFEAST REHEAT COIL</t>
  </si>
  <si>
    <t>GFSOUTH REHEAT COIL</t>
  </si>
  <si>
    <t>GFWEST REHEAT COIL</t>
  </si>
  <si>
    <t>GFCORE REHEAT COIL</t>
  </si>
  <si>
    <t>MFNORTH REHEAT COIL</t>
  </si>
  <si>
    <t>MFEAST REHEAT COIL</t>
  </si>
  <si>
    <t>MFSOUTH REHEAT COIL</t>
  </si>
  <si>
    <t>MFWEST REHEAT COIL</t>
  </si>
  <si>
    <t>MFCORE REHEAT COIL</t>
  </si>
  <si>
    <t>TFNORTH REHEAT COIL</t>
  </si>
  <si>
    <t>TFEAST REHEAT COIL</t>
  </si>
  <si>
    <t>TFSOUTH REHEAT COIL</t>
  </si>
  <si>
    <t>TFWEST REHEAT COIL</t>
  </si>
  <si>
    <t>TFCORE REHEAT COIL</t>
  </si>
  <si>
    <t>AHU HEATING COIL</t>
  </si>
  <si>
    <t>Total Efficiency [W/W]</t>
  </si>
  <si>
    <t>Delta Pressure [pa]</t>
  </si>
  <si>
    <t>Max Flow Rate [m3/s]</t>
  </si>
  <si>
    <t>Rated Power [W]</t>
  </si>
  <si>
    <t>Motor Heat In Air Fraction</t>
  </si>
  <si>
    <t>End Use</t>
  </si>
  <si>
    <t>Fan:VariableVolume</t>
  </si>
  <si>
    <t>RELIEF FAN 1</t>
  </si>
  <si>
    <t>AHU SUPPLY FAN</t>
  </si>
  <si>
    <t>Head [pa]</t>
  </si>
  <si>
    <t>Power [W]</t>
  </si>
  <si>
    <t>Motor Efficiency [W/W]</t>
  </si>
  <si>
    <t>HOT WATER LOOP HW SUPPLY PUMP</t>
  </si>
  <si>
    <t>Pump:VariableSpeed</t>
  </si>
  <si>
    <t>Intermittent</t>
  </si>
  <si>
    <t>CHILLED WATER LOOP CHW SUPPLY PUMP</t>
  </si>
  <si>
    <t>CONDENSER WATER LOOP CNDW SUPPLY PUMP</t>
  </si>
  <si>
    <t>Service Water Heating</t>
  </si>
  <si>
    <t>Storage Volume [m3]</t>
  </si>
  <si>
    <t>Input [W]</t>
  </si>
  <si>
    <t>Thermal Efficiency [W/W]</t>
  </si>
  <si>
    <t>Recovery Efficiency [W/W]</t>
  </si>
  <si>
    <t>Energy Factor</t>
  </si>
  <si>
    <t>HVACSizingSummary</t>
  </si>
  <si>
    <t>Zone Cooling</t>
  </si>
  <si>
    <t>Calculated Design Load [W]</t>
  </si>
  <si>
    <t>User Design Load [W]</t>
  </si>
  <si>
    <t>Calculated Design Air Flow [m3/s]</t>
  </si>
  <si>
    <t>User Design Air Flow [m3/s]</t>
  </si>
  <si>
    <t>Design Day Name</t>
  </si>
  <si>
    <t>Date/Time Of Peak</t>
  </si>
  <si>
    <t>Temperature at Peak [C]</t>
  </si>
  <si>
    <t>Humidity Ratio at Peak [kgWater/kgAir]</t>
  </si>
  <si>
    <t>Zone Heating</t>
  </si>
  <si>
    <t>System Design Air Flow Rates</t>
  </si>
  <si>
    <t>Calculated cooling [m3/s]</t>
  </si>
  <si>
    <t>User cooling [m3/s]</t>
  </si>
  <si>
    <t>Calculated heating [m3/s]</t>
  </si>
  <si>
    <t>User heating [m3/s]</t>
  </si>
  <si>
    <t>AHU</t>
  </si>
  <si>
    <t>SystemSummary</t>
  </si>
  <si>
    <t>Economizer</t>
  </si>
  <si>
    <t>High Limit Shutoff Control</t>
  </si>
  <si>
    <t>Minimum Outdoor Air [m3/s]</t>
  </si>
  <si>
    <t>Maximum Outdoor Air [m3/s]</t>
  </si>
  <si>
    <t>Return Air Temp Limit</t>
  </si>
  <si>
    <t>Return Air Enthalpy Limit</t>
  </si>
  <si>
    <t>Outdoor Air Temperature Limit [C]</t>
  </si>
  <si>
    <t>Outdoor Air Enthalpy Limit [C]</t>
  </si>
  <si>
    <t>AHU OA CONTROLLER</t>
  </si>
  <si>
    <t>DifferentialDryBulb</t>
  </si>
  <si>
    <t>Demand Controlled Ventilation using Controller:MechanicalVentilation</t>
  </si>
  <si>
    <t>Controller:MechanicalVentilation Name</t>
  </si>
  <si>
    <t>Outdoor Air Per Person [m3/s-person]</t>
  </si>
  <si>
    <t>Outdoor Air Per Area [m3/s-m2]</t>
  </si>
  <si>
    <t>Air Distribution Effectiveness in Cooling Mode</t>
  </si>
  <si>
    <t>Air Distribution Effectiveness in Heating Mode</t>
  </si>
  <si>
    <t>Air Distribution Effectiveness Schedule</t>
  </si>
  <si>
    <t>Winter Clothes [hr]</t>
  </si>
  <si>
    <t>Summer Clothes [hr]</t>
  </si>
  <si>
    <t>Summer or Winter Clothes [hr]</t>
  </si>
  <si>
    <t>Facility</t>
  </si>
  <si>
    <t>Time Setpoint Not Met</t>
  </si>
  <si>
    <t>During Heating [hr]</t>
  </si>
  <si>
    <t>During Cooling [hr]</t>
  </si>
  <si>
    <t>During Occupied Heating [hr]</t>
  </si>
  <si>
    <t>During Occupied Cooling [hr]</t>
  </si>
  <si>
    <t>OutdoorAirSummary</t>
  </si>
  <si>
    <t>Average Outdoor Air During Occupied Hours</t>
  </si>
  <si>
    <t>Average Number of Occupants</t>
  </si>
  <si>
    <t>Nominal Number of Occupants</t>
  </si>
  <si>
    <t>Zone Volume [m3]</t>
  </si>
  <si>
    <t>Mechanical Ventilation [ach]</t>
  </si>
  <si>
    <t>Infiltration [ach]</t>
  </si>
  <si>
    <t>Simple Ventilation [ach]</t>
  </si>
  <si>
    <t>Minimum Outdoor Air During Occupied Hours</t>
  </si>
  <si>
    <t>ObjectCountSummary</t>
  </si>
  <si>
    <t>Surfaces by Class</t>
  </si>
  <si>
    <t>Outdoors</t>
  </si>
  <si>
    <t>Wall</t>
  </si>
  <si>
    <t>Building Detached Shading</t>
  </si>
  <si>
    <t>Fixed Detached Shading</t>
  </si>
  <si>
    <t>Window</t>
  </si>
  <si>
    <t>Door</t>
  </si>
  <si>
    <t>Glass Door</t>
  </si>
  <si>
    <t>Shading</t>
  </si>
  <si>
    <t>Overhang</t>
  </si>
  <si>
    <t>Fin</t>
  </si>
  <si>
    <t>Tubular Daylighting Device Dome</t>
  </si>
  <si>
    <t>Tubular Daylighting Device Diffuser</t>
  </si>
  <si>
    <t>Count</t>
  </si>
  <si>
    <t>HVAC Air Loops</t>
  </si>
  <si>
    <t>Conditioned Zones</t>
  </si>
  <si>
    <t>Unconditioned Zones</t>
  </si>
  <si>
    <t>Supply Plenums</t>
  </si>
  <si>
    <t>Return Plenums</t>
  </si>
  <si>
    <t>Input Fields</t>
  </si>
  <si>
    <t>IDF Objects</t>
  </si>
  <si>
    <t>Defaulted Fields</t>
  </si>
  <si>
    <t>Fields with Defaults</t>
  </si>
  <si>
    <t>Autosized Fields</t>
  </si>
  <si>
    <t>Autosizable Fields</t>
  </si>
  <si>
    <t>Autocalculated Fields</t>
  </si>
  <si>
    <t>Autocalculatable Fields</t>
  </si>
  <si>
    <t>ComponentSizingSummary</t>
  </si>
  <si>
    <t>Maximum Reheat Water Flow Rate [m3/s]</t>
  </si>
  <si>
    <t>Reheat Coil Sizing Air Volume Flow Rate [m3/s]</t>
  </si>
  <si>
    <t>Maximum Air Flow Rate [m3/s]</t>
  </si>
  <si>
    <t>Maximum Water Flow Rate [m3/s]</t>
  </si>
  <si>
    <t>Design Coil Load [W]</t>
  </si>
  <si>
    <t>U-Factor Times Area Value [W/K]</t>
  </si>
  <si>
    <t>Maximum Flow Rate [m3/s]</t>
  </si>
  <si>
    <t>AirTerminal:SingleDuct:VAV:Reheat</t>
  </si>
  <si>
    <t>GFCORE VAV REHEAT</t>
  </si>
  <si>
    <t>MFCORE VAV REHEAT</t>
  </si>
  <si>
    <t>TFCORE VAV REHEAT</t>
  </si>
  <si>
    <t>Branch</t>
  </si>
  <si>
    <t>AHU MAIN BRANCH</t>
  </si>
  <si>
    <t>AirLoopHVAC</t>
  </si>
  <si>
    <t>Design Supply Air Flow Rate [m3/s]</t>
  </si>
  <si>
    <t>Controller:OutdoorAir</t>
  </si>
  <si>
    <t>Maximum Outdoor Air Flow Rate [m3/s]</t>
  </si>
  <si>
    <t>Design Water Flow Rate [m3/s]</t>
  </si>
  <si>
    <t>Design Air Flow Rate [m3/s]</t>
  </si>
  <si>
    <t>Design Inlet Water Temperature [C]</t>
  </si>
  <si>
    <t>Controller:WaterCoil</t>
  </si>
  <si>
    <t>Maximum Actuated Flow [m3/s]</t>
  </si>
  <si>
    <t>Controller Convergence Tolerance</t>
  </si>
  <si>
    <t>AHU COOLING COIL CONTROLLER</t>
  </si>
  <si>
    <t>AHU HEATING COIL CONTROLLER</t>
  </si>
  <si>
    <t>PlantLoop</t>
  </si>
  <si>
    <t>Maximum Loop Flow Rate [m3/s]</t>
  </si>
  <si>
    <t>Plant Loop Volume [m3]</t>
  </si>
  <si>
    <t>HOT_WATER_LOOP</t>
  </si>
  <si>
    <t>CHILLED_WATER_LOOP</t>
  </si>
  <si>
    <t>Rated Flow Rate [m3/s]</t>
  </si>
  <si>
    <t>Rated Power Consumption [W]</t>
  </si>
  <si>
    <t>CondenserLoop</t>
  </si>
  <si>
    <t>Condenser Loop Volume [m3]</t>
  </si>
  <si>
    <t>CONDENSER_WATER_LOOP</t>
  </si>
  <si>
    <t>Fan Power at High Fan Speed [W]</t>
  </si>
  <si>
    <t>Air Flow Rate at High Fan Speed [m3/s]</t>
  </si>
  <si>
    <t>U-Factor Times Area Value at High Fan Speed [W/C]</t>
  </si>
  <si>
    <t>Air Flow Rate at Low Fan Speed [m3/s]</t>
  </si>
  <si>
    <t>Fan Power at Low Fan Speed [W]</t>
  </si>
  <si>
    <t>U-Factor Times Area Value at Low Fan Speed [W/C]</t>
  </si>
  <si>
    <t>Air Flow Rate in Free Convection Regime [m3/s]</t>
  </si>
  <si>
    <t>U-Factor Times Area Value at Free Convection Air Flow Rate [W/C]</t>
  </si>
  <si>
    <t>SurfaceShadowingSummary</t>
  </si>
  <si>
    <t>Surfaces (Walls</t>
  </si>
  <si>
    <t xml:space="preserve"> Roofs</t>
  </si>
  <si>
    <t xml:space="preserve"> etc) that may be Shadowed by Other Surfaces</t>
  </si>
  <si>
    <t>Subsurfaces (Windows and Doors) that may be Shadowed by Surfaces</t>
  </si>
  <si>
    <t>Possible Shadow Receivers</t>
  </si>
  <si>
    <t>GFNORTH_WIN_N |</t>
  </si>
  <si>
    <t>GFEAST_WIN_E |</t>
  </si>
  <si>
    <t>GFSOUTH_WIN_S |</t>
  </si>
  <si>
    <t>GFWEST_WIN_W |</t>
  </si>
  <si>
    <t>MFNORTH_WIN_N |</t>
  </si>
  <si>
    <t>MFEAST_WIN_E |</t>
  </si>
  <si>
    <t>MFSOUTH_WIN_S |</t>
  </si>
  <si>
    <t>MFWEST_WIN_W |</t>
  </si>
  <si>
    <t>TFNORTH_WIN_N |</t>
  </si>
  <si>
    <t>TFEAST_WIN_E |</t>
  </si>
  <si>
    <t>TFSOUTH_WIN_S |</t>
  </si>
  <si>
    <t>TFWEST_WIN_W |</t>
  </si>
  <si>
    <t>HeatRejection:Electricity [J](Daily)</t>
  </si>
  <si>
    <t>HeatRejection:Electricity [J](Monthly)</t>
  </si>
  <si>
    <t>HeatRejection:Electricity [J](Hourly)</t>
  </si>
  <si>
    <t>Electricity:Facility [J](Daily)</t>
  </si>
  <si>
    <t>InteriorLights:Electricity [J](Daily)</t>
  </si>
  <si>
    <t>InteriorLights:Electricity [J](Hourly)</t>
  </si>
  <si>
    <t>InteriorEquipment:Electricity [J](Daily)</t>
  </si>
  <si>
    <t>InteriorEquipment:Electricity [J](Hourly)</t>
  </si>
  <si>
    <t>Electricity:Building [J](Daily)</t>
  </si>
  <si>
    <t>Fans:Electricity [J](Daily)</t>
  </si>
  <si>
    <t>Pumps:Electricity [J](Daily)</t>
  </si>
  <si>
    <t>Cooling:Electricity [J](Daily)</t>
  </si>
  <si>
    <t>Gas:Facility [J](Daily)</t>
  </si>
  <si>
    <t>Gas:Facility [J](Hourly)</t>
  </si>
  <si>
    <t>Electricity:Plant [J](Daily)</t>
  </si>
  <si>
    <t>Electricity:Plant [J](Hourly)</t>
  </si>
  <si>
    <t>Fans:Electricity [J](Hourly)</t>
  </si>
  <si>
    <t>Electricity:HVAC [J](Daily)</t>
  </si>
  <si>
    <t xml:space="preserve">  </t>
  </si>
  <si>
    <t>RUNPERIOD</t>
  </si>
  <si>
    <t>MIT2</t>
  </si>
  <si>
    <t>CBE\CBE-EnergyPlus-Model\Model\</t>
  </si>
  <si>
    <t>Thermal Decay Sizing</t>
  </si>
  <si>
    <t>Reference</t>
  </si>
  <si>
    <t>Site:Location</t>
  </si>
  <si>
    <t>Latitude</t>
  </si>
  <si>
    <t>Longitude</t>
  </si>
  <si>
    <t>GMT -8.0 Hours</t>
  </si>
  <si>
    <t>Elevation (m) above sea level</t>
  </si>
  <si>
    <t>Standard Pressure at Elevation</t>
  </si>
  <si>
    <t>Data Source</t>
  </si>
  <si>
    <t>CTZRV2</t>
  </si>
  <si>
    <t>WMO Station</t>
  </si>
  <si>
    <t>Weather File Design Conditions</t>
  </si>
  <si>
    <t>Climate Design Data 2009 ASHRAE Handbook</t>
  </si>
  <si>
    <t>Heating Design Temperature 99.6% (C)</t>
  </si>
  <si>
    <t>Heating Design Temperature 99% (C)</t>
  </si>
  <si>
    <t>Cooling Design Temperature 0.4% (C)</t>
  </si>
  <si>
    <t>Cooling Design Temperature 1% (C)</t>
  </si>
  <si>
    <t>Cooling Design Temperature 2% (C)</t>
  </si>
  <si>
    <t>Maximum Dry Bulb Temperature (C)</t>
  </si>
  <si>
    <t>Maximum Dry Bulb Occurs on</t>
  </si>
  <si>
    <t>Minimum Dry Bulb Temperature (C)</t>
  </si>
  <si>
    <t>Minimum Dry Bulb Occurs on</t>
  </si>
  <si>
    <t>Maximum Dew Point Temperature (C)</t>
  </si>
  <si>
    <t>Maximum Dew Point Occurs on</t>
  </si>
  <si>
    <t>Minimum Dew Point Temperature (C)</t>
  </si>
  <si>
    <t>Minimum Dew Point Occurs on</t>
  </si>
  <si>
    <t>Heating Degree-Days (base 10°C)</t>
  </si>
  <si>
    <t>Cooling Degree-Days (base 18°C)</t>
  </si>
  <si>
    <t>Köppen Classification</t>
  </si>
  <si>
    <t>Köppen Description</t>
  </si>
  <si>
    <t xml:space="preserve"> mild winter</t>
  </si>
  <si>
    <t xml:space="preserve"> lat. 30-45°N)</t>
  </si>
  <si>
    <t>Köppen Recommendation</t>
  </si>
  <si>
    <t>ASHRAE Climate Zone</t>
  </si>
  <si>
    <t>ASHRAE Description</t>
  </si>
  <si>
    <t>Warm-Marine</t>
  </si>
  <si>
    <t>Custom</t>
  </si>
  <si>
    <t>b</t>
  </si>
  <si>
    <t>Cfm per diffuser</t>
  </si>
  <si>
    <t>MIT1</t>
  </si>
  <si>
    <t>LIN1</t>
  </si>
  <si>
    <t>LIN2</t>
  </si>
  <si>
    <t>Airflow per diffuser</t>
  </si>
  <si>
    <t>HorizontalSwirl</t>
  </si>
  <si>
    <t>Swirl</t>
  </si>
  <si>
    <t>Design Phi</t>
  </si>
  <si>
    <t>Diffuser Sizing</t>
  </si>
  <si>
    <t>Diffuser Sizing Factor</t>
  </si>
  <si>
    <t>ON</t>
  </si>
  <si>
    <t>ALWAYSON</t>
  </si>
  <si>
    <t>AlwaysOn</t>
  </si>
  <si>
    <t>Custom Diffuser Effective Area</t>
  </si>
  <si>
    <t>Custom Diffuser Slot Angle</t>
  </si>
  <si>
    <t>cfm/Diff</t>
  </si>
  <si>
    <t>CA_sacramento</t>
  </si>
  <si>
    <t>CLIMATE ZONE 12 ANN HTG 99.6% CONDNS DB</t>
  </si>
  <si>
    <t>CLIMATE ZONE 12 ANN CLG .4% CONDNS DB=&gt;MWB</t>
  </si>
  <si>
    <t>CZ12RV2</t>
  </si>
  <si>
    <t>Climate Zone 12 CA USA</t>
  </si>
  <si>
    <t>N 38° 30'</t>
  </si>
  <si>
    <t>W 121° 30'</t>
  </si>
  <si>
    <t>101265Pa</t>
  </si>
  <si>
    <t>-0.4°</t>
  </si>
  <si>
    <t>1°</t>
  </si>
  <si>
    <t>37.9°</t>
  </si>
  <si>
    <t>36.2°</t>
  </si>
  <si>
    <t>34.3°</t>
  </si>
  <si>
    <t>39.7°</t>
  </si>
  <si>
    <t>-2.9°</t>
  </si>
  <si>
    <t>19.3°</t>
  </si>
  <si>
    <t>-8.6°</t>
  </si>
  <si>
    <t>Csa</t>
  </si>
  <si>
    <t>Mediterranean climate (dry hot summer</t>
  </si>
  <si>
    <t>Unbearably hot dry periods in summer</t>
  </si>
  <si>
    <t xml:space="preserve"> but passive cooling is possible</t>
  </si>
  <si>
    <t>FirstDualMinFraction[]</t>
  </si>
  <si>
    <t>First Dual Min Fraction</t>
  </si>
  <si>
    <t>Second Dual Min Fraction</t>
  </si>
  <si>
    <t>SecondDualMinFraction[]</t>
    <phoneticPr fontId="11" type="noConversion"/>
  </si>
  <si>
    <t xml:space="preserve"> 12/21  01:00:00</t>
  </si>
  <si>
    <t xml:space="preserve"> 12/21  02:00:00</t>
  </si>
  <si>
    <t xml:space="preserve"> 12/21  03:00:00</t>
  </si>
  <si>
    <t xml:space="preserve"> 12/21  04:00:00</t>
  </si>
  <si>
    <t xml:space="preserve"> 12/21  05:00:00</t>
  </si>
  <si>
    <t xml:space="preserve"> 12/21  06:00:00</t>
  </si>
  <si>
    <t xml:space="preserve"> 12/21  07:00:00</t>
  </si>
  <si>
    <t xml:space="preserve"> 12/21  08:00:00</t>
  </si>
  <si>
    <t xml:space="preserve"> 12/21  09:00:00</t>
  </si>
  <si>
    <t xml:space="preserve"> 12/21  10:00:00</t>
  </si>
  <si>
    <t xml:space="preserve"> 12/21  11:00:00</t>
  </si>
  <si>
    <t xml:space="preserve"> 12/21  12:00:00</t>
  </si>
  <si>
    <t xml:space="preserve"> 12/21  13:00:00</t>
  </si>
  <si>
    <t xml:space="preserve"> 12/21  14:00:00</t>
  </si>
  <si>
    <t xml:space="preserve"> 12/21  15:00:00</t>
  </si>
  <si>
    <t xml:space="preserve"> 12/21  16:00:00</t>
  </si>
  <si>
    <t xml:space="preserve"> 12/21  17:00:00</t>
  </si>
  <si>
    <t xml:space="preserve"> 12/21  18:00:00</t>
  </si>
  <si>
    <t xml:space="preserve"> 12/21  19:00:00</t>
  </si>
  <si>
    <t xml:space="preserve"> 12/21  20:00:00</t>
  </si>
  <si>
    <t xml:space="preserve"> 12/21  21:00:00</t>
  </si>
  <si>
    <t xml:space="preserve"> 12/21  22:00:00</t>
  </si>
  <si>
    <t xml:space="preserve"> 12/21  23:00:00</t>
  </si>
  <si>
    <t xml:space="preserve"> 12/21  24:00:00</t>
  </si>
  <si>
    <t xml:space="preserve"> 07/21  01:00:00</t>
  </si>
  <si>
    <t xml:space="preserve"> 07/21  02:00:00</t>
  </si>
  <si>
    <t xml:space="preserve"> 07/21  03:00:00</t>
  </si>
  <si>
    <t xml:space="preserve"> 07/21  04:00:00</t>
  </si>
  <si>
    <t xml:space="preserve"> 07/21  05:00:00</t>
  </si>
  <si>
    <t xml:space="preserve"> 07/21  06:00:00</t>
  </si>
  <si>
    <t xml:space="preserve"> 07/21  07:00:00</t>
  </si>
  <si>
    <t xml:space="preserve"> 07/21  08:00:00</t>
  </si>
  <si>
    <t xml:space="preserve"> 07/21  09:00:00</t>
  </si>
  <si>
    <t xml:space="preserve"> 07/21  10:00:00</t>
  </si>
  <si>
    <t xml:space="preserve"> 07/21  11:00:00</t>
  </si>
  <si>
    <t xml:space="preserve"> 07/21  12:00:00</t>
  </si>
  <si>
    <t xml:space="preserve"> 07/21  13:00:00</t>
  </si>
  <si>
    <t xml:space="preserve"> 07/21  14:00:00</t>
  </si>
  <si>
    <t xml:space="preserve"> 07/21  15:00:00</t>
  </si>
  <si>
    <t xml:space="preserve"> 07/21  16:00:00</t>
  </si>
  <si>
    <t xml:space="preserve"> 07/21  17:00:00</t>
  </si>
  <si>
    <t xml:space="preserve"> 07/21  18:00:00</t>
  </si>
  <si>
    <t xml:space="preserve"> 07/21  19:00:00</t>
  </si>
  <si>
    <t xml:space="preserve"> 07/21  20:00:00</t>
  </si>
  <si>
    <t xml:space="preserve"> 07/21  21:00:00</t>
  </si>
  <si>
    <t xml:space="preserve"> 07/21  22:00:00</t>
  </si>
  <si>
    <t xml:space="preserve"> 07/21  23:00:00</t>
  </si>
  <si>
    <t xml:space="preserve"> 07/21  24:00:00</t>
  </si>
  <si>
    <t>Values gathered over         0.00 hours</t>
  </si>
  <si>
    <t>WARNING: THE REPORT DOES NOT REPRESENT A FULL ANNUAL SIMULATION.</t>
  </si>
  <si>
    <t>Aggregated over the Design Days</t>
  </si>
  <si>
    <t>VAV_Heating</t>
  </si>
  <si>
    <t>UFAD_ReturnPlen</t>
  </si>
  <si>
    <t>MFCORE_WALL_N:Surface Int Convection Heat Rate [W](Hourly)</t>
  </si>
  <si>
    <t>MFCORE_WALL_E:Surface Int Convection Heat Rate [W](Hourly)</t>
  </si>
  <si>
    <t>MFCORE_WALL_S:Surface Int Convection Heat Rate [W](Hourly)</t>
  </si>
  <si>
    <t>MFCORE_WALL_W:Surface Int Convection Heat Rate [W](Hourly)</t>
  </si>
  <si>
    <t>GFSPNORTH_WALL_N:Surface Int Convection Heat Rate [W](Hourly)</t>
  </si>
  <si>
    <t>GFSPNORTH_FLOOR:Surface Inside Temperature [C](Hourly)</t>
  </si>
  <si>
    <t>GFSPNORTH_FLOOR:Surface Outside Temperature [C](Hourly)</t>
  </si>
  <si>
    <t>GFSPNORTH_FLOOR:Surface Int Convection Heat Rate [W](Hourly)</t>
  </si>
  <si>
    <t>GFSPNORTH_FLOOR:Opaque Surface Inside Face Conduction [W](Hourly)</t>
  </si>
  <si>
    <t>GFSPNORTH_CEILING:Surface Inside Temperature [C](Hourly)</t>
  </si>
  <si>
    <t>GFSPNORTH_CEILING:Surface Outside Temperature [C](Hourly)</t>
  </si>
  <si>
    <t>GFSPNORTH_CEILING:Surface Int Convection Heat Rate [W](Hourly)</t>
  </si>
  <si>
    <t>GFSPEAST_WALL_E:Surface Int Convection Heat Rate [W](Hourly)</t>
  </si>
  <si>
    <t>GFSPEAST_FLOOR:Surface Inside Temperature [C](Hourly)</t>
  </si>
  <si>
    <t>GFSPEAST_FLOOR:Surface Outside Temperature [C](Hourly)</t>
  </si>
  <si>
    <t>GFSPEAST_FLOOR:Surface Int Convection Heat Rate [W](Hourly)</t>
  </si>
  <si>
    <t>GFSPEAST_FLOOR:Opaque Surface Inside Face Conduction [W](Hourly)</t>
  </si>
  <si>
    <t>GFSPEAST_CEILING:Surface Inside Temperature [C](Hourly)</t>
  </si>
  <si>
    <t>GFSPEAST_CEILING:Surface Outside Temperature [C](Hourly)</t>
  </si>
  <si>
    <t>GFSPEAST_CEILING:Surface Int Convection Heat Rate [W](Hourly)</t>
  </si>
  <si>
    <t>GFSPSOUTH_WALL_S:Surface Int Convection Heat Rate [W](Hourly)</t>
  </si>
  <si>
    <t>GFSPSOUTH_FLOOR:Surface Inside Temperature [C](Hourly)</t>
  </si>
  <si>
    <t>GFSPSOUTH_FLOOR:Surface Outside Temperature [C](Hourly)</t>
  </si>
  <si>
    <t>GFSPSOUTH_FLOOR:Surface Int Convection Heat Rate [W](Hourly)</t>
  </si>
  <si>
    <t>GFSPSOUTH_FLOOR:Opaque Surface Inside Face Conduction [W](Hourly)</t>
  </si>
  <si>
    <t>GFSPSOUTH_CEILING:Surface Inside Temperature [C](Hourly)</t>
  </si>
  <si>
    <t>GFSPSOUTH_CEILING:Surface Outside Temperature [C](Hourly)</t>
  </si>
  <si>
    <t>GFSPSOUTH_CEILING:Surface Int Convection Heat Rate [W](Hourly)</t>
  </si>
  <si>
    <t>GFSPWEST_WALL_W:Surface Int Convection Heat Rate [W](Hourly)</t>
  </si>
  <si>
    <t>GFSPWEST_FLOOR:Surface Inside Temperature [C](Hourly)</t>
  </si>
  <si>
    <t>GFSPWEST_FLOOR:Surface Outside Temperature [C](Hourly)</t>
  </si>
  <si>
    <t>GFSPWEST_FLOOR:Surface Int Convection Heat Rate [W](Hourly)</t>
  </si>
  <si>
    <t>GFSPWEST_FLOOR:Opaque Surface Inside Face Conduction [W](Hourly)</t>
  </si>
  <si>
    <t>GFSPWEST_CEILING:Surface Inside Temperature [C](Hourly)</t>
  </si>
  <si>
    <t>GFSPWEST_CEILING:Surface Outside Temperature [C](Hourly)</t>
  </si>
  <si>
    <t>GFSPWEST_CEILING:Surface Int Convection Heat Rate [W](Hourly)</t>
  </si>
  <si>
    <t>MFSPNORTH_WALL_N:Surface Int Convection Heat Rate [W](Hourly)</t>
  </si>
  <si>
    <t>MFSPNORTH_FLOOR:Surface Inside Temperature [C](Hourly)</t>
  </si>
  <si>
    <t>MFSPNORTH_FLOOR:Surface Outside Temperature [C](Hourly)</t>
  </si>
  <si>
    <t>MFSPNORTH_FLOOR:Surface Int Convection Heat Rate [W](Hourly)</t>
  </si>
  <si>
    <t>MFSPNORTH_FLOOR:Opaque Surface Inside Face Conduction [W](Hourly)</t>
  </si>
  <si>
    <t>MFSPNORTH_CEILING:Surface Inside Temperature [C](Hourly)</t>
  </si>
  <si>
    <t>MFSPNORTH_CEILING:Surface Outside Temperature [C](Hourly)</t>
  </si>
  <si>
    <t>MFSPNORTH_CEILING:Surface Int Convection Heat Rate [W](Hourly)</t>
  </si>
  <si>
    <t>MFSPEAST_WALL_E:Surface Int Convection Heat Rate [W](Hourly)</t>
  </si>
  <si>
    <t>MFSPEAST_FLOOR:Surface Inside Temperature [C](Hourly)</t>
  </si>
  <si>
    <t>MFSPEAST_FLOOR:Surface Outside Temperature [C](Hourly)</t>
  </si>
  <si>
    <t>MFSPEAST_FLOOR:Surface Int Convection Heat Rate [W](Hourly)</t>
  </si>
  <si>
    <t>MFSPEAST_FLOOR:Opaque Surface Inside Face Conduction [W](Hourly)</t>
  </si>
  <si>
    <t>MFSPEAST_CEILING:Surface Inside Temperature [C](Hourly)</t>
  </si>
  <si>
    <t>MFSPEAST_CEILING:Surface Outside Temperature [C](Hourly)</t>
  </si>
  <si>
    <t>MFSPEAST_CEILING:Surface Int Convection Heat Rate [W](Hourly)</t>
  </si>
  <si>
    <t>MFSPSOUTH_WALL_S:Surface Int Convection Heat Rate [W](Hourly)</t>
  </si>
  <si>
    <t>MFSPSOUTH_FLOOR:Surface Inside Temperature [C](Hourly)</t>
  </si>
  <si>
    <t>MFSPSOUTH_FLOOR:Surface Outside Temperature [C](Hourly)</t>
  </si>
  <si>
    <t>MFSPSOUTH_FLOOR:Surface Int Convection Heat Rate [W](Hourly)</t>
  </si>
  <si>
    <t>MFSPSOUTH_FLOOR:Opaque Surface Inside Face Conduction [W](Hourly)</t>
  </si>
  <si>
    <t>MFSPSOUTH_CEILING:Surface Inside Temperature [C](Hourly)</t>
  </si>
  <si>
    <t>MFSPSOUTH_CEILING:Surface Outside Temperature [C](Hourly)</t>
  </si>
  <si>
    <t>MFSPSOUTH_CEILING:Surface Int Convection Heat Rate [W](Hourly)</t>
  </si>
  <si>
    <t>MFSPWEST_WALL_W:Surface Int Convection Heat Rate [W](Hourly)</t>
  </si>
  <si>
    <t>MFSPWEST_FLOOR:Surface Inside Temperature [C](Hourly)</t>
  </si>
  <si>
    <t>MFSPWEST_FLOOR:Surface Outside Temperature [C](Hourly)</t>
  </si>
  <si>
    <t>MFSPWEST_FLOOR:Surface Int Convection Coeff [W/m2-K](Hourly)</t>
  </si>
  <si>
    <t>MFSPWEST_FLOOR:Surface Int Convection Heat Rate [W](Hourly)</t>
  </si>
  <si>
    <t>MFSPWEST_FLOOR:Opaque Surface Inside Face Conduction [W](Hourly)</t>
  </si>
  <si>
    <t>MFSPWEST_CEILING:Surface Inside Temperature [C](Hourly)</t>
  </si>
  <si>
    <t>MFSPWEST_CEILING:Surface Outside Temperature [C](Hourly)</t>
  </si>
  <si>
    <t>MFSPWEST_CEILING:Surface Int Convection Coeff [W/m2-K](Hourly)</t>
  </si>
  <si>
    <t>MFSPWEST_CEILING:Surface Int Convection Heat Rate [W](Hourly)</t>
  </si>
  <si>
    <t>MFSPCORE_FLOOR:Surface Int Convection Coeff [W/m2-K](Hourly)</t>
  </si>
  <si>
    <t>MFSPCORE_CEILING:Surface Int Convection Coeff [W/m2-K](Hourly)</t>
  </si>
  <si>
    <t>TFSPNORTH_WALL_N:Surface Int Convection Heat Rate [W](Hourly)</t>
  </si>
  <si>
    <t>TFSPNORTH_FLOOR:Surface Inside Temperature [C](Hourly)</t>
  </si>
  <si>
    <t>TFSPNORTH_FLOOR:Surface Outside Temperature [C](Hourly)</t>
  </si>
  <si>
    <t>TFSPNORTH_FLOOR:Surface Int Convection Heat Rate [W](Hourly)</t>
  </si>
  <si>
    <t>TFSPNORTH_FLOOR:Opaque Surface Inside Face Conduction [W](Hourly)</t>
  </si>
  <si>
    <t>TFSPNORTH_CEILING:Surface Inside Temperature [C](Hourly)</t>
  </si>
  <si>
    <t>TFSPNORTH_CEILING:Surface Outside Temperature [C](Hourly)</t>
  </si>
  <si>
    <t>TFSPNORTH_CEILING:Surface Int Convection Heat Rate [W](Hourly)</t>
  </si>
  <si>
    <t>TFSPEAST_WALL_E:Surface Int Convection Heat Rate [W](Hourly)</t>
  </si>
  <si>
    <t>TFSPEAST_FLOOR:Surface Inside Temperature [C](Hourly)</t>
  </si>
  <si>
    <t>TFSPEAST_FLOOR:Surface Outside Temperature [C](Hourly)</t>
  </si>
  <si>
    <t>TFSPEAST_FLOOR:Surface Int Convection Heat Rate [W](Hourly)</t>
  </si>
  <si>
    <t>TFSPEAST_FLOOR:Opaque Surface Inside Face Conduction [W](Hourly)</t>
  </si>
  <si>
    <t>TFSPEAST_CEILING:Surface Inside Temperature [C](Hourly)</t>
  </si>
  <si>
    <t>TFSPEAST_CEILING:Surface Outside Temperature [C](Hourly)</t>
  </si>
  <si>
    <t>TFSPEAST_CEILING:Surface Int Convection Heat Rate [W](Hourly)</t>
  </si>
  <si>
    <t>TFSPSOUTH_WALL_S:Surface Int Convection Heat Rate [W](Hourly)</t>
  </si>
  <si>
    <t>TFSPSOUTH_FLOOR:Surface Inside Temperature [C](Hourly)</t>
  </si>
  <si>
    <t>TFSPSOUTH_FLOOR:Surface Outside Temperature [C](Hourly)</t>
  </si>
  <si>
    <t>TFSPSOUTH_FLOOR:Surface Int Convection Heat Rate [W](Hourly)</t>
  </si>
  <si>
    <t>TFSPSOUTH_FLOOR:Opaque Surface Inside Face Conduction [W](Hourly)</t>
  </si>
  <si>
    <t>TFSPSOUTH_CEILING:Surface Inside Temperature [C](Hourly)</t>
  </si>
  <si>
    <t>TFSPSOUTH_CEILING:Surface Outside Temperature [C](Hourly)</t>
  </si>
  <si>
    <t>TFSPSOUTH_CEILING:Surface Int Convection Heat Rate [W](Hourly)</t>
  </si>
  <si>
    <t>TFSPWEST_WALL_W:Surface Int Convection Heat Rate [W](Hourly)</t>
  </si>
  <si>
    <t>TFSPWEST_FLOOR:Surface Inside Temperature [C](Hourly)</t>
  </si>
  <si>
    <t>TFSPWEST_FLOOR:Surface Outside Temperature [C](Hourly)</t>
  </si>
  <si>
    <t>TFSPWEST_FLOOR:Surface Int Convection Coeff [W/m2-K](Hourly)</t>
  </si>
  <si>
    <t>TFSPWEST_FLOOR:Surface Int Convection Heat Rate [W](Hourly)</t>
  </si>
  <si>
    <t>TFSPWEST_FLOOR:Opaque Surface Inside Face Conduction [W](Hourly)</t>
  </si>
  <si>
    <t>TFSPWEST_CEILING:Surface Inside Temperature [C](Hourly)</t>
  </si>
  <si>
    <t>TFSPWEST_CEILING:Surface Outside Temperature [C](Hourly)</t>
  </si>
  <si>
    <t>TFSPWEST_CEILING:Surface Int Convection Coeff [W/m2-K](Hourly)</t>
  </si>
  <si>
    <t>TFSPWEST_CEILING:Surface Int Convection Heat Rate [W](Hourly)</t>
  </si>
  <si>
    <t>TFSPCORE:Zone Mean Radiant Temperature [C](Hourly)</t>
  </si>
  <si>
    <t>TFSPCORE:Zone Mean Air Temperature [C](Hourly)</t>
  </si>
  <si>
    <t>MFSPSOUTH:Zone Infiltration Total Heat Loss [J](Hourly)</t>
  </si>
  <si>
    <t>MFSPSOUTH:Zone Infiltration Total Heat Gain [J](Hourly)</t>
  </si>
  <si>
    <t>MFSPEAST:Zone Infiltration Total Heat Loss [J](Hourly)</t>
  </si>
  <si>
    <t>MFSPEAST:Zone Infiltration Total Heat Gain [J](Hourly)</t>
  </si>
  <si>
    <t>GFSPNORTH:Zone/Sys Sensible Heating Rate [W](Hourly)</t>
  </si>
  <si>
    <t>GFSPNORTH:Zone/Sys Sensible Cooling Rate [W](Hourly)</t>
  </si>
  <si>
    <t>GFSPNORTH:Zone/Sys Air Temperature [C](Hourly)</t>
  </si>
  <si>
    <t>GFSPNORTH:Zone/Sys Sensible Load Predicted [W](Hourly)</t>
  </si>
  <si>
    <t>GFSPNORTH:Zone/Sys Sensible Load to Heating Setpoint Predicted [W](Hourly)</t>
  </si>
  <si>
    <t>GFSPNORTH:Zone/Sys Sensible Load to Cooling Setpoint Predicted [W](Hourly)</t>
  </si>
  <si>
    <t>GFSPEAST:Zone/Sys Sensible Heating Rate [W](Hourly)</t>
  </si>
  <si>
    <t>GFSPEAST:Zone/Sys Sensible Cooling Rate [W](Hourly)</t>
  </si>
  <si>
    <t>GFSPEAST:Zone/Sys Air Temperature [C](Hourly)</t>
  </si>
  <si>
    <t>GFSPEAST:Zone/Sys Sensible Load Predicted [W](Hourly)</t>
  </si>
  <si>
    <t>GFSPEAST:Zone/Sys Sensible Load to Heating Setpoint Predicted [W](Hourly)</t>
  </si>
  <si>
    <t>GFSPEAST:Zone/Sys Sensible Load to Cooling Setpoint Predicted [W](Hourly)</t>
  </si>
  <si>
    <t>GFSPSOUTH:Zone/Sys Sensible Heating Rate [W](Hourly)</t>
  </si>
  <si>
    <t>GFSPSOUTH:Zone/Sys Sensible Cooling Rate [W](Hourly)</t>
  </si>
  <si>
    <t>GFSPSOUTH:Zone/Sys Air Temperature [C](Hourly)</t>
  </si>
  <si>
    <t>GFSPSOUTH:Zone/Sys Sensible Load Predicted [W](Hourly)</t>
  </si>
  <si>
    <t>GFSPSOUTH:Zone/Sys Sensible Load to Heating Setpoint Predicted [W](Hourly)</t>
  </si>
  <si>
    <t>GFSPSOUTH:Zone/Sys Sensible Load to Cooling Setpoint Predicted [W](Hourly)</t>
  </si>
  <si>
    <t>GFSPWEST:Zone/Sys Sensible Heating Rate [W](Hourly)</t>
  </si>
  <si>
    <t>GFSPWEST:Zone/Sys Sensible Cooling Rate [W](Hourly)</t>
  </si>
  <si>
    <t>GFSPWEST:Zone/Sys Air Temperature [C](Hourly)</t>
  </si>
  <si>
    <t>GFSPWEST:Zone/Sys Sensible Load Predicted [W](Hourly)</t>
  </si>
  <si>
    <t>GFSPWEST:Zone/Sys Sensible Load to Heating Setpoint Predicted [W](Hourly)</t>
  </si>
  <si>
    <t>GFSPWEST:Zone/Sys Sensible Load to Cooling Setpoint Predicted [W](Hourly)</t>
  </si>
  <si>
    <t>GFSPCORE:Zone/Sys Sensible Heating Rate [W](Hourly)</t>
  </si>
  <si>
    <t>GFSPCORE:Zone/Sys Sensible Cooling Rate [W](Hourly)</t>
  </si>
  <si>
    <t>GFSPCORE:Zone/Sys Air Temperature [C](Hourly)</t>
  </si>
  <si>
    <t>GFSPCORE:Zone/Sys Sensible Load Predicted [W](Hourly)</t>
  </si>
  <si>
    <t>GFSPCORE:Zone/Sys Sensible Load to Heating Setpoint Predicted [W](Hourly)</t>
  </si>
  <si>
    <t>GFSPCORE:Zone/Sys Sensible Load to Cooling Setpoint Predicted [W](Hourly)</t>
  </si>
  <si>
    <t>MFSPNORTH:Zone/Sys Sensible Heating Rate [W](Hourly)</t>
  </si>
  <si>
    <t>MFSPNORTH:Zone/Sys Sensible Cooling Rate [W](Hourly)</t>
  </si>
  <si>
    <t>MFSPNORTH:Zone/Sys Air Temperature [C](Hourly)</t>
  </si>
  <si>
    <t>MFSPNORTH:Zone/Sys Sensible Load Predicted [W](Hourly)</t>
  </si>
  <si>
    <t>MFSPNORTH:Zone/Sys Sensible Load to Heating Setpoint Predicted [W](Hourly)</t>
  </si>
  <si>
    <t>MFSPNORTH:Zone/Sys Sensible Load to Cooling Setpoint Predicted [W](Hourly)</t>
  </si>
  <si>
    <t>MFSPEAST:Zone/Sys Sensible Heating Rate [W](Hourly)</t>
  </si>
  <si>
    <t>MFSPEAST:Zone/Sys Sensible Cooling Rate [W](Hourly)</t>
  </si>
  <si>
    <t>MFSPEAST:Zone/Sys Air Temperature [C](Hourly)</t>
  </si>
  <si>
    <t>MFSPEAST:Zone/Sys Sensible Load Predicted [W](Hourly)</t>
  </si>
  <si>
    <t>MFSPEAST:Zone/Sys Sensible Load to Heating Setpoint Predicted [W](Hourly)</t>
  </si>
  <si>
    <t>MFSPEAST:Zone/Sys Sensible Load to Cooling Setpoint Predicted [W](Hourly)</t>
  </si>
  <si>
    <t>MFSPSOUTH:Zone/Sys Sensible Heating Rate [W](Hourly)</t>
  </si>
  <si>
    <t>MFSPSOUTH:Zone/Sys Sensible Cooling Rate [W](Hourly)</t>
  </si>
  <si>
    <t>MFSPSOUTH:Zone/Sys Air Temperature [C](Hourly)</t>
  </si>
  <si>
    <t>MFSPSOUTH:Zone/Sys Sensible Load Predicted [W](Hourly)</t>
  </si>
  <si>
    <t>MFSPSOUTH:Zone/Sys Sensible Load to Heating Setpoint Predicted [W](Hourly)</t>
  </si>
  <si>
    <t>MFSPSOUTH:Zone/Sys Sensible Load to Cooling Setpoint Predicted [W](Hourly)</t>
  </si>
  <si>
    <t>MFSPWEST:Zone/Sys Sensible Heating Rate [W](Hourly)</t>
  </si>
  <si>
    <t>MFSPWEST:Zone/Sys Sensible Cooling Rate [W](Hourly)</t>
  </si>
  <si>
    <t>MFSPWEST:Zone/Sys Air Temperature [C](Hourly)</t>
  </si>
  <si>
    <t>MFSPWEST:Zone/Sys Sensible Load Predicted [W](Hourly)</t>
  </si>
  <si>
    <t>MFSPWEST:Zone/Sys Sensible Load to Heating Setpoint Predicted [W](Hourly)</t>
  </si>
  <si>
    <t>MFSPWEST:Zone/Sys Sensible Load to Cooling Setpoint Predicted [W](Hourly)</t>
  </si>
  <si>
    <t>MFSPCORE:Zone/Sys Sensible Heating Rate [W](Hourly)</t>
  </si>
  <si>
    <t>MFSPCORE:Zone/Sys Sensible Cooling Rate [W](Hourly)</t>
  </si>
  <si>
    <t>MFSPCORE:Zone/Sys Air Temperature [C](Hourly)</t>
  </si>
  <si>
    <t>MFSPCORE:Zone/Sys Sensible Load Predicted [W](Hourly)</t>
  </si>
  <si>
    <t>MFSPCORE:Zone/Sys Sensible Load to Heating Setpoint Predicted [W](Hourly)</t>
  </si>
  <si>
    <t>MFSPCORE:Zone/Sys Sensible Load to Cooling Setpoint Predicted [W](Hourly)</t>
  </si>
  <si>
    <t>TFSPNORTH:Zone/Sys Sensible Heating Rate [W](Hourly)</t>
  </si>
  <si>
    <t>TFSPNORTH:Zone/Sys Sensible Cooling Rate [W](Hourly)</t>
  </si>
  <si>
    <t>TFSPNORTH:Zone/Sys Air Temperature [C](Hourly)</t>
  </si>
  <si>
    <t>TFSPNORTH:Zone/Sys Sensible Load Predicted [W](Hourly)</t>
  </si>
  <si>
    <t>TFSPNORTH:Zone/Sys Sensible Load to Heating Setpoint Predicted [W](Hourly)</t>
  </si>
  <si>
    <t>TFSPNORTH:Zone/Sys Sensible Load to Cooling Setpoint Predicted [W](Hourly)</t>
  </si>
  <si>
    <t>TFSPEAST:Zone/Sys Sensible Heating Rate [W](Hourly)</t>
  </si>
  <si>
    <t>TFSPEAST:Zone/Sys Sensible Cooling Rate [W](Hourly)</t>
  </si>
  <si>
    <t>TFSPEAST:Zone/Sys Air Temperature [C](Hourly)</t>
  </si>
  <si>
    <t>TFSPEAST:Zone/Sys Sensible Load Predicted [W](Hourly)</t>
  </si>
  <si>
    <t>TFSPEAST:Zone/Sys Sensible Load to Heating Setpoint Predicted [W](Hourly)</t>
  </si>
  <si>
    <t>TFSPEAST:Zone/Sys Sensible Load to Cooling Setpoint Predicted [W](Hourly)</t>
  </si>
  <si>
    <t>TFSPSOUTH:Zone/Sys Sensible Heating Rate [W](Hourly)</t>
  </si>
  <si>
    <t>TFSPSOUTH:Zone/Sys Sensible Cooling Rate [W](Hourly)</t>
  </si>
  <si>
    <t>TFSPSOUTH:Zone/Sys Air Temperature [C](Hourly)</t>
  </si>
  <si>
    <t>TFSPSOUTH:Zone/Sys Sensible Load Predicted [W](Hourly)</t>
  </si>
  <si>
    <t>TFSPSOUTH:Zone/Sys Sensible Load to Heating Setpoint Predicted [W](Hourly)</t>
  </si>
  <si>
    <t>TFSPSOUTH:Zone/Sys Sensible Load to Cooling Setpoint Predicted [W](Hourly)</t>
  </si>
  <si>
    <t>TFSPWEST:Zone/Sys Sensible Heating Rate [W](Hourly)</t>
  </si>
  <si>
    <t>TFSPWEST:Zone/Sys Sensible Cooling Rate [W](Hourly)</t>
  </si>
  <si>
    <t>TFSPWEST:Zone/Sys Air Temperature [C](Hourly)</t>
  </si>
  <si>
    <t>TFSPWEST:Zone/Sys Sensible Load Predicted [W](Hourly)</t>
  </si>
  <si>
    <t>TFSPWEST:Zone/Sys Sensible Load to Heating Setpoint Predicted [W](Hourly)</t>
  </si>
  <si>
    <t>TFSPWEST:Zone/Sys Sensible Load to Cooling Setpoint Predicted [W](Hourly)</t>
  </si>
  <si>
    <t>TFSPCORE:Zone/Sys Sensible Heating Rate [W](Hourly)</t>
  </si>
  <si>
    <t>TFSPCORE:Zone/Sys Sensible Cooling Rate [W](Hourly)</t>
  </si>
  <si>
    <t>TFSPCORE:Zone/Sys Air Temperature [C](Hourly)</t>
  </si>
  <si>
    <t>TFSPCORE:Zone/Sys Sensible Load Predicted [W](Hourly)</t>
  </si>
  <si>
    <t>TFSPCORE:Zone/Sys Sensible Load to Heating Setpoint Predicted [W](Hourly)</t>
  </si>
  <si>
    <t>TFSPCORE:Zone/Sys Sensible Load to Cooling Setpoint Predicted [W](Hourly)</t>
  </si>
  <si>
    <t>GFCORE:UF Mixed Subzone Temperature [C](Hourly)</t>
  </si>
  <si>
    <t>GFCORE:UF Occupied Subzone Temperature [C](Hourly)</t>
  </si>
  <si>
    <t>GFCORE:UF Transition Height [m](Hourly)</t>
  </si>
  <si>
    <t>GFCORE:UF Gamma(Hourly)</t>
  </si>
  <si>
    <t>GFCORE:Phi(Hourly)</t>
  </si>
  <si>
    <t>MFCORE:UF Mixed Subzone Temperature [C](Hourly)</t>
  </si>
  <si>
    <t>MFCORE:UF Occupied Subzone Temperature [C](Hourly)</t>
  </si>
  <si>
    <t>MFCORE:UF Transition Height [m](Hourly)</t>
  </si>
  <si>
    <t>MFCORE:UF Gamma(Hourly)</t>
  </si>
  <si>
    <t>MFCORE:Phi(Hourly)</t>
  </si>
  <si>
    <t>TFCORE:UF Mixed Subzone Temperature [C](Hourly)</t>
  </si>
  <si>
    <t>TFCORE:UF Occupied Subzone Temperature [C](Hourly)</t>
  </si>
  <si>
    <t>TFCORE:UF Transition Height [m](Hourly)</t>
  </si>
  <si>
    <t>TFCORE:UF Gamma(Hourly)</t>
  </si>
  <si>
    <t>TFCORE:Phi(Hourly)</t>
  </si>
  <si>
    <t>GFNORTH:UF Mixed Subzone Temperature [C](Hourly)</t>
  </si>
  <si>
    <t>GFNORTH:UF Occupied Subzone Temperature [C](Hourly)</t>
  </si>
  <si>
    <t>GFNORTH:UF Transition Height [m](Hourly)</t>
  </si>
  <si>
    <t>GFNORTH:UF Gamma(Hourly)</t>
  </si>
  <si>
    <t>GFNORTH:Phi(Hourly)</t>
  </si>
  <si>
    <t>GFEAST:UF Mixed Subzone Temperature [C](Hourly)</t>
  </si>
  <si>
    <t>GFEAST:UF Occupied Subzone Temperature [C](Hourly)</t>
  </si>
  <si>
    <t>GFEAST:UF Transition Height [m](Hourly)</t>
  </si>
  <si>
    <t>GFEAST:UF Gamma(Hourly)</t>
  </si>
  <si>
    <t>GFEAST:Phi(Hourly)</t>
  </si>
  <si>
    <t>GFSOUTH:UF Mixed Subzone Temperature [C](Hourly)</t>
  </si>
  <si>
    <t>GFSOUTH:UF Occupied Subzone Temperature [C](Hourly)</t>
  </si>
  <si>
    <t>GFSOUTH:UF Transition Height [m](Hourly)</t>
  </si>
  <si>
    <t>GFSOUTH:UF Gamma(Hourly)</t>
  </si>
  <si>
    <t>GFSOUTH:Phi(Hourly)</t>
  </si>
  <si>
    <t>GFWEST:UF Mixed Subzone Temperature [C](Hourly)</t>
  </si>
  <si>
    <t>GFWEST:UF Occupied Subzone Temperature [C](Hourly)</t>
  </si>
  <si>
    <t>GFWEST:UF Transition Height [m](Hourly)</t>
  </si>
  <si>
    <t>GFWEST:UF Gamma(Hourly)</t>
  </si>
  <si>
    <t>GFWEST:Phi(Hourly)</t>
  </si>
  <si>
    <t>MFNORTH:UF Mixed Subzone Temperature [C](Hourly)</t>
  </si>
  <si>
    <t>MFNORTH:UF Occupied Subzone Temperature [C](Hourly)</t>
  </si>
  <si>
    <t>MFNORTH:UF Transition Height [m](Hourly)</t>
  </si>
  <si>
    <t>MFNORTH:UF Gamma(Hourly)</t>
  </si>
  <si>
    <t>MFNORTH:Phi(Hourly)</t>
  </si>
  <si>
    <t>MFEAST:UF Mixed Subzone Temperature [C](Hourly)</t>
  </si>
  <si>
    <t>MFEAST:UF Occupied Subzone Temperature [C](Hourly)</t>
  </si>
  <si>
    <t>MFEAST:UF Transition Height [m](Hourly)</t>
  </si>
  <si>
    <t>MFEAST:UF Gamma(Hourly)</t>
  </si>
  <si>
    <t>MFEAST:Phi(Hourly)</t>
  </si>
  <si>
    <t>MFSOUTH:UF Mixed Subzone Temperature [C](Hourly)</t>
  </si>
  <si>
    <t>MFSOUTH:UF Occupied Subzone Temperature [C](Hourly)</t>
  </si>
  <si>
    <t>MFSOUTH:UF Transition Height [m](Hourly)</t>
  </si>
  <si>
    <t>MFSOUTH:UF Gamma(Hourly)</t>
  </si>
  <si>
    <t>MFSOUTH:Phi(Hourly)</t>
  </si>
  <si>
    <t>MFWEST:UF Mixed Subzone Temperature [C](Hourly)</t>
  </si>
  <si>
    <t>MFWEST:UF Occupied Subzone Temperature [C](Hourly)</t>
  </si>
  <si>
    <t>MFWEST:UF Transition Height [m](Hourly)</t>
  </si>
  <si>
    <t>MFWEST:UF Gamma(Hourly)</t>
  </si>
  <si>
    <t>MFWEST:Phi(Hourly)</t>
  </si>
  <si>
    <t>TFNORTH:UF Mixed Subzone Temperature [C](Hourly)</t>
  </si>
  <si>
    <t>TFNORTH:UF Occupied Subzone Temperature [C](Hourly)</t>
  </si>
  <si>
    <t>TFNORTH:UF Transition Height [m](Hourly)</t>
  </si>
  <si>
    <t>TFNORTH:UF Gamma(Hourly)</t>
  </si>
  <si>
    <t>TFNORTH:Phi(Hourly)</t>
  </si>
  <si>
    <t>TFEAST:UF Mixed Subzone Temperature [C](Hourly)</t>
  </si>
  <si>
    <t>TFEAST:UF Occupied Subzone Temperature [C](Hourly)</t>
  </si>
  <si>
    <t>TFEAST:UF Transition Height [m](Hourly)</t>
  </si>
  <si>
    <t>TFEAST:UF Gamma(Hourly)</t>
  </si>
  <si>
    <t>TFEAST:Phi(Hourly)</t>
  </si>
  <si>
    <t>TFSOUTH:UF Mixed Subzone Temperature [C](Hourly)</t>
  </si>
  <si>
    <t>TFSOUTH:UF Occupied Subzone Temperature [C](Hourly)</t>
  </si>
  <si>
    <t>TFSOUTH:UF Transition Height [m](Hourly)</t>
  </si>
  <si>
    <t>TFSOUTH:UF Gamma(Hourly)</t>
  </si>
  <si>
    <t>TFSOUTH:Phi(Hourly)</t>
  </si>
  <si>
    <t>TFWEST:UF Mixed Subzone Temperature [C](Hourly)</t>
  </si>
  <si>
    <t>TFWEST:UF Occupied Subzone Temperature [C](Hourly)</t>
  </si>
  <si>
    <t>TFWEST:UF Transition Height [m](Hourly)</t>
  </si>
  <si>
    <t>TFWEST:UF Gamma(Hourly)</t>
  </si>
  <si>
    <t>TFWEST:Phi(Hourly)</t>
  </si>
  <si>
    <t>GFSPNORTH:Time Not Comfortable Summer Or Winter Clothes[hr](Hourly)</t>
  </si>
  <si>
    <t>GFSPEAST:Time Not Comfortable Summer Or Winter Clothes[hr](Hourly)</t>
  </si>
  <si>
    <t>GFSPSOUTH:Time Not Comfortable Summer Or Winter Clothes[hr](Hourly)</t>
  </si>
  <si>
    <t>GFSPWEST:Time Not Comfortable Summer Or Winter Clothes[hr](Hourly)</t>
  </si>
  <si>
    <t>GFSPCORE:Time Not Comfortable Summer Or Winter Clothes[hr](Hourly)</t>
  </si>
  <si>
    <t>MFSPNORTH:Time Not Comfortable Summer Or Winter Clothes[hr](Hourly)</t>
  </si>
  <si>
    <t>MFSPEAST:Time Not Comfortable Summer Or Winter Clothes[hr](Hourly)</t>
  </si>
  <si>
    <t>MFSPSOUTH:Time Not Comfortable Summer Or Winter Clothes[hr](Hourly)</t>
  </si>
  <si>
    <t>MFSPWEST:Time Not Comfortable Summer Or Winter Clothes[hr](Hourly)</t>
  </si>
  <si>
    <t>MFSPCORE:Time Not Comfortable Summer Or Winter Clothes[hr](Hourly)</t>
  </si>
  <si>
    <t>TFSPNORTH:Time Not Comfortable Summer Or Winter Clothes[hr](Hourly)</t>
  </si>
  <si>
    <t>TFSPEAST:Time Not Comfortable Summer Or Winter Clothes[hr](Hourly)</t>
  </si>
  <si>
    <t>TFSPSOUTH:Time Not Comfortable Summer Or Winter Clothes[hr](Hourly)</t>
  </si>
  <si>
    <t>TFSPWEST:Time Not Comfortable Summer Or Winter Clothes[hr](Hourly)</t>
  </si>
  <si>
    <t>TFSPCORE:Time Not Comfortable Summer Or Winter Clothes[hr](Hourly)</t>
  </si>
  <si>
    <t>MFEAST FCU FAN:Fan Electric Power[W](Hourly)</t>
  </si>
  <si>
    <t>MFWEST FCU FAN:Fan Electric Power[W](Hourly)</t>
  </si>
  <si>
    <t>MFSOUTH FCU FAN:Fan Electric Power[W](Hourly)</t>
  </si>
  <si>
    <t>MFNORTH FCU FAN:Fan Electric Power[W](Hourly)</t>
  </si>
  <si>
    <t>TFEAST FCU FAN:Fan Electric Power[W](Hourly)</t>
  </si>
  <si>
    <t>TFWEST FCU FAN:Fan Electric Power[W](Hourly)</t>
  </si>
  <si>
    <t>TFSOUTH FCU FAN:Fan Electric Power[W](Hourly)</t>
  </si>
  <si>
    <t>TFNORTH FCU FAN:Fan Electric Power[W](Hourly)</t>
  </si>
  <si>
    <t>GFEAST FCU FAN:Fan Electric Power[W](Hourly)</t>
  </si>
  <si>
    <t>GFWEST FCU FAN:Fan Electric Power[W](Hourly)</t>
  </si>
  <si>
    <t>GFSOUTH FCU FAN:Fan Electric Power[W](Hourly)</t>
  </si>
  <si>
    <t>GFNORTH FCU FAN:Fan Electric Power[W](Hourly)</t>
  </si>
  <si>
    <t>GFSPCORE INLET NODE:System Node Volume Flow Rate Standard Density [m3/s](Hourly)</t>
  </si>
  <si>
    <t>MFSPCORE INLET NODE:System Node Volume Flow Rate Standard Density [m3/s](Hourly)</t>
  </si>
  <si>
    <t>TFSPCORE INLET NODE:System Node Volume Flow Rate Standard Density [m3/s](Hourly)</t>
  </si>
  <si>
    <t>GFSPNORTH</t>
  </si>
  <si>
    <t>GFSPEAST</t>
  </si>
  <si>
    <t>GFSPSOUTH</t>
  </si>
  <si>
    <t>GFSPWEST</t>
  </si>
  <si>
    <t>GFSPCORE</t>
  </si>
  <si>
    <t>MFSPNORTH</t>
  </si>
  <si>
    <t>MFSPEAST</t>
  </si>
  <si>
    <t>MFSPSOUTH</t>
  </si>
  <si>
    <t>MFSPWEST</t>
  </si>
  <si>
    <t>MFSPCORE</t>
  </si>
  <si>
    <t>TFSPNORTH</t>
  </si>
  <si>
    <t>TFSPEAST</t>
  </si>
  <si>
    <t>TFSPSOUTH</t>
  </si>
  <si>
    <t>TFSPWEST</t>
  </si>
  <si>
    <t>TFSPCORE</t>
  </si>
  <si>
    <t>GFSPNORTH_WALL_N</t>
  </si>
  <si>
    <t>GFSPEAST_WALL_E</t>
  </si>
  <si>
    <t>GFSPSOUTH_WALL_S</t>
  </si>
  <si>
    <t>GFSPWEST_WALL_W</t>
  </si>
  <si>
    <t>GFSPCORE_FLOOR</t>
  </si>
  <si>
    <t>MFSPNORTH_WALL_N</t>
  </si>
  <si>
    <t>MFSPEAST_WALL_E</t>
  </si>
  <si>
    <t>MFSPSOUTH_WALL_S</t>
  </si>
  <si>
    <t>MFSPWEST_WALL_W</t>
  </si>
  <si>
    <t>TFSPNORTH_WALL_N</t>
  </si>
  <si>
    <t>TFSPEAST_WALL_E</t>
  </si>
  <si>
    <t>TFSPSOUTH_WALL_S</t>
  </si>
  <si>
    <t>TFSPWEST_WALL_W</t>
  </si>
  <si>
    <t>GFNORTH FCU FAN</t>
  </si>
  <si>
    <t>GFEAST FCU FAN</t>
  </si>
  <si>
    <t>GFSOUTH FCU FAN</t>
  </si>
  <si>
    <t>GFWEST FCU FAN</t>
  </si>
  <si>
    <t>MFNORTH FCU FAN</t>
  </si>
  <si>
    <t>MFEAST FCU FAN</t>
  </si>
  <si>
    <t>MFSOUTH FCU FAN</t>
  </si>
  <si>
    <t>MFWEST FCU FAN</t>
  </si>
  <si>
    <t>TFNORTH FCU FAN</t>
  </si>
  <si>
    <t>TFEAST FCU FAN</t>
  </si>
  <si>
    <t>TFSOUTH FCU FAN</t>
  </si>
  <si>
    <t>TFWEST FCU FAN</t>
  </si>
  <si>
    <t>RoomAirSettings:UnderFloorAirDistributionInterior</t>
  </si>
  <si>
    <t>Power per plume [W]</t>
  </si>
  <si>
    <t>AirTerminal:SingleDuct:VAV:Reheat:VariableSpeedFan</t>
  </si>
  <si>
    <t>Maximum Heating Air Flow Rate [m3/s]</t>
  </si>
  <si>
    <t>GFNORTH FCU REHEAT</t>
  </si>
  <si>
    <t>GFEAST FCU REHEAT</t>
  </si>
  <si>
    <t>GFSOUTH FCU REHEAT</t>
  </si>
  <si>
    <t>GFWEST FCU REHEAT</t>
  </si>
  <si>
    <t>MFNORTH FCU REHEAT</t>
  </si>
  <si>
    <t>MFEAST FCU REHEAT</t>
  </si>
  <si>
    <t>MFSOUTH FCU REHEAT</t>
  </si>
  <si>
    <t>MFWEST FCU REHEAT</t>
  </si>
  <si>
    <t>TFNORTH FCU REHEAT</t>
  </si>
  <si>
    <t>TFEAST FCU REHEAT</t>
  </si>
  <si>
    <t>TFSOUTH FCU REHEAT</t>
  </si>
  <si>
    <t>TFWEST FCU REHEAT</t>
  </si>
  <si>
    <t>SCH_ASHRAE90.1-2010_LIGHTING</t>
  </si>
  <si>
    <t xml:space="preserve"> YMD=2011.10.07 17:21</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</si>
</sst>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_);_(* \(#,##0.00\);_(* &quot;-&quot;??_);_(@_)"/>
    <numFmt numFmtId="164" formatCode="_-* #,##0.00_-;\-* #,##0.00_-;_-* &quot;-&quot;??_-;_-@_-"/>
    <numFmt numFmtId="165" formatCode="0.000"/>
    <numFmt numFmtId="166" formatCode="0.0"/>
    <numFmt numFmtId="167" formatCode="0.00000"/>
    <numFmt numFmtId="168" formatCode="0.0000"/>
    <numFmt numFmtId="169" formatCode="0.000000"/>
    <numFmt numFmtId="170" formatCode="_(* #,##0.0_);_(* \(#,##0.0\);_(* &quot;-&quot;??_);_(@_)"/>
    <numFmt numFmtId="171" formatCode="_(* #,##0_);_(* \(#,##0\);_(* &quot;-&quot;??_);_(@_)"/>
    <numFmt numFmtId="172" formatCode="_(* #,##0.000_);_(* \(#,##0.000\);_(* &quot;-&quot;??_);_(@_)"/>
    <numFmt numFmtId="173" formatCode="00#"/>
    <numFmt numFmtId="174" formatCode="_(* #,##0.00000_);_(* \(#,##0.00000\);_(* &quot;-&quot;??_);_(@_)"/>
    <numFmt numFmtId="175" formatCode="000"/>
    <numFmt numFmtId="176" formatCode="mmmm\ d"/>
    <numFmt numFmtId="177" formatCode="#,##0.000_);\(#,##0.000\)"/>
    <numFmt numFmtId="178" formatCode="0.0E+00"/>
    <numFmt numFmtId="179" formatCode="0.0000000000"/>
    <numFmt numFmtId="180" formatCode="0.00000000000"/>
    <numFmt numFmtId="181" formatCode="#,##0.0_);\(#,##0.0\)"/>
    <numFmt numFmtId="182" formatCode="#,##0.0"/>
    <numFmt numFmtId="183" formatCode="#,##0.0000_);\(#,##0.0000\)"/>
  </numFmts>
  <fonts count="75">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0"/>
      <color theme="1"/>
      <name val="Arial"/>
      <family val="2"/>
    </font>
    <font>
      <sz val="10"/>
      <color theme="1"/>
      <name val="Arial"/>
      <family val="2"/>
    </font>
    <font>
      <sz val="10"/>
      <name val="Arial"/>
      <family val="2"/>
    </font>
    <font>
      <sz val="10"/>
      <name val="Arial"/>
      <family val="2"/>
    </font>
    <font>
      <sz val="8"/>
      <name val="Arial"/>
      <family val="2"/>
    </font>
    <font>
      <u/>
      <sz val="10"/>
      <color indexed="12"/>
      <name val="Arial"/>
      <family val="2"/>
    </font>
    <font>
      <sz val="10"/>
      <color indexed="12"/>
      <name val="Arial"/>
      <family val="2"/>
    </font>
    <font>
      <b/>
      <sz val="10"/>
      <name val="Arial"/>
      <family val="2"/>
    </font>
    <font>
      <sz val="10"/>
      <color indexed="12"/>
      <name val="Courier New"/>
      <family val="3"/>
    </font>
    <font>
      <b/>
      <sz val="10"/>
      <color indexed="10"/>
      <name val="Arial"/>
      <family val="2"/>
    </font>
    <font>
      <b/>
      <sz val="10"/>
      <name val="Arial"/>
      <family val="2"/>
    </font>
    <font>
      <sz val="10"/>
      <name val="Courier New"/>
      <family val="3"/>
    </font>
    <font>
      <sz val="10"/>
      <color indexed="23"/>
      <name val="Arial"/>
      <family val="2"/>
    </font>
    <font>
      <sz val="12"/>
      <name val="Arial"/>
      <family val="2"/>
    </font>
    <font>
      <sz val="12"/>
      <color indexed="10"/>
      <name val="Arial"/>
      <family val="2"/>
    </font>
    <font>
      <sz val="10"/>
      <color indexed="10"/>
      <name val="Arial"/>
      <family val="2"/>
    </font>
    <font>
      <sz val="10"/>
      <color indexed="10"/>
      <name val="Arial"/>
      <family val="2"/>
    </font>
    <font>
      <sz val="12"/>
      <name val="Arial"/>
      <family val="2"/>
    </font>
    <font>
      <sz val="12"/>
      <color indexed="10"/>
      <name val="Arial"/>
      <family val="2"/>
    </font>
    <font>
      <b/>
      <sz val="14"/>
      <name val="Arial"/>
      <family val="2"/>
    </font>
    <font>
      <sz val="14"/>
      <name val="Arial"/>
      <family val="2"/>
    </font>
    <font>
      <b/>
      <sz val="10"/>
      <color indexed="8"/>
      <name val="Arial"/>
      <family val="2"/>
    </font>
    <font>
      <sz val="10"/>
      <color rgb="FFFF0000"/>
      <name val="Arial"/>
      <family val="2"/>
    </font>
    <font>
      <sz val="12"/>
      <color rgb="FFFF0000"/>
      <name val="Arial"/>
      <family val="2"/>
    </font>
    <font>
      <sz val="11"/>
      <color rgb="FFFF0000"/>
      <name val="Calibri"/>
      <family val="2"/>
      <scheme val="minor"/>
    </font>
    <font>
      <sz val="11"/>
      <name val="Calibri"/>
      <family val="2"/>
      <scheme val="minor"/>
    </font>
    <font>
      <b/>
      <sz val="12"/>
      <color theme="6" tint="-0.499984740745262"/>
      <name val="Calibri"/>
      <family val="2"/>
      <scheme val="minor"/>
    </font>
    <font>
      <b/>
      <sz val="12"/>
      <color rgb="FF0000FF"/>
      <name val="Calibri"/>
      <family val="2"/>
      <scheme val="minor"/>
    </font>
    <font>
      <sz val="12"/>
      <name val="Calibri"/>
      <family val="2"/>
      <scheme val="minor"/>
    </font>
    <font>
      <b/>
      <sz val="12"/>
      <color theme="6" tint="-0.499984740745262"/>
      <name val="Arial"/>
      <family val="2"/>
    </font>
    <font>
      <sz val="12"/>
      <color rgb="FFFF0000"/>
      <name val="Calibri"/>
      <family val="2"/>
      <scheme val="minor"/>
    </font>
    <font>
      <b/>
      <sz val="10"/>
      <color rgb="FF0070C0"/>
      <name val="Arial"/>
      <family val="2"/>
    </font>
    <font>
      <b/>
      <sz val="10"/>
      <color rgb="FFFF0000"/>
      <name val="Arial"/>
      <family val="2"/>
    </font>
    <font>
      <sz val="10"/>
      <color rgb="FF0070C0"/>
      <name val="Arial"/>
      <family val="2"/>
    </font>
    <font>
      <b/>
      <sz val="10"/>
      <color rgb="FFC00000"/>
      <name val="Arial"/>
      <family val="2"/>
    </font>
    <font>
      <b/>
      <sz val="10"/>
      <color indexed="48"/>
      <name val="Arial"/>
      <family val="2"/>
    </font>
    <font>
      <b/>
      <sz val="18"/>
      <name val="Arial"/>
      <family val="2"/>
    </font>
    <font>
      <b/>
      <sz val="12"/>
      <name val="Times New Roman"/>
      <family val="1"/>
    </font>
    <font>
      <sz val="10"/>
      <name val="Times New Roman"/>
      <family val="1"/>
    </font>
    <font>
      <i/>
      <sz val="10"/>
      <name val="Times New Roman"/>
      <family val="1"/>
    </font>
    <font>
      <b/>
      <sz val="10"/>
      <name val="Times New Roman"/>
      <family val="1"/>
    </font>
    <font>
      <u/>
      <sz val="10"/>
      <name val="Arial"/>
      <family val="2"/>
    </font>
    <font>
      <sz val="10"/>
      <color indexed="9"/>
      <name val="Times New Roman"/>
      <family val="1"/>
    </font>
    <font>
      <u/>
      <sz val="10"/>
      <color indexed="9"/>
      <name val="Arial"/>
      <family val="2"/>
    </font>
    <font>
      <sz val="10"/>
      <color theme="1"/>
      <name val="Arial"/>
      <family val="2"/>
    </font>
    <font>
      <i/>
      <sz val="10"/>
      <color theme="1"/>
      <name val="Arial"/>
      <family val="2"/>
    </font>
    <font>
      <i/>
      <sz val="10"/>
      <name val="Arial"/>
      <family val="2"/>
    </font>
    <font>
      <b/>
      <sz val="10"/>
      <color theme="0" tint="-4.9989318521683403E-2"/>
      <name val="Arial"/>
      <family val="2"/>
    </font>
    <font>
      <sz val="10"/>
      <color rgb="FFC00000"/>
      <name val="Arial"/>
      <family val="2"/>
    </font>
    <font>
      <b/>
      <sz val="10"/>
      <color theme="0"/>
      <name val="Arial"/>
      <family val="2"/>
    </font>
    <font>
      <b/>
      <sz val="8"/>
      <color indexed="81"/>
      <name val="Tahoma"/>
      <family val="2"/>
    </font>
    <font>
      <sz val="8"/>
      <color indexed="81"/>
      <name val="Tahoma"/>
      <family val="2"/>
    </font>
    <font>
      <sz val="9"/>
      <name val="Arial"/>
      <family val="2"/>
    </font>
    <font>
      <b/>
      <sz val="9"/>
      <name val="Arial"/>
      <family val="2"/>
    </font>
    <font>
      <b/>
      <sz val="9"/>
      <color rgb="FFFF0000"/>
      <name val="Arial"/>
      <family val="2"/>
    </font>
    <font>
      <sz val="9"/>
      <color rgb="FFFF0000"/>
      <name val="Arial"/>
      <family val="2"/>
    </font>
    <font>
      <b/>
      <sz val="12"/>
      <color rgb="FFFF0000"/>
      <name val="Arial"/>
      <family val="2"/>
    </font>
    <font>
      <b/>
      <sz val="16"/>
      <color rgb="FFFF0000"/>
      <name val="Arial"/>
      <family val="2"/>
    </font>
    <font>
      <b/>
      <sz val="14"/>
      <color rgb="FFFF0000"/>
      <name val="Arial"/>
      <family val="2"/>
    </font>
    <font>
      <sz val="10"/>
      <color rgb="FFFF0000"/>
      <name val="Rockwell Extra Bold"/>
      <family val="1"/>
    </font>
    <font>
      <vertAlign val="superscript"/>
      <sz val="10"/>
      <color theme="1"/>
      <name val="Arial"/>
      <family val="2"/>
    </font>
    <font>
      <sz val="10"/>
      <color indexed="81"/>
      <name val="Tahoma"/>
      <family val="2"/>
    </font>
    <font>
      <vertAlign val="superscript"/>
      <sz val="10"/>
      <name val="Arial"/>
      <family val="2"/>
    </font>
    <font>
      <sz val="11"/>
      <color rgb="FF006100"/>
      <name val="Calibri"/>
      <family val="2"/>
      <scheme val="minor"/>
    </font>
    <font>
      <sz val="10"/>
      <color rgb="FF000000"/>
      <name val="Arial"/>
      <family val="2"/>
    </font>
    <font>
      <sz val="8"/>
      <name val="돋움"/>
      <family val="3"/>
      <charset val="129"/>
    </font>
    <font>
      <sz val="9"/>
      <color indexed="81"/>
      <name val="Tahoma"/>
      <family val="2"/>
    </font>
    <font>
      <b/>
      <sz val="9"/>
      <color indexed="81"/>
      <name val="Tahoma"/>
      <family val="2"/>
    </font>
  </fonts>
  <fills count="17">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indexed="2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style="medium">
        <color indexed="64"/>
      </right>
      <top style="medium">
        <color indexed="64"/>
      </top>
      <bottom style="dotted">
        <color indexed="64"/>
      </bottom>
      <diagonal/>
    </border>
    <border>
      <left/>
      <right style="thin">
        <color auto="1"/>
      </right>
      <top style="medium">
        <color indexed="64"/>
      </top>
      <bottom style="dashed">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s>
  <cellStyleXfs count="138">
    <xf numFmtId="0" fontId="0" fillId="0" borderId="0"/>
    <xf numFmtId="164" fontId="10" fillId="0" borderId="0" applyFont="0" applyFill="0" applyBorder="0" applyAlignment="0" applyProtection="0"/>
    <xf numFmtId="0" fontId="12" fillId="0" borderId="0" applyNumberFormat="0" applyFill="0" applyBorder="0" applyAlignment="0" applyProtection="0">
      <alignment vertical="top"/>
      <protection locked="0"/>
    </xf>
    <xf numFmtId="9" fontId="10" fillId="0" borderId="0" applyFont="0" applyFill="0" applyBorder="0" applyAlignment="0" applyProtection="0"/>
    <xf numFmtId="0" fontId="9" fillId="0" borderId="0"/>
    <xf numFmtId="0" fontId="51" fillId="0" borderId="0"/>
    <xf numFmtId="164" fontId="51" fillId="0" borderId="0" applyFont="0" applyFill="0" applyBorder="0" applyAlignment="0" applyProtection="0"/>
    <xf numFmtId="0" fontId="9" fillId="0" borderId="0"/>
    <xf numFmtId="0" fontId="9" fillId="0" borderId="0"/>
    <xf numFmtId="0" fontId="9" fillId="0" borderId="0"/>
    <xf numFmtId="0" fontId="9" fillId="0" borderId="0"/>
    <xf numFmtId="0" fontId="70" fillId="12" borderId="0" applyNumberFormat="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1" fillId="0" borderId="0"/>
    <xf numFmtId="0" fontId="5" fillId="0" borderId="0"/>
    <xf numFmtId="164" fontId="1" fillId="0" borderId="0" applyFont="0" applyFill="0" applyBorder="0" applyAlignment="0" applyProtection="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43" fontId="1" fillId="0" borderId="0" applyFont="0" applyFill="0" applyBorder="0" applyAlignment="0" applyProtection="0"/>
    <xf numFmtId="0" fontId="5" fillId="0" borderId="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cellStyleXfs>
  <cellXfs count="700">
    <xf numFmtId="0" fontId="0" fillId="0" borderId="0" xfId="0"/>
    <xf numFmtId="0" fontId="0" fillId="0" borderId="0" xfId="0" applyBorder="1"/>
    <xf numFmtId="0" fontId="14" fillId="0" borderId="0" xfId="0" applyFont="1"/>
    <xf numFmtId="0" fontId="14" fillId="0" borderId="0" xfId="0" applyFont="1" applyAlignment="1">
      <alignment horizontal="center"/>
    </xf>
    <xf numFmtId="0" fontId="9" fillId="0" borderId="0" xfId="0" applyFont="1"/>
    <xf numFmtId="0" fontId="0" fillId="0" borderId="0" xfId="0" applyAlignment="1">
      <alignment horizontal="center"/>
    </xf>
    <xf numFmtId="0" fontId="13" fillId="0" borderId="0" xfId="0" applyFont="1"/>
    <xf numFmtId="0" fontId="14" fillId="0" borderId="0" xfId="0" applyFont="1" applyAlignment="1">
      <alignment horizontal="right"/>
    </xf>
    <xf numFmtId="0" fontId="15" fillId="0" borderId="0" xfId="0" applyFont="1"/>
    <xf numFmtId="0" fontId="16" fillId="0" borderId="0" xfId="0" applyFont="1"/>
    <xf numFmtId="0" fontId="14" fillId="0" borderId="0" xfId="0" applyFont="1" applyFill="1" applyBorder="1" applyAlignment="1">
      <alignment horizontal="right"/>
    </xf>
    <xf numFmtId="173" fontId="14" fillId="0" borderId="0" xfId="0" applyNumberFormat="1" applyFont="1" applyAlignment="1">
      <alignment horizontal="center"/>
    </xf>
    <xf numFmtId="16" fontId="14" fillId="0" borderId="1" xfId="0" applyNumberFormat="1" applyFont="1" applyBorder="1" applyAlignment="1">
      <alignment horizontal="center"/>
    </xf>
    <xf numFmtId="0" fontId="15" fillId="2" borderId="0" xfId="0" applyFont="1" applyFill="1"/>
    <xf numFmtId="0" fontId="0" fillId="0" borderId="0" xfId="0" quotePrefix="1" applyAlignment="1">
      <alignment horizontal="center"/>
    </xf>
    <xf numFmtId="0" fontId="13" fillId="0" borderId="0" xfId="0" applyFont="1" applyAlignment="1">
      <alignment horizontal="center"/>
    </xf>
    <xf numFmtId="0" fontId="17" fillId="0" borderId="0" xfId="0" applyFont="1" applyAlignment="1">
      <alignment horizontal="center"/>
    </xf>
    <xf numFmtId="175" fontId="14" fillId="0" borderId="0" xfId="0" applyNumberFormat="1" applyFont="1"/>
    <xf numFmtId="0" fontId="0" fillId="0" borderId="3" xfId="0" applyBorder="1"/>
    <xf numFmtId="0" fontId="14" fillId="3" borderId="1" xfId="0" applyFont="1" applyFill="1" applyBorder="1"/>
    <xf numFmtId="0" fontId="0" fillId="0" borderId="0" xfId="0" applyFill="1" applyBorder="1"/>
    <xf numFmtId="0" fontId="18" fillId="3" borderId="5" xfId="0" applyFont="1"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4" borderId="5" xfId="0" applyFill="1" applyBorder="1"/>
    <xf numFmtId="0" fontId="14" fillId="0" borderId="0" xfId="0" applyFont="1" applyFill="1" applyBorder="1"/>
    <xf numFmtId="0" fontId="0" fillId="0" borderId="0" xfId="0" quotePrefix="1" applyBorder="1" applyAlignment="1">
      <alignment horizontal="center"/>
    </xf>
    <xf numFmtId="164" fontId="13" fillId="0" borderId="0" xfId="0" applyNumberFormat="1" applyFont="1" applyAlignment="1">
      <alignment horizontal="center"/>
    </xf>
    <xf numFmtId="170" fontId="13" fillId="0" borderId="0" xfId="0" applyNumberFormat="1" applyFont="1" applyAlignment="1">
      <alignment horizontal="center"/>
    </xf>
    <xf numFmtId="166" fontId="0" fillId="0" borderId="0" xfId="0" applyNumberFormat="1"/>
    <xf numFmtId="0" fontId="0" fillId="0" borderId="0" xfId="0" applyAlignment="1">
      <alignment horizontal="right"/>
    </xf>
    <xf numFmtId="166" fontId="0" fillId="0" borderId="0" xfId="0" applyNumberFormat="1" applyAlignment="1">
      <alignment horizontal="right"/>
    </xf>
    <xf numFmtId="0" fontId="0" fillId="0" borderId="0" xfId="0" applyBorder="1" applyAlignment="1">
      <alignment horizontal="center"/>
    </xf>
    <xf numFmtId="0" fontId="15" fillId="0" borderId="0" xfId="0" applyFont="1" applyFill="1"/>
    <xf numFmtId="168" fontId="13" fillId="0" borderId="0" xfId="0" applyNumberFormat="1" applyFont="1" applyAlignment="1">
      <alignment horizontal="center"/>
    </xf>
    <xf numFmtId="11" fontId="0" fillId="0" borderId="0" xfId="0" applyNumberFormat="1"/>
    <xf numFmtId="165" fontId="13" fillId="0" borderId="0" xfId="0" applyNumberFormat="1" applyFont="1" applyAlignment="1">
      <alignment horizontal="center"/>
    </xf>
    <xf numFmtId="177" fontId="13" fillId="0" borderId="0" xfId="0" applyNumberFormat="1" applyFont="1" applyAlignment="1">
      <alignment horizontal="center"/>
    </xf>
    <xf numFmtId="2" fontId="0" fillId="4" borderId="8" xfId="0" applyNumberFormat="1" applyFill="1" applyBorder="1" applyAlignment="1">
      <alignment vertical="top"/>
    </xf>
    <xf numFmtId="167" fontId="0" fillId="0" borderId="0" xfId="0" applyNumberFormat="1"/>
    <xf numFmtId="0" fontId="0" fillId="0" borderId="0" xfId="0" applyFill="1" applyAlignment="1">
      <alignment horizontal="right"/>
    </xf>
    <xf numFmtId="169" fontId="0" fillId="0" borderId="0" xfId="0" applyNumberFormat="1" applyAlignment="1">
      <alignment horizontal="right"/>
    </xf>
    <xf numFmtId="169" fontId="0" fillId="0" borderId="0" xfId="0" applyNumberFormat="1"/>
    <xf numFmtId="0" fontId="0" fillId="0" borderId="0" xfId="0" applyAlignment="1">
      <alignment horizontal="center" vertical="center"/>
    </xf>
    <xf numFmtId="0" fontId="22" fillId="0" borderId="0" xfId="0" applyFont="1"/>
    <xf numFmtId="0" fontId="0" fillId="0" borderId="0" xfId="0" applyFill="1"/>
    <xf numFmtId="2" fontId="0" fillId="0" borderId="0" xfId="0" applyNumberFormat="1"/>
    <xf numFmtId="0" fontId="9" fillId="0" borderId="0" xfId="0" applyFont="1" applyFill="1" applyBorder="1"/>
    <xf numFmtId="0" fontId="29" fillId="0" borderId="0" xfId="0" applyFont="1"/>
    <xf numFmtId="0" fontId="9" fillId="0" borderId="0" xfId="0" applyFont="1" applyAlignment="1">
      <alignment horizontal="center"/>
    </xf>
    <xf numFmtId="0" fontId="9" fillId="0" borderId="0" xfId="0" quotePrefix="1" applyFont="1" applyAlignment="1">
      <alignment horizontal="center"/>
    </xf>
    <xf numFmtId="0" fontId="0" fillId="6" borderId="17" xfId="0" applyFill="1" applyBorder="1"/>
    <xf numFmtId="0" fontId="0" fillId="6" borderId="18" xfId="0" applyFill="1" applyBorder="1"/>
    <xf numFmtId="0" fontId="0" fillId="6" borderId="19" xfId="0" applyFill="1" applyBorder="1"/>
    <xf numFmtId="0" fontId="0" fillId="6" borderId="0" xfId="0" applyFill="1" applyBorder="1"/>
    <xf numFmtId="166" fontId="20" fillId="6" borderId="0" xfId="0" applyNumberFormat="1" applyFont="1" applyFill="1" applyBorder="1" applyAlignment="1">
      <alignment horizontal="center"/>
    </xf>
    <xf numFmtId="0" fontId="0" fillId="6" borderId="20" xfId="0" applyFill="1" applyBorder="1"/>
    <xf numFmtId="0" fontId="0" fillId="6" borderId="21" xfId="0" applyFill="1" applyBorder="1"/>
    <xf numFmtId="0" fontId="0" fillId="6" borderId="22" xfId="0" applyFill="1" applyBorder="1"/>
    <xf numFmtId="0" fontId="20" fillId="6" borderId="18" xfId="0" applyFont="1" applyFill="1" applyBorder="1" applyAlignment="1">
      <alignment horizontal="center"/>
    </xf>
    <xf numFmtId="0" fontId="20" fillId="6" borderId="0" xfId="0" applyFont="1" applyFill="1" applyBorder="1" applyAlignment="1">
      <alignment horizontal="center"/>
    </xf>
    <xf numFmtId="0" fontId="20" fillId="6" borderId="0" xfId="0" applyFont="1" applyFill="1" applyBorder="1"/>
    <xf numFmtId="1" fontId="20" fillId="6" borderId="0" xfId="0" applyNumberFormat="1" applyFont="1" applyFill="1" applyBorder="1" applyAlignment="1">
      <alignment horizontal="center"/>
    </xf>
    <xf numFmtId="0" fontId="9" fillId="5" borderId="5" xfId="0" applyFont="1" applyFill="1" applyBorder="1"/>
    <xf numFmtId="0" fontId="9" fillId="0" borderId="0" xfId="0" applyFont="1" applyBorder="1" applyAlignment="1">
      <alignment horizontal="center"/>
    </xf>
    <xf numFmtId="0" fontId="40" fillId="0" borderId="0" xfId="0" applyFont="1"/>
    <xf numFmtId="0" fontId="9" fillId="0" borderId="0" xfId="0" applyFont="1" applyFill="1"/>
    <xf numFmtId="169" fontId="13" fillId="0" borderId="0" xfId="0" applyNumberFormat="1" applyFont="1" applyAlignment="1">
      <alignment horizontal="center"/>
    </xf>
    <xf numFmtId="169" fontId="9" fillId="0" borderId="0" xfId="0" quotePrefix="1" applyNumberFormat="1" applyFont="1" applyAlignment="1">
      <alignment horizontal="center"/>
    </xf>
    <xf numFmtId="0" fontId="13" fillId="0" borderId="0" xfId="0" applyNumberFormat="1" applyFont="1" applyAlignment="1">
      <alignment horizontal="center"/>
    </xf>
    <xf numFmtId="1" fontId="0" fillId="4" borderId="7" xfId="1" applyNumberFormat="1" applyFont="1" applyFill="1" applyBorder="1"/>
    <xf numFmtId="166" fontId="0" fillId="4" borderId="7" xfId="1" applyNumberFormat="1" applyFont="1" applyFill="1" applyBorder="1"/>
    <xf numFmtId="0" fontId="0" fillId="0" borderId="0" xfId="0" applyFill="1" applyAlignment="1">
      <alignment horizontal="center"/>
    </xf>
    <xf numFmtId="0" fontId="9" fillId="0" borderId="0" xfId="0" applyFont="1" applyFill="1" applyAlignment="1">
      <alignment horizontal="center"/>
    </xf>
    <xf numFmtId="0" fontId="9" fillId="0" borderId="0" xfId="0" applyFont="1" applyAlignment="1">
      <alignment horizontal="right"/>
    </xf>
    <xf numFmtId="0" fontId="9" fillId="0" borderId="0" xfId="0" applyFont="1" applyFill="1" applyBorder="1" applyAlignment="1">
      <alignment horizontal="right"/>
    </xf>
    <xf numFmtId="0" fontId="0" fillId="4" borderId="5" xfId="0" applyFill="1" applyBorder="1" applyAlignment="1">
      <alignment vertical="top"/>
    </xf>
    <xf numFmtId="2" fontId="0" fillId="4" borderId="7" xfId="1" applyNumberFormat="1" applyFont="1" applyFill="1" applyBorder="1" applyAlignment="1">
      <alignment vertical="top"/>
    </xf>
    <xf numFmtId="0" fontId="9" fillId="5" borderId="5" xfId="0" applyFont="1" applyFill="1" applyBorder="1" applyAlignment="1">
      <alignment horizontal="left" vertical="top"/>
    </xf>
    <xf numFmtId="0" fontId="0" fillId="5" borderId="7" xfId="0" applyFill="1" applyBorder="1" applyAlignment="1">
      <alignment horizontal="right" vertical="top"/>
    </xf>
    <xf numFmtId="2" fontId="0" fillId="0" borderId="0" xfId="0" applyNumberFormat="1" applyFill="1" applyBorder="1"/>
    <xf numFmtId="2" fontId="0" fillId="0" borderId="0" xfId="0" applyNumberFormat="1" applyFill="1" applyBorder="1" applyAlignment="1">
      <alignment horizontal="left"/>
    </xf>
    <xf numFmtId="172" fontId="0" fillId="0" borderId="0" xfId="1" applyNumberFormat="1" applyFont="1" applyFill="1" applyBorder="1" applyAlignment="1">
      <alignment horizontal="center"/>
    </xf>
    <xf numFmtId="0" fontId="0" fillId="0" borderId="0" xfId="0" applyFill="1" applyBorder="1" applyAlignment="1">
      <alignment horizontal="right"/>
    </xf>
    <xf numFmtId="0" fontId="40" fillId="0" borderId="0" xfId="0" applyFont="1" applyAlignment="1">
      <alignment horizontal="right"/>
    </xf>
    <xf numFmtId="172" fontId="0" fillId="0" borderId="0" xfId="1" applyNumberFormat="1" applyFont="1" applyFill="1" applyBorder="1"/>
    <xf numFmtId="0" fontId="0" fillId="0" borderId="0" xfId="0" applyFill="1" applyBorder="1" applyAlignment="1"/>
    <xf numFmtId="168" fontId="0" fillId="0" borderId="0" xfId="1" applyNumberFormat="1" applyFont="1" applyFill="1" applyBorder="1" applyAlignment="1"/>
    <xf numFmtId="2" fontId="0" fillId="0" borderId="0" xfId="0" applyNumberFormat="1" applyFill="1"/>
    <xf numFmtId="0" fontId="9" fillId="0" borderId="0" xfId="0" applyFont="1" applyAlignment="1">
      <alignment horizontal="left"/>
    </xf>
    <xf numFmtId="0" fontId="9" fillId="5" borderId="5" xfId="0" applyFont="1" applyFill="1" applyBorder="1" applyAlignment="1">
      <alignment horizontal="left"/>
    </xf>
    <xf numFmtId="0" fontId="0" fillId="0" borderId="9" xfId="0" applyFill="1" applyBorder="1" applyAlignment="1">
      <alignment horizontal="left" vertical="top"/>
    </xf>
    <xf numFmtId="0" fontId="14" fillId="5" borderId="13" xfId="0" applyFont="1" applyFill="1" applyBorder="1" applyAlignment="1">
      <alignment horizontal="center"/>
    </xf>
    <xf numFmtId="0" fontId="14" fillId="5" borderId="5" xfId="0" applyFont="1" applyFill="1" applyBorder="1" applyAlignment="1">
      <alignment horizontal="center"/>
    </xf>
    <xf numFmtId="0" fontId="41" fillId="0" borderId="0" xfId="0" quotePrefix="1" applyFont="1" applyFill="1" applyBorder="1" applyAlignment="1">
      <alignment horizontal="center"/>
    </xf>
    <xf numFmtId="0" fontId="41" fillId="0" borderId="0" xfId="0" quotePrefix="1" applyFont="1" applyAlignment="1">
      <alignment horizontal="center"/>
    </xf>
    <xf numFmtId="0" fontId="39" fillId="0" borderId="0" xfId="0" applyFont="1"/>
    <xf numFmtId="2" fontId="9" fillId="4" borderId="8" xfId="0" applyNumberFormat="1" applyFont="1" applyFill="1" applyBorder="1" applyAlignment="1">
      <alignment vertical="top"/>
    </xf>
    <xf numFmtId="0" fontId="42" fillId="0" borderId="0" xfId="0" applyFont="1"/>
    <xf numFmtId="0" fontId="0" fillId="0" borderId="0" xfId="0" applyBorder="1" applyAlignment="1">
      <alignment vertical="top" wrapText="1"/>
    </xf>
    <xf numFmtId="0" fontId="0" fillId="0" borderId="0" xfId="0" applyAlignment="1">
      <alignment horizontal="left"/>
    </xf>
    <xf numFmtId="0" fontId="9" fillId="4" borderId="5" xfId="0" applyFont="1" applyFill="1" applyBorder="1" applyAlignment="1">
      <alignment vertical="top"/>
    </xf>
    <xf numFmtId="0" fontId="0" fillId="6" borderId="5" xfId="0" applyFill="1" applyBorder="1"/>
    <xf numFmtId="0" fontId="0" fillId="6" borderId="5" xfId="0" applyFill="1" applyBorder="1" applyAlignment="1">
      <alignment wrapText="1"/>
    </xf>
    <xf numFmtId="0" fontId="14" fillId="5" borderId="8" xfId="0" applyFont="1" applyFill="1" applyBorder="1" applyAlignment="1">
      <alignment horizontal="left"/>
    </xf>
    <xf numFmtId="0" fontId="9" fillId="5" borderId="13" xfId="0" applyFont="1" applyFill="1" applyBorder="1"/>
    <xf numFmtId="0" fontId="9" fillId="7" borderId="0" xfId="4" applyFill="1"/>
    <xf numFmtId="0" fontId="9" fillId="2" borderId="0" xfId="4" applyFill="1"/>
    <xf numFmtId="0" fontId="43" fillId="7" borderId="15" xfId="4" applyFont="1" applyFill="1" applyBorder="1" applyAlignment="1">
      <alignment horizontal="center"/>
    </xf>
    <xf numFmtId="0" fontId="9" fillId="7" borderId="3" xfId="4" applyFont="1" applyFill="1" applyBorder="1"/>
    <xf numFmtId="0" fontId="14" fillId="7" borderId="3" xfId="4" applyFont="1" applyFill="1" applyBorder="1" applyAlignment="1">
      <alignment horizontal="center"/>
    </xf>
    <xf numFmtId="0" fontId="9" fillId="7" borderId="3" xfId="4" applyFont="1" applyFill="1" applyBorder="1" applyAlignment="1">
      <alignment horizontal="center"/>
    </xf>
    <xf numFmtId="14" fontId="9" fillId="7" borderId="4" xfId="4" applyNumberFormat="1" applyFont="1" applyFill="1" applyBorder="1" applyAlignment="1">
      <alignment horizontal="center"/>
    </xf>
    <xf numFmtId="0" fontId="9" fillId="7" borderId="0" xfId="4" applyFont="1" applyFill="1"/>
    <xf numFmtId="0" fontId="44" fillId="7" borderId="15" xfId="4" applyFont="1" applyFill="1" applyBorder="1" applyAlignment="1">
      <alignment horizontal="center" wrapText="1"/>
    </xf>
    <xf numFmtId="0" fontId="9" fillId="7" borderId="3" xfId="4" applyFont="1" applyFill="1" applyBorder="1" applyAlignment="1">
      <alignment wrapText="1"/>
    </xf>
    <xf numFmtId="0" fontId="45" fillId="7" borderId="3" xfId="4" applyFont="1" applyFill="1" applyBorder="1" applyAlignment="1">
      <alignment wrapText="1"/>
    </xf>
    <xf numFmtId="0" fontId="47" fillId="7" borderId="3" xfId="4" applyFont="1" applyFill="1" applyBorder="1" applyAlignment="1">
      <alignment wrapText="1"/>
    </xf>
    <xf numFmtId="0" fontId="48" fillId="7" borderId="4" xfId="2" applyFont="1" applyFill="1" applyBorder="1" applyAlignment="1" applyProtection="1">
      <alignment wrapText="1"/>
    </xf>
    <xf numFmtId="0" fontId="49" fillId="7" borderId="0" xfId="4" applyFont="1" applyFill="1"/>
    <xf numFmtId="0" fontId="50" fillId="7" borderId="0" xfId="2" applyFont="1" applyFill="1" applyAlignment="1" applyProtection="1"/>
    <xf numFmtId="0" fontId="51" fillId="6" borderId="0" xfId="5" applyFill="1"/>
    <xf numFmtId="37" fontId="0" fillId="4" borderId="7" xfId="1" applyNumberFormat="1" applyFont="1" applyFill="1" applyBorder="1"/>
    <xf numFmtId="0" fontId="52" fillId="6" borderId="0" xfId="5" applyFont="1" applyFill="1" applyAlignment="1">
      <alignment horizontal="left" vertical="center"/>
    </xf>
    <xf numFmtId="0" fontId="52" fillId="6" borderId="0" xfId="5" applyFont="1" applyFill="1" applyAlignment="1">
      <alignment horizontal="center" vertical="center"/>
    </xf>
    <xf numFmtId="0" fontId="52" fillId="6" borderId="0" xfId="5" applyFont="1" applyFill="1" applyBorder="1" applyAlignment="1">
      <alignment horizontal="center" vertical="center"/>
    </xf>
    <xf numFmtId="0" fontId="53" fillId="6" borderId="0" xfId="5" applyFont="1" applyFill="1" applyAlignment="1">
      <alignment horizontal="center"/>
    </xf>
    <xf numFmtId="0" fontId="51" fillId="6" borderId="0" xfId="5" applyFill="1" applyAlignment="1">
      <alignment horizontal="center" vertical="center"/>
    </xf>
    <xf numFmtId="0" fontId="9" fillId="6" borderId="23" xfId="0" applyFont="1" applyFill="1" applyBorder="1" applyAlignment="1"/>
    <xf numFmtId="0" fontId="51" fillId="6" borderId="0" xfId="5" applyFill="1" applyAlignment="1">
      <alignment horizontal="left" vertical="center"/>
    </xf>
    <xf numFmtId="0" fontId="51" fillId="6" borderId="0" xfId="5" applyFill="1" applyAlignment="1">
      <alignment horizontal="center"/>
    </xf>
    <xf numFmtId="0" fontId="29" fillId="6" borderId="0" xfId="5" applyFont="1" applyFill="1" applyBorder="1"/>
    <xf numFmtId="0" fontId="0" fillId="6" borderId="23" xfId="0" applyFill="1" applyBorder="1"/>
    <xf numFmtId="0" fontId="0" fillId="6" borderId="23" xfId="0" applyFill="1" applyBorder="1" applyAlignment="1">
      <alignment horizontal="right"/>
    </xf>
    <xf numFmtId="0" fontId="51" fillId="6" borderId="23" xfId="5" applyFill="1" applyBorder="1"/>
    <xf numFmtId="0" fontId="0" fillId="6" borderId="23" xfId="0" applyFill="1" applyBorder="1" applyAlignment="1">
      <alignment vertical="top" wrapText="1"/>
    </xf>
    <xf numFmtId="0" fontId="51" fillId="6" borderId="0" xfId="5" applyFill="1" applyBorder="1" applyAlignment="1">
      <alignment horizontal="center" vertical="center"/>
    </xf>
    <xf numFmtId="0" fontId="9" fillId="6" borderId="0" xfId="5" applyFont="1" applyFill="1" applyBorder="1" applyAlignment="1">
      <alignment horizontal="center" vertical="center"/>
    </xf>
    <xf numFmtId="0" fontId="29" fillId="6" borderId="0" xfId="5" applyFont="1" applyFill="1"/>
    <xf numFmtId="0" fontId="55" fillId="7" borderId="0" xfId="0" applyFont="1" applyFill="1" applyBorder="1" applyAlignment="1">
      <alignment horizontal="center" vertical="center"/>
    </xf>
    <xf numFmtId="0" fontId="40" fillId="7" borderId="0" xfId="5" applyFont="1" applyFill="1" applyBorder="1" applyAlignment="1">
      <alignment horizontal="center" vertical="center"/>
    </xf>
    <xf numFmtId="2" fontId="55" fillId="7" borderId="0" xfId="6" applyNumberFormat="1" applyFont="1" applyFill="1" applyBorder="1" applyAlignment="1">
      <alignment horizontal="center" vertical="center"/>
    </xf>
    <xf numFmtId="1" fontId="55" fillId="7" borderId="0" xfId="6" applyNumberFormat="1" applyFont="1" applyFill="1" applyBorder="1" applyAlignment="1">
      <alignment horizontal="center" vertical="center"/>
    </xf>
    <xf numFmtId="0" fontId="55" fillId="7" borderId="0" xfId="5" applyFont="1" applyFill="1" applyBorder="1" applyAlignment="1">
      <alignment horizontal="center" vertical="center"/>
    </xf>
    <xf numFmtId="0" fontId="55" fillId="7" borderId="0" xfId="5" applyFont="1" applyFill="1" applyBorder="1" applyAlignment="1">
      <alignment horizontal="center" vertical="top"/>
    </xf>
    <xf numFmtId="166" fontId="40" fillId="7" borderId="0" xfId="5" applyNumberFormat="1" applyFont="1" applyFill="1" applyBorder="1" applyAlignment="1">
      <alignment horizontal="center" vertical="center"/>
    </xf>
    <xf numFmtId="166" fontId="55" fillId="7" borderId="0" xfId="5" applyNumberFormat="1" applyFont="1" applyFill="1" applyBorder="1" applyAlignment="1">
      <alignment horizontal="center" vertical="center"/>
    </xf>
    <xf numFmtId="166" fontId="55" fillId="7" borderId="0" xfId="6" applyNumberFormat="1" applyFont="1" applyFill="1" applyBorder="1" applyAlignment="1">
      <alignment horizontal="center" vertical="center"/>
    </xf>
    <xf numFmtId="181" fontId="55" fillId="7" borderId="0" xfId="6"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166" fontId="0" fillId="6" borderId="0" xfId="0" applyNumberFormat="1" applyFill="1" applyAlignment="1">
      <alignment horizontal="center" vertical="center"/>
    </xf>
    <xf numFmtId="166" fontId="0" fillId="6" borderId="0" xfId="0" applyNumberFormat="1" applyFill="1"/>
    <xf numFmtId="0" fontId="39" fillId="6" borderId="0" xfId="0" applyFont="1" applyFill="1" applyAlignment="1">
      <alignment horizontal="center"/>
    </xf>
    <xf numFmtId="0" fontId="29" fillId="6" borderId="0" xfId="0" applyFont="1" applyFill="1"/>
    <xf numFmtId="166" fontId="0" fillId="6" borderId="0" xfId="0" applyNumberFormat="1" applyFill="1" applyAlignment="1">
      <alignment horizontal="center"/>
    </xf>
    <xf numFmtId="0" fontId="28" fillId="6" borderId="0" xfId="0" applyFont="1" applyFill="1" applyAlignment="1"/>
    <xf numFmtId="166" fontId="22" fillId="6" borderId="0" xfId="0" applyNumberFormat="1" applyFont="1" applyFill="1" applyAlignment="1">
      <alignment horizontal="center"/>
    </xf>
    <xf numFmtId="0" fontId="22" fillId="6" borderId="0" xfId="0" applyFont="1" applyFill="1"/>
    <xf numFmtId="0" fontId="9" fillId="6" borderId="0" xfId="0" applyFont="1" applyFill="1"/>
    <xf numFmtId="0" fontId="22" fillId="6" borderId="0" xfId="0" applyFont="1" applyFill="1" applyAlignment="1"/>
    <xf numFmtId="0" fontId="14" fillId="6" borderId="0" xfId="0" applyFont="1" applyFill="1"/>
    <xf numFmtId="9" fontId="14" fillId="6" borderId="0" xfId="3" applyFont="1" applyFill="1" applyAlignment="1">
      <alignment horizontal="center"/>
    </xf>
    <xf numFmtId="166" fontId="14" fillId="6" borderId="0" xfId="0" applyNumberFormat="1" applyFont="1" applyFill="1" applyAlignment="1">
      <alignment horizontal="center"/>
    </xf>
    <xf numFmtId="1" fontId="0" fillId="6" borderId="0" xfId="0" applyNumberFormat="1" applyFill="1"/>
    <xf numFmtId="0" fontId="26" fillId="6" borderId="0" xfId="0" applyFont="1" applyFill="1"/>
    <xf numFmtId="166" fontId="26" fillId="6" borderId="0" xfId="0" applyNumberFormat="1" applyFont="1" applyFill="1" applyAlignment="1">
      <alignment horizontal="center"/>
    </xf>
    <xf numFmtId="0" fontId="27" fillId="6" borderId="0" xfId="0" applyFont="1" applyFill="1"/>
    <xf numFmtId="166" fontId="9" fillId="6" borderId="0" xfId="0" applyNumberFormat="1" applyFont="1" applyFill="1" applyBorder="1" applyAlignment="1">
      <alignment horizontal="center"/>
    </xf>
    <xf numFmtId="0" fontId="0" fillId="6" borderId="0" xfId="0" applyFill="1" applyAlignment="1">
      <alignment horizontal="center" vertical="center"/>
    </xf>
    <xf numFmtId="0" fontId="9" fillId="6" borderId="29" xfId="0" applyFont="1" applyFill="1" applyBorder="1" applyAlignment="1">
      <alignment horizontal="left" vertical="center"/>
    </xf>
    <xf numFmtId="0" fontId="0" fillId="6" borderId="29" xfId="0" applyFill="1" applyBorder="1" applyAlignment="1">
      <alignment horizontal="left" vertical="center"/>
    </xf>
    <xf numFmtId="0" fontId="9" fillId="6" borderId="30" xfId="0" applyFont="1" applyFill="1" applyBorder="1" applyAlignment="1">
      <alignment horizontal="left" vertical="center"/>
    </xf>
    <xf numFmtId="0" fontId="14" fillId="6" borderId="20" xfId="0" applyFont="1" applyFill="1" applyBorder="1" applyAlignment="1">
      <alignment horizontal="center" vertical="center"/>
    </xf>
    <xf numFmtId="0" fontId="14" fillId="6" borderId="21" xfId="0" applyFont="1" applyFill="1" applyBorder="1" applyAlignment="1">
      <alignment horizontal="center" vertical="center"/>
    </xf>
    <xf numFmtId="0" fontId="14" fillId="6" borderId="22" xfId="0" applyFont="1" applyFill="1" applyBorder="1" applyAlignment="1">
      <alignment horizontal="center" vertical="center"/>
    </xf>
    <xf numFmtId="0" fontId="20" fillId="6" borderId="0" xfId="0" applyFont="1" applyFill="1"/>
    <xf numFmtId="0" fontId="20" fillId="6" borderId="0" xfId="0" applyFont="1" applyFill="1" applyAlignment="1">
      <alignment horizontal="center"/>
    </xf>
    <xf numFmtId="0" fontId="20" fillId="6" borderId="0" xfId="0" applyFont="1" applyFill="1" applyAlignment="1">
      <alignment wrapText="1"/>
    </xf>
    <xf numFmtId="0" fontId="0" fillId="6" borderId="0" xfId="0" applyFill="1" applyBorder="1" applyAlignment="1">
      <alignment horizontal="center"/>
    </xf>
    <xf numFmtId="166" fontId="19" fillId="6" borderId="0" xfId="0" applyNumberFormat="1" applyFont="1" applyFill="1" applyBorder="1" applyAlignment="1">
      <alignment horizontal="center"/>
    </xf>
    <xf numFmtId="0" fontId="20" fillId="6" borderId="0" xfId="0" applyFont="1" applyFill="1" applyAlignment="1">
      <alignment horizontal="center" vertical="center" wrapText="1"/>
    </xf>
    <xf numFmtId="0" fontId="0" fillId="6" borderId="15" xfId="0" applyFill="1" applyBorder="1" applyAlignment="1">
      <alignment horizontal="center"/>
    </xf>
    <xf numFmtId="2" fontId="21" fillId="6" borderId="0" xfId="0" applyNumberFormat="1" applyFont="1" applyFill="1" applyAlignment="1">
      <alignment horizontal="center"/>
    </xf>
    <xf numFmtId="166" fontId="9" fillId="6" borderId="4" xfId="0" applyNumberFormat="1" applyFont="1" applyFill="1" applyBorder="1" applyAlignment="1">
      <alignment horizontal="center"/>
    </xf>
    <xf numFmtId="0" fontId="21" fillId="6" borderId="0" xfId="0" applyFont="1" applyFill="1"/>
    <xf numFmtId="0" fontId="21" fillId="6" borderId="0" xfId="0" applyFont="1" applyFill="1" applyAlignment="1">
      <alignment horizontal="center"/>
    </xf>
    <xf numFmtId="0" fontId="25" fillId="6" borderId="0" xfId="0" applyFont="1" applyFill="1" applyAlignment="1">
      <alignment horizontal="center"/>
    </xf>
    <xf numFmtId="2" fontId="20" fillId="6" borderId="0" xfId="0" applyNumberFormat="1" applyFont="1" applyFill="1" applyAlignment="1">
      <alignment horizontal="center"/>
    </xf>
    <xf numFmtId="0" fontId="24" fillId="6" borderId="0" xfId="0" applyFont="1" applyFill="1"/>
    <xf numFmtId="166" fontId="9" fillId="10" borderId="27" xfId="0" applyNumberFormat="1" applyFont="1" applyFill="1" applyBorder="1" applyAlignment="1">
      <alignment horizontal="center" vertical="center"/>
    </xf>
    <xf numFmtId="166" fontId="0" fillId="10" borderId="0" xfId="0" applyNumberFormat="1" applyFill="1" applyBorder="1" applyAlignment="1">
      <alignment horizontal="center" vertical="center"/>
    </xf>
    <xf numFmtId="166" fontId="0" fillId="10" borderId="16" xfId="0" applyNumberFormat="1" applyFill="1" applyBorder="1" applyAlignment="1">
      <alignment horizontal="center" vertical="center"/>
    </xf>
    <xf numFmtId="2" fontId="0" fillId="10" borderId="27" xfId="0" applyNumberFormat="1" applyFill="1" applyBorder="1" applyAlignment="1">
      <alignment horizontal="center" vertical="center"/>
    </xf>
    <xf numFmtId="2" fontId="0" fillId="10" borderId="0" xfId="0" applyNumberFormat="1" applyFill="1" applyBorder="1" applyAlignment="1">
      <alignment horizontal="center" vertical="center"/>
    </xf>
    <xf numFmtId="2" fontId="0" fillId="10" borderId="16" xfId="0" applyNumberFormat="1" applyFill="1" applyBorder="1" applyAlignment="1">
      <alignment horizontal="center" vertical="center"/>
    </xf>
    <xf numFmtId="166" fontId="9" fillId="10" borderId="0" xfId="0" applyNumberFormat="1" applyFont="1" applyFill="1" applyBorder="1" applyAlignment="1">
      <alignment horizontal="center" vertical="center"/>
    </xf>
    <xf numFmtId="166" fontId="9" fillId="10" borderId="16" xfId="0" applyNumberFormat="1" applyFont="1" applyFill="1" applyBorder="1" applyAlignment="1">
      <alignment horizontal="center" vertical="center"/>
    </xf>
    <xf numFmtId="166" fontId="9" fillId="10" borderId="20" xfId="0" applyNumberFormat="1" applyFont="1" applyFill="1" applyBorder="1" applyAlignment="1">
      <alignment horizontal="center" vertical="center"/>
    </xf>
    <xf numFmtId="166" fontId="9" fillId="10" borderId="21" xfId="0" applyNumberFormat="1" applyFont="1" applyFill="1" applyBorder="1" applyAlignment="1">
      <alignment horizontal="center" vertical="center"/>
    </xf>
    <xf numFmtId="166" fontId="9" fillId="10" borderId="22" xfId="0" applyNumberFormat="1" applyFont="1" applyFill="1" applyBorder="1" applyAlignment="1">
      <alignment horizontal="center" vertical="center"/>
    </xf>
    <xf numFmtId="2" fontId="0" fillId="10" borderId="20" xfId="0" applyNumberFormat="1" applyFill="1" applyBorder="1" applyAlignment="1">
      <alignment horizontal="center" vertical="center"/>
    </xf>
    <xf numFmtId="2" fontId="0" fillId="10" borderId="21" xfId="0" applyNumberFormat="1" applyFill="1" applyBorder="1" applyAlignment="1">
      <alignment horizontal="center" vertical="center"/>
    </xf>
    <xf numFmtId="2" fontId="0" fillId="10" borderId="22" xfId="0" applyNumberFormat="1" applyFill="1" applyBorder="1" applyAlignment="1">
      <alignment horizontal="center" vertical="center"/>
    </xf>
    <xf numFmtId="0" fontId="20" fillId="6" borderId="17" xfId="0" applyFont="1" applyFill="1" applyBorder="1" applyAlignment="1">
      <alignment wrapText="1"/>
    </xf>
    <xf numFmtId="0" fontId="0" fillId="6" borderId="18" xfId="0" applyFill="1" applyBorder="1" applyAlignment="1">
      <alignment wrapText="1"/>
    </xf>
    <xf numFmtId="0" fontId="9" fillId="6" borderId="19" xfId="0" applyFont="1" applyFill="1" applyBorder="1" applyAlignment="1">
      <alignment horizontal="center" wrapText="1"/>
    </xf>
    <xf numFmtId="0" fontId="20" fillId="6" borderId="27" xfId="0" applyFont="1" applyFill="1" applyBorder="1" applyAlignment="1">
      <alignment wrapText="1"/>
    </xf>
    <xf numFmtId="0" fontId="30" fillId="6" borderId="0" xfId="0" applyFont="1" applyFill="1" applyBorder="1" applyAlignment="1">
      <alignment horizontal="center" wrapText="1"/>
    </xf>
    <xf numFmtId="0" fontId="9" fillId="6" borderId="16" xfId="0" applyFont="1" applyFill="1" applyBorder="1" applyAlignment="1">
      <alignment horizontal="center" wrapText="1"/>
    </xf>
    <xf numFmtId="0" fontId="30" fillId="6" borderId="27" xfId="0" applyFont="1" applyFill="1" applyBorder="1" applyAlignment="1">
      <alignment wrapText="1"/>
    </xf>
    <xf numFmtId="0" fontId="20" fillId="6" borderId="0" xfId="0" applyFont="1" applyFill="1" applyBorder="1" applyAlignment="1">
      <alignment wrapText="1"/>
    </xf>
    <xf numFmtId="2" fontId="0" fillId="6" borderId="16" xfId="0" applyNumberFormat="1" applyFill="1" applyBorder="1" applyAlignment="1">
      <alignment wrapText="1"/>
    </xf>
    <xf numFmtId="2" fontId="9" fillId="6" borderId="16" xfId="0" applyNumberFormat="1" applyFont="1" applyFill="1" applyBorder="1" applyAlignment="1">
      <alignment wrapText="1"/>
    </xf>
    <xf numFmtId="0" fontId="0" fillId="6" borderId="27" xfId="0" applyFill="1" applyBorder="1" applyAlignment="1">
      <alignment wrapText="1"/>
    </xf>
    <xf numFmtId="0" fontId="30" fillId="6" borderId="20" xfId="0" applyFont="1" applyFill="1" applyBorder="1" applyAlignment="1">
      <alignment wrapText="1"/>
    </xf>
    <xf numFmtId="0" fontId="20" fillId="6" borderId="21" xfId="0" applyFont="1" applyFill="1" applyBorder="1" applyAlignment="1">
      <alignment wrapText="1"/>
    </xf>
    <xf numFmtId="2" fontId="0" fillId="6" borderId="22" xfId="0" applyNumberFormat="1" applyFill="1" applyBorder="1" applyAlignment="1">
      <alignment wrapText="1"/>
    </xf>
    <xf numFmtId="0" fontId="6" fillId="6" borderId="0" xfId="0" applyFont="1" applyFill="1"/>
    <xf numFmtId="0" fontId="0" fillId="6" borderId="18" xfId="0" applyFill="1" applyBorder="1" applyAlignment="1">
      <alignment horizontal="center"/>
    </xf>
    <xf numFmtId="0" fontId="0" fillId="6" borderId="19" xfId="0" applyFill="1" applyBorder="1" applyAlignment="1">
      <alignment horizontal="center"/>
    </xf>
    <xf numFmtId="0" fontId="0" fillId="6" borderId="27" xfId="0" applyFill="1" applyBorder="1"/>
    <xf numFmtId="0" fontId="0" fillId="6" borderId="16" xfId="0" applyFill="1" applyBorder="1" applyAlignment="1">
      <alignment horizontal="center"/>
    </xf>
    <xf numFmtId="166" fontId="0" fillId="6" borderId="0" xfId="0" applyNumberFormat="1" applyFill="1" applyBorder="1" applyAlignment="1">
      <alignment horizontal="center"/>
    </xf>
    <xf numFmtId="166" fontId="0" fillId="6" borderId="16" xfId="0" applyNumberFormat="1" applyFill="1" applyBorder="1" applyAlignment="1">
      <alignment horizontal="center"/>
    </xf>
    <xf numFmtId="0" fontId="19" fillId="6" borderId="27" xfId="0" applyFont="1" applyFill="1" applyBorder="1" applyAlignment="1">
      <alignment horizontal="right"/>
    </xf>
    <xf numFmtId="166" fontId="19" fillId="6" borderId="16" xfId="0" applyNumberFormat="1" applyFont="1" applyFill="1" applyBorder="1" applyAlignment="1">
      <alignment horizontal="center"/>
    </xf>
    <xf numFmtId="166" fontId="9" fillId="6" borderId="16" xfId="0" applyNumberFormat="1" applyFont="1" applyFill="1" applyBorder="1" applyAlignment="1">
      <alignment horizontal="center"/>
    </xf>
    <xf numFmtId="0" fontId="14" fillId="6" borderId="17" xfId="0" applyFont="1" applyFill="1" applyBorder="1"/>
    <xf numFmtId="0" fontId="9" fillId="6" borderId="0" xfId="0" applyFont="1" applyFill="1" applyBorder="1"/>
    <xf numFmtId="166" fontId="0" fillId="6" borderId="21" xfId="0" applyNumberFormat="1" applyFill="1" applyBorder="1" applyAlignment="1">
      <alignment horizontal="center"/>
    </xf>
    <xf numFmtId="0" fontId="9" fillId="6" borderId="22" xfId="0" applyFont="1" applyFill="1" applyBorder="1"/>
    <xf numFmtId="166" fontId="0" fillId="6" borderId="18" xfId="0" applyNumberFormat="1" applyFill="1" applyBorder="1" applyAlignment="1">
      <alignment horizontal="center"/>
    </xf>
    <xf numFmtId="0" fontId="9" fillId="6" borderId="19" xfId="0" applyFont="1" applyFill="1" applyBorder="1"/>
    <xf numFmtId="0" fontId="14" fillId="6" borderId="27" xfId="0" applyFont="1" applyFill="1" applyBorder="1"/>
    <xf numFmtId="0" fontId="59" fillId="6" borderId="0" xfId="0" applyFont="1" applyFill="1"/>
    <xf numFmtId="0" fontId="59" fillId="6" borderId="17" xfId="0" applyFont="1" applyFill="1" applyBorder="1"/>
    <xf numFmtId="0" fontId="59" fillId="6" borderId="18" xfId="0" applyFont="1" applyFill="1" applyBorder="1"/>
    <xf numFmtId="0" fontId="59" fillId="6" borderId="18" xfId="0" applyFont="1" applyFill="1" applyBorder="1" applyAlignment="1">
      <alignment horizontal="center"/>
    </xf>
    <xf numFmtId="166" fontId="59" fillId="6" borderId="18" xfId="0" applyNumberFormat="1" applyFont="1" applyFill="1" applyBorder="1" applyAlignment="1">
      <alignment horizontal="center"/>
    </xf>
    <xf numFmtId="0" fontId="59" fillId="6" borderId="19" xfId="0" applyFont="1" applyFill="1" applyBorder="1"/>
    <xf numFmtId="0" fontId="59" fillId="6" borderId="0" xfId="0" applyFont="1" applyFill="1" applyBorder="1"/>
    <xf numFmtId="166" fontId="59" fillId="6" borderId="0" xfId="0" applyNumberFormat="1" applyFont="1" applyFill="1" applyBorder="1" applyAlignment="1">
      <alignment horizontal="center"/>
    </xf>
    <xf numFmtId="1" fontId="59" fillId="6" borderId="0" xfId="0" applyNumberFormat="1" applyFont="1" applyFill="1" applyBorder="1" applyAlignment="1">
      <alignment horizontal="center"/>
    </xf>
    <xf numFmtId="166" fontId="59" fillId="6" borderId="16" xfId="0" applyNumberFormat="1" applyFont="1" applyFill="1" applyBorder="1"/>
    <xf numFmtId="0" fontId="59" fillId="6" borderId="20" xfId="0" applyFont="1" applyFill="1" applyBorder="1"/>
    <xf numFmtId="0" fontId="59" fillId="6" borderId="21" xfId="0" applyFont="1" applyFill="1" applyBorder="1"/>
    <xf numFmtId="0" fontId="59" fillId="6" borderId="0" xfId="0" applyFont="1" applyFill="1" applyBorder="1" applyAlignment="1">
      <alignment horizontal="center"/>
    </xf>
    <xf numFmtId="1" fontId="59" fillId="6" borderId="21" xfId="0" applyNumberFormat="1" applyFont="1" applyFill="1" applyBorder="1" applyAlignment="1">
      <alignment horizontal="center"/>
    </xf>
    <xf numFmtId="166" fontId="59" fillId="6" borderId="22" xfId="0" applyNumberFormat="1" applyFont="1" applyFill="1" applyBorder="1"/>
    <xf numFmtId="0" fontId="59" fillId="6" borderId="8" xfId="0" applyFont="1" applyFill="1" applyBorder="1"/>
    <xf numFmtId="0" fontId="59" fillId="6" borderId="9" xfId="0" applyFont="1" applyFill="1" applyBorder="1"/>
    <xf numFmtId="166" fontId="59" fillId="6" borderId="9" xfId="0" applyNumberFormat="1" applyFont="1" applyFill="1" applyBorder="1" applyAlignment="1">
      <alignment horizontal="center"/>
    </xf>
    <xf numFmtId="0" fontId="59" fillId="6" borderId="10" xfId="0" applyFont="1" applyFill="1" applyBorder="1" applyAlignment="1">
      <alignment horizontal="center"/>
    </xf>
    <xf numFmtId="1" fontId="59" fillId="6" borderId="0" xfId="0" applyNumberFormat="1" applyFont="1" applyFill="1" applyAlignment="1">
      <alignment horizontal="center"/>
    </xf>
    <xf numFmtId="166" fontId="59" fillId="6" borderId="0" xfId="0" applyNumberFormat="1" applyFont="1" applyFill="1"/>
    <xf numFmtId="2" fontId="59" fillId="6" borderId="0" xfId="0" applyNumberFormat="1" applyFont="1" applyFill="1"/>
    <xf numFmtId="0" fontId="59" fillId="6" borderId="0" xfId="0" applyFont="1" applyFill="1" applyAlignment="1">
      <alignment horizontal="center"/>
    </xf>
    <xf numFmtId="0" fontId="59" fillId="6" borderId="11" xfId="0" applyFont="1" applyFill="1" applyBorder="1" applyAlignment="1">
      <alignment horizontal="left"/>
    </xf>
    <xf numFmtId="0" fontId="59" fillId="6" borderId="12" xfId="0" applyFont="1" applyFill="1" applyBorder="1" applyAlignment="1">
      <alignment horizontal="center"/>
    </xf>
    <xf numFmtId="0" fontId="59" fillId="6" borderId="0" xfId="0" applyFont="1" applyFill="1" applyAlignment="1">
      <alignment horizontal="center" vertical="center"/>
    </xf>
    <xf numFmtId="2" fontId="59" fillId="6" borderId="0" xfId="0" applyNumberFormat="1" applyFont="1" applyFill="1" applyAlignment="1">
      <alignment horizontal="center"/>
    </xf>
    <xf numFmtId="0" fontId="59" fillId="6" borderId="13" xfId="0" applyFont="1" applyFill="1" applyBorder="1" applyAlignment="1">
      <alignment horizontal="left"/>
    </xf>
    <xf numFmtId="0" fontId="59" fillId="6" borderId="2" xfId="0" applyFont="1" applyFill="1" applyBorder="1"/>
    <xf numFmtId="166" fontId="59" fillId="6" borderId="2" xfId="0" applyNumberFormat="1" applyFont="1" applyFill="1" applyBorder="1" applyAlignment="1">
      <alignment horizontal="center"/>
    </xf>
    <xf numFmtId="0" fontId="59" fillId="6" borderId="14" xfId="0" applyFont="1" applyFill="1" applyBorder="1" applyAlignment="1">
      <alignment horizontal="center"/>
    </xf>
    <xf numFmtId="2" fontId="59" fillId="6" borderId="17" xfId="0" applyNumberFormat="1" applyFont="1" applyFill="1" applyBorder="1"/>
    <xf numFmtId="2" fontId="59" fillId="6" borderId="18" xfId="0" applyNumberFormat="1" applyFont="1" applyFill="1" applyBorder="1" applyAlignment="1">
      <alignment horizontal="center"/>
    </xf>
    <xf numFmtId="0" fontId="59" fillId="6" borderId="0" xfId="0" applyFont="1" applyFill="1" applyBorder="1" applyAlignment="1">
      <alignment horizontal="left"/>
    </xf>
    <xf numFmtId="1" fontId="59" fillId="6" borderId="18" xfId="0" applyNumberFormat="1" applyFont="1" applyFill="1" applyBorder="1" applyAlignment="1">
      <alignment horizontal="center"/>
    </xf>
    <xf numFmtId="166" fontId="59" fillId="6" borderId="19" xfId="0" applyNumberFormat="1" applyFont="1" applyFill="1" applyBorder="1"/>
    <xf numFmtId="0" fontId="59" fillId="6" borderId="21" xfId="0" applyFont="1" applyFill="1" applyBorder="1" applyAlignment="1">
      <alignment horizontal="center"/>
    </xf>
    <xf numFmtId="0" fontId="59" fillId="6" borderId="8" xfId="0" applyFont="1" applyFill="1" applyBorder="1" applyAlignment="1">
      <alignment horizontal="left"/>
    </xf>
    <xf numFmtId="1" fontId="62" fillId="6" borderId="0" xfId="0" applyNumberFormat="1" applyFont="1" applyFill="1" applyAlignment="1">
      <alignment horizontal="center"/>
    </xf>
    <xf numFmtId="166" fontId="62" fillId="6" borderId="0" xfId="0" applyNumberFormat="1" applyFont="1" applyFill="1"/>
    <xf numFmtId="180" fontId="59" fillId="6" borderId="0" xfId="0" applyNumberFormat="1" applyFont="1" applyFill="1" applyAlignment="1">
      <alignment horizontal="center" vertical="center"/>
    </xf>
    <xf numFmtId="179" fontId="59" fillId="6" borderId="0" xfId="0" applyNumberFormat="1" applyFont="1" applyFill="1" applyAlignment="1">
      <alignment horizontal="center" vertical="center"/>
    </xf>
    <xf numFmtId="1" fontId="62" fillId="6" borderId="0" xfId="0" applyNumberFormat="1" applyFont="1" applyFill="1" applyBorder="1"/>
    <xf numFmtId="1" fontId="62" fillId="6" borderId="2" xfId="0" applyNumberFormat="1" applyFont="1" applyFill="1" applyBorder="1"/>
    <xf numFmtId="0" fontId="59" fillId="6" borderId="13" xfId="0" applyFont="1" applyFill="1" applyBorder="1"/>
    <xf numFmtId="166" fontId="59" fillId="6" borderId="21" xfId="0" applyNumberFormat="1" applyFont="1" applyFill="1" applyBorder="1" applyAlignment="1">
      <alignment horizontal="center"/>
    </xf>
    <xf numFmtId="0" fontId="59" fillId="6" borderId="12" xfId="0" applyFont="1" applyFill="1" applyBorder="1" applyAlignment="1">
      <alignment horizontal="right"/>
    </xf>
    <xf numFmtId="1" fontId="59" fillId="6" borderId="11" xfId="0" applyNumberFormat="1" applyFont="1" applyFill="1" applyBorder="1" applyAlignment="1">
      <alignment horizontal="center"/>
    </xf>
    <xf numFmtId="1" fontId="59" fillId="6" borderId="0" xfId="0" applyNumberFormat="1" applyFont="1" applyFill="1"/>
    <xf numFmtId="166" fontId="59" fillId="6" borderId="0" xfId="0" applyNumberFormat="1" applyFont="1" applyFill="1" applyAlignment="1">
      <alignment horizontal="center"/>
    </xf>
    <xf numFmtId="1" fontId="59" fillId="6" borderId="21" xfId="0" applyNumberFormat="1" applyFont="1" applyFill="1" applyBorder="1"/>
    <xf numFmtId="0" fontId="59" fillId="6" borderId="22" xfId="0" applyFont="1" applyFill="1" applyBorder="1"/>
    <xf numFmtId="0" fontId="9" fillId="6" borderId="18" xfId="0" applyFont="1" applyFill="1" applyBorder="1"/>
    <xf numFmtId="0" fontId="20" fillId="6" borderId="16" xfId="0" applyFont="1" applyFill="1" applyBorder="1" applyAlignment="1">
      <alignment horizontal="center"/>
    </xf>
    <xf numFmtId="0" fontId="20" fillId="6" borderId="27" xfId="0" applyFont="1" applyFill="1" applyBorder="1" applyAlignment="1">
      <alignment horizontal="center" wrapText="1"/>
    </xf>
    <xf numFmtId="1" fontId="20" fillId="6" borderId="0" xfId="0" applyNumberFormat="1" applyFont="1" applyFill="1" applyBorder="1" applyAlignment="1">
      <alignment horizontal="center" wrapText="1"/>
    </xf>
    <xf numFmtId="0" fontId="20" fillId="6" borderId="0" xfId="0" applyFont="1" applyFill="1" applyBorder="1" applyAlignment="1">
      <alignment horizontal="center" vertical="center" wrapText="1"/>
    </xf>
    <xf numFmtId="2" fontId="20" fillId="6" borderId="16" xfId="0" applyNumberFormat="1" applyFont="1" applyFill="1" applyBorder="1" applyAlignment="1">
      <alignment horizontal="center"/>
    </xf>
    <xf numFmtId="0" fontId="20" fillId="6" borderId="27" xfId="0" applyFont="1" applyFill="1" applyBorder="1" applyAlignment="1">
      <alignment horizontal="center"/>
    </xf>
    <xf numFmtId="2" fontId="34" fillId="6" borderId="16" xfId="0" applyNumberFormat="1" applyFont="1" applyFill="1" applyBorder="1" applyAlignment="1">
      <alignment horizontal="center"/>
    </xf>
    <xf numFmtId="0" fontId="30" fillId="6" borderId="27" xfId="0" applyFont="1" applyFill="1" applyBorder="1" applyAlignment="1">
      <alignment horizontal="center"/>
    </xf>
    <xf numFmtId="2" fontId="30" fillId="6" borderId="0" xfId="0" applyNumberFormat="1" applyFont="1" applyFill="1" applyBorder="1" applyAlignment="1">
      <alignment horizontal="center"/>
    </xf>
    <xf numFmtId="0" fontId="0" fillId="6" borderId="16" xfId="0" applyFill="1" applyBorder="1"/>
    <xf numFmtId="2" fontId="21" fillId="6" borderId="27" xfId="0" applyNumberFormat="1" applyFont="1" applyFill="1" applyBorder="1"/>
    <xf numFmtId="0" fontId="21" fillId="6" borderId="0" xfId="0" applyFont="1" applyFill="1" applyBorder="1"/>
    <xf numFmtId="0" fontId="35" fillId="6" borderId="0" xfId="0" applyFont="1" applyFill="1" applyBorder="1" applyAlignment="1">
      <alignment horizontal="center"/>
    </xf>
    <xf numFmtId="2" fontId="35" fillId="6" borderId="16" xfId="0" applyNumberFormat="1" applyFont="1" applyFill="1" applyBorder="1" applyAlignment="1">
      <alignment horizontal="center"/>
    </xf>
    <xf numFmtId="1" fontId="20" fillId="6" borderId="0" xfId="0" applyNumberFormat="1" applyFont="1" applyFill="1" applyBorder="1" applyAlignment="1">
      <alignment horizontal="center" vertical="center" wrapText="1"/>
    </xf>
    <xf numFmtId="0" fontId="35" fillId="6" borderId="0" xfId="0" applyFont="1" applyFill="1" applyBorder="1" applyAlignment="1">
      <alignment horizontal="center" vertical="center" wrapText="1"/>
    </xf>
    <xf numFmtId="0" fontId="31" fillId="6" borderId="27" xfId="0" applyFont="1" applyFill="1" applyBorder="1" applyAlignment="1">
      <alignment horizontal="center"/>
    </xf>
    <xf numFmtId="2" fontId="37" fillId="6" borderId="0" xfId="0" applyNumberFormat="1" applyFont="1" applyFill="1" applyBorder="1" applyAlignment="1">
      <alignment horizontal="center"/>
    </xf>
    <xf numFmtId="166" fontId="35" fillId="6" borderId="16" xfId="0" applyNumberFormat="1" applyFont="1" applyFill="1" applyBorder="1" applyAlignment="1">
      <alignment horizontal="center"/>
    </xf>
    <xf numFmtId="2" fontId="32" fillId="6" borderId="27" xfId="0" applyNumberFormat="1" applyFont="1" applyFill="1" applyBorder="1" applyAlignment="1">
      <alignment horizontal="center"/>
    </xf>
    <xf numFmtId="2" fontId="20" fillId="6" borderId="0" xfId="0" applyNumberFormat="1" applyFont="1" applyFill="1" applyBorder="1" applyAlignment="1">
      <alignment horizontal="center"/>
    </xf>
    <xf numFmtId="2" fontId="20" fillId="6" borderId="27" xfId="0" applyNumberFormat="1" applyFont="1" applyFill="1" applyBorder="1" applyAlignment="1">
      <alignment horizontal="center"/>
    </xf>
    <xf numFmtId="2" fontId="21" fillId="6" borderId="0" xfId="0" applyNumberFormat="1" applyFont="1" applyFill="1" applyBorder="1" applyAlignment="1">
      <alignment horizontal="center"/>
    </xf>
    <xf numFmtId="2" fontId="21" fillId="6" borderId="16" xfId="0" applyNumberFormat="1" applyFont="1" applyFill="1" applyBorder="1" applyAlignment="1">
      <alignment horizontal="center"/>
    </xf>
    <xf numFmtId="0" fontId="21" fillId="6" borderId="27" xfId="0" applyFont="1" applyFill="1" applyBorder="1"/>
    <xf numFmtId="2" fontId="33" fillId="6" borderId="16" xfId="0" applyNumberFormat="1" applyFont="1" applyFill="1" applyBorder="1" applyAlignment="1">
      <alignment horizontal="right"/>
    </xf>
    <xf numFmtId="0" fontId="20" fillId="6" borderId="27" xfId="0" applyFont="1" applyFill="1" applyBorder="1"/>
    <xf numFmtId="9" fontId="20" fillId="6" borderId="0" xfId="3" applyFont="1" applyFill="1" applyBorder="1"/>
    <xf numFmtId="0" fontId="20" fillId="6" borderId="20" xfId="0" applyFont="1" applyFill="1" applyBorder="1"/>
    <xf numFmtId="9" fontId="20" fillId="6" borderId="21" xfId="0" applyNumberFormat="1" applyFont="1" applyFill="1" applyBorder="1"/>
    <xf numFmtId="2" fontId="36" fillId="6" borderId="22" xfId="0" applyNumberFormat="1" applyFont="1" applyFill="1" applyBorder="1"/>
    <xf numFmtId="0" fontId="20" fillId="6" borderId="17" xfId="0" applyFont="1" applyFill="1" applyBorder="1"/>
    <xf numFmtId="0" fontId="30" fillId="6" borderId="18" xfId="0" applyFont="1" applyFill="1" applyBorder="1" applyAlignment="1">
      <alignment horizontal="center"/>
    </xf>
    <xf numFmtId="0" fontId="20" fillId="6" borderId="19" xfId="0" applyFont="1" applyFill="1" applyBorder="1" applyAlignment="1">
      <alignment horizontal="center"/>
    </xf>
    <xf numFmtId="0" fontId="30" fillId="6" borderId="27" xfId="0" applyFont="1" applyFill="1" applyBorder="1"/>
    <xf numFmtId="2" fontId="20" fillId="6" borderId="0" xfId="0" applyNumberFormat="1" applyFont="1" applyFill="1" applyBorder="1"/>
    <xf numFmtId="2" fontId="30" fillId="6" borderId="0" xfId="0" applyNumberFormat="1" applyFont="1" applyFill="1" applyBorder="1"/>
    <xf numFmtId="2" fontId="20" fillId="6" borderId="16" xfId="0" applyNumberFormat="1" applyFont="1" applyFill="1" applyBorder="1"/>
    <xf numFmtId="2" fontId="20" fillId="6" borderId="0" xfId="0" applyNumberFormat="1" applyFont="1" applyFill="1" applyBorder="1" applyAlignment="1">
      <alignment wrapText="1"/>
    </xf>
    <xf numFmtId="0" fontId="30" fillId="6" borderId="0" xfId="0" applyFont="1" applyFill="1" applyBorder="1" applyAlignment="1">
      <alignment horizontal="center"/>
    </xf>
    <xf numFmtId="0" fontId="30" fillId="6" borderId="20" xfId="0" applyFont="1" applyFill="1" applyBorder="1"/>
    <xf numFmtId="2" fontId="20" fillId="6" borderId="21" xfId="0" applyNumberFormat="1" applyFont="1" applyFill="1" applyBorder="1" applyAlignment="1">
      <alignment wrapText="1"/>
    </xf>
    <xf numFmtId="2" fontId="20" fillId="6" borderId="21" xfId="0" applyNumberFormat="1" applyFont="1" applyFill="1" applyBorder="1"/>
    <xf numFmtId="2" fontId="20" fillId="6" borderId="22" xfId="0" applyNumberFormat="1" applyFont="1" applyFill="1" applyBorder="1"/>
    <xf numFmtId="0" fontId="0" fillId="6" borderId="17" xfId="0" applyFill="1" applyBorder="1" applyAlignment="1">
      <alignment horizontal="center"/>
    </xf>
    <xf numFmtId="0" fontId="0" fillId="6" borderId="27" xfId="0" applyFill="1" applyBorder="1" applyAlignment="1">
      <alignment horizontal="center"/>
    </xf>
    <xf numFmtId="0" fontId="23" fillId="6" borderId="0" xfId="0" applyFont="1" applyFill="1" applyBorder="1" applyAlignment="1">
      <alignment horizontal="center"/>
    </xf>
    <xf numFmtId="0" fontId="23" fillId="6" borderId="0" xfId="0" applyFont="1" applyFill="1" applyBorder="1"/>
    <xf numFmtId="0" fontId="0" fillId="6" borderId="20" xfId="0" applyFill="1" applyBorder="1" applyAlignment="1">
      <alignment horizontal="center"/>
    </xf>
    <xf numFmtId="0" fontId="23" fillId="6" borderId="21" xfId="0" applyFont="1" applyFill="1" applyBorder="1" applyAlignment="1">
      <alignment horizontal="center"/>
    </xf>
    <xf numFmtId="0" fontId="23" fillId="6" borderId="21" xfId="0" applyFont="1" applyFill="1" applyBorder="1"/>
    <xf numFmtId="166" fontId="0" fillId="6" borderId="19" xfId="0" applyNumberFormat="1" applyFill="1" applyBorder="1" applyAlignment="1">
      <alignment horizontal="center"/>
    </xf>
    <xf numFmtId="0" fontId="9" fillId="6" borderId="27" xfId="0" applyFont="1" applyFill="1" applyBorder="1"/>
    <xf numFmtId="166" fontId="0" fillId="6" borderId="22" xfId="0" applyNumberFormat="1" applyFill="1" applyBorder="1" applyAlignment="1">
      <alignment horizontal="center"/>
    </xf>
    <xf numFmtId="0" fontId="0" fillId="6" borderId="21" xfId="0" applyFill="1" applyBorder="1" applyAlignment="1">
      <alignment horizontal="center"/>
    </xf>
    <xf numFmtId="0" fontId="6" fillId="6" borderId="18" xfId="0" applyFont="1" applyFill="1" applyBorder="1" applyAlignment="1">
      <alignment horizontal="center"/>
    </xf>
    <xf numFmtId="2" fontId="0" fillId="6" borderId="0" xfId="0" applyNumberFormat="1" applyFill="1" applyBorder="1" applyAlignment="1">
      <alignment horizontal="center"/>
    </xf>
    <xf numFmtId="0" fontId="10" fillId="6" borderId="0" xfId="0" applyFont="1" applyFill="1" applyBorder="1" applyAlignment="1">
      <alignment wrapText="1"/>
    </xf>
    <xf numFmtId="166" fontId="10" fillId="6" borderId="0" xfId="0" applyNumberFormat="1" applyFont="1" applyFill="1" applyBorder="1" applyAlignment="1">
      <alignment horizontal="center" wrapText="1"/>
    </xf>
    <xf numFmtId="2" fontId="10" fillId="6" borderId="0" xfId="0" applyNumberFormat="1" applyFont="1" applyFill="1" applyBorder="1" applyAlignment="1">
      <alignment horizontal="center" wrapText="1"/>
    </xf>
    <xf numFmtId="0" fontId="10" fillId="6" borderId="0" xfId="0" applyFont="1" applyFill="1" applyBorder="1" applyAlignment="1">
      <alignment horizontal="center" wrapText="1"/>
    </xf>
    <xf numFmtId="166" fontId="20" fillId="6" borderId="0" xfId="0" applyNumberFormat="1" applyFont="1" applyFill="1" applyBorder="1" applyAlignment="1">
      <alignment horizontal="center" wrapText="1"/>
    </xf>
    <xf numFmtId="0" fontId="20" fillId="6" borderId="16" xfId="0" applyFont="1" applyFill="1" applyBorder="1" applyAlignment="1">
      <alignment wrapText="1"/>
    </xf>
    <xf numFmtId="0" fontId="10" fillId="6" borderId="0" xfId="0" applyFont="1" applyFill="1" applyBorder="1"/>
    <xf numFmtId="166" fontId="10" fillId="6" borderId="0" xfId="0" applyNumberFormat="1" applyFont="1" applyFill="1" applyBorder="1" applyAlignment="1">
      <alignment horizontal="center"/>
    </xf>
    <xf numFmtId="2" fontId="10" fillId="6" borderId="0" xfId="0" applyNumberFormat="1" applyFont="1" applyFill="1" applyBorder="1" applyAlignment="1">
      <alignment horizontal="center"/>
    </xf>
    <xf numFmtId="0" fontId="10" fillId="6" borderId="0" xfId="0" applyFont="1" applyFill="1" applyBorder="1" applyAlignment="1">
      <alignment horizontal="center"/>
    </xf>
    <xf numFmtId="0" fontId="20" fillId="6" borderId="16" xfId="0" applyFont="1" applyFill="1" applyBorder="1"/>
    <xf numFmtId="2" fontId="0" fillId="6" borderId="21" xfId="0" applyNumberFormat="1" applyFill="1" applyBorder="1" applyAlignment="1">
      <alignment horizontal="center"/>
    </xf>
    <xf numFmtId="0" fontId="5" fillId="6" borderId="0" xfId="0" applyFont="1" applyFill="1"/>
    <xf numFmtId="0" fontId="5" fillId="0" borderId="0" xfId="0" applyFont="1"/>
    <xf numFmtId="0" fontId="38" fillId="6" borderId="0" xfId="0" applyFont="1" applyFill="1" applyBorder="1" applyAlignment="1">
      <alignment horizontal="center"/>
    </xf>
    <xf numFmtId="0" fontId="5" fillId="6" borderId="0" xfId="0" applyFont="1" applyFill="1" applyBorder="1" applyAlignment="1">
      <alignment horizontal="center" vertical="center"/>
    </xf>
    <xf numFmtId="0" fontId="0" fillId="10" borderId="0" xfId="0" applyFill="1" applyBorder="1" applyAlignment="1">
      <alignment horizontal="center" vertical="center"/>
    </xf>
    <xf numFmtId="0" fontId="29" fillId="9" borderId="16" xfId="0" applyFont="1" applyFill="1" applyBorder="1" applyAlignment="1">
      <alignment horizontal="center" vertical="center"/>
    </xf>
    <xf numFmtId="0" fontId="5" fillId="6" borderId="27" xfId="0" applyFont="1" applyFill="1" applyBorder="1"/>
    <xf numFmtId="0" fontId="5" fillId="6" borderId="21" xfId="0" applyFont="1" applyFill="1" applyBorder="1" applyAlignment="1">
      <alignment horizontal="center" vertical="center"/>
    </xf>
    <xf numFmtId="0" fontId="29" fillId="6" borderId="0" xfId="0" applyFont="1" applyFill="1" applyBorder="1"/>
    <xf numFmtId="0" fontId="63" fillId="6" borderId="0" xfId="0" applyFont="1" applyFill="1" applyAlignment="1">
      <alignment vertical="center"/>
    </xf>
    <xf numFmtId="166" fontId="29" fillId="6" borderId="0" xfId="0" applyNumberFormat="1" applyFont="1" applyFill="1" applyAlignment="1">
      <alignment horizontal="center"/>
    </xf>
    <xf numFmtId="0" fontId="29" fillId="6" borderId="0" xfId="0" applyFont="1" applyFill="1" applyAlignment="1">
      <alignment horizontal="center"/>
    </xf>
    <xf numFmtId="0" fontId="29" fillId="6" borderId="0" xfId="0" applyFont="1" applyFill="1" applyBorder="1" applyAlignment="1">
      <alignment horizontal="center"/>
    </xf>
    <xf numFmtId="166" fontId="29" fillId="6" borderId="0" xfId="0" applyNumberFormat="1" applyFont="1" applyFill="1" applyBorder="1" applyAlignment="1">
      <alignment horizontal="center"/>
    </xf>
    <xf numFmtId="0" fontId="29" fillId="6" borderId="0" xfId="4" applyFont="1" applyFill="1" applyBorder="1" applyAlignment="1">
      <alignment horizontal="center"/>
    </xf>
    <xf numFmtId="0" fontId="39" fillId="6" borderId="0" xfId="0" applyFont="1" applyFill="1" applyBorder="1"/>
    <xf numFmtId="2" fontId="29" fillId="6" borderId="0" xfId="0" applyNumberFormat="1" applyFont="1" applyFill="1" applyBorder="1"/>
    <xf numFmtId="2" fontId="39" fillId="6" borderId="0" xfId="0" applyNumberFormat="1" applyFont="1" applyFill="1" applyBorder="1"/>
    <xf numFmtId="0" fontId="30" fillId="6" borderId="0" xfId="0" applyFont="1" applyFill="1"/>
    <xf numFmtId="0" fontId="30" fillId="6" borderId="0" xfId="0" applyFont="1" applyFill="1" applyAlignment="1">
      <alignment wrapText="1"/>
    </xf>
    <xf numFmtId="0" fontId="30" fillId="6" borderId="0" xfId="0" applyFont="1" applyFill="1" applyAlignment="1">
      <alignment horizontal="center"/>
    </xf>
    <xf numFmtId="2" fontId="29" fillId="6" borderId="0" xfId="0" applyNumberFormat="1" applyFont="1" applyFill="1"/>
    <xf numFmtId="0" fontId="64" fillId="6" borderId="0" xfId="0" applyFont="1" applyFill="1" applyAlignment="1">
      <alignment vertical="center"/>
    </xf>
    <xf numFmtId="0" fontId="29" fillId="6" borderId="0" xfId="0" applyFont="1" applyFill="1" applyAlignment="1">
      <alignment horizontal="center" vertical="center"/>
    </xf>
    <xf numFmtId="0" fontId="66" fillId="6" borderId="0" xfId="0" applyFont="1" applyFill="1" applyAlignment="1">
      <alignment horizontal="center" vertical="center"/>
    </xf>
    <xf numFmtId="166" fontId="29" fillId="6" borderId="0" xfId="0" applyNumberFormat="1" applyFont="1" applyFill="1"/>
    <xf numFmtId="0" fontId="30" fillId="6" borderId="0" xfId="0" applyFont="1" applyFill="1" applyAlignment="1">
      <alignment horizontal="center" vertical="center" wrapText="1"/>
    </xf>
    <xf numFmtId="166" fontId="30" fillId="6" borderId="0" xfId="0" applyNumberFormat="1" applyFont="1" applyFill="1" applyAlignment="1">
      <alignment horizontal="center"/>
    </xf>
    <xf numFmtId="166" fontId="30" fillId="6" borderId="0" xfId="0" applyNumberFormat="1" applyFont="1" applyFill="1"/>
    <xf numFmtId="0" fontId="30" fillId="6" borderId="0" xfId="0" applyFont="1" applyFill="1" applyAlignment="1">
      <alignment horizontal="center" vertical="center"/>
    </xf>
    <xf numFmtId="178" fontId="30" fillId="6" borderId="0" xfId="0" applyNumberFormat="1" applyFont="1" applyFill="1" applyAlignment="1">
      <alignment horizontal="center"/>
    </xf>
    <xf numFmtId="2" fontId="30" fillId="6" borderId="0" xfId="0" applyNumberFormat="1" applyFont="1" applyFill="1" applyAlignment="1">
      <alignment horizontal="center"/>
    </xf>
    <xf numFmtId="2" fontId="30" fillId="6" borderId="0" xfId="0" applyNumberFormat="1" applyFont="1" applyFill="1"/>
    <xf numFmtId="2" fontId="30" fillId="6" borderId="0" xfId="0" applyNumberFormat="1" applyFont="1" applyFill="1" applyAlignment="1">
      <alignment wrapText="1"/>
    </xf>
    <xf numFmtId="1" fontId="29" fillId="6" borderId="0" xfId="0" applyNumberFormat="1" applyFont="1" applyFill="1"/>
    <xf numFmtId="0" fontId="5" fillId="5" borderId="5" xfId="0" applyFont="1" applyFill="1" applyBorder="1"/>
    <xf numFmtId="0" fontId="5" fillId="0" borderId="0" xfId="0" applyFont="1" applyFill="1" applyBorder="1"/>
    <xf numFmtId="0" fontId="5" fillId="6" borderId="17" xfId="0" applyFont="1" applyFill="1" applyBorder="1"/>
    <xf numFmtId="0" fontId="5" fillId="6" borderId="20" xfId="0" applyFont="1" applyFill="1" applyBorder="1"/>
    <xf numFmtId="0" fontId="9" fillId="6" borderId="27" xfId="5" applyFont="1" applyFill="1" applyBorder="1" applyAlignment="1">
      <alignment horizontal="left" vertical="center"/>
    </xf>
    <xf numFmtId="0" fontId="9" fillId="6" borderId="16" xfId="5" applyFont="1" applyFill="1" applyBorder="1" applyAlignment="1">
      <alignment horizontal="center"/>
    </xf>
    <xf numFmtId="0" fontId="51" fillId="6" borderId="27" xfId="5" applyFill="1" applyBorder="1" applyAlignment="1">
      <alignment horizontal="left" vertical="center"/>
    </xf>
    <xf numFmtId="0" fontId="5" fillId="6" borderId="16" xfId="5" applyFont="1" applyFill="1" applyBorder="1" applyAlignment="1">
      <alignment horizontal="center"/>
    </xf>
    <xf numFmtId="0" fontId="9" fillId="6" borderId="20" xfId="5" applyFont="1" applyFill="1" applyBorder="1" applyAlignment="1">
      <alignment horizontal="left" vertical="center"/>
    </xf>
    <xf numFmtId="0" fontId="51" fillId="6" borderId="21" xfId="5" applyFill="1" applyBorder="1" applyAlignment="1">
      <alignment horizontal="center" vertical="center"/>
    </xf>
    <xf numFmtId="0" fontId="40" fillId="7" borderId="21" xfId="5" applyFont="1" applyFill="1" applyBorder="1" applyAlignment="1">
      <alignment horizontal="center" vertical="center"/>
    </xf>
    <xf numFmtId="0" fontId="9" fillId="6" borderId="22" xfId="5" applyFont="1" applyFill="1" applyBorder="1" applyAlignment="1">
      <alignment horizontal="center"/>
    </xf>
    <xf numFmtId="0" fontId="4" fillId="6" borderId="27" xfId="5" applyFont="1" applyFill="1" applyBorder="1" applyAlignment="1">
      <alignment horizontal="left" vertical="center" wrapText="1"/>
    </xf>
    <xf numFmtId="0" fontId="51" fillId="6" borderId="0" xfId="5" applyFont="1" applyFill="1" applyBorder="1" applyAlignment="1">
      <alignment horizontal="center" vertical="center"/>
    </xf>
    <xf numFmtId="0" fontId="4" fillId="6" borderId="16" xfId="5" applyFont="1" applyFill="1" applyBorder="1" applyAlignment="1">
      <alignment horizontal="center"/>
    </xf>
    <xf numFmtId="0" fontId="51" fillId="6" borderId="27" xfId="5" applyFont="1" applyFill="1" applyBorder="1" applyAlignment="1">
      <alignment horizontal="left" vertical="center" wrapText="1"/>
    </xf>
    <xf numFmtId="0" fontId="9" fillId="6" borderId="27" xfId="5" applyFont="1" applyFill="1" applyBorder="1" applyAlignment="1">
      <alignment horizontal="left" vertical="center" wrapText="1"/>
    </xf>
    <xf numFmtId="0" fontId="51" fillId="6" borderId="16" xfId="5" applyFill="1" applyBorder="1" applyAlignment="1">
      <alignment horizontal="center"/>
    </xf>
    <xf numFmtId="0" fontId="9" fillId="6" borderId="20" xfId="5" applyFont="1" applyFill="1" applyBorder="1" applyAlignment="1">
      <alignment horizontal="left" vertical="center" wrapText="1"/>
    </xf>
    <xf numFmtId="0" fontId="51" fillId="6" borderId="22" xfId="5" applyFill="1" applyBorder="1" applyAlignment="1">
      <alignment horizontal="center"/>
    </xf>
    <xf numFmtId="0" fontId="9" fillId="6" borderId="21" xfId="5" applyFont="1" applyFill="1" applyBorder="1" applyAlignment="1">
      <alignment horizontal="center" vertical="center"/>
    </xf>
    <xf numFmtId="0" fontId="51" fillId="6" borderId="27" xfId="5" applyFont="1" applyFill="1" applyBorder="1" applyAlignment="1">
      <alignment horizontal="left" vertical="center"/>
    </xf>
    <xf numFmtId="0" fontId="8" fillId="6" borderId="16" xfId="5" applyFont="1" applyFill="1" applyBorder="1" applyAlignment="1">
      <alignment horizontal="center"/>
    </xf>
    <xf numFmtId="0" fontId="8" fillId="6" borderId="0" xfId="5" applyFont="1" applyFill="1" applyBorder="1" applyAlignment="1">
      <alignment horizontal="center" vertical="center"/>
    </xf>
    <xf numFmtId="2" fontId="51" fillId="6" borderId="27" xfId="5" applyNumberFormat="1" applyFont="1" applyFill="1" applyBorder="1" applyAlignment="1">
      <alignment horizontal="left" vertical="center"/>
    </xf>
    <xf numFmtId="2" fontId="9" fillId="6" borderId="27" xfId="5" applyNumberFormat="1" applyFont="1" applyFill="1" applyBorder="1" applyAlignment="1">
      <alignment horizontal="left" vertical="center"/>
    </xf>
    <xf numFmtId="166" fontId="55" fillId="7" borderId="21" xfId="6" applyNumberFormat="1" applyFont="1" applyFill="1" applyBorder="1" applyAlignment="1">
      <alignment horizontal="center" vertical="center"/>
    </xf>
    <xf numFmtId="0" fontId="4" fillId="6" borderId="20" xfId="5" applyFont="1" applyFill="1" applyBorder="1" applyAlignment="1">
      <alignment horizontal="left" vertical="center"/>
    </xf>
    <xf numFmtId="0" fontId="4" fillId="6" borderId="21" xfId="5" applyFont="1" applyFill="1" applyBorder="1" applyAlignment="1">
      <alignment horizontal="center" vertical="center"/>
    </xf>
    <xf numFmtId="0" fontId="51" fillId="6" borderId="27" xfId="5" applyFill="1" applyBorder="1" applyAlignment="1">
      <alignment horizontal="left" vertical="center" wrapText="1"/>
    </xf>
    <xf numFmtId="0" fontId="51" fillId="6" borderId="16" xfId="5" applyFont="1" applyFill="1" applyBorder="1" applyAlignment="1">
      <alignment horizontal="center"/>
    </xf>
    <xf numFmtId="0" fontId="5" fillId="6" borderId="27" xfId="5" applyFont="1" applyFill="1" applyBorder="1" applyAlignment="1">
      <alignment horizontal="left" vertical="center" wrapText="1"/>
    </xf>
    <xf numFmtId="0" fontId="51" fillId="6" borderId="20" xfId="5" applyFont="1" applyFill="1" applyBorder="1" applyAlignment="1">
      <alignment horizontal="left" vertical="center" wrapText="1"/>
    </xf>
    <xf numFmtId="2" fontId="55" fillId="7" borderId="21" xfId="6" applyNumberFormat="1" applyFont="1" applyFill="1" applyBorder="1" applyAlignment="1">
      <alignment horizontal="center" vertical="center"/>
    </xf>
    <xf numFmtId="0" fontId="51" fillId="6" borderId="22" xfId="5" applyFont="1" applyFill="1" applyBorder="1" applyAlignment="1">
      <alignment horizontal="center"/>
    </xf>
    <xf numFmtId="0" fontId="5" fillId="6" borderId="0" xfId="0" applyFont="1" applyFill="1" applyAlignment="1"/>
    <xf numFmtId="165" fontId="5" fillId="10" borderId="0" xfId="6" applyNumberFormat="1" applyFont="1" applyFill="1" applyBorder="1" applyAlignment="1">
      <alignment horizontal="center" vertical="center"/>
    </xf>
    <xf numFmtId="0" fontId="3" fillId="6" borderId="0" xfId="5" applyFont="1" applyFill="1" applyBorder="1" applyAlignment="1">
      <alignment horizontal="center" vertical="center"/>
    </xf>
    <xf numFmtId="0" fontId="3" fillId="6" borderId="0" xfId="5" applyFont="1" applyFill="1"/>
    <xf numFmtId="0" fontId="5" fillId="6" borderId="0" xfId="0" applyFont="1" applyFill="1" applyAlignment="1">
      <alignment horizontal="center"/>
    </xf>
    <xf numFmtId="0" fontId="3" fillId="6" borderId="16" xfId="5" applyFont="1" applyFill="1" applyBorder="1" applyAlignment="1">
      <alignment horizontal="center"/>
    </xf>
    <xf numFmtId="0" fontId="5" fillId="6" borderId="0" xfId="0" applyFont="1" applyFill="1" applyBorder="1"/>
    <xf numFmtId="0" fontId="5" fillId="0" borderId="0" xfId="0" applyFont="1" applyAlignment="1">
      <alignment horizontal="right"/>
    </xf>
    <xf numFmtId="0" fontId="5" fillId="10" borderId="0" xfId="5" applyFont="1" applyFill="1" applyBorder="1" applyAlignment="1">
      <alignment horizontal="center" vertical="center"/>
    </xf>
    <xf numFmtId="0" fontId="7" fillId="6" borderId="16" xfId="5" applyFont="1" applyFill="1" applyBorder="1" applyAlignment="1">
      <alignment horizontal="center"/>
    </xf>
    <xf numFmtId="0" fontId="2" fillId="6" borderId="0" xfId="5" applyFont="1" applyFill="1" applyBorder="1" applyAlignment="1">
      <alignment horizontal="center" vertical="center"/>
    </xf>
    <xf numFmtId="0" fontId="5" fillId="0" borderId="0" xfId="0" applyFont="1" applyAlignment="1">
      <alignment horizontal="left"/>
    </xf>
    <xf numFmtId="0" fontId="5" fillId="6" borderId="18" xfId="0" applyFont="1" applyFill="1" applyBorder="1"/>
    <xf numFmtId="2" fontId="0" fillId="10" borderId="0" xfId="0" applyNumberFormat="1" applyFill="1" applyBorder="1" applyAlignment="1">
      <alignment horizontal="center"/>
    </xf>
    <xf numFmtId="0" fontId="5" fillId="6" borderId="18" xfId="0" applyFont="1" applyFill="1" applyBorder="1" applyAlignment="1">
      <alignment horizontal="center" vertical="center"/>
    </xf>
    <xf numFmtId="2" fontId="0" fillId="6" borderId="0" xfId="0" applyNumberFormat="1" applyFill="1" applyBorder="1"/>
    <xf numFmtId="166" fontId="0" fillId="6" borderId="0" xfId="0" applyNumberFormat="1" applyFill="1" applyBorder="1"/>
    <xf numFmtId="0" fontId="29" fillId="6" borderId="0" xfId="0" applyFont="1" applyFill="1" applyAlignment="1">
      <alignment horizontal="center"/>
    </xf>
    <xf numFmtId="0" fontId="5" fillId="6" borderId="20" xfId="5" applyFont="1" applyFill="1" applyBorder="1" applyAlignment="1">
      <alignment horizontal="left" vertical="center"/>
    </xf>
    <xf numFmtId="0" fontId="5" fillId="6" borderId="27" xfId="5" applyFont="1" applyFill="1" applyBorder="1" applyAlignment="1">
      <alignment horizontal="left" vertical="center"/>
    </xf>
    <xf numFmtId="0" fontId="5" fillId="6" borderId="0" xfId="0" applyFont="1" applyFill="1" applyAlignment="1">
      <alignment horizontal="center" vertical="center"/>
    </xf>
    <xf numFmtId="0" fontId="5" fillId="10" borderId="16" xfId="0" applyFont="1" applyFill="1" applyBorder="1" applyAlignment="1">
      <alignment horizontal="center" vertical="center"/>
    </xf>
    <xf numFmtId="1" fontId="5" fillId="10" borderId="16" xfId="0" applyNumberFormat="1" applyFont="1" applyFill="1" applyBorder="1" applyAlignment="1">
      <alignment horizontal="center"/>
    </xf>
    <xf numFmtId="1" fontId="5" fillId="10" borderId="22" xfId="0" applyNumberFormat="1" applyFont="1" applyFill="1" applyBorder="1" applyAlignment="1">
      <alignment horizontal="center" vertical="center"/>
    </xf>
    <xf numFmtId="0" fontId="5" fillId="6" borderId="27" xfId="0" applyFont="1" applyFill="1" applyBorder="1" applyAlignment="1">
      <alignment horizontal="left" vertical="center"/>
    </xf>
    <xf numFmtId="0" fontId="1" fillId="6" borderId="0" xfId="5" applyFont="1" applyFill="1" applyBorder="1" applyAlignment="1">
      <alignment horizontal="center" vertical="center"/>
    </xf>
    <xf numFmtId="166" fontId="5" fillId="10" borderId="16" xfId="0" applyNumberFormat="1" applyFont="1" applyFill="1" applyBorder="1" applyAlignment="1">
      <alignment horizontal="center" vertical="center"/>
    </xf>
    <xf numFmtId="2" fontId="5" fillId="6" borderId="0" xfId="0" applyNumberFormat="1" applyFont="1" applyFill="1" applyBorder="1" applyAlignment="1">
      <alignment horizontal="center" vertical="center"/>
    </xf>
    <xf numFmtId="1" fontId="5" fillId="10" borderId="16" xfId="0" applyNumberFormat="1" applyFont="1" applyFill="1" applyBorder="1" applyAlignment="1">
      <alignment horizontal="center" vertical="center"/>
    </xf>
    <xf numFmtId="166" fontId="5" fillId="10" borderId="16" xfId="0" applyNumberFormat="1" applyFont="1" applyFill="1" applyBorder="1" applyAlignment="1">
      <alignment horizontal="center" vertical="center" wrapText="1"/>
    </xf>
    <xf numFmtId="2" fontId="5" fillId="10" borderId="22" xfId="0" applyNumberFormat="1" applyFont="1" applyFill="1" applyBorder="1" applyAlignment="1">
      <alignment horizontal="center"/>
    </xf>
    <xf numFmtId="0" fontId="5" fillId="6" borderId="27" xfId="0" applyFont="1" applyFill="1" applyBorder="1" applyAlignment="1">
      <alignment horizontal="left"/>
    </xf>
    <xf numFmtId="0" fontId="5" fillId="6" borderId="0" xfId="0" applyFont="1" applyFill="1" applyAlignment="1">
      <alignment wrapText="1"/>
    </xf>
    <xf numFmtId="0" fontId="5" fillId="6" borderId="19" xfId="0" applyFont="1" applyFill="1" applyBorder="1" applyAlignment="1">
      <alignment horizontal="right"/>
    </xf>
    <xf numFmtId="0" fontId="5" fillId="6" borderId="16" xfId="0" applyFont="1" applyFill="1" applyBorder="1" applyAlignment="1">
      <alignment horizontal="right"/>
    </xf>
    <xf numFmtId="0" fontId="5" fillId="6" borderId="21" xfId="0" applyFont="1" applyFill="1" applyBorder="1"/>
    <xf numFmtId="0" fontId="56" fillId="8" borderId="0" xfId="0" applyFont="1" applyFill="1" applyBorder="1"/>
    <xf numFmtId="0" fontId="56" fillId="8" borderId="0" xfId="0" applyFont="1" applyFill="1" applyBorder="1" applyAlignment="1">
      <alignment horizontal="center" vertical="center"/>
    </xf>
    <xf numFmtId="0" fontId="56" fillId="8" borderId="27" xfId="0" applyFont="1" applyFill="1" applyBorder="1"/>
    <xf numFmtId="0" fontId="56" fillId="8" borderId="16" xfId="0" applyFont="1" applyFill="1" applyBorder="1" applyAlignment="1">
      <alignment horizontal="center" vertical="center"/>
    </xf>
    <xf numFmtId="0" fontId="5" fillId="6" borderId="17" xfId="0" applyFont="1" applyFill="1" applyBorder="1" applyAlignment="1"/>
    <xf numFmtId="0" fontId="5" fillId="6" borderId="0" xfId="5" applyFont="1" applyFill="1" applyBorder="1" applyAlignment="1">
      <alignment horizontal="center" vertical="center"/>
    </xf>
    <xf numFmtId="2" fontId="5" fillId="11" borderId="0" xfId="0" applyNumberFormat="1" applyFont="1" applyFill="1" applyBorder="1" applyAlignment="1">
      <alignment horizontal="center"/>
    </xf>
    <xf numFmtId="2" fontId="5" fillId="11" borderId="16" xfId="0" applyNumberFormat="1" applyFont="1" applyFill="1" applyBorder="1" applyAlignment="1">
      <alignment horizontal="center"/>
    </xf>
    <xf numFmtId="0" fontId="5" fillId="11" borderId="0" xfId="0" applyFont="1" applyFill="1" applyBorder="1" applyAlignment="1">
      <alignment horizontal="center"/>
    </xf>
    <xf numFmtId="0" fontId="5" fillId="11" borderId="16" xfId="0" applyFont="1" applyFill="1" applyBorder="1" applyAlignment="1">
      <alignment horizontal="center"/>
    </xf>
    <xf numFmtId="1" fontId="5" fillId="11" borderId="0" xfId="0" applyNumberFormat="1" applyFont="1" applyFill="1" applyBorder="1" applyAlignment="1">
      <alignment horizontal="center"/>
    </xf>
    <xf numFmtId="1" fontId="5" fillId="11" borderId="16" xfId="0" applyNumberFormat="1" applyFont="1" applyFill="1" applyBorder="1" applyAlignment="1">
      <alignment horizontal="center"/>
    </xf>
    <xf numFmtId="166" fontId="5" fillId="11" borderId="0" xfId="0" applyNumberFormat="1" applyFont="1" applyFill="1" applyBorder="1" applyAlignment="1">
      <alignment horizontal="center"/>
    </xf>
    <xf numFmtId="166" fontId="5" fillId="11" borderId="16" xfId="0" applyNumberFormat="1" applyFont="1" applyFill="1" applyBorder="1" applyAlignment="1">
      <alignment horizontal="center"/>
    </xf>
    <xf numFmtId="2" fontId="5" fillId="11" borderId="21" xfId="0" applyNumberFormat="1" applyFont="1" applyFill="1" applyBorder="1" applyAlignment="1">
      <alignment horizontal="center"/>
    </xf>
    <xf numFmtId="2" fontId="5" fillId="11" borderId="22" xfId="0" applyNumberFormat="1" applyFont="1" applyFill="1" applyBorder="1" applyAlignment="1">
      <alignment horizontal="center"/>
    </xf>
    <xf numFmtId="0" fontId="5" fillId="6" borderId="27" xfId="0" applyFont="1" applyFill="1" applyBorder="1" applyAlignment="1">
      <alignment horizontal="left" vertical="center" wrapText="1"/>
    </xf>
    <xf numFmtId="166" fontId="5" fillId="10" borderId="16" xfId="0" applyNumberFormat="1" applyFont="1" applyFill="1" applyBorder="1" applyAlignment="1">
      <alignment horizontal="center"/>
    </xf>
    <xf numFmtId="2" fontId="5" fillId="10" borderId="16" xfId="0" applyNumberFormat="1" applyFont="1" applyFill="1" applyBorder="1" applyAlignment="1">
      <alignment horizontal="center" vertical="center"/>
    </xf>
    <xf numFmtId="0" fontId="5" fillId="10" borderId="27" xfId="0" applyFont="1" applyFill="1" applyBorder="1"/>
    <xf numFmtId="2" fontId="5" fillId="10" borderId="20" xfId="0" applyNumberFormat="1" applyFont="1" applyFill="1" applyBorder="1"/>
    <xf numFmtId="0" fontId="5" fillId="10" borderId="16" xfId="0" applyFont="1" applyFill="1" applyBorder="1" applyAlignment="1">
      <alignment horizontal="right"/>
    </xf>
    <xf numFmtId="0" fontId="5" fillId="10" borderId="22" xfId="0" applyFont="1" applyFill="1" applyBorder="1" applyAlignment="1">
      <alignment horizontal="right"/>
    </xf>
    <xf numFmtId="166" fontId="5" fillId="10" borderId="16" xfId="0" applyNumberFormat="1" applyFont="1" applyFill="1" applyBorder="1" applyAlignment="1">
      <alignment horizontal="center" wrapText="1"/>
    </xf>
    <xf numFmtId="0" fontId="5" fillId="6" borderId="20" xfId="0" applyFont="1" applyFill="1" applyBorder="1" applyAlignment="1">
      <alignment horizontal="left" vertical="center" wrapText="1"/>
    </xf>
    <xf numFmtId="0" fontId="5" fillId="6" borderId="17" xfId="0" applyFont="1" applyFill="1" applyBorder="1" applyAlignment="1">
      <alignment horizontal="left"/>
    </xf>
    <xf numFmtId="0" fontId="5" fillId="6" borderId="18" xfId="5" applyFont="1" applyFill="1" applyBorder="1" applyAlignment="1">
      <alignment horizontal="center" vertical="center"/>
    </xf>
    <xf numFmtId="166" fontId="5" fillId="10" borderId="19" xfId="0" applyNumberFormat="1" applyFont="1" applyFill="1" applyBorder="1" applyAlignment="1">
      <alignment horizontal="center" vertical="center"/>
    </xf>
    <xf numFmtId="0" fontId="3" fillId="6" borderId="21" xfId="5" applyFont="1" applyFill="1" applyBorder="1" applyAlignment="1">
      <alignment horizontal="center" vertical="center"/>
    </xf>
    <xf numFmtId="0" fontId="7" fillId="6" borderId="22" xfId="5" applyFont="1" applyFill="1" applyBorder="1" applyAlignment="1">
      <alignment horizontal="center"/>
    </xf>
    <xf numFmtId="0" fontId="51" fillId="6" borderId="20" xfId="5" applyFill="1" applyBorder="1" applyAlignment="1">
      <alignment horizontal="left" vertical="center"/>
    </xf>
    <xf numFmtId="166" fontId="5" fillId="10" borderId="22" xfId="0" applyNumberFormat="1" applyFont="1" applyFill="1" applyBorder="1" applyAlignment="1">
      <alignment horizontal="center" vertical="center"/>
    </xf>
    <xf numFmtId="0" fontId="5" fillId="6" borderId="27" xfId="0" applyFont="1" applyFill="1" applyBorder="1" applyAlignment="1">
      <alignment wrapText="1"/>
    </xf>
    <xf numFmtId="168" fontId="5" fillId="10" borderId="22" xfId="0" applyNumberFormat="1" applyFont="1" applyFill="1" applyBorder="1" applyAlignment="1">
      <alignment horizontal="center"/>
    </xf>
    <xf numFmtId="0" fontId="1" fillId="6" borderId="27" xfId="5" applyFont="1" applyFill="1" applyBorder="1" applyAlignment="1">
      <alignment horizontal="left" vertical="center"/>
    </xf>
    <xf numFmtId="0" fontId="1" fillId="6" borderId="20" xfId="5" applyFont="1" applyFill="1" applyBorder="1"/>
    <xf numFmtId="22" fontId="0" fillId="0" borderId="0" xfId="0" applyNumberFormat="1"/>
    <xf numFmtId="0" fontId="1" fillId="9" borderId="22" xfId="5" applyFont="1" applyFill="1" applyBorder="1" applyAlignment="1">
      <alignment horizontal="center"/>
    </xf>
    <xf numFmtId="0" fontId="5" fillId="6" borderId="0" xfId="0" applyFont="1" applyFill="1" applyBorder="1" applyAlignment="1">
      <alignment horizontal="center"/>
    </xf>
    <xf numFmtId="0" fontId="1" fillId="6" borderId="24" xfId="5" applyFont="1" applyFill="1" applyBorder="1"/>
    <xf numFmtId="0" fontId="1" fillId="9" borderId="26" xfId="5" applyFont="1" applyFill="1" applyBorder="1" applyAlignment="1">
      <alignment horizontal="center"/>
    </xf>
    <xf numFmtId="0" fontId="55" fillId="9" borderId="26" xfId="5" applyFont="1" applyFill="1" applyBorder="1" applyAlignment="1">
      <alignment horizontal="center" vertical="center"/>
    </xf>
    <xf numFmtId="0" fontId="5" fillId="6" borderId="31" xfId="0" applyFont="1" applyFill="1" applyBorder="1" applyAlignment="1">
      <alignment horizontal="center" vertical="center"/>
    </xf>
    <xf numFmtId="0" fontId="1" fillId="6" borderId="16" xfId="5" applyFont="1" applyFill="1" applyBorder="1" applyAlignment="1">
      <alignment horizontal="center"/>
    </xf>
    <xf numFmtId="0" fontId="5" fillId="6" borderId="8" xfId="0" applyFont="1" applyFill="1" applyBorder="1"/>
    <xf numFmtId="0" fontId="5" fillId="6" borderId="9" xfId="0" applyFont="1" applyFill="1" applyBorder="1" applyAlignment="1">
      <alignment horizontal="center" vertical="center"/>
    </xf>
    <xf numFmtId="182" fontId="0" fillId="10" borderId="10" xfId="1" applyNumberFormat="1" applyFont="1" applyFill="1" applyBorder="1" applyAlignment="1">
      <alignment horizontal="center" vertical="center"/>
    </xf>
    <xf numFmtId="0" fontId="5" fillId="6" borderId="11" xfId="0" applyFont="1" applyFill="1" applyBorder="1"/>
    <xf numFmtId="3" fontId="5" fillId="10" borderId="12" xfId="1" applyNumberFormat="1" applyFont="1" applyFill="1" applyBorder="1" applyAlignment="1">
      <alignment horizontal="center" vertical="center"/>
    </xf>
    <xf numFmtId="0" fontId="5" fillId="6" borderId="32" xfId="0" applyFont="1" applyFill="1" applyBorder="1"/>
    <xf numFmtId="182" fontId="5" fillId="10" borderId="33" xfId="1" applyNumberFormat="1" applyFont="1" applyFill="1" applyBorder="1" applyAlignment="1">
      <alignment horizontal="center" vertical="center"/>
    </xf>
    <xf numFmtId="0" fontId="1" fillId="6" borderId="11" xfId="0" applyFont="1" applyFill="1" applyBorder="1"/>
    <xf numFmtId="182" fontId="5" fillId="10" borderId="12" xfId="1" applyNumberFormat="1" applyFont="1" applyFill="1" applyBorder="1" applyAlignment="1">
      <alignment horizontal="center" vertical="center"/>
    </xf>
    <xf numFmtId="0" fontId="1" fillId="6" borderId="13" xfId="0" applyFont="1" applyFill="1" applyBorder="1"/>
    <xf numFmtId="0" fontId="5" fillId="6" borderId="2" xfId="0" applyFont="1" applyFill="1" applyBorder="1" applyAlignment="1">
      <alignment horizontal="center" vertical="center"/>
    </xf>
    <xf numFmtId="3" fontId="5" fillId="10" borderId="14" xfId="1" applyNumberFormat="1" applyFont="1" applyFill="1" applyBorder="1" applyAlignment="1">
      <alignment horizontal="center" vertical="center"/>
    </xf>
    <xf numFmtId="0" fontId="1" fillId="6" borderId="8" xfId="0" applyFont="1" applyFill="1" applyBorder="1"/>
    <xf numFmtId="182" fontId="5" fillId="10" borderId="10" xfId="1" applyNumberFormat="1" applyFont="1" applyFill="1" applyBorder="1" applyAlignment="1">
      <alignment horizontal="center" vertical="center"/>
    </xf>
    <xf numFmtId="0" fontId="1" fillId="6" borderId="32" xfId="0" applyFont="1" applyFill="1" applyBorder="1"/>
    <xf numFmtId="182" fontId="5" fillId="10" borderId="14" xfId="1" applyNumberFormat="1" applyFont="1" applyFill="1" applyBorder="1" applyAlignment="1">
      <alignment horizontal="center" vertical="center"/>
    </xf>
    <xf numFmtId="3" fontId="5" fillId="10" borderId="10" xfId="1" applyNumberFormat="1" applyFont="1" applyFill="1" applyBorder="1" applyAlignment="1">
      <alignment horizontal="center" vertical="center"/>
    </xf>
    <xf numFmtId="0" fontId="0" fillId="6" borderId="34" xfId="0" applyFill="1" applyBorder="1"/>
    <xf numFmtId="0" fontId="5" fillId="6" borderId="35" xfId="0" applyFont="1" applyFill="1" applyBorder="1" applyAlignment="1">
      <alignment horizontal="center"/>
    </xf>
    <xf numFmtId="1" fontId="5" fillId="10" borderId="36" xfId="0" applyNumberFormat="1" applyFont="1" applyFill="1" applyBorder="1" applyAlignment="1">
      <alignment horizontal="center"/>
    </xf>
    <xf numFmtId="0" fontId="0" fillId="6" borderId="11" xfId="0" applyFill="1" applyBorder="1"/>
    <xf numFmtId="1" fontId="5" fillId="10" borderId="12" xfId="0" applyNumberFormat="1" applyFont="1" applyFill="1" applyBorder="1" applyAlignment="1">
      <alignment horizontal="center"/>
    </xf>
    <xf numFmtId="0" fontId="0" fillId="6" borderId="13" xfId="0" applyFill="1" applyBorder="1"/>
    <xf numFmtId="0" fontId="5" fillId="6" borderId="2" xfId="0" applyFont="1" applyFill="1" applyBorder="1" applyAlignment="1">
      <alignment horizontal="center"/>
    </xf>
    <xf numFmtId="1" fontId="5" fillId="10" borderId="14" xfId="0" applyNumberFormat="1" applyFont="1" applyFill="1" applyBorder="1" applyAlignment="1">
      <alignment horizontal="center"/>
    </xf>
    <xf numFmtId="0" fontId="5" fillId="6" borderId="34" xfId="0" applyFont="1" applyFill="1" applyBorder="1"/>
    <xf numFmtId="2" fontId="0" fillId="10" borderId="35" xfId="0" applyNumberFormat="1" applyFill="1" applyBorder="1" applyAlignment="1">
      <alignment horizontal="center"/>
    </xf>
    <xf numFmtId="2" fontId="0" fillId="10" borderId="36" xfId="0" applyNumberFormat="1" applyFill="1" applyBorder="1" applyAlignment="1">
      <alignment horizontal="center"/>
    </xf>
    <xf numFmtId="2" fontId="0" fillId="10" borderId="12" xfId="0" applyNumberFormat="1" applyFill="1" applyBorder="1" applyAlignment="1">
      <alignment horizontal="center"/>
    </xf>
    <xf numFmtId="0" fontId="5" fillId="6" borderId="13" xfId="0" applyFont="1" applyFill="1" applyBorder="1"/>
    <xf numFmtId="2" fontId="0" fillId="10" borderId="2" xfId="0" applyNumberFormat="1" applyFill="1" applyBorder="1" applyAlignment="1">
      <alignment horizontal="center"/>
    </xf>
    <xf numFmtId="2" fontId="0" fillId="10" borderId="14" xfId="0" applyNumberFormat="1" applyFill="1" applyBorder="1" applyAlignment="1">
      <alignment horizontal="center"/>
    </xf>
    <xf numFmtId="2" fontId="0" fillId="10" borderId="37" xfId="0" applyNumberFormat="1" applyFill="1" applyBorder="1" applyAlignment="1">
      <alignment horizontal="center"/>
    </xf>
    <xf numFmtId="0" fontId="0" fillId="10" borderId="35" xfId="0" applyFill="1" applyBorder="1" applyAlignment="1">
      <alignment horizontal="center" vertical="center"/>
    </xf>
    <xf numFmtId="166" fontId="0" fillId="10" borderId="38" xfId="0" applyNumberFormat="1" applyFill="1" applyBorder="1" applyAlignment="1">
      <alignment horizontal="center" vertical="center"/>
    </xf>
    <xf numFmtId="166" fontId="0" fillId="10" borderId="36" xfId="0" applyNumberFormat="1" applyFill="1" applyBorder="1" applyAlignment="1">
      <alignment horizontal="center" vertical="center"/>
    </xf>
    <xf numFmtId="166" fontId="0" fillId="10" borderId="12" xfId="0" applyNumberFormat="1" applyFill="1" applyBorder="1" applyAlignment="1">
      <alignment horizontal="center" vertical="center"/>
    </xf>
    <xf numFmtId="0" fontId="0" fillId="10" borderId="2" xfId="0" applyFill="1" applyBorder="1" applyAlignment="1">
      <alignment horizontal="center" vertical="center"/>
    </xf>
    <xf numFmtId="166" fontId="0" fillId="10" borderId="39" xfId="0" applyNumberFormat="1" applyFill="1" applyBorder="1" applyAlignment="1">
      <alignment horizontal="center" vertical="center"/>
    </xf>
    <xf numFmtId="166" fontId="0" fillId="10" borderId="14" xfId="0" applyNumberFormat="1" applyFill="1" applyBorder="1" applyAlignment="1">
      <alignment horizontal="center" vertical="center"/>
    </xf>
    <xf numFmtId="0" fontId="5" fillId="6" borderId="17" xfId="0" applyFont="1" applyFill="1" applyBorder="1" applyAlignment="1">
      <alignment horizontal="left" vertical="center"/>
    </xf>
    <xf numFmtId="0" fontId="1" fillId="6" borderId="18" xfId="5" applyFont="1" applyFill="1" applyBorder="1" applyAlignment="1">
      <alignment horizontal="center" vertical="center"/>
    </xf>
    <xf numFmtId="0" fontId="5" fillId="6" borderId="20" xfId="0" applyFont="1" applyFill="1" applyBorder="1" applyAlignment="1">
      <alignment horizontal="left" vertical="center"/>
    </xf>
    <xf numFmtId="2" fontId="5" fillId="6" borderId="21" xfId="0" applyNumberFormat="1" applyFont="1" applyFill="1" applyBorder="1" applyAlignment="1">
      <alignment horizontal="center" vertical="center"/>
    </xf>
    <xf numFmtId="0" fontId="1" fillId="6" borderId="21" xfId="5" applyFont="1" applyFill="1" applyBorder="1" applyAlignment="1">
      <alignment horizontal="center" vertical="center"/>
    </xf>
    <xf numFmtId="0" fontId="1" fillId="6" borderId="22" xfId="5" applyFont="1" applyFill="1" applyBorder="1" applyAlignment="1">
      <alignment horizontal="center"/>
    </xf>
    <xf numFmtId="166" fontId="51" fillId="6" borderId="16" xfId="5" applyNumberFormat="1" applyFill="1" applyBorder="1" applyAlignment="1">
      <alignment horizontal="center"/>
    </xf>
    <xf numFmtId="0" fontId="14" fillId="6" borderId="13" xfId="0" applyFont="1" applyFill="1" applyBorder="1"/>
    <xf numFmtId="0" fontId="14" fillId="6" borderId="2" xfId="0" applyFont="1" applyFill="1" applyBorder="1" applyAlignment="1">
      <alignment horizontal="center"/>
    </xf>
    <xf numFmtId="0" fontId="14" fillId="6" borderId="14" xfId="0" applyFont="1" applyFill="1" applyBorder="1" applyAlignment="1">
      <alignment horizontal="center"/>
    </xf>
    <xf numFmtId="0" fontId="0" fillId="6" borderId="12" xfId="0" applyFill="1" applyBorder="1"/>
    <xf numFmtId="0" fontId="0" fillId="6" borderId="11" xfId="0" applyFont="1" applyFill="1" applyBorder="1"/>
    <xf numFmtId="0" fontId="9" fillId="6" borderId="11" xfId="0" applyFont="1" applyFill="1" applyBorder="1"/>
    <xf numFmtId="0" fontId="5" fillId="6" borderId="40" xfId="0" applyFont="1" applyFill="1" applyBorder="1" applyAlignment="1">
      <alignment horizontal="center" wrapText="1"/>
    </xf>
    <xf numFmtId="0" fontId="0" fillId="6" borderId="42" xfId="0" applyFill="1" applyBorder="1" applyAlignment="1">
      <alignment horizontal="center" wrapText="1"/>
    </xf>
    <xf numFmtId="0" fontId="5" fillId="6" borderId="39" xfId="0" applyFont="1" applyFill="1" applyBorder="1" applyAlignment="1">
      <alignment horizontal="center" vertical="center"/>
    </xf>
    <xf numFmtId="0" fontId="5" fillId="6" borderId="14" xfId="0" applyFont="1" applyFill="1" applyBorder="1" applyAlignment="1">
      <alignment horizontal="center" vertical="center"/>
    </xf>
    <xf numFmtId="0" fontId="5" fillId="0" borderId="0" xfId="0" applyFont="1" applyFill="1" applyAlignment="1">
      <alignment horizontal="center"/>
    </xf>
    <xf numFmtId="169" fontId="9" fillId="0" borderId="0" xfId="0" applyNumberFormat="1" applyFont="1"/>
    <xf numFmtId="0" fontId="5" fillId="0" borderId="0" xfId="0" applyFont="1" applyBorder="1" applyAlignment="1">
      <alignment horizontal="center"/>
    </xf>
    <xf numFmtId="0" fontId="41" fillId="0" borderId="0" xfId="0" quotePrefix="1" applyFont="1" applyFill="1" applyBorder="1" applyAlignment="1"/>
    <xf numFmtId="169" fontId="5" fillId="0" borderId="0" xfId="0" quotePrefix="1" applyNumberFormat="1" applyFont="1" applyAlignment="1">
      <alignment horizontal="center"/>
    </xf>
    <xf numFmtId="49" fontId="0" fillId="0" borderId="0" xfId="0" applyNumberFormat="1"/>
    <xf numFmtId="49" fontId="5" fillId="0" borderId="0" xfId="0" applyNumberFormat="1" applyFont="1"/>
    <xf numFmtId="0" fontId="5" fillId="5" borderId="5" xfId="0" applyFont="1" applyFill="1" applyBorder="1" applyAlignment="1">
      <alignment horizontal="center"/>
    </xf>
    <xf numFmtId="2" fontId="9" fillId="10" borderId="27" xfId="0" applyNumberFormat="1" applyFont="1" applyFill="1" applyBorder="1" applyAlignment="1">
      <alignment horizontal="center" vertical="center"/>
    </xf>
    <xf numFmtId="0" fontId="32" fillId="12" borderId="0" xfId="11" applyFont="1" applyAlignment="1">
      <alignment horizontal="center"/>
    </xf>
    <xf numFmtId="0" fontId="32" fillId="12" borderId="0" xfId="11" applyFont="1" applyBorder="1" applyAlignment="1">
      <alignment horizontal="left"/>
    </xf>
    <xf numFmtId="0" fontId="32" fillId="12" borderId="0" xfId="11" applyFont="1" applyAlignment="1">
      <alignment horizontal="left"/>
    </xf>
    <xf numFmtId="0" fontId="5" fillId="0" borderId="0" xfId="0" applyFont="1" applyAlignment="1">
      <alignment horizontal="center"/>
    </xf>
    <xf numFmtId="49" fontId="5" fillId="0" borderId="0" xfId="0" applyNumberFormat="1" applyFont="1" applyAlignment="1">
      <alignment horizontal="center"/>
    </xf>
    <xf numFmtId="0" fontId="5" fillId="0" borderId="0" xfId="0" quotePrefix="1" applyFont="1"/>
    <xf numFmtId="0" fontId="5" fillId="0" borderId="0" xfId="20"/>
    <xf numFmtId="0" fontId="0" fillId="0" borderId="0" xfId="0"/>
    <xf numFmtId="0" fontId="5" fillId="0" borderId="0" xfId="0" applyFont="1"/>
    <xf numFmtId="0" fontId="15" fillId="2" borderId="0" xfId="0" applyFont="1" applyFill="1"/>
    <xf numFmtId="165" fontId="13" fillId="0" borderId="0" xfId="0" applyNumberFormat="1" applyFont="1" applyAlignment="1">
      <alignment horizontal="center"/>
    </xf>
    <xf numFmtId="0" fontId="5" fillId="0" borderId="0" xfId="0" applyFont="1" applyBorder="1" applyAlignment="1">
      <alignment horizontal="center"/>
    </xf>
    <xf numFmtId="169" fontId="5" fillId="0" borderId="0" xfId="0" quotePrefix="1" applyNumberFormat="1" applyFont="1" applyAlignment="1">
      <alignment horizontal="center"/>
    </xf>
    <xf numFmtId="0" fontId="32" fillId="12" borderId="0" xfId="11" applyFont="1" applyBorder="1" applyAlignment="1">
      <alignment horizontal="left"/>
    </xf>
    <xf numFmtId="49" fontId="5" fillId="0" borderId="0" xfId="0" applyNumberFormat="1" applyFont="1" applyAlignment="1">
      <alignment horizontal="center"/>
    </xf>
    <xf numFmtId="0" fontId="5" fillId="0" borderId="0" xfId="20"/>
    <xf numFmtId="0" fontId="14" fillId="0" borderId="0" xfId="0" applyFont="1" applyBorder="1" applyAlignment="1">
      <alignment horizontal="right"/>
    </xf>
    <xf numFmtId="0" fontId="14" fillId="6" borderId="5" xfId="0" applyFont="1" applyFill="1" applyBorder="1" applyAlignment="1">
      <alignment horizontal="left"/>
    </xf>
    <xf numFmtId="176" fontId="0" fillId="6" borderId="7" xfId="0" applyNumberFormat="1" applyFill="1" applyBorder="1" applyAlignment="1">
      <alignment horizontal="center"/>
    </xf>
    <xf numFmtId="0" fontId="29" fillId="9" borderId="16" xfId="0" applyFont="1" applyFill="1" applyBorder="1" applyAlignment="1">
      <alignment horizontal="center" vertical="center"/>
    </xf>
    <xf numFmtId="0" fontId="0" fillId="4" borderId="0" xfId="0" applyFill="1" applyAlignment="1">
      <alignment horizontal="center"/>
    </xf>
    <xf numFmtId="168" fontId="13" fillId="0" borderId="0" xfId="0" applyNumberFormat="1" applyFont="1" applyAlignment="1">
      <alignment horizontal="center"/>
    </xf>
    <xf numFmtId="168" fontId="13" fillId="5" borderId="0" xfId="0" applyNumberFormat="1" applyFont="1" applyFill="1" applyAlignment="1">
      <alignment horizontal="center"/>
    </xf>
    <xf numFmtId="0" fontId="5" fillId="5" borderId="11" xfId="0" applyFont="1" applyFill="1" applyBorder="1" applyAlignment="1">
      <alignment vertical="top"/>
    </xf>
    <xf numFmtId="1" fontId="5" fillId="10" borderId="12" xfId="0" applyNumberFormat="1" applyFont="1" applyFill="1" applyBorder="1" applyAlignment="1">
      <alignment horizontal="left"/>
    </xf>
    <xf numFmtId="0" fontId="5" fillId="0" borderId="0" xfId="0" applyFont="1" applyFill="1" applyBorder="1" applyAlignment="1">
      <alignment horizontal="right"/>
    </xf>
    <xf numFmtId="0" fontId="14" fillId="13" borderId="19" xfId="0" applyFont="1" applyFill="1" applyBorder="1" applyAlignment="1">
      <alignment horizontal="center" vertical="center"/>
    </xf>
    <xf numFmtId="0" fontId="14" fillId="13" borderId="20" xfId="0" applyFont="1" applyFill="1" applyBorder="1" applyAlignment="1">
      <alignment horizontal="center" vertical="center"/>
    </xf>
    <xf numFmtId="0" fontId="14" fillId="13" borderId="21" xfId="0" applyFont="1" applyFill="1" applyBorder="1" applyAlignment="1">
      <alignment horizontal="center" vertical="center"/>
    </xf>
    <xf numFmtId="0" fontId="14" fillId="13" borderId="22" xfId="0" applyFont="1" applyFill="1" applyBorder="1" applyAlignment="1">
      <alignment horizontal="center" vertical="center"/>
    </xf>
    <xf numFmtId="0" fontId="0" fillId="13" borderId="29" xfId="0" applyFill="1" applyBorder="1" applyAlignment="1">
      <alignment horizontal="left" vertical="center"/>
    </xf>
    <xf numFmtId="166" fontId="0" fillId="14" borderId="17" xfId="0" applyNumberFormat="1" applyFill="1" applyBorder="1" applyAlignment="1">
      <alignment horizontal="center" vertical="center"/>
    </xf>
    <xf numFmtId="166" fontId="0" fillId="14" borderId="28" xfId="0" applyNumberFormat="1" applyFill="1" applyBorder="1" applyAlignment="1">
      <alignment horizontal="center" vertical="center"/>
    </xf>
    <xf numFmtId="0" fontId="14" fillId="13" borderId="18" xfId="0" applyFont="1" applyFill="1" applyBorder="1" applyAlignment="1">
      <alignment horizontal="center" vertical="center"/>
    </xf>
    <xf numFmtId="0" fontId="5" fillId="5" borderId="5" xfId="0" applyFont="1" applyFill="1" applyBorder="1" applyAlignment="1">
      <alignment horizontal="left" vertical="top"/>
    </xf>
    <xf numFmtId="166" fontId="59" fillId="15" borderId="0" xfId="0" applyNumberFormat="1" applyFont="1" applyFill="1"/>
    <xf numFmtId="179" fontId="59" fillId="15" borderId="0" xfId="0" applyNumberFormat="1" applyFont="1" applyFill="1"/>
    <xf numFmtId="0" fontId="5" fillId="16" borderId="5" xfId="0" applyFont="1" applyFill="1" applyBorder="1" applyAlignment="1">
      <alignment horizontal="left"/>
    </xf>
    <xf numFmtId="0" fontId="5" fillId="0" borderId="0" xfId="0" applyFont="1" applyFill="1"/>
    <xf numFmtId="168" fontId="0" fillId="0" borderId="0" xfId="0" applyNumberFormat="1"/>
    <xf numFmtId="166" fontId="0" fillId="5" borderId="7" xfId="0" applyNumberFormat="1" applyFill="1" applyBorder="1" applyAlignment="1">
      <alignment horizontal="center"/>
    </xf>
    <xf numFmtId="0" fontId="5" fillId="0" borderId="3" xfId="0" applyFont="1" applyFill="1" applyBorder="1"/>
    <xf numFmtId="0" fontId="5" fillId="0" borderId="4" xfId="0" applyFont="1" applyFill="1" applyBorder="1"/>
    <xf numFmtId="1" fontId="9" fillId="0" borderId="0" xfId="0" applyNumberFormat="1" applyFont="1" applyFill="1" applyAlignment="1">
      <alignment horizontal="center"/>
    </xf>
    <xf numFmtId="0" fontId="13" fillId="0" borderId="0" xfId="0" applyFont="1" applyFill="1" applyAlignment="1">
      <alignment horizontal="center"/>
    </xf>
    <xf numFmtId="171" fontId="13" fillId="0" borderId="0" xfId="0" applyNumberFormat="1" applyFont="1" applyFill="1" applyAlignment="1">
      <alignment horizontal="center"/>
    </xf>
    <xf numFmtId="174" fontId="13" fillId="0" borderId="0" xfId="0" applyNumberFormat="1" applyFont="1" applyFill="1" applyAlignment="1">
      <alignment horizontal="center"/>
    </xf>
    <xf numFmtId="164" fontId="13" fillId="0" borderId="0" xfId="0" applyNumberFormat="1" applyFont="1" applyFill="1" applyAlignment="1">
      <alignment horizontal="center"/>
    </xf>
    <xf numFmtId="172" fontId="13" fillId="0" borderId="0" xfId="0" applyNumberFormat="1" applyFont="1" applyFill="1" applyAlignment="1">
      <alignment horizontal="center"/>
    </xf>
    <xf numFmtId="170" fontId="13" fillId="0" borderId="0" xfId="0" applyNumberFormat="1" applyFont="1" applyFill="1" applyAlignment="1">
      <alignment horizontal="center"/>
    </xf>
    <xf numFmtId="168" fontId="13" fillId="0" borderId="0" xfId="0" applyNumberFormat="1" applyFont="1" applyFill="1" applyAlignment="1">
      <alignment horizontal="center"/>
    </xf>
    <xf numFmtId="177" fontId="13" fillId="0" borderId="0" xfId="0" applyNumberFormat="1" applyFont="1" applyFill="1" applyAlignment="1">
      <alignment horizontal="center"/>
    </xf>
    <xf numFmtId="165" fontId="13" fillId="0" borderId="0" xfId="0" applyNumberFormat="1" applyFont="1" applyFill="1" applyAlignment="1">
      <alignment horizontal="center"/>
    </xf>
    <xf numFmtId="169" fontId="13" fillId="0" borderId="0" xfId="0" applyNumberFormat="1" applyFont="1" applyFill="1" applyAlignment="1">
      <alignment horizontal="center"/>
    </xf>
    <xf numFmtId="49" fontId="13" fillId="0" borderId="0" xfId="0" applyNumberFormat="1" applyFont="1" applyFill="1" applyAlignment="1">
      <alignment horizontal="center"/>
    </xf>
    <xf numFmtId="2" fontId="13" fillId="0" borderId="0" xfId="0" applyNumberFormat="1" applyFont="1" applyFill="1" applyAlignment="1">
      <alignment horizontal="center"/>
    </xf>
    <xf numFmtId="181" fontId="0" fillId="4" borderId="14" xfId="1" applyNumberFormat="1" applyFont="1" applyFill="1" applyBorder="1" applyAlignment="1">
      <alignment horizontal="center" vertical="top"/>
    </xf>
    <xf numFmtId="37" fontId="0" fillId="4" borderId="7" xfId="1" applyNumberFormat="1" applyFont="1" applyFill="1" applyBorder="1" applyAlignment="1">
      <alignment horizontal="center"/>
    </xf>
    <xf numFmtId="37" fontId="0" fillId="4" borderId="0" xfId="1" applyNumberFormat="1" applyFont="1" applyFill="1" applyBorder="1" applyAlignment="1">
      <alignment horizontal="center"/>
    </xf>
    <xf numFmtId="39" fontId="0" fillId="4" borderId="7" xfId="1" applyNumberFormat="1" applyFont="1" applyFill="1" applyBorder="1"/>
    <xf numFmtId="39" fontId="0" fillId="4" borderId="10" xfId="1" applyNumberFormat="1" applyFont="1" applyFill="1" applyBorder="1" applyAlignment="1">
      <alignment vertical="top"/>
    </xf>
    <xf numFmtId="183" fontId="0" fillId="4" borderId="7" xfId="1" applyNumberFormat="1" applyFont="1" applyFill="1" applyBorder="1"/>
    <xf numFmtId="39" fontId="0" fillId="4" borderId="7" xfId="1" applyNumberFormat="1" applyFont="1" applyFill="1" applyBorder="1" applyAlignment="1">
      <alignment horizontal="center"/>
    </xf>
    <xf numFmtId="0" fontId="5" fillId="0" borderId="0" xfId="0" quotePrefix="1" applyFont="1" applyBorder="1" applyAlignment="1">
      <alignment horizontal="center"/>
    </xf>
    <xf numFmtId="37" fontId="5" fillId="4" borderId="7" xfId="1" applyNumberFormat="1" applyFont="1" applyFill="1" applyBorder="1" applyAlignment="1">
      <alignment horizontal="center"/>
    </xf>
    <xf numFmtId="37" fontId="5" fillId="4" borderId="0" xfId="1" applyNumberFormat="1" applyFont="1" applyFill="1" applyBorder="1" applyAlignment="1">
      <alignment horizontal="center"/>
    </xf>
    <xf numFmtId="0" fontId="5" fillId="6" borderId="8" xfId="0" applyFont="1" applyFill="1" applyBorder="1" applyAlignment="1">
      <alignment vertical="top"/>
    </xf>
    <xf numFmtId="0" fontId="5" fillId="0" borderId="3" xfId="0" applyFont="1" applyBorder="1"/>
    <xf numFmtId="0" fontId="29" fillId="0" borderId="3" xfId="0" applyFont="1" applyBorder="1"/>
    <xf numFmtId="39" fontId="5" fillId="6" borderId="7" xfId="1" applyNumberFormat="1" applyFont="1" applyFill="1" applyBorder="1"/>
    <xf numFmtId="0" fontId="5" fillId="6" borderId="5" xfId="0" applyFont="1" applyFill="1" applyBorder="1"/>
    <xf numFmtId="0" fontId="0" fillId="0" borderId="0" xfId="0" applyAlignment="1">
      <alignment wrapText="1"/>
    </xf>
    <xf numFmtId="0" fontId="5" fillId="0" borderId="0" xfId="0" applyFont="1" applyAlignment="1">
      <alignment wrapText="1"/>
    </xf>
    <xf numFmtId="1" fontId="5" fillId="4" borderId="10" xfId="0" applyNumberFormat="1" applyFont="1" applyFill="1" applyBorder="1" applyAlignment="1">
      <alignment horizontal="center"/>
    </xf>
    <xf numFmtId="0" fontId="5" fillId="6" borderId="5" xfId="0" applyFont="1" applyFill="1" applyBorder="1" applyAlignment="1">
      <alignment vertical="top"/>
    </xf>
    <xf numFmtId="39" fontId="0" fillId="4" borderId="7" xfId="1" applyNumberFormat="1" applyFont="1" applyFill="1" applyBorder="1" applyAlignment="1">
      <alignment horizontal="right"/>
    </xf>
    <xf numFmtId="39" fontId="13" fillId="0" borderId="0" xfId="0" applyNumberFormat="1" applyFont="1" applyFill="1" applyAlignment="1">
      <alignment horizontal="center"/>
    </xf>
    <xf numFmtId="0" fontId="0" fillId="0" borderId="0" xfId="0" applyAlignment="1">
      <alignment horizontal="center" wrapText="1"/>
    </xf>
    <xf numFmtId="37" fontId="29" fillId="4" borderId="7" xfId="1" applyNumberFormat="1" applyFont="1" applyFill="1" applyBorder="1"/>
    <xf numFmtId="0" fontId="56" fillId="8" borderId="24" xfId="5" applyFont="1" applyFill="1" applyBorder="1" applyAlignment="1">
      <alignment horizontal="center"/>
    </xf>
    <xf numFmtId="0" fontId="56" fillId="8" borderId="26" xfId="5" applyFont="1" applyFill="1" applyBorder="1" applyAlignment="1">
      <alignment horizontal="center"/>
    </xf>
    <xf numFmtId="0" fontId="56" fillId="8" borderId="17" xfId="5" applyFont="1" applyFill="1" applyBorder="1" applyAlignment="1">
      <alignment horizontal="center"/>
    </xf>
    <xf numFmtId="0" fontId="56" fillId="8" borderId="18" xfId="5" applyFont="1" applyFill="1" applyBorder="1" applyAlignment="1">
      <alignment horizontal="center"/>
    </xf>
    <xf numFmtId="0" fontId="56" fillId="8" borderId="19" xfId="5" applyFont="1" applyFill="1" applyBorder="1" applyAlignment="1">
      <alignment horizontal="center"/>
    </xf>
    <xf numFmtId="0" fontId="54" fillId="8" borderId="17" xfId="5" applyFont="1" applyFill="1" applyBorder="1" applyAlignment="1">
      <alignment horizontal="center"/>
    </xf>
    <xf numFmtId="0" fontId="54" fillId="8" borderId="18" xfId="5" applyFont="1" applyFill="1" applyBorder="1" applyAlignment="1">
      <alignment horizontal="center"/>
    </xf>
    <xf numFmtId="0" fontId="54" fillId="8" borderId="19" xfId="5" applyFont="1" applyFill="1" applyBorder="1" applyAlignment="1">
      <alignment horizontal="center"/>
    </xf>
    <xf numFmtId="0" fontId="14" fillId="13" borderId="28" xfId="0" applyFont="1" applyFill="1" applyBorder="1" applyAlignment="1">
      <alignment horizontal="center" vertical="center"/>
    </xf>
    <xf numFmtId="0" fontId="14" fillId="13" borderId="30" xfId="0" applyFont="1" applyFill="1" applyBorder="1" applyAlignment="1">
      <alignment horizontal="center" vertical="center"/>
    </xf>
    <xf numFmtId="0" fontId="14" fillId="13" borderId="17" xfId="0" applyFont="1" applyFill="1" applyBorder="1" applyAlignment="1">
      <alignment horizontal="right" vertical="center"/>
    </xf>
    <xf numFmtId="0" fontId="0" fillId="0" borderId="18" xfId="0" applyBorder="1" applyAlignment="1">
      <alignment horizontal="right" vertical="center"/>
    </xf>
    <xf numFmtId="0" fontId="14" fillId="6" borderId="17" xfId="0" applyFont="1" applyFill="1" applyBorder="1" applyAlignment="1">
      <alignment horizontal="center" vertical="center"/>
    </xf>
    <xf numFmtId="0" fontId="14" fillId="6" borderId="18" xfId="0" applyFont="1" applyFill="1" applyBorder="1" applyAlignment="1">
      <alignment horizontal="center" vertical="center"/>
    </xf>
    <xf numFmtId="0" fontId="14" fillId="6" borderId="19" xfId="0" applyFont="1" applyFill="1" applyBorder="1" applyAlignment="1">
      <alignment horizontal="center" vertical="center"/>
    </xf>
    <xf numFmtId="0" fontId="56" fillId="8" borderId="17" xfId="0" applyFont="1" applyFill="1" applyBorder="1" applyAlignment="1">
      <alignment horizontal="center"/>
    </xf>
    <xf numFmtId="0" fontId="56" fillId="8" borderId="18" xfId="0" applyFont="1" applyFill="1" applyBorder="1" applyAlignment="1">
      <alignment horizontal="center"/>
    </xf>
    <xf numFmtId="0" fontId="56" fillId="8" borderId="19" xfId="0" applyFont="1" applyFill="1" applyBorder="1" applyAlignment="1">
      <alignment horizontal="center"/>
    </xf>
    <xf numFmtId="0" fontId="14" fillId="6" borderId="28" xfId="0" applyFont="1" applyFill="1" applyBorder="1" applyAlignment="1">
      <alignment horizontal="center" vertical="center"/>
    </xf>
    <xf numFmtId="0" fontId="14" fillId="6" borderId="30" xfId="0" applyFont="1" applyFill="1" applyBorder="1" applyAlignment="1">
      <alignment horizontal="center" vertical="center"/>
    </xf>
    <xf numFmtId="0" fontId="30" fillId="6" borderId="0" xfId="0" applyFont="1" applyFill="1" applyAlignment="1"/>
    <xf numFmtId="0" fontId="56" fillId="8" borderId="24" xfId="0" applyFont="1" applyFill="1" applyBorder="1" applyAlignment="1">
      <alignment horizontal="center"/>
    </xf>
    <xf numFmtId="0" fontId="56" fillId="8" borderId="25" xfId="0" applyFont="1" applyFill="1" applyBorder="1" applyAlignment="1">
      <alignment horizontal="center"/>
    </xf>
    <xf numFmtId="0" fontId="56" fillId="8" borderId="26" xfId="0" applyFont="1" applyFill="1" applyBorder="1" applyAlignment="1">
      <alignment horizontal="center"/>
    </xf>
    <xf numFmtId="0" fontId="5" fillId="6" borderId="18" xfId="0" applyFont="1" applyFill="1" applyBorder="1" applyAlignment="1">
      <alignment horizontal="right"/>
    </xf>
    <xf numFmtId="0" fontId="5" fillId="6" borderId="19" xfId="0" applyFont="1" applyFill="1" applyBorder="1" applyAlignment="1">
      <alignment horizontal="right"/>
    </xf>
    <xf numFmtId="0" fontId="29" fillId="6" borderId="0" xfId="0" applyFont="1" applyFill="1" applyAlignment="1">
      <alignment horizontal="center"/>
    </xf>
    <xf numFmtId="0" fontId="65" fillId="6" borderId="0" xfId="0" applyFont="1" applyFill="1" applyAlignment="1">
      <alignment horizontal="center" vertical="center"/>
    </xf>
    <xf numFmtId="0" fontId="0" fillId="6" borderId="18" xfId="0" applyFill="1" applyBorder="1" applyAlignment="1">
      <alignment horizontal="center"/>
    </xf>
    <xf numFmtId="0" fontId="0" fillId="6" borderId="19" xfId="0" applyFill="1" applyBorder="1" applyAlignment="1">
      <alignment horizontal="center"/>
    </xf>
    <xf numFmtId="0" fontId="0" fillId="6" borderId="41" xfId="0" applyFill="1" applyBorder="1" applyAlignment="1">
      <alignment horizontal="center"/>
    </xf>
    <xf numFmtId="0" fontId="56" fillId="8" borderId="8" xfId="0" applyFont="1" applyFill="1" applyBorder="1" applyAlignment="1">
      <alignment horizontal="center"/>
    </xf>
    <xf numFmtId="0" fontId="56" fillId="8" borderId="9" xfId="0" applyFont="1" applyFill="1" applyBorder="1" applyAlignment="1">
      <alignment horizontal="center"/>
    </xf>
    <xf numFmtId="0" fontId="56" fillId="8" borderId="10" xfId="0" applyFont="1" applyFill="1" applyBorder="1" applyAlignment="1">
      <alignment horizontal="center"/>
    </xf>
    <xf numFmtId="0" fontId="56" fillId="8" borderId="5" xfId="0" applyFont="1" applyFill="1" applyBorder="1" applyAlignment="1">
      <alignment horizontal="center"/>
    </xf>
    <xf numFmtId="0" fontId="56" fillId="8" borderId="6" xfId="0" applyFont="1" applyFill="1" applyBorder="1" applyAlignment="1">
      <alignment horizontal="center"/>
    </xf>
    <xf numFmtId="0" fontId="56" fillId="8" borderId="7" xfId="0" applyFont="1" applyFill="1" applyBorder="1" applyAlignment="1">
      <alignment horizontal="center"/>
    </xf>
    <xf numFmtId="0" fontId="9" fillId="6" borderId="24" xfId="0" applyFont="1" applyFill="1" applyBorder="1" applyAlignment="1">
      <alignment horizontal="center"/>
    </xf>
    <xf numFmtId="0" fontId="9" fillId="6" borderId="25" xfId="0" applyFont="1" applyFill="1" applyBorder="1" applyAlignment="1">
      <alignment horizontal="center"/>
    </xf>
    <xf numFmtId="0" fontId="9" fillId="6" borderId="26" xfId="0" applyFont="1" applyFill="1" applyBorder="1" applyAlignment="1">
      <alignment horizontal="center"/>
    </xf>
    <xf numFmtId="0" fontId="5" fillId="6" borderId="24" xfId="0" applyFont="1" applyFill="1" applyBorder="1" applyAlignment="1">
      <alignment horizontal="center"/>
    </xf>
    <xf numFmtId="0" fontId="9" fillId="6" borderId="23" xfId="5" applyFont="1" applyFill="1" applyBorder="1" applyAlignment="1">
      <alignment horizontal="center"/>
    </xf>
    <xf numFmtId="0" fontId="60" fillId="6" borderId="18" xfId="0" applyFont="1" applyFill="1" applyBorder="1" applyAlignment="1">
      <alignment horizontal="center" vertical="center" textRotation="90"/>
    </xf>
    <xf numFmtId="0" fontId="60" fillId="6" borderId="0" xfId="0" applyFont="1" applyFill="1" applyAlignment="1">
      <alignment horizontal="center" vertical="center" textRotation="90"/>
    </xf>
    <xf numFmtId="0" fontId="60" fillId="6" borderId="21" xfId="0" applyFont="1" applyFill="1" applyBorder="1" applyAlignment="1">
      <alignment horizontal="center" vertical="center" textRotation="90"/>
    </xf>
    <xf numFmtId="0" fontId="60" fillId="6" borderId="12" xfId="0" applyFont="1" applyFill="1" applyBorder="1" applyAlignment="1">
      <alignment horizontal="right" vertical="center"/>
    </xf>
    <xf numFmtId="0" fontId="60" fillId="6" borderId="12" xfId="0" applyFont="1" applyFill="1" applyBorder="1" applyAlignment="1">
      <alignment horizontal="right" vertical="center" textRotation="90"/>
    </xf>
    <xf numFmtId="0" fontId="61" fillId="6" borderId="0" xfId="0" applyFont="1" applyFill="1" applyBorder="1" applyAlignment="1">
      <alignment horizontal="center" vertical="center" textRotation="90"/>
    </xf>
  </cellXfs>
  <cellStyles count="138">
    <cellStyle name="Comma" xfId="1" builtinId="3"/>
    <cellStyle name="Comma 2" xfId="6"/>
    <cellStyle name="Comma 2 10" xfId="61"/>
    <cellStyle name="Comma 2 10 2" xfId="125"/>
    <cellStyle name="Comma 2 10 3" xfId="128"/>
    <cellStyle name="Comma 2 11" xfId="66"/>
    <cellStyle name="Comma 2 11 2" xfId="127"/>
    <cellStyle name="Comma 2 11 3" xfId="129"/>
    <cellStyle name="Comma 2 12" xfId="86"/>
    <cellStyle name="Comma 2 12 2" xfId="131"/>
    <cellStyle name="Comma 2 12 3" xfId="136"/>
    <cellStyle name="Comma 2 13" xfId="93"/>
    <cellStyle name="Comma 2 13 2" xfId="133"/>
    <cellStyle name="Comma 2 13 3" xfId="137"/>
    <cellStyle name="Comma 2 14" xfId="101"/>
    <cellStyle name="Comma 2 15" xfId="115"/>
    <cellStyle name="Comma 2 2" xfId="13"/>
    <cellStyle name="Comma 2 2 2" xfId="106"/>
    <cellStyle name="Comma 2 2 3" xfId="119"/>
    <cellStyle name="Comma 2 3" xfId="23"/>
    <cellStyle name="Comma 2 3 2" xfId="109"/>
    <cellStyle name="Comma 2 3 3" xfId="112"/>
    <cellStyle name="Comma 2 4" xfId="30"/>
    <cellStyle name="Comma 2 4 2" xfId="113"/>
    <cellStyle name="Comma 2 4 3" xfId="121"/>
    <cellStyle name="Comma 2 5" xfId="35"/>
    <cellStyle name="Comma 2 5 2" xfId="116"/>
    <cellStyle name="Comma 2 5 3" xfId="134"/>
    <cellStyle name="Comma 2 6" xfId="44"/>
    <cellStyle name="Comma 2 6 2" xfId="120"/>
    <cellStyle name="Comma 2 6 3" xfId="114"/>
    <cellStyle name="Comma 2 7" xfId="57"/>
    <cellStyle name="Comma 2 7 2" xfId="124"/>
    <cellStyle name="Comma 2 7 3" xfId="110"/>
    <cellStyle name="Comma 2 8" xfId="55"/>
    <cellStyle name="Comma 2 8 2" xfId="123"/>
    <cellStyle name="Comma 2 8 3" xfId="118"/>
    <cellStyle name="Comma 2 9" xfId="65"/>
    <cellStyle name="Comma 2 9 2" xfId="126"/>
    <cellStyle name="Comma 2 9 3" xfId="130"/>
    <cellStyle name="Good" xfId="11" builtinId="26"/>
    <cellStyle name="Hyperlink" xfId="2" builtinId="8"/>
    <cellStyle name="Normal" xfId="0" builtinId="0"/>
    <cellStyle name="Normal 2" xfId="4"/>
    <cellStyle name="Normal 2 10" xfId="42"/>
    <cellStyle name="Normal 2 11" xfId="52"/>
    <cellStyle name="Normal 2 12" xfId="49"/>
    <cellStyle name="Normal 2 13" xfId="72"/>
    <cellStyle name="Normal 2 14" xfId="68"/>
    <cellStyle name="Normal 2 15" xfId="81"/>
    <cellStyle name="Normal 2 16" xfId="84"/>
    <cellStyle name="Normal 2 17" xfId="91"/>
    <cellStyle name="Normal 2 18" xfId="99"/>
    <cellStyle name="Normal 2 19" xfId="122"/>
    <cellStyle name="Normal 2 2" xfId="7"/>
    <cellStyle name="Normal 2 2 10" xfId="76"/>
    <cellStyle name="Normal 2 2 11" xfId="67"/>
    <cellStyle name="Normal 2 2 12" xfId="87"/>
    <cellStyle name="Normal 2 2 13" xfId="94"/>
    <cellStyle name="Normal 2 2 14" xfId="102"/>
    <cellStyle name="Normal 2 2 15" xfId="111"/>
    <cellStyle name="Normal 2 2 2" xfId="14"/>
    <cellStyle name="Normal 2 2 3" xfId="24"/>
    <cellStyle name="Normal 2 2 4" xfId="31"/>
    <cellStyle name="Normal 2 2 5" xfId="41"/>
    <cellStyle name="Normal 2 2 6" xfId="45"/>
    <cellStyle name="Normal 2 2 7" xfId="53"/>
    <cellStyle name="Normal 2 2 8" xfId="60"/>
    <cellStyle name="Normal 2 2 9" xfId="78"/>
    <cellStyle name="Normal 2 3" xfId="8"/>
    <cellStyle name="Normal 2 3 10" xfId="74"/>
    <cellStyle name="Normal 2 3 11" xfId="79"/>
    <cellStyle name="Normal 2 3 12" xfId="88"/>
    <cellStyle name="Normal 2 3 13" xfId="95"/>
    <cellStyle name="Normal 2 3 14" xfId="103"/>
    <cellStyle name="Normal 2 3 15" xfId="107"/>
    <cellStyle name="Normal 2 3 2" xfId="15"/>
    <cellStyle name="Normal 2 3 3" xfId="25"/>
    <cellStyle name="Normal 2 3 4" xfId="32"/>
    <cellStyle name="Normal 2 3 5" xfId="37"/>
    <cellStyle name="Normal 2 3 6" xfId="46"/>
    <cellStyle name="Normal 2 3 7" xfId="51"/>
    <cellStyle name="Normal 2 3 8" xfId="58"/>
    <cellStyle name="Normal 2 3 9" xfId="75"/>
    <cellStyle name="Normal 2 4" xfId="9"/>
    <cellStyle name="Normal 2 4 10" xfId="77"/>
    <cellStyle name="Normal 2 4 11" xfId="83"/>
    <cellStyle name="Normal 2 4 12" xfId="89"/>
    <cellStyle name="Normal 2 4 13" xfId="96"/>
    <cellStyle name="Normal 2 4 14" xfId="104"/>
    <cellStyle name="Normal 2 4 15" xfId="135"/>
    <cellStyle name="Normal 2 4 2" xfId="16"/>
    <cellStyle name="Normal 2 4 3" xfId="26"/>
    <cellStyle name="Normal 2 4 4" xfId="33"/>
    <cellStyle name="Normal 2 4 5" xfId="40"/>
    <cellStyle name="Normal 2 4 6" xfId="47"/>
    <cellStyle name="Normal 2 4 7" xfId="64"/>
    <cellStyle name="Normal 2 4 8" xfId="59"/>
    <cellStyle name="Normal 2 4 9" xfId="73"/>
    <cellStyle name="Normal 2 5" xfId="12"/>
    <cellStyle name="Normal 2 6" xfId="17"/>
    <cellStyle name="Normal 2 7" xfId="21"/>
    <cellStyle name="Normal 2 8" xfId="28"/>
    <cellStyle name="Normal 2 9" xfId="39"/>
    <cellStyle name="Normal 3" xfId="5"/>
    <cellStyle name="Normal 3 10" xfId="80"/>
    <cellStyle name="Normal 3 11" xfId="50"/>
    <cellStyle name="Normal 3 12" xfId="85"/>
    <cellStyle name="Normal 3 13" xfId="92"/>
    <cellStyle name="Normal 3 14" xfId="100"/>
    <cellStyle name="Normal 3 15" xfId="117"/>
    <cellStyle name="Normal 3 2" xfId="18"/>
    <cellStyle name="Normal 3 3" xfId="22"/>
    <cellStyle name="Normal 3 4" xfId="29"/>
    <cellStyle name="Normal 3 5" xfId="38"/>
    <cellStyle name="Normal 3 6" xfId="43"/>
    <cellStyle name="Normal 3 7" xfId="63"/>
    <cellStyle name="Normal 3 8" xfId="54"/>
    <cellStyle name="Normal 3 9" xfId="69"/>
    <cellStyle name="Normal 4" xfId="10"/>
    <cellStyle name="Normal 4 10" xfId="71"/>
    <cellStyle name="Normal 4 11" xfId="82"/>
    <cellStyle name="Normal 4 12" xfId="90"/>
    <cellStyle name="Normal 4 13" xfId="97"/>
    <cellStyle name="Normal 4 14" xfId="105"/>
    <cellStyle name="Normal 4 15" xfId="132"/>
    <cellStyle name="Normal 4 2" xfId="19"/>
    <cellStyle name="Normal 4 3" xfId="27"/>
    <cellStyle name="Normal 4 4" xfId="34"/>
    <cellStyle name="Normal 4 5" xfId="36"/>
    <cellStyle name="Normal 4 6" xfId="48"/>
    <cellStyle name="Normal 4 7" xfId="56"/>
    <cellStyle name="Normal 4 8" xfId="62"/>
    <cellStyle name="Normal 4 9" xfId="70"/>
    <cellStyle name="Normal 5" xfId="20"/>
    <cellStyle name="Normal 6" xfId="98"/>
    <cellStyle name="Normal 7" xfId="108"/>
    <cellStyle name="Percent" xfId="3" builtinId="5"/>
  </cellStyles>
  <dxfs count="0"/>
  <tableStyles count="0" defaultTableStyle="TableStyleMedium9" defaultPivotStyle="PivotStyleLight16"/>
  <colors>
    <mruColors>
      <color rgb="FFCCFFCC"/>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234220307548194"/>
          <c:y val="0.17740640760180948"/>
          <c:w val="0.80467720094130468"/>
          <c:h val="0.52490163732240658"/>
        </c:manualLayout>
      </c:layout>
      <c:barChart>
        <c:barDir val="col"/>
        <c:grouping val="clustered"/>
        <c:varyColors val="0"/>
        <c:ser>
          <c:idx val="0"/>
          <c:order val="0"/>
          <c:tx>
            <c:strRef>
              <c:f>'graph data'!$K$617</c:f>
              <c:strCache>
                <c:ptCount val="1"/>
                <c:pt idx="0">
                  <c:v>Occupancy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data'!$K$618:$K$641</c:f>
              <c:numCache>
                <c:formatCode>General</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0.2</c:v>
                </c:pt>
                <c:pt idx="19">
                  <c:v>0.2</c:v>
                </c:pt>
                <c:pt idx="20">
                  <c:v>0.2</c:v>
                </c:pt>
                <c:pt idx="21">
                  <c:v>0</c:v>
                </c:pt>
                <c:pt idx="22">
                  <c:v>0</c:v>
                </c:pt>
                <c:pt idx="23">
                  <c:v>0</c:v>
                </c:pt>
              </c:numCache>
            </c:numRef>
          </c:val>
        </c:ser>
        <c:dLbls>
          <c:showLegendKey val="0"/>
          <c:showVal val="0"/>
          <c:showCatName val="0"/>
          <c:showSerName val="0"/>
          <c:showPercent val="0"/>
          <c:showBubbleSize val="0"/>
        </c:dLbls>
        <c:gapWidth val="150"/>
        <c:axId val="111006848"/>
        <c:axId val="111008768"/>
      </c:barChart>
      <c:catAx>
        <c:axId val="111006848"/>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spPr>
          <a:ln w="9525">
            <a:prstDash val="solid"/>
          </a:ln>
        </c:spPr>
        <c:txPr>
          <a:bodyPr/>
          <a:lstStyle/>
          <a:p>
            <a:pPr>
              <a:defRPr lang="en-IE"/>
            </a:pPr>
            <a:endParaRPr lang="en-US"/>
          </a:p>
        </c:txPr>
        <c:crossAx val="111008768"/>
        <c:crosses val="autoZero"/>
        <c:auto val="1"/>
        <c:lblAlgn val="ctr"/>
        <c:lblOffset val="100"/>
        <c:noMultiLvlLbl val="0"/>
      </c:catAx>
      <c:valAx>
        <c:axId val="111008768"/>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11006848"/>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043207932341788"/>
          <c:y val="0.21178913850566208"/>
          <c:w val="0.80697532808398964"/>
          <c:h val="0.54299414057675899"/>
        </c:manualLayout>
      </c:layout>
      <c:barChart>
        <c:barDir val="col"/>
        <c:grouping val="clustered"/>
        <c:varyColors val="0"/>
        <c:ser>
          <c:idx val="0"/>
          <c:order val="0"/>
          <c:tx>
            <c:strRef>
              <c:f>'graph data'!$L$617</c:f>
              <c:strCache>
                <c:ptCount val="1"/>
                <c:pt idx="0">
                  <c:v>Equipment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data'!$L$618:$L$641</c:f>
              <c:numCache>
                <c:formatCode>General</c:formatCode>
                <c:ptCount val="24"/>
                <c:pt idx="0">
                  <c:v>0.2</c:v>
                </c:pt>
                <c:pt idx="1">
                  <c:v>0.2</c:v>
                </c:pt>
                <c:pt idx="2">
                  <c:v>0.2</c:v>
                </c:pt>
                <c:pt idx="3">
                  <c:v>0.2</c:v>
                </c:pt>
                <c:pt idx="4">
                  <c:v>0.2</c:v>
                </c:pt>
                <c:pt idx="5">
                  <c:v>0.2</c:v>
                </c:pt>
                <c:pt idx="6">
                  <c:v>0.2</c:v>
                </c:pt>
                <c:pt idx="7">
                  <c:v>0.8</c:v>
                </c:pt>
                <c:pt idx="8">
                  <c:v>0.8</c:v>
                </c:pt>
                <c:pt idx="9">
                  <c:v>0.8</c:v>
                </c:pt>
                <c:pt idx="10">
                  <c:v>0.8</c:v>
                </c:pt>
                <c:pt idx="11">
                  <c:v>0.8</c:v>
                </c:pt>
                <c:pt idx="12">
                  <c:v>0.8</c:v>
                </c:pt>
                <c:pt idx="13">
                  <c:v>0.8</c:v>
                </c:pt>
                <c:pt idx="14">
                  <c:v>0.8</c:v>
                </c:pt>
                <c:pt idx="15">
                  <c:v>0.8</c:v>
                </c:pt>
                <c:pt idx="16">
                  <c:v>0.8</c:v>
                </c:pt>
                <c:pt idx="17">
                  <c:v>0.2</c:v>
                </c:pt>
                <c:pt idx="18">
                  <c:v>0.2</c:v>
                </c:pt>
                <c:pt idx="19">
                  <c:v>0.2</c:v>
                </c:pt>
                <c:pt idx="20">
                  <c:v>0.2</c:v>
                </c:pt>
                <c:pt idx="21">
                  <c:v>0.2</c:v>
                </c:pt>
                <c:pt idx="22">
                  <c:v>0.2</c:v>
                </c:pt>
                <c:pt idx="23">
                  <c:v>0.2</c:v>
                </c:pt>
              </c:numCache>
            </c:numRef>
          </c:val>
        </c:ser>
        <c:dLbls>
          <c:showLegendKey val="0"/>
          <c:showVal val="0"/>
          <c:showCatName val="0"/>
          <c:showSerName val="0"/>
          <c:showPercent val="0"/>
          <c:showBubbleSize val="0"/>
        </c:dLbls>
        <c:gapWidth val="150"/>
        <c:axId val="111168512"/>
        <c:axId val="111170688"/>
      </c:barChart>
      <c:catAx>
        <c:axId val="111168512"/>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11170688"/>
        <c:crosses val="autoZero"/>
        <c:auto val="1"/>
        <c:lblAlgn val="ctr"/>
        <c:lblOffset val="100"/>
        <c:noMultiLvlLbl val="0"/>
      </c:catAx>
      <c:valAx>
        <c:axId val="111170688"/>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11168512"/>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data'!$M$617</c:f>
              <c:strCache>
                <c:ptCount val="1"/>
                <c:pt idx="0">
                  <c:v>Lighting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data'!$M$618:$M$641</c:f>
              <c:numCache>
                <c:formatCode>General</c:formatCode>
                <c:ptCount val="24"/>
                <c:pt idx="0">
                  <c:v>0.1</c:v>
                </c:pt>
                <c:pt idx="1">
                  <c:v>0.1</c:v>
                </c:pt>
                <c:pt idx="2">
                  <c:v>0.1</c:v>
                </c:pt>
                <c:pt idx="3">
                  <c:v>0.1</c:v>
                </c:pt>
                <c:pt idx="4">
                  <c:v>0.1</c:v>
                </c:pt>
                <c:pt idx="5">
                  <c:v>0.1</c:v>
                </c:pt>
                <c:pt idx="6">
                  <c:v>0.5</c:v>
                </c:pt>
                <c:pt idx="7">
                  <c:v>0.9</c:v>
                </c:pt>
                <c:pt idx="8">
                  <c:v>0.9</c:v>
                </c:pt>
                <c:pt idx="9">
                  <c:v>0.9</c:v>
                </c:pt>
                <c:pt idx="10">
                  <c:v>0.9</c:v>
                </c:pt>
                <c:pt idx="11">
                  <c:v>0.9</c:v>
                </c:pt>
                <c:pt idx="12">
                  <c:v>0.9</c:v>
                </c:pt>
                <c:pt idx="13">
                  <c:v>0.9</c:v>
                </c:pt>
                <c:pt idx="14">
                  <c:v>0.9</c:v>
                </c:pt>
                <c:pt idx="15">
                  <c:v>0.9</c:v>
                </c:pt>
                <c:pt idx="16">
                  <c:v>0.9</c:v>
                </c:pt>
                <c:pt idx="17">
                  <c:v>0.5</c:v>
                </c:pt>
                <c:pt idx="18">
                  <c:v>0.5</c:v>
                </c:pt>
                <c:pt idx="19">
                  <c:v>0.5</c:v>
                </c:pt>
                <c:pt idx="20">
                  <c:v>0.5</c:v>
                </c:pt>
                <c:pt idx="21">
                  <c:v>0.1</c:v>
                </c:pt>
                <c:pt idx="22">
                  <c:v>0.1</c:v>
                </c:pt>
                <c:pt idx="23">
                  <c:v>0.1</c:v>
                </c:pt>
              </c:numCache>
            </c:numRef>
          </c:val>
        </c:ser>
        <c:dLbls>
          <c:showLegendKey val="0"/>
          <c:showVal val="0"/>
          <c:showCatName val="0"/>
          <c:showSerName val="0"/>
          <c:showPercent val="0"/>
          <c:showBubbleSize val="0"/>
        </c:dLbls>
        <c:gapWidth val="150"/>
        <c:axId val="111203456"/>
        <c:axId val="111205376"/>
      </c:barChart>
      <c:catAx>
        <c:axId val="111203456"/>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11205376"/>
        <c:crosses val="autoZero"/>
        <c:auto val="1"/>
        <c:lblAlgn val="ctr"/>
        <c:lblOffset val="100"/>
        <c:noMultiLvlLbl val="0"/>
      </c:catAx>
      <c:valAx>
        <c:axId val="111205376"/>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11203456"/>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data'!$N$617</c:f>
              <c:strCache>
                <c:ptCount val="1"/>
                <c:pt idx="0">
                  <c:v>HVAC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data'!$N$618:$N$641</c:f>
              <c:numCache>
                <c:formatCode>General</c:formatCode>
                <c:ptCount val="24"/>
                <c:pt idx="0">
                  <c:v>0</c:v>
                </c:pt>
                <c:pt idx="1">
                  <c:v>0</c:v>
                </c:pt>
                <c:pt idx="2">
                  <c:v>0</c:v>
                </c:pt>
                <c:pt idx="3">
                  <c:v>0</c:v>
                </c:pt>
                <c:pt idx="4">
                  <c:v>0</c:v>
                </c:pt>
                <c:pt idx="5">
                  <c:v>0</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c:v>
                </c:pt>
                <c:pt idx="23">
                  <c:v>0</c:v>
                </c:pt>
              </c:numCache>
            </c:numRef>
          </c:val>
        </c:ser>
        <c:dLbls>
          <c:showLegendKey val="0"/>
          <c:showVal val="0"/>
          <c:showCatName val="0"/>
          <c:showSerName val="0"/>
          <c:showPercent val="0"/>
          <c:showBubbleSize val="0"/>
        </c:dLbls>
        <c:gapWidth val="150"/>
        <c:axId val="122047488"/>
        <c:axId val="122049664"/>
      </c:barChart>
      <c:catAx>
        <c:axId val="122047488"/>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22049664"/>
        <c:crosses val="autoZero"/>
        <c:auto val="1"/>
        <c:lblAlgn val="ctr"/>
        <c:lblOffset val="100"/>
        <c:noMultiLvlLbl val="0"/>
      </c:catAx>
      <c:valAx>
        <c:axId val="122049664"/>
        <c:scaling>
          <c:orientation val="minMax"/>
          <c:max val="1.2"/>
          <c:min val="0"/>
        </c:scaling>
        <c:delete val="0"/>
        <c:axPos val="l"/>
        <c:majorGridlines>
          <c:spPr>
            <a:ln w="3175">
              <a:solidFill>
                <a:sysClr val="windowText" lastClr="000000">
                  <a:tint val="75000"/>
                  <a:shade val="95000"/>
                  <a:satMod val="105000"/>
                </a:sysClr>
              </a:solidFill>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22047488"/>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layout/>
      <c:overlay val="0"/>
    </c:title>
    <c:autoTitleDeleted val="0"/>
    <c:plotArea>
      <c:layout>
        <c:manualLayout>
          <c:layoutTarget val="inner"/>
          <c:xMode val="edge"/>
          <c:yMode val="edge"/>
          <c:x val="0.17403798588577948"/>
          <c:y val="8.9347881101639243E-2"/>
          <c:w val="0.78369496320164589"/>
          <c:h val="0.70575446664211938"/>
        </c:manualLayout>
      </c:layout>
      <c:barChart>
        <c:barDir val="col"/>
        <c:grouping val="stacked"/>
        <c:varyColors val="0"/>
        <c:ser>
          <c:idx val="1"/>
          <c:order val="0"/>
          <c:tx>
            <c:strRef>
              <c:f>'Output annual'!$B$6</c:f>
              <c:strCache>
                <c:ptCount val="1"/>
                <c:pt idx="0">
                  <c:v>Equipment</c:v>
                </c:pt>
              </c:strCache>
            </c:strRef>
          </c:tx>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layout/>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1"/>
            <c:showVal val="1"/>
            <c:showCatName val="0"/>
            <c:showSerName val="0"/>
            <c:showPercent val="0"/>
            <c:showBubbleSize val="0"/>
            <c:separator>
</c:separator>
            <c:showLeaderLines val="0"/>
          </c:dLbls>
          <c:cat>
            <c:strLit>
              <c:ptCount val="2"/>
              <c:pt idx="0">
                <c:v>Site</c:v>
              </c:pt>
              <c:pt idx="1">
                <c:v>Source</c:v>
              </c:pt>
            </c:strLit>
          </c:cat>
          <c:val>
            <c:numRef>
              <c:f>('Output annual'!$C$6,'Output annual'!$E$6)</c:f>
              <c:numCache>
                <c:formatCode>0.0</c:formatCode>
                <c:ptCount val="2"/>
                <c:pt idx="0">
                  <c:v>0</c:v>
                </c:pt>
                <c:pt idx="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Lit>
              <c:ptCount val="2"/>
              <c:pt idx="0">
                <c:v>Site</c:v>
              </c:pt>
              <c:pt idx="1">
                <c:v>Source</c:v>
              </c:pt>
            </c:strLit>
          </c:cat>
          <c:val>
            <c:numRef>
              <c:f>('Output annual'!$C$5,'Output annual'!$E$5)</c:f>
              <c:numCache>
                <c:formatCode>0.0</c:formatCode>
                <c:ptCount val="2"/>
                <c:pt idx="0">
                  <c:v>0</c:v>
                </c:pt>
                <c:pt idx="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Lit>
              <c:ptCount val="2"/>
              <c:pt idx="0">
                <c:v>Site</c:v>
              </c:pt>
              <c:pt idx="1">
                <c:v>Source</c:v>
              </c:pt>
            </c:strLit>
          </c:cat>
          <c:val>
            <c:numRef>
              <c:f>('Output annual'!$C$11,'Output annual'!$E$11)</c:f>
              <c:numCache>
                <c:formatCode>0.0</c:formatCode>
                <c:ptCount val="2"/>
                <c:pt idx="0" formatCode="0.00">
                  <c:v>0</c:v>
                </c:pt>
                <c:pt idx="1">
                  <c:v>0</c:v>
                </c:pt>
              </c:numCache>
            </c:numRef>
          </c:val>
        </c:ser>
        <c:dLbls>
          <c:showLegendKey val="0"/>
          <c:showVal val="0"/>
          <c:showCatName val="0"/>
          <c:showSerName val="0"/>
          <c:showPercent val="0"/>
          <c:showBubbleSize val="0"/>
        </c:dLbls>
        <c:gapWidth val="150"/>
        <c:overlap val="100"/>
        <c:axId val="133497216"/>
        <c:axId val="133498752"/>
      </c:barChart>
      <c:catAx>
        <c:axId val="133497216"/>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3498752"/>
        <c:crosses val="autoZero"/>
        <c:auto val="1"/>
        <c:lblAlgn val="ctr"/>
        <c:lblOffset val="100"/>
        <c:noMultiLvlLbl val="0"/>
      </c:catAx>
      <c:valAx>
        <c:axId val="133498752"/>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3497216"/>
        <c:crosses val="autoZero"/>
        <c:crossBetween val="between"/>
      </c:valAx>
      <c:spPr>
        <a:noFill/>
        <a:ln>
          <a:solidFill>
            <a:sysClr val="windowText" lastClr="000000">
              <a:tint val="75000"/>
              <a:shade val="95000"/>
              <a:satMod val="105000"/>
            </a:sysClr>
          </a:solidFill>
        </a:ln>
      </c:spPr>
    </c:plotArea>
    <c:legend>
      <c:legendPos val="b"/>
      <c:layout/>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layout/>
      <c:overlay val="0"/>
    </c:title>
    <c:autoTitleDeleted val="0"/>
    <c:plotArea>
      <c:layout>
        <c:manualLayout>
          <c:layoutTarget val="inner"/>
          <c:xMode val="edge"/>
          <c:yMode val="edge"/>
          <c:x val="9.9528176624980744E-2"/>
          <c:y val="8.9347881101639243E-2"/>
          <c:w val="0.85820472440944884"/>
          <c:h val="0.70575446664211972"/>
        </c:manualLayout>
      </c:layout>
      <c:barChart>
        <c:barDir val="col"/>
        <c:grouping val="stacked"/>
        <c:varyColors val="0"/>
        <c:ser>
          <c:idx val="1"/>
          <c:order val="0"/>
          <c:tx>
            <c:strRef>
              <c:f>'Output annual'!$B$6</c:f>
              <c:strCache>
                <c:ptCount val="1"/>
                <c:pt idx="0">
                  <c:v>Equipment</c:v>
                </c:pt>
              </c:strCache>
            </c:strRef>
          </c:tx>
          <c:invertIfNegative val="0"/>
          <c:dLbls>
            <c:dLbl>
              <c:idx val="1"/>
              <c:layout/>
              <c:dLblPos val="ctr"/>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annual'!$F$6:$Q$6</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annual'!$F$5:$Q$5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3554944"/>
        <c:axId val="133556480"/>
      </c:barChart>
      <c:catAx>
        <c:axId val="133554944"/>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3556480"/>
        <c:crosses val="autoZero"/>
        <c:auto val="1"/>
        <c:lblAlgn val="ctr"/>
        <c:lblOffset val="100"/>
        <c:noMultiLvlLbl val="0"/>
      </c:catAx>
      <c:valAx>
        <c:axId val="133556480"/>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3554944"/>
        <c:crosses val="autoZero"/>
        <c:crossBetween val="between"/>
      </c:valAx>
      <c:spPr>
        <a:noFill/>
        <a:ln>
          <a:solidFill>
            <a:sysClr val="windowText" lastClr="000000">
              <a:tint val="75000"/>
              <a:shade val="95000"/>
              <a:satMod val="105000"/>
            </a:sysClr>
          </a:solidFill>
        </a:ln>
      </c:spPr>
    </c:plotArea>
    <c:legend>
      <c:legendPos val="b"/>
      <c:layout/>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HVAC</a:t>
            </a:r>
          </a:p>
        </c:rich>
      </c:tx>
      <c:layout/>
      <c:overlay val="0"/>
    </c:title>
    <c:autoTitleDeleted val="0"/>
    <c:plotArea>
      <c:layout>
        <c:manualLayout>
          <c:layoutTarget val="inner"/>
          <c:xMode val="edge"/>
          <c:yMode val="edge"/>
          <c:x val="9.8317876932050768E-2"/>
          <c:y val="8.9347881101639243E-2"/>
          <c:w val="0.8594151842130846"/>
          <c:h val="0.70575446664211972"/>
        </c:manualLayout>
      </c:layout>
      <c:barChart>
        <c:barDir val="col"/>
        <c:grouping val="stacked"/>
        <c:varyColors val="0"/>
        <c:ser>
          <c:idx val="1"/>
          <c:order val="0"/>
          <c:tx>
            <c:strRef>
              <c:f>'Output annual'!$B$7</c:f>
              <c:strCache>
                <c:ptCount val="1"/>
                <c:pt idx="0">
                  <c:v>Boiler</c:v>
                </c:pt>
              </c:strCache>
            </c:strRef>
          </c:tx>
          <c:spPr>
            <a:solidFill>
              <a:srgbClr val="FF0000"/>
            </a:solidFill>
          </c:spPr>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layout/>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annual'!$F$7:$Q$7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annual'!$B$8</c:f>
              <c:strCache>
                <c:ptCount val="1"/>
                <c:pt idx="0">
                  <c:v>Chiller</c:v>
                </c:pt>
              </c:strCache>
            </c:strRef>
          </c:tx>
          <c:spPr>
            <a:solidFill>
              <a:srgbClr val="00B0F0"/>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annual'!$F$8:$Q$8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annual'!$B$9</c:f>
              <c:strCache>
                <c:ptCount val="1"/>
                <c:pt idx="0">
                  <c:v>Fans</c:v>
                </c:pt>
              </c:strCache>
            </c:strRef>
          </c:tx>
          <c:spPr>
            <a:solidFill>
              <a:srgbClr val="00B050"/>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annual'!$F$9:$Q$9</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3"/>
          <c:tx>
            <c:strRef>
              <c:f>'Output annual'!$B$10</c:f>
              <c:strCache>
                <c:ptCount val="1"/>
                <c:pt idx="0">
                  <c:v>Auxiliaries</c:v>
                </c:pt>
              </c:strCache>
            </c:strRef>
          </c:tx>
          <c:spPr>
            <a:solidFill>
              <a:srgbClr val="FFFF00"/>
            </a:solidFill>
          </c:spPr>
          <c:invertIfNegative val="0"/>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annual'!$F$10:$Q$10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0513152"/>
        <c:axId val="130543616"/>
      </c:barChart>
      <c:catAx>
        <c:axId val="130513152"/>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0543616"/>
        <c:crosses val="autoZero"/>
        <c:auto val="1"/>
        <c:lblAlgn val="ctr"/>
        <c:lblOffset val="100"/>
        <c:noMultiLvlLbl val="0"/>
      </c:catAx>
      <c:valAx>
        <c:axId val="130543616"/>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0513152"/>
        <c:crosses val="autoZero"/>
        <c:crossBetween val="between"/>
      </c:valAx>
      <c:spPr>
        <a:noFill/>
        <a:ln>
          <a:solidFill>
            <a:sysClr val="windowText" lastClr="000000">
              <a:tint val="75000"/>
              <a:shade val="95000"/>
              <a:satMod val="105000"/>
            </a:sysClr>
          </a:solidFill>
        </a:ln>
      </c:spPr>
    </c:plotArea>
    <c:legend>
      <c:legendPos val="b"/>
      <c:layout/>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sz="1200"/>
            </a:pPr>
            <a:r>
              <a:rPr lang="en-US" sz="1200"/>
              <a:t>ANNNUAL OUTPUT - SITE [KBTU/SF]</a:t>
            </a:r>
          </a:p>
        </c:rich>
      </c:tx>
      <c:layout>
        <c:manualLayout>
          <c:xMode val="edge"/>
          <c:yMode val="edge"/>
          <c:x val="0.21053506107012993"/>
          <c:y val="2.5129951217112478E-2"/>
        </c:manualLayout>
      </c:layout>
      <c:overlay val="1"/>
    </c:title>
    <c:autoTitleDeleted val="0"/>
    <c:plotArea>
      <c:layout>
        <c:manualLayout>
          <c:layoutTarget val="inner"/>
          <c:xMode val="edge"/>
          <c:yMode val="edge"/>
          <c:x val="3.1475409836065601E-2"/>
          <c:y val="7.7640337877516924E-2"/>
          <c:w val="0.94229508196721257"/>
          <c:h val="0.78953570790259253"/>
        </c:manualLayout>
      </c:layout>
      <c:ofPieChart>
        <c:ofPieType val="pie"/>
        <c:varyColors val="1"/>
        <c:ser>
          <c:idx val="0"/>
          <c:order val="0"/>
          <c:spPr>
            <a:ln>
              <a:noFill/>
            </a:ln>
          </c:spPr>
          <c:explosion val="5"/>
          <c:dPt>
            <c:idx val="0"/>
            <c:bubble3D val="0"/>
            <c:spPr>
              <a:solidFill>
                <a:schemeClr val="accent6">
                  <a:lumMod val="40000"/>
                  <a:lumOff val="60000"/>
                </a:schemeClr>
              </a:solidFill>
              <a:ln>
                <a:noFill/>
              </a:ln>
            </c:spPr>
          </c:dPt>
          <c:dPt>
            <c:idx val="2"/>
            <c:bubble3D val="0"/>
            <c:spPr>
              <a:solidFill>
                <a:srgbClr val="FF0000"/>
              </a:solidFill>
              <a:ln>
                <a:noFill/>
              </a:ln>
            </c:spPr>
          </c:dPt>
          <c:dPt>
            <c:idx val="3"/>
            <c:bubble3D val="0"/>
            <c:spPr>
              <a:solidFill>
                <a:srgbClr val="00B0F0"/>
              </a:solidFill>
              <a:ln>
                <a:noFill/>
              </a:ln>
            </c:spPr>
          </c:dPt>
          <c:dPt>
            <c:idx val="4"/>
            <c:bubble3D val="0"/>
            <c:spPr>
              <a:solidFill>
                <a:srgbClr val="00B050"/>
              </a:solidFill>
              <a:ln>
                <a:noFill/>
              </a:ln>
            </c:spPr>
          </c:dPt>
          <c:dPt>
            <c:idx val="5"/>
            <c:bubble3D val="0"/>
            <c:spPr>
              <a:solidFill>
                <a:srgbClr val="FFFF00"/>
              </a:solidFill>
              <a:ln>
                <a:noFill/>
              </a:ln>
            </c:spPr>
          </c:dPt>
          <c:dLbls>
            <c:txPr>
              <a:bodyPr/>
              <a:lstStyle/>
              <a:p>
                <a:pPr>
                  <a:defRPr lang="en-IE"/>
                </a:pPr>
                <a:endParaRPr lang="en-US"/>
              </a:p>
            </c:txPr>
            <c:dLblPos val="bestFit"/>
            <c:showLegendKey val="0"/>
            <c:showVal val="1"/>
            <c:showCatName val="0"/>
            <c:showSerName val="0"/>
            <c:showPercent val="1"/>
            <c:showBubbleSize val="0"/>
            <c:separator>, </c:separator>
            <c:showLeaderLines val="1"/>
          </c:dLbls>
          <c:cat>
            <c:strRef>
              <c:f>'Output annual'!$B$5:$B$10</c:f>
              <c:strCache>
                <c:ptCount val="6"/>
                <c:pt idx="0">
                  <c:v>Lighting</c:v>
                </c:pt>
                <c:pt idx="1">
                  <c:v>Equipment</c:v>
                </c:pt>
                <c:pt idx="2">
                  <c:v>Boiler</c:v>
                </c:pt>
                <c:pt idx="3">
                  <c:v>Chiller</c:v>
                </c:pt>
                <c:pt idx="4">
                  <c:v>Fans</c:v>
                </c:pt>
                <c:pt idx="5">
                  <c:v>Auxiliaries</c:v>
                </c:pt>
              </c:strCache>
            </c:strRef>
          </c:cat>
          <c:val>
            <c:numRef>
              <c:f>'Output annual'!$C$5:$C$10</c:f>
              <c:numCache>
                <c:formatCode>0.0</c:formatCode>
                <c:ptCount val="6"/>
                <c:pt idx="0">
                  <c:v>0</c:v>
                </c:pt>
                <c:pt idx="1">
                  <c:v>0</c:v>
                </c:pt>
                <c:pt idx="2">
                  <c:v>0</c:v>
                </c:pt>
                <c:pt idx="3">
                  <c:v>0</c:v>
                </c:pt>
                <c:pt idx="4">
                  <c:v>0</c:v>
                </c:pt>
                <c:pt idx="5">
                  <c:v>0</c:v>
                </c:pt>
              </c:numCache>
            </c:numRef>
          </c:val>
        </c:ser>
        <c:dLbls>
          <c:showLegendKey val="0"/>
          <c:showVal val="1"/>
          <c:showCatName val="0"/>
          <c:showSerName val="0"/>
          <c:showPercent val="0"/>
          <c:showBubbleSize val="0"/>
          <c:showLeaderLines val="1"/>
        </c:dLbls>
        <c:gapWidth val="12"/>
        <c:splitType val="pos"/>
        <c:splitPos val="4"/>
        <c:secondPieSize val="70"/>
        <c:serLines/>
      </c:ofPieChart>
    </c:plotArea>
    <c:legend>
      <c:legendPos val="b"/>
      <c:layout/>
      <c:overlay val="0"/>
      <c:txPr>
        <a:bodyPr/>
        <a:lstStyle/>
        <a:p>
          <a:pPr>
            <a:defRPr lang="en-IE" sz="1050"/>
          </a:pPr>
          <a:endParaRPr lang="en-U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average Fanger PPD </a:t>
            </a:r>
          </a:p>
        </c:rich>
      </c:tx>
      <c:layout>
        <c:manualLayout>
          <c:xMode val="edge"/>
          <c:yMode val="edge"/>
          <c:x val="0.32002768096675838"/>
          <c:y val="2.2290748821595902E-2"/>
        </c:manualLayout>
      </c:layout>
      <c:overlay val="0"/>
    </c:title>
    <c:autoTitleDeleted val="0"/>
    <c:plotArea>
      <c:layout>
        <c:manualLayout>
          <c:layoutTarget val="inner"/>
          <c:xMode val="edge"/>
          <c:yMode val="edge"/>
          <c:x val="9.1551450785295321E-2"/>
          <c:y val="0.12045875049562539"/>
          <c:w val="0.75929334508862067"/>
          <c:h val="0.66004019497562805"/>
        </c:manualLayout>
      </c:layout>
      <c:barChart>
        <c:barDir val="col"/>
        <c:grouping val="stacked"/>
        <c:varyColors val="0"/>
        <c:ser>
          <c:idx val="0"/>
          <c:order val="0"/>
          <c:tx>
            <c:v>Too Cold PPD</c:v>
          </c:tx>
          <c:invertIfNegative val="0"/>
          <c:cat>
            <c:numRef>
              <c:f>[1]Sheet1!$S$3:$AD$3</c:f>
              <c:numCache>
                <c:formatCode>General</c:formatCode>
                <c:ptCount val="12"/>
              </c:numCache>
            </c:numRef>
          </c:cat>
          <c:val>
            <c:numRef>
              <c:f>'Output annual'!$S$4:$AD$4</c:f>
              <c:numCache>
                <c:formatCode>0.0</c:formatCode>
                <c:ptCount val="12"/>
                <c:pt idx="0">
                  <c:v>9.1971289415134656</c:v>
                </c:pt>
                <c:pt idx="1">
                  <c:v>0</c:v>
                </c:pt>
                <c:pt idx="2">
                  <c:v>0</c:v>
                </c:pt>
                <c:pt idx="3">
                  <c:v>0</c:v>
                </c:pt>
                <c:pt idx="4">
                  <c:v>0</c:v>
                </c:pt>
                <c:pt idx="5">
                  <c:v>0</c:v>
                </c:pt>
                <c:pt idx="6">
                  <c:v>0</c:v>
                </c:pt>
                <c:pt idx="7">
                  <c:v>0</c:v>
                </c:pt>
                <c:pt idx="8">
                  <c:v>0</c:v>
                </c:pt>
                <c:pt idx="9">
                  <c:v>0</c:v>
                </c:pt>
                <c:pt idx="10">
                  <c:v>0</c:v>
                </c:pt>
                <c:pt idx="11">
                  <c:v>0</c:v>
                </c:pt>
              </c:numCache>
            </c:numRef>
          </c:val>
        </c:ser>
        <c:ser>
          <c:idx val="1"/>
          <c:order val="1"/>
          <c:tx>
            <c:v>Too Hot PPD</c:v>
          </c:tx>
          <c:invertIfNegative val="0"/>
          <c:cat>
            <c:numRef>
              <c:f>[1]Sheet1!$S$3:$AD$3</c:f>
              <c:numCache>
                <c:formatCode>General</c:formatCode>
                <c:ptCount val="12"/>
              </c:numCache>
            </c:numRef>
          </c:cat>
          <c:val>
            <c:numRef>
              <c:f>'Output annual'!$S$5:$AD$5</c:f>
              <c:numCache>
                <c:formatCode>0.0</c:formatCode>
                <c:ptCount val="12"/>
                <c:pt idx="0">
                  <c:v>0.64406327460784041</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3966848"/>
        <c:axId val="133976832"/>
      </c:barChart>
      <c:catAx>
        <c:axId val="133966848"/>
        <c:scaling>
          <c:orientation val="minMax"/>
        </c:scaling>
        <c:delete val="0"/>
        <c:axPos val="b"/>
        <c:numFmt formatCode="General" sourceLinked="1"/>
        <c:majorTickMark val="out"/>
        <c:minorTickMark val="none"/>
        <c:tickLblPos val="nextTo"/>
        <c:txPr>
          <a:bodyPr rot="0" vert="horz"/>
          <a:lstStyle/>
          <a:p>
            <a:pPr>
              <a:defRPr/>
            </a:pPr>
            <a:endParaRPr lang="en-US"/>
          </a:p>
        </c:txPr>
        <c:crossAx val="133976832"/>
        <c:crosses val="autoZero"/>
        <c:auto val="1"/>
        <c:lblAlgn val="ctr"/>
        <c:lblOffset val="100"/>
        <c:noMultiLvlLbl val="0"/>
      </c:catAx>
      <c:valAx>
        <c:axId val="133976832"/>
        <c:scaling>
          <c:orientation val="minMax"/>
          <c:max val="50"/>
        </c:scaling>
        <c:delete val="0"/>
        <c:axPos val="l"/>
        <c:majorGridlines/>
        <c:title>
          <c:tx>
            <c:rich>
              <a:bodyPr/>
              <a:lstStyle/>
              <a:p>
                <a:pPr>
                  <a:defRPr/>
                </a:pPr>
                <a:r>
                  <a:rPr lang="en-US"/>
                  <a:t>PPD </a:t>
                </a:r>
              </a:p>
            </c:rich>
          </c:tx>
          <c:layout>
            <c:manualLayout>
              <c:xMode val="edge"/>
              <c:yMode val="edge"/>
              <c:x val="5.9925525374469055E-3"/>
              <c:y val="0.37141196517587233"/>
            </c:manualLayout>
          </c:layout>
          <c:overlay val="0"/>
        </c:title>
        <c:numFmt formatCode="0.0" sourceLinked="0"/>
        <c:majorTickMark val="out"/>
        <c:minorTickMark val="none"/>
        <c:tickLblPos val="nextTo"/>
        <c:txPr>
          <a:bodyPr rot="0" vert="horz"/>
          <a:lstStyle/>
          <a:p>
            <a:pPr>
              <a:defRPr/>
            </a:pPr>
            <a:endParaRPr lang="en-US"/>
          </a:p>
        </c:txPr>
        <c:crossAx val="133966848"/>
        <c:crosses val="autoZero"/>
        <c:crossBetween val="between"/>
      </c:valAx>
    </c:plotArea>
    <c:legend>
      <c:legendPos val="r"/>
      <c:layout>
        <c:manualLayout>
          <c:xMode val="edge"/>
          <c:yMode val="edge"/>
          <c:x val="0.42870291462943688"/>
          <c:y val="0.86947041619798326"/>
          <c:w val="0.21708801264706978"/>
          <c:h val="9.2434345706787768E-2"/>
        </c:manualLayout>
      </c:layout>
      <c:overlay val="0"/>
    </c:legend>
    <c:plotVisOnly val="1"/>
    <c:dispBlanksAs val="gap"/>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0913959379977"/>
          <c:y val="4.2003264150899534E-2"/>
          <c:w val="0.79467754377593958"/>
          <c:h val="0.88368405732859101"/>
        </c:manualLayout>
      </c:layout>
      <c:scatterChart>
        <c:scatterStyle val="lineMarker"/>
        <c:varyColors val="0"/>
        <c:ser>
          <c:idx val="4"/>
          <c:order val="0"/>
          <c:tx>
            <c:v>transaction height</c:v>
          </c:tx>
          <c:spPr>
            <a:ln w="12700">
              <a:solidFill>
                <a:srgbClr val="000080"/>
              </a:solidFill>
              <a:prstDash val="lgDash"/>
            </a:ln>
          </c:spPr>
          <c:marker>
            <c:symbol val="none"/>
          </c:marker>
          <c:dLbls>
            <c:dLbl>
              <c:idx val="0"/>
              <c:delete val="1"/>
            </c:dLbl>
            <c:spPr>
              <a:noFill/>
              <a:ln w="25400">
                <a:noFill/>
              </a:ln>
            </c:spPr>
            <c:txPr>
              <a:bodyPr/>
              <a:lstStyle/>
              <a:p>
                <a:pPr>
                  <a:defRPr lang="en-IE" sz="85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data'!$C$166:$C$167</c:f>
              <c:numCache>
                <c:formatCode>0.0</c:formatCode>
                <c:ptCount val="2"/>
                <c:pt idx="0">
                  <c:v>50</c:v>
                </c:pt>
                <c:pt idx="1">
                  <c:v>100</c:v>
                </c:pt>
              </c:numCache>
            </c:numRef>
          </c:xVal>
          <c:yVal>
            <c:numRef>
              <c:f>'graph data'!$D$166:$D$167</c:f>
              <c:numCache>
                <c:formatCode>General</c:formatCode>
                <c:ptCount val="2"/>
                <c:pt idx="0">
                  <c:v>84.929133858267718</c:v>
                </c:pt>
                <c:pt idx="1">
                  <c:v>84.929133858267718</c:v>
                </c:pt>
              </c:numCache>
            </c:numRef>
          </c:yVal>
          <c:smooth val="0"/>
        </c:ser>
        <c:ser>
          <c:idx val="0"/>
          <c:order val="1"/>
          <c:spPr>
            <a:ln w="38100" cap="sq">
              <a:solidFill>
                <a:srgbClr val="FF0000"/>
              </a:solidFill>
              <a:prstDash val="lgDash"/>
              <a:bevel/>
            </a:ln>
          </c:spPr>
          <c:marker>
            <c:symbol val="circle"/>
            <c:size val="10"/>
            <c:spPr>
              <a:noFill/>
              <a:ln>
                <a:solidFill>
                  <a:srgbClr val="FF0000"/>
                </a:solidFill>
              </a:ln>
            </c:spPr>
          </c:marker>
          <c:dLbls>
            <c:dLbl>
              <c:idx val="0"/>
              <c:layout>
                <c:manualLayout>
                  <c:x val="-0.12397216951296648"/>
                  <c:y val="-6.3897763578274784E-3"/>
                </c:manualLayout>
              </c:layout>
              <c:showLegendKey val="0"/>
              <c:showVal val="0"/>
              <c:showCatName val="1"/>
              <c:showSerName val="0"/>
              <c:showPercent val="0"/>
              <c:showBubbleSize val="0"/>
            </c:dLbl>
            <c:dLbl>
              <c:idx val="1"/>
              <c:delete val="1"/>
            </c:dLbl>
            <c:dLbl>
              <c:idx val="2"/>
              <c:delete val="1"/>
            </c:dLbl>
            <c:dLbl>
              <c:idx val="3"/>
              <c:layout>
                <c:manualLayout>
                  <c:x val="-0.10626185958254269"/>
                  <c:y val="0"/>
                </c:manualLayout>
              </c:layout>
              <c:showLegendKey val="0"/>
              <c:showVal val="0"/>
              <c:showCatName val="1"/>
              <c:showSerName val="0"/>
              <c:showPercent val="0"/>
              <c:showBubbleSize val="0"/>
            </c:dLbl>
            <c:dLbl>
              <c:idx val="4"/>
              <c:delete val="1"/>
            </c:dLbl>
            <c:dLbl>
              <c:idx val="5"/>
              <c:delete val="1"/>
            </c:dLbl>
            <c:dLbl>
              <c:idx val="6"/>
              <c:layout>
                <c:manualLayout>
                  <c:x val="-0.10879190385832518"/>
                  <c:y val="-2.1300931632747184E-3"/>
                </c:manualLayout>
              </c:layout>
              <c:showLegendKey val="0"/>
              <c:showVal val="0"/>
              <c:showCatName val="1"/>
              <c:showSerName val="0"/>
              <c:showPercent val="0"/>
              <c:showBubbleSize val="0"/>
            </c:dLbl>
            <c:dLbl>
              <c:idx val="7"/>
              <c:delete val="1"/>
            </c:dLbl>
            <c:dLbl>
              <c:idx val="8"/>
              <c:delete val="1"/>
            </c:dLbl>
            <c:dLbl>
              <c:idx val="9"/>
              <c:layout>
                <c:manualLayout>
                  <c:x val="-4.5540796963946903E-2"/>
                  <c:y val="-2.1299254526091601E-2"/>
                </c:manualLayout>
              </c:layout>
              <c:showLegendKey val="0"/>
              <c:showVal val="0"/>
              <c:showCatName val="1"/>
              <c:showSerName val="0"/>
              <c:showPercent val="0"/>
              <c:showBubbleSize val="0"/>
            </c:dLbl>
            <c:dLbl>
              <c:idx val="10"/>
              <c:layout>
                <c:manualLayout>
                  <c:x val="-1.265022137887413E-2"/>
                  <c:y val="1.4909478168264581E-2"/>
                </c:manualLayout>
              </c:layout>
              <c:showLegendKey val="0"/>
              <c:showVal val="0"/>
              <c:showCatName val="1"/>
              <c:showSerName val="0"/>
              <c:showPercent val="0"/>
              <c:showBubbleSize val="0"/>
            </c:dLbl>
            <c:dLbl>
              <c:idx val="11"/>
              <c:layout>
                <c:manualLayout>
                  <c:x val="-0.12397216951296648"/>
                  <c:y val="-4.2598509052183533E-3"/>
                </c:manualLayout>
              </c:layout>
              <c:showLegendKey val="0"/>
              <c:showVal val="0"/>
              <c:showCatName val="1"/>
              <c:showSerName val="0"/>
              <c:showPercent val="0"/>
              <c:showBubbleSize val="0"/>
            </c:dLbl>
            <c:txPr>
              <a:bodyPr/>
              <a:lstStyle/>
              <a:p>
                <a:pPr>
                  <a:defRPr lang="en-IE" sz="1200" b="1" i="0" baseline="0">
                    <a:solidFill>
                      <a:srgbClr val="FF0000"/>
                    </a:solidFill>
                  </a:defRPr>
                </a:pPr>
                <a:endParaRPr lang="en-US"/>
              </a:p>
            </c:txPr>
            <c:showLegendKey val="0"/>
            <c:showVal val="0"/>
            <c:showCatName val="1"/>
            <c:showSerName val="0"/>
            <c:showPercent val="0"/>
            <c:showBubbleSize val="0"/>
            <c:showLeaderLines val="0"/>
          </c:dLbls>
          <c:xVal>
            <c:numRef>
              <c:f>'graph data'!$C$154:$C$165</c:f>
              <c:numCache>
                <c:formatCode>0.0</c:formatCode>
                <c:ptCount val="12"/>
                <c:pt idx="0">
                  <c:v>77.237253751176681</c:v>
                </c:pt>
                <c:pt idx="1">
                  <c:v>76.844248642525457</c:v>
                </c:pt>
                <c:pt idx="2">
                  <c:v>76.844248642525457</c:v>
                </c:pt>
                <c:pt idx="3">
                  <c:v>76.844248642525457</c:v>
                </c:pt>
                <c:pt idx="4">
                  <c:v>76.844248642525457</c:v>
                </c:pt>
                <c:pt idx="5">
                  <c:v>74.41114754142896</c:v>
                </c:pt>
                <c:pt idx="6">
                  <c:v>74.41114754142896</c:v>
                </c:pt>
                <c:pt idx="7">
                  <c:v>74.41114754142896</c:v>
                </c:pt>
                <c:pt idx="8">
                  <c:v>68.560690278639925</c:v>
                </c:pt>
                <c:pt idx="9">
                  <c:v>68.560690278639925</c:v>
                </c:pt>
                <c:pt idx="10">
                  <c:v>68.043830184343761</c:v>
                </c:pt>
                <c:pt idx="11">
                  <c:v>60.008007851461585</c:v>
                </c:pt>
              </c:numCache>
            </c:numRef>
          </c:xVal>
          <c:yVal>
            <c:numRef>
              <c:f>'graph data'!$D$154:$D$165</c:f>
              <c:numCache>
                <c:formatCode>General</c:formatCode>
                <c:ptCount val="12"/>
                <c:pt idx="0">
                  <c:v>138</c:v>
                </c:pt>
                <c:pt idx="1">
                  <c:v>126</c:v>
                </c:pt>
                <c:pt idx="2" formatCode="0.0">
                  <c:v>126</c:v>
                </c:pt>
                <c:pt idx="3" formatCode="0.0">
                  <c:v>105.46456692913387</c:v>
                </c:pt>
                <c:pt idx="4" formatCode="0.0">
                  <c:v>84.929133858267718</c:v>
                </c:pt>
                <c:pt idx="5" formatCode="0.0">
                  <c:v>84.929133858267718</c:v>
                </c:pt>
                <c:pt idx="6" formatCode="0.0">
                  <c:v>51.464566929133859</c:v>
                </c:pt>
                <c:pt idx="7" formatCode="0.0">
                  <c:v>18</c:v>
                </c:pt>
                <c:pt idx="8" formatCode="0.0">
                  <c:v>18</c:v>
                </c:pt>
                <c:pt idx="9">
                  <c:v>18</c:v>
                </c:pt>
                <c:pt idx="10">
                  <c:v>12</c:v>
                </c:pt>
                <c:pt idx="11">
                  <c:v>10</c:v>
                </c:pt>
              </c:numCache>
            </c:numRef>
          </c:yVal>
          <c:smooth val="0"/>
        </c:ser>
        <c:dLbls>
          <c:showLegendKey val="0"/>
          <c:showVal val="0"/>
          <c:showCatName val="1"/>
          <c:showSerName val="0"/>
          <c:showPercent val="0"/>
          <c:showBubbleSize val="0"/>
        </c:dLbls>
        <c:axId val="133026560"/>
        <c:axId val="133028096"/>
      </c:scatterChart>
      <c:valAx>
        <c:axId val="133026560"/>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3028096"/>
        <c:crosses val="autoZero"/>
        <c:crossBetween val="midCat"/>
        <c:majorUnit val="5"/>
        <c:minorUnit val="2"/>
      </c:valAx>
      <c:valAx>
        <c:axId val="133028096"/>
        <c:scaling>
          <c:orientation val="minMax"/>
          <c:max val="180"/>
          <c:min val="0"/>
        </c:scaling>
        <c:delete val="1"/>
        <c:axPos val="l"/>
        <c:numFmt formatCode="General" sourceLinked="1"/>
        <c:majorTickMark val="out"/>
        <c:minorTickMark val="none"/>
        <c:tickLblPos val="none"/>
        <c:crossAx val="133026560"/>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8854961833294"/>
          <c:y val="4.2003264150899534E-2"/>
          <c:w val="0.79389312977099236"/>
          <c:h val="0.88368405732859101"/>
        </c:manualLayout>
      </c:layout>
      <c:scatterChart>
        <c:scatterStyle val="lineMarker"/>
        <c:varyColors val="0"/>
        <c:ser>
          <c:idx val="1"/>
          <c:order val="0"/>
          <c:tx>
            <c:v>transaction height</c:v>
          </c:tx>
          <c:spPr>
            <a:ln w="38100">
              <a:solidFill>
                <a:srgbClr val="FF0000"/>
              </a:solidFill>
              <a:prstDash val="lgDash"/>
            </a:ln>
          </c:spPr>
          <c:marker>
            <c:symbol val="circle"/>
            <c:size val="10"/>
            <c:spPr>
              <a:noFill/>
              <a:ln>
                <a:solidFill>
                  <a:srgbClr val="FF0000"/>
                </a:solidFill>
                <a:prstDash val="solid"/>
              </a:ln>
            </c:spPr>
          </c:marker>
          <c:dLbls>
            <c:dLbl>
              <c:idx val="0"/>
              <c:layout>
                <c:manualLayout>
                  <c:x val="-0.12102032781803172"/>
                  <c:y val="-4.8083015672559445E-3"/>
                </c:manualLayout>
              </c:layout>
              <c:dLblPos val="r"/>
              <c:showLegendKey val="0"/>
              <c:showVal val="0"/>
              <c:showCatName val="1"/>
              <c:showSerName val="0"/>
              <c:showPercent val="0"/>
              <c:showBubbleSize val="0"/>
            </c:dLbl>
            <c:dLbl>
              <c:idx val="1"/>
              <c:layout>
                <c:manualLayout>
                  <c:x val="-0.11694700806243094"/>
                  <c:y val="-1.8950528237169108E-2"/>
                </c:manualLayout>
              </c:layout>
              <c:dLblPos val="r"/>
              <c:showLegendKey val="0"/>
              <c:showVal val="0"/>
              <c:showCatName val="1"/>
              <c:showSerName val="0"/>
              <c:showPercent val="0"/>
              <c:showBubbleSize val="0"/>
            </c:dLbl>
            <c:dLbl>
              <c:idx val="2"/>
              <c:delete val="1"/>
            </c:dLbl>
            <c:dLbl>
              <c:idx val="3"/>
              <c:delete val="1"/>
            </c:dLbl>
            <c:dLbl>
              <c:idx val="4"/>
              <c:layout>
                <c:manualLayout>
                  <c:x val="-0.1243364394312941"/>
                  <c:y val="3.5158777750330056E-4"/>
                </c:manualLayout>
              </c:layout>
              <c:spPr>
                <a:noFill/>
                <a:ln w="25400">
                  <a:noFill/>
                </a:ln>
              </c:spPr>
              <c:txPr>
                <a:bodyPr/>
                <a:lstStyle/>
                <a:p>
                  <a:pPr>
                    <a:defRPr lang="en-IE" sz="1200" b="1" i="0" u="none" strike="noStrike" baseline="0">
                      <a:solidFill>
                        <a:srgbClr val="FF0000"/>
                      </a:solidFill>
                      <a:latin typeface="Arial"/>
                      <a:ea typeface="Arial"/>
                      <a:cs typeface="Arial"/>
                    </a:defRPr>
                  </a:pPr>
                  <a:endParaRPr lang="en-US"/>
                </a:p>
              </c:txPr>
              <c:dLblPos val="r"/>
              <c:showLegendKey val="0"/>
              <c:showVal val="0"/>
              <c:showCatName val="1"/>
              <c:showSerName val="0"/>
              <c:showPercent val="0"/>
              <c:showBubbleSize val="0"/>
            </c:dLbl>
            <c:dLbl>
              <c:idx val="5"/>
              <c:delete val="1"/>
            </c:dLbl>
            <c:dLbl>
              <c:idx val="6"/>
              <c:delete val="1"/>
            </c:dLbl>
            <c:dLbl>
              <c:idx val="7"/>
              <c:layout>
                <c:manualLayout>
                  <c:x val="-0.12102421357391654"/>
                  <c:y val="-1.7400870840791321E-2"/>
                </c:manualLayout>
              </c:layout>
              <c:dLblPos val="r"/>
              <c:showLegendKey val="0"/>
              <c:showVal val="0"/>
              <c:showCatName val="1"/>
              <c:showSerName val="0"/>
              <c:showPercent val="0"/>
              <c:showBubbleSize val="0"/>
            </c:dLbl>
            <c:dLbl>
              <c:idx val="8"/>
              <c:delete val="1"/>
            </c:dLbl>
            <c:dLbl>
              <c:idx val="9"/>
              <c:delete val="1"/>
            </c:dLbl>
            <c:dLbl>
              <c:idx val="10"/>
              <c:layout>
                <c:manualLayout>
                  <c:x val="-6.7885066873231523E-2"/>
                  <c:y val="-2.2207704312203452E-2"/>
                </c:manualLayout>
              </c:layout>
              <c:dLblPos val="r"/>
              <c:showLegendKey val="0"/>
              <c:showVal val="0"/>
              <c:showCatName val="1"/>
              <c:showSerName val="0"/>
              <c:showPercent val="0"/>
              <c:showBubbleSize val="0"/>
            </c:dLbl>
            <c:dLbl>
              <c:idx val="11"/>
              <c:delete val="1"/>
            </c:dLbl>
            <c:dLbl>
              <c:idx val="12"/>
              <c:layout>
                <c:manualLayout>
                  <c:x val="-0.1412741389949709"/>
                  <c:y val="-9.3955334229604767E-3"/>
                </c:manualLayout>
              </c:layout>
              <c:dLblPos val="r"/>
              <c:showLegendKey val="0"/>
              <c:showVal val="0"/>
              <c:showCatName val="1"/>
              <c:showSerName val="0"/>
              <c:showPercent val="0"/>
              <c:showBubbleSize val="0"/>
            </c:dLbl>
            <c:numFmt formatCode="0.0" sourceLinked="0"/>
            <c:spPr>
              <a:noFill/>
              <a:ln w="25400">
                <a:noFill/>
              </a:ln>
            </c:spPr>
            <c:txPr>
              <a:bodyPr/>
              <a:lstStyle/>
              <a:p>
                <a:pPr>
                  <a:defRPr lang="en-IE" sz="1200" b="1" i="0" u="none" strike="noStrike" baseline="0">
                    <a:solidFill>
                      <a:srgbClr val="FF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data'!$C$170:$C$182</c:f>
              <c:numCache>
                <c:formatCode>0.0</c:formatCode>
                <c:ptCount val="13"/>
                <c:pt idx="0">
                  <c:v>77.368472371625188</c:v>
                </c:pt>
                <c:pt idx="1">
                  <c:v>77.368472371625188</c:v>
                </c:pt>
                <c:pt idx="2">
                  <c:v>77.515654097217023</c:v>
                </c:pt>
                <c:pt idx="3">
                  <c:v>77.515654097217023</c:v>
                </c:pt>
                <c:pt idx="4">
                  <c:v>77.515654097217023</c:v>
                </c:pt>
                <c:pt idx="5">
                  <c:v>77.515654097217023</c:v>
                </c:pt>
                <c:pt idx="6">
                  <c:v>74.973545772575179</c:v>
                </c:pt>
                <c:pt idx="7">
                  <c:v>74.973545772575179</c:v>
                </c:pt>
                <c:pt idx="8">
                  <c:v>74.973545772575179</c:v>
                </c:pt>
                <c:pt idx="9">
                  <c:v>64.800956820513193</c:v>
                </c:pt>
                <c:pt idx="10">
                  <c:v>64.800956820513193</c:v>
                </c:pt>
                <c:pt idx="11">
                  <c:v>64.792778726190562</c:v>
                </c:pt>
                <c:pt idx="12">
                  <c:v>60.008007851461585</c:v>
                </c:pt>
              </c:numCache>
            </c:numRef>
          </c:xVal>
          <c:yVal>
            <c:numRef>
              <c:f>'graph data'!$D$170:$D$182</c:f>
              <c:numCache>
                <c:formatCode>General</c:formatCode>
                <c:ptCount val="13"/>
                <c:pt idx="0">
                  <c:v>179</c:v>
                </c:pt>
                <c:pt idx="1">
                  <c:v>138</c:v>
                </c:pt>
                <c:pt idx="2">
                  <c:v>126</c:v>
                </c:pt>
                <c:pt idx="3" formatCode="0.0">
                  <c:v>126</c:v>
                </c:pt>
                <c:pt idx="4" formatCode="0.0">
                  <c:v>105.46456692913387</c:v>
                </c:pt>
                <c:pt idx="5" formatCode="0.0">
                  <c:v>84.929133858267718</c:v>
                </c:pt>
                <c:pt idx="6" formatCode="0.0">
                  <c:v>84.929133858267718</c:v>
                </c:pt>
                <c:pt idx="7" formatCode="0.0">
                  <c:v>51.464566929133859</c:v>
                </c:pt>
                <c:pt idx="8" formatCode="0.0">
                  <c:v>18</c:v>
                </c:pt>
                <c:pt idx="9" formatCode="0.0">
                  <c:v>18</c:v>
                </c:pt>
                <c:pt idx="10">
                  <c:v>18</c:v>
                </c:pt>
                <c:pt idx="11">
                  <c:v>12</c:v>
                </c:pt>
                <c:pt idx="12">
                  <c:v>10</c:v>
                </c:pt>
              </c:numCache>
            </c:numRef>
          </c:yVal>
          <c:smooth val="0"/>
        </c:ser>
        <c:ser>
          <c:idx val="4"/>
          <c:order val="1"/>
          <c:spPr>
            <a:ln w="12700">
              <a:solidFill>
                <a:srgbClr val="000080"/>
              </a:solidFill>
              <a:prstDash val="lgDash"/>
            </a:ln>
          </c:spPr>
          <c:marker>
            <c:symbol val="none"/>
          </c:marker>
          <c:xVal>
            <c:numRef>
              <c:f>'graph data'!$C$183:$C$184</c:f>
              <c:numCache>
                <c:formatCode>0.0</c:formatCode>
                <c:ptCount val="2"/>
                <c:pt idx="0">
                  <c:v>50</c:v>
                </c:pt>
                <c:pt idx="1">
                  <c:v>100</c:v>
                </c:pt>
              </c:numCache>
            </c:numRef>
          </c:xVal>
          <c:yVal>
            <c:numRef>
              <c:f>'graph data'!$D$183:$D$184</c:f>
              <c:numCache>
                <c:formatCode>General</c:formatCode>
                <c:ptCount val="2"/>
                <c:pt idx="0">
                  <c:v>84.929133858267718</c:v>
                </c:pt>
                <c:pt idx="1">
                  <c:v>84.929133858267718</c:v>
                </c:pt>
              </c:numCache>
            </c:numRef>
          </c:yVal>
          <c:smooth val="0"/>
        </c:ser>
        <c:ser>
          <c:idx val="0"/>
          <c:order val="2"/>
          <c:tx>
            <c:strRef>
              <c:f>'Output hourly'!$D$9</c:f>
              <c:strCache>
                <c:ptCount val="1"/>
                <c:pt idx="0">
                  <c:v> 07/21  15:00:00</c:v>
                </c:pt>
              </c:strCache>
            </c:strRef>
          </c:tx>
          <c:dPt>
            <c:idx val="0"/>
            <c:marker>
              <c:symbol val="none"/>
            </c:marker>
            <c:bubble3D val="0"/>
            <c:spPr>
              <a:ln>
                <a:noFill/>
              </a:ln>
            </c:spPr>
          </c:dPt>
          <c:dLbls>
            <c:dLbl>
              <c:idx val="0"/>
              <c:layout>
                <c:manualLayout>
                  <c:x val="-4.3224946912044968E-2"/>
                  <c:y val="0.34771243619538039"/>
                </c:manualLayout>
              </c:layout>
              <c:dLblPos val="r"/>
              <c:showLegendKey val="0"/>
              <c:showVal val="0"/>
              <c:showCatName val="0"/>
              <c:showSerName val="1"/>
              <c:showPercent val="0"/>
              <c:showBubbleSize val="0"/>
            </c:dLbl>
            <c:spPr>
              <a:noFill/>
              <a:ln>
                <a:noFill/>
              </a:ln>
            </c:spPr>
            <c:txPr>
              <a:bodyPr/>
              <a:lstStyle/>
              <a:p>
                <a:pPr>
                  <a:defRPr lang="en-IE" sz="1600"/>
                </a:pPr>
                <a:endParaRPr lang="en-US"/>
              </a:p>
            </c:txPr>
            <c:dLblPos val="ctr"/>
            <c:showLegendKey val="0"/>
            <c:showVal val="0"/>
            <c:showCatName val="0"/>
            <c:showSerName val="1"/>
            <c:showPercent val="0"/>
            <c:showBubbleSize val="0"/>
            <c:showLeaderLines val="0"/>
          </c:dLbls>
          <c:xVal>
            <c:numLit>
              <c:formatCode>General</c:formatCode>
              <c:ptCount val="1"/>
              <c:pt idx="0">
                <c:v>50</c:v>
              </c:pt>
            </c:numLit>
          </c:xVal>
          <c:yVal>
            <c:numLit>
              <c:formatCode>General</c:formatCode>
              <c:ptCount val="1"/>
              <c:pt idx="0">
                <c:v>155</c:v>
              </c:pt>
            </c:numLit>
          </c:yVal>
          <c:smooth val="0"/>
        </c:ser>
        <c:dLbls>
          <c:showLegendKey val="0"/>
          <c:showVal val="0"/>
          <c:showCatName val="0"/>
          <c:showSerName val="0"/>
          <c:showPercent val="0"/>
          <c:showBubbleSize val="0"/>
        </c:dLbls>
        <c:axId val="133833472"/>
        <c:axId val="133835008"/>
      </c:scatterChart>
      <c:valAx>
        <c:axId val="133833472"/>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3835008"/>
        <c:crosses val="autoZero"/>
        <c:crossBetween val="midCat"/>
        <c:majorUnit val="5"/>
        <c:minorUnit val="2"/>
      </c:valAx>
      <c:valAx>
        <c:axId val="133835008"/>
        <c:scaling>
          <c:orientation val="minMax"/>
          <c:max val="180"/>
          <c:min val="0"/>
        </c:scaling>
        <c:delete val="1"/>
        <c:axPos val="l"/>
        <c:numFmt formatCode="General" sourceLinked="1"/>
        <c:majorTickMark val="out"/>
        <c:minorTickMark val="none"/>
        <c:tickLblPos val="none"/>
        <c:crossAx val="133833472"/>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96988785492298"/>
          <c:y val="0.18892538191768102"/>
          <c:w val="0.86577437365787024"/>
          <c:h val="0.66123883671186479"/>
        </c:manualLayout>
      </c:layout>
      <c:barChart>
        <c:barDir val="col"/>
        <c:grouping val="clustered"/>
        <c:varyColors val="0"/>
        <c:ser>
          <c:idx val="0"/>
          <c:order val="0"/>
          <c:tx>
            <c:strRef>
              <c:f>'graph data'!$B$330</c:f>
              <c:strCache>
                <c:ptCount val="1"/>
                <c:pt idx="0">
                  <c:v>Thermal Decay for MF</c:v>
                </c:pt>
              </c:strCache>
            </c:strRef>
          </c:tx>
          <c:spPr>
            <a:solidFill>
              <a:srgbClr val="339966"/>
            </a:solidFill>
            <a:ln>
              <a:noFill/>
            </a:ln>
          </c:spPr>
          <c:invertIfNegative val="0"/>
          <c:cat>
            <c:strRef>
              <c:f>'graph data'!$B$331:$B$336</c:f>
              <c:strCache>
                <c:ptCount val="6"/>
                <c:pt idx="0">
                  <c:v>East</c:v>
                </c:pt>
                <c:pt idx="1">
                  <c:v>West</c:v>
                </c:pt>
                <c:pt idx="2">
                  <c:v>South</c:v>
                </c:pt>
                <c:pt idx="3">
                  <c:v>North</c:v>
                </c:pt>
                <c:pt idx="4">
                  <c:v>Core</c:v>
                </c:pt>
                <c:pt idx="5">
                  <c:v>Average</c:v>
                </c:pt>
              </c:strCache>
            </c:strRef>
          </c:cat>
          <c:val>
            <c:numRef>
              <c:f>'graph data'!$C$331:$C$336</c:f>
              <c:numCache>
                <c:formatCode>0.0</c:formatCode>
                <c:ptCount val="6"/>
                <c:pt idx="0">
                  <c:v>8.9795696344406934</c:v>
                </c:pt>
                <c:pt idx="1">
                  <c:v>8.0996314474252671</c:v>
                </c:pt>
                <c:pt idx="2">
                  <c:v>8.6324671325125735</c:v>
                </c:pt>
                <c:pt idx="3">
                  <c:v>8.9917244526707947</c:v>
                </c:pt>
                <c:pt idx="4">
                  <c:v>4.7929489690516078</c:v>
                </c:pt>
                <c:pt idx="5">
                  <c:v>7.8992683272201845</c:v>
                </c:pt>
              </c:numCache>
            </c:numRef>
          </c:val>
        </c:ser>
        <c:dLbls>
          <c:showLegendKey val="0"/>
          <c:showVal val="0"/>
          <c:showCatName val="0"/>
          <c:showSerName val="0"/>
          <c:showPercent val="0"/>
          <c:showBubbleSize val="0"/>
        </c:dLbls>
        <c:gapWidth val="150"/>
        <c:axId val="133699456"/>
        <c:axId val="133700992"/>
      </c:barChart>
      <c:catAx>
        <c:axId val="133699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33700992"/>
        <c:crosses val="autoZero"/>
        <c:auto val="1"/>
        <c:lblAlgn val="ctr"/>
        <c:lblOffset val="100"/>
        <c:tickLblSkip val="1"/>
        <c:tickMarkSkip val="1"/>
        <c:noMultiLvlLbl val="0"/>
      </c:catAx>
      <c:valAx>
        <c:axId val="133700992"/>
        <c:scaling>
          <c:orientation val="minMax"/>
          <c:max val="8"/>
          <c:min val="-4"/>
        </c:scaling>
        <c:delete val="0"/>
        <c:axPos val="l"/>
        <c:majorGridlines>
          <c:spPr>
            <a:ln w="3175">
              <a:prstDash val="sysDot"/>
            </a:ln>
          </c:spPr>
        </c:majorGridlines>
        <c:title>
          <c:tx>
            <c:rich>
              <a:bodyPr rot="-5400000" vert="horz"/>
              <a:lstStyle/>
              <a:p>
                <a:pPr>
                  <a:defRPr lang="en-IE"/>
                </a:pPr>
                <a:r>
                  <a:rPr lang="en-US" sz="1200" b="1" i="0" baseline="0"/>
                  <a:t>Temperature difference (AHU-Plenum average) [°F]</a:t>
                </a:r>
                <a:endParaRPr lang="en-US" sz="1200" b="1"/>
              </a:p>
            </c:rich>
          </c:tx>
          <c:layout>
            <c:manualLayout>
              <c:xMode val="edge"/>
              <c:yMode val="edge"/>
              <c:x val="1.5868861846815643E-2"/>
              <c:y val="0.18892553159529527"/>
            </c:manualLayout>
          </c:layout>
          <c:overlay val="0"/>
        </c:title>
        <c:numFmt formatCode="0.0"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33699456"/>
        <c:crosses val="autoZero"/>
        <c:crossBetween val="between"/>
        <c:majorUnit val="2"/>
        <c:minorUnit val="1"/>
      </c:valAx>
      <c:spPr>
        <a:noFill/>
      </c:spPr>
    </c:plotArea>
    <c:legend>
      <c:legendPos val="t"/>
      <c:legendEntry>
        <c:idx val="0"/>
        <c:txPr>
          <a:bodyPr/>
          <a:lstStyle/>
          <a:p>
            <a:pPr>
              <a:defRPr lang="en-IE" sz="1200" b="1" i="0" u="none" strike="noStrike" baseline="0">
                <a:solidFill>
                  <a:srgbClr val="000000"/>
                </a:solidFill>
                <a:latin typeface="Arial"/>
                <a:ea typeface="Arial"/>
                <a:cs typeface="Arial"/>
              </a:defRPr>
            </a:pPr>
            <a:endParaRPr lang="en-US"/>
          </a:p>
        </c:txPr>
      </c:legendEntry>
      <c:layout/>
      <c:overlay val="0"/>
      <c:spPr>
        <a:solidFill>
          <a:srgbClr val="FFFFFF"/>
        </a:solidFill>
        <a:ln w="3175">
          <a:noFill/>
          <a:prstDash val="solid"/>
        </a:ln>
      </c:spPr>
      <c:txPr>
        <a:bodyPr/>
        <a:lstStyle/>
        <a:p>
          <a:pPr>
            <a:defRPr lang="en-IE" sz="990" b="1" i="0" u="none" strike="noStrike" baseline="0">
              <a:solidFill>
                <a:srgbClr val="000000"/>
              </a:solidFill>
              <a:latin typeface="Arial"/>
              <a:ea typeface="Arial"/>
              <a:cs typeface="Arial"/>
            </a:defRPr>
          </a:pPr>
          <a:endParaRPr lang="en-US"/>
        </a:p>
      </c:txPr>
    </c:legend>
    <c:plotVisOnly val="1"/>
    <c:dispBlanksAs val="gap"/>
    <c:showDLblsOverMax val="0"/>
  </c:chart>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75595323311857"/>
          <c:y val="0.17567625526636171"/>
          <c:w val="0.73074664757820185"/>
          <c:h val="0.70240010947601028"/>
        </c:manualLayout>
      </c:layout>
      <c:barChart>
        <c:barDir val="col"/>
        <c:grouping val="clustered"/>
        <c:varyColors val="0"/>
        <c:ser>
          <c:idx val="0"/>
          <c:order val="0"/>
          <c:tx>
            <c:strRef>
              <c:f>'Output hourly'!$F$53</c:f>
              <c:strCache>
                <c:ptCount val="1"/>
                <c:pt idx="0">
                  <c:v>Air flow rate entering the zone</c:v>
                </c:pt>
              </c:strCache>
            </c:strRef>
          </c:tx>
          <c:spPr>
            <a:solidFill>
              <a:srgbClr val="9999FF"/>
            </a:solidFill>
            <a:ln w="12700">
              <a:noFill/>
              <a:prstDash val="solid"/>
            </a:ln>
          </c:spPr>
          <c:invertIfNegative val="0"/>
          <c:cat>
            <c:strRef>
              <c:f>('Output hourly'!$D$4,'Output hourly'!$D$5)</c:f>
              <c:strCache>
                <c:ptCount val="2"/>
                <c:pt idx="0">
                  <c:v>Core</c:v>
                </c:pt>
                <c:pt idx="1">
                  <c:v>West</c:v>
                </c:pt>
              </c:strCache>
            </c:strRef>
          </c:cat>
          <c:val>
            <c:numRef>
              <c:f>('Output hourly'!$H$53,'Output hourly'!$I$53)</c:f>
              <c:numCache>
                <c:formatCode>0.00</c:formatCode>
                <c:ptCount val="2"/>
                <c:pt idx="0">
                  <c:v>0.41317749676370413</c:v>
                </c:pt>
                <c:pt idx="1">
                  <c:v>1.6840835412688855</c:v>
                </c:pt>
              </c:numCache>
            </c:numRef>
          </c:val>
        </c:ser>
        <c:dLbls>
          <c:showLegendKey val="0"/>
          <c:showVal val="0"/>
          <c:showCatName val="0"/>
          <c:showSerName val="0"/>
          <c:showPercent val="0"/>
          <c:showBubbleSize val="0"/>
        </c:dLbls>
        <c:gapWidth val="150"/>
        <c:axId val="133726208"/>
        <c:axId val="133727744"/>
      </c:barChart>
      <c:catAx>
        <c:axId val="133726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727744"/>
        <c:crosses val="autoZero"/>
        <c:auto val="1"/>
        <c:lblAlgn val="ctr"/>
        <c:lblOffset val="100"/>
        <c:tickLblSkip val="1"/>
        <c:tickMarkSkip val="1"/>
        <c:noMultiLvlLbl val="0"/>
      </c:catAx>
      <c:valAx>
        <c:axId val="133727744"/>
        <c:scaling>
          <c:orientation val="minMax"/>
          <c:max val="2"/>
        </c:scaling>
        <c:delete val="0"/>
        <c:axPos val="l"/>
        <c:majorGridlines>
          <c:spPr>
            <a:ln w="3175">
              <a:prstDash val="sysDot"/>
            </a:ln>
          </c:spPr>
        </c:majorGridlines>
        <c:title>
          <c:tx>
            <c:rich>
              <a:bodyPr rot="-5400000" vert="horz"/>
              <a:lstStyle/>
              <a:p>
                <a:pPr>
                  <a:defRPr lang="en-IE" sz="1200" b="1"/>
                </a:pPr>
                <a:r>
                  <a:rPr lang="en-US" sz="1200" b="1"/>
                  <a:t>Supply air flow rate [cfm/sf]</a:t>
                </a:r>
              </a:p>
            </c:rich>
          </c:tx>
          <c:layout>
            <c:manualLayout>
              <c:xMode val="edge"/>
              <c:yMode val="edge"/>
              <c:x val="1.8899355762347903E-2"/>
              <c:y val="0.13277752486950267"/>
            </c:manualLayout>
          </c:layout>
          <c:overlay val="0"/>
        </c:title>
        <c:numFmt formatCode="0.00" sourceLinked="0"/>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726208"/>
        <c:crosses val="autoZero"/>
        <c:crossBetween val="between"/>
      </c:valAx>
      <c:spPr>
        <a:noFill/>
      </c:spPr>
    </c:plotArea>
    <c:legend>
      <c:legendPos val="t"/>
      <c:layout>
        <c:manualLayout>
          <c:xMode val="edge"/>
          <c:yMode val="edge"/>
          <c:x val="0.19631057026962537"/>
          <c:y val="4.4094491834135094E-2"/>
          <c:w val="0.66313643521833165"/>
          <c:h val="0.12649679678399744"/>
        </c:manualLayout>
      </c:layout>
      <c:overlay val="0"/>
      <c:txPr>
        <a:bodyPr/>
        <a:lstStyle/>
        <a:p>
          <a:pPr>
            <a:defRPr lang="en-IE" sz="1200" b="1"/>
          </a:pPr>
          <a:endParaRPr lang="en-US"/>
        </a:p>
      </c:txPr>
    </c:legend>
    <c:plotVisOnly val="1"/>
    <c:dispBlanksAs val="gap"/>
    <c:showDLblsOverMax val="0"/>
  </c:chart>
  <c:spPr>
    <a:solidFill>
      <a:srgbClr val="FFFFFF"/>
    </a:solidFill>
  </c:spPr>
  <c:txPr>
    <a:bodyPr/>
    <a:lstStyle/>
    <a:p>
      <a:pPr>
        <a:defRPr sz="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562455559019433E-2"/>
          <c:y val="6.0606198568160345E-2"/>
          <c:w val="0.90243965659162662"/>
          <c:h val="0.8345007341308236"/>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'graph data'!$B$414:$B$437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'graph data'!$D$414:$D$437</c:f>
              <c:numCache>
                <c:formatCode>General</c:formatCode>
                <c:ptCount val="24"/>
                <c:pt idx="0">
                  <c:v>0</c:v>
                </c:pt>
                <c:pt idx="1">
                  <c:v>0</c:v>
                </c:pt>
                <c:pt idx="2">
                  <c:v>0</c:v>
                </c:pt>
                <c:pt idx="3">
                  <c:v>0</c:v>
                </c:pt>
                <c:pt idx="4">
                  <c:v>0.44444009124223804</c:v>
                </c:pt>
                <c:pt idx="5">
                  <c:v>0.41951894055869265</c:v>
                </c:pt>
                <c:pt idx="6">
                  <c:v>0.67138255241070421</c:v>
                </c:pt>
                <c:pt idx="7">
                  <c:v>0.6105815977466692</c:v>
                </c:pt>
                <c:pt idx="8">
                  <c:v>0.65394997446944858</c:v>
                </c:pt>
                <c:pt idx="9">
                  <c:v>0.68333509369479473</c:v>
                </c:pt>
                <c:pt idx="10">
                  <c:v>0.69351370668324108</c:v>
                </c:pt>
                <c:pt idx="11">
                  <c:v>0.69432970604739963</c:v>
                </c:pt>
                <c:pt idx="12">
                  <c:v>0.61074754667192455</c:v>
                </c:pt>
                <c:pt idx="13">
                  <c:v>0.63187310933211138</c:v>
                </c:pt>
                <c:pt idx="14">
                  <c:v>0.63096795232199632</c:v>
                </c:pt>
                <c:pt idx="15">
                  <c:v>0.61123985848349283</c:v>
                </c:pt>
                <c:pt idx="16">
                  <c:v>0.29942802512821381</c:v>
                </c:pt>
                <c:pt idx="17">
                  <c:v>0.24043237283057348</c:v>
                </c:pt>
                <c:pt idx="18">
                  <c:v>0</c:v>
                </c:pt>
                <c:pt idx="19">
                  <c:v>0</c:v>
                </c:pt>
                <c:pt idx="20">
                  <c:v>0</c:v>
                </c:pt>
                <c:pt idx="21">
                  <c:v>0</c:v>
                </c:pt>
                <c:pt idx="22">
                  <c:v>0</c:v>
                </c:pt>
                <c:pt idx="23">
                  <c:v>0</c:v>
                </c:pt>
              </c:numCache>
            </c:numRef>
          </c:yVal>
          <c:smooth val="0"/>
        </c:ser>
        <c:dLbls>
          <c:showLegendKey val="0"/>
          <c:showVal val="0"/>
          <c:showCatName val="0"/>
          <c:showSerName val="0"/>
          <c:showPercent val="0"/>
          <c:showBubbleSize val="0"/>
        </c:dLbls>
        <c:axId val="136484736"/>
        <c:axId val="136507392"/>
      </c:scatterChart>
      <c:valAx>
        <c:axId val="136484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6507392"/>
        <c:crosses val="autoZero"/>
        <c:crossBetween val="midCat"/>
      </c:valAx>
      <c:valAx>
        <c:axId val="136507392"/>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6484736"/>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649396488244623E-2"/>
          <c:y val="4.4303797468354431E-2"/>
          <c:w val="0.84932037968960061"/>
          <c:h val="0.71360759493670889"/>
        </c:manualLayout>
      </c:layout>
      <c:scatterChart>
        <c:scatterStyle val="lineMarker"/>
        <c:varyColors val="0"/>
        <c:ser>
          <c:idx val="0"/>
          <c:order val="0"/>
          <c:tx>
            <c:strRef>
              <c:f>'graph data'!$D$444</c:f>
              <c:strCache>
                <c:ptCount val="1"/>
                <c:pt idx="0">
                  <c:v>TFCORE:UF Occupied Subzone Temperature[C](Hourly)</c:v>
                </c:pt>
              </c:strCache>
            </c:strRef>
          </c:tx>
          <c:spPr>
            <a:ln w="12700">
              <a:solidFill>
                <a:schemeClr val="tx2">
                  <a:lumMod val="75000"/>
                </a:schemeClr>
              </a:solidFill>
              <a:prstDash val="solid"/>
            </a:ln>
          </c:spPr>
          <c:marker>
            <c:symbol val="diamond"/>
            <c:size val="5"/>
            <c:spPr>
              <a:solidFill>
                <a:schemeClr val="tx2">
                  <a:lumMod val="75000"/>
                </a:schemeClr>
              </a:solidFill>
              <a:ln>
                <a:solidFill>
                  <a:srgbClr val="0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data'!$D$445:$D$612</c:f>
              <c:numCache>
                <c:formatCode>0.0</c:formatCode>
                <c:ptCount val="168"/>
                <c:pt idx="0">
                  <c:v>19.754105066848901</c:v>
                </c:pt>
                <c:pt idx="1">
                  <c:v>19.278015591485499</c:v>
                </c:pt>
                <c:pt idx="2">
                  <c:v>18.7986474088924</c:v>
                </c:pt>
                <c:pt idx="3">
                  <c:v>18.303187145472901</c:v>
                </c:pt>
                <c:pt idx="4">
                  <c:v>17.8164049282638</c:v>
                </c:pt>
                <c:pt idx="5">
                  <c:v>17.726202303246598</c:v>
                </c:pt>
                <c:pt idx="6">
                  <c:v>17.9926549646685</c:v>
                </c:pt>
                <c:pt idx="7">
                  <c:v>21.2557632640316</c:v>
                </c:pt>
                <c:pt idx="8">
                  <c:v>22.606565212647901</c:v>
                </c:pt>
                <c:pt idx="9">
                  <c:v>23.8870884467655</c:v>
                </c:pt>
                <c:pt idx="10">
                  <c:v>24.307925178089</c:v>
                </c:pt>
                <c:pt idx="11">
                  <c:v>24.2488075341384</c:v>
                </c:pt>
                <c:pt idx="12">
                  <c:v>24.060139554026801</c:v>
                </c:pt>
                <c:pt idx="13">
                  <c:v>23.924254152923002</c:v>
                </c:pt>
                <c:pt idx="14">
                  <c:v>23.910820298451299</c:v>
                </c:pt>
                <c:pt idx="15">
                  <c:v>23.914042337321899</c:v>
                </c:pt>
                <c:pt idx="16">
                  <c:v>23.9071668496344</c:v>
                </c:pt>
                <c:pt idx="17">
                  <c:v>23.135378070997</c:v>
                </c:pt>
                <c:pt idx="18">
                  <c:v>21.809779854992001</c:v>
                </c:pt>
                <c:pt idx="19">
                  <c:v>22.8114040707706</c:v>
                </c:pt>
                <c:pt idx="20">
                  <c:v>21.9821420466055</c:v>
                </c:pt>
                <c:pt idx="21">
                  <c:v>21.2891726718365</c:v>
                </c:pt>
                <c:pt idx="22">
                  <c:v>20.634394652006002</c:v>
                </c:pt>
                <c:pt idx="23">
                  <c:v>20.0084521957696</c:v>
                </c:pt>
                <c:pt idx="24">
                  <c:v>19.4078268593275</c:v>
                </c:pt>
                <c:pt idx="25">
                  <c:v>18.840632544158002</c:v>
                </c:pt>
                <c:pt idx="26">
                  <c:v>18.304093859207299</c:v>
                </c:pt>
                <c:pt idx="27">
                  <c:v>17.786208882484601</c:v>
                </c:pt>
                <c:pt idx="28">
                  <c:v>17.2976139292558</c:v>
                </c:pt>
                <c:pt idx="29">
                  <c:v>17.270501243975801</c:v>
                </c:pt>
                <c:pt idx="30">
                  <c:v>17.651565150569802</c:v>
                </c:pt>
                <c:pt idx="31">
                  <c:v>21.004700268040601</c:v>
                </c:pt>
                <c:pt idx="32">
                  <c:v>22.367155094818401</c:v>
                </c:pt>
                <c:pt idx="33">
                  <c:v>23.753760606362299</c:v>
                </c:pt>
                <c:pt idx="34">
                  <c:v>24.3111886080647</c:v>
                </c:pt>
                <c:pt idx="35">
                  <c:v>24.288236874052</c:v>
                </c:pt>
                <c:pt idx="36">
                  <c:v>24.119936683565399</c:v>
                </c:pt>
                <c:pt idx="37">
                  <c:v>23.933106696645599</c:v>
                </c:pt>
                <c:pt idx="38">
                  <c:v>23.9129901534439</c:v>
                </c:pt>
                <c:pt idx="39">
                  <c:v>23.911689094261401</c:v>
                </c:pt>
                <c:pt idx="40">
                  <c:v>23.9048077047043</c:v>
                </c:pt>
                <c:pt idx="41">
                  <c:v>23.218762055115601</c:v>
                </c:pt>
                <c:pt idx="42">
                  <c:v>22.0047722803723</c:v>
                </c:pt>
                <c:pt idx="43">
                  <c:v>23.062722113402</c:v>
                </c:pt>
                <c:pt idx="44">
                  <c:v>22.266225659584101</c:v>
                </c:pt>
                <c:pt idx="45">
                  <c:v>21.585188779184101</c:v>
                </c:pt>
                <c:pt idx="46">
                  <c:v>20.931015152051</c:v>
                </c:pt>
                <c:pt idx="47">
                  <c:v>20.325982829283799</c:v>
                </c:pt>
                <c:pt idx="48">
                  <c:v>19.7662947552035</c:v>
                </c:pt>
                <c:pt idx="49">
                  <c:v>19.2183886650005</c:v>
                </c:pt>
                <c:pt idx="50">
                  <c:v>18.6499442497832</c:v>
                </c:pt>
                <c:pt idx="51">
                  <c:v>18.049953866703</c:v>
                </c:pt>
                <c:pt idx="52">
                  <c:v>17.502545502726299</c:v>
                </c:pt>
                <c:pt idx="53">
                  <c:v>17.4662006874998</c:v>
                </c:pt>
                <c:pt idx="54">
                  <c:v>17.840401515286199</c:v>
                </c:pt>
                <c:pt idx="55">
                  <c:v>21.198327530895799</c:v>
                </c:pt>
                <c:pt idx="56">
                  <c:v>22.558439464409499</c:v>
                </c:pt>
                <c:pt idx="57">
                  <c:v>23.8285450015299</c:v>
                </c:pt>
                <c:pt idx="58">
                  <c:v>24.275464423139798</c:v>
                </c:pt>
                <c:pt idx="59">
                  <c:v>24.257857652844301</c:v>
                </c:pt>
                <c:pt idx="60">
                  <c:v>24.090177618745599</c:v>
                </c:pt>
                <c:pt idx="61">
                  <c:v>23.927234943203</c:v>
                </c:pt>
                <c:pt idx="62">
                  <c:v>23.9112772883594</c:v>
                </c:pt>
                <c:pt idx="63">
                  <c:v>23.913817245605902</c:v>
                </c:pt>
                <c:pt idx="64">
                  <c:v>23.905696875673701</c:v>
                </c:pt>
                <c:pt idx="65">
                  <c:v>23.145553859761499</c:v>
                </c:pt>
                <c:pt idx="66">
                  <c:v>21.859030126574702</c:v>
                </c:pt>
                <c:pt idx="67">
                  <c:v>22.925624912825999</c:v>
                </c:pt>
                <c:pt idx="68">
                  <c:v>22.154661787143301</c:v>
                </c:pt>
                <c:pt idx="69">
                  <c:v>21.520704223327499</c:v>
                </c:pt>
                <c:pt idx="70">
                  <c:v>20.9251080011399</c:v>
                </c:pt>
                <c:pt idx="71">
                  <c:v>20.345991561873198</c:v>
                </c:pt>
                <c:pt idx="72">
                  <c:v>19.7810648487458</c:v>
                </c:pt>
                <c:pt idx="73">
                  <c:v>19.2425849197502</c:v>
                </c:pt>
                <c:pt idx="74">
                  <c:v>18.7395665948683</c:v>
                </c:pt>
                <c:pt idx="75">
                  <c:v>18.272736914423799</c:v>
                </c:pt>
                <c:pt idx="76">
                  <c:v>17.836793484439099</c:v>
                </c:pt>
                <c:pt idx="77">
                  <c:v>17.425487572825499</c:v>
                </c:pt>
                <c:pt idx="78">
                  <c:v>17.411331538909</c:v>
                </c:pt>
                <c:pt idx="79">
                  <c:v>17.9362020352985</c:v>
                </c:pt>
                <c:pt idx="80">
                  <c:v>18.6772669816987</c:v>
                </c:pt>
                <c:pt idx="81">
                  <c:v>19.231517660392701</c:v>
                </c:pt>
                <c:pt idx="82">
                  <c:v>19.121927983620001</c:v>
                </c:pt>
                <c:pt idx="83">
                  <c:v>19.7520777727362</c:v>
                </c:pt>
                <c:pt idx="84">
                  <c:v>20.234933321325201</c:v>
                </c:pt>
                <c:pt idx="85">
                  <c:v>22.4127262873549</c:v>
                </c:pt>
                <c:pt idx="86">
                  <c:v>23.004666512598799</c:v>
                </c:pt>
                <c:pt idx="87">
                  <c:v>23.429158578532501</c:v>
                </c:pt>
                <c:pt idx="88">
                  <c:v>23.477901086684799</c:v>
                </c:pt>
                <c:pt idx="89">
                  <c:v>23.125854453203502</c:v>
                </c:pt>
                <c:pt idx="90">
                  <c:v>22.6630951435769</c:v>
                </c:pt>
                <c:pt idx="91">
                  <c:v>22.183678650997699</c:v>
                </c:pt>
                <c:pt idx="92">
                  <c:v>21.709471841878901</c:v>
                </c:pt>
                <c:pt idx="93">
                  <c:v>21.251638582592602</c:v>
                </c:pt>
                <c:pt idx="94">
                  <c:v>20.784396746747099</c:v>
                </c:pt>
                <c:pt idx="95">
                  <c:v>20.3067394002002</c:v>
                </c:pt>
                <c:pt idx="96">
                  <c:v>19.8222348437275</c:v>
                </c:pt>
                <c:pt idx="97">
                  <c:v>19.324863875431099</c:v>
                </c:pt>
                <c:pt idx="98">
                  <c:v>18.8105458786947</c:v>
                </c:pt>
                <c:pt idx="99">
                  <c:v>18.293355543117901</c:v>
                </c:pt>
                <c:pt idx="100">
                  <c:v>17.793259281125</c:v>
                </c:pt>
                <c:pt idx="101">
                  <c:v>17.331094448699101</c:v>
                </c:pt>
                <c:pt idx="102">
                  <c:v>17.239524987413599</c:v>
                </c:pt>
                <c:pt idx="103">
                  <c:v>17.713707633378402</c:v>
                </c:pt>
                <c:pt idx="104">
                  <c:v>18.401129022050402</c:v>
                </c:pt>
                <c:pt idx="105">
                  <c:v>18.546041383554801</c:v>
                </c:pt>
                <c:pt idx="106">
                  <c:v>18.584442743933099</c:v>
                </c:pt>
                <c:pt idx="107">
                  <c:v>19.3050333613707</c:v>
                </c:pt>
                <c:pt idx="108">
                  <c:v>19.9519519158573</c:v>
                </c:pt>
                <c:pt idx="109">
                  <c:v>22.129543972640601</c:v>
                </c:pt>
                <c:pt idx="110">
                  <c:v>22.805657886197899</c:v>
                </c:pt>
                <c:pt idx="111">
                  <c:v>23.303165878262401</c:v>
                </c:pt>
                <c:pt idx="112">
                  <c:v>23.406731237391099</c:v>
                </c:pt>
                <c:pt idx="113">
                  <c:v>23.0532526319097</c:v>
                </c:pt>
                <c:pt idx="114">
                  <c:v>22.546365334003799</c:v>
                </c:pt>
                <c:pt idx="115">
                  <c:v>22.0005480433915</c:v>
                </c:pt>
                <c:pt idx="116">
                  <c:v>21.507930213340298</c:v>
                </c:pt>
                <c:pt idx="117">
                  <c:v>21.048659302083799</c:v>
                </c:pt>
                <c:pt idx="118">
                  <c:v>20.6117280303759</c:v>
                </c:pt>
                <c:pt idx="119">
                  <c:v>20.194882386064201</c:v>
                </c:pt>
                <c:pt idx="120">
                  <c:v>19.788242508262801</c:v>
                </c:pt>
                <c:pt idx="121">
                  <c:v>19.374364957140799</c:v>
                </c:pt>
                <c:pt idx="122">
                  <c:v>18.934639285437001</c:v>
                </c:pt>
                <c:pt idx="123">
                  <c:v>18.463033847148001</c:v>
                </c:pt>
                <c:pt idx="124">
                  <c:v>18.0066895746806</c:v>
                </c:pt>
                <c:pt idx="125">
                  <c:v>17.879624090032198</c:v>
                </c:pt>
                <c:pt idx="126">
                  <c:v>18.125464223061901</c:v>
                </c:pt>
                <c:pt idx="127">
                  <c:v>21.4444939953495</c:v>
                </c:pt>
                <c:pt idx="128">
                  <c:v>22.7635672856469</c:v>
                </c:pt>
                <c:pt idx="129">
                  <c:v>23.9246046269731</c:v>
                </c:pt>
                <c:pt idx="130">
                  <c:v>24.282117311712199</c:v>
                </c:pt>
                <c:pt idx="131">
                  <c:v>24.246150326722098</c:v>
                </c:pt>
                <c:pt idx="132">
                  <c:v>24.063008159023202</c:v>
                </c:pt>
                <c:pt idx="133">
                  <c:v>23.927787795936698</c:v>
                </c:pt>
                <c:pt idx="134">
                  <c:v>23.912964986323601</c:v>
                </c:pt>
                <c:pt idx="135">
                  <c:v>23.916058156262899</c:v>
                </c:pt>
                <c:pt idx="136">
                  <c:v>23.9096620938857</c:v>
                </c:pt>
                <c:pt idx="137">
                  <c:v>23.4659527395916</c:v>
                </c:pt>
                <c:pt idx="138">
                  <c:v>22.506281775938699</c:v>
                </c:pt>
                <c:pt idx="139">
                  <c:v>23.886607358303401</c:v>
                </c:pt>
                <c:pt idx="140">
                  <c:v>23.336025570815199</c:v>
                </c:pt>
                <c:pt idx="141">
                  <c:v>22.7738691403041</c:v>
                </c:pt>
                <c:pt idx="142">
                  <c:v>22.229426389536599</c:v>
                </c:pt>
                <c:pt idx="143">
                  <c:v>21.6899000840585</c:v>
                </c:pt>
                <c:pt idx="144">
                  <c:v>21.159823671974099</c:v>
                </c:pt>
                <c:pt idx="145">
                  <c:v>20.674070257654702</c:v>
                </c:pt>
                <c:pt idx="146">
                  <c:v>20.272081032090899</c:v>
                </c:pt>
                <c:pt idx="147">
                  <c:v>19.954909913004599</c:v>
                </c:pt>
                <c:pt idx="148">
                  <c:v>19.701554114404701</c:v>
                </c:pt>
                <c:pt idx="149">
                  <c:v>19.682412003572001</c:v>
                </c:pt>
                <c:pt idx="150">
                  <c:v>19.804911247364799</c:v>
                </c:pt>
                <c:pt idx="151">
                  <c:v>22.4055850402235</c:v>
                </c:pt>
                <c:pt idx="152">
                  <c:v>23.522880513266401</c:v>
                </c:pt>
                <c:pt idx="153">
                  <c:v>23.903981366745199</c:v>
                </c:pt>
                <c:pt idx="154">
                  <c:v>24.058113172237</c:v>
                </c:pt>
                <c:pt idx="155">
                  <c:v>24.019613435881599</c:v>
                </c:pt>
                <c:pt idx="156">
                  <c:v>23.9215877402786</c:v>
                </c:pt>
                <c:pt idx="157">
                  <c:v>23.9096811660336</c:v>
                </c:pt>
                <c:pt idx="158">
                  <c:v>23.905180273099699</c:v>
                </c:pt>
                <c:pt idx="159">
                  <c:v>23.906459970165098</c:v>
                </c:pt>
                <c:pt idx="160">
                  <c:v>23.9021577900015</c:v>
                </c:pt>
                <c:pt idx="161">
                  <c:v>23.379414323508701</c:v>
                </c:pt>
                <c:pt idx="162">
                  <c:v>22.516988766805699</c:v>
                </c:pt>
                <c:pt idx="163">
                  <c:v>23.7895485433821</c:v>
                </c:pt>
                <c:pt idx="164">
                  <c:v>23.3508858635529</c:v>
                </c:pt>
                <c:pt idx="165">
                  <c:v>22.967113169737399</c:v>
                </c:pt>
                <c:pt idx="166">
                  <c:v>22.608346685793901</c:v>
                </c:pt>
                <c:pt idx="167">
                  <c:v>22.287484894034701</c:v>
                </c:pt>
              </c:numCache>
            </c:numRef>
          </c:yVal>
          <c:smooth val="0"/>
        </c:ser>
        <c:ser>
          <c:idx val="1"/>
          <c:order val="1"/>
          <c:tx>
            <c:strRef>
              <c:f>'graph data'!$F$444</c:f>
              <c:strCache>
                <c:ptCount val="1"/>
                <c:pt idx="0">
                  <c:v>TFCore:Zone/sys Thermostat Cooling Setpoint[C](hourly)</c:v>
                </c:pt>
              </c:strCache>
            </c:strRef>
          </c:tx>
          <c:spPr>
            <a:ln w="12700">
              <a:solidFill>
                <a:srgbClr val="FF00FF"/>
              </a:solidFill>
              <a:prstDash val="solid"/>
            </a:ln>
          </c:spPr>
          <c:marker>
            <c:symbol val="square"/>
            <c:size val="2"/>
            <c:spPr>
              <a:solidFill>
                <a:srgbClr val="FF00FF"/>
              </a:solidFill>
              <a:ln>
                <a:solidFill>
                  <a:srgbClr val="FF00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data'!$F$445:$F$612</c:f>
              <c:numCache>
                <c:formatCode>General</c:formatCode>
                <c:ptCount val="168"/>
                <c:pt idx="0">
                  <c:v>32.22</c:v>
                </c:pt>
                <c:pt idx="1">
                  <c:v>32.22</c:v>
                </c:pt>
                <c:pt idx="2">
                  <c:v>32.22</c:v>
                </c:pt>
                <c:pt idx="3">
                  <c:v>32.22</c:v>
                </c:pt>
                <c:pt idx="4">
                  <c:v>32.22</c:v>
                </c:pt>
                <c:pt idx="5">
                  <c:v>23.89</c:v>
                </c:pt>
                <c:pt idx="6">
                  <c:v>23.89</c:v>
                </c:pt>
                <c:pt idx="7">
                  <c:v>23.89</c:v>
                </c:pt>
                <c:pt idx="8">
                  <c:v>23.89</c:v>
                </c:pt>
                <c:pt idx="9">
                  <c:v>23.89</c:v>
                </c:pt>
                <c:pt idx="10">
                  <c:v>23.89</c:v>
                </c:pt>
                <c:pt idx="11">
                  <c:v>23.89</c:v>
                </c:pt>
                <c:pt idx="12">
                  <c:v>23.89</c:v>
                </c:pt>
                <c:pt idx="13">
                  <c:v>23.89</c:v>
                </c:pt>
                <c:pt idx="14">
                  <c:v>23.89</c:v>
                </c:pt>
                <c:pt idx="15">
                  <c:v>23.89</c:v>
                </c:pt>
                <c:pt idx="16">
                  <c:v>23.89</c:v>
                </c:pt>
                <c:pt idx="17">
                  <c:v>23.89</c:v>
                </c:pt>
                <c:pt idx="18">
                  <c:v>23.89</c:v>
                </c:pt>
                <c:pt idx="19">
                  <c:v>32.22</c:v>
                </c:pt>
                <c:pt idx="20">
                  <c:v>32.22</c:v>
                </c:pt>
                <c:pt idx="21">
                  <c:v>32.22</c:v>
                </c:pt>
                <c:pt idx="22">
                  <c:v>32.22</c:v>
                </c:pt>
                <c:pt idx="23">
                  <c:v>32.22</c:v>
                </c:pt>
                <c:pt idx="24">
                  <c:v>32.22</c:v>
                </c:pt>
                <c:pt idx="25">
                  <c:v>32.22</c:v>
                </c:pt>
                <c:pt idx="26">
                  <c:v>32.22</c:v>
                </c:pt>
                <c:pt idx="27">
                  <c:v>32.22</c:v>
                </c:pt>
                <c:pt idx="28">
                  <c:v>32.22</c:v>
                </c:pt>
                <c:pt idx="29">
                  <c:v>23.89</c:v>
                </c:pt>
                <c:pt idx="30">
                  <c:v>23.89</c:v>
                </c:pt>
                <c:pt idx="31">
                  <c:v>23.89</c:v>
                </c:pt>
                <c:pt idx="32">
                  <c:v>23.89</c:v>
                </c:pt>
                <c:pt idx="33">
                  <c:v>23.89</c:v>
                </c:pt>
                <c:pt idx="34">
                  <c:v>23.89</c:v>
                </c:pt>
                <c:pt idx="35">
                  <c:v>23.89</c:v>
                </c:pt>
                <c:pt idx="36">
                  <c:v>23.89</c:v>
                </c:pt>
                <c:pt idx="37">
                  <c:v>23.89</c:v>
                </c:pt>
                <c:pt idx="38">
                  <c:v>23.89</c:v>
                </c:pt>
                <c:pt idx="39">
                  <c:v>23.89</c:v>
                </c:pt>
                <c:pt idx="40">
                  <c:v>23.89</c:v>
                </c:pt>
                <c:pt idx="41">
                  <c:v>23.89</c:v>
                </c:pt>
                <c:pt idx="42">
                  <c:v>23.89</c:v>
                </c:pt>
                <c:pt idx="43">
                  <c:v>32.22</c:v>
                </c:pt>
                <c:pt idx="44">
                  <c:v>32.22</c:v>
                </c:pt>
                <c:pt idx="45">
                  <c:v>32.22</c:v>
                </c:pt>
                <c:pt idx="46">
                  <c:v>32.22</c:v>
                </c:pt>
                <c:pt idx="47">
                  <c:v>32.22</c:v>
                </c:pt>
                <c:pt idx="48">
                  <c:v>32.22</c:v>
                </c:pt>
                <c:pt idx="49">
                  <c:v>32.22</c:v>
                </c:pt>
                <c:pt idx="50">
                  <c:v>32.22</c:v>
                </c:pt>
                <c:pt idx="51">
                  <c:v>32.22</c:v>
                </c:pt>
                <c:pt idx="52">
                  <c:v>32.22</c:v>
                </c:pt>
                <c:pt idx="53">
                  <c:v>23.89</c:v>
                </c:pt>
                <c:pt idx="54">
                  <c:v>23.89</c:v>
                </c:pt>
                <c:pt idx="55">
                  <c:v>23.89</c:v>
                </c:pt>
                <c:pt idx="56">
                  <c:v>23.89</c:v>
                </c:pt>
                <c:pt idx="57">
                  <c:v>23.89</c:v>
                </c:pt>
                <c:pt idx="58">
                  <c:v>23.89</c:v>
                </c:pt>
                <c:pt idx="59">
                  <c:v>23.89</c:v>
                </c:pt>
                <c:pt idx="60">
                  <c:v>23.89</c:v>
                </c:pt>
                <c:pt idx="61">
                  <c:v>23.89</c:v>
                </c:pt>
                <c:pt idx="62">
                  <c:v>23.89</c:v>
                </c:pt>
                <c:pt idx="63">
                  <c:v>23.89</c:v>
                </c:pt>
                <c:pt idx="64">
                  <c:v>23.89</c:v>
                </c:pt>
                <c:pt idx="65">
                  <c:v>23.89</c:v>
                </c:pt>
                <c:pt idx="66">
                  <c:v>23.89</c:v>
                </c:pt>
                <c:pt idx="67">
                  <c:v>32.22</c:v>
                </c:pt>
                <c:pt idx="68">
                  <c:v>32.22</c:v>
                </c:pt>
                <c:pt idx="69">
                  <c:v>32.22</c:v>
                </c:pt>
                <c:pt idx="70">
                  <c:v>32.22</c:v>
                </c:pt>
                <c:pt idx="71">
                  <c:v>32.22</c:v>
                </c:pt>
                <c:pt idx="72">
                  <c:v>32.22</c:v>
                </c:pt>
                <c:pt idx="73">
                  <c:v>32.22</c:v>
                </c:pt>
                <c:pt idx="74">
                  <c:v>32.22</c:v>
                </c:pt>
                <c:pt idx="75">
                  <c:v>32.22</c:v>
                </c:pt>
                <c:pt idx="76">
                  <c:v>32.22</c:v>
                </c:pt>
                <c:pt idx="77">
                  <c:v>32.22</c:v>
                </c:pt>
                <c:pt idx="78">
                  <c:v>23.89</c:v>
                </c:pt>
                <c:pt idx="79">
                  <c:v>23.89</c:v>
                </c:pt>
                <c:pt idx="80">
                  <c:v>23.89</c:v>
                </c:pt>
                <c:pt idx="81">
                  <c:v>23.89</c:v>
                </c:pt>
                <c:pt idx="82">
                  <c:v>23.89</c:v>
                </c:pt>
                <c:pt idx="83">
                  <c:v>23.89</c:v>
                </c:pt>
                <c:pt idx="84">
                  <c:v>23.89</c:v>
                </c:pt>
                <c:pt idx="85">
                  <c:v>32.22</c:v>
                </c:pt>
                <c:pt idx="86">
                  <c:v>32.22</c:v>
                </c:pt>
                <c:pt idx="87">
                  <c:v>32.22</c:v>
                </c:pt>
                <c:pt idx="88">
                  <c:v>32.22</c:v>
                </c:pt>
                <c:pt idx="89">
                  <c:v>32.22</c:v>
                </c:pt>
                <c:pt idx="90">
                  <c:v>32.22</c:v>
                </c:pt>
                <c:pt idx="91">
                  <c:v>32.22</c:v>
                </c:pt>
                <c:pt idx="92">
                  <c:v>32.22</c:v>
                </c:pt>
                <c:pt idx="93">
                  <c:v>32.22</c:v>
                </c:pt>
                <c:pt idx="94">
                  <c:v>32.22</c:v>
                </c:pt>
                <c:pt idx="95">
                  <c:v>32.22</c:v>
                </c:pt>
                <c:pt idx="96">
                  <c:v>32.22</c:v>
                </c:pt>
                <c:pt idx="97">
                  <c:v>32.22</c:v>
                </c:pt>
                <c:pt idx="98">
                  <c:v>32.22</c:v>
                </c:pt>
                <c:pt idx="99">
                  <c:v>32.22</c:v>
                </c:pt>
                <c:pt idx="100">
                  <c:v>32.22</c:v>
                </c:pt>
                <c:pt idx="101">
                  <c:v>32.22</c:v>
                </c:pt>
                <c:pt idx="102">
                  <c:v>23.89</c:v>
                </c:pt>
                <c:pt idx="103">
                  <c:v>23.89</c:v>
                </c:pt>
                <c:pt idx="104">
                  <c:v>23.89</c:v>
                </c:pt>
                <c:pt idx="105">
                  <c:v>23.89</c:v>
                </c:pt>
                <c:pt idx="106">
                  <c:v>23.89</c:v>
                </c:pt>
                <c:pt idx="107">
                  <c:v>23.89</c:v>
                </c:pt>
                <c:pt idx="108">
                  <c:v>23.89</c:v>
                </c:pt>
                <c:pt idx="109">
                  <c:v>32.22</c:v>
                </c:pt>
                <c:pt idx="110">
                  <c:v>32.22</c:v>
                </c:pt>
                <c:pt idx="111">
                  <c:v>32.22</c:v>
                </c:pt>
                <c:pt idx="112">
                  <c:v>32.22</c:v>
                </c:pt>
                <c:pt idx="113">
                  <c:v>32.22</c:v>
                </c:pt>
                <c:pt idx="114">
                  <c:v>32.22</c:v>
                </c:pt>
                <c:pt idx="115">
                  <c:v>32.22</c:v>
                </c:pt>
                <c:pt idx="116">
                  <c:v>32.22</c:v>
                </c:pt>
                <c:pt idx="117">
                  <c:v>32.22</c:v>
                </c:pt>
                <c:pt idx="118">
                  <c:v>32.22</c:v>
                </c:pt>
                <c:pt idx="119">
                  <c:v>32.22</c:v>
                </c:pt>
                <c:pt idx="120">
                  <c:v>32.22</c:v>
                </c:pt>
                <c:pt idx="121">
                  <c:v>32.22</c:v>
                </c:pt>
                <c:pt idx="122">
                  <c:v>32.22</c:v>
                </c:pt>
                <c:pt idx="123">
                  <c:v>32.22</c:v>
                </c:pt>
                <c:pt idx="124">
                  <c:v>32.22</c:v>
                </c:pt>
                <c:pt idx="125">
                  <c:v>23.89</c:v>
                </c:pt>
                <c:pt idx="126">
                  <c:v>23.89</c:v>
                </c:pt>
                <c:pt idx="127">
                  <c:v>23.89</c:v>
                </c:pt>
                <c:pt idx="128">
                  <c:v>23.89</c:v>
                </c:pt>
                <c:pt idx="129">
                  <c:v>23.89</c:v>
                </c:pt>
                <c:pt idx="130">
                  <c:v>23.89</c:v>
                </c:pt>
                <c:pt idx="131">
                  <c:v>23.89</c:v>
                </c:pt>
                <c:pt idx="132">
                  <c:v>23.89</c:v>
                </c:pt>
                <c:pt idx="133">
                  <c:v>23.89</c:v>
                </c:pt>
                <c:pt idx="134">
                  <c:v>23.89</c:v>
                </c:pt>
                <c:pt idx="135">
                  <c:v>23.89</c:v>
                </c:pt>
                <c:pt idx="136">
                  <c:v>23.89</c:v>
                </c:pt>
                <c:pt idx="137">
                  <c:v>23.89</c:v>
                </c:pt>
                <c:pt idx="138">
                  <c:v>23.89</c:v>
                </c:pt>
                <c:pt idx="139">
                  <c:v>32.22</c:v>
                </c:pt>
                <c:pt idx="140">
                  <c:v>32.22</c:v>
                </c:pt>
                <c:pt idx="141">
                  <c:v>32.22</c:v>
                </c:pt>
                <c:pt idx="142">
                  <c:v>32.22</c:v>
                </c:pt>
                <c:pt idx="143">
                  <c:v>32.22</c:v>
                </c:pt>
                <c:pt idx="144">
                  <c:v>32.22</c:v>
                </c:pt>
                <c:pt idx="145">
                  <c:v>32.22</c:v>
                </c:pt>
                <c:pt idx="146">
                  <c:v>32.22</c:v>
                </c:pt>
                <c:pt idx="147">
                  <c:v>32.22</c:v>
                </c:pt>
                <c:pt idx="148">
                  <c:v>32.22</c:v>
                </c:pt>
                <c:pt idx="149">
                  <c:v>23.89</c:v>
                </c:pt>
                <c:pt idx="150">
                  <c:v>23.89</c:v>
                </c:pt>
                <c:pt idx="151">
                  <c:v>23.89</c:v>
                </c:pt>
                <c:pt idx="152">
                  <c:v>23.89</c:v>
                </c:pt>
                <c:pt idx="153">
                  <c:v>23.89</c:v>
                </c:pt>
                <c:pt idx="154">
                  <c:v>23.89</c:v>
                </c:pt>
                <c:pt idx="155">
                  <c:v>23.89</c:v>
                </c:pt>
                <c:pt idx="156">
                  <c:v>23.89</c:v>
                </c:pt>
                <c:pt idx="157">
                  <c:v>23.89</c:v>
                </c:pt>
                <c:pt idx="158">
                  <c:v>23.89</c:v>
                </c:pt>
                <c:pt idx="159">
                  <c:v>23.89</c:v>
                </c:pt>
                <c:pt idx="160">
                  <c:v>23.89</c:v>
                </c:pt>
                <c:pt idx="161">
                  <c:v>23.89</c:v>
                </c:pt>
                <c:pt idx="162">
                  <c:v>23.89</c:v>
                </c:pt>
                <c:pt idx="163">
                  <c:v>32.22</c:v>
                </c:pt>
                <c:pt idx="164">
                  <c:v>32.22</c:v>
                </c:pt>
                <c:pt idx="165">
                  <c:v>32.22</c:v>
                </c:pt>
                <c:pt idx="166">
                  <c:v>32.22</c:v>
                </c:pt>
                <c:pt idx="167">
                  <c:v>32.22</c:v>
                </c:pt>
              </c:numCache>
            </c:numRef>
          </c:yVal>
          <c:smooth val="0"/>
        </c:ser>
        <c:ser>
          <c:idx val="2"/>
          <c:order val="2"/>
          <c:tx>
            <c:strRef>
              <c:f>'graph data'!$G$444</c:f>
              <c:strCache>
                <c:ptCount val="1"/>
                <c:pt idx="0">
                  <c:v>TFCore:Zone/sys Thermostat Heating Setpoint[C](hourly)</c:v>
                </c:pt>
              </c:strCache>
            </c:strRef>
          </c:tx>
          <c:spPr>
            <a:ln w="12700">
              <a:solidFill>
                <a:srgbClr val="00B050"/>
              </a:solidFill>
              <a:prstDash val="solid"/>
            </a:ln>
          </c:spPr>
          <c:marker>
            <c:symbol val="triangle"/>
            <c:size val="2"/>
            <c:spPr>
              <a:solidFill>
                <a:srgbClr val="00B050"/>
              </a:solidFill>
              <a:ln>
                <a:solidFill>
                  <a:srgbClr val="00B05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data'!$G$445:$G$612</c:f>
              <c:numCache>
                <c:formatCode>General</c:formatCode>
                <c:ptCount val="168"/>
                <c:pt idx="0">
                  <c:v>12.78</c:v>
                </c:pt>
                <c:pt idx="1">
                  <c:v>12.78</c:v>
                </c:pt>
                <c:pt idx="2">
                  <c:v>12.78</c:v>
                </c:pt>
                <c:pt idx="3">
                  <c:v>12.78</c:v>
                </c:pt>
                <c:pt idx="4">
                  <c:v>12.78</c:v>
                </c:pt>
                <c:pt idx="5">
                  <c:v>21.11</c:v>
                </c:pt>
                <c:pt idx="6">
                  <c:v>21.11</c:v>
                </c:pt>
                <c:pt idx="7">
                  <c:v>21.11</c:v>
                </c:pt>
                <c:pt idx="8">
                  <c:v>21.11</c:v>
                </c:pt>
                <c:pt idx="9">
                  <c:v>21.11</c:v>
                </c:pt>
                <c:pt idx="10">
                  <c:v>21.11</c:v>
                </c:pt>
                <c:pt idx="11">
                  <c:v>21.11</c:v>
                </c:pt>
                <c:pt idx="12">
                  <c:v>21.11</c:v>
                </c:pt>
                <c:pt idx="13">
                  <c:v>21.11</c:v>
                </c:pt>
                <c:pt idx="14">
                  <c:v>21.11</c:v>
                </c:pt>
                <c:pt idx="15">
                  <c:v>21.11</c:v>
                </c:pt>
                <c:pt idx="16">
                  <c:v>21.11</c:v>
                </c:pt>
                <c:pt idx="17">
                  <c:v>21.11</c:v>
                </c:pt>
                <c:pt idx="18">
                  <c:v>21.11</c:v>
                </c:pt>
                <c:pt idx="19">
                  <c:v>12.78</c:v>
                </c:pt>
                <c:pt idx="20">
                  <c:v>12.78</c:v>
                </c:pt>
                <c:pt idx="21">
                  <c:v>12.78</c:v>
                </c:pt>
                <c:pt idx="22">
                  <c:v>12.78</c:v>
                </c:pt>
                <c:pt idx="23">
                  <c:v>12.78</c:v>
                </c:pt>
                <c:pt idx="24">
                  <c:v>12.78</c:v>
                </c:pt>
                <c:pt idx="25">
                  <c:v>12.78</c:v>
                </c:pt>
                <c:pt idx="26">
                  <c:v>12.78</c:v>
                </c:pt>
                <c:pt idx="27">
                  <c:v>12.78</c:v>
                </c:pt>
                <c:pt idx="28">
                  <c:v>12.78</c:v>
                </c:pt>
                <c:pt idx="29">
                  <c:v>21.11</c:v>
                </c:pt>
                <c:pt idx="30">
                  <c:v>21.11</c:v>
                </c:pt>
                <c:pt idx="31">
                  <c:v>21.11</c:v>
                </c:pt>
                <c:pt idx="32">
                  <c:v>21.11</c:v>
                </c:pt>
                <c:pt idx="33">
                  <c:v>21.11</c:v>
                </c:pt>
                <c:pt idx="34">
                  <c:v>21.11</c:v>
                </c:pt>
                <c:pt idx="35">
                  <c:v>21.11</c:v>
                </c:pt>
                <c:pt idx="36">
                  <c:v>21.11</c:v>
                </c:pt>
                <c:pt idx="37">
                  <c:v>21.11</c:v>
                </c:pt>
                <c:pt idx="38">
                  <c:v>21.11</c:v>
                </c:pt>
                <c:pt idx="39">
                  <c:v>21.11</c:v>
                </c:pt>
                <c:pt idx="40">
                  <c:v>21.11</c:v>
                </c:pt>
                <c:pt idx="41">
                  <c:v>21.11</c:v>
                </c:pt>
                <c:pt idx="42">
                  <c:v>21.11</c:v>
                </c:pt>
                <c:pt idx="43">
                  <c:v>12.78</c:v>
                </c:pt>
                <c:pt idx="44">
                  <c:v>12.78</c:v>
                </c:pt>
                <c:pt idx="45">
                  <c:v>12.78</c:v>
                </c:pt>
                <c:pt idx="46">
                  <c:v>12.78</c:v>
                </c:pt>
                <c:pt idx="47">
                  <c:v>12.78</c:v>
                </c:pt>
                <c:pt idx="48">
                  <c:v>12.78</c:v>
                </c:pt>
                <c:pt idx="49">
                  <c:v>12.78</c:v>
                </c:pt>
                <c:pt idx="50">
                  <c:v>12.78</c:v>
                </c:pt>
                <c:pt idx="51">
                  <c:v>12.78</c:v>
                </c:pt>
                <c:pt idx="52">
                  <c:v>12.78</c:v>
                </c:pt>
                <c:pt idx="53">
                  <c:v>21.11</c:v>
                </c:pt>
                <c:pt idx="54">
                  <c:v>21.11</c:v>
                </c:pt>
                <c:pt idx="55">
                  <c:v>21.11</c:v>
                </c:pt>
                <c:pt idx="56">
                  <c:v>21.11</c:v>
                </c:pt>
                <c:pt idx="57">
                  <c:v>21.11</c:v>
                </c:pt>
                <c:pt idx="58">
                  <c:v>21.11</c:v>
                </c:pt>
                <c:pt idx="59">
                  <c:v>21.11</c:v>
                </c:pt>
                <c:pt idx="60">
                  <c:v>21.11</c:v>
                </c:pt>
                <c:pt idx="61">
                  <c:v>21.11</c:v>
                </c:pt>
                <c:pt idx="62">
                  <c:v>21.11</c:v>
                </c:pt>
                <c:pt idx="63">
                  <c:v>21.11</c:v>
                </c:pt>
                <c:pt idx="64">
                  <c:v>21.11</c:v>
                </c:pt>
                <c:pt idx="65">
                  <c:v>21.11</c:v>
                </c:pt>
                <c:pt idx="66">
                  <c:v>21.11</c:v>
                </c:pt>
                <c:pt idx="67">
                  <c:v>12.78</c:v>
                </c:pt>
                <c:pt idx="68">
                  <c:v>12.78</c:v>
                </c:pt>
                <c:pt idx="69">
                  <c:v>12.78</c:v>
                </c:pt>
                <c:pt idx="70">
                  <c:v>12.78</c:v>
                </c:pt>
                <c:pt idx="71">
                  <c:v>12.78</c:v>
                </c:pt>
                <c:pt idx="72">
                  <c:v>12.78</c:v>
                </c:pt>
                <c:pt idx="73">
                  <c:v>12.78</c:v>
                </c:pt>
                <c:pt idx="74">
                  <c:v>12.78</c:v>
                </c:pt>
                <c:pt idx="75">
                  <c:v>12.78</c:v>
                </c:pt>
                <c:pt idx="76">
                  <c:v>12.78</c:v>
                </c:pt>
                <c:pt idx="77">
                  <c:v>12.78</c:v>
                </c:pt>
                <c:pt idx="78">
                  <c:v>21.11</c:v>
                </c:pt>
                <c:pt idx="79">
                  <c:v>21.11</c:v>
                </c:pt>
                <c:pt idx="80">
                  <c:v>21.11</c:v>
                </c:pt>
                <c:pt idx="81">
                  <c:v>21.11</c:v>
                </c:pt>
                <c:pt idx="82">
                  <c:v>21.11</c:v>
                </c:pt>
                <c:pt idx="83">
                  <c:v>21.11</c:v>
                </c:pt>
                <c:pt idx="84">
                  <c:v>21.11</c:v>
                </c:pt>
                <c:pt idx="85">
                  <c:v>12.78</c:v>
                </c:pt>
                <c:pt idx="86">
                  <c:v>12.78</c:v>
                </c:pt>
                <c:pt idx="87">
                  <c:v>12.78</c:v>
                </c:pt>
                <c:pt idx="88">
                  <c:v>12.78</c:v>
                </c:pt>
                <c:pt idx="89">
                  <c:v>12.78</c:v>
                </c:pt>
                <c:pt idx="90">
                  <c:v>12.78</c:v>
                </c:pt>
                <c:pt idx="91">
                  <c:v>12.78</c:v>
                </c:pt>
                <c:pt idx="92">
                  <c:v>12.78</c:v>
                </c:pt>
                <c:pt idx="93">
                  <c:v>12.78</c:v>
                </c:pt>
                <c:pt idx="94">
                  <c:v>12.78</c:v>
                </c:pt>
                <c:pt idx="95">
                  <c:v>12.78</c:v>
                </c:pt>
                <c:pt idx="96">
                  <c:v>12.78</c:v>
                </c:pt>
                <c:pt idx="97">
                  <c:v>12.78</c:v>
                </c:pt>
                <c:pt idx="98">
                  <c:v>12.78</c:v>
                </c:pt>
                <c:pt idx="99">
                  <c:v>12.78</c:v>
                </c:pt>
                <c:pt idx="100">
                  <c:v>12.78</c:v>
                </c:pt>
                <c:pt idx="101">
                  <c:v>12.78</c:v>
                </c:pt>
                <c:pt idx="102">
                  <c:v>21.11</c:v>
                </c:pt>
                <c:pt idx="103">
                  <c:v>21.11</c:v>
                </c:pt>
                <c:pt idx="104">
                  <c:v>21.11</c:v>
                </c:pt>
                <c:pt idx="105">
                  <c:v>21.11</c:v>
                </c:pt>
                <c:pt idx="106">
                  <c:v>21.11</c:v>
                </c:pt>
                <c:pt idx="107">
                  <c:v>21.11</c:v>
                </c:pt>
                <c:pt idx="108">
                  <c:v>21.11</c:v>
                </c:pt>
                <c:pt idx="109">
                  <c:v>12.78</c:v>
                </c:pt>
                <c:pt idx="110">
                  <c:v>12.78</c:v>
                </c:pt>
                <c:pt idx="111">
                  <c:v>12.78</c:v>
                </c:pt>
                <c:pt idx="112">
                  <c:v>12.78</c:v>
                </c:pt>
                <c:pt idx="113">
                  <c:v>12.78</c:v>
                </c:pt>
                <c:pt idx="114">
                  <c:v>12.78</c:v>
                </c:pt>
                <c:pt idx="115">
                  <c:v>12.78</c:v>
                </c:pt>
                <c:pt idx="116">
                  <c:v>12.78</c:v>
                </c:pt>
                <c:pt idx="117">
                  <c:v>12.78</c:v>
                </c:pt>
                <c:pt idx="118">
                  <c:v>12.78</c:v>
                </c:pt>
                <c:pt idx="119">
                  <c:v>12.78</c:v>
                </c:pt>
                <c:pt idx="120">
                  <c:v>12.78</c:v>
                </c:pt>
                <c:pt idx="121">
                  <c:v>12.78</c:v>
                </c:pt>
                <c:pt idx="122">
                  <c:v>12.78</c:v>
                </c:pt>
                <c:pt idx="123">
                  <c:v>12.78</c:v>
                </c:pt>
                <c:pt idx="124">
                  <c:v>12.78</c:v>
                </c:pt>
                <c:pt idx="125">
                  <c:v>21.11</c:v>
                </c:pt>
                <c:pt idx="126">
                  <c:v>21.11</c:v>
                </c:pt>
                <c:pt idx="127">
                  <c:v>21.11</c:v>
                </c:pt>
                <c:pt idx="128">
                  <c:v>21.11</c:v>
                </c:pt>
                <c:pt idx="129">
                  <c:v>21.11</c:v>
                </c:pt>
                <c:pt idx="130">
                  <c:v>21.11</c:v>
                </c:pt>
                <c:pt idx="131">
                  <c:v>21.11</c:v>
                </c:pt>
                <c:pt idx="132">
                  <c:v>21.11</c:v>
                </c:pt>
                <c:pt idx="133">
                  <c:v>21.11</c:v>
                </c:pt>
                <c:pt idx="134">
                  <c:v>21.11</c:v>
                </c:pt>
                <c:pt idx="135">
                  <c:v>21.11</c:v>
                </c:pt>
                <c:pt idx="136">
                  <c:v>21.11</c:v>
                </c:pt>
                <c:pt idx="137">
                  <c:v>21.11</c:v>
                </c:pt>
                <c:pt idx="138">
                  <c:v>21.11</c:v>
                </c:pt>
                <c:pt idx="139">
                  <c:v>12.78</c:v>
                </c:pt>
                <c:pt idx="140">
                  <c:v>12.78</c:v>
                </c:pt>
                <c:pt idx="141">
                  <c:v>12.78</c:v>
                </c:pt>
                <c:pt idx="142">
                  <c:v>12.78</c:v>
                </c:pt>
                <c:pt idx="143">
                  <c:v>12.78</c:v>
                </c:pt>
                <c:pt idx="144">
                  <c:v>12.78</c:v>
                </c:pt>
                <c:pt idx="145">
                  <c:v>12.78</c:v>
                </c:pt>
                <c:pt idx="146">
                  <c:v>12.78</c:v>
                </c:pt>
                <c:pt idx="147">
                  <c:v>12.78</c:v>
                </c:pt>
                <c:pt idx="148">
                  <c:v>12.78</c:v>
                </c:pt>
                <c:pt idx="149">
                  <c:v>21.11</c:v>
                </c:pt>
                <c:pt idx="150">
                  <c:v>21.11</c:v>
                </c:pt>
                <c:pt idx="151">
                  <c:v>21.11</c:v>
                </c:pt>
                <c:pt idx="152">
                  <c:v>21.11</c:v>
                </c:pt>
                <c:pt idx="153">
                  <c:v>21.11</c:v>
                </c:pt>
                <c:pt idx="154">
                  <c:v>21.11</c:v>
                </c:pt>
                <c:pt idx="155">
                  <c:v>21.11</c:v>
                </c:pt>
                <c:pt idx="156">
                  <c:v>21.11</c:v>
                </c:pt>
                <c:pt idx="157">
                  <c:v>21.11</c:v>
                </c:pt>
                <c:pt idx="158">
                  <c:v>21.11</c:v>
                </c:pt>
                <c:pt idx="159">
                  <c:v>21.11</c:v>
                </c:pt>
                <c:pt idx="160">
                  <c:v>21.11</c:v>
                </c:pt>
                <c:pt idx="161">
                  <c:v>21.11</c:v>
                </c:pt>
                <c:pt idx="162">
                  <c:v>21.11</c:v>
                </c:pt>
                <c:pt idx="163">
                  <c:v>12.78</c:v>
                </c:pt>
                <c:pt idx="164">
                  <c:v>12.78</c:v>
                </c:pt>
                <c:pt idx="165">
                  <c:v>12.78</c:v>
                </c:pt>
                <c:pt idx="166">
                  <c:v>12.78</c:v>
                </c:pt>
                <c:pt idx="167">
                  <c:v>12.78</c:v>
                </c:pt>
              </c:numCache>
            </c:numRef>
          </c:yVal>
          <c:smooth val="0"/>
        </c:ser>
        <c:ser>
          <c:idx val="4"/>
          <c:order val="4"/>
          <c:tx>
            <c:strRef>
              <c:f>'graph data'!$H$444</c:f>
              <c:strCache>
                <c:ptCount val="1"/>
                <c:pt idx="0">
                  <c:v>TFCore ATU OUTLET NODE:System Node Temp[C](hourly)</c:v>
                </c:pt>
              </c:strCache>
            </c:strRef>
          </c:tx>
          <c:spPr>
            <a:ln w="12700">
              <a:solidFill>
                <a:srgbClr val="800080"/>
              </a:solidFill>
              <a:prstDash val="solid"/>
            </a:ln>
          </c:spPr>
          <c:marker>
            <c:symbol val="star"/>
            <c:size val="5"/>
            <c:spPr>
              <a:noFill/>
              <a:ln>
                <a:solidFill>
                  <a:srgbClr val="8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data'!$H$445:$H$612</c:f>
              <c:numCache>
                <c:formatCode>0.0</c:formatCode>
                <c:ptCount val="168"/>
                <c:pt idx="0">
                  <c:v>22.0671196179335</c:v>
                </c:pt>
                <c:pt idx="1">
                  <c:v>21.904502249218101</c:v>
                </c:pt>
                <c:pt idx="2">
                  <c:v>21.729320069404299</c:v>
                </c:pt>
                <c:pt idx="3">
                  <c:v>21.5430728174723</c:v>
                </c:pt>
                <c:pt idx="4">
                  <c:v>21.345317012512201</c:v>
                </c:pt>
                <c:pt idx="5">
                  <c:v>20.022496384484299</c:v>
                </c:pt>
                <c:pt idx="6">
                  <c:v>19.493803987139</c:v>
                </c:pt>
                <c:pt idx="7">
                  <c:v>19.4559683142678</c:v>
                </c:pt>
                <c:pt idx="8">
                  <c:v>19.4068524465713</c:v>
                </c:pt>
                <c:pt idx="9">
                  <c:v>18.626919820198601</c:v>
                </c:pt>
                <c:pt idx="10">
                  <c:v>18.3625781565189</c:v>
                </c:pt>
                <c:pt idx="11">
                  <c:v>18.267247001040399</c:v>
                </c:pt>
                <c:pt idx="12">
                  <c:v>18.2274324442539</c:v>
                </c:pt>
                <c:pt idx="13">
                  <c:v>18.215320179754599</c:v>
                </c:pt>
                <c:pt idx="14">
                  <c:v>18.227354941485199</c:v>
                </c:pt>
                <c:pt idx="15">
                  <c:v>18.303537930477699</c:v>
                </c:pt>
                <c:pt idx="16">
                  <c:v>18.494579463590298</c:v>
                </c:pt>
                <c:pt idx="17">
                  <c:v>20.2655406954662</c:v>
                </c:pt>
                <c:pt idx="18">
                  <c:v>21.2235010305731</c:v>
                </c:pt>
                <c:pt idx="19">
                  <c:v>21.226967928925099</c:v>
                </c:pt>
                <c:pt idx="20">
                  <c:v>22.412722763684801</c:v>
                </c:pt>
                <c:pt idx="21">
                  <c:v>22.436018172793901</c:v>
                </c:pt>
                <c:pt idx="22">
                  <c:v>22.353891992235301</c:v>
                </c:pt>
                <c:pt idx="23">
                  <c:v>22.224681008409199</c:v>
                </c:pt>
                <c:pt idx="24">
                  <c:v>22.066242013157002</c:v>
                </c:pt>
                <c:pt idx="25">
                  <c:v>21.883693731166399</c:v>
                </c:pt>
                <c:pt idx="26">
                  <c:v>21.682528036000502</c:v>
                </c:pt>
                <c:pt idx="27">
                  <c:v>21.466805692979801</c:v>
                </c:pt>
                <c:pt idx="28">
                  <c:v>21.2393571454195</c:v>
                </c:pt>
                <c:pt idx="29">
                  <c:v>19.897872788724101</c:v>
                </c:pt>
                <c:pt idx="30">
                  <c:v>19.3939853145359</c:v>
                </c:pt>
                <c:pt idx="31">
                  <c:v>19.2783903041069</c:v>
                </c:pt>
                <c:pt idx="32">
                  <c:v>19.283976508271699</c:v>
                </c:pt>
                <c:pt idx="33">
                  <c:v>18.590158446683098</c:v>
                </c:pt>
                <c:pt idx="34">
                  <c:v>18.333492332360802</c:v>
                </c:pt>
                <c:pt idx="35">
                  <c:v>18.243814351338699</c:v>
                </c:pt>
                <c:pt idx="36">
                  <c:v>18.206158505358498</c:v>
                </c:pt>
                <c:pt idx="37">
                  <c:v>18.186944952266298</c:v>
                </c:pt>
                <c:pt idx="38">
                  <c:v>18.203976523660099</c:v>
                </c:pt>
                <c:pt idx="39">
                  <c:v>18.2734204024873</c:v>
                </c:pt>
                <c:pt idx="40">
                  <c:v>18.455685477381799</c:v>
                </c:pt>
                <c:pt idx="41">
                  <c:v>20.0886483577397</c:v>
                </c:pt>
                <c:pt idx="42">
                  <c:v>21.241615650460101</c:v>
                </c:pt>
                <c:pt idx="43">
                  <c:v>21.948931639337101</c:v>
                </c:pt>
                <c:pt idx="44">
                  <c:v>22.4966294343836</c:v>
                </c:pt>
                <c:pt idx="45">
                  <c:v>22.507165124061</c:v>
                </c:pt>
                <c:pt idx="46">
                  <c:v>22.436137283353101</c:v>
                </c:pt>
                <c:pt idx="47">
                  <c:v>22.3182112163745</c:v>
                </c:pt>
                <c:pt idx="48">
                  <c:v>22.169729391866799</c:v>
                </c:pt>
                <c:pt idx="49">
                  <c:v>21.998830443088099</c:v>
                </c:pt>
                <c:pt idx="50">
                  <c:v>21.810595466240098</c:v>
                </c:pt>
                <c:pt idx="51">
                  <c:v>21.606648546578501</c:v>
                </c:pt>
                <c:pt idx="52">
                  <c:v>21.385962821364799</c:v>
                </c:pt>
                <c:pt idx="53">
                  <c:v>20.008794005706299</c:v>
                </c:pt>
                <c:pt idx="54">
                  <c:v>19.485973254885099</c:v>
                </c:pt>
                <c:pt idx="55">
                  <c:v>19.438041897906601</c:v>
                </c:pt>
                <c:pt idx="56">
                  <c:v>19.7147852029014</c:v>
                </c:pt>
                <c:pt idx="57">
                  <c:v>18.8743921543523</c:v>
                </c:pt>
                <c:pt idx="58">
                  <c:v>18.457763759903301</c:v>
                </c:pt>
                <c:pt idx="59">
                  <c:v>18.345546515207801</c:v>
                </c:pt>
                <c:pt idx="60">
                  <c:v>18.313606576751901</c:v>
                </c:pt>
                <c:pt idx="61">
                  <c:v>18.280307097562002</c:v>
                </c:pt>
                <c:pt idx="62">
                  <c:v>18.273784602276301</c:v>
                </c:pt>
                <c:pt idx="63">
                  <c:v>18.330584033023499</c:v>
                </c:pt>
                <c:pt idx="64">
                  <c:v>18.499809788676799</c:v>
                </c:pt>
                <c:pt idx="65">
                  <c:v>20.178201440611801</c:v>
                </c:pt>
                <c:pt idx="66">
                  <c:v>21.322626269994799</c:v>
                </c:pt>
                <c:pt idx="67">
                  <c:v>21.970213631506901</c:v>
                </c:pt>
                <c:pt idx="68">
                  <c:v>22.5041014672247</c:v>
                </c:pt>
                <c:pt idx="69">
                  <c:v>22.5044669650228</c:v>
                </c:pt>
                <c:pt idx="70">
                  <c:v>22.426319016136201</c:v>
                </c:pt>
                <c:pt idx="71">
                  <c:v>22.306039321488601</c:v>
                </c:pt>
                <c:pt idx="72">
                  <c:v>22.160155022406201</c:v>
                </c:pt>
                <c:pt idx="73">
                  <c:v>21.9927406418023</c:v>
                </c:pt>
                <c:pt idx="74">
                  <c:v>21.807877018109</c:v>
                </c:pt>
                <c:pt idx="75">
                  <c:v>21.609182098978302</c:v>
                </c:pt>
                <c:pt idx="76">
                  <c:v>21.400011238207899</c:v>
                </c:pt>
                <c:pt idx="77">
                  <c:v>21.183258251465102</c:v>
                </c:pt>
                <c:pt idx="78">
                  <c:v>19.880163463724799</c:v>
                </c:pt>
                <c:pt idx="79">
                  <c:v>19.380172313227298</c:v>
                </c:pt>
                <c:pt idx="80">
                  <c:v>19.2177339616373</c:v>
                </c:pt>
                <c:pt idx="81">
                  <c:v>19.240852268851398</c:v>
                </c:pt>
                <c:pt idx="82">
                  <c:v>18.836331401754499</c:v>
                </c:pt>
                <c:pt idx="83">
                  <c:v>18.599070397570902</c:v>
                </c:pt>
                <c:pt idx="84">
                  <c:v>18.517996288723999</c:v>
                </c:pt>
                <c:pt idx="85">
                  <c:v>19.765392317176701</c:v>
                </c:pt>
                <c:pt idx="86">
                  <c:v>20.5122229453744</c:v>
                </c:pt>
                <c:pt idx="87">
                  <c:v>20.7843165423707</c:v>
                </c:pt>
                <c:pt idx="88">
                  <c:v>21.019610029967499</c:v>
                </c:pt>
                <c:pt idx="89">
                  <c:v>21.213111622989501</c:v>
                </c:pt>
                <c:pt idx="90">
                  <c:v>21.350763410660701</c:v>
                </c:pt>
                <c:pt idx="91">
                  <c:v>21.432233530307201</c:v>
                </c:pt>
                <c:pt idx="92">
                  <c:v>21.465031919462099</c:v>
                </c:pt>
                <c:pt idx="93">
                  <c:v>21.457590689981402</c:v>
                </c:pt>
                <c:pt idx="94">
                  <c:v>21.417184418589901</c:v>
                </c:pt>
                <c:pt idx="95">
                  <c:v>21.346919342501401</c:v>
                </c:pt>
                <c:pt idx="96">
                  <c:v>21.2614279444958</c:v>
                </c:pt>
                <c:pt idx="97">
                  <c:v>21.1565041886826</c:v>
                </c:pt>
                <c:pt idx="98">
                  <c:v>21.029549083593199</c:v>
                </c:pt>
                <c:pt idx="99">
                  <c:v>20.883596049447799</c:v>
                </c:pt>
                <c:pt idx="100">
                  <c:v>20.719610771735798</c:v>
                </c:pt>
                <c:pt idx="101">
                  <c:v>20.5387893685735</c:v>
                </c:pt>
                <c:pt idx="102">
                  <c:v>19.411790659061801</c:v>
                </c:pt>
                <c:pt idx="103">
                  <c:v>18.9854568215633</c:v>
                </c:pt>
                <c:pt idx="104">
                  <c:v>18.849117050749499</c:v>
                </c:pt>
                <c:pt idx="105">
                  <c:v>18.789839308353798</c:v>
                </c:pt>
                <c:pt idx="106">
                  <c:v>18.8513954469909</c:v>
                </c:pt>
                <c:pt idx="107">
                  <c:v>18.563750277792401</c:v>
                </c:pt>
                <c:pt idx="108">
                  <c:v>18.3985468976798</c:v>
                </c:pt>
                <c:pt idx="109">
                  <c:v>19.400614053689001</c:v>
                </c:pt>
                <c:pt idx="110">
                  <c:v>20.060871467026001</c:v>
                </c:pt>
                <c:pt idx="111">
                  <c:v>20.339852003938802</c:v>
                </c:pt>
                <c:pt idx="112">
                  <c:v>20.588920032041099</c:v>
                </c:pt>
                <c:pt idx="113">
                  <c:v>20.8043531228465</c:v>
                </c:pt>
                <c:pt idx="114">
                  <c:v>20.964812991349401</c:v>
                </c:pt>
                <c:pt idx="115">
                  <c:v>21.065336605744999</c:v>
                </c:pt>
                <c:pt idx="116">
                  <c:v>21.1113636096504</c:v>
                </c:pt>
                <c:pt idx="117">
                  <c:v>21.112379841164799</c:v>
                </c:pt>
                <c:pt idx="118">
                  <c:v>21.0784811205586</c:v>
                </c:pt>
                <c:pt idx="119">
                  <c:v>21.0157583175639</c:v>
                </c:pt>
                <c:pt idx="120">
                  <c:v>20.9319112105632</c:v>
                </c:pt>
                <c:pt idx="121">
                  <c:v>20.844614989389299</c:v>
                </c:pt>
                <c:pt idx="122">
                  <c:v>20.737214038574901</c:v>
                </c:pt>
                <c:pt idx="123">
                  <c:v>20.615504803607799</c:v>
                </c:pt>
                <c:pt idx="124">
                  <c:v>20.478496478963599</c:v>
                </c:pt>
                <c:pt idx="125">
                  <c:v>19.4149601303676</c:v>
                </c:pt>
                <c:pt idx="126">
                  <c:v>18.986493577056301</c:v>
                </c:pt>
                <c:pt idx="127">
                  <c:v>19.045272872691601</c:v>
                </c:pt>
                <c:pt idx="128">
                  <c:v>19.2422859464711</c:v>
                </c:pt>
                <c:pt idx="129">
                  <c:v>18.5207815140711</c:v>
                </c:pt>
                <c:pt idx="130">
                  <c:v>18.2405986572129</c:v>
                </c:pt>
                <c:pt idx="131">
                  <c:v>18.139601785964398</c:v>
                </c:pt>
                <c:pt idx="132">
                  <c:v>18.101742386306</c:v>
                </c:pt>
                <c:pt idx="133">
                  <c:v>18.0849059469714</c:v>
                </c:pt>
                <c:pt idx="134">
                  <c:v>18.103092590723001</c:v>
                </c:pt>
                <c:pt idx="135">
                  <c:v>18.1843741660423</c:v>
                </c:pt>
                <c:pt idx="136">
                  <c:v>18.340148857339202</c:v>
                </c:pt>
                <c:pt idx="137">
                  <c:v>19.691650851156599</c:v>
                </c:pt>
                <c:pt idx="138">
                  <c:v>21.0425679310665</c:v>
                </c:pt>
                <c:pt idx="139">
                  <c:v>22.019067055571298</c:v>
                </c:pt>
                <c:pt idx="140">
                  <c:v>22.480142390694098</c:v>
                </c:pt>
                <c:pt idx="141">
                  <c:v>22.5471743167776</c:v>
                </c:pt>
                <c:pt idx="142">
                  <c:v>22.5442002971302</c:v>
                </c:pt>
                <c:pt idx="143">
                  <c:v>22.497906015345201</c:v>
                </c:pt>
                <c:pt idx="144">
                  <c:v>22.4162432430957</c:v>
                </c:pt>
                <c:pt idx="145">
                  <c:v>22.309566111132199</c:v>
                </c:pt>
                <c:pt idx="146">
                  <c:v>22.182197200095601</c:v>
                </c:pt>
                <c:pt idx="147">
                  <c:v>22.039686101153698</c:v>
                </c:pt>
                <c:pt idx="148">
                  <c:v>21.890982468271201</c:v>
                </c:pt>
                <c:pt idx="149">
                  <c:v>20.474730928896001</c:v>
                </c:pt>
                <c:pt idx="150">
                  <c:v>19.9079369420859</c:v>
                </c:pt>
                <c:pt idx="151">
                  <c:v>19.690225599368301</c:v>
                </c:pt>
                <c:pt idx="152">
                  <c:v>19.3128394968397</c:v>
                </c:pt>
                <c:pt idx="153">
                  <c:v>18.954872972100802</c:v>
                </c:pt>
                <c:pt idx="154">
                  <c:v>18.767574125964298</c:v>
                </c:pt>
                <c:pt idx="155">
                  <c:v>18.630692599461302</c:v>
                </c:pt>
                <c:pt idx="156">
                  <c:v>18.552212907213299</c:v>
                </c:pt>
                <c:pt idx="157">
                  <c:v>18.5298976356436</c:v>
                </c:pt>
                <c:pt idx="158">
                  <c:v>18.538557061621901</c:v>
                </c:pt>
                <c:pt idx="159">
                  <c:v>18.564191971506101</c:v>
                </c:pt>
                <c:pt idx="160">
                  <c:v>18.6088262772668</c:v>
                </c:pt>
                <c:pt idx="161">
                  <c:v>20.062222036061101</c:v>
                </c:pt>
                <c:pt idx="162">
                  <c:v>21.359916711224301</c:v>
                </c:pt>
                <c:pt idx="163">
                  <c:v>22.203398248615301</c:v>
                </c:pt>
                <c:pt idx="164">
                  <c:v>22.631557650753901</c:v>
                </c:pt>
                <c:pt idx="165">
                  <c:v>22.683433864828899</c:v>
                </c:pt>
                <c:pt idx="166">
                  <c:v>22.678899431993099</c:v>
                </c:pt>
                <c:pt idx="167">
                  <c:v>22.646060867233199</c:v>
                </c:pt>
              </c:numCache>
            </c:numRef>
          </c:yVal>
          <c:smooth val="0"/>
        </c:ser>
        <c:dLbls>
          <c:showLegendKey val="0"/>
          <c:showVal val="0"/>
          <c:showCatName val="0"/>
          <c:showSerName val="0"/>
          <c:showPercent val="0"/>
          <c:showBubbleSize val="0"/>
        </c:dLbls>
        <c:axId val="133148032"/>
        <c:axId val="133907968"/>
      </c:scatterChart>
      <c:scatterChart>
        <c:scatterStyle val="lineMarker"/>
        <c:varyColors val="0"/>
        <c:ser>
          <c:idx val="3"/>
          <c:order val="3"/>
          <c:tx>
            <c:strRef>
              <c:f>'graph data'!$E$444</c:f>
              <c:strCache>
                <c:ptCount val="1"/>
                <c:pt idx="0">
                  <c:v>TFCORE ATU OUTLET NODE:System Node VolFlowRate[m3/s](Hourly)</c:v>
                </c:pt>
              </c:strCache>
            </c:strRef>
          </c:tx>
          <c:spPr>
            <a:ln w="12700">
              <a:solidFill>
                <a:srgbClr val="00FFFF"/>
              </a:solidFill>
              <a:prstDash val="solid"/>
            </a:ln>
          </c:spPr>
          <c:marker>
            <c:symbol val="x"/>
            <c:size val="5"/>
            <c:spPr>
              <a:noFill/>
              <a:ln>
                <a:solidFill>
                  <a:srgbClr val="00FF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data'!$E$445:$E$612</c:f>
              <c:numCache>
                <c:formatCode>0.00</c:formatCode>
                <c:ptCount val="168"/>
                <c:pt idx="0">
                  <c:v>0</c:v>
                </c:pt>
                <c:pt idx="1">
                  <c:v>0</c:v>
                </c:pt>
                <c:pt idx="2">
                  <c:v>0</c:v>
                </c:pt>
                <c:pt idx="3">
                  <c:v>0</c:v>
                </c:pt>
                <c:pt idx="4">
                  <c:v>0</c:v>
                </c:pt>
                <c:pt idx="5">
                  <c:v>0.33183981472282698</c:v>
                </c:pt>
                <c:pt idx="6">
                  <c:v>0.33183981472282698</c:v>
                </c:pt>
                <c:pt idx="7">
                  <c:v>0.33183981472282698</c:v>
                </c:pt>
                <c:pt idx="8">
                  <c:v>0.33183981472282698</c:v>
                </c:pt>
                <c:pt idx="9">
                  <c:v>0.71385611290902395</c:v>
                </c:pt>
                <c:pt idx="10">
                  <c:v>1.25612099677224</c:v>
                </c:pt>
                <c:pt idx="11">
                  <c:v>1.6961329489817401</c:v>
                </c:pt>
                <c:pt idx="12">
                  <c:v>2.0736828271385601</c:v>
                </c:pt>
                <c:pt idx="13">
                  <c:v>2.2440906472313702</c:v>
                </c:pt>
                <c:pt idx="14">
                  <c:v>2.31163937160263</c:v>
                </c:pt>
                <c:pt idx="15">
                  <c:v>2.3605717224960201</c:v>
                </c:pt>
                <c:pt idx="16">
                  <c:v>2.3460248284793201</c:v>
                </c:pt>
                <c:pt idx="17">
                  <c:v>0.33264403602593501</c:v>
                </c:pt>
                <c:pt idx="18">
                  <c:v>0.33183981472282698</c:v>
                </c:pt>
                <c:pt idx="19">
                  <c:v>0</c:v>
                </c:pt>
                <c:pt idx="20">
                  <c:v>0</c:v>
                </c:pt>
                <c:pt idx="21">
                  <c:v>0</c:v>
                </c:pt>
                <c:pt idx="22">
                  <c:v>0</c:v>
                </c:pt>
                <c:pt idx="23">
                  <c:v>0</c:v>
                </c:pt>
                <c:pt idx="24">
                  <c:v>0</c:v>
                </c:pt>
                <c:pt idx="25">
                  <c:v>0</c:v>
                </c:pt>
                <c:pt idx="26">
                  <c:v>0</c:v>
                </c:pt>
                <c:pt idx="27">
                  <c:v>0</c:v>
                </c:pt>
                <c:pt idx="28">
                  <c:v>0</c:v>
                </c:pt>
                <c:pt idx="29">
                  <c:v>0.33183981472282698</c:v>
                </c:pt>
                <c:pt idx="30">
                  <c:v>0.33183981472282698</c:v>
                </c:pt>
                <c:pt idx="31">
                  <c:v>0.33183981472282698</c:v>
                </c:pt>
                <c:pt idx="32">
                  <c:v>0.33183981472282698</c:v>
                </c:pt>
                <c:pt idx="33">
                  <c:v>0.608690387683404</c:v>
                </c:pt>
                <c:pt idx="34">
                  <c:v>1.1504586944123301</c:v>
                </c:pt>
                <c:pt idx="35">
                  <c:v>1.6353823665226701</c:v>
                </c:pt>
                <c:pt idx="36">
                  <c:v>2.0475387107691501</c:v>
                </c:pt>
                <c:pt idx="37">
                  <c:v>2.27650735019719</c:v>
                </c:pt>
                <c:pt idx="38">
                  <c:v>2.3501947863750798</c:v>
                </c:pt>
                <c:pt idx="39">
                  <c:v>2.4005374659027501</c:v>
                </c:pt>
                <c:pt idx="40">
                  <c:v>2.3829566236904798</c:v>
                </c:pt>
                <c:pt idx="41">
                  <c:v>0.34336493488410902</c:v>
                </c:pt>
                <c:pt idx="42">
                  <c:v>0.33183981472282698</c:v>
                </c:pt>
                <c:pt idx="43">
                  <c:v>0</c:v>
                </c:pt>
                <c:pt idx="44">
                  <c:v>0</c:v>
                </c:pt>
                <c:pt idx="45">
                  <c:v>0</c:v>
                </c:pt>
                <c:pt idx="46">
                  <c:v>0</c:v>
                </c:pt>
                <c:pt idx="47">
                  <c:v>0</c:v>
                </c:pt>
                <c:pt idx="48">
                  <c:v>0</c:v>
                </c:pt>
                <c:pt idx="49">
                  <c:v>0</c:v>
                </c:pt>
                <c:pt idx="50">
                  <c:v>0</c:v>
                </c:pt>
                <c:pt idx="51">
                  <c:v>0</c:v>
                </c:pt>
                <c:pt idx="52">
                  <c:v>0</c:v>
                </c:pt>
                <c:pt idx="53">
                  <c:v>0.33183981472282698</c:v>
                </c:pt>
                <c:pt idx="54">
                  <c:v>0.33183981472282698</c:v>
                </c:pt>
                <c:pt idx="55">
                  <c:v>0.33183981472282698</c:v>
                </c:pt>
                <c:pt idx="56">
                  <c:v>0.33183981472282698</c:v>
                </c:pt>
                <c:pt idx="57">
                  <c:v>0.66873871831329001</c:v>
                </c:pt>
                <c:pt idx="58">
                  <c:v>1.19699217502491</c:v>
                </c:pt>
                <c:pt idx="59">
                  <c:v>1.6431253476493499</c:v>
                </c:pt>
                <c:pt idx="60">
                  <c:v>2.0369901747669301</c:v>
                </c:pt>
                <c:pt idx="61">
                  <c:v>2.2386044193196599</c:v>
                </c:pt>
                <c:pt idx="62">
                  <c:v>2.31017988262278</c:v>
                </c:pt>
                <c:pt idx="63">
                  <c:v>2.36287217855114</c:v>
                </c:pt>
                <c:pt idx="64">
                  <c:v>2.3500111971045698</c:v>
                </c:pt>
                <c:pt idx="65">
                  <c:v>0.33426789428044801</c:v>
                </c:pt>
                <c:pt idx="66">
                  <c:v>0.33183981472282698</c:v>
                </c:pt>
                <c:pt idx="67">
                  <c:v>0</c:v>
                </c:pt>
                <c:pt idx="68">
                  <c:v>0</c:v>
                </c:pt>
                <c:pt idx="69">
                  <c:v>0</c:v>
                </c:pt>
                <c:pt idx="70">
                  <c:v>0</c:v>
                </c:pt>
                <c:pt idx="71">
                  <c:v>0</c:v>
                </c:pt>
                <c:pt idx="72">
                  <c:v>0</c:v>
                </c:pt>
                <c:pt idx="73">
                  <c:v>0</c:v>
                </c:pt>
                <c:pt idx="74">
                  <c:v>0</c:v>
                </c:pt>
                <c:pt idx="75">
                  <c:v>0</c:v>
                </c:pt>
                <c:pt idx="76">
                  <c:v>0</c:v>
                </c:pt>
                <c:pt idx="77">
                  <c:v>0</c:v>
                </c:pt>
                <c:pt idx="78">
                  <c:v>0.33183981472282698</c:v>
                </c:pt>
                <c:pt idx="79">
                  <c:v>0.33183981472282698</c:v>
                </c:pt>
                <c:pt idx="80">
                  <c:v>0.33183981472282698</c:v>
                </c:pt>
                <c:pt idx="81">
                  <c:v>0.33183981472282698</c:v>
                </c:pt>
                <c:pt idx="82">
                  <c:v>0.33183981472282698</c:v>
                </c:pt>
                <c:pt idx="83">
                  <c:v>0.33183981472282698</c:v>
                </c:pt>
                <c:pt idx="84">
                  <c:v>0.33183981472282698</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0.33183981472282698</c:v>
                </c:pt>
                <c:pt idx="103">
                  <c:v>0.33183981472282698</c:v>
                </c:pt>
                <c:pt idx="104">
                  <c:v>0.33183981472282698</c:v>
                </c:pt>
                <c:pt idx="105">
                  <c:v>0.33183981472282698</c:v>
                </c:pt>
                <c:pt idx="106">
                  <c:v>0.33183981472282698</c:v>
                </c:pt>
                <c:pt idx="107">
                  <c:v>0.33183981472282698</c:v>
                </c:pt>
                <c:pt idx="108">
                  <c:v>0.33183981472282698</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0.33183981472282698</c:v>
                </c:pt>
                <c:pt idx="126">
                  <c:v>0.33183981472282698</c:v>
                </c:pt>
                <c:pt idx="127">
                  <c:v>0.33183981472282698</c:v>
                </c:pt>
                <c:pt idx="128">
                  <c:v>0.34162317312141699</c:v>
                </c:pt>
                <c:pt idx="129">
                  <c:v>0.75667239037006695</c:v>
                </c:pt>
                <c:pt idx="130">
                  <c:v>1.2848003499327101</c:v>
                </c:pt>
                <c:pt idx="131">
                  <c:v>1.73445019872755</c:v>
                </c:pt>
                <c:pt idx="132">
                  <c:v>2.1374536537462698</c:v>
                </c:pt>
                <c:pt idx="133">
                  <c:v>2.33256651478592</c:v>
                </c:pt>
                <c:pt idx="134">
                  <c:v>2.4124790221125898</c:v>
                </c:pt>
                <c:pt idx="135">
                  <c:v>2.47194028261627</c:v>
                </c:pt>
                <c:pt idx="136">
                  <c:v>2.4764931482899799</c:v>
                </c:pt>
                <c:pt idx="137">
                  <c:v>0.37430623797950402</c:v>
                </c:pt>
                <c:pt idx="138">
                  <c:v>0.33183981472282698</c:v>
                </c:pt>
                <c:pt idx="139">
                  <c:v>0</c:v>
                </c:pt>
                <c:pt idx="140">
                  <c:v>0</c:v>
                </c:pt>
                <c:pt idx="141">
                  <c:v>0</c:v>
                </c:pt>
                <c:pt idx="142">
                  <c:v>0</c:v>
                </c:pt>
                <c:pt idx="143">
                  <c:v>0</c:v>
                </c:pt>
                <c:pt idx="144">
                  <c:v>0</c:v>
                </c:pt>
                <c:pt idx="145">
                  <c:v>0</c:v>
                </c:pt>
                <c:pt idx="146">
                  <c:v>0</c:v>
                </c:pt>
                <c:pt idx="147">
                  <c:v>0</c:v>
                </c:pt>
                <c:pt idx="148">
                  <c:v>0</c:v>
                </c:pt>
                <c:pt idx="149">
                  <c:v>0.33183981472282698</c:v>
                </c:pt>
                <c:pt idx="150">
                  <c:v>0.33183981472282698</c:v>
                </c:pt>
                <c:pt idx="151">
                  <c:v>1.1616174961793</c:v>
                </c:pt>
                <c:pt idx="152">
                  <c:v>1.26765522698183</c:v>
                </c:pt>
                <c:pt idx="153">
                  <c:v>1.55171926350931</c:v>
                </c:pt>
                <c:pt idx="154">
                  <c:v>1.77617918494657</c:v>
                </c:pt>
                <c:pt idx="155">
                  <c:v>2.08944342483922</c:v>
                </c:pt>
                <c:pt idx="156">
                  <c:v>2.2852110958851202</c:v>
                </c:pt>
                <c:pt idx="157">
                  <c:v>2.36700795221447</c:v>
                </c:pt>
                <c:pt idx="158">
                  <c:v>2.4074788955383601</c:v>
                </c:pt>
                <c:pt idx="159">
                  <c:v>2.4371695669990201</c:v>
                </c:pt>
                <c:pt idx="160">
                  <c:v>2.4415026723549502</c:v>
                </c:pt>
                <c:pt idx="161">
                  <c:v>0.35554194751824297</c:v>
                </c:pt>
                <c:pt idx="162">
                  <c:v>0.33183981472282698</c:v>
                </c:pt>
                <c:pt idx="163">
                  <c:v>0</c:v>
                </c:pt>
                <c:pt idx="164">
                  <c:v>0</c:v>
                </c:pt>
                <c:pt idx="165">
                  <c:v>0</c:v>
                </c:pt>
                <c:pt idx="166">
                  <c:v>0</c:v>
                </c:pt>
                <c:pt idx="167">
                  <c:v>0</c:v>
                </c:pt>
              </c:numCache>
            </c:numRef>
          </c:yVal>
          <c:smooth val="0"/>
        </c:ser>
        <c:ser>
          <c:idx val="5"/>
          <c:order val="5"/>
          <c:tx>
            <c:strRef>
              <c:f>'graph data'!$I$444</c:f>
              <c:strCache>
                <c:ptCount val="1"/>
                <c:pt idx="0">
                  <c:v>RCLR</c:v>
                </c:pt>
              </c:strCache>
            </c:strRef>
          </c:tx>
          <c:marker>
            <c:symbol val="circle"/>
            <c:size val="2"/>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data'!$I$445:$I$612</c:f>
              <c:numCache>
                <c:formatCode>General</c:formatCode>
                <c:ptCount val="168"/>
                <c:pt idx="0">
                  <c:v>0</c:v>
                </c:pt>
                <c:pt idx="1">
                  <c:v>0</c:v>
                </c:pt>
                <c:pt idx="2">
                  <c:v>0</c:v>
                </c:pt>
                <c:pt idx="3">
                  <c:v>0</c:v>
                </c:pt>
                <c:pt idx="4">
                  <c:v>0</c:v>
                </c:pt>
                <c:pt idx="5">
                  <c:v>0</c:v>
                </c:pt>
                <c:pt idx="6">
                  <c:v>0</c:v>
                </c:pt>
                <c:pt idx="7">
                  <c:v>4.6955642876078237E-2</c:v>
                </c:pt>
                <c:pt idx="8">
                  <c:v>8.9126306453532658E-2</c:v>
                </c:pt>
                <c:pt idx="9">
                  <c:v>0.22191721864439798</c:v>
                </c:pt>
                <c:pt idx="10">
                  <c:v>0.38128351061152199</c:v>
                </c:pt>
                <c:pt idx="11">
                  <c:v>0.48521171479859154</c:v>
                </c:pt>
                <c:pt idx="12">
                  <c:v>0.55372091110019295</c:v>
                </c:pt>
                <c:pt idx="13">
                  <c:v>0.57314163348318381</c:v>
                </c:pt>
                <c:pt idx="14">
                  <c:v>0.58367730720496069</c:v>
                </c:pt>
                <c:pt idx="15">
                  <c:v>0.58541767601435146</c:v>
                </c:pt>
                <c:pt idx="16">
                  <c:v>0.5639810155178635</c:v>
                </c:pt>
                <c:pt idx="17">
                  <c:v>0.22402349041389774</c:v>
                </c:pt>
                <c:pt idx="18">
                  <c:v>0.25972067214695455</c:v>
                </c:pt>
                <c:pt idx="19">
                  <c:v>0</c:v>
                </c:pt>
                <c:pt idx="20">
                  <c:v>0</c:v>
                </c:pt>
                <c:pt idx="21">
                  <c:v>0</c:v>
                </c:pt>
                <c:pt idx="22">
                  <c:v>0</c:v>
                </c:pt>
                <c:pt idx="23">
                  <c:v>0</c:v>
                </c:pt>
                <c:pt idx="24">
                  <c:v>0</c:v>
                </c:pt>
                <c:pt idx="25">
                  <c:v>0</c:v>
                </c:pt>
                <c:pt idx="26">
                  <c:v>0</c:v>
                </c:pt>
                <c:pt idx="27">
                  <c:v>0</c:v>
                </c:pt>
                <c:pt idx="28">
                  <c:v>0</c:v>
                </c:pt>
                <c:pt idx="29">
                  <c:v>0</c:v>
                </c:pt>
                <c:pt idx="30">
                  <c:v>0</c:v>
                </c:pt>
                <c:pt idx="31">
                  <c:v>4.5944780611348345E-2</c:v>
                </c:pt>
                <c:pt idx="32">
                  <c:v>8.8092095058555808E-2</c:v>
                </c:pt>
                <c:pt idx="33">
                  <c:v>0.19321215826818722</c:v>
                </c:pt>
                <c:pt idx="34">
                  <c:v>0.3585999480634452</c:v>
                </c:pt>
                <c:pt idx="35">
                  <c:v>0.47608153187187668</c:v>
                </c:pt>
                <c:pt idx="36">
                  <c:v>0.55402927349316877</c:v>
                </c:pt>
                <c:pt idx="37">
                  <c:v>0.58139317422916048</c:v>
                </c:pt>
                <c:pt idx="38">
                  <c:v>0.59192758818018298</c:v>
                </c:pt>
                <c:pt idx="39">
                  <c:v>0.5943054789132326</c:v>
                </c:pt>
                <c:pt idx="40">
                  <c:v>0.57313799280838018</c:v>
                </c:pt>
                <c:pt idx="41">
                  <c:v>0.23881937241517115</c:v>
                </c:pt>
                <c:pt idx="42">
                  <c:v>0.26323110847782055</c:v>
                </c:pt>
                <c:pt idx="43">
                  <c:v>0</c:v>
                </c:pt>
                <c:pt idx="44">
                  <c:v>0</c:v>
                </c:pt>
                <c:pt idx="45">
                  <c:v>0</c:v>
                </c:pt>
                <c:pt idx="46">
                  <c:v>0</c:v>
                </c:pt>
                <c:pt idx="47">
                  <c:v>0</c:v>
                </c:pt>
                <c:pt idx="48">
                  <c:v>0</c:v>
                </c:pt>
                <c:pt idx="49">
                  <c:v>0</c:v>
                </c:pt>
                <c:pt idx="50">
                  <c:v>0</c:v>
                </c:pt>
                <c:pt idx="51">
                  <c:v>0</c:v>
                </c:pt>
                <c:pt idx="52">
                  <c:v>0</c:v>
                </c:pt>
                <c:pt idx="53">
                  <c:v>0</c:v>
                </c:pt>
                <c:pt idx="54">
                  <c:v>0</c:v>
                </c:pt>
                <c:pt idx="55">
                  <c:v>4.6090767089117086E-2</c:v>
                </c:pt>
                <c:pt idx="56">
                  <c:v>8.3850376181559425E-2</c:v>
                </c:pt>
                <c:pt idx="57">
                  <c:v>0.20141643132763837</c:v>
                </c:pt>
                <c:pt idx="58">
                  <c:v>0.36051558150696911</c:v>
                </c:pt>
                <c:pt idx="59">
                  <c:v>0.46907110702954519</c:v>
                </c:pt>
                <c:pt idx="60">
                  <c:v>0.54246021239286168</c:v>
                </c:pt>
                <c:pt idx="61">
                  <c:v>0.56744400904292447</c:v>
                </c:pt>
                <c:pt idx="62">
                  <c:v>0.57978188874137393</c:v>
                </c:pt>
                <c:pt idx="63">
                  <c:v>0.58376894378845889</c:v>
                </c:pt>
                <c:pt idx="64">
                  <c:v>0.56453849221113783</c:v>
                </c:pt>
                <c:pt idx="65">
                  <c:v>0.22847667406383096</c:v>
                </c:pt>
                <c:pt idx="66">
                  <c:v>0.25386030555146483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2.4642719705227089E-2</c:v>
                </c:pt>
                <c:pt idx="82">
                  <c:v>0.11918960165744312</c:v>
                </c:pt>
                <c:pt idx="83">
                  <c:v>0.17209182169898005</c:v>
                </c:pt>
                <c:pt idx="84">
                  <c:v>0.2295026776709887</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4.0279691511684743E-2</c:v>
                </c:pt>
                <c:pt idx="106">
                  <c:v>9.5071961118743789E-2</c:v>
                </c:pt>
                <c:pt idx="107">
                  <c:v>0.14298187110260413</c:v>
                </c:pt>
                <c:pt idx="108">
                  <c:v>0.20463080662774974</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5.4461657097689305E-2</c:v>
                </c:pt>
                <c:pt idx="128">
                  <c:v>9.4818132397658475E-2</c:v>
                </c:pt>
                <c:pt idx="129">
                  <c:v>0.2334676776715047</c:v>
                </c:pt>
                <c:pt idx="130">
                  <c:v>0.3900396173423829</c:v>
                </c:pt>
                <c:pt idx="131">
                  <c:v>0.4992337374620493</c:v>
                </c:pt>
                <c:pt idx="132">
                  <c:v>0.57410829147355724</c:v>
                </c:pt>
                <c:pt idx="133">
                  <c:v>0.5994392795128024</c:v>
                </c:pt>
                <c:pt idx="134">
                  <c:v>0.61215388128821457</c:v>
                </c:pt>
                <c:pt idx="135">
                  <c:v>0.6154319330981568</c:v>
                </c:pt>
                <c:pt idx="136">
                  <c:v>0.59992929935862749</c:v>
                </c:pt>
                <c:pt idx="137">
                  <c:v>0.28111930141812286</c:v>
                </c:pt>
                <c:pt idx="138">
                  <c:v>0.29666140909475536</c:v>
                </c:pt>
                <c:pt idx="139">
                  <c:v>0</c:v>
                </c:pt>
                <c:pt idx="140">
                  <c:v>0</c:v>
                </c:pt>
                <c:pt idx="141">
                  <c:v>0</c:v>
                </c:pt>
                <c:pt idx="142">
                  <c:v>0</c:v>
                </c:pt>
                <c:pt idx="143">
                  <c:v>0</c:v>
                </c:pt>
                <c:pt idx="144">
                  <c:v>0</c:v>
                </c:pt>
                <c:pt idx="145">
                  <c:v>0</c:v>
                </c:pt>
                <c:pt idx="146">
                  <c:v>0</c:v>
                </c:pt>
                <c:pt idx="147">
                  <c:v>0</c:v>
                </c:pt>
                <c:pt idx="148">
                  <c:v>0</c:v>
                </c:pt>
                <c:pt idx="149">
                  <c:v>0</c:v>
                </c:pt>
                <c:pt idx="150">
                  <c:v>7.6674894865405635E-3</c:v>
                </c:pt>
                <c:pt idx="151">
                  <c:v>0.19092765510713883</c:v>
                </c:pt>
                <c:pt idx="152">
                  <c:v>0.29955324079562351</c:v>
                </c:pt>
                <c:pt idx="153">
                  <c:v>0.37742185010237589</c:v>
                </c:pt>
                <c:pt idx="154">
                  <c:v>0.44699370892039403</c:v>
                </c:pt>
                <c:pt idx="155">
                  <c:v>0.51586100180303573</c:v>
                </c:pt>
                <c:pt idx="156">
                  <c:v>0.54650307223753802</c:v>
                </c:pt>
                <c:pt idx="157">
                  <c:v>0.56114182634309606</c:v>
                </c:pt>
                <c:pt idx="158">
                  <c:v>0.56700650294540222</c:v>
                </c:pt>
                <c:pt idx="159">
                  <c:v>0.56955441093945369</c:v>
                </c:pt>
                <c:pt idx="160">
                  <c:v>0.56553930997861113</c:v>
                </c:pt>
                <c:pt idx="161">
                  <c:v>0.24291403704507858</c:v>
                </c:pt>
                <c:pt idx="162">
                  <c:v>0.25327517661007415</c:v>
                </c:pt>
                <c:pt idx="163">
                  <c:v>0</c:v>
                </c:pt>
                <c:pt idx="164">
                  <c:v>0</c:v>
                </c:pt>
                <c:pt idx="165">
                  <c:v>0</c:v>
                </c:pt>
                <c:pt idx="166">
                  <c:v>0</c:v>
                </c:pt>
                <c:pt idx="167">
                  <c:v>0</c:v>
                </c:pt>
              </c:numCache>
            </c:numRef>
          </c:yVal>
          <c:smooth val="0"/>
        </c:ser>
        <c:dLbls>
          <c:showLegendKey val="0"/>
          <c:showVal val="0"/>
          <c:showCatName val="0"/>
          <c:showSerName val="0"/>
          <c:showPercent val="0"/>
          <c:showBubbleSize val="0"/>
        </c:dLbls>
        <c:axId val="133909888"/>
        <c:axId val="136332416"/>
      </c:scatterChart>
      <c:valAx>
        <c:axId val="133148032"/>
        <c:scaling>
          <c:orientation val="minMax"/>
        </c:scaling>
        <c:delete val="0"/>
        <c:axPos val="b"/>
        <c:majorGridlines>
          <c:spPr>
            <a:ln>
              <a:solidFill>
                <a:srgbClr val="000000"/>
              </a:solidFill>
              <a:prstDash val="sysDot"/>
            </a:ln>
          </c:spPr>
        </c:majorGridlines>
        <c:title>
          <c:tx>
            <c:rich>
              <a:bodyPr/>
              <a:lstStyle/>
              <a:p>
                <a:pPr>
                  <a:defRPr lang="en-IE" sz="1400" b="1" i="0" u="none" strike="noStrike" baseline="0">
                    <a:solidFill>
                      <a:srgbClr val="000000"/>
                    </a:solidFill>
                    <a:latin typeface="Arial"/>
                    <a:ea typeface="Arial"/>
                    <a:cs typeface="Arial"/>
                  </a:defRPr>
                </a:pPr>
                <a:r>
                  <a:rPr lang="en-US"/>
                  <a:t>Hours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3907968"/>
        <c:crosses val="autoZero"/>
        <c:crossBetween val="midCat"/>
        <c:majorUnit val="24"/>
      </c:valAx>
      <c:valAx>
        <c:axId val="133907968"/>
        <c:scaling>
          <c:orientation val="minMax"/>
          <c:max val="50"/>
          <c:min val="0"/>
        </c:scaling>
        <c:delete val="0"/>
        <c:axPos val="l"/>
        <c:majorGridlines>
          <c:spPr>
            <a:ln w="3175">
              <a:solidFill>
                <a:srgbClr val="000000"/>
              </a:solidFill>
              <a:prstDash val="sysDash"/>
            </a:ln>
          </c:spPr>
        </c:majorGridlines>
        <c:title>
          <c:tx>
            <c:rich>
              <a:bodyPr/>
              <a:lstStyle/>
              <a:p>
                <a:pPr>
                  <a:defRPr lang="en-IE" sz="1400" b="1" i="0" u="none" strike="noStrike" baseline="0">
                    <a:solidFill>
                      <a:srgbClr val="000000"/>
                    </a:solidFill>
                    <a:latin typeface="Arial"/>
                    <a:ea typeface="Arial"/>
                    <a:cs typeface="Arial"/>
                  </a:defRPr>
                </a:pPr>
                <a:r>
                  <a:rPr lang="en-US"/>
                  <a:t>Temperature, °C</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lang="en-IE" sz="1400" b="0" i="0" u="none" strike="noStrike" baseline="0">
                <a:solidFill>
                  <a:srgbClr val="000000"/>
                </a:solidFill>
                <a:latin typeface="Arial"/>
                <a:ea typeface="Arial"/>
                <a:cs typeface="Arial"/>
              </a:defRPr>
            </a:pPr>
            <a:endParaRPr lang="en-US"/>
          </a:p>
        </c:txPr>
        <c:crossAx val="133148032"/>
        <c:crosses val="autoZero"/>
        <c:crossBetween val="midCat"/>
      </c:valAx>
      <c:valAx>
        <c:axId val="133909888"/>
        <c:scaling>
          <c:orientation val="minMax"/>
        </c:scaling>
        <c:delete val="1"/>
        <c:axPos val="b"/>
        <c:numFmt formatCode="General" sourceLinked="1"/>
        <c:majorTickMark val="out"/>
        <c:minorTickMark val="none"/>
        <c:tickLblPos val="none"/>
        <c:crossAx val="136332416"/>
        <c:crosses val="autoZero"/>
        <c:crossBetween val="midCat"/>
      </c:valAx>
      <c:valAx>
        <c:axId val="136332416"/>
        <c:scaling>
          <c:orientation val="minMax"/>
          <c:max val="6"/>
        </c:scaling>
        <c:delete val="0"/>
        <c:axPos val="r"/>
        <c:title>
          <c:tx>
            <c:rich>
              <a:bodyPr/>
              <a:lstStyle/>
              <a:p>
                <a:pPr>
                  <a:defRPr lang="en-IE" sz="1400" b="1" i="0" u="none" strike="noStrike" baseline="0">
                    <a:solidFill>
                      <a:srgbClr val="000000"/>
                    </a:solidFill>
                    <a:latin typeface="Arial"/>
                    <a:ea typeface="Arial"/>
                    <a:cs typeface="Arial"/>
                  </a:defRPr>
                </a:pPr>
                <a:r>
                  <a:rPr lang="en-US"/>
                  <a:t>Flowrate, m3/s</a:t>
                </a:r>
              </a:p>
            </c:rich>
          </c:tx>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lang="en-IE" sz="1400" b="1" i="0" u="none" strike="noStrike" baseline="0">
                <a:solidFill>
                  <a:srgbClr val="000000"/>
                </a:solidFill>
                <a:latin typeface="Arial"/>
                <a:ea typeface="Arial"/>
                <a:cs typeface="Arial"/>
              </a:defRPr>
            </a:pPr>
            <a:endParaRPr lang="en-US"/>
          </a:p>
        </c:txPr>
        <c:crossAx val="133909888"/>
        <c:crosses val="max"/>
        <c:crossBetween val="midCat"/>
        <c:majorUnit val="1"/>
      </c:valAx>
      <c:spPr>
        <a:solidFill>
          <a:schemeClr val="bg1"/>
        </a:solidFill>
        <a:ln w="12700">
          <a:solidFill>
            <a:srgbClr val="808080"/>
          </a:solidFill>
          <a:prstDash val="solid"/>
        </a:ln>
      </c:spPr>
    </c:plotArea>
    <c:legend>
      <c:legendPos val="r"/>
      <c:layout>
        <c:manualLayout>
          <c:xMode val="edge"/>
          <c:yMode val="edge"/>
          <c:x val="0.19387764841083177"/>
          <c:y val="0.83352784627183563"/>
          <c:w val="0.67071790670860065"/>
          <c:h val="0.16647215830559595"/>
        </c:manualLayout>
      </c:layout>
      <c:overlay val="0"/>
      <c:spPr>
        <a:solidFill>
          <a:srgbClr val="FFFFFF"/>
        </a:solidFill>
        <a:ln w="3175">
          <a:solidFill>
            <a:srgbClr val="000000"/>
          </a:solidFill>
          <a:prstDash val="solid"/>
        </a:ln>
      </c:spPr>
      <c:txPr>
        <a:bodyPr/>
        <a:lstStyle/>
        <a:p>
          <a:pPr>
            <a:defRPr lang="en-IE"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Scroll" dx="13" fmlaLink="$D$8" horiz="1" max="24" min="1" page="10" val="15"/>
</file>

<file path=xl/ctrlProps/ctrlProp2.xml><?xml version="1.0" encoding="utf-8"?>
<formControlPr xmlns="http://schemas.microsoft.com/office/spreadsheetml/2009/9/main" objectType="Scroll" dx="13" fmlaLink="$D$8" horiz="1" max="24" page="10" val="15"/>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15" fmlaLink="$C$3" max="8760" min="2" page="10" val="4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absolute">
    <xdr:from>
      <xdr:col>6</xdr:col>
      <xdr:colOff>0</xdr:colOff>
      <xdr:row>13</xdr:row>
      <xdr:rowOff>5042</xdr:rowOff>
    </xdr:from>
    <xdr:to>
      <xdr:col>10</xdr:col>
      <xdr:colOff>2095500</xdr:colOff>
      <xdr:row>28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44</xdr:row>
      <xdr:rowOff>0</xdr:rowOff>
    </xdr:from>
    <xdr:to>
      <xdr:col>10</xdr:col>
      <xdr:colOff>2095500</xdr:colOff>
      <xdr:row>60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0</xdr:colOff>
      <xdr:row>28</xdr:row>
      <xdr:rowOff>0</xdr:rowOff>
    </xdr:from>
    <xdr:to>
      <xdr:col>10</xdr:col>
      <xdr:colOff>2093633</xdr:colOff>
      <xdr:row>44</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0</xdr:colOff>
      <xdr:row>60</xdr:row>
      <xdr:rowOff>0</xdr:rowOff>
    </xdr:from>
    <xdr:to>
      <xdr:col>10</xdr:col>
      <xdr:colOff>2095500</xdr:colOff>
      <xdr:row>75</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13</xdr:row>
      <xdr:rowOff>1</xdr:rowOff>
    </xdr:from>
    <xdr:to>
      <xdr:col>5</xdr:col>
      <xdr:colOff>1</xdr:colOff>
      <xdr:row>34</xdr:row>
      <xdr:rowOff>1</xdr:rowOff>
    </xdr:to>
    <xdr:graphicFrame macro="">
      <xdr:nvGraphicFramePr>
        <xdr:cNvPr id="21738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13</xdr:row>
      <xdr:rowOff>0</xdr:rowOff>
    </xdr:from>
    <xdr:to>
      <xdr:col>17</xdr:col>
      <xdr:colOff>0</xdr:colOff>
      <xdr:row>34</xdr:row>
      <xdr:rowOff>1</xdr:rowOff>
    </xdr:to>
    <xdr:graphicFrame macro="">
      <xdr:nvGraphicFramePr>
        <xdr:cNvPr id="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1037166</xdr:colOff>
      <xdr:row>34</xdr:row>
      <xdr:rowOff>10584</xdr:rowOff>
    </xdr:from>
    <xdr:to>
      <xdr:col>16</xdr:col>
      <xdr:colOff>603250</xdr:colOff>
      <xdr:row>55</xdr:row>
      <xdr:rowOff>10584</xdr:rowOff>
    </xdr:to>
    <xdr:graphicFrame macro="">
      <xdr:nvGraphicFramePr>
        <xdr:cNvPr id="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34</xdr:row>
      <xdr:rowOff>1</xdr:rowOff>
    </xdr:from>
    <xdr:to>
      <xdr:col>5</xdr:col>
      <xdr:colOff>0</xdr:colOff>
      <xdr:row>55</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7796</xdr:colOff>
      <xdr:row>5</xdr:row>
      <xdr:rowOff>0</xdr:rowOff>
    </xdr:from>
    <xdr:to>
      <xdr:col>30</xdr:col>
      <xdr:colOff>0</xdr:colOff>
      <xdr:row>23</xdr:row>
      <xdr:rowOff>0</xdr:rowOff>
    </xdr:to>
    <xdr:graphicFrame macro="">
      <xdr:nvGraphicFramePr>
        <xdr:cNvPr id="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0.52186</cdr:x>
      <cdr:y>0.10025</cdr:y>
    </cdr:from>
    <cdr:to>
      <cdr:x>0.68033</cdr:x>
      <cdr:y>0.1653</cdr:y>
    </cdr:to>
    <cdr:sp macro="" textlink="'Output annual'!$C$12">
      <cdr:nvSpPr>
        <cdr:cNvPr id="3" name="TextBox 2"/>
        <cdr:cNvSpPr txBox="1"/>
      </cdr:nvSpPr>
      <cdr:spPr>
        <a:xfrm xmlns:a="http://schemas.openxmlformats.org/drawingml/2006/main">
          <a:off x="1653885" y="346362"/>
          <a:ext cx="502227" cy="2247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2FE231D-B76F-40B1-8183-D01A9D8D1C63}" type="TxLink">
            <a:rPr lang="en-US" sz="1100"/>
            <a:pPr/>
            <a:t>0.0</a:t>
          </a:fld>
          <a:endParaRPr lang="en-US" sz="1100"/>
        </a:p>
      </cdr:txBody>
    </cdr:sp>
  </cdr:relSizeAnchor>
  <cdr:relSizeAnchor xmlns:cdr="http://schemas.openxmlformats.org/drawingml/2006/chartDrawing">
    <cdr:from>
      <cdr:x>0</cdr:x>
      <cdr:y>0.09524</cdr:y>
    </cdr:from>
    <cdr:to>
      <cdr:x>0.5929</cdr:x>
      <cdr:y>0.1703</cdr:y>
    </cdr:to>
    <cdr:sp macro="" textlink="">
      <cdr:nvSpPr>
        <cdr:cNvPr id="4" name="TextBox 3"/>
        <cdr:cNvSpPr txBox="1"/>
      </cdr:nvSpPr>
      <cdr:spPr>
        <a:xfrm xmlns:a="http://schemas.openxmlformats.org/drawingml/2006/main">
          <a:off x="0" y="329044"/>
          <a:ext cx="1879022" cy="2593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Total Building EUI</a:t>
          </a:r>
          <a:r>
            <a:rPr lang="en-US" sz="1100" baseline="0"/>
            <a:t> </a:t>
          </a:r>
          <a:r>
            <a:rPr lang="en-US" sz="1100">
              <a:latin typeface="+mn-lt"/>
              <a:ea typeface="+mn-ea"/>
              <a:cs typeface="+mn-cs"/>
            </a:rPr>
            <a:t>[kBtu/sf] </a:t>
          </a:r>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8</xdr:col>
      <xdr:colOff>979714</xdr:colOff>
      <xdr:row>14</xdr:row>
      <xdr:rowOff>0</xdr:rowOff>
    </xdr:from>
    <xdr:to>
      <xdr:col>14</xdr:col>
      <xdr:colOff>0</xdr:colOff>
      <xdr:row>48</xdr:row>
      <xdr:rowOff>0</xdr:rowOff>
    </xdr:to>
    <xdr:graphicFrame macro="">
      <xdr:nvGraphicFramePr>
        <xdr:cNvPr id="13469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14</xdr:row>
      <xdr:rowOff>0</xdr:rowOff>
    </xdr:from>
    <xdr:to>
      <xdr:col>9</xdr:col>
      <xdr:colOff>0</xdr:colOff>
      <xdr:row>48</xdr:row>
      <xdr:rowOff>0</xdr:rowOff>
    </xdr:to>
    <xdr:graphicFrame macro="">
      <xdr:nvGraphicFramePr>
        <xdr:cNvPr id="1346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xdr:colOff>
      <xdr:row>1</xdr:row>
      <xdr:rowOff>0</xdr:rowOff>
    </xdr:from>
    <xdr:to>
      <xdr:col>14</xdr:col>
      <xdr:colOff>1</xdr:colOff>
      <xdr:row>14</xdr:row>
      <xdr:rowOff>0</xdr:rowOff>
    </xdr:to>
    <xdr:graphicFrame macro="">
      <xdr:nvGraphicFramePr>
        <xdr:cNvPr id="13470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48</xdr:row>
      <xdr:rowOff>0</xdr:rowOff>
    </xdr:from>
    <xdr:to>
      <xdr:col>14</xdr:col>
      <xdr:colOff>0</xdr:colOff>
      <xdr:row>61</xdr:row>
      <xdr:rowOff>0</xdr:rowOff>
    </xdr:to>
    <xdr:graphicFrame macro="">
      <xdr:nvGraphicFramePr>
        <xdr:cNvPr id="134701"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702469</xdr:colOff>
      <xdr:row>51</xdr:row>
      <xdr:rowOff>154781</xdr:rowOff>
    </xdr:from>
    <xdr:to>
      <xdr:col>3</xdr:col>
      <xdr:colOff>714375</xdr:colOff>
      <xdr:row>55</xdr:row>
      <xdr:rowOff>142876</xdr:rowOff>
    </xdr:to>
    <xdr:grpSp>
      <xdr:nvGrpSpPr>
        <xdr:cNvPr id="24" name="Group 58"/>
        <xdr:cNvGrpSpPr>
          <a:grpSpLocks/>
        </xdr:cNvGrpSpPr>
      </xdr:nvGrpSpPr>
      <xdr:grpSpPr bwMode="auto">
        <a:xfrm>
          <a:off x="947398" y="8482352"/>
          <a:ext cx="3413691" cy="641238"/>
          <a:chOff x="1820" y="1017"/>
          <a:chExt cx="425" cy="167"/>
        </a:xfrm>
      </xdr:grpSpPr>
      <xdr:sp macro="" textlink="">
        <xdr:nvSpPr>
          <xdr:cNvPr id="25" name="Line 54"/>
          <xdr:cNvSpPr>
            <a:spLocks noChangeShapeType="1"/>
          </xdr:cNvSpPr>
        </xdr:nvSpPr>
        <xdr:spPr bwMode="auto">
          <a:xfrm flipH="1">
            <a:off x="1820" y="1184"/>
            <a:ext cx="424" cy="0"/>
          </a:xfrm>
          <a:prstGeom prst="line">
            <a:avLst/>
          </a:prstGeom>
          <a:noFill/>
          <a:ln w="22225">
            <a:solidFill>
              <a:srgbClr val="000000"/>
            </a:solidFill>
            <a:round/>
            <a:headEnd type="triangle" w="lg" len="lg"/>
            <a:tailEnd type="none" w="lg" len="lg"/>
          </a:ln>
        </xdr:spPr>
      </xdr:sp>
      <xdr:sp macro="" textlink="">
        <xdr:nvSpPr>
          <xdr:cNvPr id="26" name="Line 53"/>
          <xdr:cNvSpPr>
            <a:spLocks noChangeShapeType="1"/>
          </xdr:cNvSpPr>
        </xdr:nvSpPr>
        <xdr:spPr bwMode="auto">
          <a:xfrm flipH="1">
            <a:off x="1821" y="1017"/>
            <a:ext cx="424" cy="0"/>
          </a:xfrm>
          <a:prstGeom prst="line">
            <a:avLst/>
          </a:prstGeom>
          <a:noFill/>
          <a:ln w="22225">
            <a:solidFill>
              <a:srgbClr val="000000"/>
            </a:solidFill>
            <a:round/>
            <a:headEnd/>
            <a:tailEnd type="triangle" w="lg" len="lg"/>
          </a:ln>
        </xdr:spPr>
      </xdr:sp>
      <xdr:sp macro="" textlink="">
        <xdr:nvSpPr>
          <xdr:cNvPr id="27" name="Line 55"/>
          <xdr:cNvSpPr>
            <a:spLocks noChangeShapeType="1"/>
          </xdr:cNvSpPr>
        </xdr:nvSpPr>
        <xdr:spPr bwMode="auto">
          <a:xfrm>
            <a:off x="2045" y="1019"/>
            <a:ext cx="0" cy="164"/>
          </a:xfrm>
          <a:prstGeom prst="line">
            <a:avLst/>
          </a:prstGeom>
          <a:noFill/>
          <a:ln w="19050">
            <a:solidFill>
              <a:srgbClr val="000000"/>
            </a:solidFill>
            <a:round/>
            <a:headEnd/>
            <a:tailEnd type="triangle" w="lg" len="lg"/>
          </a:ln>
        </xdr:spPr>
      </xdr:sp>
    </xdr:grpSp>
    <xdr:clientData/>
  </xdr:twoCellAnchor>
  <xdr:twoCellAnchor>
    <xdr:from>
      <xdr:col>1</xdr:col>
      <xdr:colOff>2338950</xdr:colOff>
      <xdr:row>53</xdr:row>
      <xdr:rowOff>31493</xdr:rowOff>
    </xdr:from>
    <xdr:to>
      <xdr:col>2</xdr:col>
      <xdr:colOff>94270</xdr:colOff>
      <xdr:row>54</xdr:row>
      <xdr:rowOff>104518</xdr:rowOff>
    </xdr:to>
    <xdr:cxnSp macro="">
      <xdr:nvCxnSpPr>
        <xdr:cNvPr id="30" name="Straight Connector 29"/>
        <xdr:cNvCxnSpPr/>
      </xdr:nvCxnSpPr>
      <xdr:spPr bwMode="auto">
        <a:xfrm rot="10155605" flipV="1">
          <a:off x="2592950" y="8445243"/>
          <a:ext cx="342945"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1793868</xdr:colOff>
      <xdr:row>55</xdr:row>
      <xdr:rowOff>304</xdr:rowOff>
    </xdr:from>
    <xdr:to>
      <xdr:col>1</xdr:col>
      <xdr:colOff>2144751</xdr:colOff>
      <xdr:row>56</xdr:row>
      <xdr:rowOff>73329</xdr:rowOff>
    </xdr:to>
    <xdr:cxnSp macro="">
      <xdr:nvCxnSpPr>
        <xdr:cNvPr id="14" name="Straight Connector 13"/>
        <xdr:cNvCxnSpPr/>
      </xdr:nvCxnSpPr>
      <xdr:spPr bwMode="auto">
        <a:xfrm rot="10155605" flipV="1">
          <a:off x="2047868" y="8731554"/>
          <a:ext cx="350883"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1780445</xdr:colOff>
      <xdr:row>51</xdr:row>
      <xdr:rowOff>35040</xdr:rowOff>
    </xdr:from>
    <xdr:to>
      <xdr:col>1</xdr:col>
      <xdr:colOff>2131328</xdr:colOff>
      <xdr:row>52</xdr:row>
      <xdr:rowOff>116003</xdr:rowOff>
    </xdr:to>
    <xdr:cxnSp macro="">
      <xdr:nvCxnSpPr>
        <xdr:cNvPr id="15" name="Straight Connector 14"/>
        <xdr:cNvCxnSpPr/>
      </xdr:nvCxnSpPr>
      <xdr:spPr bwMode="auto">
        <a:xfrm rot="10155605" flipV="1">
          <a:off x="2030476" y="8536103"/>
          <a:ext cx="350883" cy="247650"/>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1838325</xdr:colOff>
          <xdr:row>7</xdr:row>
          <xdr:rowOff>0</xdr:rowOff>
        </xdr:from>
        <xdr:to>
          <xdr:col>3</xdr:col>
          <xdr:colOff>0</xdr:colOff>
          <xdr:row>8</xdr:row>
          <xdr:rowOff>38100</xdr:rowOff>
        </xdr:to>
        <xdr:sp macro="" textlink="">
          <xdr:nvSpPr>
            <xdr:cNvPr id="134281" name="Scroll Bar 137" hidden="1">
              <a:extLst>
                <a:ext uri="{63B3BB69-23CF-44E3-9099-C40C66FF867C}">
                  <a14:compatExt spid="_x0000_s134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9525</xdr:rowOff>
        </xdr:from>
        <xdr:to>
          <xdr:col>8</xdr:col>
          <xdr:colOff>0</xdr:colOff>
          <xdr:row>49</xdr:row>
          <xdr:rowOff>0</xdr:rowOff>
        </xdr:to>
        <xdr:sp macro="" textlink="">
          <xdr:nvSpPr>
            <xdr:cNvPr id="134293" name="Scroll Bar 149" hidden="1">
              <a:extLst>
                <a:ext uri="{63B3BB69-23CF-44E3-9099-C40C66FF867C}">
                  <a14:compatExt spid="_x0000_s134293"/>
                </a:ext>
              </a:extLst>
            </xdr:cNvPr>
            <xdr:cNvSpPr/>
          </xdr:nvSpPr>
          <xdr:spPr>
            <a:xfrm>
              <a:off x="0" y="0"/>
              <a:ext cx="0" cy="0"/>
            </a:xfrm>
            <a:prstGeom prst="rect">
              <a:avLst/>
            </a:prstGeom>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0.15481</cdr:x>
      <cdr:y>0.11241</cdr:y>
    </cdr:from>
    <cdr:to>
      <cdr:x>0.95291</cdr:x>
      <cdr:y>0.13626</cdr:y>
    </cdr:to>
    <cdr:sp macro="" textlink="">
      <cdr:nvSpPr>
        <cdr:cNvPr id="135169" name="Rectangle 1"/>
        <cdr:cNvSpPr>
          <a:spLocks xmlns:a="http://schemas.openxmlformats.org/drawingml/2006/main" noChangeArrowheads="1"/>
        </cdr:cNvSpPr>
      </cdr:nvSpPr>
      <cdr:spPr bwMode="auto">
        <a:xfrm xmlns:a="http://schemas.openxmlformats.org/drawingml/2006/main">
          <a:off x="719550" y="664520"/>
          <a:ext cx="3641598"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0.89596</cdr:y>
    </cdr:from>
    <cdr:to>
      <cdr:x>0.95291</cdr:x>
      <cdr:y>0.92892</cdr:y>
    </cdr:to>
    <cdr:sp macro="" textlink="">
      <cdr:nvSpPr>
        <cdr:cNvPr id="135170" name="Rectangle 2"/>
        <cdr:cNvSpPr>
          <a:spLocks xmlns:a="http://schemas.openxmlformats.org/drawingml/2006/main" noChangeArrowheads="1"/>
        </cdr:cNvSpPr>
      </cdr:nvSpPr>
      <cdr:spPr bwMode="auto">
        <a:xfrm xmlns:a="http://schemas.openxmlformats.org/drawingml/2006/main">
          <a:off x="719550" y="5257332"/>
          <a:ext cx="3641598" cy="191607"/>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0.83595</cdr:y>
    </cdr:from>
    <cdr:to>
      <cdr:x>0.95291</cdr:x>
      <cdr:y>0.84481</cdr:y>
    </cdr:to>
    <cdr:sp macro="" textlink="">
      <cdr:nvSpPr>
        <cdr:cNvPr id="135171" name="Rectangle 3"/>
        <cdr:cNvSpPr>
          <a:spLocks xmlns:a="http://schemas.openxmlformats.org/drawingml/2006/main" noChangeArrowheads="1"/>
        </cdr:cNvSpPr>
      </cdr:nvSpPr>
      <cdr:spPr bwMode="auto">
        <a:xfrm xmlns:a="http://schemas.openxmlformats.org/drawingml/2006/main">
          <a:off x="719550" y="4905812"/>
          <a:ext cx="3641598" cy="5186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0.29046</cdr:y>
    </cdr:from>
    <cdr:to>
      <cdr:x>0.95291</cdr:x>
      <cdr:y>0.29808</cdr:y>
    </cdr:to>
    <cdr:sp macro="" textlink="">
      <cdr:nvSpPr>
        <cdr:cNvPr id="135172" name="Rectangle 4"/>
        <cdr:cNvSpPr>
          <a:spLocks xmlns:a="http://schemas.openxmlformats.org/drawingml/2006/main" noChangeArrowheads="1"/>
        </cdr:cNvSpPr>
      </cdr:nvSpPr>
      <cdr:spPr bwMode="auto">
        <a:xfrm xmlns:a="http://schemas.openxmlformats.org/drawingml/2006/main">
          <a:off x="719550" y="1704673"/>
          <a:ext cx="3641598"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0.7356</cdr:x>
      <cdr:y>0.19111</cdr:y>
    </cdr:from>
    <cdr:to>
      <cdr:x>0.99633</cdr:x>
      <cdr:y>0.23513</cdr:y>
    </cdr:to>
    <cdr:sp macro="" textlink="">
      <cdr:nvSpPr>
        <cdr:cNvPr id="135178" name="Text Box 10"/>
        <cdr:cNvSpPr txBox="1">
          <a:spLocks xmlns:a="http://schemas.openxmlformats.org/drawingml/2006/main" noChangeArrowheads="1"/>
        </cdr:cNvSpPr>
      </cdr:nvSpPr>
      <cdr:spPr bwMode="auto">
        <a:xfrm xmlns:a="http://schemas.openxmlformats.org/drawingml/2006/main">
          <a:off x="3495707" y="1125530"/>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0.85228</cdr:x>
      <cdr:y>0.53271</cdr:y>
    </cdr:from>
    <cdr:to>
      <cdr:x>0.96882</cdr:x>
      <cdr:y>0.57673</cdr:y>
    </cdr:to>
    <cdr:sp macro="" textlink="">
      <cdr:nvSpPr>
        <cdr:cNvPr id="135179" name="Text Box 11"/>
        <cdr:cNvSpPr txBox="1">
          <a:spLocks xmlns:a="http://schemas.openxmlformats.org/drawingml/2006/main" noChangeArrowheads="1"/>
        </cdr:cNvSpPr>
      </cdr:nvSpPr>
      <cdr:spPr bwMode="auto">
        <a:xfrm xmlns:a="http://schemas.openxmlformats.org/drawingml/2006/main">
          <a:off x="3899205" y="3126601"/>
          <a:ext cx="542868"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0.73511</cdr:x>
      <cdr:y>0.85464</cdr:y>
    </cdr:from>
    <cdr:to>
      <cdr:x>0.99681</cdr:x>
      <cdr:y>0.89842</cdr:y>
    </cdr:to>
    <cdr:sp macro="" textlink="">
      <cdr:nvSpPr>
        <cdr:cNvPr id="135180" name="Text Box 12"/>
        <cdr:cNvSpPr txBox="1">
          <a:spLocks xmlns:a="http://schemas.openxmlformats.org/drawingml/2006/main" noChangeArrowheads="1"/>
        </cdr:cNvSpPr>
      </cdr:nvSpPr>
      <cdr:spPr bwMode="auto">
        <a:xfrm xmlns:a="http://schemas.openxmlformats.org/drawingml/2006/main">
          <a:off x="3495707" y="5013861"/>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0.02653</cdr:x>
      <cdr:y>0.0288</cdr:y>
    </cdr:from>
    <cdr:to>
      <cdr:x>0.49529</cdr:x>
      <cdr:y>0.09064</cdr:y>
    </cdr:to>
    <cdr:sp macro="" textlink="">
      <cdr:nvSpPr>
        <cdr:cNvPr id="135181" name="Text Box 13"/>
        <cdr:cNvSpPr txBox="1">
          <a:spLocks xmlns:a="http://schemas.openxmlformats.org/drawingml/2006/main" noChangeArrowheads="1"/>
        </cdr:cNvSpPr>
      </cdr:nvSpPr>
      <cdr:spPr bwMode="auto">
        <a:xfrm xmlns:a="http://schemas.openxmlformats.org/drawingml/2006/main">
          <a:off x="138984" y="175643"/>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Perimeter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0.01037</cdr:x>
      <cdr:y>0.84481</cdr:y>
    </cdr:from>
    <cdr:to>
      <cdr:x>0.21503</cdr:x>
      <cdr:y>0.91957</cdr:y>
    </cdr:to>
    <cdr:sp macro="" textlink="">
      <cdr:nvSpPr>
        <cdr:cNvPr id="135182" name="Text Box 14"/>
        <cdr:cNvSpPr txBox="1">
          <a:spLocks xmlns:a="http://schemas.openxmlformats.org/drawingml/2006/main" noChangeArrowheads="1"/>
        </cdr:cNvSpPr>
      </cdr:nvSpPr>
      <cdr:spPr bwMode="auto">
        <a:xfrm xmlns:a="http://schemas.openxmlformats.org/drawingml/2006/main">
          <a:off x="50800" y="4957675"/>
          <a:ext cx="942994"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0.76391</cdr:x>
      <cdr:y>0.01379</cdr:y>
    </cdr:from>
    <cdr:to>
      <cdr:x>0.96808</cdr:x>
      <cdr:y>0.08855</cdr:y>
    </cdr:to>
    <cdr:sp macro="" textlink="">
      <cdr:nvSpPr>
        <cdr:cNvPr id="135183" name="Text Box 15"/>
        <cdr:cNvSpPr txBox="1">
          <a:spLocks xmlns:a="http://schemas.openxmlformats.org/drawingml/2006/main" noChangeArrowheads="1"/>
        </cdr:cNvSpPr>
      </cdr:nvSpPr>
      <cdr:spPr bwMode="auto">
        <a:xfrm xmlns:a="http://schemas.openxmlformats.org/drawingml/2006/main">
          <a:off x="3495707" y="85376"/>
          <a:ext cx="942994"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0.01037</cdr:x>
      <cdr:y>0.94444</cdr:y>
    </cdr:from>
    <cdr:to>
      <cdr:x>0.11026</cdr:x>
      <cdr:y>0.97061</cdr:y>
    </cdr:to>
    <cdr:sp macro="" textlink="">
      <cdr:nvSpPr>
        <cdr:cNvPr id="135184" name="Text Box 16"/>
        <cdr:cNvSpPr txBox="1">
          <a:spLocks xmlns:a="http://schemas.openxmlformats.org/drawingml/2006/main" noChangeArrowheads="1"/>
        </cdr:cNvSpPr>
      </cdr:nvSpPr>
      <cdr:spPr bwMode="auto">
        <a:xfrm xmlns:a="http://schemas.openxmlformats.org/drawingml/2006/main">
          <a:off x="55031" y="5089071"/>
          <a:ext cx="530077"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6.xml><?xml version="1.0" encoding="utf-8"?>
<c:userShapes xmlns:c="http://schemas.openxmlformats.org/drawingml/2006/chart">
  <cdr:relSizeAnchor xmlns:cdr="http://schemas.openxmlformats.org/drawingml/2006/chartDrawing">
    <cdr:from>
      <cdr:x>0.15907</cdr:x>
      <cdr:y>0.11241</cdr:y>
    </cdr:from>
    <cdr:to>
      <cdr:x>0.9553</cdr:x>
      <cdr:y>0.13626</cdr:y>
    </cdr:to>
    <cdr:sp macro="" textlink="">
      <cdr:nvSpPr>
        <cdr:cNvPr id="144385" name="Rectangle 1"/>
        <cdr:cNvSpPr>
          <a:spLocks xmlns:a="http://schemas.openxmlformats.org/drawingml/2006/main" noChangeArrowheads="1"/>
        </cdr:cNvSpPr>
      </cdr:nvSpPr>
      <cdr:spPr bwMode="auto">
        <a:xfrm xmlns:a="http://schemas.openxmlformats.org/drawingml/2006/main">
          <a:off x="757822" y="664520"/>
          <a:ext cx="3710716"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0.89596</cdr:y>
    </cdr:from>
    <cdr:to>
      <cdr:x>0.9553</cdr:x>
      <cdr:y>0.92818</cdr:y>
    </cdr:to>
    <cdr:sp macro="" textlink="">
      <cdr:nvSpPr>
        <cdr:cNvPr id="144386" name="Rectangle 2"/>
        <cdr:cNvSpPr>
          <a:spLocks xmlns:a="http://schemas.openxmlformats.org/drawingml/2006/main" noChangeArrowheads="1"/>
        </cdr:cNvSpPr>
      </cdr:nvSpPr>
      <cdr:spPr bwMode="auto">
        <a:xfrm xmlns:a="http://schemas.openxmlformats.org/drawingml/2006/main">
          <a:off x="796315" y="5732422"/>
          <a:ext cx="3985982" cy="206146"/>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0.83693</cdr:y>
    </cdr:from>
    <cdr:to>
      <cdr:x>0.9553</cdr:x>
      <cdr:y>0.84578</cdr:y>
    </cdr:to>
    <cdr:sp macro="" textlink="">
      <cdr:nvSpPr>
        <cdr:cNvPr id="144387" name="Rectangle 3"/>
        <cdr:cNvSpPr>
          <a:spLocks xmlns:a="http://schemas.openxmlformats.org/drawingml/2006/main" noChangeArrowheads="1"/>
        </cdr:cNvSpPr>
      </cdr:nvSpPr>
      <cdr:spPr bwMode="auto">
        <a:xfrm xmlns:a="http://schemas.openxmlformats.org/drawingml/2006/main">
          <a:off x="757822" y="4911574"/>
          <a:ext cx="3710716" cy="5042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0.2971</cdr:y>
    </cdr:from>
    <cdr:to>
      <cdr:x>0.9553</cdr:x>
      <cdr:y>0.30497</cdr:y>
    </cdr:to>
    <cdr:sp macro="" textlink="">
      <cdr:nvSpPr>
        <cdr:cNvPr id="144388" name="Rectangle 4"/>
        <cdr:cNvSpPr>
          <a:spLocks xmlns:a="http://schemas.openxmlformats.org/drawingml/2006/main" noChangeArrowheads="1"/>
        </cdr:cNvSpPr>
      </cdr:nvSpPr>
      <cdr:spPr bwMode="auto">
        <a:xfrm xmlns:a="http://schemas.openxmlformats.org/drawingml/2006/main">
          <a:off x="757822" y="1750774"/>
          <a:ext cx="3710716"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0.73916</cdr:x>
      <cdr:y>0.19111</cdr:y>
    </cdr:from>
    <cdr:to>
      <cdr:x>0.99755</cdr:x>
      <cdr:y>0.23513</cdr:y>
    </cdr:to>
    <cdr:sp macro="" textlink="">
      <cdr:nvSpPr>
        <cdr:cNvPr id="144389" name="Text Box 5"/>
        <cdr:cNvSpPr txBox="1">
          <a:spLocks xmlns:a="http://schemas.openxmlformats.org/drawingml/2006/main" noChangeArrowheads="1"/>
        </cdr:cNvSpPr>
      </cdr:nvSpPr>
      <cdr:spPr bwMode="auto">
        <a:xfrm xmlns:a="http://schemas.openxmlformats.org/drawingml/2006/main">
          <a:off x="3592795" y="1125530"/>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0.85611</cdr:x>
      <cdr:y>0.53271</cdr:y>
    </cdr:from>
    <cdr:to>
      <cdr:x>0.97097</cdr:x>
      <cdr:y>0.57673</cdr:y>
    </cdr:to>
    <cdr:sp macro="" textlink="">
      <cdr:nvSpPr>
        <cdr:cNvPr id="144390" name="Text Box 6"/>
        <cdr:cNvSpPr txBox="1">
          <a:spLocks xmlns:a="http://schemas.openxmlformats.org/drawingml/2006/main" noChangeArrowheads="1"/>
        </cdr:cNvSpPr>
      </cdr:nvSpPr>
      <cdr:spPr bwMode="auto">
        <a:xfrm xmlns:a="http://schemas.openxmlformats.org/drawingml/2006/main">
          <a:off x="4004842" y="3126601"/>
          <a:ext cx="542891"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0.73916</cdr:x>
      <cdr:y>0.85464</cdr:y>
    </cdr:from>
    <cdr:to>
      <cdr:x>0.99755</cdr:x>
      <cdr:y>0.89842</cdr:y>
    </cdr:to>
    <cdr:sp macro="" textlink="">
      <cdr:nvSpPr>
        <cdr:cNvPr id="144391" name="Text Box 7"/>
        <cdr:cNvSpPr txBox="1">
          <a:spLocks xmlns:a="http://schemas.openxmlformats.org/drawingml/2006/main" noChangeArrowheads="1"/>
        </cdr:cNvSpPr>
      </cdr:nvSpPr>
      <cdr:spPr bwMode="auto">
        <a:xfrm xmlns:a="http://schemas.openxmlformats.org/drawingml/2006/main">
          <a:off x="3592795" y="5013861"/>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0.04053</cdr:x>
      <cdr:y>0.02683</cdr:y>
    </cdr:from>
    <cdr:to>
      <cdr:x>0.50929</cdr:x>
      <cdr:y>0.08867</cdr:y>
    </cdr:to>
    <cdr:sp macro="" textlink="">
      <cdr:nvSpPr>
        <cdr:cNvPr id="144392" name="Text Box 8"/>
        <cdr:cNvSpPr txBox="1">
          <a:spLocks xmlns:a="http://schemas.openxmlformats.org/drawingml/2006/main" noChangeArrowheads="1"/>
        </cdr:cNvSpPr>
      </cdr:nvSpPr>
      <cdr:spPr bwMode="auto">
        <a:xfrm xmlns:a="http://schemas.openxmlformats.org/drawingml/2006/main">
          <a:off x="212327" y="163629"/>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Interior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0.01016</cdr:x>
      <cdr:y>0.84456</cdr:y>
    </cdr:from>
    <cdr:to>
      <cdr:x>0.20978</cdr:x>
      <cdr:y>0.91957</cdr:y>
    </cdr:to>
    <cdr:sp macro="" textlink="">
      <cdr:nvSpPr>
        <cdr:cNvPr id="144393" name="Text Box 9"/>
        <cdr:cNvSpPr txBox="1">
          <a:spLocks xmlns:a="http://schemas.openxmlformats.org/drawingml/2006/main" noChangeArrowheads="1"/>
        </cdr:cNvSpPr>
      </cdr:nvSpPr>
      <cdr:spPr bwMode="auto">
        <a:xfrm xmlns:a="http://schemas.openxmlformats.org/drawingml/2006/main">
          <a:off x="50800" y="4957675"/>
          <a:ext cx="943461"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0.76745</cdr:x>
      <cdr:y>0.01379</cdr:y>
    </cdr:from>
    <cdr:to>
      <cdr:x>0.96852</cdr:x>
      <cdr:y>0.08855</cdr:y>
    </cdr:to>
    <cdr:sp macro="" textlink="">
      <cdr:nvSpPr>
        <cdr:cNvPr id="144394" name="Text Box 10"/>
        <cdr:cNvSpPr txBox="1">
          <a:spLocks xmlns:a="http://schemas.openxmlformats.org/drawingml/2006/main" noChangeArrowheads="1"/>
        </cdr:cNvSpPr>
      </cdr:nvSpPr>
      <cdr:spPr bwMode="auto">
        <a:xfrm xmlns:a="http://schemas.openxmlformats.org/drawingml/2006/main">
          <a:off x="3592795" y="85376"/>
          <a:ext cx="943461"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cdr:x>
      <cdr:y>0.95202</cdr:y>
    </cdr:from>
    <cdr:to>
      <cdr:x>0.11948</cdr:x>
      <cdr:y>0.97819</cdr:y>
    </cdr:to>
    <cdr:sp macro="" textlink="">
      <cdr:nvSpPr>
        <cdr:cNvPr id="144395" name="Text Box 11"/>
        <cdr:cNvSpPr txBox="1">
          <a:spLocks xmlns:a="http://schemas.openxmlformats.org/drawingml/2006/main" noChangeArrowheads="1"/>
        </cdr:cNvSpPr>
      </cdr:nvSpPr>
      <cdr:spPr bwMode="auto">
        <a:xfrm xmlns:a="http://schemas.openxmlformats.org/drawingml/2006/main">
          <a:off x="0" y="5129892"/>
          <a:ext cx="625929"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581025</xdr:colOff>
          <xdr:row>6</xdr:row>
          <xdr:rowOff>152400</xdr:rowOff>
        </xdr:to>
        <xdr:sp macro="" textlink="">
          <xdr:nvSpPr>
            <xdr:cNvPr id="228353" name="Button 1" hidden="1">
              <a:extLst>
                <a:ext uri="{63B3BB69-23CF-44E3-9099-C40C66FF867C}">
                  <a14:compatExt spid="_x0000_s2283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27</xdr:row>
          <xdr:rowOff>0</xdr:rowOff>
        </xdr:from>
        <xdr:to>
          <xdr:col>5</xdr:col>
          <xdr:colOff>581025</xdr:colOff>
          <xdr:row>31</xdr:row>
          <xdr:rowOff>152400</xdr:rowOff>
        </xdr:to>
        <xdr:sp macro="" textlink="">
          <xdr:nvSpPr>
            <xdr:cNvPr id="228359" name="Button 7" hidden="1">
              <a:extLst>
                <a:ext uri="{63B3BB69-23CF-44E3-9099-C40C66FF867C}">
                  <a14:compatExt spid="_x0000_s228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209550</xdr:colOff>
          <xdr:row>3</xdr:row>
          <xdr:rowOff>142875</xdr:rowOff>
        </xdr:from>
        <xdr:to>
          <xdr:col>12</xdr:col>
          <xdr:colOff>447675</xdr:colOff>
          <xdr:row>7</xdr:row>
          <xdr:rowOff>47625</xdr:rowOff>
        </xdr:to>
        <xdr:sp macro="" textlink="">
          <xdr:nvSpPr>
            <xdr:cNvPr id="233474" name="Button 2" hidden="1">
              <a:extLst>
                <a:ext uri="{63B3BB69-23CF-44E3-9099-C40C66FF867C}">
                  <a14:compatExt spid="_x0000_s233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4</xdr:col>
      <xdr:colOff>131990</xdr:colOff>
      <xdr:row>199</xdr:row>
      <xdr:rowOff>179615</xdr:rowOff>
    </xdr:from>
    <xdr:to>
      <xdr:col>10</xdr:col>
      <xdr:colOff>689883</xdr:colOff>
      <xdr:row>199</xdr:row>
      <xdr:rowOff>179615</xdr:rowOff>
    </xdr:to>
    <xdr:sp macro="" textlink="">
      <xdr:nvSpPr>
        <xdr:cNvPr id="2" name="Line 53"/>
        <xdr:cNvSpPr>
          <a:spLocks noChangeShapeType="1"/>
        </xdr:cNvSpPr>
      </xdr:nvSpPr>
      <xdr:spPr bwMode="auto">
        <a:xfrm flipH="1">
          <a:off x="15638690" y="15648215"/>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221</xdr:row>
      <xdr:rowOff>5443</xdr:rowOff>
    </xdr:from>
    <xdr:to>
      <xdr:col>10</xdr:col>
      <xdr:colOff>638175</xdr:colOff>
      <xdr:row>221</xdr:row>
      <xdr:rowOff>5443</xdr:rowOff>
    </xdr:to>
    <xdr:sp macro="" textlink="">
      <xdr:nvSpPr>
        <xdr:cNvPr id="3" name="Line 53"/>
        <xdr:cNvSpPr>
          <a:spLocks noChangeShapeType="1"/>
        </xdr:cNvSpPr>
      </xdr:nvSpPr>
      <xdr:spPr bwMode="auto">
        <a:xfrm flipH="1">
          <a:off x="15586982" y="1923641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241</xdr:row>
      <xdr:rowOff>171450</xdr:rowOff>
    </xdr:from>
    <xdr:to>
      <xdr:col>10</xdr:col>
      <xdr:colOff>695324</xdr:colOff>
      <xdr:row>241</xdr:row>
      <xdr:rowOff>171450</xdr:rowOff>
    </xdr:to>
    <xdr:sp macro="" textlink="">
      <xdr:nvSpPr>
        <xdr:cNvPr id="4" name="Line 53"/>
        <xdr:cNvSpPr>
          <a:spLocks noChangeShapeType="1"/>
        </xdr:cNvSpPr>
      </xdr:nvSpPr>
      <xdr:spPr bwMode="auto">
        <a:xfrm flipH="1">
          <a:off x="15644131" y="22802850"/>
          <a:ext cx="4472668" cy="0"/>
        </a:xfrm>
        <a:prstGeom prst="line">
          <a:avLst/>
        </a:prstGeom>
        <a:noFill/>
        <a:ln w="6350">
          <a:solidFill>
            <a:srgbClr val="000000"/>
          </a:solidFill>
          <a:round/>
          <a:headEnd/>
          <a:tailEnd type="none" w="lg" len="lg"/>
        </a:ln>
      </xdr:spPr>
    </xdr:sp>
    <xdr:clientData/>
  </xdr:twoCellAnchor>
  <xdr:twoCellAnchor>
    <xdr:from>
      <xdr:col>4</xdr:col>
      <xdr:colOff>131990</xdr:colOff>
      <xdr:row>269</xdr:row>
      <xdr:rowOff>179615</xdr:rowOff>
    </xdr:from>
    <xdr:to>
      <xdr:col>10</xdr:col>
      <xdr:colOff>689883</xdr:colOff>
      <xdr:row>269</xdr:row>
      <xdr:rowOff>179615</xdr:rowOff>
    </xdr:to>
    <xdr:sp macro="" textlink="">
      <xdr:nvSpPr>
        <xdr:cNvPr id="5" name="Line 53"/>
        <xdr:cNvSpPr>
          <a:spLocks noChangeShapeType="1"/>
        </xdr:cNvSpPr>
      </xdr:nvSpPr>
      <xdr:spPr bwMode="auto">
        <a:xfrm flipH="1">
          <a:off x="15638690" y="27392540"/>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291</xdr:row>
      <xdr:rowOff>5443</xdr:rowOff>
    </xdr:from>
    <xdr:to>
      <xdr:col>10</xdr:col>
      <xdr:colOff>638175</xdr:colOff>
      <xdr:row>291</xdr:row>
      <xdr:rowOff>5443</xdr:rowOff>
    </xdr:to>
    <xdr:sp macro="" textlink="">
      <xdr:nvSpPr>
        <xdr:cNvPr id="6" name="Line 53"/>
        <xdr:cNvSpPr>
          <a:spLocks noChangeShapeType="1"/>
        </xdr:cNvSpPr>
      </xdr:nvSpPr>
      <xdr:spPr bwMode="auto">
        <a:xfrm flipH="1">
          <a:off x="15586982" y="3079976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311</xdr:row>
      <xdr:rowOff>171450</xdr:rowOff>
    </xdr:from>
    <xdr:to>
      <xdr:col>10</xdr:col>
      <xdr:colOff>695324</xdr:colOff>
      <xdr:row>311</xdr:row>
      <xdr:rowOff>171450</xdr:rowOff>
    </xdr:to>
    <xdr:sp macro="" textlink="">
      <xdr:nvSpPr>
        <xdr:cNvPr id="7" name="Line 53"/>
        <xdr:cNvSpPr>
          <a:spLocks noChangeShapeType="1"/>
        </xdr:cNvSpPr>
      </xdr:nvSpPr>
      <xdr:spPr bwMode="auto">
        <a:xfrm flipH="1">
          <a:off x="15644131" y="34223325"/>
          <a:ext cx="4472668" cy="0"/>
        </a:xfrm>
        <a:prstGeom prst="line">
          <a:avLst/>
        </a:prstGeom>
        <a:noFill/>
        <a:ln w="6350">
          <a:solidFill>
            <a:srgbClr val="000000"/>
          </a:solidFill>
          <a:round/>
          <a:headEnd/>
          <a:tailEnd type="none" w="lg" len="lg"/>
        </a:ln>
      </xdr:spPr>
    </xdr:sp>
    <xdr:clientData/>
  </xdr:twoCellAnchor>
  <xdr:twoCellAnchor>
    <xdr:from>
      <xdr:col>6</xdr:col>
      <xdr:colOff>0</xdr:colOff>
      <xdr:row>410</xdr:row>
      <xdr:rowOff>0</xdr:rowOff>
    </xdr:from>
    <xdr:to>
      <xdr:col>16</xdr:col>
      <xdr:colOff>1000125</xdr:colOff>
      <xdr:row>437</xdr:row>
      <xdr:rowOff>0</xdr:rowOff>
    </xdr:to>
    <xdr:graphicFrame macro="">
      <xdr:nvGraphicFramePr>
        <xdr:cNvPr id="8"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440</xdr:row>
      <xdr:rowOff>0</xdr:rowOff>
    </xdr:from>
    <xdr:to>
      <xdr:col>25</xdr:col>
      <xdr:colOff>540203</xdr:colOff>
      <xdr:row>494</xdr:row>
      <xdr:rowOff>0</xdr:rowOff>
    </xdr:to>
    <xdr:graphicFrame macro="">
      <xdr:nvGraphicFramePr>
        <xdr:cNvPr id="9" name="Chart 1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38100</xdr:colOff>
          <xdr:row>2</xdr:row>
          <xdr:rowOff>38100</xdr:rowOff>
        </xdr:from>
        <xdr:to>
          <xdr:col>7</xdr:col>
          <xdr:colOff>390525</xdr:colOff>
          <xdr:row>5</xdr:row>
          <xdr:rowOff>104775</xdr:rowOff>
        </xdr:to>
        <xdr:sp macro="" textlink="">
          <xdr:nvSpPr>
            <xdr:cNvPr id="143367" name="Spinner 7" hidden="1">
              <a:extLst>
                <a:ext uri="{63B3BB69-23CF-44E3-9099-C40C66FF867C}">
                  <a14:compatExt spid="_x0000_s143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400</xdr:row>
          <xdr:rowOff>123825</xdr:rowOff>
        </xdr:from>
        <xdr:to>
          <xdr:col>2</xdr:col>
          <xdr:colOff>0</xdr:colOff>
          <xdr:row>403</xdr:row>
          <xdr:rowOff>0</xdr:rowOff>
        </xdr:to>
        <xdr:sp macro="" textlink="">
          <xdr:nvSpPr>
            <xdr:cNvPr id="143368" name="Button 8" hidden="1">
              <a:extLst>
                <a:ext uri="{63B3BB69-23CF-44E3-9099-C40C66FF867C}">
                  <a14:compatExt spid="_x0000_s1433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433</xdr:row>
          <xdr:rowOff>0</xdr:rowOff>
        </xdr:from>
        <xdr:to>
          <xdr:col>6</xdr:col>
          <xdr:colOff>9525</xdr:colOff>
          <xdr:row>435</xdr:row>
          <xdr:rowOff>19050</xdr:rowOff>
        </xdr:to>
        <xdr:sp macro="" textlink="">
          <xdr:nvSpPr>
            <xdr:cNvPr id="143369" name="Button 9" hidden="1">
              <a:extLst>
                <a:ext uri="{63B3BB69-23CF-44E3-9099-C40C66FF867C}">
                  <a14:compatExt spid="_x0000_s143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762000</xdr:colOff>
          <xdr:row>445</xdr:row>
          <xdr:rowOff>0</xdr:rowOff>
        </xdr:from>
        <xdr:to>
          <xdr:col>9</xdr:col>
          <xdr:colOff>28575</xdr:colOff>
          <xdr:row>447</xdr:row>
          <xdr:rowOff>76200</xdr:rowOff>
        </xdr:to>
        <xdr:sp macro="" textlink="">
          <xdr:nvSpPr>
            <xdr:cNvPr id="143370" name="Button 10" hidden="1">
              <a:extLst>
                <a:ext uri="{63B3BB69-23CF-44E3-9099-C40C66FF867C}">
                  <a14:compatExt spid="_x0000_s1433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ergyPlusV6-0-0/Rules5-0-0-to-6-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Output Annual"/>
    </sheet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twebster@berkeley.edu"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A1:AC714"/>
  <sheetViews>
    <sheetView showRowColHeaders="0" showOutlineSymbols="0" workbookViewId="0">
      <selection activeCell="D1" sqref="D1"/>
    </sheetView>
  </sheetViews>
  <sheetFormatPr defaultRowHeight="12.75"/>
  <cols>
    <col min="1" max="3" width="9.140625" style="107"/>
    <col min="4" max="4" width="87.85546875" style="107" customWidth="1"/>
    <col min="5" max="259" width="9.140625" style="107"/>
    <col min="260" max="260" width="87.85546875" style="107" customWidth="1"/>
    <col min="261" max="515" width="9.140625" style="107"/>
    <col min="516" max="516" width="87.85546875" style="107" customWidth="1"/>
    <col min="517" max="771" width="9.140625" style="107"/>
    <col min="772" max="772" width="87.85546875" style="107" customWidth="1"/>
    <col min="773" max="1027" width="9.140625" style="107"/>
    <col min="1028" max="1028" width="87.85546875" style="107" customWidth="1"/>
    <col min="1029" max="1283" width="9.140625" style="107"/>
    <col min="1284" max="1284" width="87.85546875" style="107" customWidth="1"/>
    <col min="1285" max="1539" width="9.140625" style="107"/>
    <col min="1540" max="1540" width="87.85546875" style="107" customWidth="1"/>
    <col min="1541" max="1795" width="9.140625" style="107"/>
    <col min="1796" max="1796" width="87.85546875" style="107" customWidth="1"/>
    <col min="1797" max="2051" width="9.140625" style="107"/>
    <col min="2052" max="2052" width="87.85546875" style="107" customWidth="1"/>
    <col min="2053" max="2307" width="9.140625" style="107"/>
    <col min="2308" max="2308" width="87.85546875" style="107" customWidth="1"/>
    <col min="2309" max="2563" width="9.140625" style="107"/>
    <col min="2564" max="2564" width="87.85546875" style="107" customWidth="1"/>
    <col min="2565" max="2819" width="9.140625" style="107"/>
    <col min="2820" max="2820" width="87.85546875" style="107" customWidth="1"/>
    <col min="2821" max="3075" width="9.140625" style="107"/>
    <col min="3076" max="3076" width="87.85546875" style="107" customWidth="1"/>
    <col min="3077" max="3331" width="9.140625" style="107"/>
    <col min="3332" max="3332" width="87.85546875" style="107" customWidth="1"/>
    <col min="3333" max="3587" width="9.140625" style="107"/>
    <col min="3588" max="3588" width="87.85546875" style="107" customWidth="1"/>
    <col min="3589" max="3843" width="9.140625" style="107"/>
    <col min="3844" max="3844" width="87.85546875" style="107" customWidth="1"/>
    <col min="3845" max="4099" width="9.140625" style="107"/>
    <col min="4100" max="4100" width="87.85546875" style="107" customWidth="1"/>
    <col min="4101" max="4355" width="9.140625" style="107"/>
    <col min="4356" max="4356" width="87.85546875" style="107" customWidth="1"/>
    <col min="4357" max="4611" width="9.140625" style="107"/>
    <col min="4612" max="4612" width="87.85546875" style="107" customWidth="1"/>
    <col min="4613" max="4867" width="9.140625" style="107"/>
    <col min="4868" max="4868" width="87.85546875" style="107" customWidth="1"/>
    <col min="4869" max="5123" width="9.140625" style="107"/>
    <col min="5124" max="5124" width="87.85546875" style="107" customWidth="1"/>
    <col min="5125" max="5379" width="9.140625" style="107"/>
    <col min="5380" max="5380" width="87.85546875" style="107" customWidth="1"/>
    <col min="5381" max="5635" width="9.140625" style="107"/>
    <col min="5636" max="5636" width="87.85546875" style="107" customWidth="1"/>
    <col min="5637" max="5891" width="9.140625" style="107"/>
    <col min="5892" max="5892" width="87.85546875" style="107" customWidth="1"/>
    <col min="5893" max="6147" width="9.140625" style="107"/>
    <col min="6148" max="6148" width="87.85546875" style="107" customWidth="1"/>
    <col min="6149" max="6403" width="9.140625" style="107"/>
    <col min="6404" max="6404" width="87.85546875" style="107" customWidth="1"/>
    <col min="6405" max="6659" width="9.140625" style="107"/>
    <col min="6660" max="6660" width="87.85546875" style="107" customWidth="1"/>
    <col min="6661" max="6915" width="9.140625" style="107"/>
    <col min="6916" max="6916" width="87.85546875" style="107" customWidth="1"/>
    <col min="6917" max="7171" width="9.140625" style="107"/>
    <col min="7172" max="7172" width="87.85546875" style="107" customWidth="1"/>
    <col min="7173" max="7427" width="9.140625" style="107"/>
    <col min="7428" max="7428" width="87.85546875" style="107" customWidth="1"/>
    <col min="7429" max="7683" width="9.140625" style="107"/>
    <col min="7684" max="7684" width="87.85546875" style="107" customWidth="1"/>
    <col min="7685" max="7939" width="9.140625" style="107"/>
    <col min="7940" max="7940" width="87.85546875" style="107" customWidth="1"/>
    <col min="7941" max="8195" width="9.140625" style="107"/>
    <col min="8196" max="8196" width="87.85546875" style="107" customWidth="1"/>
    <col min="8197" max="8451" width="9.140625" style="107"/>
    <col min="8452" max="8452" width="87.85546875" style="107" customWidth="1"/>
    <col min="8453" max="8707" width="9.140625" style="107"/>
    <col min="8708" max="8708" width="87.85546875" style="107" customWidth="1"/>
    <col min="8709" max="8963" width="9.140625" style="107"/>
    <col min="8964" max="8964" width="87.85546875" style="107" customWidth="1"/>
    <col min="8965" max="9219" width="9.140625" style="107"/>
    <col min="9220" max="9220" width="87.85546875" style="107" customWidth="1"/>
    <col min="9221" max="9475" width="9.140625" style="107"/>
    <col min="9476" max="9476" width="87.85546875" style="107" customWidth="1"/>
    <col min="9477" max="9731" width="9.140625" style="107"/>
    <col min="9732" max="9732" width="87.85546875" style="107" customWidth="1"/>
    <col min="9733" max="9987" width="9.140625" style="107"/>
    <col min="9988" max="9988" width="87.85546875" style="107" customWidth="1"/>
    <col min="9989" max="10243" width="9.140625" style="107"/>
    <col min="10244" max="10244" width="87.85546875" style="107" customWidth="1"/>
    <col min="10245" max="10499" width="9.140625" style="107"/>
    <col min="10500" max="10500" width="87.85546875" style="107" customWidth="1"/>
    <col min="10501" max="10755" width="9.140625" style="107"/>
    <col min="10756" max="10756" width="87.85546875" style="107" customWidth="1"/>
    <col min="10757" max="11011" width="9.140625" style="107"/>
    <col min="11012" max="11012" width="87.85546875" style="107" customWidth="1"/>
    <col min="11013" max="11267" width="9.140625" style="107"/>
    <col min="11268" max="11268" width="87.85546875" style="107" customWidth="1"/>
    <col min="11269" max="11523" width="9.140625" style="107"/>
    <col min="11524" max="11524" width="87.85546875" style="107" customWidth="1"/>
    <col min="11525" max="11779" width="9.140625" style="107"/>
    <col min="11780" max="11780" width="87.85546875" style="107" customWidth="1"/>
    <col min="11781" max="12035" width="9.140625" style="107"/>
    <col min="12036" max="12036" width="87.85546875" style="107" customWidth="1"/>
    <col min="12037" max="12291" width="9.140625" style="107"/>
    <col min="12292" max="12292" width="87.85546875" style="107" customWidth="1"/>
    <col min="12293" max="12547" width="9.140625" style="107"/>
    <col min="12548" max="12548" width="87.85546875" style="107" customWidth="1"/>
    <col min="12549" max="12803" width="9.140625" style="107"/>
    <col min="12804" max="12804" width="87.85546875" style="107" customWidth="1"/>
    <col min="12805" max="13059" width="9.140625" style="107"/>
    <col min="13060" max="13060" width="87.85546875" style="107" customWidth="1"/>
    <col min="13061" max="13315" width="9.140625" style="107"/>
    <col min="13316" max="13316" width="87.85546875" style="107" customWidth="1"/>
    <col min="13317" max="13571" width="9.140625" style="107"/>
    <col min="13572" max="13572" width="87.85546875" style="107" customWidth="1"/>
    <col min="13573" max="13827" width="9.140625" style="107"/>
    <col min="13828" max="13828" width="87.85546875" style="107" customWidth="1"/>
    <col min="13829" max="14083" width="9.140625" style="107"/>
    <col min="14084" max="14084" width="87.85546875" style="107" customWidth="1"/>
    <col min="14085" max="14339" width="9.140625" style="107"/>
    <col min="14340" max="14340" width="87.85546875" style="107" customWidth="1"/>
    <col min="14341" max="14595" width="9.140625" style="107"/>
    <col min="14596" max="14596" width="87.85546875" style="107" customWidth="1"/>
    <col min="14597" max="14851" width="9.140625" style="107"/>
    <col min="14852" max="14852" width="87.85546875" style="107" customWidth="1"/>
    <col min="14853" max="15107" width="9.140625" style="107"/>
    <col min="15108" max="15108" width="87.85546875" style="107" customWidth="1"/>
    <col min="15109" max="15363" width="9.140625" style="107"/>
    <col min="15364" max="15364" width="87.85546875" style="107" customWidth="1"/>
    <col min="15365" max="15619" width="9.140625" style="107"/>
    <col min="15620" max="15620" width="87.85546875" style="107" customWidth="1"/>
    <col min="15621" max="15875" width="9.140625" style="107"/>
    <col min="15876" max="15876" width="87.85546875" style="107" customWidth="1"/>
    <col min="15877" max="16131" width="9.140625" style="107"/>
    <col min="16132" max="16132" width="87.85546875" style="107" customWidth="1"/>
    <col min="16133" max="16384" width="9.140625" style="107"/>
  </cols>
  <sheetData>
    <row r="1" spans="1:29">
      <c r="A1" s="106"/>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row>
    <row r="2" spans="1:29">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row>
    <row r="3" spans="1:29">
      <c r="A3" s="106"/>
      <c r="B3" s="106"/>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106"/>
      <c r="AC3" s="106"/>
    </row>
    <row r="4" spans="1:29" ht="7.5" customHeight="1" thickBot="1">
      <c r="A4" s="106"/>
      <c r="B4" s="106"/>
      <c r="C4" s="106"/>
      <c r="D4" s="106"/>
      <c r="E4" s="106"/>
      <c r="F4" s="106"/>
      <c r="G4" s="106"/>
      <c r="H4" s="106"/>
      <c r="I4" s="106"/>
      <c r="J4" s="106"/>
      <c r="K4" s="106"/>
      <c r="L4" s="106"/>
      <c r="M4" s="106"/>
      <c r="N4" s="106"/>
      <c r="O4" s="106"/>
      <c r="P4" s="106"/>
      <c r="Q4" s="106"/>
      <c r="R4" s="106"/>
      <c r="S4" s="106"/>
      <c r="T4" s="106"/>
      <c r="U4" s="106"/>
      <c r="V4" s="106"/>
      <c r="W4" s="106"/>
      <c r="X4" s="106"/>
      <c r="Y4" s="106"/>
      <c r="Z4" s="106"/>
      <c r="AA4" s="106"/>
      <c r="AB4" s="106"/>
      <c r="AC4" s="106"/>
    </row>
    <row r="5" spans="1:29" ht="35.25" customHeight="1">
      <c r="A5" s="106"/>
      <c r="B5" s="106"/>
      <c r="C5" s="106"/>
      <c r="D5" s="108" t="s">
        <v>755</v>
      </c>
      <c r="E5" s="106"/>
      <c r="F5" s="106"/>
      <c r="G5" s="106"/>
      <c r="H5" s="106"/>
      <c r="I5" s="106"/>
      <c r="J5" s="106"/>
      <c r="K5" s="106"/>
      <c r="L5" s="106"/>
      <c r="M5" s="106"/>
      <c r="N5" s="106"/>
      <c r="O5" s="106"/>
      <c r="P5" s="106"/>
      <c r="Q5" s="106"/>
      <c r="R5" s="106"/>
      <c r="S5" s="106"/>
      <c r="T5" s="106"/>
      <c r="U5" s="106"/>
      <c r="V5" s="106"/>
      <c r="W5" s="106"/>
      <c r="X5" s="106"/>
      <c r="Y5" s="106"/>
      <c r="Z5" s="106"/>
      <c r="AA5" s="106"/>
      <c r="AB5" s="106"/>
      <c r="AC5" s="106"/>
    </row>
    <row r="6" spans="1:29">
      <c r="A6" s="106"/>
      <c r="B6" s="106"/>
      <c r="C6" s="106"/>
      <c r="D6" s="109"/>
      <c r="E6" s="106"/>
      <c r="F6" s="106"/>
      <c r="G6" s="106"/>
      <c r="H6" s="106"/>
      <c r="I6" s="106"/>
      <c r="J6" s="106"/>
      <c r="K6" s="106"/>
      <c r="L6" s="106"/>
      <c r="M6" s="106"/>
      <c r="N6" s="106"/>
      <c r="O6" s="106"/>
      <c r="P6" s="106"/>
      <c r="Q6" s="106"/>
      <c r="R6" s="106"/>
      <c r="S6" s="106"/>
      <c r="T6" s="106"/>
      <c r="U6" s="106"/>
      <c r="V6" s="106"/>
      <c r="W6" s="106"/>
      <c r="X6" s="106"/>
      <c r="Y6" s="106"/>
      <c r="Z6" s="106"/>
      <c r="AA6" s="106"/>
      <c r="AB6" s="106"/>
      <c r="AC6" s="106"/>
    </row>
    <row r="7" spans="1:29">
      <c r="A7" s="106"/>
      <c r="B7" s="106"/>
      <c r="C7" s="106"/>
      <c r="D7" s="110" t="s">
        <v>756</v>
      </c>
      <c r="E7" s="106"/>
      <c r="F7" s="106"/>
      <c r="G7" s="106"/>
      <c r="H7" s="106"/>
      <c r="I7" s="106"/>
      <c r="J7" s="106"/>
      <c r="K7" s="106"/>
      <c r="L7" s="106"/>
      <c r="M7" s="106"/>
      <c r="N7" s="106"/>
      <c r="O7" s="106"/>
      <c r="P7" s="106"/>
      <c r="Q7" s="106"/>
      <c r="R7" s="106"/>
      <c r="S7" s="106"/>
      <c r="T7" s="106"/>
      <c r="U7" s="106"/>
      <c r="V7" s="106"/>
      <c r="W7" s="106"/>
      <c r="X7" s="106"/>
      <c r="Y7" s="106"/>
      <c r="Z7" s="106"/>
      <c r="AA7" s="106"/>
      <c r="AB7" s="106"/>
      <c r="AC7" s="106"/>
    </row>
    <row r="8" spans="1:29">
      <c r="A8" s="106"/>
      <c r="B8" s="106"/>
      <c r="C8" s="106"/>
      <c r="D8" s="111" t="s">
        <v>757</v>
      </c>
      <c r="E8" s="106"/>
      <c r="F8" s="106"/>
      <c r="G8" s="106"/>
      <c r="H8" s="106"/>
      <c r="I8" s="106"/>
      <c r="J8" s="106"/>
      <c r="K8" s="106"/>
      <c r="L8" s="106"/>
      <c r="M8" s="106"/>
      <c r="N8" s="106"/>
      <c r="O8" s="106"/>
      <c r="P8" s="106"/>
      <c r="Q8" s="106"/>
      <c r="R8" s="106"/>
      <c r="S8" s="106"/>
      <c r="T8" s="106"/>
      <c r="U8" s="106"/>
      <c r="V8" s="106"/>
      <c r="W8" s="106"/>
      <c r="X8" s="106"/>
      <c r="Y8" s="106"/>
      <c r="Z8" s="106"/>
      <c r="AA8" s="106"/>
      <c r="AB8" s="106"/>
      <c r="AC8" s="106"/>
    </row>
    <row r="9" spans="1:29" ht="13.5" thickBot="1">
      <c r="A9" s="106"/>
      <c r="B9" s="106"/>
      <c r="C9" s="106"/>
      <c r="D9" s="112">
        <v>40079</v>
      </c>
      <c r="E9" s="106"/>
      <c r="F9" s="106"/>
      <c r="G9" s="106"/>
      <c r="H9" s="106"/>
      <c r="I9" s="106"/>
      <c r="J9" s="106"/>
      <c r="K9" s="106"/>
      <c r="L9" s="106"/>
      <c r="M9" s="106"/>
      <c r="N9" s="106"/>
      <c r="O9" s="106"/>
      <c r="P9" s="106"/>
      <c r="Q9" s="106"/>
      <c r="R9" s="106"/>
      <c r="S9" s="106"/>
      <c r="T9" s="106"/>
      <c r="U9" s="106"/>
      <c r="V9" s="106"/>
      <c r="W9" s="106"/>
      <c r="X9" s="106"/>
      <c r="Y9" s="106"/>
      <c r="Z9" s="106"/>
      <c r="AA9" s="106"/>
      <c r="AB9" s="106"/>
      <c r="AC9" s="106"/>
    </row>
    <row r="10" spans="1:29" ht="13.5" thickBot="1">
      <c r="A10" s="106"/>
      <c r="B10" s="106"/>
      <c r="C10" s="106"/>
      <c r="D10" s="113"/>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row>
    <row r="11" spans="1:29" ht="31.5">
      <c r="A11" s="106"/>
      <c r="B11" s="106"/>
      <c r="C11" s="106"/>
      <c r="D11" s="114" t="s">
        <v>758</v>
      </c>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row>
    <row r="12" spans="1:29">
      <c r="A12" s="106"/>
      <c r="B12" s="106"/>
      <c r="C12" s="106"/>
      <c r="D12" s="115"/>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row>
    <row r="13" spans="1:29" ht="127.5">
      <c r="A13" s="106"/>
      <c r="B13" s="106"/>
      <c r="C13" s="106"/>
      <c r="D13" s="116" t="s">
        <v>759</v>
      </c>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row>
    <row r="14" spans="1:29">
      <c r="A14" s="106"/>
      <c r="B14" s="106"/>
      <c r="C14" s="106"/>
      <c r="D14" s="115"/>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row>
    <row r="15" spans="1:29" ht="51">
      <c r="A15" s="106"/>
      <c r="B15" s="106"/>
      <c r="C15" s="106"/>
      <c r="D15" s="116" t="s">
        <v>760</v>
      </c>
      <c r="E15" s="106"/>
      <c r="F15" s="106"/>
      <c r="G15" s="106"/>
      <c r="H15" s="106"/>
      <c r="I15" s="106"/>
      <c r="J15" s="106"/>
      <c r="K15" s="106"/>
      <c r="L15" s="106"/>
      <c r="M15" s="106"/>
      <c r="N15" s="106"/>
      <c r="O15" s="106"/>
      <c r="P15" s="106"/>
      <c r="Q15" s="106"/>
      <c r="R15" s="106"/>
      <c r="S15" s="106"/>
      <c r="T15" s="106"/>
      <c r="U15" s="106"/>
      <c r="V15" s="106"/>
      <c r="W15" s="106"/>
      <c r="X15" s="106"/>
      <c r="Y15" s="106"/>
      <c r="Z15" s="106"/>
      <c r="AA15" s="106"/>
      <c r="AB15" s="106"/>
      <c r="AC15" s="106"/>
    </row>
    <row r="16" spans="1:29">
      <c r="A16" s="106"/>
      <c r="B16" s="106"/>
      <c r="C16" s="106"/>
      <c r="D16" s="115"/>
      <c r="E16" s="106"/>
      <c r="F16" s="106"/>
      <c r="G16" s="106"/>
      <c r="H16" s="106"/>
      <c r="I16" s="106"/>
      <c r="J16" s="106"/>
      <c r="K16" s="106"/>
      <c r="L16" s="106"/>
      <c r="M16" s="106"/>
      <c r="N16" s="106"/>
      <c r="O16" s="106"/>
      <c r="P16" s="106"/>
      <c r="Q16" s="106"/>
      <c r="R16" s="106"/>
      <c r="S16" s="106"/>
      <c r="T16" s="106"/>
      <c r="U16" s="106"/>
      <c r="V16" s="106"/>
      <c r="W16" s="106"/>
      <c r="X16" s="106"/>
      <c r="Y16" s="106"/>
      <c r="Z16" s="106"/>
      <c r="AA16" s="106"/>
      <c r="AB16" s="106"/>
      <c r="AC16" s="106"/>
    </row>
    <row r="17" spans="1:29" ht="63.75">
      <c r="A17" s="106"/>
      <c r="B17" s="106"/>
      <c r="C17" s="106"/>
      <c r="D17" s="116" t="s">
        <v>761</v>
      </c>
      <c r="E17" s="106"/>
      <c r="F17" s="106"/>
      <c r="G17" s="106"/>
      <c r="H17" s="106"/>
      <c r="I17" s="106"/>
      <c r="J17" s="106"/>
      <c r="K17" s="106"/>
      <c r="L17" s="106"/>
      <c r="M17" s="106"/>
      <c r="N17" s="106"/>
      <c r="O17" s="106"/>
      <c r="P17" s="106"/>
      <c r="Q17" s="106"/>
      <c r="R17" s="106"/>
      <c r="S17" s="106"/>
      <c r="T17" s="106"/>
      <c r="U17" s="106"/>
      <c r="V17" s="106"/>
      <c r="W17" s="106"/>
      <c r="X17" s="106"/>
      <c r="Y17" s="106"/>
      <c r="Z17" s="106"/>
      <c r="AA17" s="106"/>
      <c r="AB17" s="106"/>
      <c r="AC17" s="106"/>
    </row>
    <row r="18" spans="1:29" ht="13.5" customHeight="1">
      <c r="A18" s="106"/>
      <c r="B18" s="106"/>
      <c r="C18" s="106"/>
      <c r="D18" s="115"/>
      <c r="E18" s="106"/>
      <c r="F18" s="106"/>
      <c r="G18" s="106"/>
      <c r="H18" s="106"/>
      <c r="I18" s="106"/>
      <c r="J18" s="106"/>
      <c r="K18" s="106"/>
      <c r="L18" s="106"/>
      <c r="M18" s="106"/>
      <c r="N18" s="106"/>
      <c r="O18" s="106"/>
      <c r="P18" s="106"/>
      <c r="Q18" s="106"/>
      <c r="R18" s="106"/>
      <c r="S18" s="106"/>
      <c r="T18" s="106"/>
      <c r="U18" s="106"/>
      <c r="V18" s="106"/>
      <c r="W18" s="106"/>
      <c r="X18" s="106"/>
      <c r="Y18" s="106"/>
      <c r="Z18" s="106"/>
      <c r="AA18" s="106"/>
      <c r="AB18" s="106"/>
      <c r="AC18" s="106"/>
    </row>
    <row r="19" spans="1:29">
      <c r="A19" s="106"/>
      <c r="B19" s="106"/>
      <c r="C19" s="106"/>
      <c r="D19" s="117" t="s">
        <v>762</v>
      </c>
      <c r="E19" s="106"/>
      <c r="F19" s="106"/>
      <c r="G19" s="106"/>
      <c r="H19" s="106"/>
      <c r="I19" s="106"/>
      <c r="J19" s="106"/>
      <c r="K19" s="106"/>
      <c r="L19" s="106"/>
      <c r="M19" s="106"/>
      <c r="N19" s="106"/>
      <c r="O19" s="106"/>
      <c r="P19" s="106"/>
      <c r="Q19" s="106"/>
      <c r="R19" s="106"/>
      <c r="S19" s="106"/>
      <c r="T19" s="106"/>
      <c r="U19" s="106"/>
      <c r="V19" s="106"/>
      <c r="W19" s="106"/>
      <c r="X19" s="106"/>
      <c r="Y19" s="106"/>
      <c r="Z19" s="106"/>
      <c r="AA19" s="106"/>
      <c r="AB19" s="106"/>
      <c r="AC19" s="106"/>
    </row>
    <row r="20" spans="1:29">
      <c r="A20" s="106"/>
      <c r="B20" s="106"/>
      <c r="C20" s="106"/>
      <c r="D20" s="116" t="s">
        <v>763</v>
      </c>
      <c r="E20" s="106"/>
      <c r="F20" s="106"/>
      <c r="G20" s="106"/>
      <c r="H20" s="106"/>
      <c r="I20" s="106"/>
      <c r="J20" s="106"/>
      <c r="K20" s="106"/>
      <c r="L20" s="106"/>
      <c r="M20" s="106"/>
      <c r="N20" s="106"/>
      <c r="O20" s="106"/>
      <c r="P20" s="106"/>
      <c r="Q20" s="106"/>
      <c r="R20" s="106"/>
      <c r="S20" s="106"/>
      <c r="T20" s="106"/>
      <c r="U20" s="106"/>
      <c r="V20" s="106"/>
      <c r="W20" s="106"/>
      <c r="X20" s="106"/>
      <c r="Y20" s="106"/>
      <c r="Z20" s="106"/>
      <c r="AA20" s="106"/>
      <c r="AB20" s="106"/>
      <c r="AC20" s="106"/>
    </row>
    <row r="21" spans="1:29" ht="13.5" thickBot="1">
      <c r="A21" s="106"/>
      <c r="B21" s="106"/>
      <c r="C21" s="106"/>
      <c r="D21" s="118" t="s">
        <v>764</v>
      </c>
      <c r="E21" s="106"/>
      <c r="F21" s="106"/>
      <c r="G21" s="106"/>
      <c r="H21" s="106"/>
      <c r="I21" s="106"/>
      <c r="J21" s="106"/>
      <c r="K21" s="106"/>
      <c r="L21" s="106"/>
      <c r="M21" s="106"/>
      <c r="N21" s="106"/>
      <c r="O21" s="106"/>
      <c r="P21" s="106"/>
      <c r="Q21" s="106"/>
      <c r="R21" s="106"/>
      <c r="S21" s="106"/>
      <c r="T21" s="106"/>
      <c r="U21" s="106"/>
      <c r="V21" s="106"/>
      <c r="W21" s="106"/>
      <c r="X21" s="106"/>
      <c r="Y21" s="106"/>
      <c r="Z21" s="106"/>
      <c r="AA21" s="106"/>
      <c r="AB21" s="106"/>
      <c r="AC21" s="106"/>
    </row>
    <row r="22" spans="1:29">
      <c r="A22" s="106"/>
      <c r="B22" s="106"/>
      <c r="C22" s="106"/>
      <c r="D22" s="119"/>
      <c r="E22" s="106"/>
      <c r="F22" s="106"/>
      <c r="G22" s="106"/>
      <c r="H22" s="106"/>
      <c r="I22" s="106"/>
      <c r="J22" s="106"/>
      <c r="K22" s="106"/>
      <c r="L22" s="106"/>
      <c r="M22" s="106"/>
      <c r="N22" s="106"/>
      <c r="O22" s="106"/>
      <c r="P22" s="106"/>
      <c r="Q22" s="106"/>
      <c r="R22" s="106"/>
      <c r="S22" s="106"/>
      <c r="T22" s="106"/>
      <c r="U22" s="106"/>
      <c r="V22" s="106"/>
      <c r="W22" s="106"/>
      <c r="X22" s="106"/>
      <c r="Y22" s="106"/>
      <c r="Z22" s="106"/>
      <c r="AA22" s="106"/>
      <c r="AB22" s="106"/>
      <c r="AC22" s="106"/>
    </row>
    <row r="23" spans="1:29">
      <c r="A23" s="106"/>
      <c r="B23" s="106"/>
      <c r="C23" s="106"/>
      <c r="D23" s="120"/>
      <c r="E23" s="106"/>
      <c r="F23" s="106"/>
      <c r="G23" s="106"/>
      <c r="H23" s="106"/>
      <c r="I23" s="106"/>
      <c r="J23" s="106"/>
      <c r="K23" s="106"/>
      <c r="L23" s="106"/>
      <c r="M23" s="106"/>
      <c r="N23" s="106"/>
      <c r="O23" s="106"/>
      <c r="P23" s="106"/>
      <c r="Q23" s="106"/>
      <c r="R23" s="106"/>
      <c r="S23" s="106"/>
      <c r="T23" s="106"/>
      <c r="U23" s="106"/>
      <c r="V23" s="106"/>
      <c r="W23" s="106"/>
      <c r="X23" s="106"/>
      <c r="Y23" s="106"/>
      <c r="Z23" s="106"/>
      <c r="AA23" s="106"/>
      <c r="AB23" s="106"/>
      <c r="AC23" s="106"/>
    </row>
    <row r="24" spans="1:29">
      <c r="A24" s="106"/>
      <c r="B24" s="106"/>
      <c r="C24" s="106"/>
      <c r="D24" s="106"/>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row>
    <row r="25" spans="1:29">
      <c r="A25" s="106"/>
      <c r="B25" s="106"/>
      <c r="C25" s="106"/>
      <c r="D25" s="106"/>
      <c r="E25" s="106"/>
      <c r="F25" s="106"/>
      <c r="G25" s="106"/>
      <c r="H25" s="106"/>
      <c r="I25" s="106"/>
      <c r="J25" s="106"/>
      <c r="K25" s="106"/>
      <c r="L25" s="106"/>
      <c r="M25" s="106"/>
      <c r="N25" s="106"/>
      <c r="O25" s="106"/>
      <c r="P25" s="106"/>
      <c r="Q25" s="106"/>
      <c r="R25" s="106"/>
      <c r="S25" s="106"/>
      <c r="T25" s="106"/>
      <c r="U25" s="106"/>
      <c r="V25" s="106"/>
      <c r="W25" s="106"/>
      <c r="X25" s="106"/>
      <c r="Y25" s="106"/>
      <c r="Z25" s="106"/>
      <c r="AA25" s="106"/>
      <c r="AB25" s="106"/>
      <c r="AC25" s="106"/>
    </row>
    <row r="26" spans="1:29">
      <c r="A26" s="106"/>
      <c r="B26" s="106"/>
      <c r="C26" s="106"/>
      <c r="D26" s="106"/>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row>
    <row r="27" spans="1:29">
      <c r="A27" s="106"/>
      <c r="B27" s="106"/>
      <c r="C27" s="106"/>
      <c r="D27" s="106"/>
      <c r="E27" s="106"/>
      <c r="F27" s="106"/>
      <c r="G27" s="106"/>
      <c r="H27" s="106"/>
      <c r="I27" s="106"/>
      <c r="J27" s="106"/>
      <c r="K27" s="106"/>
      <c r="L27" s="106"/>
      <c r="M27" s="106"/>
      <c r="N27" s="106"/>
      <c r="O27" s="106"/>
      <c r="P27" s="106"/>
      <c r="Q27" s="106"/>
      <c r="R27" s="106"/>
      <c r="S27" s="106"/>
      <c r="T27" s="106"/>
      <c r="U27" s="106"/>
      <c r="V27" s="106"/>
      <c r="W27" s="106"/>
      <c r="X27" s="106"/>
      <c r="Y27" s="106"/>
      <c r="Z27" s="106"/>
      <c r="AA27" s="106"/>
      <c r="AB27" s="106"/>
      <c r="AC27" s="106"/>
    </row>
    <row r="28" spans="1:29">
      <c r="A28" s="106"/>
      <c r="B28" s="106"/>
      <c r="C28" s="106"/>
      <c r="D28" s="106"/>
      <c r="E28" s="106"/>
      <c r="F28" s="106"/>
      <c r="G28" s="106"/>
      <c r="H28" s="106"/>
      <c r="I28" s="106"/>
      <c r="J28" s="106"/>
      <c r="K28" s="106"/>
      <c r="L28" s="106"/>
      <c r="M28" s="106"/>
      <c r="N28" s="106"/>
      <c r="O28" s="106"/>
      <c r="P28" s="106"/>
      <c r="Q28" s="106"/>
      <c r="R28" s="106"/>
      <c r="S28" s="106"/>
      <c r="T28" s="106"/>
      <c r="U28" s="106"/>
      <c r="V28" s="106"/>
      <c r="W28" s="106"/>
      <c r="X28" s="106"/>
      <c r="Y28" s="106"/>
      <c r="Z28" s="106"/>
      <c r="AA28" s="106"/>
      <c r="AB28" s="106"/>
      <c r="AC28" s="106"/>
    </row>
    <row r="29" spans="1:29">
      <c r="A29" s="106"/>
      <c r="B29" s="106"/>
      <c r="C29" s="106"/>
      <c r="D29" s="106"/>
      <c r="E29" s="106"/>
      <c r="F29" s="106"/>
      <c r="G29" s="106"/>
      <c r="H29" s="106"/>
      <c r="I29" s="106"/>
      <c r="J29" s="106"/>
      <c r="K29" s="106"/>
      <c r="L29" s="106"/>
      <c r="M29" s="106"/>
      <c r="N29" s="106"/>
      <c r="O29" s="106"/>
      <c r="P29" s="106"/>
      <c r="Q29" s="106"/>
      <c r="R29" s="106"/>
      <c r="S29" s="106"/>
      <c r="T29" s="106"/>
      <c r="U29" s="106"/>
      <c r="V29" s="106"/>
      <c r="W29" s="106"/>
      <c r="X29" s="106"/>
      <c r="Y29" s="106"/>
      <c r="Z29" s="106"/>
      <c r="AA29" s="106"/>
      <c r="AB29" s="106"/>
      <c r="AC29" s="106"/>
    </row>
    <row r="30" spans="1:29">
      <c r="A30" s="106"/>
      <c r="B30" s="106"/>
      <c r="C30" s="106"/>
      <c r="D30" s="106"/>
      <c r="E30" s="106"/>
      <c r="F30" s="106"/>
      <c r="G30" s="106"/>
      <c r="H30" s="106"/>
      <c r="I30" s="106"/>
      <c r="J30" s="106"/>
      <c r="K30" s="106"/>
      <c r="L30" s="106"/>
      <c r="M30" s="106"/>
      <c r="N30" s="106"/>
      <c r="O30" s="106"/>
      <c r="P30" s="106"/>
      <c r="Q30" s="106"/>
      <c r="R30" s="106"/>
      <c r="S30" s="106"/>
      <c r="T30" s="106"/>
      <c r="U30" s="106"/>
      <c r="V30" s="106"/>
      <c r="W30" s="106"/>
      <c r="X30" s="106"/>
      <c r="Y30" s="106"/>
      <c r="Z30" s="106"/>
      <c r="AA30" s="106"/>
      <c r="AB30" s="106"/>
      <c r="AC30" s="106"/>
    </row>
    <row r="31" spans="1:29">
      <c r="A31" s="106"/>
      <c r="B31" s="106"/>
      <c r="C31" s="106"/>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c r="AB31" s="106"/>
      <c r="AC31" s="106"/>
    </row>
    <row r="32" spans="1:29">
      <c r="A32" s="106"/>
      <c r="B32" s="106"/>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row>
    <row r="33" spans="1:29">
      <c r="A33" s="106"/>
      <c r="B33" s="106"/>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c r="AB33" s="106"/>
      <c r="AC33" s="106"/>
    </row>
    <row r="34" spans="1:29">
      <c r="A34" s="106"/>
      <c r="B34" s="106"/>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row>
    <row r="35" spans="1:29">
      <c r="A35" s="106"/>
      <c r="B35" s="106"/>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c r="AB35" s="106"/>
      <c r="AC35" s="106"/>
    </row>
    <row r="36" spans="1:29">
      <c r="A36" s="106"/>
      <c r="B36" s="106"/>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row>
    <row r="37" spans="1:29">
      <c r="A37" s="106"/>
      <c r="B37" s="106"/>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row>
    <row r="38" spans="1:29">
      <c r="A38" s="106"/>
      <c r="B38" s="106"/>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c r="AB38" s="106"/>
      <c r="AC38" s="106"/>
    </row>
    <row r="39" spans="1:29">
      <c r="A39" s="106"/>
      <c r="B39" s="106"/>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c r="AB39" s="106"/>
      <c r="AC39" s="106"/>
    </row>
    <row r="40" spans="1:29">
      <c r="A40" s="106"/>
      <c r="B40" s="106"/>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c r="AB40" s="106"/>
      <c r="AC40" s="106"/>
    </row>
    <row r="41" spans="1:29">
      <c r="A41" s="106"/>
      <c r="B41" s="106"/>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c r="AB41" s="106"/>
      <c r="AC41" s="106"/>
    </row>
    <row r="42" spans="1:29">
      <c r="A42" s="106"/>
      <c r="B42" s="106"/>
      <c r="C42" s="106"/>
      <c r="D42" s="106"/>
      <c r="E42" s="106"/>
      <c r="F42" s="106"/>
      <c r="G42" s="106"/>
      <c r="H42" s="106"/>
      <c r="I42" s="106"/>
      <c r="J42" s="106"/>
      <c r="K42" s="106"/>
      <c r="L42" s="106"/>
      <c r="M42" s="106"/>
      <c r="N42" s="106"/>
      <c r="O42" s="106"/>
      <c r="P42" s="106"/>
      <c r="Q42" s="106"/>
      <c r="R42" s="106"/>
      <c r="S42" s="106"/>
      <c r="T42" s="106"/>
      <c r="U42" s="106"/>
      <c r="V42" s="106"/>
      <c r="W42" s="106"/>
      <c r="X42" s="106"/>
      <c r="Y42" s="106"/>
      <c r="Z42" s="106"/>
      <c r="AA42" s="106"/>
      <c r="AB42" s="106"/>
      <c r="AC42" s="106"/>
    </row>
    <row r="43" spans="1:29">
      <c r="A43" s="106"/>
      <c r="B43" s="106"/>
      <c r="C43" s="106"/>
      <c r="D43" s="106"/>
      <c r="E43" s="106"/>
      <c r="F43" s="106"/>
      <c r="G43" s="106"/>
      <c r="H43" s="106"/>
      <c r="I43" s="106"/>
      <c r="J43" s="106"/>
      <c r="K43" s="106"/>
      <c r="L43" s="106"/>
      <c r="M43" s="106"/>
      <c r="N43" s="106"/>
      <c r="O43" s="106"/>
      <c r="P43" s="106"/>
      <c r="Q43" s="106"/>
      <c r="R43" s="106"/>
      <c r="S43" s="106"/>
      <c r="T43" s="106"/>
      <c r="U43" s="106"/>
      <c r="V43" s="106"/>
      <c r="W43" s="106"/>
      <c r="X43" s="106"/>
      <c r="Y43" s="106"/>
      <c r="Z43" s="106"/>
      <c r="AA43" s="106"/>
      <c r="AB43" s="106"/>
      <c r="AC43" s="106"/>
    </row>
    <row r="44" spans="1:29">
      <c r="A44" s="106"/>
      <c r="B44" s="106"/>
      <c r="C44" s="106"/>
      <c r="D44" s="106"/>
      <c r="E44" s="106"/>
      <c r="F44" s="106"/>
      <c r="G44" s="106"/>
      <c r="H44" s="106"/>
      <c r="I44" s="106"/>
      <c r="J44" s="106"/>
      <c r="K44" s="106"/>
      <c r="L44" s="106"/>
      <c r="M44" s="106"/>
      <c r="N44" s="106"/>
      <c r="O44" s="106"/>
      <c r="P44" s="106"/>
      <c r="Q44" s="106"/>
      <c r="R44" s="106"/>
      <c r="S44" s="106"/>
      <c r="T44" s="106"/>
      <c r="U44" s="106"/>
      <c r="V44" s="106"/>
      <c r="W44" s="106"/>
      <c r="X44" s="106"/>
      <c r="Y44" s="106"/>
      <c r="Z44" s="106"/>
      <c r="AA44" s="106"/>
      <c r="AB44" s="106"/>
      <c r="AC44" s="106"/>
    </row>
    <row r="45" spans="1:29">
      <c r="A45" s="106"/>
      <c r="B45" s="106"/>
      <c r="C45" s="106"/>
      <c r="D45" s="106"/>
      <c r="E45" s="106"/>
      <c r="F45" s="106"/>
      <c r="G45" s="106"/>
      <c r="H45" s="106"/>
      <c r="I45" s="106"/>
      <c r="J45" s="106"/>
      <c r="K45" s="106"/>
      <c r="L45" s="106"/>
      <c r="M45" s="106"/>
      <c r="N45" s="106"/>
      <c r="O45" s="106"/>
      <c r="P45" s="106"/>
      <c r="Q45" s="106"/>
      <c r="R45" s="106"/>
      <c r="S45" s="106"/>
      <c r="T45" s="106"/>
      <c r="U45" s="106"/>
      <c r="V45" s="106"/>
      <c r="W45" s="106"/>
      <c r="X45" s="106"/>
      <c r="Y45" s="106"/>
      <c r="Z45" s="106"/>
      <c r="AA45" s="106"/>
      <c r="AB45" s="106"/>
      <c r="AC45" s="106"/>
    </row>
    <row r="46" spans="1:29">
      <c r="A46" s="106"/>
      <c r="B46" s="106"/>
      <c r="C46" s="106"/>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row>
    <row r="47" spans="1:29">
      <c r="A47" s="106"/>
      <c r="B47" s="106"/>
      <c r="C47" s="106"/>
      <c r="D47" s="106"/>
      <c r="E47" s="106"/>
      <c r="F47" s="106"/>
      <c r="G47" s="106"/>
      <c r="H47" s="106"/>
      <c r="I47" s="106"/>
      <c r="J47" s="106"/>
      <c r="K47" s="106"/>
      <c r="L47" s="106"/>
      <c r="M47" s="106"/>
      <c r="N47" s="106"/>
      <c r="O47" s="106"/>
      <c r="P47" s="106"/>
      <c r="Q47" s="106"/>
      <c r="R47" s="106"/>
      <c r="S47" s="106"/>
      <c r="T47" s="106"/>
      <c r="U47" s="106"/>
      <c r="V47" s="106"/>
      <c r="W47" s="106"/>
      <c r="X47" s="106"/>
      <c r="Y47" s="106"/>
      <c r="Z47" s="106"/>
      <c r="AA47" s="106"/>
      <c r="AB47" s="106"/>
      <c r="AC47" s="106"/>
    </row>
    <row r="48" spans="1:29">
      <c r="A48" s="106"/>
      <c r="B48" s="106"/>
      <c r="C48" s="106"/>
      <c r="D48" s="106"/>
      <c r="E48" s="106"/>
      <c r="F48" s="106"/>
      <c r="G48" s="106"/>
      <c r="H48" s="106"/>
      <c r="I48" s="106"/>
      <c r="J48" s="106"/>
      <c r="K48" s="106"/>
      <c r="L48" s="106"/>
      <c r="M48" s="106"/>
      <c r="N48" s="106"/>
      <c r="O48" s="106"/>
      <c r="P48" s="106"/>
      <c r="Q48" s="106"/>
      <c r="R48" s="106"/>
      <c r="S48" s="106"/>
      <c r="T48" s="106"/>
      <c r="U48" s="106"/>
      <c r="V48" s="106"/>
      <c r="W48" s="106"/>
      <c r="X48" s="106"/>
      <c r="Y48" s="106"/>
      <c r="Z48" s="106"/>
      <c r="AA48" s="106"/>
      <c r="AB48" s="106"/>
      <c r="AC48" s="106"/>
    </row>
    <row r="49" spans="1:29">
      <c r="A49" s="106"/>
      <c r="B49" s="106"/>
      <c r="C49" s="106"/>
      <c r="D49" s="106"/>
      <c r="E49" s="106"/>
      <c r="F49" s="106"/>
      <c r="G49" s="106"/>
      <c r="H49" s="106"/>
      <c r="I49" s="106"/>
      <c r="J49" s="106"/>
      <c r="K49" s="106"/>
      <c r="L49" s="106"/>
      <c r="M49" s="106"/>
      <c r="N49" s="106"/>
      <c r="O49" s="106"/>
      <c r="P49" s="106"/>
      <c r="Q49" s="106"/>
      <c r="R49" s="106"/>
      <c r="S49" s="106"/>
      <c r="T49" s="106"/>
      <c r="U49" s="106"/>
      <c r="V49" s="106"/>
      <c r="W49" s="106"/>
      <c r="X49" s="106"/>
      <c r="Y49" s="106"/>
      <c r="Z49" s="106"/>
      <c r="AA49" s="106"/>
      <c r="AB49" s="106"/>
      <c r="AC49" s="106"/>
    </row>
    <row r="50" spans="1:29">
      <c r="A50" s="106"/>
      <c r="B50" s="106"/>
      <c r="C50" s="106"/>
      <c r="D50" s="106"/>
      <c r="E50" s="106"/>
      <c r="F50" s="106"/>
      <c r="G50" s="106"/>
      <c r="H50" s="106"/>
      <c r="I50" s="106"/>
      <c r="J50" s="106"/>
      <c r="K50" s="106"/>
      <c r="L50" s="106"/>
      <c r="M50" s="106"/>
      <c r="N50" s="106"/>
      <c r="O50" s="106"/>
      <c r="P50" s="106"/>
      <c r="Q50" s="106"/>
      <c r="R50" s="106"/>
      <c r="S50" s="106"/>
      <c r="T50" s="106"/>
      <c r="U50" s="106"/>
      <c r="V50" s="106"/>
      <c r="W50" s="106"/>
      <c r="X50" s="106"/>
      <c r="Y50" s="106"/>
      <c r="Z50" s="106"/>
      <c r="AA50" s="106"/>
      <c r="AB50" s="106"/>
      <c r="AC50" s="106"/>
    </row>
    <row r="51" spans="1:29">
      <c r="A51" s="106"/>
      <c r="B51" s="106"/>
      <c r="C51" s="106"/>
      <c r="D51" s="106"/>
      <c r="E51" s="106"/>
      <c r="F51" s="106"/>
      <c r="G51" s="106"/>
      <c r="H51" s="106"/>
      <c r="I51" s="106"/>
      <c r="J51" s="106"/>
      <c r="K51" s="106"/>
      <c r="L51" s="106"/>
      <c r="M51" s="106"/>
      <c r="N51" s="106"/>
      <c r="O51" s="106"/>
      <c r="P51" s="106"/>
      <c r="Q51" s="106"/>
      <c r="R51" s="106"/>
      <c r="S51" s="106"/>
      <c r="T51" s="106"/>
      <c r="U51" s="106"/>
      <c r="V51" s="106"/>
      <c r="W51" s="106"/>
      <c r="X51" s="106"/>
      <c r="Y51" s="106"/>
      <c r="Z51" s="106"/>
      <c r="AA51" s="106"/>
      <c r="AB51" s="106"/>
      <c r="AC51" s="106"/>
    </row>
    <row r="52" spans="1:29">
      <c r="A52" s="106"/>
      <c r="B52" s="106"/>
      <c r="C52" s="106"/>
      <c r="D52" s="106"/>
      <c r="E52" s="106"/>
      <c r="F52" s="106"/>
      <c r="G52" s="106"/>
      <c r="H52" s="106"/>
      <c r="I52" s="106"/>
      <c r="J52" s="106"/>
      <c r="K52" s="106"/>
      <c r="L52" s="106"/>
      <c r="M52" s="106"/>
      <c r="N52" s="106"/>
      <c r="O52" s="106"/>
      <c r="P52" s="106"/>
      <c r="Q52" s="106"/>
      <c r="R52" s="106"/>
      <c r="S52" s="106"/>
      <c r="T52" s="106"/>
      <c r="U52" s="106"/>
      <c r="V52" s="106"/>
      <c r="W52" s="106"/>
      <c r="X52" s="106"/>
      <c r="Y52" s="106"/>
      <c r="Z52" s="106"/>
      <c r="AA52" s="106"/>
      <c r="AB52" s="106"/>
      <c r="AC52" s="106"/>
    </row>
    <row r="53" spans="1:29">
      <c r="A53" s="106"/>
      <c r="B53" s="106"/>
      <c r="C53" s="106"/>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row>
    <row r="54" spans="1:29">
      <c r="A54" s="106"/>
      <c r="B54" s="106"/>
      <c r="C54" s="106"/>
      <c r="D54" s="106"/>
      <c r="E54" s="106"/>
      <c r="F54" s="106"/>
      <c r="G54" s="106"/>
      <c r="H54" s="106"/>
      <c r="I54" s="106"/>
      <c r="J54" s="106"/>
      <c r="K54" s="106"/>
      <c r="L54" s="106"/>
      <c r="M54" s="106"/>
      <c r="N54" s="106"/>
      <c r="O54" s="106"/>
      <c r="P54" s="106"/>
      <c r="Q54" s="106"/>
      <c r="R54" s="106"/>
      <c r="S54" s="106"/>
      <c r="T54" s="106"/>
      <c r="U54" s="106"/>
      <c r="V54" s="106"/>
      <c r="W54" s="106"/>
      <c r="X54" s="106"/>
      <c r="Y54" s="106"/>
      <c r="Z54" s="106"/>
      <c r="AA54" s="106"/>
      <c r="AB54" s="106"/>
      <c r="AC54" s="106"/>
    </row>
    <row r="55" spans="1:29">
      <c r="A55" s="106"/>
      <c r="B55" s="106"/>
      <c r="C55" s="106"/>
      <c r="D55" s="106"/>
      <c r="E55" s="106"/>
      <c r="F55" s="106"/>
      <c r="G55" s="106"/>
      <c r="H55" s="106"/>
      <c r="I55" s="106"/>
      <c r="J55" s="106"/>
      <c r="K55" s="106"/>
      <c r="L55" s="106"/>
      <c r="M55" s="106"/>
      <c r="N55" s="106"/>
      <c r="O55" s="106"/>
      <c r="P55" s="106"/>
      <c r="Q55" s="106"/>
      <c r="R55" s="106"/>
      <c r="S55" s="106"/>
      <c r="T55" s="106"/>
      <c r="U55" s="106"/>
      <c r="V55" s="106"/>
      <c r="W55" s="106"/>
      <c r="X55" s="106"/>
      <c r="Y55" s="106"/>
      <c r="Z55" s="106"/>
      <c r="AA55" s="106"/>
      <c r="AB55" s="106"/>
      <c r="AC55" s="106"/>
    </row>
    <row r="56" spans="1:29">
      <c r="A56" s="106"/>
      <c r="B56" s="106"/>
      <c r="C56" s="106"/>
      <c r="D56" s="106"/>
      <c r="E56" s="106"/>
      <c r="F56" s="106"/>
      <c r="G56" s="106"/>
      <c r="H56" s="106"/>
      <c r="I56" s="106"/>
      <c r="J56" s="106"/>
      <c r="K56" s="106"/>
      <c r="L56" s="106"/>
      <c r="M56" s="106"/>
      <c r="N56" s="106"/>
      <c r="O56" s="106"/>
      <c r="P56" s="106"/>
      <c r="Q56" s="106"/>
      <c r="R56" s="106"/>
      <c r="S56" s="106"/>
      <c r="T56" s="106"/>
      <c r="U56" s="106"/>
      <c r="V56" s="106"/>
      <c r="W56" s="106"/>
      <c r="X56" s="106"/>
      <c r="Y56" s="106"/>
      <c r="Z56" s="106"/>
      <c r="AA56" s="106"/>
      <c r="AB56" s="106"/>
      <c r="AC56" s="106"/>
    </row>
    <row r="57" spans="1:29">
      <c r="A57" s="106"/>
      <c r="B57" s="106"/>
      <c r="C57" s="106"/>
      <c r="D57" s="106"/>
      <c r="E57" s="106"/>
      <c r="F57" s="106"/>
      <c r="G57" s="106"/>
      <c r="H57" s="106"/>
      <c r="I57" s="106"/>
      <c r="J57" s="106"/>
      <c r="K57" s="106"/>
      <c r="L57" s="106"/>
      <c r="M57" s="106"/>
      <c r="N57" s="106"/>
      <c r="O57" s="106"/>
      <c r="P57" s="106"/>
      <c r="Q57" s="106"/>
      <c r="R57" s="106"/>
      <c r="S57" s="106"/>
      <c r="T57" s="106"/>
      <c r="U57" s="106"/>
      <c r="V57" s="106"/>
      <c r="W57" s="106"/>
      <c r="X57" s="106"/>
      <c r="Y57" s="106"/>
      <c r="Z57" s="106"/>
      <c r="AA57" s="106"/>
      <c r="AB57" s="106"/>
      <c r="AC57" s="106"/>
    </row>
    <row r="58" spans="1:29">
      <c r="A58" s="106"/>
      <c r="B58" s="106"/>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row>
    <row r="59" spans="1:29">
      <c r="A59" s="106"/>
      <c r="B59" s="106"/>
      <c r="C59" s="106"/>
      <c r="D59" s="106"/>
      <c r="E59" s="106"/>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row>
    <row r="60" spans="1:29">
      <c r="A60" s="106"/>
      <c r="B60" s="106"/>
      <c r="C60" s="106"/>
      <c r="D60" s="106"/>
      <c r="E60" s="106"/>
      <c r="F60" s="106"/>
      <c r="G60" s="106"/>
      <c r="H60" s="106"/>
      <c r="I60" s="106"/>
      <c r="J60" s="106"/>
      <c r="K60" s="106"/>
      <c r="L60" s="106"/>
      <c r="M60" s="106"/>
      <c r="N60" s="106"/>
      <c r="O60" s="106"/>
      <c r="P60" s="106"/>
      <c r="Q60" s="106"/>
      <c r="R60" s="106"/>
      <c r="S60" s="106"/>
      <c r="T60" s="106"/>
      <c r="U60" s="106"/>
      <c r="V60" s="106"/>
      <c r="W60" s="106"/>
      <c r="X60" s="106"/>
      <c r="Y60" s="106"/>
      <c r="Z60" s="106"/>
      <c r="AA60" s="106"/>
      <c r="AB60" s="106"/>
      <c r="AC60" s="106"/>
    </row>
    <row r="61" spans="1:29">
      <c r="A61" s="106"/>
      <c r="B61" s="106"/>
      <c r="C61" s="106"/>
      <c r="D61" s="106"/>
      <c r="E61" s="106"/>
      <c r="F61" s="106"/>
      <c r="G61" s="106"/>
      <c r="H61" s="106"/>
      <c r="I61" s="106"/>
      <c r="J61" s="106"/>
      <c r="K61" s="106"/>
      <c r="L61" s="106"/>
      <c r="M61" s="106"/>
      <c r="N61" s="106"/>
      <c r="O61" s="106"/>
      <c r="P61" s="106"/>
      <c r="Q61" s="106"/>
      <c r="R61" s="106"/>
      <c r="S61" s="106"/>
      <c r="T61" s="106"/>
      <c r="U61" s="106"/>
      <c r="V61" s="106"/>
      <c r="W61" s="106"/>
      <c r="X61" s="106"/>
      <c r="Y61" s="106"/>
      <c r="Z61" s="106"/>
      <c r="AA61" s="106"/>
      <c r="AB61" s="106"/>
      <c r="AC61" s="106"/>
    </row>
    <row r="62" spans="1:29">
      <c r="A62" s="106"/>
      <c r="B62" s="106"/>
      <c r="C62" s="106"/>
      <c r="D62" s="106"/>
      <c r="E62" s="106"/>
      <c r="F62" s="106"/>
      <c r="G62" s="106"/>
      <c r="H62" s="106"/>
      <c r="I62" s="106"/>
      <c r="J62" s="106"/>
      <c r="K62" s="106"/>
      <c r="L62" s="106"/>
      <c r="M62" s="106"/>
      <c r="N62" s="106"/>
      <c r="O62" s="106"/>
      <c r="P62" s="106"/>
      <c r="Q62" s="106"/>
      <c r="R62" s="106"/>
      <c r="S62" s="106"/>
      <c r="T62" s="106"/>
      <c r="U62" s="106"/>
      <c r="V62" s="106"/>
      <c r="W62" s="106"/>
      <c r="X62" s="106"/>
      <c r="Y62" s="106"/>
      <c r="Z62" s="106"/>
      <c r="AA62" s="106"/>
      <c r="AB62" s="106"/>
      <c r="AC62" s="106"/>
    </row>
    <row r="63" spans="1:29">
      <c r="A63" s="106"/>
      <c r="B63" s="106"/>
      <c r="C63" s="106"/>
      <c r="D63" s="106"/>
      <c r="E63" s="106"/>
      <c r="F63" s="106"/>
      <c r="G63" s="106"/>
      <c r="H63" s="106"/>
      <c r="I63" s="106"/>
      <c r="J63" s="106"/>
      <c r="K63" s="106"/>
      <c r="L63" s="106"/>
      <c r="M63" s="106"/>
      <c r="N63" s="106"/>
      <c r="O63" s="106"/>
      <c r="P63" s="106"/>
      <c r="Q63" s="106"/>
      <c r="R63" s="106"/>
      <c r="S63" s="106"/>
      <c r="T63" s="106"/>
      <c r="U63" s="106"/>
      <c r="V63" s="106"/>
      <c r="W63" s="106"/>
      <c r="X63" s="106"/>
      <c r="Y63" s="106"/>
      <c r="Z63" s="106"/>
      <c r="AA63" s="106"/>
      <c r="AB63" s="106"/>
      <c r="AC63" s="106"/>
    </row>
    <row r="64" spans="1:29">
      <c r="A64" s="106"/>
      <c r="B64" s="106"/>
      <c r="C64" s="106"/>
      <c r="D64" s="106"/>
      <c r="E64" s="106"/>
      <c r="F64" s="106"/>
      <c r="G64" s="106"/>
      <c r="H64" s="106"/>
      <c r="I64" s="106"/>
      <c r="J64" s="106"/>
      <c r="K64" s="106"/>
      <c r="L64" s="106"/>
      <c r="M64" s="106"/>
      <c r="N64" s="106"/>
      <c r="O64" s="106"/>
      <c r="P64" s="106"/>
      <c r="Q64" s="106"/>
      <c r="R64" s="106"/>
      <c r="S64" s="106"/>
      <c r="T64" s="106"/>
      <c r="U64" s="106"/>
      <c r="V64" s="106"/>
      <c r="W64" s="106"/>
      <c r="X64" s="106"/>
      <c r="Y64" s="106"/>
      <c r="Z64" s="106"/>
      <c r="AA64" s="106"/>
      <c r="AB64" s="106"/>
      <c r="AC64" s="106"/>
    </row>
    <row r="65" spans="1:29">
      <c r="A65" s="106"/>
      <c r="B65" s="106"/>
      <c r="C65" s="106"/>
      <c r="D65" s="106"/>
      <c r="E65" s="106"/>
      <c r="F65" s="106"/>
      <c r="G65" s="106"/>
      <c r="H65" s="106"/>
      <c r="I65" s="106"/>
      <c r="J65" s="106"/>
      <c r="K65" s="106"/>
      <c r="L65" s="106"/>
      <c r="M65" s="106"/>
      <c r="N65" s="106"/>
      <c r="O65" s="106"/>
      <c r="P65" s="106"/>
      <c r="Q65" s="106"/>
      <c r="R65" s="106"/>
      <c r="S65" s="106"/>
      <c r="T65" s="106"/>
      <c r="U65" s="106"/>
      <c r="V65" s="106"/>
      <c r="W65" s="106"/>
      <c r="X65" s="106"/>
      <c r="Y65" s="106"/>
      <c r="Z65" s="106"/>
      <c r="AA65" s="106"/>
      <c r="AB65" s="106"/>
      <c r="AC65" s="106"/>
    </row>
    <row r="66" spans="1:29">
      <c r="A66" s="106"/>
      <c r="B66" s="106"/>
      <c r="C66" s="106"/>
      <c r="D66" s="106"/>
      <c r="E66" s="106"/>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row>
    <row r="67" spans="1:29">
      <c r="A67" s="106"/>
      <c r="B67" s="106"/>
      <c r="C67" s="106"/>
      <c r="D67" s="106"/>
      <c r="E67" s="106"/>
      <c r="F67" s="106"/>
      <c r="G67" s="106"/>
      <c r="H67" s="106"/>
      <c r="I67" s="106"/>
      <c r="J67" s="106"/>
      <c r="K67" s="106"/>
      <c r="L67" s="106"/>
      <c r="M67" s="106"/>
      <c r="N67" s="106"/>
      <c r="O67" s="106"/>
      <c r="P67" s="106"/>
      <c r="Q67" s="106"/>
      <c r="R67" s="106"/>
      <c r="S67" s="106"/>
      <c r="T67" s="106"/>
      <c r="U67" s="106"/>
      <c r="V67" s="106"/>
      <c r="W67" s="106"/>
      <c r="X67" s="106"/>
      <c r="Y67" s="106"/>
      <c r="Z67" s="106"/>
      <c r="AA67" s="106"/>
      <c r="AB67" s="106"/>
      <c r="AC67" s="106"/>
    </row>
    <row r="68" spans="1:29">
      <c r="A68" s="106"/>
      <c r="B68" s="106"/>
      <c r="C68" s="106"/>
      <c r="D68" s="106"/>
      <c r="E68" s="106"/>
      <c r="F68" s="106"/>
      <c r="G68" s="106"/>
      <c r="H68" s="106"/>
      <c r="I68" s="106"/>
      <c r="J68" s="106"/>
      <c r="K68" s="106"/>
      <c r="L68" s="106"/>
      <c r="M68" s="106"/>
      <c r="N68" s="106"/>
      <c r="O68" s="106"/>
      <c r="P68" s="106"/>
      <c r="Q68" s="106"/>
      <c r="R68" s="106"/>
      <c r="S68" s="106"/>
      <c r="T68" s="106"/>
      <c r="U68" s="106"/>
      <c r="V68" s="106"/>
      <c r="W68" s="106"/>
      <c r="X68" s="106"/>
      <c r="Y68" s="106"/>
      <c r="Z68" s="106"/>
      <c r="AA68" s="106"/>
      <c r="AB68" s="106"/>
      <c r="AC68" s="106"/>
    </row>
    <row r="69" spans="1:29">
      <c r="A69" s="106"/>
      <c r="B69" s="106"/>
      <c r="C69" s="106"/>
      <c r="D69" s="106"/>
      <c r="E69" s="106"/>
      <c r="F69" s="106"/>
      <c r="G69" s="106"/>
      <c r="H69" s="106"/>
      <c r="I69" s="106"/>
      <c r="J69" s="106"/>
      <c r="K69" s="106"/>
      <c r="L69" s="106"/>
      <c r="M69" s="106"/>
      <c r="N69" s="106"/>
      <c r="O69" s="106"/>
      <c r="P69" s="106"/>
      <c r="Q69" s="106"/>
      <c r="R69" s="106"/>
      <c r="S69" s="106"/>
      <c r="T69" s="106"/>
      <c r="U69" s="106"/>
      <c r="V69" s="106"/>
      <c r="W69" s="106"/>
      <c r="X69" s="106"/>
      <c r="Y69" s="106"/>
      <c r="Z69" s="106"/>
      <c r="AA69" s="106"/>
      <c r="AB69" s="106"/>
      <c r="AC69" s="106"/>
    </row>
    <row r="70" spans="1:29">
      <c r="A70" s="106"/>
      <c r="B70" s="106"/>
      <c r="C70" s="106"/>
      <c r="D70" s="106"/>
      <c r="E70" s="106"/>
      <c r="F70" s="106"/>
      <c r="G70" s="106"/>
      <c r="H70" s="106"/>
      <c r="I70" s="106"/>
      <c r="J70" s="106"/>
      <c r="K70" s="106"/>
      <c r="L70" s="106"/>
      <c r="M70" s="106"/>
      <c r="N70" s="106"/>
      <c r="O70" s="106"/>
      <c r="P70" s="106"/>
      <c r="Q70" s="106"/>
      <c r="R70" s="106"/>
      <c r="S70" s="106"/>
      <c r="T70" s="106"/>
      <c r="U70" s="106"/>
      <c r="V70" s="106"/>
      <c r="W70" s="106"/>
      <c r="X70" s="106"/>
      <c r="Y70" s="106"/>
      <c r="Z70" s="106"/>
      <c r="AA70" s="106"/>
      <c r="AB70" s="106"/>
      <c r="AC70" s="106"/>
    </row>
    <row r="71" spans="1:29">
      <c r="A71" s="106"/>
      <c r="B71" s="106"/>
      <c r="C71" s="106"/>
      <c r="D71" s="106"/>
      <c r="E71" s="106"/>
      <c r="F71" s="106"/>
      <c r="G71" s="106"/>
      <c r="H71" s="106"/>
      <c r="I71" s="106"/>
      <c r="J71" s="106"/>
      <c r="K71" s="106"/>
      <c r="L71" s="106"/>
      <c r="M71" s="106"/>
      <c r="N71" s="106"/>
      <c r="O71" s="106"/>
      <c r="P71" s="106"/>
      <c r="Q71" s="106"/>
      <c r="R71" s="106"/>
      <c r="S71" s="106"/>
      <c r="T71" s="106"/>
      <c r="U71" s="106"/>
      <c r="V71" s="106"/>
      <c r="W71" s="106"/>
      <c r="X71" s="106"/>
      <c r="Y71" s="106"/>
      <c r="Z71" s="106"/>
      <c r="AA71" s="106"/>
      <c r="AB71" s="106"/>
      <c r="AC71" s="106"/>
    </row>
    <row r="72" spans="1:29">
      <c r="A72" s="106"/>
      <c r="B72" s="106"/>
      <c r="C72" s="106"/>
      <c r="D72" s="106"/>
      <c r="E72" s="106"/>
      <c r="F72" s="106"/>
      <c r="G72" s="106"/>
      <c r="H72" s="106"/>
      <c r="I72" s="106"/>
      <c r="J72" s="106"/>
      <c r="K72" s="106"/>
      <c r="L72" s="106"/>
      <c r="M72" s="106"/>
      <c r="N72" s="106"/>
      <c r="O72" s="106"/>
      <c r="P72" s="106"/>
      <c r="Q72" s="106"/>
      <c r="R72" s="106"/>
      <c r="S72" s="106"/>
      <c r="T72" s="106"/>
      <c r="U72" s="106"/>
      <c r="V72" s="106"/>
      <c r="W72" s="106"/>
      <c r="X72" s="106"/>
      <c r="Y72" s="106"/>
      <c r="Z72" s="106"/>
      <c r="AA72" s="106"/>
      <c r="AB72" s="106"/>
      <c r="AC72" s="106"/>
    </row>
    <row r="73" spans="1:29">
      <c r="A73" s="106"/>
      <c r="B73" s="106"/>
      <c r="C73" s="106"/>
      <c r="D73" s="106"/>
      <c r="E73" s="106"/>
      <c r="F73" s="106"/>
      <c r="G73" s="106"/>
      <c r="H73" s="106"/>
      <c r="I73" s="106"/>
      <c r="J73" s="106"/>
      <c r="K73" s="106"/>
      <c r="L73" s="106"/>
      <c r="M73" s="106"/>
      <c r="N73" s="106"/>
      <c r="O73" s="106"/>
      <c r="P73" s="106"/>
      <c r="Q73" s="106"/>
      <c r="R73" s="106"/>
      <c r="S73" s="106"/>
      <c r="T73" s="106"/>
      <c r="U73" s="106"/>
      <c r="V73" s="106"/>
      <c r="W73" s="106"/>
      <c r="X73" s="106"/>
      <c r="Y73" s="106"/>
      <c r="Z73" s="106"/>
      <c r="AA73" s="106"/>
      <c r="AB73" s="106"/>
      <c r="AC73" s="106"/>
    </row>
    <row r="74" spans="1:29">
      <c r="A74" s="106"/>
      <c r="B74" s="106"/>
      <c r="C74" s="106"/>
      <c r="D74" s="106"/>
      <c r="E74" s="106"/>
      <c r="F74" s="106"/>
      <c r="G74" s="106"/>
      <c r="H74" s="106"/>
      <c r="I74" s="106"/>
      <c r="J74" s="106"/>
      <c r="K74" s="106"/>
      <c r="L74" s="106"/>
      <c r="M74" s="106"/>
      <c r="N74" s="106"/>
      <c r="O74" s="106"/>
      <c r="P74" s="106"/>
      <c r="Q74" s="106"/>
      <c r="R74" s="106"/>
      <c r="S74" s="106"/>
      <c r="T74" s="106"/>
      <c r="U74" s="106"/>
      <c r="V74" s="106"/>
      <c r="W74" s="106"/>
      <c r="X74" s="106"/>
      <c r="Y74" s="106"/>
      <c r="Z74" s="106"/>
      <c r="AA74" s="106"/>
      <c r="AB74" s="106"/>
      <c r="AC74" s="106"/>
    </row>
    <row r="75" spans="1:29">
      <c r="A75" s="106"/>
      <c r="B75" s="106"/>
      <c r="C75" s="106"/>
      <c r="D75" s="106"/>
      <c r="E75" s="106"/>
      <c r="F75" s="106"/>
      <c r="G75" s="106"/>
      <c r="H75" s="106"/>
      <c r="I75" s="106"/>
      <c r="J75" s="106"/>
      <c r="K75" s="106"/>
      <c r="L75" s="106"/>
      <c r="M75" s="106"/>
      <c r="N75" s="106"/>
      <c r="O75" s="106"/>
      <c r="P75" s="106"/>
      <c r="Q75" s="106"/>
      <c r="R75" s="106"/>
      <c r="S75" s="106"/>
      <c r="T75" s="106"/>
      <c r="U75" s="106"/>
      <c r="V75" s="106"/>
      <c r="W75" s="106"/>
      <c r="X75" s="106"/>
      <c r="Y75" s="106"/>
      <c r="Z75" s="106"/>
      <c r="AA75" s="106"/>
      <c r="AB75" s="106"/>
      <c r="AC75" s="106"/>
    </row>
    <row r="76" spans="1:29">
      <c r="A76" s="106"/>
      <c r="B76" s="106"/>
      <c r="C76" s="106"/>
      <c r="D76" s="106"/>
      <c r="E76" s="106"/>
      <c r="F76" s="106"/>
      <c r="G76" s="106"/>
      <c r="H76" s="106"/>
      <c r="I76" s="106"/>
      <c r="J76" s="106"/>
      <c r="K76" s="106"/>
      <c r="L76" s="106"/>
      <c r="M76" s="106"/>
      <c r="N76" s="106"/>
      <c r="O76" s="106"/>
      <c r="P76" s="106"/>
      <c r="Q76" s="106"/>
      <c r="R76" s="106"/>
      <c r="S76" s="106"/>
      <c r="T76" s="106"/>
      <c r="U76" s="106"/>
      <c r="V76" s="106"/>
      <c r="W76" s="106"/>
      <c r="X76" s="106"/>
      <c r="Y76" s="106"/>
      <c r="Z76" s="106"/>
      <c r="AA76" s="106"/>
      <c r="AB76" s="106"/>
      <c r="AC76" s="106"/>
    </row>
    <row r="77" spans="1:29">
      <c r="A77" s="106"/>
      <c r="B77" s="106"/>
      <c r="C77" s="106"/>
      <c r="D77" s="106"/>
      <c r="E77" s="106"/>
      <c r="F77" s="106"/>
      <c r="G77" s="106"/>
      <c r="H77" s="106"/>
      <c r="I77" s="106"/>
      <c r="J77" s="106"/>
      <c r="K77" s="106"/>
      <c r="L77" s="106"/>
      <c r="M77" s="106"/>
      <c r="N77" s="106"/>
      <c r="O77" s="106"/>
      <c r="P77" s="106"/>
      <c r="Q77" s="106"/>
      <c r="R77" s="106"/>
      <c r="S77" s="106"/>
      <c r="T77" s="106"/>
      <c r="U77" s="106"/>
      <c r="V77" s="106"/>
      <c r="W77" s="106"/>
      <c r="X77" s="106"/>
      <c r="Y77" s="106"/>
      <c r="Z77" s="106"/>
      <c r="AA77" s="106"/>
      <c r="AB77" s="106"/>
      <c r="AC77" s="106"/>
    </row>
    <row r="78" spans="1:29">
      <c r="A78" s="106"/>
      <c r="B78" s="106"/>
      <c r="C78" s="106"/>
      <c r="D78" s="106"/>
      <c r="E78" s="106"/>
      <c r="F78" s="106"/>
      <c r="G78" s="106"/>
      <c r="H78" s="106"/>
      <c r="I78" s="106"/>
      <c r="J78" s="106"/>
      <c r="K78" s="106"/>
      <c r="L78" s="106"/>
      <c r="M78" s="106"/>
      <c r="N78" s="106"/>
      <c r="O78" s="106"/>
      <c r="P78" s="106"/>
      <c r="Q78" s="106"/>
      <c r="R78" s="106"/>
      <c r="S78" s="106"/>
      <c r="T78" s="106"/>
      <c r="U78" s="106"/>
      <c r="V78" s="106"/>
      <c r="W78" s="106"/>
      <c r="X78" s="106"/>
      <c r="Y78" s="106"/>
      <c r="Z78" s="106"/>
      <c r="AA78" s="106"/>
      <c r="AB78" s="106"/>
      <c r="AC78" s="106"/>
    </row>
    <row r="79" spans="1:29">
      <c r="A79" s="106"/>
      <c r="B79" s="106"/>
      <c r="C79" s="106"/>
      <c r="D79" s="106"/>
      <c r="E79" s="106"/>
      <c r="F79" s="106"/>
      <c r="G79" s="106"/>
      <c r="H79" s="106"/>
      <c r="I79" s="106"/>
      <c r="J79" s="106"/>
      <c r="K79" s="106"/>
      <c r="L79" s="106"/>
      <c r="M79" s="106"/>
      <c r="N79" s="106"/>
      <c r="O79" s="106"/>
      <c r="P79" s="106"/>
      <c r="Q79" s="106"/>
      <c r="R79" s="106"/>
      <c r="S79" s="106"/>
      <c r="T79" s="106"/>
      <c r="U79" s="106"/>
      <c r="V79" s="106"/>
      <c r="W79" s="106"/>
      <c r="X79" s="106"/>
      <c r="Y79" s="106"/>
      <c r="Z79" s="106"/>
      <c r="AA79" s="106"/>
      <c r="AB79" s="106"/>
      <c r="AC79" s="106"/>
    </row>
    <row r="80" spans="1:29">
      <c r="A80" s="106"/>
      <c r="B80" s="106"/>
      <c r="C80" s="106"/>
      <c r="D80" s="106"/>
      <c r="E80" s="106"/>
      <c r="F80" s="106"/>
      <c r="G80" s="106"/>
      <c r="H80" s="106"/>
      <c r="I80" s="106"/>
      <c r="J80" s="106"/>
      <c r="K80" s="106"/>
      <c r="L80" s="106"/>
      <c r="M80" s="106"/>
      <c r="N80" s="106"/>
      <c r="O80" s="106"/>
      <c r="P80" s="106"/>
      <c r="Q80" s="106"/>
      <c r="R80" s="106"/>
      <c r="S80" s="106"/>
      <c r="T80" s="106"/>
      <c r="U80" s="106"/>
      <c r="V80" s="106"/>
      <c r="W80" s="106"/>
      <c r="X80" s="106"/>
      <c r="Y80" s="106"/>
      <c r="Z80" s="106"/>
      <c r="AA80" s="106"/>
      <c r="AB80" s="106"/>
      <c r="AC80" s="106"/>
    </row>
    <row r="81" spans="1:29">
      <c r="A81" s="106"/>
      <c r="B81" s="106"/>
      <c r="C81" s="106"/>
      <c r="D81" s="106"/>
      <c r="E81" s="106"/>
      <c r="F81" s="106"/>
      <c r="G81" s="106"/>
      <c r="H81" s="106"/>
      <c r="I81" s="106"/>
      <c r="J81" s="106"/>
      <c r="K81" s="106"/>
      <c r="L81" s="106"/>
      <c r="M81" s="106"/>
      <c r="N81" s="106"/>
      <c r="O81" s="106"/>
      <c r="P81" s="106"/>
      <c r="Q81" s="106"/>
      <c r="R81" s="106"/>
      <c r="S81" s="106"/>
      <c r="T81" s="106"/>
      <c r="U81" s="106"/>
      <c r="V81" s="106"/>
      <c r="W81" s="106"/>
      <c r="X81" s="106"/>
      <c r="Y81" s="106"/>
      <c r="Z81" s="106"/>
      <c r="AA81" s="106"/>
      <c r="AB81" s="106"/>
      <c r="AC81" s="106"/>
    </row>
    <row r="82" spans="1:29">
      <c r="A82" s="106"/>
      <c r="B82" s="106"/>
      <c r="C82" s="106"/>
      <c r="D82" s="106"/>
      <c r="E82" s="106"/>
      <c r="F82" s="106"/>
      <c r="G82" s="106"/>
      <c r="H82" s="106"/>
      <c r="I82" s="106"/>
      <c r="J82" s="106"/>
      <c r="K82" s="106"/>
      <c r="L82" s="106"/>
      <c r="M82" s="106"/>
      <c r="N82" s="106"/>
      <c r="O82" s="106"/>
      <c r="P82" s="106"/>
      <c r="Q82" s="106"/>
      <c r="R82" s="106"/>
      <c r="S82" s="106"/>
      <c r="T82" s="106"/>
      <c r="U82" s="106"/>
      <c r="V82" s="106"/>
      <c r="W82" s="106"/>
      <c r="X82" s="106"/>
      <c r="Y82" s="106"/>
      <c r="Z82" s="106"/>
      <c r="AA82" s="106"/>
      <c r="AB82" s="106"/>
      <c r="AC82" s="106"/>
    </row>
    <row r="83" spans="1:29">
      <c r="A83" s="106"/>
      <c r="B83" s="106"/>
      <c r="C83" s="106"/>
      <c r="D83" s="106"/>
      <c r="E83" s="106"/>
      <c r="F83" s="106"/>
      <c r="G83" s="106"/>
      <c r="H83" s="106"/>
      <c r="I83" s="106"/>
      <c r="J83" s="106"/>
      <c r="K83" s="106"/>
      <c r="L83" s="106"/>
      <c r="M83" s="106"/>
      <c r="N83" s="106"/>
      <c r="O83" s="106"/>
      <c r="P83" s="106"/>
      <c r="Q83" s="106"/>
      <c r="R83" s="106"/>
      <c r="S83" s="106"/>
      <c r="T83" s="106"/>
      <c r="U83" s="106"/>
      <c r="V83" s="106"/>
      <c r="W83" s="106"/>
      <c r="X83" s="106"/>
      <c r="Y83" s="106"/>
      <c r="Z83" s="106"/>
      <c r="AA83" s="106"/>
      <c r="AB83" s="106"/>
      <c r="AC83" s="106"/>
    </row>
    <row r="84" spans="1:29">
      <c r="A84" s="106"/>
      <c r="B84" s="106"/>
      <c r="C84" s="106"/>
      <c r="D84" s="106"/>
      <c r="E84" s="106"/>
      <c r="F84" s="106"/>
      <c r="G84" s="106"/>
      <c r="H84" s="106"/>
      <c r="I84" s="106"/>
      <c r="J84" s="106"/>
      <c r="K84" s="106"/>
      <c r="L84" s="106"/>
      <c r="M84" s="106"/>
      <c r="N84" s="106"/>
      <c r="O84" s="106"/>
      <c r="P84" s="106"/>
      <c r="Q84" s="106"/>
      <c r="R84" s="106"/>
      <c r="S84" s="106"/>
      <c r="T84" s="106"/>
      <c r="U84" s="106"/>
      <c r="V84" s="106"/>
      <c r="W84" s="106"/>
      <c r="X84" s="106"/>
      <c r="Y84" s="106"/>
      <c r="Z84" s="106"/>
      <c r="AA84" s="106"/>
      <c r="AB84" s="106"/>
      <c r="AC84" s="106"/>
    </row>
    <row r="85" spans="1:29">
      <c r="A85" s="106"/>
      <c r="B85" s="106"/>
      <c r="C85" s="106"/>
      <c r="D85" s="106"/>
      <c r="E85" s="106"/>
      <c r="F85" s="106"/>
      <c r="G85" s="106"/>
      <c r="H85" s="106"/>
      <c r="I85" s="106"/>
      <c r="J85" s="106"/>
      <c r="K85" s="106"/>
      <c r="L85" s="106"/>
      <c r="M85" s="106"/>
      <c r="N85" s="106"/>
      <c r="O85" s="106"/>
      <c r="P85" s="106"/>
      <c r="Q85" s="106"/>
      <c r="R85" s="106"/>
      <c r="S85" s="106"/>
      <c r="T85" s="106"/>
      <c r="U85" s="106"/>
      <c r="V85" s="106"/>
      <c r="W85" s="106"/>
      <c r="X85" s="106"/>
      <c r="Y85" s="106"/>
      <c r="Z85" s="106"/>
      <c r="AA85" s="106"/>
      <c r="AB85" s="106"/>
      <c r="AC85" s="106"/>
    </row>
    <row r="86" spans="1:29">
      <c r="A86" s="106"/>
      <c r="B86" s="106"/>
      <c r="C86" s="106"/>
      <c r="D86" s="106"/>
      <c r="E86" s="106"/>
      <c r="F86" s="106"/>
      <c r="G86" s="106"/>
      <c r="H86" s="106"/>
      <c r="I86" s="106"/>
      <c r="J86" s="106"/>
      <c r="K86" s="106"/>
      <c r="L86" s="106"/>
      <c r="M86" s="106"/>
      <c r="N86" s="106"/>
      <c r="O86" s="106"/>
      <c r="P86" s="106"/>
      <c r="Q86" s="106"/>
      <c r="R86" s="106"/>
      <c r="S86" s="106"/>
      <c r="T86" s="106"/>
      <c r="U86" s="106"/>
      <c r="V86" s="106"/>
      <c r="W86" s="106"/>
      <c r="X86" s="106"/>
      <c r="Y86" s="106"/>
      <c r="Z86" s="106"/>
      <c r="AA86" s="106"/>
      <c r="AB86" s="106"/>
      <c r="AC86" s="106"/>
    </row>
    <row r="87" spans="1:29">
      <c r="A87" s="106"/>
      <c r="B87" s="106"/>
      <c r="C87" s="106"/>
      <c r="D87" s="106"/>
      <c r="E87" s="106"/>
      <c r="F87" s="106"/>
      <c r="G87" s="106"/>
      <c r="H87" s="106"/>
      <c r="I87" s="106"/>
      <c r="J87" s="106"/>
      <c r="K87" s="106"/>
      <c r="L87" s="106"/>
      <c r="M87" s="106"/>
      <c r="N87" s="106"/>
      <c r="O87" s="106"/>
      <c r="P87" s="106"/>
      <c r="Q87" s="106"/>
      <c r="R87" s="106"/>
      <c r="S87" s="106"/>
      <c r="T87" s="106"/>
      <c r="U87" s="106"/>
      <c r="V87" s="106"/>
      <c r="W87" s="106"/>
      <c r="X87" s="106"/>
      <c r="Y87" s="106"/>
      <c r="Z87" s="106"/>
      <c r="AA87" s="106"/>
      <c r="AB87" s="106"/>
      <c r="AC87" s="106"/>
    </row>
    <row r="88" spans="1:29">
      <c r="A88" s="106"/>
      <c r="B88" s="106"/>
      <c r="C88" s="106"/>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06"/>
      <c r="AB88" s="106"/>
      <c r="AC88" s="106"/>
    </row>
    <row r="89" spans="1:29">
      <c r="A89" s="106"/>
      <c r="B89" s="106"/>
      <c r="C89" s="106"/>
      <c r="D89" s="106"/>
      <c r="E89" s="106"/>
      <c r="F89" s="106"/>
      <c r="G89" s="106"/>
      <c r="H89" s="106"/>
      <c r="I89" s="106"/>
      <c r="J89" s="106"/>
      <c r="K89" s="106"/>
      <c r="L89" s="106"/>
      <c r="M89" s="106"/>
      <c r="N89" s="106"/>
      <c r="O89" s="106"/>
      <c r="P89" s="106"/>
      <c r="Q89" s="106"/>
      <c r="R89" s="106"/>
      <c r="S89" s="106"/>
      <c r="T89" s="106"/>
      <c r="U89" s="106"/>
      <c r="V89" s="106"/>
      <c r="W89" s="106"/>
      <c r="X89" s="106"/>
      <c r="Y89" s="106"/>
      <c r="Z89" s="106"/>
      <c r="AA89" s="106"/>
      <c r="AB89" s="106"/>
      <c r="AC89" s="106"/>
    </row>
    <row r="90" spans="1:29">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row>
    <row r="91" spans="1:29">
      <c r="A91" s="106"/>
      <c r="B91" s="106"/>
      <c r="C91" s="106"/>
      <c r="D91" s="106"/>
      <c r="E91" s="106"/>
      <c r="F91" s="106"/>
      <c r="G91" s="106"/>
      <c r="H91" s="106"/>
      <c r="I91" s="106"/>
      <c r="J91" s="106"/>
      <c r="K91" s="106"/>
      <c r="L91" s="106"/>
      <c r="M91" s="106"/>
      <c r="N91" s="106"/>
      <c r="O91" s="106"/>
      <c r="P91" s="106"/>
      <c r="Q91" s="106"/>
      <c r="R91" s="106"/>
      <c r="S91" s="106"/>
      <c r="T91" s="106"/>
      <c r="U91" s="106"/>
      <c r="V91" s="106"/>
      <c r="W91" s="106"/>
      <c r="X91" s="106"/>
      <c r="Y91" s="106"/>
      <c r="Z91" s="106"/>
      <c r="AA91" s="106"/>
      <c r="AB91" s="106"/>
      <c r="AC91" s="106"/>
    </row>
    <row r="92" spans="1:29">
      <c r="A92" s="106"/>
      <c r="B92" s="106"/>
      <c r="C92" s="106"/>
      <c r="D92" s="106"/>
      <c r="E92" s="106"/>
      <c r="F92" s="106"/>
      <c r="G92" s="106"/>
      <c r="H92" s="106"/>
      <c r="I92" s="106"/>
      <c r="J92" s="106"/>
      <c r="K92" s="106"/>
      <c r="L92" s="106"/>
      <c r="M92" s="106"/>
      <c r="N92" s="106"/>
      <c r="O92" s="106"/>
      <c r="P92" s="106"/>
      <c r="Q92" s="106"/>
      <c r="R92" s="106"/>
      <c r="S92" s="106"/>
      <c r="T92" s="106"/>
      <c r="U92" s="106"/>
      <c r="V92" s="106"/>
      <c r="W92" s="106"/>
      <c r="X92" s="106"/>
      <c r="Y92" s="106"/>
      <c r="Z92" s="106"/>
      <c r="AA92" s="106"/>
      <c r="AB92" s="106"/>
      <c r="AC92" s="106"/>
    </row>
    <row r="93" spans="1:29">
      <c r="A93" s="106"/>
      <c r="B93" s="106"/>
      <c r="C93" s="106"/>
      <c r="D93" s="106"/>
      <c r="E93" s="106"/>
      <c r="F93" s="106"/>
      <c r="G93" s="106"/>
      <c r="H93" s="106"/>
      <c r="I93" s="106"/>
      <c r="J93" s="106"/>
      <c r="K93" s="106"/>
      <c r="L93" s="106"/>
      <c r="M93" s="106"/>
      <c r="N93" s="106"/>
      <c r="O93" s="106"/>
      <c r="P93" s="106"/>
      <c r="Q93" s="106"/>
      <c r="R93" s="106"/>
      <c r="S93" s="106"/>
      <c r="T93" s="106"/>
      <c r="U93" s="106"/>
      <c r="V93" s="106"/>
      <c r="W93" s="106"/>
      <c r="X93" s="106"/>
      <c r="Y93" s="106"/>
      <c r="Z93" s="106"/>
      <c r="AA93" s="106"/>
      <c r="AB93" s="106"/>
      <c r="AC93" s="106"/>
    </row>
    <row r="94" spans="1:29">
      <c r="A94" s="106"/>
      <c r="B94" s="106"/>
      <c r="C94" s="106"/>
      <c r="D94" s="106"/>
      <c r="E94" s="106"/>
      <c r="F94" s="106"/>
      <c r="G94" s="106"/>
      <c r="H94" s="106"/>
      <c r="I94" s="106"/>
      <c r="J94" s="106"/>
      <c r="K94" s="106"/>
      <c r="L94" s="106"/>
      <c r="M94" s="106"/>
      <c r="N94" s="106"/>
      <c r="O94" s="106"/>
      <c r="P94" s="106"/>
      <c r="Q94" s="106"/>
      <c r="R94" s="106"/>
      <c r="S94" s="106"/>
      <c r="T94" s="106"/>
      <c r="U94" s="106"/>
      <c r="V94" s="106"/>
      <c r="W94" s="106"/>
      <c r="X94" s="106"/>
      <c r="Y94" s="106"/>
      <c r="Z94" s="106"/>
      <c r="AA94" s="106"/>
      <c r="AB94" s="106"/>
      <c r="AC94" s="106"/>
    </row>
    <row r="95" spans="1:29">
      <c r="A95" s="106"/>
      <c r="B95" s="106"/>
      <c r="C95" s="106"/>
      <c r="D95" s="106"/>
      <c r="E95" s="106"/>
      <c r="F95" s="106"/>
      <c r="G95" s="106"/>
      <c r="H95" s="106"/>
      <c r="I95" s="106"/>
      <c r="J95" s="106"/>
      <c r="K95" s="106"/>
      <c r="L95" s="106"/>
      <c r="M95" s="106"/>
      <c r="N95" s="106"/>
      <c r="O95" s="106"/>
      <c r="P95" s="106"/>
      <c r="Q95" s="106"/>
      <c r="R95" s="106"/>
      <c r="S95" s="106"/>
      <c r="T95" s="106"/>
      <c r="U95" s="106"/>
      <c r="V95" s="106"/>
      <c r="W95" s="106"/>
      <c r="X95" s="106"/>
      <c r="Y95" s="106"/>
      <c r="Z95" s="106"/>
      <c r="AA95" s="106"/>
      <c r="AB95" s="106"/>
      <c r="AC95" s="106"/>
    </row>
    <row r="96" spans="1:29">
      <c r="A96" s="106"/>
      <c r="B96" s="106"/>
      <c r="C96" s="106"/>
      <c r="D96" s="106"/>
      <c r="E96" s="106"/>
      <c r="F96" s="106"/>
      <c r="G96" s="106"/>
      <c r="H96" s="106"/>
      <c r="I96" s="106"/>
      <c r="J96" s="106"/>
      <c r="K96" s="106"/>
      <c r="L96" s="106"/>
      <c r="M96" s="106"/>
      <c r="N96" s="106"/>
      <c r="O96" s="106"/>
      <c r="P96" s="106"/>
      <c r="Q96" s="106"/>
      <c r="R96" s="106"/>
      <c r="S96" s="106"/>
      <c r="T96" s="106"/>
      <c r="U96" s="106"/>
      <c r="V96" s="106"/>
      <c r="W96" s="106"/>
      <c r="X96" s="106"/>
      <c r="Y96" s="106"/>
      <c r="Z96" s="106"/>
      <c r="AA96" s="106"/>
      <c r="AB96" s="106"/>
      <c r="AC96" s="106"/>
    </row>
    <row r="97" spans="1:29">
      <c r="A97" s="106"/>
      <c r="B97" s="106"/>
      <c r="C97" s="106"/>
      <c r="D97" s="106"/>
      <c r="E97" s="106"/>
      <c r="F97" s="106"/>
      <c r="G97" s="106"/>
      <c r="H97" s="106"/>
      <c r="I97" s="106"/>
      <c r="J97" s="106"/>
      <c r="K97" s="106"/>
      <c r="L97" s="106"/>
      <c r="M97" s="106"/>
      <c r="N97" s="106"/>
      <c r="O97" s="106"/>
      <c r="P97" s="106"/>
      <c r="Q97" s="106"/>
      <c r="R97" s="106"/>
      <c r="S97" s="106"/>
      <c r="T97" s="106"/>
      <c r="U97" s="106"/>
      <c r="V97" s="106"/>
      <c r="W97" s="106"/>
      <c r="X97" s="106"/>
      <c r="Y97" s="106"/>
      <c r="Z97" s="106"/>
      <c r="AA97" s="106"/>
      <c r="AB97" s="106"/>
      <c r="AC97" s="106"/>
    </row>
    <row r="98" spans="1:29">
      <c r="A98" s="106"/>
      <c r="B98" s="106"/>
      <c r="C98" s="106"/>
      <c r="D98" s="106"/>
      <c r="E98" s="106"/>
      <c r="F98" s="106"/>
      <c r="G98" s="106"/>
      <c r="H98" s="106"/>
      <c r="I98" s="106"/>
      <c r="J98" s="106"/>
      <c r="K98" s="106"/>
      <c r="L98" s="106"/>
      <c r="M98" s="106"/>
      <c r="N98" s="106"/>
      <c r="O98" s="106"/>
      <c r="P98" s="106"/>
      <c r="Q98" s="106"/>
      <c r="R98" s="106"/>
      <c r="S98" s="106"/>
      <c r="T98" s="106"/>
      <c r="U98" s="106"/>
      <c r="V98" s="106"/>
      <c r="W98" s="106"/>
      <c r="X98" s="106"/>
      <c r="Y98" s="106"/>
      <c r="Z98" s="106"/>
      <c r="AA98" s="106"/>
      <c r="AB98" s="106"/>
      <c r="AC98" s="106"/>
    </row>
    <row r="99" spans="1:29">
      <c r="A99" s="106"/>
      <c r="B99" s="106"/>
      <c r="C99" s="106"/>
      <c r="D99" s="106"/>
      <c r="E99" s="106"/>
      <c r="F99" s="106"/>
      <c r="G99" s="106"/>
      <c r="H99" s="106"/>
      <c r="I99" s="106"/>
      <c r="J99" s="106"/>
      <c r="K99" s="106"/>
      <c r="L99" s="106"/>
      <c r="M99" s="106"/>
      <c r="N99" s="106"/>
      <c r="O99" s="106"/>
      <c r="P99" s="106"/>
      <c r="Q99" s="106"/>
      <c r="R99" s="106"/>
      <c r="S99" s="106"/>
      <c r="T99" s="106"/>
      <c r="U99" s="106"/>
      <c r="V99" s="106"/>
      <c r="W99" s="106"/>
      <c r="X99" s="106"/>
      <c r="Y99" s="106"/>
      <c r="Z99" s="106"/>
      <c r="AA99" s="106"/>
      <c r="AB99" s="106"/>
      <c r="AC99" s="106"/>
    </row>
    <row r="100" spans="1:29">
      <c r="A100" s="106"/>
      <c r="B100" s="106"/>
      <c r="C100" s="106"/>
      <c r="D100" s="106"/>
      <c r="E100" s="106"/>
      <c r="F100" s="106"/>
      <c r="G100" s="106"/>
      <c r="H100" s="106"/>
      <c r="I100" s="106"/>
      <c r="J100" s="106"/>
      <c r="K100" s="106"/>
      <c r="L100" s="106"/>
      <c r="M100" s="106"/>
      <c r="N100" s="106"/>
      <c r="O100" s="106"/>
      <c r="P100" s="106"/>
      <c r="Q100" s="106"/>
      <c r="R100" s="106"/>
      <c r="S100" s="106"/>
      <c r="T100" s="106"/>
      <c r="U100" s="106"/>
      <c r="V100" s="106"/>
      <c r="W100" s="106"/>
      <c r="X100" s="106"/>
      <c r="Y100" s="106"/>
      <c r="Z100" s="106"/>
      <c r="AA100" s="106"/>
      <c r="AB100" s="106"/>
      <c r="AC100" s="106"/>
    </row>
    <row r="101" spans="1:29">
      <c r="A101" s="106"/>
      <c r="B101" s="106"/>
      <c r="C101" s="106"/>
      <c r="D101" s="106"/>
      <c r="E101" s="106"/>
      <c r="F101" s="106"/>
      <c r="G101" s="106"/>
      <c r="H101" s="106"/>
      <c r="I101" s="106"/>
      <c r="J101" s="106"/>
      <c r="K101" s="106"/>
      <c r="L101" s="106"/>
      <c r="M101" s="106"/>
      <c r="N101" s="106"/>
      <c r="O101" s="106"/>
      <c r="P101" s="106"/>
      <c r="Q101" s="106"/>
      <c r="R101" s="106"/>
      <c r="S101" s="106"/>
      <c r="T101" s="106"/>
      <c r="U101" s="106"/>
      <c r="V101" s="106"/>
      <c r="W101" s="106"/>
      <c r="X101" s="106"/>
      <c r="Y101" s="106"/>
      <c r="Z101" s="106"/>
      <c r="AA101" s="106"/>
      <c r="AB101" s="106"/>
      <c r="AC101" s="106"/>
    </row>
    <row r="102" spans="1:29">
      <c r="A102" s="106"/>
      <c r="B102" s="106"/>
      <c r="C102" s="106"/>
      <c r="D102" s="106"/>
      <c r="E102" s="106"/>
      <c r="F102" s="106"/>
      <c r="G102" s="106"/>
      <c r="H102" s="106"/>
      <c r="I102" s="106"/>
      <c r="J102" s="106"/>
      <c r="K102" s="106"/>
      <c r="L102" s="106"/>
      <c r="M102" s="106"/>
      <c r="N102" s="106"/>
      <c r="O102" s="106"/>
      <c r="P102" s="106"/>
      <c r="Q102" s="106"/>
      <c r="R102" s="106"/>
      <c r="S102" s="106"/>
      <c r="T102" s="106"/>
      <c r="U102" s="106"/>
      <c r="V102" s="106"/>
      <c r="W102" s="106"/>
      <c r="X102" s="106"/>
      <c r="Y102" s="106"/>
      <c r="Z102" s="106"/>
      <c r="AA102" s="106"/>
      <c r="AB102" s="106"/>
      <c r="AC102" s="106"/>
    </row>
    <row r="103" spans="1:29">
      <c r="A103" s="106"/>
      <c r="B103" s="106"/>
      <c r="C103" s="106"/>
      <c r="D103" s="106"/>
      <c r="E103" s="106"/>
      <c r="F103" s="106"/>
      <c r="G103" s="106"/>
      <c r="H103" s="106"/>
      <c r="I103" s="106"/>
      <c r="J103" s="106"/>
      <c r="K103" s="106"/>
      <c r="L103" s="106"/>
      <c r="M103" s="106"/>
      <c r="N103" s="106"/>
      <c r="O103" s="106"/>
      <c r="P103" s="106"/>
      <c r="Q103" s="106"/>
      <c r="R103" s="106"/>
      <c r="S103" s="106"/>
      <c r="T103" s="106"/>
      <c r="U103" s="106"/>
      <c r="V103" s="106"/>
      <c r="W103" s="106"/>
      <c r="X103" s="106"/>
      <c r="Y103" s="106"/>
      <c r="Z103" s="106"/>
      <c r="AA103" s="106"/>
      <c r="AB103" s="106"/>
      <c r="AC103" s="106"/>
    </row>
    <row r="104" spans="1:29">
      <c r="A104" s="106"/>
      <c r="B104" s="106"/>
      <c r="C104" s="106"/>
      <c r="D104" s="106"/>
      <c r="E104" s="106"/>
      <c r="F104" s="106"/>
      <c r="G104" s="106"/>
      <c r="H104" s="106"/>
      <c r="I104" s="106"/>
      <c r="J104" s="106"/>
      <c r="K104" s="106"/>
      <c r="L104" s="106"/>
      <c r="M104" s="106"/>
      <c r="N104" s="106"/>
      <c r="O104" s="106"/>
      <c r="P104" s="106"/>
      <c r="Q104" s="106"/>
      <c r="R104" s="106"/>
      <c r="S104" s="106"/>
      <c r="T104" s="106"/>
      <c r="U104" s="106"/>
      <c r="V104" s="106"/>
      <c r="W104" s="106"/>
      <c r="X104" s="106"/>
      <c r="Y104" s="106"/>
      <c r="Z104" s="106"/>
      <c r="AA104" s="106"/>
      <c r="AB104" s="106"/>
      <c r="AC104" s="106"/>
    </row>
    <row r="105" spans="1:29">
      <c r="A105" s="106"/>
      <c r="B105" s="106"/>
      <c r="C105" s="106"/>
      <c r="D105" s="106"/>
      <c r="E105" s="106"/>
      <c r="F105" s="106"/>
      <c r="G105" s="106"/>
      <c r="H105" s="106"/>
      <c r="I105" s="106"/>
      <c r="J105" s="106"/>
      <c r="K105" s="106"/>
      <c r="L105" s="106"/>
      <c r="M105" s="106"/>
      <c r="N105" s="106"/>
      <c r="O105" s="106"/>
      <c r="P105" s="106"/>
      <c r="Q105" s="106"/>
      <c r="R105" s="106"/>
      <c r="S105" s="106"/>
      <c r="T105" s="106"/>
      <c r="U105" s="106"/>
      <c r="V105" s="106"/>
      <c r="W105" s="106"/>
      <c r="X105" s="106"/>
      <c r="Y105" s="106"/>
      <c r="Z105" s="106"/>
      <c r="AA105" s="106"/>
      <c r="AB105" s="106"/>
      <c r="AC105" s="106"/>
    </row>
    <row r="106" spans="1:29">
      <c r="A106" s="106"/>
      <c r="B106" s="106"/>
      <c r="C106" s="106"/>
      <c r="D106" s="106"/>
      <c r="E106" s="106"/>
      <c r="F106" s="106"/>
      <c r="G106" s="106"/>
      <c r="H106" s="106"/>
      <c r="I106" s="106"/>
      <c r="J106" s="106"/>
      <c r="K106" s="106"/>
      <c r="L106" s="106"/>
      <c r="M106" s="106"/>
      <c r="N106" s="106"/>
      <c r="O106" s="106"/>
      <c r="P106" s="106"/>
      <c r="Q106" s="106"/>
      <c r="R106" s="106"/>
      <c r="S106" s="106"/>
      <c r="T106" s="106"/>
      <c r="U106" s="106"/>
      <c r="V106" s="106"/>
      <c r="W106" s="106"/>
      <c r="X106" s="106"/>
      <c r="Y106" s="106"/>
      <c r="Z106" s="106"/>
      <c r="AA106" s="106"/>
      <c r="AB106" s="106"/>
      <c r="AC106" s="106"/>
    </row>
    <row r="107" spans="1:29">
      <c r="A107" s="106"/>
      <c r="B107" s="106"/>
      <c r="C107" s="106"/>
      <c r="D107" s="106"/>
      <c r="E107" s="106"/>
      <c r="F107" s="106"/>
      <c r="G107" s="106"/>
      <c r="H107" s="106"/>
      <c r="I107" s="106"/>
      <c r="J107" s="106"/>
      <c r="K107" s="106"/>
      <c r="L107" s="106"/>
      <c r="M107" s="106"/>
      <c r="N107" s="106"/>
      <c r="O107" s="106"/>
      <c r="P107" s="106"/>
      <c r="Q107" s="106"/>
      <c r="R107" s="106"/>
      <c r="S107" s="106"/>
      <c r="T107" s="106"/>
      <c r="U107" s="106"/>
      <c r="V107" s="106"/>
      <c r="W107" s="106"/>
      <c r="X107" s="106"/>
      <c r="Y107" s="106"/>
      <c r="Z107" s="106"/>
      <c r="AA107" s="106"/>
      <c r="AB107" s="106"/>
      <c r="AC107" s="106"/>
    </row>
    <row r="108" spans="1:29">
      <c r="A108" s="106"/>
      <c r="B108" s="106"/>
      <c r="C108" s="106"/>
      <c r="D108" s="106"/>
      <c r="E108" s="106"/>
      <c r="F108" s="106"/>
      <c r="G108" s="106"/>
      <c r="H108" s="106"/>
      <c r="I108" s="106"/>
      <c r="J108" s="106"/>
      <c r="K108" s="106"/>
      <c r="L108" s="106"/>
      <c r="M108" s="106"/>
      <c r="N108" s="106"/>
      <c r="O108" s="106"/>
      <c r="P108" s="106"/>
      <c r="Q108" s="106"/>
      <c r="R108" s="106"/>
      <c r="S108" s="106"/>
      <c r="T108" s="106"/>
      <c r="U108" s="106"/>
      <c r="V108" s="106"/>
      <c r="W108" s="106"/>
      <c r="X108" s="106"/>
      <c r="Y108" s="106"/>
      <c r="Z108" s="106"/>
      <c r="AA108" s="106"/>
      <c r="AB108" s="106"/>
      <c r="AC108" s="106"/>
    </row>
    <row r="109" spans="1:29">
      <c r="A109" s="106"/>
      <c r="B109" s="106"/>
      <c r="C109" s="106"/>
      <c r="D109" s="106"/>
      <c r="E109" s="106"/>
      <c r="F109" s="106"/>
      <c r="G109" s="106"/>
      <c r="H109" s="106"/>
      <c r="I109" s="106"/>
      <c r="J109" s="106"/>
      <c r="K109" s="106"/>
      <c r="L109" s="106"/>
      <c r="M109" s="106"/>
      <c r="N109" s="106"/>
      <c r="O109" s="106"/>
      <c r="P109" s="106"/>
      <c r="Q109" s="106"/>
      <c r="R109" s="106"/>
      <c r="S109" s="106"/>
      <c r="T109" s="106"/>
      <c r="U109" s="106"/>
      <c r="V109" s="106"/>
      <c r="W109" s="106"/>
      <c r="X109" s="106"/>
      <c r="Y109" s="106"/>
      <c r="Z109" s="106"/>
      <c r="AA109" s="106"/>
      <c r="AB109" s="106"/>
      <c r="AC109" s="106"/>
    </row>
    <row r="110" spans="1:29">
      <c r="A110" s="106"/>
      <c r="B110" s="106"/>
      <c r="C110" s="106"/>
      <c r="D110" s="106"/>
      <c r="E110" s="106"/>
      <c r="F110" s="106"/>
      <c r="G110" s="106"/>
      <c r="H110" s="106"/>
      <c r="I110" s="106"/>
      <c r="J110" s="106"/>
      <c r="K110" s="106"/>
      <c r="L110" s="106"/>
      <c r="M110" s="106"/>
      <c r="N110" s="106"/>
      <c r="O110" s="106"/>
      <c r="P110" s="106"/>
      <c r="Q110" s="106"/>
      <c r="R110" s="106"/>
      <c r="S110" s="106"/>
      <c r="T110" s="106"/>
      <c r="U110" s="106"/>
      <c r="V110" s="106"/>
      <c r="W110" s="106"/>
      <c r="X110" s="106"/>
      <c r="Y110" s="106"/>
      <c r="Z110" s="106"/>
      <c r="AA110" s="106"/>
      <c r="AB110" s="106"/>
      <c r="AC110" s="106"/>
    </row>
    <row r="111" spans="1:29">
      <c r="A111" s="106"/>
      <c r="B111" s="106"/>
      <c r="C111" s="106"/>
      <c r="D111" s="106"/>
      <c r="E111" s="106"/>
      <c r="F111" s="106"/>
      <c r="G111" s="106"/>
      <c r="H111" s="106"/>
      <c r="I111" s="106"/>
      <c r="J111" s="106"/>
      <c r="K111" s="106"/>
      <c r="L111" s="106"/>
      <c r="M111" s="106"/>
      <c r="N111" s="106"/>
      <c r="O111" s="106"/>
      <c r="P111" s="106"/>
      <c r="Q111" s="106"/>
      <c r="R111" s="106"/>
      <c r="S111" s="106"/>
      <c r="T111" s="106"/>
      <c r="U111" s="106"/>
      <c r="V111" s="106"/>
      <c r="W111" s="106"/>
      <c r="X111" s="106"/>
      <c r="Y111" s="106"/>
      <c r="Z111" s="106"/>
      <c r="AA111" s="106"/>
      <c r="AB111" s="106"/>
      <c r="AC111" s="106"/>
    </row>
    <row r="112" spans="1:29">
      <c r="A112" s="106"/>
      <c r="B112" s="106"/>
      <c r="C112" s="106"/>
      <c r="D112" s="106"/>
      <c r="E112" s="106"/>
      <c r="F112" s="106"/>
      <c r="G112" s="106"/>
      <c r="H112" s="106"/>
      <c r="I112" s="106"/>
      <c r="J112" s="106"/>
      <c r="K112" s="106"/>
      <c r="L112" s="106"/>
      <c r="M112" s="106"/>
      <c r="N112" s="106"/>
      <c r="O112" s="106"/>
      <c r="P112" s="106"/>
      <c r="Q112" s="106"/>
      <c r="R112" s="106"/>
      <c r="S112" s="106"/>
      <c r="T112" s="106"/>
      <c r="U112" s="106"/>
      <c r="V112" s="106"/>
      <c r="W112" s="106"/>
      <c r="X112" s="106"/>
      <c r="Y112" s="106"/>
      <c r="Z112" s="106"/>
      <c r="AA112" s="106"/>
      <c r="AB112" s="106"/>
      <c r="AC112" s="106"/>
    </row>
    <row r="113" spans="1:29">
      <c r="A113" s="106"/>
      <c r="B113" s="106"/>
      <c r="C113" s="106"/>
      <c r="D113" s="106"/>
      <c r="E113" s="106"/>
      <c r="F113" s="106"/>
      <c r="G113" s="106"/>
      <c r="H113" s="106"/>
      <c r="I113" s="106"/>
      <c r="J113" s="106"/>
      <c r="K113" s="106"/>
      <c r="L113" s="106"/>
      <c r="M113" s="106"/>
      <c r="N113" s="106"/>
      <c r="O113" s="106"/>
      <c r="P113" s="106"/>
      <c r="Q113" s="106"/>
      <c r="R113" s="106"/>
      <c r="S113" s="106"/>
      <c r="T113" s="106"/>
      <c r="U113" s="106"/>
      <c r="V113" s="106"/>
      <c r="W113" s="106"/>
      <c r="X113" s="106"/>
      <c r="Y113" s="106"/>
      <c r="Z113" s="106"/>
      <c r="AA113" s="106"/>
      <c r="AB113" s="106"/>
      <c r="AC113" s="106"/>
    </row>
    <row r="114" spans="1:29">
      <c r="A114" s="106"/>
      <c r="B114" s="106"/>
      <c r="C114" s="106"/>
      <c r="D114" s="106"/>
      <c r="E114" s="106"/>
      <c r="F114" s="106"/>
      <c r="G114" s="106"/>
      <c r="H114" s="106"/>
      <c r="I114" s="106"/>
      <c r="J114" s="106"/>
      <c r="K114" s="106"/>
      <c r="L114" s="106"/>
      <c r="M114" s="106"/>
      <c r="N114" s="106"/>
      <c r="O114" s="106"/>
      <c r="P114" s="106"/>
      <c r="Q114" s="106"/>
      <c r="R114" s="106"/>
      <c r="S114" s="106"/>
      <c r="T114" s="106"/>
      <c r="U114" s="106"/>
      <c r="V114" s="106"/>
      <c r="W114" s="106"/>
      <c r="X114" s="106"/>
      <c r="Y114" s="106"/>
      <c r="Z114" s="106"/>
      <c r="AA114" s="106"/>
      <c r="AB114" s="106"/>
      <c r="AC114" s="106"/>
    </row>
    <row r="115" spans="1:29">
      <c r="A115" s="106"/>
      <c r="B115" s="106"/>
      <c r="C115" s="106"/>
      <c r="D115" s="106"/>
      <c r="E115" s="106"/>
      <c r="F115" s="106"/>
      <c r="G115" s="106"/>
      <c r="H115" s="106"/>
      <c r="I115" s="106"/>
      <c r="J115" s="106"/>
      <c r="K115" s="106"/>
      <c r="L115" s="106"/>
      <c r="M115" s="106"/>
      <c r="N115" s="106"/>
      <c r="O115" s="106"/>
      <c r="P115" s="106"/>
      <c r="Q115" s="106"/>
      <c r="R115" s="106"/>
      <c r="S115" s="106"/>
      <c r="T115" s="106"/>
      <c r="U115" s="106"/>
      <c r="V115" s="106"/>
      <c r="W115" s="106"/>
      <c r="X115" s="106"/>
      <c r="Y115" s="106"/>
      <c r="Z115" s="106"/>
      <c r="AA115" s="106"/>
      <c r="AB115" s="106"/>
      <c r="AC115" s="106"/>
    </row>
    <row r="116" spans="1:29">
      <c r="A116" s="106"/>
      <c r="B116" s="106"/>
      <c r="C116" s="106"/>
      <c r="D116" s="106"/>
      <c r="E116" s="106"/>
      <c r="F116" s="106"/>
      <c r="G116" s="106"/>
      <c r="H116" s="106"/>
      <c r="I116" s="106"/>
      <c r="J116" s="106"/>
      <c r="K116" s="106"/>
      <c r="L116" s="106"/>
      <c r="M116" s="106"/>
      <c r="N116" s="106"/>
      <c r="O116" s="106"/>
      <c r="P116" s="106"/>
      <c r="Q116" s="106"/>
      <c r="R116" s="106"/>
      <c r="S116" s="106"/>
      <c r="T116" s="106"/>
      <c r="U116" s="106"/>
      <c r="V116" s="106"/>
      <c r="W116" s="106"/>
      <c r="X116" s="106"/>
      <c r="Y116" s="106"/>
      <c r="Z116" s="106"/>
      <c r="AA116" s="106"/>
      <c r="AB116" s="106"/>
      <c r="AC116" s="106"/>
    </row>
    <row r="117" spans="1:29">
      <c r="A117" s="106"/>
      <c r="B117" s="106"/>
      <c r="C117" s="106"/>
      <c r="D117" s="106"/>
      <c r="E117" s="106"/>
      <c r="F117" s="106"/>
      <c r="G117" s="106"/>
      <c r="H117" s="106"/>
      <c r="I117" s="106"/>
      <c r="J117" s="106"/>
      <c r="K117" s="106"/>
      <c r="L117" s="106"/>
      <c r="M117" s="106"/>
      <c r="N117" s="106"/>
      <c r="O117" s="106"/>
      <c r="P117" s="106"/>
      <c r="Q117" s="106"/>
      <c r="R117" s="106"/>
      <c r="S117" s="106"/>
      <c r="T117" s="106"/>
      <c r="U117" s="106"/>
      <c r="V117" s="106"/>
      <c r="W117" s="106"/>
      <c r="X117" s="106"/>
      <c r="Y117" s="106"/>
      <c r="Z117" s="106"/>
      <c r="AA117" s="106"/>
      <c r="AB117" s="106"/>
      <c r="AC117" s="106"/>
    </row>
    <row r="118" spans="1:29">
      <c r="A118" s="106"/>
      <c r="B118" s="106"/>
      <c r="C118" s="106"/>
      <c r="D118" s="106"/>
      <c r="E118" s="106"/>
      <c r="F118" s="106"/>
      <c r="G118" s="106"/>
      <c r="H118" s="106"/>
      <c r="I118" s="106"/>
      <c r="J118" s="106"/>
      <c r="K118" s="106"/>
      <c r="L118" s="106"/>
      <c r="M118" s="106"/>
      <c r="N118" s="106"/>
      <c r="O118" s="106"/>
      <c r="P118" s="106"/>
      <c r="Q118" s="106"/>
      <c r="R118" s="106"/>
      <c r="S118" s="106"/>
      <c r="T118" s="106"/>
      <c r="U118" s="106"/>
      <c r="V118" s="106"/>
      <c r="W118" s="106"/>
      <c r="X118" s="106"/>
      <c r="Y118" s="106"/>
      <c r="Z118" s="106"/>
      <c r="AA118" s="106"/>
      <c r="AB118" s="106"/>
      <c r="AC118" s="106"/>
    </row>
    <row r="119" spans="1:29">
      <c r="A119" s="106"/>
      <c r="B119" s="106"/>
      <c r="C119" s="106"/>
      <c r="D119" s="106"/>
      <c r="E119" s="106"/>
      <c r="F119" s="106"/>
      <c r="G119" s="106"/>
      <c r="H119" s="106"/>
      <c r="I119" s="106"/>
      <c r="J119" s="106"/>
      <c r="K119" s="106"/>
      <c r="L119" s="106"/>
      <c r="M119" s="106"/>
      <c r="N119" s="106"/>
      <c r="O119" s="106"/>
      <c r="P119" s="106"/>
      <c r="Q119" s="106"/>
      <c r="R119" s="106"/>
      <c r="S119" s="106"/>
      <c r="T119" s="106"/>
      <c r="U119" s="106"/>
      <c r="V119" s="106"/>
      <c r="W119" s="106"/>
      <c r="X119" s="106"/>
      <c r="Y119" s="106"/>
      <c r="Z119" s="106"/>
      <c r="AA119" s="106"/>
      <c r="AB119" s="106"/>
      <c r="AC119" s="106"/>
    </row>
    <row r="120" spans="1:29">
      <c r="A120" s="106"/>
      <c r="B120" s="106"/>
      <c r="C120" s="106"/>
      <c r="D120" s="106"/>
      <c r="E120" s="106"/>
      <c r="F120" s="106"/>
      <c r="G120" s="106"/>
      <c r="H120" s="106"/>
      <c r="I120" s="106"/>
      <c r="J120" s="106"/>
      <c r="K120" s="106"/>
      <c r="L120" s="106"/>
      <c r="M120" s="106"/>
      <c r="N120" s="106"/>
      <c r="O120" s="106"/>
      <c r="P120" s="106"/>
      <c r="Q120" s="106"/>
      <c r="R120" s="106"/>
      <c r="S120" s="106"/>
      <c r="T120" s="106"/>
      <c r="U120" s="106"/>
      <c r="V120" s="106"/>
      <c r="W120" s="106"/>
      <c r="X120" s="106"/>
      <c r="Y120" s="106"/>
      <c r="Z120" s="106"/>
      <c r="AA120" s="106"/>
      <c r="AB120" s="106"/>
      <c r="AC120" s="106"/>
    </row>
    <row r="121" spans="1:29">
      <c r="A121" s="106"/>
      <c r="B121" s="106"/>
      <c r="C121" s="106"/>
      <c r="D121" s="106"/>
      <c r="E121" s="106"/>
      <c r="F121" s="106"/>
      <c r="G121" s="106"/>
      <c r="H121" s="106"/>
      <c r="I121" s="106"/>
      <c r="J121" s="106"/>
      <c r="K121" s="106"/>
      <c r="L121" s="106"/>
      <c r="M121" s="106"/>
      <c r="N121" s="106"/>
      <c r="O121" s="106"/>
      <c r="P121" s="106"/>
      <c r="Q121" s="106"/>
      <c r="R121" s="106"/>
      <c r="S121" s="106"/>
      <c r="T121" s="106"/>
      <c r="U121" s="106"/>
      <c r="V121" s="106"/>
      <c r="W121" s="106"/>
      <c r="X121" s="106"/>
      <c r="Y121" s="106"/>
      <c r="Z121" s="106"/>
      <c r="AA121" s="106"/>
      <c r="AB121" s="106"/>
      <c r="AC121" s="106"/>
    </row>
    <row r="122" spans="1:29">
      <c r="A122" s="106"/>
      <c r="B122" s="106"/>
      <c r="C122" s="106"/>
      <c r="D122" s="106"/>
      <c r="E122" s="106"/>
      <c r="F122" s="106"/>
      <c r="G122" s="106"/>
      <c r="H122" s="106"/>
      <c r="I122" s="106"/>
      <c r="J122" s="106"/>
      <c r="K122" s="106"/>
      <c r="L122" s="106"/>
      <c r="M122" s="106"/>
      <c r="N122" s="106"/>
      <c r="O122" s="106"/>
      <c r="P122" s="106"/>
      <c r="Q122" s="106"/>
      <c r="R122" s="106"/>
      <c r="S122" s="106"/>
      <c r="T122" s="106"/>
      <c r="U122" s="106"/>
      <c r="V122" s="106"/>
      <c r="W122" s="106"/>
      <c r="X122" s="106"/>
      <c r="Y122" s="106"/>
      <c r="Z122" s="106"/>
      <c r="AA122" s="106"/>
      <c r="AB122" s="106"/>
      <c r="AC122" s="106"/>
    </row>
    <row r="123" spans="1:29">
      <c r="A123" s="106"/>
      <c r="B123" s="106"/>
      <c r="C123" s="106"/>
      <c r="D123" s="106"/>
      <c r="E123" s="106"/>
      <c r="F123" s="106"/>
      <c r="G123" s="106"/>
      <c r="H123" s="106"/>
      <c r="I123" s="106"/>
      <c r="J123" s="106"/>
      <c r="K123" s="106"/>
      <c r="L123" s="106"/>
      <c r="M123" s="106"/>
      <c r="N123" s="106"/>
      <c r="O123" s="106"/>
      <c r="P123" s="106"/>
      <c r="Q123" s="106"/>
      <c r="R123" s="106"/>
      <c r="S123" s="106"/>
      <c r="T123" s="106"/>
      <c r="U123" s="106"/>
      <c r="V123" s="106"/>
      <c r="W123" s="106"/>
      <c r="X123" s="106"/>
      <c r="Y123" s="106"/>
      <c r="Z123" s="106"/>
      <c r="AA123" s="106"/>
      <c r="AB123" s="106"/>
      <c r="AC123" s="106"/>
    </row>
    <row r="124" spans="1:29">
      <c r="A124" s="106"/>
      <c r="B124" s="106"/>
      <c r="C124" s="106"/>
      <c r="D124" s="106"/>
      <c r="E124" s="106"/>
      <c r="F124" s="106"/>
      <c r="G124" s="106"/>
      <c r="H124" s="106"/>
      <c r="I124" s="106"/>
      <c r="J124" s="106"/>
      <c r="K124" s="106"/>
      <c r="L124" s="106"/>
      <c r="M124" s="106"/>
      <c r="N124" s="106"/>
      <c r="O124" s="106"/>
      <c r="P124" s="106"/>
      <c r="Q124" s="106"/>
      <c r="R124" s="106"/>
      <c r="S124" s="106"/>
      <c r="T124" s="106"/>
      <c r="U124" s="106"/>
      <c r="V124" s="106"/>
      <c r="W124" s="106"/>
      <c r="X124" s="106"/>
      <c r="Y124" s="106"/>
      <c r="Z124" s="106"/>
      <c r="AA124" s="106"/>
      <c r="AB124" s="106"/>
      <c r="AC124" s="106"/>
    </row>
    <row r="125" spans="1:29">
      <c r="A125" s="106"/>
      <c r="B125" s="106"/>
      <c r="C125" s="106"/>
      <c r="D125" s="106"/>
      <c r="E125" s="106"/>
      <c r="F125" s="106"/>
      <c r="G125" s="106"/>
      <c r="H125" s="106"/>
      <c r="I125" s="106"/>
      <c r="J125" s="106"/>
      <c r="K125" s="106"/>
      <c r="L125" s="106"/>
      <c r="M125" s="106"/>
      <c r="N125" s="106"/>
      <c r="O125" s="106"/>
      <c r="P125" s="106"/>
      <c r="Q125" s="106"/>
      <c r="R125" s="106"/>
      <c r="S125" s="106"/>
      <c r="T125" s="106"/>
      <c r="U125" s="106"/>
      <c r="V125" s="106"/>
      <c r="W125" s="106"/>
      <c r="X125" s="106"/>
      <c r="Y125" s="106"/>
      <c r="Z125" s="106"/>
      <c r="AA125" s="106"/>
      <c r="AB125" s="106"/>
      <c r="AC125" s="106"/>
    </row>
    <row r="126" spans="1:29">
      <c r="A126" s="106"/>
      <c r="B126" s="106"/>
      <c r="C126" s="106"/>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row>
    <row r="127" spans="1:29">
      <c r="A127" s="106"/>
      <c r="B127" s="106"/>
      <c r="C127" s="106"/>
      <c r="D127" s="106"/>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06"/>
      <c r="AB127" s="106"/>
      <c r="AC127" s="106"/>
    </row>
    <row r="128" spans="1:29">
      <c r="A128" s="106"/>
      <c r="B128" s="106"/>
      <c r="C128" s="106"/>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06"/>
      <c r="AB128" s="106"/>
      <c r="AC128" s="106"/>
    </row>
    <row r="129" spans="1:29">
      <c r="A129" s="106"/>
      <c r="B129" s="106"/>
      <c r="C129" s="106"/>
      <c r="D129" s="106"/>
      <c r="E129" s="106"/>
      <c r="F129" s="106"/>
      <c r="G129" s="106"/>
      <c r="H129" s="106"/>
      <c r="I129" s="106"/>
      <c r="J129" s="106"/>
      <c r="K129" s="106"/>
      <c r="L129" s="106"/>
      <c r="M129" s="106"/>
      <c r="N129" s="106"/>
      <c r="O129" s="106"/>
      <c r="P129" s="106"/>
      <c r="Q129" s="106"/>
      <c r="R129" s="106"/>
      <c r="S129" s="106"/>
      <c r="T129" s="106"/>
      <c r="U129" s="106"/>
      <c r="V129" s="106"/>
      <c r="W129" s="106"/>
      <c r="X129" s="106"/>
      <c r="Y129" s="106"/>
      <c r="Z129" s="106"/>
      <c r="AA129" s="106"/>
      <c r="AB129" s="106"/>
      <c r="AC129" s="106"/>
    </row>
    <row r="130" spans="1:29">
      <c r="A130" s="106"/>
      <c r="B130" s="106"/>
      <c r="C130" s="106"/>
      <c r="D130" s="106"/>
      <c r="E130" s="106"/>
      <c r="F130" s="106"/>
      <c r="G130" s="106"/>
      <c r="H130" s="106"/>
      <c r="I130" s="106"/>
      <c r="J130" s="106"/>
      <c r="K130" s="106"/>
      <c r="L130" s="106"/>
      <c r="M130" s="106"/>
      <c r="N130" s="106"/>
      <c r="O130" s="106"/>
      <c r="P130" s="106"/>
      <c r="Q130" s="106"/>
      <c r="R130" s="106"/>
      <c r="S130" s="106"/>
      <c r="T130" s="106"/>
      <c r="U130" s="106"/>
      <c r="V130" s="106"/>
      <c r="W130" s="106"/>
      <c r="X130" s="106"/>
      <c r="Y130" s="106"/>
      <c r="Z130" s="106"/>
      <c r="AA130" s="106"/>
      <c r="AB130" s="106"/>
      <c r="AC130" s="106"/>
    </row>
    <row r="131" spans="1:29">
      <c r="A131" s="106"/>
      <c r="B131" s="106"/>
      <c r="C131" s="106"/>
      <c r="D131" s="106"/>
      <c r="E131" s="106"/>
      <c r="F131" s="106"/>
      <c r="G131" s="106"/>
      <c r="H131" s="106"/>
      <c r="I131" s="106"/>
      <c r="J131" s="106"/>
      <c r="K131" s="106"/>
      <c r="L131" s="106"/>
      <c r="M131" s="106"/>
      <c r="N131" s="106"/>
      <c r="O131" s="106"/>
      <c r="P131" s="106"/>
      <c r="Q131" s="106"/>
      <c r="R131" s="106"/>
      <c r="S131" s="106"/>
      <c r="T131" s="106"/>
      <c r="U131" s="106"/>
      <c r="V131" s="106"/>
      <c r="W131" s="106"/>
      <c r="X131" s="106"/>
      <c r="Y131" s="106"/>
      <c r="Z131" s="106"/>
      <c r="AA131" s="106"/>
      <c r="AB131" s="106"/>
      <c r="AC131" s="106"/>
    </row>
    <row r="132" spans="1:29">
      <c r="A132" s="106"/>
      <c r="B132" s="106"/>
      <c r="C132" s="106"/>
      <c r="D132" s="106"/>
      <c r="E132" s="106"/>
      <c r="F132" s="106"/>
      <c r="G132" s="106"/>
      <c r="H132" s="106"/>
      <c r="I132" s="106"/>
      <c r="J132" s="106"/>
      <c r="K132" s="106"/>
      <c r="L132" s="106"/>
      <c r="M132" s="106"/>
      <c r="N132" s="106"/>
      <c r="O132" s="106"/>
      <c r="P132" s="106"/>
      <c r="Q132" s="106"/>
      <c r="R132" s="106"/>
      <c r="S132" s="106"/>
      <c r="T132" s="106"/>
      <c r="U132" s="106"/>
      <c r="V132" s="106"/>
      <c r="W132" s="106"/>
      <c r="X132" s="106"/>
      <c r="Y132" s="106"/>
      <c r="Z132" s="106"/>
      <c r="AA132" s="106"/>
      <c r="AB132" s="106"/>
      <c r="AC132" s="106"/>
    </row>
    <row r="133" spans="1:29">
      <c r="A133" s="106"/>
      <c r="B133" s="106"/>
      <c r="C133" s="106"/>
      <c r="D133" s="106"/>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row>
    <row r="134" spans="1:29">
      <c r="A134" s="106"/>
      <c r="B134" s="106"/>
      <c r="C134" s="106"/>
      <c r="D134" s="106"/>
      <c r="E134" s="106"/>
      <c r="F134" s="106"/>
      <c r="G134" s="106"/>
      <c r="H134" s="106"/>
      <c r="I134" s="106"/>
      <c r="J134" s="106"/>
      <c r="K134" s="106"/>
      <c r="L134" s="106"/>
      <c r="M134" s="106"/>
      <c r="N134" s="106"/>
      <c r="O134" s="106"/>
      <c r="P134" s="106"/>
      <c r="Q134" s="106"/>
      <c r="R134" s="106"/>
      <c r="S134" s="106"/>
      <c r="T134" s="106"/>
      <c r="U134" s="106"/>
      <c r="V134" s="106"/>
      <c r="W134" s="106"/>
      <c r="X134" s="106"/>
      <c r="Y134" s="106"/>
      <c r="Z134" s="106"/>
      <c r="AA134" s="106"/>
      <c r="AB134" s="106"/>
      <c r="AC134" s="106"/>
    </row>
    <row r="135" spans="1:29">
      <c r="A135" s="106"/>
      <c r="B135" s="106"/>
      <c r="C135" s="106"/>
      <c r="D135" s="106"/>
      <c r="E135" s="106"/>
      <c r="F135" s="106"/>
      <c r="G135" s="106"/>
      <c r="H135" s="106"/>
      <c r="I135" s="106"/>
      <c r="J135" s="106"/>
      <c r="K135" s="106"/>
      <c r="L135" s="106"/>
      <c r="M135" s="106"/>
      <c r="N135" s="106"/>
      <c r="O135" s="106"/>
      <c r="P135" s="106"/>
      <c r="Q135" s="106"/>
      <c r="R135" s="106"/>
      <c r="S135" s="106"/>
      <c r="T135" s="106"/>
      <c r="U135" s="106"/>
      <c r="V135" s="106"/>
      <c r="W135" s="106"/>
      <c r="X135" s="106"/>
      <c r="Y135" s="106"/>
      <c r="Z135" s="106"/>
      <c r="AA135" s="106"/>
      <c r="AB135" s="106"/>
      <c r="AC135" s="106"/>
    </row>
    <row r="136" spans="1:29">
      <c r="A136" s="106"/>
      <c r="B136" s="106"/>
      <c r="C136" s="106"/>
      <c r="D136" s="106"/>
      <c r="E136" s="106"/>
      <c r="F136" s="106"/>
      <c r="G136" s="106"/>
      <c r="H136" s="106"/>
      <c r="I136" s="106"/>
      <c r="J136" s="106"/>
      <c r="K136" s="106"/>
      <c r="L136" s="106"/>
      <c r="M136" s="106"/>
      <c r="N136" s="106"/>
      <c r="O136" s="106"/>
      <c r="P136" s="106"/>
      <c r="Q136" s="106"/>
      <c r="R136" s="106"/>
      <c r="S136" s="106"/>
      <c r="T136" s="106"/>
      <c r="U136" s="106"/>
      <c r="V136" s="106"/>
      <c r="W136" s="106"/>
      <c r="X136" s="106"/>
      <c r="Y136" s="106"/>
      <c r="Z136" s="106"/>
      <c r="AA136" s="106"/>
      <c r="AB136" s="106"/>
      <c r="AC136" s="106"/>
    </row>
    <row r="137" spans="1:29">
      <c r="A137" s="106"/>
      <c r="B137" s="106"/>
      <c r="C137" s="106"/>
      <c r="D137" s="106"/>
      <c r="E137" s="106"/>
      <c r="F137" s="106"/>
      <c r="G137" s="106"/>
      <c r="H137" s="106"/>
      <c r="I137" s="106"/>
      <c r="J137" s="106"/>
      <c r="K137" s="106"/>
      <c r="L137" s="106"/>
      <c r="M137" s="106"/>
      <c r="N137" s="106"/>
      <c r="O137" s="106"/>
      <c r="P137" s="106"/>
      <c r="Q137" s="106"/>
      <c r="R137" s="106"/>
      <c r="S137" s="106"/>
      <c r="T137" s="106"/>
      <c r="U137" s="106"/>
      <c r="V137" s="106"/>
      <c r="W137" s="106"/>
      <c r="X137" s="106"/>
      <c r="Y137" s="106"/>
      <c r="Z137" s="106"/>
      <c r="AA137" s="106"/>
      <c r="AB137" s="106"/>
      <c r="AC137" s="106"/>
    </row>
    <row r="138" spans="1:29">
      <c r="A138" s="106"/>
      <c r="B138" s="106"/>
      <c r="C138" s="106"/>
      <c r="D138" s="106"/>
      <c r="E138" s="106"/>
      <c r="F138" s="106"/>
      <c r="G138" s="106"/>
      <c r="H138" s="106"/>
      <c r="I138" s="106"/>
      <c r="J138" s="106"/>
      <c r="K138" s="106"/>
      <c r="L138" s="106"/>
      <c r="M138" s="106"/>
      <c r="N138" s="106"/>
      <c r="O138" s="106"/>
      <c r="P138" s="106"/>
      <c r="Q138" s="106"/>
      <c r="R138" s="106"/>
      <c r="S138" s="106"/>
      <c r="T138" s="106"/>
      <c r="U138" s="106"/>
      <c r="V138" s="106"/>
      <c r="W138" s="106"/>
      <c r="X138" s="106"/>
      <c r="Y138" s="106"/>
      <c r="Z138" s="106"/>
      <c r="AA138" s="106"/>
      <c r="AB138" s="106"/>
      <c r="AC138" s="106"/>
    </row>
    <row r="139" spans="1:29">
      <c r="A139" s="106"/>
      <c r="B139" s="106"/>
      <c r="C139" s="106"/>
      <c r="D139" s="106"/>
      <c r="E139" s="106"/>
      <c r="F139" s="106"/>
      <c r="G139" s="106"/>
      <c r="H139" s="106"/>
      <c r="I139" s="106"/>
      <c r="J139" s="106"/>
      <c r="K139" s="106"/>
      <c r="L139" s="106"/>
      <c r="M139" s="106"/>
      <c r="N139" s="106"/>
      <c r="O139" s="106"/>
      <c r="P139" s="106"/>
      <c r="Q139" s="106"/>
      <c r="R139" s="106"/>
      <c r="S139" s="106"/>
      <c r="T139" s="106"/>
      <c r="U139" s="106"/>
      <c r="V139" s="106"/>
      <c r="W139" s="106"/>
      <c r="X139" s="106"/>
      <c r="Y139" s="106"/>
      <c r="Z139" s="106"/>
      <c r="AA139" s="106"/>
      <c r="AB139" s="106"/>
      <c r="AC139" s="106"/>
    </row>
    <row r="140" spans="1:29">
      <c r="A140" s="106"/>
      <c r="B140" s="106"/>
      <c r="C140" s="106"/>
      <c r="D140" s="106"/>
      <c r="E140" s="106"/>
      <c r="F140" s="106"/>
      <c r="G140" s="106"/>
      <c r="H140" s="106"/>
      <c r="I140" s="106"/>
      <c r="J140" s="106"/>
      <c r="K140" s="106"/>
      <c r="L140" s="106"/>
      <c r="M140" s="106"/>
      <c r="N140" s="106"/>
      <c r="O140" s="106"/>
      <c r="P140" s="106"/>
      <c r="Q140" s="106"/>
      <c r="R140" s="106"/>
      <c r="S140" s="106"/>
      <c r="T140" s="106"/>
      <c r="U140" s="106"/>
      <c r="V140" s="106"/>
      <c r="W140" s="106"/>
      <c r="X140" s="106"/>
      <c r="Y140" s="106"/>
      <c r="Z140" s="106"/>
      <c r="AA140" s="106"/>
      <c r="AB140" s="106"/>
      <c r="AC140" s="106"/>
    </row>
    <row r="141" spans="1:29">
      <c r="A141" s="106"/>
      <c r="B141" s="106"/>
      <c r="C141" s="106"/>
      <c r="D141" s="106"/>
      <c r="E141" s="106"/>
      <c r="F141" s="106"/>
      <c r="G141" s="106"/>
      <c r="H141" s="106"/>
      <c r="I141" s="106"/>
      <c r="J141" s="106"/>
      <c r="K141" s="106"/>
      <c r="L141" s="106"/>
      <c r="M141" s="106"/>
      <c r="N141" s="106"/>
      <c r="O141" s="106"/>
      <c r="P141" s="106"/>
      <c r="Q141" s="106"/>
      <c r="R141" s="106"/>
      <c r="S141" s="106"/>
      <c r="T141" s="106"/>
      <c r="U141" s="106"/>
      <c r="V141" s="106"/>
      <c r="W141" s="106"/>
      <c r="X141" s="106"/>
      <c r="Y141" s="106"/>
      <c r="Z141" s="106"/>
      <c r="AA141" s="106"/>
      <c r="AB141" s="106"/>
      <c r="AC141" s="106"/>
    </row>
    <row r="142" spans="1:29">
      <c r="A142" s="106"/>
      <c r="B142" s="106"/>
      <c r="C142" s="106"/>
      <c r="D142" s="106"/>
      <c r="E142" s="106"/>
      <c r="F142" s="106"/>
      <c r="G142" s="106"/>
      <c r="H142" s="106"/>
      <c r="I142" s="106"/>
      <c r="J142" s="106"/>
      <c r="K142" s="106"/>
      <c r="L142" s="106"/>
      <c r="M142" s="106"/>
      <c r="N142" s="106"/>
      <c r="O142" s="106"/>
      <c r="P142" s="106"/>
      <c r="Q142" s="106"/>
      <c r="R142" s="106"/>
      <c r="S142" s="106"/>
      <c r="T142" s="106"/>
      <c r="U142" s="106"/>
      <c r="V142" s="106"/>
      <c r="W142" s="106"/>
      <c r="X142" s="106"/>
      <c r="Y142" s="106"/>
      <c r="Z142" s="106"/>
      <c r="AA142" s="106"/>
      <c r="AB142" s="106"/>
      <c r="AC142" s="106"/>
    </row>
    <row r="143" spans="1:29">
      <c r="A143" s="106"/>
      <c r="B143" s="106"/>
      <c r="C143" s="106"/>
      <c r="D143" s="106"/>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c r="AB143" s="106"/>
      <c r="AC143" s="106"/>
    </row>
    <row r="144" spans="1:29">
      <c r="A144" s="106"/>
      <c r="B144" s="106"/>
      <c r="C144" s="106"/>
      <c r="D144" s="106"/>
      <c r="E144" s="106"/>
      <c r="F144" s="106"/>
      <c r="G144" s="106"/>
      <c r="H144" s="106"/>
      <c r="I144" s="106"/>
      <c r="J144" s="106"/>
      <c r="K144" s="106"/>
      <c r="L144" s="106"/>
      <c r="M144" s="106"/>
      <c r="N144" s="106"/>
      <c r="O144" s="106"/>
      <c r="P144" s="106"/>
      <c r="Q144" s="106"/>
      <c r="R144" s="106"/>
      <c r="S144" s="106"/>
      <c r="T144" s="106"/>
      <c r="U144" s="106"/>
      <c r="V144" s="106"/>
      <c r="W144" s="106"/>
      <c r="X144" s="106"/>
      <c r="Y144" s="106"/>
      <c r="Z144" s="106"/>
      <c r="AA144" s="106"/>
      <c r="AB144" s="106"/>
      <c r="AC144" s="106"/>
    </row>
    <row r="145" spans="1:29">
      <c r="A145" s="106"/>
      <c r="B145" s="106"/>
      <c r="C145" s="106"/>
      <c r="D145" s="106"/>
      <c r="E145" s="106"/>
      <c r="F145" s="106"/>
      <c r="G145" s="106"/>
      <c r="H145" s="106"/>
      <c r="I145" s="106"/>
      <c r="J145" s="106"/>
      <c r="K145" s="106"/>
      <c r="L145" s="106"/>
      <c r="M145" s="106"/>
      <c r="N145" s="106"/>
      <c r="O145" s="106"/>
      <c r="P145" s="106"/>
      <c r="Q145" s="106"/>
      <c r="R145" s="106"/>
      <c r="S145" s="106"/>
      <c r="T145" s="106"/>
      <c r="U145" s="106"/>
      <c r="V145" s="106"/>
      <c r="W145" s="106"/>
      <c r="X145" s="106"/>
      <c r="Y145" s="106"/>
      <c r="Z145" s="106"/>
      <c r="AA145" s="106"/>
      <c r="AB145" s="106"/>
      <c r="AC145" s="106"/>
    </row>
    <row r="146" spans="1:29">
      <c r="A146" s="106"/>
      <c r="B146" s="106"/>
      <c r="C146" s="106"/>
      <c r="D146" s="106"/>
      <c r="E146" s="106"/>
      <c r="F146" s="106"/>
      <c r="G146" s="106"/>
      <c r="H146" s="106"/>
      <c r="I146" s="106"/>
      <c r="J146" s="106"/>
      <c r="K146" s="106"/>
      <c r="L146" s="106"/>
      <c r="M146" s="106"/>
      <c r="N146" s="106"/>
      <c r="O146" s="106"/>
      <c r="P146" s="106"/>
      <c r="Q146" s="106"/>
      <c r="R146" s="106"/>
      <c r="S146" s="106"/>
      <c r="T146" s="106"/>
      <c r="U146" s="106"/>
      <c r="V146" s="106"/>
      <c r="W146" s="106"/>
      <c r="X146" s="106"/>
      <c r="Y146" s="106"/>
      <c r="Z146" s="106"/>
      <c r="AA146" s="106"/>
      <c r="AB146" s="106"/>
      <c r="AC146" s="106"/>
    </row>
    <row r="147" spans="1:29">
      <c r="A147" s="106"/>
      <c r="B147" s="106"/>
      <c r="C147" s="106"/>
      <c r="D147" s="106"/>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row>
    <row r="148" spans="1:29">
      <c r="A148" s="106"/>
      <c r="B148" s="106"/>
      <c r="C148" s="106"/>
      <c r="D148" s="106"/>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row>
    <row r="149" spans="1:29">
      <c r="A149" s="106"/>
      <c r="B149" s="106"/>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row>
    <row r="150" spans="1:29">
      <c r="A150" s="106"/>
      <c r="B150" s="106"/>
      <c r="C150" s="106"/>
      <c r="D150" s="106"/>
      <c r="E150" s="106"/>
      <c r="F150" s="106"/>
      <c r="G150" s="106"/>
      <c r="H150" s="106"/>
      <c r="I150" s="106"/>
      <c r="J150" s="106"/>
      <c r="K150" s="106"/>
      <c r="L150" s="106"/>
      <c r="M150" s="106"/>
      <c r="N150" s="106"/>
      <c r="O150" s="106"/>
      <c r="P150" s="106"/>
      <c r="Q150" s="106"/>
      <c r="R150" s="106"/>
      <c r="S150" s="106"/>
      <c r="T150" s="106"/>
      <c r="U150" s="106"/>
      <c r="V150" s="106"/>
      <c r="W150" s="106"/>
      <c r="X150" s="106"/>
      <c r="Y150" s="106"/>
      <c r="Z150" s="106"/>
      <c r="AA150" s="106"/>
      <c r="AB150" s="106"/>
      <c r="AC150" s="106"/>
    </row>
    <row r="151" spans="1:29">
      <c r="A151" s="106"/>
      <c r="B151" s="106"/>
      <c r="C151" s="106"/>
      <c r="D151" s="106"/>
      <c r="E151" s="106"/>
      <c r="F151" s="106"/>
      <c r="G151" s="106"/>
      <c r="H151" s="106"/>
      <c r="I151" s="106"/>
      <c r="J151" s="106"/>
      <c r="K151" s="106"/>
      <c r="L151" s="106"/>
      <c r="M151" s="106"/>
      <c r="N151" s="106"/>
      <c r="O151" s="106"/>
      <c r="P151" s="106"/>
      <c r="Q151" s="106"/>
      <c r="R151" s="106"/>
      <c r="S151" s="106"/>
      <c r="T151" s="106"/>
      <c r="U151" s="106"/>
      <c r="V151" s="106"/>
      <c r="W151" s="106"/>
      <c r="X151" s="106"/>
      <c r="Y151" s="106"/>
      <c r="Z151" s="106"/>
      <c r="AA151" s="106"/>
      <c r="AB151" s="106"/>
      <c r="AC151" s="106"/>
    </row>
    <row r="152" spans="1:29">
      <c r="A152" s="106"/>
      <c r="B152" s="106"/>
      <c r="C152" s="106"/>
      <c r="D152" s="106"/>
      <c r="E152" s="106"/>
      <c r="F152" s="106"/>
      <c r="G152" s="106"/>
      <c r="H152" s="106"/>
      <c r="I152" s="106"/>
      <c r="J152" s="106"/>
      <c r="K152" s="106"/>
      <c r="L152" s="106"/>
      <c r="M152" s="106"/>
      <c r="N152" s="106"/>
      <c r="O152" s="106"/>
      <c r="P152" s="106"/>
      <c r="Q152" s="106"/>
      <c r="R152" s="106"/>
      <c r="S152" s="106"/>
      <c r="T152" s="106"/>
      <c r="U152" s="106"/>
      <c r="V152" s="106"/>
      <c r="W152" s="106"/>
      <c r="X152" s="106"/>
      <c r="Y152" s="106"/>
      <c r="Z152" s="106"/>
      <c r="AA152" s="106"/>
      <c r="AB152" s="106"/>
      <c r="AC152" s="106"/>
    </row>
    <row r="153" spans="1:29">
      <c r="A153" s="106"/>
      <c r="B153" s="106"/>
      <c r="C153" s="106"/>
      <c r="D153" s="106"/>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c r="AA153" s="106"/>
      <c r="AB153" s="106"/>
      <c r="AC153" s="106"/>
    </row>
    <row r="154" spans="1:29">
      <c r="A154" s="106"/>
      <c r="B154" s="106"/>
      <c r="C154" s="106"/>
      <c r="D154" s="106"/>
      <c r="E154" s="106"/>
      <c r="F154" s="106"/>
      <c r="G154" s="106"/>
      <c r="H154" s="106"/>
      <c r="I154" s="106"/>
      <c r="J154" s="106"/>
      <c r="K154" s="106"/>
      <c r="L154" s="106"/>
      <c r="M154" s="106"/>
      <c r="N154" s="106"/>
      <c r="O154" s="106"/>
      <c r="P154" s="106"/>
      <c r="Q154" s="106"/>
      <c r="R154" s="106"/>
      <c r="S154" s="106"/>
      <c r="T154" s="106"/>
      <c r="U154" s="106"/>
      <c r="V154" s="106"/>
      <c r="W154" s="106"/>
      <c r="X154" s="106"/>
      <c r="Y154" s="106"/>
      <c r="Z154" s="106"/>
      <c r="AA154" s="106"/>
      <c r="AB154" s="106"/>
      <c r="AC154" s="106"/>
    </row>
    <row r="155" spans="1:29">
      <c r="A155" s="106"/>
      <c r="B155" s="106"/>
      <c r="C155" s="106"/>
      <c r="D155" s="106"/>
      <c r="E155" s="106"/>
      <c r="F155" s="106"/>
      <c r="G155" s="106"/>
      <c r="H155" s="106"/>
      <c r="I155" s="106"/>
      <c r="J155" s="106"/>
      <c r="K155" s="106"/>
      <c r="L155" s="106"/>
      <c r="M155" s="106"/>
      <c r="N155" s="106"/>
      <c r="O155" s="106"/>
      <c r="P155" s="106"/>
      <c r="Q155" s="106"/>
      <c r="R155" s="106"/>
      <c r="S155" s="106"/>
      <c r="T155" s="106"/>
      <c r="U155" s="106"/>
      <c r="V155" s="106"/>
      <c r="W155" s="106"/>
      <c r="X155" s="106"/>
      <c r="Y155" s="106"/>
      <c r="Z155" s="106"/>
      <c r="AA155" s="106"/>
      <c r="AB155" s="106"/>
      <c r="AC155" s="106"/>
    </row>
    <row r="156" spans="1:29">
      <c r="A156" s="106"/>
      <c r="B156" s="106"/>
      <c r="C156" s="106"/>
      <c r="D156" s="106"/>
      <c r="E156" s="106"/>
      <c r="F156" s="106"/>
      <c r="G156" s="106"/>
      <c r="H156" s="106"/>
      <c r="I156" s="106"/>
      <c r="J156" s="106"/>
      <c r="K156" s="106"/>
      <c r="L156" s="106"/>
      <c r="M156" s="106"/>
      <c r="N156" s="106"/>
      <c r="O156" s="106"/>
      <c r="P156" s="106"/>
      <c r="Q156" s="106"/>
      <c r="R156" s="106"/>
      <c r="S156" s="106"/>
      <c r="T156" s="106"/>
      <c r="U156" s="106"/>
      <c r="V156" s="106"/>
      <c r="W156" s="106"/>
      <c r="X156" s="106"/>
      <c r="Y156" s="106"/>
      <c r="Z156" s="106"/>
      <c r="AA156" s="106"/>
      <c r="AB156" s="106"/>
      <c r="AC156" s="106"/>
    </row>
    <row r="157" spans="1:29">
      <c r="A157" s="106"/>
      <c r="B157" s="106"/>
      <c r="C157" s="106"/>
      <c r="D157" s="106"/>
      <c r="E157" s="106"/>
      <c r="F157" s="106"/>
      <c r="G157" s="106"/>
      <c r="H157" s="106"/>
      <c r="I157" s="106"/>
      <c r="J157" s="106"/>
      <c r="K157" s="106"/>
      <c r="L157" s="106"/>
      <c r="M157" s="106"/>
      <c r="N157" s="106"/>
      <c r="O157" s="106"/>
      <c r="P157" s="106"/>
      <c r="Q157" s="106"/>
      <c r="R157" s="106"/>
      <c r="S157" s="106"/>
      <c r="T157" s="106"/>
      <c r="U157" s="106"/>
      <c r="V157" s="106"/>
      <c r="W157" s="106"/>
      <c r="X157" s="106"/>
      <c r="Y157" s="106"/>
      <c r="Z157" s="106"/>
      <c r="AA157" s="106"/>
      <c r="AB157" s="106"/>
      <c r="AC157" s="106"/>
    </row>
    <row r="158" spans="1:29">
      <c r="A158" s="106"/>
      <c r="B158" s="106"/>
      <c r="C158" s="106"/>
      <c r="D158" s="106"/>
      <c r="E158" s="106"/>
      <c r="F158" s="106"/>
      <c r="G158" s="106"/>
      <c r="H158" s="106"/>
      <c r="I158" s="106"/>
      <c r="J158" s="106"/>
      <c r="K158" s="106"/>
      <c r="L158" s="106"/>
      <c r="M158" s="106"/>
      <c r="N158" s="106"/>
      <c r="O158" s="106"/>
      <c r="P158" s="106"/>
      <c r="Q158" s="106"/>
      <c r="R158" s="106"/>
      <c r="S158" s="106"/>
      <c r="T158" s="106"/>
      <c r="U158" s="106"/>
      <c r="V158" s="106"/>
      <c r="W158" s="106"/>
      <c r="X158" s="106"/>
      <c r="Y158" s="106"/>
      <c r="Z158" s="106"/>
      <c r="AA158" s="106"/>
      <c r="AB158" s="106"/>
      <c r="AC158" s="106"/>
    </row>
    <row r="159" spans="1:29">
      <c r="A159" s="106"/>
      <c r="B159" s="106"/>
      <c r="C159" s="106"/>
      <c r="D159" s="106"/>
      <c r="E159" s="106"/>
      <c r="F159" s="106"/>
      <c r="G159" s="106"/>
      <c r="H159" s="106"/>
      <c r="I159" s="106"/>
      <c r="J159" s="106"/>
      <c r="K159" s="106"/>
      <c r="L159" s="106"/>
      <c r="M159" s="106"/>
      <c r="N159" s="106"/>
      <c r="O159" s="106"/>
      <c r="P159" s="106"/>
      <c r="Q159" s="106"/>
      <c r="R159" s="106"/>
      <c r="S159" s="106"/>
      <c r="T159" s="106"/>
      <c r="U159" s="106"/>
      <c r="V159" s="106"/>
      <c r="W159" s="106"/>
      <c r="X159" s="106"/>
      <c r="Y159" s="106"/>
      <c r="Z159" s="106"/>
      <c r="AA159" s="106"/>
      <c r="AB159" s="106"/>
      <c r="AC159" s="106"/>
    </row>
    <row r="160" spans="1:29">
      <c r="A160" s="106"/>
      <c r="B160" s="106"/>
      <c r="C160" s="106"/>
      <c r="D160" s="106"/>
      <c r="E160" s="106"/>
      <c r="F160" s="106"/>
      <c r="G160" s="106"/>
      <c r="H160" s="106"/>
      <c r="I160" s="106"/>
      <c r="J160" s="106"/>
      <c r="K160" s="106"/>
      <c r="L160" s="106"/>
      <c r="M160" s="106"/>
      <c r="N160" s="106"/>
      <c r="O160" s="106"/>
      <c r="P160" s="106"/>
      <c r="Q160" s="106"/>
      <c r="R160" s="106"/>
      <c r="S160" s="106"/>
      <c r="T160" s="106"/>
      <c r="U160" s="106"/>
      <c r="V160" s="106"/>
      <c r="W160" s="106"/>
      <c r="X160" s="106"/>
      <c r="Y160" s="106"/>
      <c r="Z160" s="106"/>
      <c r="AA160" s="106"/>
      <c r="AB160" s="106"/>
      <c r="AC160" s="106"/>
    </row>
    <row r="161" spans="1:29">
      <c r="A161" s="106"/>
      <c r="B161" s="106"/>
      <c r="C161" s="106"/>
      <c r="D161" s="106"/>
      <c r="E161" s="106"/>
      <c r="F161" s="106"/>
      <c r="G161" s="106"/>
      <c r="H161" s="106"/>
      <c r="I161" s="106"/>
      <c r="J161" s="106"/>
      <c r="K161" s="106"/>
      <c r="L161" s="106"/>
      <c r="M161" s="106"/>
      <c r="N161" s="106"/>
      <c r="O161" s="106"/>
      <c r="P161" s="106"/>
      <c r="Q161" s="106"/>
      <c r="R161" s="106"/>
      <c r="S161" s="106"/>
      <c r="T161" s="106"/>
      <c r="U161" s="106"/>
      <c r="V161" s="106"/>
      <c r="W161" s="106"/>
      <c r="X161" s="106"/>
      <c r="Y161" s="106"/>
      <c r="Z161" s="106"/>
      <c r="AA161" s="106"/>
      <c r="AB161" s="106"/>
      <c r="AC161" s="106"/>
    </row>
    <row r="162" spans="1:29">
      <c r="A162" s="106"/>
      <c r="B162" s="106"/>
      <c r="C162" s="106"/>
      <c r="D162" s="106"/>
      <c r="E162" s="106"/>
      <c r="F162" s="106"/>
      <c r="G162" s="106"/>
      <c r="H162" s="106"/>
      <c r="I162" s="106"/>
      <c r="J162" s="106"/>
      <c r="K162" s="106"/>
      <c r="L162" s="106"/>
      <c r="M162" s="106"/>
      <c r="N162" s="106"/>
      <c r="O162" s="106"/>
      <c r="P162" s="106"/>
      <c r="Q162" s="106"/>
      <c r="R162" s="106"/>
      <c r="S162" s="106"/>
      <c r="T162" s="106"/>
      <c r="U162" s="106"/>
      <c r="V162" s="106"/>
      <c r="W162" s="106"/>
      <c r="X162" s="106"/>
      <c r="Y162" s="106"/>
      <c r="Z162" s="106"/>
      <c r="AA162" s="106"/>
      <c r="AB162" s="106"/>
      <c r="AC162" s="106"/>
    </row>
    <row r="163" spans="1:29">
      <c r="A163" s="106"/>
      <c r="B163" s="106"/>
      <c r="C163" s="106"/>
      <c r="D163" s="106"/>
      <c r="E163" s="106"/>
      <c r="F163" s="106"/>
      <c r="G163" s="106"/>
      <c r="H163" s="106"/>
      <c r="I163" s="106"/>
      <c r="J163" s="106"/>
      <c r="K163" s="106"/>
      <c r="L163" s="106"/>
      <c r="M163" s="106"/>
      <c r="N163" s="106"/>
      <c r="O163" s="106"/>
      <c r="P163" s="106"/>
      <c r="Q163" s="106"/>
      <c r="R163" s="106"/>
      <c r="S163" s="106"/>
      <c r="T163" s="106"/>
      <c r="U163" s="106"/>
      <c r="V163" s="106"/>
      <c r="W163" s="106"/>
      <c r="X163" s="106"/>
      <c r="Y163" s="106"/>
      <c r="Z163" s="106"/>
      <c r="AA163" s="106"/>
      <c r="AB163" s="106"/>
      <c r="AC163" s="106"/>
    </row>
    <row r="164" spans="1:29">
      <c r="A164" s="106"/>
      <c r="B164" s="106"/>
      <c r="C164" s="106"/>
      <c r="D164" s="106"/>
      <c r="E164" s="106"/>
      <c r="F164" s="106"/>
      <c r="G164" s="106"/>
      <c r="H164" s="106"/>
      <c r="I164" s="106"/>
      <c r="J164" s="106"/>
      <c r="K164" s="106"/>
      <c r="L164" s="106"/>
      <c r="M164" s="106"/>
      <c r="N164" s="106"/>
      <c r="O164" s="106"/>
      <c r="P164" s="106"/>
      <c r="Q164" s="106"/>
      <c r="R164" s="106"/>
      <c r="S164" s="106"/>
      <c r="T164" s="106"/>
      <c r="U164" s="106"/>
      <c r="V164" s="106"/>
      <c r="W164" s="106"/>
      <c r="X164" s="106"/>
      <c r="Y164" s="106"/>
      <c r="Z164" s="106"/>
      <c r="AA164" s="106"/>
      <c r="AB164" s="106"/>
      <c r="AC164" s="106"/>
    </row>
    <row r="165" spans="1:29">
      <c r="A165" s="106"/>
      <c r="B165" s="106"/>
      <c r="C165" s="106"/>
      <c r="D165" s="106"/>
      <c r="E165" s="106"/>
      <c r="F165" s="106"/>
      <c r="G165" s="106"/>
      <c r="H165" s="106"/>
      <c r="I165" s="106"/>
      <c r="J165" s="106"/>
      <c r="K165" s="106"/>
      <c r="L165" s="106"/>
      <c r="M165" s="106"/>
      <c r="N165" s="106"/>
      <c r="O165" s="106"/>
      <c r="P165" s="106"/>
      <c r="Q165" s="106"/>
      <c r="R165" s="106"/>
      <c r="S165" s="106"/>
      <c r="T165" s="106"/>
      <c r="U165" s="106"/>
      <c r="V165" s="106"/>
      <c r="W165" s="106"/>
      <c r="X165" s="106"/>
      <c r="Y165" s="106"/>
      <c r="Z165" s="106"/>
      <c r="AA165" s="106"/>
      <c r="AB165" s="106"/>
      <c r="AC165" s="106"/>
    </row>
    <row r="166" spans="1:29">
      <c r="A166" s="106"/>
      <c r="B166" s="106"/>
      <c r="C166" s="106"/>
      <c r="D166" s="106"/>
      <c r="E166" s="106"/>
      <c r="F166" s="106"/>
      <c r="G166" s="106"/>
      <c r="H166" s="106"/>
      <c r="I166" s="106"/>
      <c r="J166" s="106"/>
      <c r="K166" s="106"/>
      <c r="L166" s="106"/>
      <c r="M166" s="106"/>
      <c r="N166" s="106"/>
      <c r="O166" s="106"/>
      <c r="P166" s="106"/>
      <c r="Q166" s="106"/>
      <c r="R166" s="106"/>
      <c r="S166" s="106"/>
      <c r="T166" s="106"/>
      <c r="U166" s="106"/>
      <c r="V166" s="106"/>
      <c r="W166" s="106"/>
      <c r="X166" s="106"/>
      <c r="Y166" s="106"/>
      <c r="Z166" s="106"/>
      <c r="AA166" s="106"/>
      <c r="AB166" s="106"/>
      <c r="AC166" s="106"/>
    </row>
    <row r="167" spans="1:29">
      <c r="A167" s="106"/>
      <c r="B167" s="106"/>
      <c r="C167" s="106"/>
      <c r="D167" s="106"/>
      <c r="E167" s="106"/>
      <c r="F167" s="106"/>
      <c r="G167" s="106"/>
      <c r="H167" s="106"/>
      <c r="I167" s="106"/>
      <c r="J167" s="106"/>
      <c r="K167" s="106"/>
      <c r="L167" s="106"/>
      <c r="M167" s="106"/>
      <c r="N167" s="106"/>
      <c r="O167" s="106"/>
      <c r="P167" s="106"/>
      <c r="Q167" s="106"/>
      <c r="R167" s="106"/>
      <c r="S167" s="106"/>
      <c r="T167" s="106"/>
      <c r="U167" s="106"/>
      <c r="V167" s="106"/>
      <c r="W167" s="106"/>
      <c r="X167" s="106"/>
      <c r="Y167" s="106"/>
      <c r="Z167" s="106"/>
      <c r="AA167" s="106"/>
      <c r="AB167" s="106"/>
      <c r="AC167" s="106"/>
    </row>
    <row r="168" spans="1:29">
      <c r="A168" s="106"/>
      <c r="B168" s="106"/>
      <c r="C168" s="106"/>
      <c r="D168" s="106"/>
      <c r="E168" s="106"/>
      <c r="F168" s="106"/>
      <c r="G168" s="106"/>
      <c r="H168" s="106"/>
      <c r="I168" s="106"/>
      <c r="J168" s="106"/>
      <c r="K168" s="106"/>
      <c r="L168" s="106"/>
      <c r="M168" s="106"/>
      <c r="N168" s="106"/>
      <c r="O168" s="106"/>
      <c r="P168" s="106"/>
      <c r="Q168" s="106"/>
      <c r="R168" s="106"/>
      <c r="S168" s="106"/>
      <c r="T168" s="106"/>
      <c r="U168" s="106"/>
      <c r="V168" s="106"/>
      <c r="W168" s="106"/>
      <c r="X168" s="106"/>
      <c r="Y168" s="106"/>
      <c r="Z168" s="106"/>
      <c r="AA168" s="106"/>
      <c r="AB168" s="106"/>
      <c r="AC168" s="106"/>
    </row>
    <row r="169" spans="1:29">
      <c r="A169" s="106"/>
      <c r="B169" s="106"/>
      <c r="C169" s="106"/>
      <c r="D169" s="106"/>
      <c r="E169" s="106"/>
      <c r="F169" s="106"/>
      <c r="G169" s="106"/>
      <c r="H169" s="106"/>
      <c r="I169" s="106"/>
      <c r="J169" s="106"/>
      <c r="K169" s="106"/>
      <c r="L169" s="106"/>
      <c r="M169" s="106"/>
      <c r="N169" s="106"/>
      <c r="O169" s="106"/>
      <c r="P169" s="106"/>
      <c r="Q169" s="106"/>
      <c r="R169" s="106"/>
      <c r="S169" s="106"/>
      <c r="T169" s="106"/>
      <c r="U169" s="106"/>
      <c r="V169" s="106"/>
      <c r="W169" s="106"/>
      <c r="X169" s="106"/>
      <c r="Y169" s="106"/>
      <c r="Z169" s="106"/>
      <c r="AA169" s="106"/>
      <c r="AB169" s="106"/>
      <c r="AC169" s="106"/>
    </row>
    <row r="170" spans="1:29">
      <c r="A170" s="106"/>
      <c r="B170" s="106"/>
      <c r="C170" s="106"/>
      <c r="D170" s="106"/>
      <c r="E170" s="106"/>
      <c r="F170" s="106"/>
      <c r="G170" s="106"/>
      <c r="H170" s="106"/>
      <c r="I170" s="106"/>
      <c r="J170" s="106"/>
      <c r="K170" s="106"/>
      <c r="L170" s="106"/>
      <c r="M170" s="106"/>
      <c r="N170" s="106"/>
      <c r="O170" s="106"/>
      <c r="P170" s="106"/>
      <c r="Q170" s="106"/>
      <c r="R170" s="106"/>
      <c r="S170" s="106"/>
      <c r="T170" s="106"/>
      <c r="U170" s="106"/>
      <c r="V170" s="106"/>
      <c r="W170" s="106"/>
      <c r="X170" s="106"/>
      <c r="Y170" s="106"/>
      <c r="Z170" s="106"/>
      <c r="AA170" s="106"/>
      <c r="AB170" s="106"/>
      <c r="AC170" s="106"/>
    </row>
    <row r="171" spans="1:29">
      <c r="A171" s="106"/>
      <c r="B171" s="106"/>
      <c r="C171" s="106"/>
      <c r="D171" s="106"/>
      <c r="E171" s="106"/>
      <c r="F171" s="106"/>
      <c r="G171" s="106"/>
      <c r="H171" s="106"/>
      <c r="I171" s="106"/>
      <c r="J171" s="106"/>
      <c r="K171" s="106"/>
      <c r="L171" s="106"/>
      <c r="M171" s="106"/>
      <c r="N171" s="106"/>
      <c r="O171" s="106"/>
      <c r="P171" s="106"/>
      <c r="Q171" s="106"/>
      <c r="R171" s="106"/>
      <c r="S171" s="106"/>
      <c r="T171" s="106"/>
      <c r="U171" s="106"/>
      <c r="V171" s="106"/>
      <c r="W171" s="106"/>
      <c r="X171" s="106"/>
      <c r="Y171" s="106"/>
      <c r="Z171" s="106"/>
      <c r="AA171" s="106"/>
      <c r="AB171" s="106"/>
      <c r="AC171" s="106"/>
    </row>
    <row r="172" spans="1:29">
      <c r="A172" s="106"/>
      <c r="B172" s="106"/>
      <c r="C172" s="106"/>
      <c r="D172" s="106"/>
      <c r="E172" s="106"/>
      <c r="F172" s="106"/>
      <c r="G172" s="106"/>
      <c r="H172" s="106"/>
      <c r="I172" s="106"/>
      <c r="J172" s="106"/>
      <c r="K172" s="106"/>
      <c r="L172" s="106"/>
      <c r="M172" s="106"/>
      <c r="N172" s="106"/>
      <c r="O172" s="106"/>
      <c r="P172" s="106"/>
      <c r="Q172" s="106"/>
      <c r="R172" s="106"/>
      <c r="S172" s="106"/>
      <c r="T172" s="106"/>
      <c r="U172" s="106"/>
      <c r="V172" s="106"/>
      <c r="W172" s="106"/>
      <c r="X172" s="106"/>
      <c r="Y172" s="106"/>
      <c r="Z172" s="106"/>
      <c r="AA172" s="106"/>
      <c r="AB172" s="106"/>
      <c r="AC172" s="106"/>
    </row>
    <row r="173" spans="1:29">
      <c r="A173" s="106"/>
      <c r="B173" s="106"/>
      <c r="C173" s="106"/>
      <c r="D173" s="106"/>
      <c r="E173" s="106"/>
      <c r="F173" s="106"/>
      <c r="G173" s="106"/>
      <c r="H173" s="106"/>
      <c r="I173" s="106"/>
      <c r="J173" s="106"/>
      <c r="K173" s="106"/>
      <c r="L173" s="106"/>
      <c r="M173" s="106"/>
      <c r="N173" s="106"/>
      <c r="O173" s="106"/>
      <c r="P173" s="106"/>
      <c r="Q173" s="106"/>
      <c r="R173" s="106"/>
      <c r="S173" s="106"/>
      <c r="T173" s="106"/>
      <c r="U173" s="106"/>
      <c r="V173" s="106"/>
      <c r="W173" s="106"/>
      <c r="X173" s="106"/>
      <c r="Y173" s="106"/>
      <c r="Z173" s="106"/>
      <c r="AA173" s="106"/>
      <c r="AB173" s="106"/>
      <c r="AC173" s="106"/>
    </row>
    <row r="174" spans="1:29">
      <c r="A174" s="106"/>
      <c r="B174" s="106"/>
      <c r="C174" s="106"/>
      <c r="D174" s="106"/>
      <c r="E174" s="106"/>
      <c r="F174" s="106"/>
      <c r="G174" s="106"/>
      <c r="H174" s="106"/>
      <c r="I174" s="106"/>
      <c r="J174" s="106"/>
      <c r="K174" s="106"/>
      <c r="L174" s="106"/>
      <c r="M174" s="106"/>
      <c r="N174" s="106"/>
      <c r="O174" s="106"/>
      <c r="P174" s="106"/>
      <c r="Q174" s="106"/>
      <c r="R174" s="106"/>
      <c r="S174" s="106"/>
      <c r="T174" s="106"/>
      <c r="U174" s="106"/>
      <c r="V174" s="106"/>
      <c r="W174" s="106"/>
      <c r="X174" s="106"/>
      <c r="Y174" s="106"/>
      <c r="Z174" s="106"/>
      <c r="AA174" s="106"/>
      <c r="AB174" s="106"/>
      <c r="AC174" s="106"/>
    </row>
    <row r="175" spans="1:29">
      <c r="A175" s="106"/>
      <c r="B175" s="106"/>
      <c r="C175" s="106"/>
      <c r="D175" s="106"/>
      <c r="E175" s="106"/>
      <c r="F175" s="106"/>
      <c r="G175" s="106"/>
      <c r="H175" s="106"/>
      <c r="I175" s="106"/>
      <c r="J175" s="106"/>
      <c r="K175" s="106"/>
      <c r="L175" s="106"/>
      <c r="M175" s="106"/>
      <c r="N175" s="106"/>
      <c r="O175" s="106"/>
      <c r="P175" s="106"/>
      <c r="Q175" s="106"/>
      <c r="R175" s="106"/>
      <c r="S175" s="106"/>
      <c r="T175" s="106"/>
      <c r="U175" s="106"/>
      <c r="V175" s="106"/>
      <c r="W175" s="106"/>
      <c r="X175" s="106"/>
      <c r="Y175" s="106"/>
      <c r="Z175" s="106"/>
      <c r="AA175" s="106"/>
      <c r="AB175" s="106"/>
      <c r="AC175" s="106"/>
    </row>
    <row r="176" spans="1:29">
      <c r="A176" s="106"/>
      <c r="B176" s="106"/>
      <c r="C176" s="106"/>
      <c r="D176" s="106"/>
      <c r="E176" s="106"/>
      <c r="F176" s="106"/>
      <c r="G176" s="106"/>
      <c r="H176" s="106"/>
      <c r="I176" s="106"/>
      <c r="J176" s="106"/>
      <c r="K176" s="106"/>
      <c r="L176" s="106"/>
      <c r="M176" s="106"/>
      <c r="N176" s="106"/>
      <c r="O176" s="106"/>
      <c r="P176" s="106"/>
      <c r="Q176" s="106"/>
      <c r="R176" s="106"/>
      <c r="S176" s="106"/>
      <c r="T176" s="106"/>
      <c r="U176" s="106"/>
      <c r="V176" s="106"/>
      <c r="W176" s="106"/>
      <c r="X176" s="106"/>
      <c r="Y176" s="106"/>
      <c r="Z176" s="106"/>
      <c r="AA176" s="106"/>
      <c r="AB176" s="106"/>
      <c r="AC176" s="106"/>
    </row>
    <row r="177" spans="1:29">
      <c r="A177" s="106"/>
      <c r="B177" s="106"/>
      <c r="C177" s="106"/>
      <c r="D177" s="106"/>
      <c r="E177" s="106"/>
      <c r="F177" s="106"/>
      <c r="G177" s="106"/>
      <c r="H177" s="106"/>
      <c r="I177" s="106"/>
      <c r="J177" s="106"/>
      <c r="K177" s="106"/>
      <c r="L177" s="106"/>
      <c r="M177" s="106"/>
      <c r="N177" s="106"/>
      <c r="O177" s="106"/>
      <c r="P177" s="106"/>
      <c r="Q177" s="106"/>
      <c r="R177" s="106"/>
      <c r="S177" s="106"/>
      <c r="T177" s="106"/>
      <c r="U177" s="106"/>
      <c r="V177" s="106"/>
      <c r="W177" s="106"/>
      <c r="X177" s="106"/>
      <c r="Y177" s="106"/>
      <c r="Z177" s="106"/>
      <c r="AA177" s="106"/>
      <c r="AB177" s="106"/>
      <c r="AC177" s="106"/>
    </row>
    <row r="178" spans="1:29">
      <c r="A178" s="106"/>
      <c r="B178" s="106"/>
      <c r="C178" s="106"/>
      <c r="D178" s="106"/>
      <c r="E178" s="106"/>
      <c r="F178" s="106"/>
      <c r="G178" s="106"/>
      <c r="H178" s="106"/>
      <c r="I178" s="106"/>
      <c r="J178" s="106"/>
      <c r="K178" s="106"/>
      <c r="L178" s="106"/>
      <c r="M178" s="106"/>
      <c r="N178" s="106"/>
      <c r="O178" s="106"/>
      <c r="P178" s="106"/>
      <c r="Q178" s="106"/>
      <c r="R178" s="106"/>
      <c r="S178" s="106"/>
      <c r="T178" s="106"/>
      <c r="U178" s="106"/>
      <c r="V178" s="106"/>
      <c r="W178" s="106"/>
      <c r="X178" s="106"/>
      <c r="Y178" s="106"/>
      <c r="Z178" s="106"/>
      <c r="AA178" s="106"/>
      <c r="AB178" s="106"/>
      <c r="AC178" s="106"/>
    </row>
    <row r="179" spans="1:29">
      <c r="A179" s="106"/>
      <c r="B179" s="106"/>
      <c r="C179" s="106"/>
      <c r="D179" s="106"/>
      <c r="E179" s="106"/>
      <c r="F179" s="106"/>
      <c r="G179" s="106"/>
      <c r="H179" s="106"/>
      <c r="I179" s="106"/>
      <c r="J179" s="106"/>
      <c r="K179" s="106"/>
      <c r="L179" s="106"/>
      <c r="M179" s="106"/>
      <c r="N179" s="106"/>
      <c r="O179" s="106"/>
      <c r="P179" s="106"/>
      <c r="Q179" s="106"/>
      <c r="R179" s="106"/>
      <c r="S179" s="106"/>
      <c r="T179" s="106"/>
      <c r="U179" s="106"/>
      <c r="V179" s="106"/>
      <c r="W179" s="106"/>
      <c r="X179" s="106"/>
      <c r="Y179" s="106"/>
      <c r="Z179" s="106"/>
      <c r="AA179" s="106"/>
      <c r="AB179" s="106"/>
      <c r="AC179" s="106"/>
    </row>
    <row r="180" spans="1:29">
      <c r="A180" s="106"/>
      <c r="B180" s="106"/>
      <c r="C180" s="106"/>
      <c r="D180" s="106"/>
      <c r="E180" s="106"/>
      <c r="F180" s="106"/>
      <c r="G180" s="106"/>
      <c r="H180" s="106"/>
      <c r="I180" s="106"/>
      <c r="J180" s="106"/>
      <c r="K180" s="106"/>
      <c r="L180" s="106"/>
      <c r="M180" s="106"/>
      <c r="N180" s="106"/>
      <c r="O180" s="106"/>
      <c r="P180" s="106"/>
      <c r="Q180" s="106"/>
      <c r="R180" s="106"/>
      <c r="S180" s="106"/>
      <c r="T180" s="106"/>
      <c r="U180" s="106"/>
      <c r="V180" s="106"/>
      <c r="W180" s="106"/>
      <c r="X180" s="106"/>
      <c r="Y180" s="106"/>
      <c r="Z180" s="106"/>
      <c r="AA180" s="106"/>
      <c r="AB180" s="106"/>
      <c r="AC180" s="106"/>
    </row>
    <row r="181" spans="1:29">
      <c r="A181" s="106"/>
      <c r="B181" s="106"/>
      <c r="C181" s="106"/>
      <c r="D181" s="106"/>
      <c r="E181" s="106"/>
      <c r="F181" s="106"/>
      <c r="G181" s="106"/>
      <c r="H181" s="106"/>
      <c r="I181" s="106"/>
      <c r="J181" s="106"/>
      <c r="K181" s="106"/>
      <c r="L181" s="106"/>
      <c r="M181" s="106"/>
      <c r="N181" s="106"/>
      <c r="O181" s="106"/>
      <c r="P181" s="106"/>
      <c r="Q181" s="106"/>
      <c r="R181" s="106"/>
      <c r="S181" s="106"/>
      <c r="T181" s="106"/>
      <c r="U181" s="106"/>
      <c r="V181" s="106"/>
      <c r="W181" s="106"/>
      <c r="X181" s="106"/>
      <c r="Y181" s="106"/>
      <c r="Z181" s="106"/>
      <c r="AA181" s="106"/>
      <c r="AB181" s="106"/>
      <c r="AC181" s="106"/>
    </row>
    <row r="182" spans="1:29">
      <c r="A182" s="106"/>
      <c r="B182" s="106"/>
      <c r="C182" s="106"/>
      <c r="D182" s="106"/>
      <c r="E182" s="106"/>
      <c r="F182" s="106"/>
      <c r="G182" s="106"/>
      <c r="H182" s="106"/>
      <c r="I182" s="106"/>
      <c r="J182" s="106"/>
      <c r="K182" s="106"/>
      <c r="L182" s="106"/>
      <c r="M182" s="106"/>
      <c r="N182" s="106"/>
      <c r="O182" s="106"/>
      <c r="P182" s="106"/>
      <c r="Q182" s="106"/>
      <c r="R182" s="106"/>
      <c r="S182" s="106"/>
      <c r="T182" s="106"/>
      <c r="U182" s="106"/>
      <c r="V182" s="106"/>
      <c r="W182" s="106"/>
      <c r="X182" s="106"/>
      <c r="Y182" s="106"/>
      <c r="Z182" s="106"/>
      <c r="AA182" s="106"/>
      <c r="AB182" s="106"/>
      <c r="AC182" s="106"/>
    </row>
    <row r="183" spans="1:29">
      <c r="A183" s="106"/>
      <c r="B183" s="106"/>
      <c r="C183" s="106"/>
      <c r="D183" s="106"/>
      <c r="E183" s="106"/>
      <c r="F183" s="106"/>
      <c r="G183" s="106"/>
      <c r="H183" s="106"/>
      <c r="I183" s="106"/>
      <c r="J183" s="106"/>
      <c r="K183" s="106"/>
      <c r="L183" s="106"/>
      <c r="M183" s="106"/>
      <c r="N183" s="106"/>
      <c r="O183" s="106"/>
      <c r="P183" s="106"/>
      <c r="Q183" s="106"/>
      <c r="R183" s="106"/>
      <c r="S183" s="106"/>
      <c r="T183" s="106"/>
      <c r="U183" s="106"/>
      <c r="V183" s="106"/>
      <c r="W183" s="106"/>
      <c r="X183" s="106"/>
      <c r="Y183" s="106"/>
      <c r="Z183" s="106"/>
      <c r="AA183" s="106"/>
      <c r="AB183" s="106"/>
      <c r="AC183" s="106"/>
    </row>
    <row r="184" spans="1:29">
      <c r="A184" s="106"/>
      <c r="B184" s="106"/>
      <c r="C184" s="106"/>
      <c r="D184" s="106"/>
      <c r="E184" s="106"/>
      <c r="F184" s="106"/>
      <c r="G184" s="106"/>
      <c r="H184" s="106"/>
      <c r="I184" s="106"/>
      <c r="J184" s="106"/>
      <c r="K184" s="106"/>
      <c r="L184" s="106"/>
      <c r="M184" s="106"/>
      <c r="N184" s="106"/>
      <c r="O184" s="106"/>
      <c r="P184" s="106"/>
      <c r="Q184" s="106"/>
      <c r="R184" s="106"/>
      <c r="S184" s="106"/>
      <c r="T184" s="106"/>
      <c r="U184" s="106"/>
      <c r="V184" s="106"/>
      <c r="W184" s="106"/>
      <c r="X184" s="106"/>
      <c r="Y184" s="106"/>
      <c r="Z184" s="106"/>
      <c r="AA184" s="106"/>
      <c r="AB184" s="106"/>
      <c r="AC184" s="106"/>
    </row>
    <row r="185" spans="1:29">
      <c r="A185" s="106"/>
      <c r="B185" s="106"/>
      <c r="C185" s="106"/>
      <c r="D185" s="106"/>
      <c r="E185" s="106"/>
      <c r="F185" s="106"/>
      <c r="G185" s="106"/>
      <c r="H185" s="106"/>
      <c r="I185" s="106"/>
      <c r="J185" s="106"/>
      <c r="K185" s="106"/>
      <c r="L185" s="106"/>
      <c r="M185" s="106"/>
      <c r="N185" s="106"/>
      <c r="O185" s="106"/>
      <c r="P185" s="106"/>
      <c r="Q185" s="106"/>
      <c r="R185" s="106"/>
      <c r="S185" s="106"/>
      <c r="T185" s="106"/>
      <c r="U185" s="106"/>
      <c r="V185" s="106"/>
      <c r="W185" s="106"/>
      <c r="X185" s="106"/>
      <c r="Y185" s="106"/>
      <c r="Z185" s="106"/>
      <c r="AA185" s="106"/>
      <c r="AB185" s="106"/>
      <c r="AC185" s="106"/>
    </row>
    <row r="186" spans="1:29">
      <c r="A186" s="106"/>
      <c r="B186" s="106"/>
      <c r="C186" s="106"/>
      <c r="D186" s="106"/>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row>
    <row r="187" spans="1:29">
      <c r="A187" s="106"/>
      <c r="B187" s="106"/>
      <c r="C187" s="106"/>
      <c r="D187" s="106"/>
      <c r="E187" s="106"/>
      <c r="F187" s="106"/>
      <c r="G187" s="106"/>
      <c r="H187" s="106"/>
      <c r="I187" s="106"/>
      <c r="J187" s="106"/>
      <c r="K187" s="106"/>
      <c r="L187" s="106"/>
      <c r="M187" s="106"/>
      <c r="N187" s="106"/>
      <c r="O187" s="106"/>
      <c r="P187" s="106"/>
      <c r="Q187" s="106"/>
      <c r="R187" s="106"/>
      <c r="S187" s="106"/>
      <c r="T187" s="106"/>
      <c r="U187" s="106"/>
      <c r="V187" s="106"/>
      <c r="W187" s="106"/>
      <c r="X187" s="106"/>
      <c r="Y187" s="106"/>
      <c r="Z187" s="106"/>
      <c r="AA187" s="106"/>
      <c r="AB187" s="106"/>
      <c r="AC187" s="106"/>
    </row>
    <row r="188" spans="1:29">
      <c r="A188" s="106"/>
      <c r="B188" s="106"/>
      <c r="C188" s="106"/>
      <c r="D188" s="106"/>
      <c r="E188" s="106"/>
      <c r="F188" s="106"/>
      <c r="G188" s="106"/>
      <c r="H188" s="106"/>
      <c r="I188" s="106"/>
      <c r="J188" s="106"/>
      <c r="K188" s="106"/>
      <c r="L188" s="106"/>
      <c r="M188" s="106"/>
      <c r="N188" s="106"/>
      <c r="O188" s="106"/>
      <c r="P188" s="106"/>
      <c r="Q188" s="106"/>
      <c r="R188" s="106"/>
      <c r="S188" s="106"/>
      <c r="T188" s="106"/>
      <c r="U188" s="106"/>
      <c r="V188" s="106"/>
      <c r="W188" s="106"/>
      <c r="X188" s="106"/>
      <c r="Y188" s="106"/>
      <c r="Z188" s="106"/>
      <c r="AA188" s="106"/>
      <c r="AB188" s="106"/>
      <c r="AC188" s="106"/>
    </row>
    <row r="189" spans="1:29">
      <c r="A189" s="106"/>
      <c r="B189" s="106"/>
      <c r="C189" s="106"/>
      <c r="D189" s="106"/>
      <c r="E189" s="106"/>
      <c r="F189" s="106"/>
      <c r="G189" s="106"/>
      <c r="H189" s="106"/>
      <c r="I189" s="106"/>
      <c r="J189" s="106"/>
      <c r="K189" s="106"/>
      <c r="L189" s="106"/>
      <c r="M189" s="106"/>
      <c r="N189" s="106"/>
      <c r="O189" s="106"/>
      <c r="P189" s="106"/>
      <c r="Q189" s="106"/>
      <c r="R189" s="106"/>
      <c r="S189" s="106"/>
      <c r="T189" s="106"/>
      <c r="U189" s="106"/>
      <c r="V189" s="106"/>
      <c r="W189" s="106"/>
      <c r="X189" s="106"/>
      <c r="Y189" s="106"/>
      <c r="Z189" s="106"/>
      <c r="AA189" s="106"/>
      <c r="AB189" s="106"/>
      <c r="AC189" s="106"/>
    </row>
    <row r="190" spans="1:29">
      <c r="A190" s="106"/>
      <c r="B190" s="106"/>
      <c r="C190" s="106"/>
      <c r="D190" s="106"/>
      <c r="E190" s="106"/>
      <c r="F190" s="106"/>
      <c r="G190" s="106"/>
      <c r="H190" s="106"/>
      <c r="I190" s="106"/>
      <c r="J190" s="106"/>
      <c r="K190" s="106"/>
      <c r="L190" s="106"/>
      <c r="M190" s="106"/>
      <c r="N190" s="106"/>
      <c r="O190" s="106"/>
      <c r="P190" s="106"/>
      <c r="Q190" s="106"/>
      <c r="R190" s="106"/>
      <c r="S190" s="106"/>
      <c r="T190" s="106"/>
      <c r="U190" s="106"/>
      <c r="V190" s="106"/>
      <c r="W190" s="106"/>
      <c r="X190" s="106"/>
      <c r="Y190" s="106"/>
      <c r="Z190" s="106"/>
      <c r="AA190" s="106"/>
      <c r="AB190" s="106"/>
      <c r="AC190" s="106"/>
    </row>
    <row r="191" spans="1:29">
      <c r="A191" s="106"/>
      <c r="B191" s="106"/>
      <c r="C191" s="106"/>
      <c r="D191" s="106"/>
      <c r="E191" s="106"/>
      <c r="F191" s="106"/>
      <c r="G191" s="106"/>
      <c r="H191" s="106"/>
      <c r="I191" s="106"/>
      <c r="J191" s="106"/>
      <c r="K191" s="106"/>
      <c r="L191" s="106"/>
      <c r="M191" s="106"/>
      <c r="N191" s="106"/>
      <c r="O191" s="106"/>
      <c r="P191" s="106"/>
      <c r="Q191" s="106"/>
      <c r="R191" s="106"/>
      <c r="S191" s="106"/>
      <c r="T191" s="106"/>
      <c r="U191" s="106"/>
      <c r="V191" s="106"/>
      <c r="W191" s="106"/>
      <c r="X191" s="106"/>
      <c r="Y191" s="106"/>
      <c r="Z191" s="106"/>
      <c r="AA191" s="106"/>
      <c r="AB191" s="106"/>
      <c r="AC191" s="106"/>
    </row>
    <row r="192" spans="1:29">
      <c r="A192" s="106"/>
      <c r="B192" s="106"/>
      <c r="C192" s="106"/>
      <c r="D192" s="106"/>
      <c r="E192" s="106"/>
      <c r="F192" s="106"/>
      <c r="G192" s="106"/>
      <c r="H192" s="106"/>
      <c r="I192" s="106"/>
      <c r="J192" s="106"/>
      <c r="K192" s="106"/>
      <c r="L192" s="106"/>
      <c r="M192" s="106"/>
      <c r="N192" s="106"/>
      <c r="O192" s="106"/>
      <c r="P192" s="106"/>
      <c r="Q192" s="106"/>
      <c r="R192" s="106"/>
      <c r="S192" s="106"/>
      <c r="T192" s="106"/>
      <c r="U192" s="106"/>
      <c r="V192" s="106"/>
      <c r="W192" s="106"/>
      <c r="X192" s="106"/>
      <c r="Y192" s="106"/>
      <c r="Z192" s="106"/>
      <c r="AA192" s="106"/>
      <c r="AB192" s="106"/>
      <c r="AC192" s="106"/>
    </row>
    <row r="193" spans="1:29">
      <c r="A193" s="106"/>
      <c r="B193" s="106"/>
      <c r="C193" s="106"/>
      <c r="D193" s="106"/>
      <c r="E193" s="106"/>
      <c r="F193" s="106"/>
      <c r="G193" s="106"/>
      <c r="H193" s="106"/>
      <c r="I193" s="106"/>
      <c r="J193" s="106"/>
      <c r="K193" s="106"/>
      <c r="L193" s="106"/>
      <c r="M193" s="106"/>
      <c r="N193" s="106"/>
      <c r="O193" s="106"/>
      <c r="P193" s="106"/>
      <c r="Q193" s="106"/>
      <c r="R193" s="106"/>
      <c r="S193" s="106"/>
      <c r="T193" s="106"/>
      <c r="U193" s="106"/>
      <c r="V193" s="106"/>
      <c r="W193" s="106"/>
      <c r="X193" s="106"/>
      <c r="Y193" s="106"/>
      <c r="Z193" s="106"/>
      <c r="AA193" s="106"/>
      <c r="AB193" s="106"/>
      <c r="AC193" s="106"/>
    </row>
    <row r="194" spans="1:29">
      <c r="A194" s="106"/>
      <c r="B194" s="106"/>
      <c r="C194" s="106"/>
      <c r="D194" s="106"/>
      <c r="E194" s="106"/>
      <c r="F194" s="106"/>
      <c r="G194" s="106"/>
      <c r="H194" s="106"/>
      <c r="I194" s="106"/>
      <c r="J194" s="106"/>
      <c r="K194" s="106"/>
      <c r="L194" s="106"/>
      <c r="M194" s="106"/>
      <c r="N194" s="106"/>
      <c r="O194" s="106"/>
      <c r="P194" s="106"/>
      <c r="Q194" s="106"/>
      <c r="R194" s="106"/>
      <c r="S194" s="106"/>
      <c r="T194" s="106"/>
      <c r="U194" s="106"/>
      <c r="V194" s="106"/>
      <c r="W194" s="106"/>
      <c r="X194" s="106"/>
      <c r="Y194" s="106"/>
      <c r="Z194" s="106"/>
      <c r="AA194" s="106"/>
      <c r="AB194" s="106"/>
      <c r="AC194" s="106"/>
    </row>
    <row r="195" spans="1:29">
      <c r="A195" s="106"/>
      <c r="B195" s="106"/>
      <c r="C195" s="106"/>
      <c r="D195" s="106"/>
      <c r="E195" s="106"/>
      <c r="F195" s="106"/>
      <c r="G195" s="106"/>
      <c r="H195" s="106"/>
      <c r="I195" s="106"/>
      <c r="J195" s="106"/>
      <c r="K195" s="106"/>
      <c r="L195" s="106"/>
      <c r="M195" s="106"/>
      <c r="N195" s="106"/>
      <c r="O195" s="106"/>
      <c r="P195" s="106"/>
      <c r="Q195" s="106"/>
      <c r="R195" s="106"/>
      <c r="S195" s="106"/>
      <c r="T195" s="106"/>
      <c r="U195" s="106"/>
      <c r="V195" s="106"/>
      <c r="W195" s="106"/>
      <c r="X195" s="106"/>
      <c r="Y195" s="106"/>
      <c r="Z195" s="106"/>
      <c r="AA195" s="106"/>
      <c r="AB195" s="106"/>
      <c r="AC195" s="106"/>
    </row>
    <row r="196" spans="1:29">
      <c r="A196" s="106"/>
      <c r="B196" s="106"/>
      <c r="C196" s="106"/>
      <c r="D196" s="106"/>
      <c r="E196" s="106"/>
      <c r="F196" s="106"/>
      <c r="G196" s="106"/>
      <c r="H196" s="106"/>
      <c r="I196" s="106"/>
      <c r="J196" s="106"/>
      <c r="K196" s="106"/>
      <c r="L196" s="106"/>
      <c r="M196" s="106"/>
      <c r="N196" s="106"/>
      <c r="O196" s="106"/>
      <c r="P196" s="106"/>
      <c r="Q196" s="106"/>
      <c r="R196" s="106"/>
      <c r="S196" s="106"/>
      <c r="T196" s="106"/>
      <c r="U196" s="106"/>
      <c r="V196" s="106"/>
      <c r="W196" s="106"/>
      <c r="X196" s="106"/>
      <c r="Y196" s="106"/>
      <c r="Z196" s="106"/>
      <c r="AA196" s="106"/>
      <c r="AB196" s="106"/>
      <c r="AC196" s="106"/>
    </row>
    <row r="197" spans="1:29">
      <c r="A197" s="106"/>
      <c r="B197" s="106"/>
      <c r="C197" s="106"/>
      <c r="D197" s="106"/>
      <c r="E197" s="106"/>
      <c r="F197" s="106"/>
      <c r="G197" s="106"/>
      <c r="H197" s="106"/>
      <c r="I197" s="106"/>
      <c r="J197" s="106"/>
      <c r="K197" s="106"/>
      <c r="L197" s="106"/>
      <c r="M197" s="106"/>
      <c r="N197" s="106"/>
      <c r="O197" s="106"/>
      <c r="P197" s="106"/>
      <c r="Q197" s="106"/>
      <c r="R197" s="106"/>
      <c r="S197" s="106"/>
      <c r="T197" s="106"/>
      <c r="U197" s="106"/>
      <c r="V197" s="106"/>
      <c r="W197" s="106"/>
      <c r="X197" s="106"/>
      <c r="Y197" s="106"/>
      <c r="Z197" s="106"/>
      <c r="AA197" s="106"/>
      <c r="AB197" s="106"/>
      <c r="AC197" s="106"/>
    </row>
    <row r="198" spans="1:29">
      <c r="A198" s="106"/>
      <c r="B198" s="106"/>
      <c r="C198" s="106"/>
      <c r="D198" s="106"/>
      <c r="E198" s="106"/>
      <c r="F198" s="106"/>
      <c r="G198" s="106"/>
      <c r="H198" s="106"/>
      <c r="I198" s="106"/>
      <c r="J198" s="106"/>
      <c r="K198" s="106"/>
      <c r="L198" s="106"/>
      <c r="M198" s="106"/>
      <c r="N198" s="106"/>
      <c r="O198" s="106"/>
      <c r="P198" s="106"/>
      <c r="Q198" s="106"/>
      <c r="R198" s="106"/>
      <c r="S198" s="106"/>
      <c r="T198" s="106"/>
      <c r="U198" s="106"/>
      <c r="V198" s="106"/>
      <c r="W198" s="106"/>
      <c r="X198" s="106"/>
      <c r="Y198" s="106"/>
      <c r="Z198" s="106"/>
      <c r="AA198" s="106"/>
      <c r="AB198" s="106"/>
      <c r="AC198" s="106"/>
    </row>
    <row r="199" spans="1:29">
      <c r="A199" s="106"/>
      <c r="B199" s="106"/>
      <c r="C199" s="106"/>
      <c r="D199" s="106"/>
      <c r="E199" s="106"/>
      <c r="F199" s="106"/>
      <c r="G199" s="106"/>
      <c r="H199" s="106"/>
      <c r="I199" s="106"/>
      <c r="J199" s="106"/>
      <c r="K199" s="106"/>
      <c r="L199" s="106"/>
      <c r="M199" s="106"/>
      <c r="N199" s="106"/>
      <c r="O199" s="106"/>
      <c r="P199" s="106"/>
      <c r="Q199" s="106"/>
      <c r="R199" s="106"/>
      <c r="S199" s="106"/>
      <c r="T199" s="106"/>
      <c r="U199" s="106"/>
      <c r="V199" s="106"/>
      <c r="W199" s="106"/>
      <c r="X199" s="106"/>
      <c r="Y199" s="106"/>
      <c r="Z199" s="106"/>
      <c r="AA199" s="106"/>
      <c r="AB199" s="106"/>
      <c r="AC199" s="106"/>
    </row>
    <row r="200" spans="1:29">
      <c r="A200" s="106"/>
      <c r="B200" s="106"/>
      <c r="C200" s="106"/>
      <c r="D200" s="106"/>
      <c r="E200" s="106"/>
      <c r="F200" s="106"/>
      <c r="G200" s="106"/>
      <c r="H200" s="106"/>
      <c r="I200" s="106"/>
      <c r="J200" s="106"/>
      <c r="K200" s="106"/>
      <c r="L200" s="106"/>
      <c r="M200" s="106"/>
      <c r="N200" s="106"/>
      <c r="O200" s="106"/>
      <c r="P200" s="106"/>
      <c r="Q200" s="106"/>
      <c r="R200" s="106"/>
      <c r="S200" s="106"/>
      <c r="T200" s="106"/>
      <c r="U200" s="106"/>
      <c r="V200" s="106"/>
      <c r="W200" s="106"/>
      <c r="X200" s="106"/>
      <c r="Y200" s="106"/>
      <c r="Z200" s="106"/>
      <c r="AA200" s="106"/>
      <c r="AB200" s="106"/>
      <c r="AC200" s="106"/>
    </row>
    <row r="201" spans="1:29">
      <c r="A201" s="106"/>
      <c r="B201" s="106"/>
      <c r="C201" s="106"/>
      <c r="D201" s="106"/>
      <c r="E201" s="106"/>
      <c r="F201" s="106"/>
      <c r="G201" s="106"/>
      <c r="H201" s="106"/>
      <c r="I201" s="106"/>
      <c r="J201" s="106"/>
      <c r="K201" s="106"/>
      <c r="L201" s="106"/>
      <c r="M201" s="106"/>
      <c r="N201" s="106"/>
      <c r="O201" s="106"/>
      <c r="P201" s="106"/>
      <c r="Q201" s="106"/>
      <c r="R201" s="106"/>
      <c r="S201" s="106"/>
      <c r="T201" s="106"/>
      <c r="U201" s="106"/>
      <c r="V201" s="106"/>
      <c r="W201" s="106"/>
      <c r="X201" s="106"/>
      <c r="Y201" s="106"/>
      <c r="Z201" s="106"/>
      <c r="AA201" s="106"/>
      <c r="AB201" s="106"/>
      <c r="AC201" s="106"/>
    </row>
    <row r="202" spans="1:29">
      <c r="A202" s="106"/>
      <c r="B202" s="106"/>
      <c r="C202" s="106"/>
      <c r="D202" s="106"/>
      <c r="E202" s="106"/>
      <c r="F202" s="106"/>
      <c r="G202" s="106"/>
      <c r="H202" s="106"/>
      <c r="I202" s="106"/>
      <c r="J202" s="106"/>
      <c r="K202" s="106"/>
      <c r="L202" s="106"/>
      <c r="M202" s="106"/>
      <c r="N202" s="106"/>
      <c r="O202" s="106"/>
      <c r="P202" s="106"/>
      <c r="Q202" s="106"/>
      <c r="R202" s="106"/>
      <c r="S202" s="106"/>
      <c r="T202" s="106"/>
      <c r="U202" s="106"/>
      <c r="V202" s="106"/>
      <c r="W202" s="106"/>
      <c r="X202" s="106"/>
      <c r="Y202" s="106"/>
      <c r="Z202" s="106"/>
      <c r="AA202" s="106"/>
      <c r="AB202" s="106"/>
      <c r="AC202" s="106"/>
    </row>
    <row r="203" spans="1:29">
      <c r="A203" s="106"/>
      <c r="B203" s="106"/>
      <c r="C203" s="106"/>
      <c r="D203" s="106"/>
      <c r="E203" s="106"/>
      <c r="F203" s="106"/>
      <c r="G203" s="106"/>
      <c r="H203" s="106"/>
      <c r="I203" s="106"/>
      <c r="J203" s="106"/>
      <c r="K203" s="106"/>
      <c r="L203" s="106"/>
      <c r="M203" s="106"/>
      <c r="N203" s="106"/>
      <c r="O203" s="106"/>
      <c r="P203" s="106"/>
      <c r="Q203" s="106"/>
      <c r="R203" s="106"/>
      <c r="S203" s="106"/>
      <c r="T203" s="106"/>
      <c r="U203" s="106"/>
      <c r="V203" s="106"/>
      <c r="W203" s="106"/>
      <c r="X203" s="106"/>
      <c r="Y203" s="106"/>
      <c r="Z203" s="106"/>
      <c r="AA203" s="106"/>
      <c r="AB203" s="106"/>
      <c r="AC203" s="106"/>
    </row>
    <row r="204" spans="1:29">
      <c r="A204" s="106"/>
      <c r="B204" s="106"/>
      <c r="C204" s="106"/>
      <c r="D204" s="106"/>
      <c r="E204" s="106"/>
      <c r="F204" s="106"/>
      <c r="G204" s="106"/>
      <c r="H204" s="106"/>
      <c r="I204" s="106"/>
      <c r="J204" s="106"/>
      <c r="K204" s="106"/>
      <c r="L204" s="106"/>
      <c r="M204" s="106"/>
      <c r="N204" s="106"/>
      <c r="O204" s="106"/>
      <c r="P204" s="106"/>
      <c r="Q204" s="106"/>
      <c r="R204" s="106"/>
      <c r="S204" s="106"/>
      <c r="T204" s="106"/>
      <c r="U204" s="106"/>
      <c r="V204" s="106"/>
      <c r="W204" s="106"/>
      <c r="X204" s="106"/>
      <c r="Y204" s="106"/>
      <c r="Z204" s="106"/>
      <c r="AA204" s="106"/>
      <c r="AB204" s="106"/>
      <c r="AC204" s="106"/>
    </row>
    <row r="205" spans="1:29">
      <c r="A205" s="106"/>
      <c r="B205" s="106"/>
      <c r="C205" s="106"/>
      <c r="D205" s="106"/>
      <c r="E205" s="106"/>
      <c r="F205" s="106"/>
      <c r="G205" s="106"/>
      <c r="H205" s="106"/>
      <c r="I205" s="106"/>
      <c r="J205" s="106"/>
      <c r="K205" s="106"/>
      <c r="L205" s="106"/>
      <c r="M205" s="106"/>
      <c r="N205" s="106"/>
      <c r="O205" s="106"/>
      <c r="P205" s="106"/>
      <c r="Q205" s="106"/>
      <c r="R205" s="106"/>
      <c r="S205" s="106"/>
      <c r="T205" s="106"/>
      <c r="U205" s="106"/>
      <c r="V205" s="106"/>
      <c r="W205" s="106"/>
      <c r="X205" s="106"/>
      <c r="Y205" s="106"/>
      <c r="Z205" s="106"/>
      <c r="AA205" s="106"/>
      <c r="AB205" s="106"/>
      <c r="AC205" s="106"/>
    </row>
    <row r="206" spans="1:29">
      <c r="A206" s="106"/>
      <c r="B206" s="106"/>
      <c r="C206" s="106"/>
      <c r="D206" s="106"/>
      <c r="E206" s="106"/>
      <c r="F206" s="106"/>
      <c r="G206" s="106"/>
      <c r="H206" s="106"/>
      <c r="I206" s="106"/>
      <c r="J206" s="106"/>
      <c r="K206" s="106"/>
      <c r="L206" s="106"/>
      <c r="M206" s="106"/>
      <c r="N206" s="106"/>
      <c r="O206" s="106"/>
      <c r="P206" s="106"/>
      <c r="Q206" s="106"/>
      <c r="R206" s="106"/>
      <c r="S206" s="106"/>
      <c r="T206" s="106"/>
      <c r="U206" s="106"/>
      <c r="V206" s="106"/>
      <c r="W206" s="106"/>
      <c r="X206" s="106"/>
      <c r="Y206" s="106"/>
      <c r="Z206" s="106"/>
      <c r="AA206" s="106"/>
      <c r="AB206" s="106"/>
      <c r="AC206" s="106"/>
    </row>
    <row r="207" spans="1:29">
      <c r="A207" s="106"/>
      <c r="B207" s="106"/>
      <c r="C207" s="106"/>
      <c r="D207" s="106"/>
      <c r="E207" s="106"/>
      <c r="F207" s="106"/>
      <c r="G207" s="106"/>
      <c r="H207" s="106"/>
      <c r="I207" s="106"/>
      <c r="J207" s="106"/>
      <c r="K207" s="106"/>
      <c r="L207" s="106"/>
      <c r="M207" s="106"/>
      <c r="N207" s="106"/>
      <c r="O207" s="106"/>
      <c r="P207" s="106"/>
      <c r="Q207" s="106"/>
      <c r="R207" s="106"/>
      <c r="S207" s="106"/>
      <c r="T207" s="106"/>
      <c r="U207" s="106"/>
      <c r="V207" s="106"/>
      <c r="W207" s="106"/>
      <c r="X207" s="106"/>
      <c r="Y207" s="106"/>
      <c r="Z207" s="106"/>
      <c r="AA207" s="106"/>
      <c r="AB207" s="106"/>
      <c r="AC207" s="106"/>
    </row>
    <row r="208" spans="1:29">
      <c r="A208" s="106"/>
      <c r="B208" s="106"/>
      <c r="C208" s="106"/>
      <c r="D208" s="106"/>
      <c r="E208" s="106"/>
      <c r="F208" s="106"/>
      <c r="G208" s="106"/>
      <c r="H208" s="106"/>
      <c r="I208" s="106"/>
      <c r="J208" s="106"/>
      <c r="K208" s="106"/>
      <c r="L208" s="106"/>
      <c r="M208" s="106"/>
      <c r="N208" s="106"/>
      <c r="O208" s="106"/>
      <c r="P208" s="106"/>
      <c r="Q208" s="106"/>
      <c r="R208" s="106"/>
      <c r="S208" s="106"/>
      <c r="T208" s="106"/>
      <c r="U208" s="106"/>
      <c r="V208" s="106"/>
      <c r="W208" s="106"/>
      <c r="X208" s="106"/>
      <c r="Y208" s="106"/>
      <c r="Z208" s="106"/>
      <c r="AA208" s="106"/>
      <c r="AB208" s="106"/>
      <c r="AC208" s="106"/>
    </row>
    <row r="209" spans="1:29">
      <c r="A209" s="106"/>
      <c r="B209" s="106"/>
      <c r="C209" s="106"/>
      <c r="D209" s="106"/>
      <c r="E209" s="106"/>
      <c r="F209" s="106"/>
      <c r="G209" s="106"/>
      <c r="H209" s="106"/>
      <c r="I209" s="106"/>
      <c r="J209" s="106"/>
      <c r="K209" s="106"/>
      <c r="L209" s="106"/>
      <c r="M209" s="106"/>
      <c r="N209" s="106"/>
      <c r="O209" s="106"/>
      <c r="P209" s="106"/>
      <c r="Q209" s="106"/>
      <c r="R209" s="106"/>
      <c r="S209" s="106"/>
      <c r="T209" s="106"/>
      <c r="U209" s="106"/>
      <c r="V209" s="106"/>
      <c r="W209" s="106"/>
      <c r="X209" s="106"/>
      <c r="Y209" s="106"/>
      <c r="Z209" s="106"/>
      <c r="AA209" s="106"/>
      <c r="AB209" s="106"/>
      <c r="AC209" s="106"/>
    </row>
    <row r="210" spans="1:29">
      <c r="A210" s="106"/>
      <c r="B210" s="106"/>
      <c r="C210" s="106"/>
      <c r="D210" s="106"/>
      <c r="E210" s="106"/>
      <c r="F210" s="106"/>
      <c r="G210" s="106"/>
      <c r="H210" s="106"/>
      <c r="I210" s="106"/>
      <c r="J210" s="106"/>
      <c r="K210" s="106"/>
      <c r="L210" s="106"/>
      <c r="M210" s="106"/>
      <c r="N210" s="106"/>
      <c r="O210" s="106"/>
      <c r="P210" s="106"/>
      <c r="Q210" s="106"/>
      <c r="R210" s="106"/>
      <c r="S210" s="106"/>
      <c r="T210" s="106"/>
      <c r="U210" s="106"/>
      <c r="V210" s="106"/>
      <c r="W210" s="106"/>
      <c r="X210" s="106"/>
      <c r="Y210" s="106"/>
      <c r="Z210" s="106"/>
      <c r="AA210" s="106"/>
      <c r="AB210" s="106"/>
      <c r="AC210" s="106"/>
    </row>
    <row r="211" spans="1:29">
      <c r="A211" s="106"/>
      <c r="B211" s="106"/>
      <c r="C211" s="106"/>
      <c r="D211" s="106"/>
      <c r="E211" s="106"/>
      <c r="F211" s="106"/>
      <c r="G211" s="106"/>
      <c r="H211" s="106"/>
      <c r="I211" s="106"/>
      <c r="J211" s="106"/>
      <c r="K211" s="106"/>
      <c r="L211" s="106"/>
      <c r="M211" s="106"/>
      <c r="N211" s="106"/>
      <c r="O211" s="106"/>
      <c r="P211" s="106"/>
      <c r="Q211" s="106"/>
      <c r="R211" s="106"/>
      <c r="S211" s="106"/>
      <c r="T211" s="106"/>
      <c r="U211" s="106"/>
      <c r="V211" s="106"/>
      <c r="W211" s="106"/>
      <c r="X211" s="106"/>
      <c r="Y211" s="106"/>
      <c r="Z211" s="106"/>
      <c r="AA211" s="106"/>
      <c r="AB211" s="106"/>
      <c r="AC211" s="106"/>
    </row>
    <row r="212" spans="1:29">
      <c r="A212" s="106"/>
      <c r="B212" s="106"/>
      <c r="C212" s="106"/>
      <c r="D212" s="106"/>
      <c r="E212" s="106"/>
      <c r="F212" s="106"/>
      <c r="G212" s="106"/>
      <c r="H212" s="106"/>
      <c r="I212" s="106"/>
      <c r="J212" s="106"/>
      <c r="K212" s="106"/>
      <c r="L212" s="106"/>
      <c r="M212" s="106"/>
      <c r="N212" s="106"/>
      <c r="O212" s="106"/>
      <c r="P212" s="106"/>
      <c r="Q212" s="106"/>
      <c r="R212" s="106"/>
      <c r="S212" s="106"/>
      <c r="T212" s="106"/>
      <c r="U212" s="106"/>
      <c r="V212" s="106"/>
      <c r="W212" s="106"/>
      <c r="X212" s="106"/>
      <c r="Y212" s="106"/>
      <c r="Z212" s="106"/>
      <c r="AA212" s="106"/>
      <c r="AB212" s="106"/>
      <c r="AC212" s="106"/>
    </row>
    <row r="213" spans="1:29">
      <c r="A213" s="106"/>
      <c r="B213" s="106"/>
      <c r="C213" s="106"/>
      <c r="D213" s="106"/>
      <c r="E213" s="106"/>
      <c r="F213" s="106"/>
      <c r="G213" s="106"/>
      <c r="H213" s="106"/>
      <c r="I213" s="106"/>
      <c r="J213" s="106"/>
      <c r="K213" s="106"/>
      <c r="L213" s="106"/>
      <c r="M213" s="106"/>
      <c r="N213" s="106"/>
      <c r="O213" s="106"/>
      <c r="P213" s="106"/>
      <c r="Q213" s="106"/>
      <c r="R213" s="106"/>
      <c r="S213" s="106"/>
      <c r="T213" s="106"/>
      <c r="U213" s="106"/>
      <c r="V213" s="106"/>
      <c r="W213" s="106"/>
      <c r="X213" s="106"/>
      <c r="Y213" s="106"/>
      <c r="Z213" s="106"/>
      <c r="AA213" s="106"/>
      <c r="AB213" s="106"/>
      <c r="AC213" s="106"/>
    </row>
    <row r="214" spans="1:29">
      <c r="A214" s="106"/>
      <c r="B214" s="106"/>
      <c r="C214" s="106"/>
      <c r="D214" s="106"/>
      <c r="E214" s="106"/>
      <c r="F214" s="106"/>
      <c r="G214" s="106"/>
      <c r="H214" s="106"/>
      <c r="I214" s="106"/>
      <c r="J214" s="106"/>
      <c r="K214" s="106"/>
      <c r="L214" s="106"/>
      <c r="M214" s="106"/>
      <c r="N214" s="106"/>
      <c r="O214" s="106"/>
      <c r="P214" s="106"/>
      <c r="Q214" s="106"/>
      <c r="R214" s="106"/>
      <c r="S214" s="106"/>
      <c r="T214" s="106"/>
      <c r="U214" s="106"/>
      <c r="V214" s="106"/>
      <c r="W214" s="106"/>
      <c r="X214" s="106"/>
      <c r="Y214" s="106"/>
      <c r="Z214" s="106"/>
      <c r="AA214" s="106"/>
      <c r="AB214" s="106"/>
      <c r="AC214" s="106"/>
    </row>
    <row r="215" spans="1:29">
      <c r="A215" s="106"/>
      <c r="B215" s="106"/>
      <c r="C215" s="106"/>
      <c r="D215" s="106"/>
      <c r="E215" s="106"/>
      <c r="F215" s="106"/>
      <c r="G215" s="106"/>
      <c r="H215" s="106"/>
      <c r="I215" s="106"/>
      <c r="J215" s="106"/>
      <c r="K215" s="106"/>
      <c r="L215" s="106"/>
      <c r="M215" s="106"/>
      <c r="N215" s="106"/>
      <c r="O215" s="106"/>
      <c r="P215" s="106"/>
      <c r="Q215" s="106"/>
      <c r="R215" s="106"/>
      <c r="S215" s="106"/>
      <c r="T215" s="106"/>
      <c r="U215" s="106"/>
      <c r="V215" s="106"/>
      <c r="W215" s="106"/>
      <c r="X215" s="106"/>
      <c r="Y215" s="106"/>
      <c r="Z215" s="106"/>
      <c r="AA215" s="106"/>
      <c r="AB215" s="106"/>
      <c r="AC215" s="106"/>
    </row>
    <row r="216" spans="1:29">
      <c r="A216" s="106"/>
      <c r="B216" s="106"/>
      <c r="C216" s="106"/>
      <c r="D216" s="106"/>
      <c r="E216" s="106"/>
      <c r="F216" s="106"/>
      <c r="G216" s="106"/>
      <c r="H216" s="106"/>
      <c r="I216" s="106"/>
      <c r="J216" s="106"/>
      <c r="K216" s="106"/>
      <c r="L216" s="106"/>
      <c r="M216" s="106"/>
      <c r="N216" s="106"/>
      <c r="O216" s="106"/>
      <c r="P216" s="106"/>
      <c r="Q216" s="106"/>
      <c r="R216" s="106"/>
      <c r="S216" s="106"/>
      <c r="T216" s="106"/>
      <c r="U216" s="106"/>
      <c r="V216" s="106"/>
      <c r="W216" s="106"/>
      <c r="X216" s="106"/>
      <c r="Y216" s="106"/>
      <c r="Z216" s="106"/>
      <c r="AA216" s="106"/>
      <c r="AB216" s="106"/>
      <c r="AC216" s="106"/>
    </row>
    <row r="217" spans="1:29">
      <c r="A217" s="106"/>
      <c r="B217" s="106"/>
      <c r="C217" s="106"/>
      <c r="D217" s="106"/>
      <c r="E217" s="106"/>
      <c r="F217" s="106"/>
      <c r="G217" s="106"/>
      <c r="H217" s="106"/>
      <c r="I217" s="106"/>
      <c r="J217" s="106"/>
      <c r="K217" s="106"/>
      <c r="L217" s="106"/>
      <c r="M217" s="106"/>
      <c r="N217" s="106"/>
      <c r="O217" s="106"/>
      <c r="P217" s="106"/>
      <c r="Q217" s="106"/>
      <c r="R217" s="106"/>
      <c r="S217" s="106"/>
      <c r="T217" s="106"/>
      <c r="U217" s="106"/>
      <c r="V217" s="106"/>
      <c r="W217" s="106"/>
      <c r="X217" s="106"/>
      <c r="Y217" s="106"/>
      <c r="Z217" s="106"/>
      <c r="AA217" s="106"/>
      <c r="AB217" s="106"/>
      <c r="AC217" s="106"/>
    </row>
    <row r="218" spans="1:29">
      <c r="A218" s="106"/>
      <c r="B218" s="106"/>
      <c r="C218" s="106"/>
      <c r="D218" s="106"/>
      <c r="E218" s="106"/>
      <c r="F218" s="106"/>
      <c r="G218" s="106"/>
      <c r="H218" s="106"/>
      <c r="I218" s="106"/>
      <c r="J218" s="106"/>
      <c r="K218" s="106"/>
      <c r="L218" s="106"/>
      <c r="M218" s="106"/>
      <c r="N218" s="106"/>
      <c r="O218" s="106"/>
      <c r="P218" s="106"/>
      <c r="Q218" s="106"/>
      <c r="R218" s="106"/>
      <c r="S218" s="106"/>
      <c r="T218" s="106"/>
      <c r="U218" s="106"/>
      <c r="V218" s="106"/>
      <c r="W218" s="106"/>
      <c r="X218" s="106"/>
      <c r="Y218" s="106"/>
      <c r="Z218" s="106"/>
      <c r="AA218" s="106"/>
      <c r="AB218" s="106"/>
      <c r="AC218" s="106"/>
    </row>
    <row r="219" spans="1:29">
      <c r="A219" s="106"/>
      <c r="B219" s="106"/>
      <c r="C219" s="106"/>
      <c r="D219" s="106"/>
      <c r="E219" s="106"/>
      <c r="F219" s="106"/>
      <c r="G219" s="106"/>
      <c r="H219" s="106"/>
      <c r="I219" s="106"/>
      <c r="J219" s="106"/>
      <c r="K219" s="106"/>
      <c r="L219" s="106"/>
      <c r="M219" s="106"/>
      <c r="N219" s="106"/>
      <c r="O219" s="106"/>
      <c r="P219" s="106"/>
      <c r="Q219" s="106"/>
      <c r="R219" s="106"/>
      <c r="S219" s="106"/>
      <c r="T219" s="106"/>
      <c r="U219" s="106"/>
      <c r="V219" s="106"/>
      <c r="W219" s="106"/>
      <c r="X219" s="106"/>
      <c r="Y219" s="106"/>
      <c r="Z219" s="106"/>
      <c r="AA219" s="106"/>
      <c r="AB219" s="106"/>
      <c r="AC219" s="106"/>
    </row>
    <row r="220" spans="1:29">
      <c r="A220" s="106"/>
      <c r="B220" s="106"/>
      <c r="C220" s="106"/>
      <c r="D220" s="106"/>
      <c r="E220" s="106"/>
      <c r="F220" s="106"/>
      <c r="G220" s="106"/>
      <c r="H220" s="106"/>
      <c r="I220" s="106"/>
      <c r="J220" s="106"/>
      <c r="K220" s="106"/>
      <c r="L220" s="106"/>
      <c r="M220" s="106"/>
      <c r="N220" s="106"/>
      <c r="O220" s="106"/>
      <c r="P220" s="106"/>
      <c r="Q220" s="106"/>
      <c r="R220" s="106"/>
      <c r="S220" s="106"/>
      <c r="T220" s="106"/>
      <c r="U220" s="106"/>
      <c r="V220" s="106"/>
      <c r="W220" s="106"/>
      <c r="X220" s="106"/>
      <c r="Y220" s="106"/>
      <c r="Z220" s="106"/>
      <c r="AA220" s="106"/>
      <c r="AB220" s="106"/>
      <c r="AC220" s="106"/>
    </row>
    <row r="221" spans="1:29">
      <c r="A221" s="106"/>
      <c r="B221" s="106"/>
      <c r="C221" s="106"/>
      <c r="D221" s="106"/>
      <c r="E221" s="106"/>
      <c r="F221" s="106"/>
      <c r="G221" s="106"/>
      <c r="H221" s="106"/>
      <c r="I221" s="106"/>
      <c r="J221" s="106"/>
      <c r="K221" s="106"/>
      <c r="L221" s="106"/>
      <c r="M221" s="106"/>
      <c r="N221" s="106"/>
      <c r="O221" s="106"/>
      <c r="P221" s="106"/>
      <c r="Q221" s="106"/>
      <c r="R221" s="106"/>
      <c r="S221" s="106"/>
      <c r="T221" s="106"/>
      <c r="U221" s="106"/>
      <c r="V221" s="106"/>
      <c r="W221" s="106"/>
      <c r="X221" s="106"/>
      <c r="Y221" s="106"/>
      <c r="Z221" s="106"/>
      <c r="AA221" s="106"/>
      <c r="AB221" s="106"/>
      <c r="AC221" s="106"/>
    </row>
    <row r="222" spans="1:29">
      <c r="A222" s="106"/>
      <c r="B222" s="106"/>
      <c r="C222" s="106"/>
      <c r="D222" s="106"/>
      <c r="E222" s="106"/>
      <c r="F222" s="106"/>
      <c r="G222" s="106"/>
      <c r="H222" s="106"/>
      <c r="I222" s="106"/>
      <c r="J222" s="106"/>
      <c r="K222" s="106"/>
      <c r="L222" s="106"/>
      <c r="M222" s="106"/>
      <c r="N222" s="106"/>
      <c r="O222" s="106"/>
      <c r="P222" s="106"/>
      <c r="Q222" s="106"/>
      <c r="R222" s="106"/>
      <c r="S222" s="106"/>
      <c r="T222" s="106"/>
      <c r="U222" s="106"/>
      <c r="V222" s="106"/>
      <c r="W222" s="106"/>
      <c r="X222" s="106"/>
      <c r="Y222" s="106"/>
      <c r="Z222" s="106"/>
      <c r="AA222" s="106"/>
      <c r="AB222" s="106"/>
      <c r="AC222" s="106"/>
    </row>
    <row r="223" spans="1:29">
      <c r="A223" s="106"/>
      <c r="B223" s="106"/>
      <c r="C223" s="106"/>
      <c r="D223" s="106"/>
      <c r="E223" s="106"/>
      <c r="F223" s="106"/>
      <c r="G223" s="106"/>
      <c r="H223" s="106"/>
      <c r="I223" s="106"/>
      <c r="J223" s="106"/>
      <c r="K223" s="106"/>
      <c r="L223" s="106"/>
      <c r="M223" s="106"/>
      <c r="N223" s="106"/>
      <c r="O223" s="106"/>
      <c r="P223" s="106"/>
      <c r="Q223" s="106"/>
      <c r="R223" s="106"/>
      <c r="S223" s="106"/>
      <c r="T223" s="106"/>
      <c r="U223" s="106"/>
      <c r="V223" s="106"/>
      <c r="W223" s="106"/>
      <c r="X223" s="106"/>
      <c r="Y223" s="106"/>
      <c r="Z223" s="106"/>
      <c r="AA223" s="106"/>
      <c r="AB223" s="106"/>
      <c r="AC223" s="106"/>
    </row>
    <row r="224" spans="1:29">
      <c r="A224" s="106"/>
      <c r="B224" s="106"/>
      <c r="C224" s="106"/>
      <c r="D224" s="106"/>
      <c r="E224" s="106"/>
      <c r="F224" s="106"/>
      <c r="G224" s="106"/>
      <c r="H224" s="106"/>
      <c r="I224" s="106"/>
      <c r="J224" s="106"/>
      <c r="K224" s="106"/>
      <c r="L224" s="106"/>
      <c r="M224" s="106"/>
      <c r="N224" s="106"/>
      <c r="O224" s="106"/>
      <c r="P224" s="106"/>
      <c r="Q224" s="106"/>
      <c r="R224" s="106"/>
      <c r="S224" s="106"/>
      <c r="T224" s="106"/>
      <c r="U224" s="106"/>
      <c r="V224" s="106"/>
      <c r="W224" s="106"/>
      <c r="X224" s="106"/>
      <c r="Y224" s="106"/>
      <c r="Z224" s="106"/>
      <c r="AA224" s="106"/>
      <c r="AB224" s="106"/>
      <c r="AC224" s="106"/>
    </row>
    <row r="225" spans="1:29">
      <c r="A225" s="106"/>
      <c r="B225" s="106"/>
      <c r="C225" s="106"/>
      <c r="D225" s="106"/>
      <c r="E225" s="106"/>
      <c r="F225" s="106"/>
      <c r="G225" s="106"/>
      <c r="H225" s="106"/>
      <c r="I225" s="106"/>
      <c r="J225" s="106"/>
      <c r="K225" s="106"/>
      <c r="L225" s="106"/>
      <c r="M225" s="106"/>
      <c r="N225" s="106"/>
      <c r="O225" s="106"/>
      <c r="P225" s="106"/>
      <c r="Q225" s="106"/>
      <c r="R225" s="106"/>
      <c r="S225" s="106"/>
      <c r="T225" s="106"/>
      <c r="U225" s="106"/>
      <c r="V225" s="106"/>
      <c r="W225" s="106"/>
      <c r="X225" s="106"/>
      <c r="Y225" s="106"/>
      <c r="Z225" s="106"/>
      <c r="AA225" s="106"/>
      <c r="AB225" s="106"/>
      <c r="AC225" s="106"/>
    </row>
    <row r="226" spans="1:29">
      <c r="A226" s="106"/>
      <c r="B226" s="106"/>
      <c r="C226" s="106"/>
      <c r="D226" s="106"/>
      <c r="E226" s="106"/>
      <c r="F226" s="106"/>
      <c r="G226" s="106"/>
      <c r="H226" s="106"/>
      <c r="I226" s="106"/>
      <c r="J226" s="106"/>
      <c r="K226" s="106"/>
      <c r="L226" s="106"/>
      <c r="M226" s="106"/>
      <c r="N226" s="106"/>
      <c r="O226" s="106"/>
      <c r="P226" s="106"/>
      <c r="Q226" s="106"/>
      <c r="R226" s="106"/>
      <c r="S226" s="106"/>
      <c r="T226" s="106"/>
      <c r="U226" s="106"/>
      <c r="V226" s="106"/>
      <c r="W226" s="106"/>
      <c r="X226" s="106"/>
      <c r="Y226" s="106"/>
      <c r="Z226" s="106"/>
      <c r="AA226" s="106"/>
      <c r="AB226" s="106"/>
      <c r="AC226" s="106"/>
    </row>
    <row r="227" spans="1:29">
      <c r="A227" s="106"/>
      <c r="B227" s="106"/>
      <c r="C227" s="106"/>
      <c r="D227" s="106"/>
      <c r="E227" s="106"/>
      <c r="F227" s="106"/>
      <c r="G227" s="106"/>
      <c r="H227" s="106"/>
      <c r="I227" s="106"/>
      <c r="J227" s="106"/>
      <c r="K227" s="106"/>
      <c r="L227" s="106"/>
      <c r="M227" s="106"/>
      <c r="N227" s="106"/>
      <c r="O227" s="106"/>
      <c r="P227" s="106"/>
      <c r="Q227" s="106"/>
      <c r="R227" s="106"/>
      <c r="S227" s="106"/>
      <c r="T227" s="106"/>
      <c r="U227" s="106"/>
      <c r="V227" s="106"/>
      <c r="W227" s="106"/>
      <c r="X227" s="106"/>
      <c r="Y227" s="106"/>
      <c r="Z227" s="106"/>
      <c r="AA227" s="106"/>
      <c r="AB227" s="106"/>
      <c r="AC227" s="106"/>
    </row>
    <row r="228" spans="1:29">
      <c r="A228" s="106"/>
      <c r="B228" s="106"/>
      <c r="C228" s="106"/>
      <c r="D228" s="106"/>
      <c r="E228" s="106"/>
      <c r="F228" s="106"/>
      <c r="G228" s="106"/>
      <c r="H228" s="106"/>
      <c r="I228" s="106"/>
      <c r="J228" s="106"/>
      <c r="K228" s="106"/>
      <c r="L228" s="106"/>
      <c r="M228" s="106"/>
      <c r="N228" s="106"/>
      <c r="O228" s="106"/>
      <c r="P228" s="106"/>
      <c r="Q228" s="106"/>
      <c r="R228" s="106"/>
      <c r="S228" s="106"/>
      <c r="T228" s="106"/>
      <c r="U228" s="106"/>
      <c r="V228" s="106"/>
      <c r="W228" s="106"/>
      <c r="X228" s="106"/>
      <c r="Y228" s="106"/>
      <c r="Z228" s="106"/>
      <c r="AA228" s="106"/>
      <c r="AB228" s="106"/>
      <c r="AC228" s="106"/>
    </row>
    <row r="229" spans="1:29">
      <c r="A229" s="106"/>
      <c r="B229" s="106"/>
      <c r="C229" s="106"/>
      <c r="D229" s="106"/>
      <c r="E229" s="106"/>
      <c r="F229" s="106"/>
      <c r="G229" s="106"/>
      <c r="H229" s="106"/>
      <c r="I229" s="106"/>
      <c r="J229" s="106"/>
      <c r="K229" s="106"/>
      <c r="L229" s="106"/>
      <c r="M229" s="106"/>
      <c r="N229" s="106"/>
      <c r="O229" s="106"/>
      <c r="P229" s="106"/>
      <c r="Q229" s="106"/>
      <c r="R229" s="106"/>
      <c r="S229" s="106"/>
      <c r="T229" s="106"/>
      <c r="U229" s="106"/>
      <c r="V229" s="106"/>
      <c r="W229" s="106"/>
      <c r="X229" s="106"/>
      <c r="Y229" s="106"/>
      <c r="Z229" s="106"/>
      <c r="AA229" s="106"/>
      <c r="AB229" s="106"/>
      <c r="AC229" s="106"/>
    </row>
    <row r="230" spans="1:29">
      <c r="A230" s="106"/>
      <c r="B230" s="106"/>
      <c r="C230" s="106"/>
      <c r="D230" s="106"/>
      <c r="E230" s="106"/>
      <c r="F230" s="106"/>
      <c r="G230" s="106"/>
      <c r="H230" s="106"/>
      <c r="I230" s="106"/>
      <c r="J230" s="106"/>
      <c r="K230" s="106"/>
      <c r="L230" s="106"/>
      <c r="M230" s="106"/>
      <c r="N230" s="106"/>
      <c r="O230" s="106"/>
      <c r="P230" s="106"/>
      <c r="Q230" s="106"/>
      <c r="R230" s="106"/>
      <c r="S230" s="106"/>
      <c r="T230" s="106"/>
      <c r="U230" s="106"/>
      <c r="V230" s="106"/>
      <c r="W230" s="106"/>
      <c r="X230" s="106"/>
      <c r="Y230" s="106"/>
      <c r="Z230" s="106"/>
      <c r="AA230" s="106"/>
      <c r="AB230" s="106"/>
      <c r="AC230" s="106"/>
    </row>
    <row r="231" spans="1:29">
      <c r="A231" s="106"/>
      <c r="B231" s="106"/>
      <c r="C231" s="106"/>
      <c r="D231" s="106"/>
      <c r="E231" s="106"/>
      <c r="F231" s="106"/>
      <c r="G231" s="106"/>
      <c r="H231" s="106"/>
      <c r="I231" s="106"/>
      <c r="J231" s="106"/>
      <c r="K231" s="106"/>
      <c r="L231" s="106"/>
      <c r="M231" s="106"/>
      <c r="N231" s="106"/>
      <c r="O231" s="106"/>
      <c r="P231" s="106"/>
      <c r="Q231" s="106"/>
      <c r="R231" s="106"/>
      <c r="S231" s="106"/>
      <c r="T231" s="106"/>
      <c r="U231" s="106"/>
      <c r="V231" s="106"/>
      <c r="W231" s="106"/>
      <c r="X231" s="106"/>
      <c r="Y231" s="106"/>
      <c r="Z231" s="106"/>
      <c r="AA231" s="106"/>
      <c r="AB231" s="106"/>
      <c r="AC231" s="106"/>
    </row>
    <row r="232" spans="1:29">
      <c r="A232" s="106"/>
      <c r="B232" s="106"/>
      <c r="C232" s="106"/>
      <c r="D232" s="106"/>
      <c r="E232" s="106"/>
      <c r="F232" s="106"/>
      <c r="G232" s="106"/>
      <c r="H232" s="106"/>
      <c r="I232" s="106"/>
      <c r="J232" s="106"/>
      <c r="K232" s="106"/>
      <c r="L232" s="106"/>
      <c r="M232" s="106"/>
      <c r="N232" s="106"/>
      <c r="O232" s="106"/>
      <c r="P232" s="106"/>
      <c r="Q232" s="106"/>
      <c r="R232" s="106"/>
      <c r="S232" s="106"/>
      <c r="T232" s="106"/>
      <c r="U232" s="106"/>
      <c r="V232" s="106"/>
      <c r="W232" s="106"/>
      <c r="X232" s="106"/>
      <c r="Y232" s="106"/>
      <c r="Z232" s="106"/>
      <c r="AA232" s="106"/>
      <c r="AB232" s="106"/>
      <c r="AC232" s="106"/>
    </row>
    <row r="233" spans="1:29">
      <c r="A233" s="106"/>
      <c r="B233" s="106"/>
      <c r="C233" s="106"/>
      <c r="D233" s="106"/>
      <c r="E233" s="106"/>
      <c r="F233" s="106"/>
      <c r="G233" s="106"/>
      <c r="H233" s="106"/>
      <c r="I233" s="106"/>
      <c r="J233" s="106"/>
      <c r="K233" s="106"/>
      <c r="L233" s="106"/>
      <c r="M233" s="106"/>
      <c r="N233" s="106"/>
      <c r="O233" s="106"/>
      <c r="P233" s="106"/>
      <c r="Q233" s="106"/>
      <c r="R233" s="106"/>
      <c r="S233" s="106"/>
      <c r="T233" s="106"/>
      <c r="U233" s="106"/>
      <c r="V233" s="106"/>
      <c r="W233" s="106"/>
      <c r="X233" s="106"/>
      <c r="Y233" s="106"/>
      <c r="Z233" s="106"/>
      <c r="AA233" s="106"/>
      <c r="AB233" s="106"/>
      <c r="AC233" s="106"/>
    </row>
    <row r="234" spans="1:29">
      <c r="A234" s="106"/>
      <c r="B234" s="106"/>
      <c r="C234" s="106"/>
      <c r="D234" s="106"/>
      <c r="E234" s="106"/>
      <c r="F234" s="106"/>
      <c r="G234" s="106"/>
      <c r="H234" s="106"/>
      <c r="I234" s="106"/>
      <c r="J234" s="106"/>
      <c r="K234" s="106"/>
      <c r="L234" s="106"/>
      <c r="M234" s="106"/>
      <c r="N234" s="106"/>
      <c r="O234" s="106"/>
      <c r="P234" s="106"/>
      <c r="Q234" s="106"/>
      <c r="R234" s="106"/>
      <c r="S234" s="106"/>
      <c r="T234" s="106"/>
      <c r="U234" s="106"/>
      <c r="V234" s="106"/>
      <c r="W234" s="106"/>
      <c r="X234" s="106"/>
      <c r="Y234" s="106"/>
      <c r="Z234" s="106"/>
      <c r="AA234" s="106"/>
      <c r="AB234" s="106"/>
      <c r="AC234" s="106"/>
    </row>
    <row r="235" spans="1:29">
      <c r="A235" s="106"/>
      <c r="B235" s="106"/>
      <c r="C235" s="106"/>
      <c r="D235" s="106"/>
      <c r="E235" s="106"/>
      <c r="F235" s="106"/>
      <c r="G235" s="106"/>
      <c r="H235" s="106"/>
      <c r="I235" s="106"/>
      <c r="J235" s="106"/>
      <c r="K235" s="106"/>
      <c r="L235" s="106"/>
      <c r="M235" s="106"/>
      <c r="N235" s="106"/>
      <c r="O235" s="106"/>
      <c r="P235" s="106"/>
      <c r="Q235" s="106"/>
      <c r="R235" s="106"/>
      <c r="S235" s="106"/>
      <c r="T235" s="106"/>
      <c r="U235" s="106"/>
      <c r="V235" s="106"/>
      <c r="W235" s="106"/>
      <c r="X235" s="106"/>
      <c r="Y235" s="106"/>
      <c r="Z235" s="106"/>
      <c r="AA235" s="106"/>
      <c r="AB235" s="106"/>
      <c r="AC235" s="106"/>
    </row>
    <row r="236" spans="1:29">
      <c r="A236" s="106"/>
      <c r="B236" s="106"/>
      <c r="C236" s="106"/>
      <c r="D236" s="106"/>
      <c r="E236" s="106"/>
      <c r="F236" s="106"/>
      <c r="G236" s="106"/>
      <c r="H236" s="106"/>
      <c r="I236" s="106"/>
      <c r="J236" s="106"/>
      <c r="K236" s="106"/>
      <c r="L236" s="106"/>
      <c r="M236" s="106"/>
      <c r="N236" s="106"/>
      <c r="O236" s="106"/>
      <c r="P236" s="106"/>
      <c r="Q236" s="106"/>
      <c r="R236" s="106"/>
      <c r="S236" s="106"/>
      <c r="T236" s="106"/>
      <c r="U236" s="106"/>
      <c r="V236" s="106"/>
      <c r="W236" s="106"/>
      <c r="X236" s="106"/>
      <c r="Y236" s="106"/>
      <c r="Z236" s="106"/>
      <c r="AA236" s="106"/>
      <c r="AB236" s="106"/>
      <c r="AC236" s="106"/>
    </row>
    <row r="237" spans="1:29">
      <c r="A237" s="106"/>
      <c r="B237" s="106"/>
      <c r="C237" s="106"/>
      <c r="D237" s="106"/>
      <c r="E237" s="106"/>
      <c r="F237" s="106"/>
      <c r="G237" s="106"/>
      <c r="H237" s="106"/>
      <c r="I237" s="106"/>
      <c r="J237" s="106"/>
      <c r="K237" s="106"/>
      <c r="L237" s="106"/>
      <c r="M237" s="106"/>
      <c r="N237" s="106"/>
      <c r="O237" s="106"/>
      <c r="P237" s="106"/>
      <c r="Q237" s="106"/>
      <c r="R237" s="106"/>
      <c r="S237" s="106"/>
      <c r="T237" s="106"/>
      <c r="U237" s="106"/>
      <c r="V237" s="106"/>
      <c r="W237" s="106"/>
      <c r="X237" s="106"/>
      <c r="Y237" s="106"/>
      <c r="Z237" s="106"/>
      <c r="AA237" s="106"/>
      <c r="AB237" s="106"/>
      <c r="AC237" s="106"/>
    </row>
    <row r="238" spans="1:29">
      <c r="A238" s="106"/>
      <c r="B238" s="106"/>
      <c r="C238" s="106"/>
      <c r="D238" s="106"/>
      <c r="E238" s="106"/>
      <c r="F238" s="106"/>
      <c r="G238" s="106"/>
      <c r="H238" s="106"/>
      <c r="I238" s="106"/>
      <c r="J238" s="106"/>
      <c r="K238" s="106"/>
      <c r="L238" s="106"/>
      <c r="M238" s="106"/>
      <c r="N238" s="106"/>
      <c r="O238" s="106"/>
      <c r="P238" s="106"/>
      <c r="Q238" s="106"/>
      <c r="R238" s="106"/>
      <c r="S238" s="106"/>
      <c r="T238" s="106"/>
      <c r="U238" s="106"/>
      <c r="V238" s="106"/>
      <c r="W238" s="106"/>
      <c r="X238" s="106"/>
      <c r="Y238" s="106"/>
      <c r="Z238" s="106"/>
      <c r="AA238" s="106"/>
      <c r="AB238" s="106"/>
      <c r="AC238" s="106"/>
    </row>
    <row r="239" spans="1:29">
      <c r="A239" s="106"/>
      <c r="B239" s="106"/>
      <c r="C239" s="106"/>
      <c r="D239" s="106"/>
      <c r="E239" s="106"/>
      <c r="F239" s="106"/>
      <c r="G239" s="106"/>
      <c r="H239" s="106"/>
      <c r="I239" s="106"/>
      <c r="J239" s="106"/>
      <c r="K239" s="106"/>
      <c r="L239" s="106"/>
      <c r="M239" s="106"/>
      <c r="N239" s="106"/>
      <c r="O239" s="106"/>
      <c r="P239" s="106"/>
      <c r="Q239" s="106"/>
      <c r="R239" s="106"/>
      <c r="S239" s="106"/>
      <c r="T239" s="106"/>
      <c r="U239" s="106"/>
      <c r="V239" s="106"/>
      <c r="W239" s="106"/>
      <c r="X239" s="106"/>
      <c r="Y239" s="106"/>
      <c r="Z239" s="106"/>
      <c r="AA239" s="106"/>
      <c r="AB239" s="106"/>
      <c r="AC239" s="106"/>
    </row>
    <row r="240" spans="1:29">
      <c r="A240" s="106"/>
      <c r="B240" s="106"/>
      <c r="C240" s="106"/>
      <c r="D240" s="106"/>
      <c r="E240" s="106"/>
      <c r="F240" s="106"/>
      <c r="G240" s="106"/>
      <c r="H240" s="106"/>
      <c r="I240" s="106"/>
      <c r="J240" s="106"/>
      <c r="K240" s="106"/>
      <c r="L240" s="106"/>
      <c r="M240" s="106"/>
      <c r="N240" s="106"/>
      <c r="O240" s="106"/>
      <c r="P240" s="106"/>
      <c r="Q240" s="106"/>
      <c r="R240" s="106"/>
      <c r="S240" s="106"/>
      <c r="T240" s="106"/>
      <c r="U240" s="106"/>
      <c r="V240" s="106"/>
      <c r="W240" s="106"/>
      <c r="X240" s="106"/>
      <c r="Y240" s="106"/>
      <c r="Z240" s="106"/>
      <c r="AA240" s="106"/>
      <c r="AB240" s="106"/>
      <c r="AC240" s="106"/>
    </row>
    <row r="241" spans="1:29">
      <c r="A241" s="106"/>
      <c r="B241" s="106"/>
      <c r="C241" s="106"/>
      <c r="D241" s="106"/>
      <c r="E241" s="106"/>
      <c r="F241" s="106"/>
      <c r="G241" s="106"/>
      <c r="H241" s="106"/>
      <c r="I241" s="106"/>
      <c r="J241" s="106"/>
      <c r="K241" s="106"/>
      <c r="L241" s="106"/>
      <c r="M241" s="106"/>
      <c r="N241" s="106"/>
      <c r="O241" s="106"/>
      <c r="P241" s="106"/>
      <c r="Q241" s="106"/>
      <c r="R241" s="106"/>
      <c r="S241" s="106"/>
      <c r="T241" s="106"/>
      <c r="U241" s="106"/>
      <c r="V241" s="106"/>
      <c r="W241" s="106"/>
      <c r="X241" s="106"/>
      <c r="Y241" s="106"/>
      <c r="Z241" s="106"/>
      <c r="AA241" s="106"/>
      <c r="AB241" s="106"/>
      <c r="AC241" s="106"/>
    </row>
    <row r="242" spans="1:29">
      <c r="A242" s="106"/>
      <c r="B242" s="106"/>
      <c r="C242" s="106"/>
      <c r="D242" s="106"/>
      <c r="E242" s="106"/>
      <c r="F242" s="106"/>
      <c r="G242" s="106"/>
      <c r="H242" s="106"/>
      <c r="I242" s="106"/>
      <c r="J242" s="106"/>
      <c r="K242" s="106"/>
      <c r="L242" s="106"/>
      <c r="M242" s="106"/>
      <c r="N242" s="106"/>
      <c r="O242" s="106"/>
      <c r="P242" s="106"/>
      <c r="Q242" s="106"/>
      <c r="R242" s="106"/>
      <c r="S242" s="106"/>
      <c r="T242" s="106"/>
      <c r="U242" s="106"/>
      <c r="V242" s="106"/>
      <c r="W242" s="106"/>
      <c r="X242" s="106"/>
      <c r="Y242" s="106"/>
      <c r="Z242" s="106"/>
      <c r="AA242" s="106"/>
      <c r="AB242" s="106"/>
      <c r="AC242" s="106"/>
    </row>
    <row r="243" spans="1:29">
      <c r="A243" s="106"/>
      <c r="B243" s="106"/>
      <c r="C243" s="106"/>
      <c r="D243" s="106"/>
      <c r="E243" s="106"/>
      <c r="F243" s="106"/>
      <c r="G243" s="106"/>
      <c r="H243" s="106"/>
      <c r="I243" s="106"/>
      <c r="J243" s="106"/>
      <c r="K243" s="106"/>
      <c r="L243" s="106"/>
      <c r="M243" s="106"/>
      <c r="N243" s="106"/>
      <c r="O243" s="106"/>
      <c r="P243" s="106"/>
      <c r="Q243" s="106"/>
      <c r="R243" s="106"/>
      <c r="S243" s="106"/>
      <c r="T243" s="106"/>
      <c r="U243" s="106"/>
      <c r="V243" s="106"/>
      <c r="W243" s="106"/>
      <c r="X243" s="106"/>
      <c r="Y243" s="106"/>
      <c r="Z243" s="106"/>
      <c r="AA243" s="106"/>
      <c r="AB243" s="106"/>
      <c r="AC243" s="106"/>
    </row>
    <row r="244" spans="1:29">
      <c r="A244" s="106"/>
      <c r="B244" s="106"/>
      <c r="C244" s="106"/>
      <c r="D244" s="106"/>
      <c r="E244" s="106"/>
      <c r="F244" s="106"/>
      <c r="G244" s="106"/>
      <c r="H244" s="106"/>
      <c r="I244" s="106"/>
      <c r="J244" s="106"/>
      <c r="K244" s="106"/>
      <c r="L244" s="106"/>
      <c r="M244" s="106"/>
      <c r="N244" s="106"/>
      <c r="O244" s="106"/>
      <c r="P244" s="106"/>
      <c r="Q244" s="106"/>
      <c r="R244" s="106"/>
      <c r="S244" s="106"/>
      <c r="T244" s="106"/>
      <c r="U244" s="106"/>
      <c r="V244" s="106"/>
      <c r="W244" s="106"/>
      <c r="X244" s="106"/>
      <c r="Y244" s="106"/>
      <c r="Z244" s="106"/>
      <c r="AA244" s="106"/>
      <c r="AB244" s="106"/>
      <c r="AC244" s="106"/>
    </row>
    <row r="245" spans="1:29">
      <c r="A245" s="106"/>
      <c r="B245" s="106"/>
      <c r="C245" s="106"/>
      <c r="D245" s="106"/>
      <c r="E245" s="106"/>
      <c r="F245" s="106"/>
      <c r="G245" s="106"/>
      <c r="H245" s="106"/>
      <c r="I245" s="106"/>
      <c r="J245" s="106"/>
      <c r="K245" s="106"/>
      <c r="L245" s="106"/>
      <c r="M245" s="106"/>
      <c r="N245" s="106"/>
      <c r="O245" s="106"/>
      <c r="P245" s="106"/>
      <c r="Q245" s="106"/>
      <c r="R245" s="106"/>
      <c r="S245" s="106"/>
      <c r="T245" s="106"/>
      <c r="U245" s="106"/>
      <c r="V245" s="106"/>
      <c r="W245" s="106"/>
      <c r="X245" s="106"/>
      <c r="Y245" s="106"/>
      <c r="Z245" s="106"/>
      <c r="AA245" s="106"/>
      <c r="AB245" s="106"/>
      <c r="AC245" s="106"/>
    </row>
    <row r="246" spans="1:29">
      <c r="A246" s="106"/>
      <c r="B246" s="106"/>
      <c r="C246" s="106"/>
      <c r="D246" s="106"/>
      <c r="E246" s="106"/>
      <c r="F246" s="106"/>
      <c r="G246" s="106"/>
      <c r="H246" s="106"/>
      <c r="I246" s="106"/>
      <c r="J246" s="106"/>
      <c r="K246" s="106"/>
      <c r="L246" s="106"/>
      <c r="M246" s="106"/>
      <c r="N246" s="106"/>
      <c r="O246" s="106"/>
      <c r="P246" s="106"/>
      <c r="Q246" s="106"/>
      <c r="R246" s="106"/>
      <c r="S246" s="106"/>
      <c r="T246" s="106"/>
      <c r="U246" s="106"/>
      <c r="V246" s="106"/>
      <c r="W246" s="106"/>
      <c r="X246" s="106"/>
      <c r="Y246" s="106"/>
      <c r="Z246" s="106"/>
      <c r="AA246" s="106"/>
      <c r="AB246" s="106"/>
      <c r="AC246" s="106"/>
    </row>
    <row r="247" spans="1:29">
      <c r="A247" s="106"/>
      <c r="B247" s="106"/>
      <c r="C247" s="106"/>
      <c r="D247" s="106"/>
      <c r="E247" s="106"/>
      <c r="F247" s="106"/>
      <c r="G247" s="106"/>
      <c r="H247" s="106"/>
      <c r="I247" s="106"/>
      <c r="J247" s="106"/>
      <c r="K247" s="106"/>
      <c r="L247" s="106"/>
      <c r="M247" s="106"/>
      <c r="N247" s="106"/>
      <c r="O247" s="106"/>
      <c r="P247" s="106"/>
      <c r="Q247" s="106"/>
      <c r="R247" s="106"/>
      <c r="S247" s="106"/>
      <c r="T247" s="106"/>
      <c r="U247" s="106"/>
      <c r="V247" s="106"/>
      <c r="W247" s="106"/>
      <c r="X247" s="106"/>
      <c r="Y247" s="106"/>
      <c r="Z247" s="106"/>
      <c r="AA247" s="106"/>
      <c r="AB247" s="106"/>
      <c r="AC247" s="106"/>
    </row>
    <row r="248" spans="1:29">
      <c r="A248" s="106"/>
      <c r="B248" s="106"/>
      <c r="C248" s="106"/>
      <c r="D248" s="106"/>
      <c r="E248" s="106"/>
      <c r="F248" s="106"/>
      <c r="G248" s="106"/>
      <c r="H248" s="106"/>
      <c r="I248" s="106"/>
      <c r="J248" s="106"/>
      <c r="K248" s="106"/>
      <c r="L248" s="106"/>
      <c r="M248" s="106"/>
      <c r="N248" s="106"/>
      <c r="O248" s="106"/>
      <c r="P248" s="106"/>
      <c r="Q248" s="106"/>
      <c r="R248" s="106"/>
      <c r="S248" s="106"/>
      <c r="T248" s="106"/>
      <c r="U248" s="106"/>
      <c r="V248" s="106"/>
      <c r="W248" s="106"/>
      <c r="X248" s="106"/>
      <c r="Y248" s="106"/>
      <c r="Z248" s="106"/>
      <c r="AA248" s="106"/>
      <c r="AB248" s="106"/>
      <c r="AC248" s="106"/>
    </row>
    <row r="249" spans="1:29">
      <c r="A249" s="106"/>
      <c r="B249" s="106"/>
      <c r="C249" s="106"/>
      <c r="D249" s="106"/>
      <c r="E249" s="106"/>
      <c r="F249" s="106"/>
      <c r="G249" s="106"/>
      <c r="H249" s="106"/>
      <c r="I249" s="106"/>
      <c r="J249" s="106"/>
      <c r="K249" s="106"/>
      <c r="L249" s="106"/>
      <c r="M249" s="106"/>
      <c r="N249" s="106"/>
      <c r="O249" s="106"/>
      <c r="P249" s="106"/>
      <c r="Q249" s="106"/>
      <c r="R249" s="106"/>
      <c r="S249" s="106"/>
      <c r="T249" s="106"/>
      <c r="U249" s="106"/>
      <c r="V249" s="106"/>
      <c r="W249" s="106"/>
      <c r="X249" s="106"/>
      <c r="Y249" s="106"/>
      <c r="Z249" s="106"/>
      <c r="AA249" s="106"/>
      <c r="AB249" s="106"/>
      <c r="AC249" s="106"/>
    </row>
    <row r="250" spans="1:29">
      <c r="A250" s="106"/>
      <c r="B250" s="106"/>
      <c r="C250" s="106"/>
      <c r="D250" s="106"/>
      <c r="E250" s="106"/>
      <c r="F250" s="106"/>
      <c r="G250" s="106"/>
      <c r="H250" s="106"/>
      <c r="I250" s="106"/>
      <c r="J250" s="106"/>
      <c r="K250" s="106"/>
      <c r="L250" s="106"/>
      <c r="M250" s="106"/>
      <c r="N250" s="106"/>
      <c r="O250" s="106"/>
      <c r="P250" s="106"/>
      <c r="Q250" s="106"/>
      <c r="R250" s="106"/>
      <c r="S250" s="106"/>
      <c r="T250" s="106"/>
      <c r="U250" s="106"/>
      <c r="V250" s="106"/>
      <c r="W250" s="106"/>
      <c r="X250" s="106"/>
      <c r="Y250" s="106"/>
      <c r="Z250" s="106"/>
      <c r="AA250" s="106"/>
      <c r="AB250" s="106"/>
      <c r="AC250" s="106"/>
    </row>
    <row r="251" spans="1:29">
      <c r="A251" s="106"/>
      <c r="B251" s="106"/>
      <c r="C251" s="106"/>
      <c r="D251" s="106"/>
      <c r="E251" s="106"/>
      <c r="F251" s="106"/>
      <c r="G251" s="106"/>
      <c r="H251" s="106"/>
      <c r="I251" s="106"/>
      <c r="J251" s="106"/>
      <c r="K251" s="106"/>
      <c r="L251" s="106"/>
      <c r="M251" s="106"/>
      <c r="N251" s="106"/>
      <c r="O251" s="106"/>
      <c r="P251" s="106"/>
      <c r="Q251" s="106"/>
      <c r="R251" s="106"/>
      <c r="S251" s="106"/>
      <c r="T251" s="106"/>
      <c r="U251" s="106"/>
      <c r="V251" s="106"/>
      <c r="W251" s="106"/>
      <c r="X251" s="106"/>
      <c r="Y251" s="106"/>
      <c r="Z251" s="106"/>
      <c r="AA251" s="106"/>
      <c r="AB251" s="106"/>
      <c r="AC251" s="106"/>
    </row>
    <row r="252" spans="1:29">
      <c r="A252" s="106"/>
      <c r="B252" s="106"/>
      <c r="C252" s="106"/>
      <c r="D252" s="106"/>
      <c r="E252" s="106"/>
      <c r="F252" s="106"/>
      <c r="G252" s="106"/>
      <c r="H252" s="106"/>
      <c r="I252" s="106"/>
      <c r="J252" s="106"/>
      <c r="K252" s="106"/>
      <c r="L252" s="106"/>
      <c r="M252" s="106"/>
      <c r="N252" s="106"/>
      <c r="O252" s="106"/>
      <c r="P252" s="106"/>
      <c r="Q252" s="106"/>
      <c r="R252" s="106"/>
      <c r="S252" s="106"/>
      <c r="T252" s="106"/>
      <c r="U252" s="106"/>
      <c r="V252" s="106"/>
      <c r="W252" s="106"/>
      <c r="X252" s="106"/>
      <c r="Y252" s="106"/>
      <c r="Z252" s="106"/>
      <c r="AA252" s="106"/>
      <c r="AB252" s="106"/>
      <c r="AC252" s="106"/>
    </row>
    <row r="253" spans="1:29">
      <c r="A253" s="106"/>
      <c r="B253" s="106"/>
      <c r="C253" s="106"/>
      <c r="D253" s="106"/>
      <c r="E253" s="106"/>
      <c r="F253" s="106"/>
      <c r="G253" s="106"/>
      <c r="H253" s="106"/>
      <c r="I253" s="106"/>
      <c r="J253" s="106"/>
      <c r="K253" s="106"/>
      <c r="L253" s="106"/>
      <c r="M253" s="106"/>
      <c r="N253" s="106"/>
      <c r="O253" s="106"/>
      <c r="P253" s="106"/>
      <c r="Q253" s="106"/>
      <c r="R253" s="106"/>
      <c r="S253" s="106"/>
      <c r="T253" s="106"/>
      <c r="U253" s="106"/>
      <c r="V253" s="106"/>
      <c r="W253" s="106"/>
      <c r="X253" s="106"/>
      <c r="Y253" s="106"/>
      <c r="Z253" s="106"/>
      <c r="AA253" s="106"/>
      <c r="AB253" s="106"/>
      <c r="AC253" s="106"/>
    </row>
    <row r="254" spans="1:29">
      <c r="A254" s="106"/>
      <c r="B254" s="106"/>
      <c r="C254" s="106"/>
      <c r="D254" s="106"/>
      <c r="E254" s="106"/>
      <c r="F254" s="106"/>
      <c r="G254" s="106"/>
      <c r="H254" s="106"/>
      <c r="I254" s="106"/>
      <c r="J254" s="106"/>
      <c r="K254" s="106"/>
      <c r="L254" s="106"/>
      <c r="M254" s="106"/>
      <c r="N254" s="106"/>
      <c r="O254" s="106"/>
      <c r="P254" s="106"/>
      <c r="Q254" s="106"/>
      <c r="R254" s="106"/>
      <c r="S254" s="106"/>
      <c r="T254" s="106"/>
      <c r="U254" s="106"/>
      <c r="V254" s="106"/>
      <c r="W254" s="106"/>
      <c r="X254" s="106"/>
      <c r="Y254" s="106"/>
      <c r="Z254" s="106"/>
      <c r="AA254" s="106"/>
      <c r="AB254" s="106"/>
      <c r="AC254" s="106"/>
    </row>
    <row r="255" spans="1:29">
      <c r="A255" s="106"/>
      <c r="B255" s="106"/>
      <c r="C255" s="106"/>
      <c r="D255" s="106"/>
      <c r="E255" s="106"/>
      <c r="F255" s="106"/>
      <c r="G255" s="106"/>
      <c r="H255" s="106"/>
      <c r="I255" s="106"/>
      <c r="J255" s="106"/>
      <c r="K255" s="106"/>
      <c r="L255" s="106"/>
      <c r="M255" s="106"/>
      <c r="N255" s="106"/>
      <c r="O255" s="106"/>
      <c r="P255" s="106"/>
      <c r="Q255" s="106"/>
      <c r="R255" s="106"/>
      <c r="S255" s="106"/>
      <c r="T255" s="106"/>
      <c r="U255" s="106"/>
      <c r="V255" s="106"/>
      <c r="W255" s="106"/>
      <c r="X255" s="106"/>
      <c r="Y255" s="106"/>
      <c r="Z255" s="106"/>
      <c r="AA255" s="106"/>
      <c r="AB255" s="106"/>
      <c r="AC255" s="106"/>
    </row>
    <row r="256" spans="1:29">
      <c r="A256" s="106"/>
      <c r="B256" s="106"/>
      <c r="C256" s="106"/>
      <c r="D256" s="106"/>
      <c r="E256" s="106"/>
      <c r="F256" s="106"/>
      <c r="G256" s="106"/>
      <c r="H256" s="106"/>
      <c r="I256" s="106"/>
      <c r="J256" s="106"/>
      <c r="K256" s="106"/>
      <c r="L256" s="106"/>
      <c r="M256" s="106"/>
      <c r="N256" s="106"/>
      <c r="O256" s="106"/>
      <c r="P256" s="106"/>
      <c r="Q256" s="106"/>
      <c r="R256" s="106"/>
      <c r="S256" s="106"/>
      <c r="T256" s="106"/>
      <c r="U256" s="106"/>
      <c r="V256" s="106"/>
      <c r="W256" s="106"/>
      <c r="X256" s="106"/>
      <c r="Y256" s="106"/>
      <c r="Z256" s="106"/>
      <c r="AA256" s="106"/>
      <c r="AB256" s="106"/>
      <c r="AC256" s="106"/>
    </row>
    <row r="257" spans="1:29">
      <c r="A257" s="106"/>
      <c r="B257" s="106"/>
      <c r="C257" s="106"/>
      <c r="D257" s="106"/>
      <c r="E257" s="106"/>
      <c r="F257" s="106"/>
      <c r="G257" s="106"/>
      <c r="H257" s="106"/>
      <c r="I257" s="106"/>
      <c r="J257" s="106"/>
      <c r="K257" s="106"/>
      <c r="L257" s="106"/>
      <c r="M257" s="106"/>
      <c r="N257" s="106"/>
      <c r="O257" s="106"/>
      <c r="P257" s="106"/>
      <c r="Q257" s="106"/>
      <c r="R257" s="106"/>
      <c r="S257" s="106"/>
      <c r="T257" s="106"/>
      <c r="U257" s="106"/>
      <c r="V257" s="106"/>
      <c r="W257" s="106"/>
      <c r="X257" s="106"/>
      <c r="Y257" s="106"/>
      <c r="Z257" s="106"/>
      <c r="AA257" s="106"/>
      <c r="AB257" s="106"/>
      <c r="AC257" s="106"/>
    </row>
    <row r="258" spans="1:29">
      <c r="A258" s="106"/>
      <c r="B258" s="106"/>
      <c r="C258" s="106"/>
      <c r="D258" s="106"/>
      <c r="E258" s="106"/>
      <c r="F258" s="106"/>
      <c r="G258" s="106"/>
      <c r="H258" s="106"/>
      <c r="I258" s="106"/>
      <c r="J258" s="106"/>
      <c r="K258" s="106"/>
      <c r="L258" s="106"/>
      <c r="M258" s="106"/>
      <c r="N258" s="106"/>
      <c r="O258" s="106"/>
      <c r="P258" s="106"/>
      <c r="Q258" s="106"/>
      <c r="R258" s="106"/>
      <c r="S258" s="106"/>
      <c r="T258" s="106"/>
      <c r="U258" s="106"/>
      <c r="V258" s="106"/>
      <c r="W258" s="106"/>
      <c r="X258" s="106"/>
      <c r="Y258" s="106"/>
      <c r="Z258" s="106"/>
      <c r="AA258" s="106"/>
      <c r="AB258" s="106"/>
      <c r="AC258" s="106"/>
    </row>
    <row r="259" spans="1:29">
      <c r="A259" s="106"/>
      <c r="B259" s="106"/>
      <c r="C259" s="106"/>
      <c r="D259" s="106"/>
      <c r="E259" s="106"/>
      <c r="F259" s="106"/>
      <c r="G259" s="106"/>
      <c r="H259" s="106"/>
      <c r="I259" s="106"/>
      <c r="J259" s="106"/>
      <c r="K259" s="106"/>
      <c r="L259" s="106"/>
      <c r="M259" s="106"/>
      <c r="N259" s="106"/>
      <c r="O259" s="106"/>
      <c r="P259" s="106"/>
      <c r="Q259" s="106"/>
      <c r="R259" s="106"/>
      <c r="S259" s="106"/>
      <c r="T259" s="106"/>
      <c r="U259" s="106"/>
      <c r="V259" s="106"/>
      <c r="W259" s="106"/>
      <c r="X259" s="106"/>
      <c r="Y259" s="106"/>
      <c r="Z259" s="106"/>
      <c r="AA259" s="106"/>
      <c r="AB259" s="106"/>
      <c r="AC259" s="106"/>
    </row>
    <row r="260" spans="1:29">
      <c r="A260" s="106"/>
      <c r="B260" s="106"/>
      <c r="C260" s="106"/>
      <c r="D260" s="106"/>
      <c r="E260" s="106"/>
      <c r="F260" s="106"/>
      <c r="G260" s="106"/>
      <c r="H260" s="106"/>
      <c r="I260" s="106"/>
      <c r="J260" s="106"/>
      <c r="K260" s="106"/>
      <c r="L260" s="106"/>
      <c r="M260" s="106"/>
      <c r="N260" s="106"/>
      <c r="O260" s="106"/>
      <c r="P260" s="106"/>
      <c r="Q260" s="106"/>
      <c r="R260" s="106"/>
      <c r="S260" s="106"/>
      <c r="T260" s="106"/>
      <c r="U260" s="106"/>
      <c r="V260" s="106"/>
      <c r="W260" s="106"/>
      <c r="X260" s="106"/>
      <c r="Y260" s="106"/>
      <c r="Z260" s="106"/>
      <c r="AA260" s="106"/>
      <c r="AB260" s="106"/>
      <c r="AC260" s="106"/>
    </row>
    <row r="261" spans="1:29">
      <c r="A261" s="106"/>
      <c r="B261" s="106"/>
      <c r="C261" s="106"/>
      <c r="D261" s="106"/>
      <c r="E261" s="106"/>
      <c r="F261" s="106"/>
      <c r="G261" s="106"/>
      <c r="H261" s="106"/>
      <c r="I261" s="106"/>
      <c r="J261" s="106"/>
      <c r="K261" s="106"/>
      <c r="L261" s="106"/>
      <c r="M261" s="106"/>
      <c r="N261" s="106"/>
      <c r="O261" s="106"/>
      <c r="P261" s="106"/>
      <c r="Q261" s="106"/>
      <c r="R261" s="106"/>
      <c r="S261" s="106"/>
      <c r="T261" s="106"/>
      <c r="U261" s="106"/>
      <c r="V261" s="106"/>
      <c r="W261" s="106"/>
      <c r="X261" s="106"/>
      <c r="Y261" s="106"/>
      <c r="Z261" s="106"/>
      <c r="AA261" s="106"/>
      <c r="AB261" s="106"/>
      <c r="AC261" s="106"/>
    </row>
    <row r="262" spans="1:29">
      <c r="A262" s="106"/>
      <c r="B262" s="106"/>
      <c r="C262" s="106"/>
      <c r="D262" s="106"/>
      <c r="E262" s="106"/>
      <c r="F262" s="106"/>
      <c r="G262" s="106"/>
      <c r="H262" s="106"/>
      <c r="I262" s="106"/>
      <c r="J262" s="106"/>
      <c r="K262" s="106"/>
      <c r="L262" s="106"/>
      <c r="M262" s="106"/>
      <c r="N262" s="106"/>
      <c r="O262" s="106"/>
      <c r="P262" s="106"/>
      <c r="Q262" s="106"/>
      <c r="R262" s="106"/>
      <c r="S262" s="106"/>
      <c r="T262" s="106"/>
      <c r="U262" s="106"/>
      <c r="V262" s="106"/>
      <c r="W262" s="106"/>
      <c r="X262" s="106"/>
      <c r="Y262" s="106"/>
      <c r="Z262" s="106"/>
      <c r="AA262" s="106"/>
      <c r="AB262" s="106"/>
      <c r="AC262" s="106"/>
    </row>
    <row r="263" spans="1:29">
      <c r="A263" s="106"/>
      <c r="B263" s="106"/>
      <c r="C263" s="106"/>
      <c r="D263" s="106"/>
      <c r="E263" s="106"/>
      <c r="F263" s="106"/>
      <c r="G263" s="106"/>
      <c r="H263" s="106"/>
      <c r="I263" s="106"/>
      <c r="J263" s="106"/>
      <c r="K263" s="106"/>
      <c r="L263" s="106"/>
      <c r="M263" s="106"/>
      <c r="N263" s="106"/>
      <c r="O263" s="106"/>
      <c r="P263" s="106"/>
      <c r="Q263" s="106"/>
      <c r="R263" s="106"/>
      <c r="S263" s="106"/>
      <c r="T263" s="106"/>
      <c r="U263" s="106"/>
      <c r="V263" s="106"/>
      <c r="W263" s="106"/>
      <c r="X263" s="106"/>
      <c r="Y263" s="106"/>
      <c r="Z263" s="106"/>
      <c r="AA263" s="106"/>
      <c r="AB263" s="106"/>
      <c r="AC263" s="106"/>
    </row>
    <row r="264" spans="1:29">
      <c r="A264" s="106"/>
      <c r="B264" s="106"/>
      <c r="C264" s="106"/>
      <c r="D264" s="106"/>
      <c r="E264" s="106"/>
      <c r="F264" s="106"/>
      <c r="G264" s="106"/>
      <c r="H264" s="106"/>
      <c r="I264" s="106"/>
      <c r="J264" s="106"/>
      <c r="K264" s="106"/>
      <c r="L264" s="106"/>
      <c r="M264" s="106"/>
      <c r="N264" s="106"/>
      <c r="O264" s="106"/>
      <c r="P264" s="106"/>
      <c r="Q264" s="106"/>
      <c r="R264" s="106"/>
      <c r="S264" s="106"/>
      <c r="T264" s="106"/>
      <c r="U264" s="106"/>
      <c r="V264" s="106"/>
      <c r="W264" s="106"/>
      <c r="X264" s="106"/>
      <c r="Y264" s="106"/>
      <c r="Z264" s="106"/>
      <c r="AA264" s="106"/>
      <c r="AB264" s="106"/>
      <c r="AC264" s="106"/>
    </row>
    <row r="265" spans="1:29">
      <c r="A265" s="106"/>
      <c r="B265" s="106"/>
      <c r="C265" s="106"/>
      <c r="D265" s="106"/>
      <c r="E265" s="106"/>
      <c r="F265" s="106"/>
      <c r="G265" s="106"/>
      <c r="H265" s="106"/>
      <c r="I265" s="106"/>
      <c r="J265" s="106"/>
      <c r="K265" s="106"/>
      <c r="L265" s="106"/>
      <c r="M265" s="106"/>
      <c r="N265" s="106"/>
      <c r="O265" s="106"/>
      <c r="P265" s="106"/>
      <c r="Q265" s="106"/>
      <c r="R265" s="106"/>
      <c r="S265" s="106"/>
      <c r="T265" s="106"/>
      <c r="U265" s="106"/>
      <c r="V265" s="106"/>
      <c r="W265" s="106"/>
      <c r="X265" s="106"/>
      <c r="Y265" s="106"/>
      <c r="Z265" s="106"/>
      <c r="AA265" s="106"/>
      <c r="AB265" s="106"/>
      <c r="AC265" s="106"/>
    </row>
    <row r="266" spans="1:29">
      <c r="A266" s="106"/>
      <c r="B266" s="106"/>
      <c r="C266" s="106"/>
      <c r="D266" s="106"/>
      <c r="E266" s="106"/>
      <c r="F266" s="106"/>
      <c r="G266" s="106"/>
      <c r="H266" s="106"/>
      <c r="I266" s="106"/>
      <c r="J266" s="106"/>
      <c r="K266" s="106"/>
      <c r="L266" s="106"/>
      <c r="M266" s="106"/>
      <c r="N266" s="106"/>
      <c r="O266" s="106"/>
      <c r="P266" s="106"/>
      <c r="Q266" s="106"/>
      <c r="R266" s="106"/>
      <c r="S266" s="106"/>
      <c r="T266" s="106"/>
      <c r="U266" s="106"/>
      <c r="V266" s="106"/>
      <c r="W266" s="106"/>
      <c r="X266" s="106"/>
      <c r="Y266" s="106"/>
      <c r="Z266" s="106"/>
      <c r="AA266" s="106"/>
      <c r="AB266" s="106"/>
      <c r="AC266" s="106"/>
    </row>
    <row r="267" spans="1:29">
      <c r="A267" s="106"/>
      <c r="B267" s="106"/>
      <c r="C267" s="106"/>
      <c r="D267" s="106"/>
      <c r="E267" s="106"/>
      <c r="F267" s="106"/>
      <c r="G267" s="106"/>
      <c r="H267" s="106"/>
      <c r="I267" s="106"/>
      <c r="J267" s="106"/>
      <c r="K267" s="106"/>
      <c r="L267" s="106"/>
      <c r="M267" s="106"/>
      <c r="N267" s="106"/>
      <c r="O267" s="106"/>
      <c r="P267" s="106"/>
      <c r="Q267" s="106"/>
      <c r="R267" s="106"/>
      <c r="S267" s="106"/>
      <c r="T267" s="106"/>
      <c r="U267" s="106"/>
      <c r="V267" s="106"/>
      <c r="W267" s="106"/>
      <c r="X267" s="106"/>
      <c r="Y267" s="106"/>
      <c r="Z267" s="106"/>
      <c r="AA267" s="106"/>
      <c r="AB267" s="106"/>
      <c r="AC267" s="106"/>
    </row>
    <row r="268" spans="1:29">
      <c r="A268" s="106"/>
      <c r="B268" s="106"/>
      <c r="C268" s="106"/>
      <c r="D268" s="106"/>
      <c r="E268" s="106"/>
      <c r="F268" s="106"/>
      <c r="G268" s="106"/>
      <c r="H268" s="106"/>
      <c r="I268" s="106"/>
      <c r="J268" s="106"/>
      <c r="K268" s="106"/>
      <c r="L268" s="106"/>
      <c r="M268" s="106"/>
      <c r="N268" s="106"/>
      <c r="O268" s="106"/>
      <c r="P268" s="106"/>
      <c r="Q268" s="106"/>
      <c r="R268" s="106"/>
      <c r="S268" s="106"/>
      <c r="T268" s="106"/>
      <c r="U268" s="106"/>
      <c r="V268" s="106"/>
      <c r="W268" s="106"/>
      <c r="X268" s="106"/>
      <c r="Y268" s="106"/>
      <c r="Z268" s="106"/>
      <c r="AA268" s="106"/>
      <c r="AB268" s="106"/>
      <c r="AC268" s="106"/>
    </row>
    <row r="269" spans="1:29">
      <c r="A269" s="106"/>
      <c r="B269" s="106"/>
      <c r="C269" s="106"/>
      <c r="D269" s="106"/>
      <c r="E269" s="106"/>
      <c r="F269" s="106"/>
      <c r="G269" s="106"/>
      <c r="H269" s="106"/>
      <c r="I269" s="106"/>
      <c r="J269" s="106"/>
      <c r="K269" s="106"/>
      <c r="L269" s="106"/>
      <c r="M269" s="106"/>
      <c r="N269" s="106"/>
      <c r="O269" s="106"/>
      <c r="P269" s="106"/>
      <c r="Q269" s="106"/>
      <c r="R269" s="106"/>
      <c r="S269" s="106"/>
      <c r="T269" s="106"/>
      <c r="U269" s="106"/>
      <c r="V269" s="106"/>
      <c r="W269" s="106"/>
      <c r="X269" s="106"/>
      <c r="Y269" s="106"/>
      <c r="Z269" s="106"/>
      <c r="AA269" s="106"/>
      <c r="AB269" s="106"/>
      <c r="AC269" s="106"/>
    </row>
    <row r="270" spans="1:29">
      <c r="A270" s="106"/>
      <c r="B270" s="106"/>
      <c r="C270" s="106"/>
      <c r="D270" s="106"/>
      <c r="E270" s="106"/>
      <c r="F270" s="106"/>
      <c r="G270" s="106"/>
      <c r="H270" s="106"/>
      <c r="I270" s="106"/>
      <c r="J270" s="106"/>
      <c r="K270" s="106"/>
      <c r="L270" s="106"/>
      <c r="M270" s="106"/>
      <c r="N270" s="106"/>
      <c r="O270" s="106"/>
      <c r="P270" s="106"/>
      <c r="Q270" s="106"/>
      <c r="R270" s="106"/>
      <c r="S270" s="106"/>
      <c r="T270" s="106"/>
      <c r="U270" s="106"/>
      <c r="V270" s="106"/>
      <c r="W270" s="106"/>
      <c r="X270" s="106"/>
      <c r="Y270" s="106"/>
      <c r="Z270" s="106"/>
      <c r="AA270" s="106"/>
      <c r="AB270" s="106"/>
      <c r="AC270" s="106"/>
    </row>
    <row r="271" spans="1:29">
      <c r="A271" s="106"/>
      <c r="B271" s="106"/>
      <c r="C271" s="106"/>
      <c r="D271" s="106"/>
      <c r="E271" s="106"/>
      <c r="F271" s="106"/>
      <c r="G271" s="106"/>
      <c r="H271" s="106"/>
      <c r="I271" s="106"/>
      <c r="J271" s="106"/>
      <c r="K271" s="106"/>
      <c r="L271" s="106"/>
      <c r="M271" s="106"/>
      <c r="N271" s="106"/>
      <c r="O271" s="106"/>
      <c r="P271" s="106"/>
      <c r="Q271" s="106"/>
      <c r="R271" s="106"/>
      <c r="S271" s="106"/>
      <c r="T271" s="106"/>
      <c r="U271" s="106"/>
      <c r="V271" s="106"/>
      <c r="W271" s="106"/>
      <c r="X271" s="106"/>
      <c r="Y271" s="106"/>
      <c r="Z271" s="106"/>
      <c r="AA271" s="106"/>
      <c r="AB271" s="106"/>
      <c r="AC271" s="106"/>
    </row>
    <row r="272" spans="1:29">
      <c r="A272" s="106"/>
      <c r="B272" s="106"/>
      <c r="C272" s="106"/>
      <c r="D272" s="106"/>
      <c r="E272" s="106"/>
      <c r="F272" s="106"/>
      <c r="G272" s="106"/>
      <c r="H272" s="106"/>
      <c r="I272" s="106"/>
      <c r="J272" s="106"/>
      <c r="K272" s="106"/>
      <c r="L272" s="106"/>
      <c r="M272" s="106"/>
      <c r="N272" s="106"/>
      <c r="O272" s="106"/>
      <c r="P272" s="106"/>
      <c r="Q272" s="106"/>
      <c r="R272" s="106"/>
      <c r="S272" s="106"/>
      <c r="T272" s="106"/>
      <c r="U272" s="106"/>
      <c r="V272" s="106"/>
      <c r="W272" s="106"/>
      <c r="X272" s="106"/>
      <c r="Y272" s="106"/>
      <c r="Z272" s="106"/>
      <c r="AA272" s="106"/>
      <c r="AB272" s="106"/>
      <c r="AC272" s="106"/>
    </row>
    <row r="273" spans="1:29">
      <c r="A273" s="106"/>
      <c r="B273" s="106"/>
      <c r="C273" s="106"/>
      <c r="D273" s="106"/>
      <c r="E273" s="106"/>
      <c r="F273" s="106"/>
      <c r="G273" s="106"/>
      <c r="H273" s="106"/>
      <c r="I273" s="106"/>
      <c r="J273" s="106"/>
      <c r="K273" s="106"/>
      <c r="L273" s="106"/>
      <c r="M273" s="106"/>
      <c r="N273" s="106"/>
      <c r="O273" s="106"/>
      <c r="P273" s="106"/>
      <c r="Q273" s="106"/>
      <c r="R273" s="106"/>
      <c r="S273" s="106"/>
      <c r="T273" s="106"/>
      <c r="U273" s="106"/>
      <c r="V273" s="106"/>
      <c r="W273" s="106"/>
      <c r="X273" s="106"/>
      <c r="Y273" s="106"/>
      <c r="Z273" s="106"/>
      <c r="AA273" s="106"/>
      <c r="AB273" s="106"/>
      <c r="AC273" s="106"/>
    </row>
    <row r="274" spans="1:29">
      <c r="A274" s="106"/>
      <c r="B274" s="106"/>
      <c r="C274" s="106"/>
      <c r="D274" s="106"/>
      <c r="E274" s="106"/>
      <c r="F274" s="106"/>
      <c r="G274" s="106"/>
      <c r="H274" s="106"/>
      <c r="I274" s="106"/>
      <c r="J274" s="106"/>
      <c r="K274" s="106"/>
      <c r="L274" s="106"/>
      <c r="M274" s="106"/>
      <c r="N274" s="106"/>
      <c r="O274" s="106"/>
      <c r="P274" s="106"/>
      <c r="Q274" s="106"/>
      <c r="R274" s="106"/>
      <c r="S274" s="106"/>
      <c r="T274" s="106"/>
      <c r="U274" s="106"/>
      <c r="V274" s="106"/>
      <c r="W274" s="106"/>
      <c r="X274" s="106"/>
      <c r="Y274" s="106"/>
      <c r="Z274" s="106"/>
      <c r="AA274" s="106"/>
      <c r="AB274" s="106"/>
      <c r="AC274" s="106"/>
    </row>
    <row r="275" spans="1:29">
      <c r="A275" s="106"/>
      <c r="B275" s="106"/>
      <c r="C275" s="106"/>
      <c r="D275" s="106"/>
      <c r="E275" s="106"/>
      <c r="F275" s="106"/>
      <c r="G275" s="106"/>
      <c r="H275" s="106"/>
      <c r="I275" s="106"/>
      <c r="J275" s="106"/>
      <c r="K275" s="106"/>
      <c r="L275" s="106"/>
      <c r="M275" s="106"/>
      <c r="N275" s="106"/>
      <c r="O275" s="106"/>
      <c r="P275" s="106"/>
      <c r="Q275" s="106"/>
      <c r="R275" s="106"/>
      <c r="S275" s="106"/>
      <c r="T275" s="106"/>
      <c r="U275" s="106"/>
      <c r="V275" s="106"/>
      <c r="W275" s="106"/>
      <c r="X275" s="106"/>
      <c r="Y275" s="106"/>
      <c r="Z275" s="106"/>
      <c r="AA275" s="106"/>
      <c r="AB275" s="106"/>
      <c r="AC275" s="106"/>
    </row>
    <row r="276" spans="1:29">
      <c r="A276" s="106"/>
      <c r="B276" s="106"/>
      <c r="C276" s="106"/>
      <c r="D276" s="106"/>
      <c r="E276" s="106"/>
      <c r="F276" s="106"/>
      <c r="G276" s="106"/>
      <c r="H276" s="106"/>
      <c r="I276" s="106"/>
      <c r="J276" s="106"/>
      <c r="K276" s="106"/>
      <c r="L276" s="106"/>
      <c r="M276" s="106"/>
      <c r="N276" s="106"/>
      <c r="O276" s="106"/>
      <c r="P276" s="106"/>
      <c r="Q276" s="106"/>
      <c r="R276" s="106"/>
      <c r="S276" s="106"/>
      <c r="T276" s="106"/>
      <c r="U276" s="106"/>
      <c r="V276" s="106"/>
      <c r="W276" s="106"/>
      <c r="X276" s="106"/>
      <c r="Y276" s="106"/>
      <c r="Z276" s="106"/>
      <c r="AA276" s="106"/>
      <c r="AB276" s="106"/>
      <c r="AC276" s="106"/>
    </row>
    <row r="277" spans="1:29">
      <c r="A277" s="106"/>
      <c r="B277" s="106"/>
      <c r="C277" s="106"/>
      <c r="D277" s="106"/>
      <c r="E277" s="106"/>
      <c r="F277" s="106"/>
      <c r="G277" s="106"/>
      <c r="H277" s="106"/>
      <c r="I277" s="106"/>
      <c r="J277" s="106"/>
      <c r="K277" s="106"/>
      <c r="L277" s="106"/>
      <c r="M277" s="106"/>
      <c r="N277" s="106"/>
      <c r="O277" s="106"/>
      <c r="P277" s="106"/>
      <c r="Q277" s="106"/>
      <c r="R277" s="106"/>
      <c r="S277" s="106"/>
      <c r="T277" s="106"/>
      <c r="U277" s="106"/>
      <c r="V277" s="106"/>
      <c r="W277" s="106"/>
      <c r="X277" s="106"/>
      <c r="Y277" s="106"/>
      <c r="Z277" s="106"/>
      <c r="AA277" s="106"/>
      <c r="AB277" s="106"/>
      <c r="AC277" s="106"/>
    </row>
    <row r="278" spans="1:29">
      <c r="A278" s="106"/>
      <c r="B278" s="106"/>
      <c r="C278" s="106"/>
      <c r="D278" s="106"/>
      <c r="E278" s="106"/>
      <c r="F278" s="106"/>
      <c r="G278" s="106"/>
      <c r="H278" s="106"/>
      <c r="I278" s="106"/>
      <c r="J278" s="106"/>
      <c r="K278" s="106"/>
      <c r="L278" s="106"/>
      <c r="M278" s="106"/>
      <c r="N278" s="106"/>
      <c r="O278" s="106"/>
      <c r="P278" s="106"/>
      <c r="Q278" s="106"/>
      <c r="R278" s="106"/>
      <c r="S278" s="106"/>
      <c r="T278" s="106"/>
      <c r="U278" s="106"/>
      <c r="V278" s="106"/>
      <c r="W278" s="106"/>
      <c r="X278" s="106"/>
      <c r="Y278" s="106"/>
      <c r="Z278" s="106"/>
      <c r="AA278" s="106"/>
      <c r="AB278" s="106"/>
      <c r="AC278" s="106"/>
    </row>
    <row r="279" spans="1:29">
      <c r="A279" s="106"/>
      <c r="B279" s="106"/>
      <c r="C279" s="106"/>
      <c r="D279" s="106"/>
      <c r="E279" s="106"/>
      <c r="F279" s="106"/>
      <c r="G279" s="106"/>
      <c r="H279" s="106"/>
      <c r="I279" s="106"/>
      <c r="J279" s="106"/>
      <c r="K279" s="106"/>
      <c r="L279" s="106"/>
      <c r="M279" s="106"/>
      <c r="N279" s="106"/>
      <c r="O279" s="106"/>
      <c r="P279" s="106"/>
      <c r="Q279" s="106"/>
      <c r="R279" s="106"/>
      <c r="S279" s="106"/>
      <c r="T279" s="106"/>
      <c r="U279" s="106"/>
      <c r="V279" s="106"/>
      <c r="W279" s="106"/>
      <c r="X279" s="106"/>
      <c r="Y279" s="106"/>
      <c r="Z279" s="106"/>
      <c r="AA279" s="106"/>
      <c r="AB279" s="106"/>
      <c r="AC279" s="106"/>
    </row>
    <row r="280" spans="1:29">
      <c r="A280" s="106"/>
      <c r="B280" s="106"/>
      <c r="C280" s="106"/>
      <c r="D280" s="106"/>
      <c r="E280" s="106"/>
      <c r="F280" s="106"/>
      <c r="G280" s="106"/>
      <c r="H280" s="106"/>
      <c r="I280" s="106"/>
      <c r="J280" s="106"/>
      <c r="K280" s="106"/>
      <c r="L280" s="106"/>
      <c r="M280" s="106"/>
      <c r="N280" s="106"/>
      <c r="O280" s="106"/>
      <c r="P280" s="106"/>
      <c r="Q280" s="106"/>
      <c r="R280" s="106"/>
      <c r="S280" s="106"/>
      <c r="T280" s="106"/>
      <c r="U280" s="106"/>
      <c r="V280" s="106"/>
      <c r="W280" s="106"/>
      <c r="X280" s="106"/>
      <c r="Y280" s="106"/>
      <c r="Z280" s="106"/>
      <c r="AA280" s="106"/>
      <c r="AB280" s="106"/>
      <c r="AC280" s="106"/>
    </row>
    <row r="281" spans="1:29">
      <c r="A281" s="106"/>
      <c r="B281" s="106"/>
      <c r="C281" s="106"/>
      <c r="D281" s="106"/>
      <c r="E281" s="106"/>
      <c r="F281" s="106"/>
      <c r="G281" s="106"/>
      <c r="H281" s="106"/>
      <c r="I281" s="106"/>
      <c r="J281" s="106"/>
      <c r="K281" s="106"/>
      <c r="L281" s="106"/>
      <c r="M281" s="106"/>
      <c r="N281" s="106"/>
      <c r="O281" s="106"/>
      <c r="P281" s="106"/>
      <c r="Q281" s="106"/>
      <c r="R281" s="106"/>
      <c r="S281" s="106"/>
      <c r="T281" s="106"/>
      <c r="U281" s="106"/>
      <c r="V281" s="106"/>
      <c r="W281" s="106"/>
      <c r="X281" s="106"/>
      <c r="Y281" s="106"/>
      <c r="Z281" s="106"/>
      <c r="AA281" s="106"/>
      <c r="AB281" s="106"/>
      <c r="AC281" s="106"/>
    </row>
    <row r="282" spans="1:29">
      <c r="A282" s="106"/>
      <c r="B282" s="106"/>
      <c r="C282" s="106"/>
      <c r="D282" s="106"/>
      <c r="E282" s="106"/>
      <c r="F282" s="106"/>
      <c r="G282" s="106"/>
      <c r="H282" s="106"/>
      <c r="I282" s="106"/>
      <c r="J282" s="106"/>
      <c r="K282" s="106"/>
      <c r="L282" s="106"/>
      <c r="M282" s="106"/>
      <c r="N282" s="106"/>
      <c r="O282" s="106"/>
      <c r="P282" s="106"/>
      <c r="Q282" s="106"/>
      <c r="R282" s="106"/>
      <c r="S282" s="106"/>
      <c r="T282" s="106"/>
      <c r="U282" s="106"/>
      <c r="V282" s="106"/>
      <c r="W282" s="106"/>
      <c r="X282" s="106"/>
      <c r="Y282" s="106"/>
      <c r="Z282" s="106"/>
      <c r="AA282" s="106"/>
      <c r="AB282" s="106"/>
      <c r="AC282" s="106"/>
    </row>
    <row r="283" spans="1:29">
      <c r="A283" s="106"/>
      <c r="B283" s="106"/>
      <c r="C283" s="106"/>
      <c r="D283" s="106"/>
      <c r="E283" s="106"/>
      <c r="F283" s="106"/>
      <c r="G283" s="106"/>
      <c r="H283" s="106"/>
      <c r="I283" s="106"/>
      <c r="J283" s="106"/>
      <c r="K283" s="106"/>
      <c r="L283" s="106"/>
      <c r="M283" s="106"/>
      <c r="N283" s="106"/>
      <c r="O283" s="106"/>
      <c r="P283" s="106"/>
      <c r="Q283" s="106"/>
      <c r="R283" s="106"/>
      <c r="S283" s="106"/>
      <c r="T283" s="106"/>
      <c r="U283" s="106"/>
      <c r="V283" s="106"/>
      <c r="W283" s="106"/>
      <c r="X283" s="106"/>
      <c r="Y283" s="106"/>
      <c r="Z283" s="106"/>
      <c r="AA283" s="106"/>
      <c r="AB283" s="106"/>
      <c r="AC283" s="106"/>
    </row>
    <row r="284" spans="1:29">
      <c r="A284" s="106"/>
      <c r="B284" s="106"/>
      <c r="C284" s="106"/>
      <c r="D284" s="106"/>
      <c r="E284" s="106"/>
      <c r="F284" s="106"/>
      <c r="G284" s="106"/>
      <c r="H284" s="106"/>
      <c r="I284" s="106"/>
      <c r="J284" s="106"/>
      <c r="K284" s="106"/>
      <c r="L284" s="106"/>
      <c r="M284" s="106"/>
      <c r="N284" s="106"/>
      <c r="O284" s="106"/>
      <c r="P284" s="106"/>
      <c r="Q284" s="106"/>
      <c r="R284" s="106"/>
      <c r="S284" s="106"/>
      <c r="T284" s="106"/>
      <c r="U284" s="106"/>
      <c r="V284" s="106"/>
      <c r="W284" s="106"/>
      <c r="X284" s="106"/>
      <c r="Y284" s="106"/>
      <c r="Z284" s="106"/>
      <c r="AA284" s="106"/>
      <c r="AB284" s="106"/>
      <c r="AC284" s="106"/>
    </row>
    <row r="285" spans="1:29">
      <c r="A285" s="106"/>
      <c r="B285" s="106"/>
      <c r="C285" s="106"/>
      <c r="D285" s="106"/>
      <c r="E285" s="106"/>
      <c r="F285" s="106"/>
      <c r="G285" s="106"/>
      <c r="H285" s="106"/>
      <c r="I285" s="106"/>
      <c r="J285" s="106"/>
      <c r="K285" s="106"/>
      <c r="L285" s="106"/>
      <c r="M285" s="106"/>
      <c r="N285" s="106"/>
      <c r="O285" s="106"/>
      <c r="P285" s="106"/>
      <c r="Q285" s="106"/>
      <c r="R285" s="106"/>
      <c r="S285" s="106"/>
      <c r="T285" s="106"/>
      <c r="U285" s="106"/>
      <c r="V285" s="106"/>
      <c r="W285" s="106"/>
      <c r="X285" s="106"/>
      <c r="Y285" s="106"/>
      <c r="Z285" s="106"/>
      <c r="AA285" s="106"/>
      <c r="AB285" s="106"/>
      <c r="AC285" s="106"/>
    </row>
    <row r="286" spans="1:29">
      <c r="A286" s="106"/>
      <c r="B286" s="106"/>
      <c r="C286" s="106"/>
      <c r="D286" s="106"/>
      <c r="E286" s="106"/>
      <c r="F286" s="106"/>
      <c r="G286" s="106"/>
      <c r="H286" s="106"/>
      <c r="I286" s="106"/>
      <c r="J286" s="106"/>
      <c r="K286" s="106"/>
      <c r="L286" s="106"/>
      <c r="M286" s="106"/>
      <c r="N286" s="106"/>
      <c r="O286" s="106"/>
      <c r="P286" s="106"/>
      <c r="Q286" s="106"/>
      <c r="R286" s="106"/>
      <c r="S286" s="106"/>
      <c r="T286" s="106"/>
      <c r="U286" s="106"/>
      <c r="V286" s="106"/>
      <c r="W286" s="106"/>
      <c r="X286" s="106"/>
      <c r="Y286" s="106"/>
      <c r="Z286" s="106"/>
      <c r="AA286" s="106"/>
      <c r="AB286" s="106"/>
      <c r="AC286" s="106"/>
    </row>
    <row r="287" spans="1:29">
      <c r="A287" s="106"/>
      <c r="B287" s="106"/>
      <c r="C287" s="106"/>
      <c r="D287" s="106"/>
      <c r="E287" s="106"/>
      <c r="F287" s="106"/>
      <c r="G287" s="106"/>
      <c r="H287" s="106"/>
      <c r="I287" s="106"/>
      <c r="J287" s="106"/>
      <c r="K287" s="106"/>
      <c r="L287" s="106"/>
      <c r="M287" s="106"/>
      <c r="N287" s="106"/>
      <c r="O287" s="106"/>
      <c r="P287" s="106"/>
      <c r="Q287" s="106"/>
      <c r="R287" s="106"/>
      <c r="S287" s="106"/>
      <c r="T287" s="106"/>
      <c r="U287" s="106"/>
      <c r="V287" s="106"/>
      <c r="W287" s="106"/>
      <c r="X287" s="106"/>
      <c r="Y287" s="106"/>
      <c r="Z287" s="106"/>
      <c r="AA287" s="106"/>
      <c r="AB287" s="106"/>
      <c r="AC287" s="106"/>
    </row>
    <row r="288" spans="1:29">
      <c r="A288" s="106"/>
      <c r="B288" s="106"/>
      <c r="C288" s="106"/>
      <c r="D288" s="106"/>
      <c r="E288" s="106"/>
      <c r="F288" s="106"/>
      <c r="G288" s="106"/>
      <c r="H288" s="106"/>
      <c r="I288" s="106"/>
      <c r="J288" s="106"/>
      <c r="K288" s="106"/>
      <c r="L288" s="106"/>
      <c r="M288" s="106"/>
      <c r="N288" s="106"/>
      <c r="O288" s="106"/>
      <c r="P288" s="106"/>
      <c r="Q288" s="106"/>
      <c r="R288" s="106"/>
      <c r="S288" s="106"/>
      <c r="T288" s="106"/>
      <c r="U288" s="106"/>
      <c r="V288" s="106"/>
      <c r="W288" s="106"/>
      <c r="X288" s="106"/>
      <c r="Y288" s="106"/>
      <c r="Z288" s="106"/>
      <c r="AA288" s="106"/>
      <c r="AB288" s="106"/>
      <c r="AC288" s="106"/>
    </row>
    <row r="289" spans="1:29">
      <c r="A289" s="106"/>
      <c r="B289" s="106"/>
      <c r="C289" s="106"/>
      <c r="D289" s="106"/>
      <c r="E289" s="106"/>
      <c r="F289" s="106"/>
      <c r="G289" s="106"/>
      <c r="H289" s="106"/>
      <c r="I289" s="106"/>
      <c r="J289" s="106"/>
      <c r="K289" s="106"/>
      <c r="L289" s="106"/>
      <c r="M289" s="106"/>
      <c r="N289" s="106"/>
      <c r="O289" s="106"/>
      <c r="P289" s="106"/>
      <c r="Q289" s="106"/>
      <c r="R289" s="106"/>
      <c r="S289" s="106"/>
      <c r="T289" s="106"/>
      <c r="U289" s="106"/>
      <c r="V289" s="106"/>
      <c r="W289" s="106"/>
      <c r="X289" s="106"/>
      <c r="Y289" s="106"/>
      <c r="Z289" s="106"/>
      <c r="AA289" s="106"/>
      <c r="AB289" s="106"/>
      <c r="AC289" s="106"/>
    </row>
    <row r="290" spans="1:29">
      <c r="A290" s="106"/>
      <c r="B290" s="106"/>
      <c r="C290" s="106"/>
      <c r="D290" s="106"/>
      <c r="E290" s="106"/>
      <c r="F290" s="106"/>
      <c r="G290" s="106"/>
      <c r="H290" s="106"/>
      <c r="I290" s="106"/>
      <c r="J290" s="106"/>
      <c r="K290" s="106"/>
      <c r="L290" s="106"/>
      <c r="M290" s="106"/>
      <c r="N290" s="106"/>
      <c r="O290" s="106"/>
      <c r="P290" s="106"/>
      <c r="Q290" s="106"/>
      <c r="R290" s="106"/>
      <c r="S290" s="106"/>
      <c r="T290" s="106"/>
      <c r="U290" s="106"/>
      <c r="V290" s="106"/>
      <c r="W290" s="106"/>
      <c r="X290" s="106"/>
      <c r="Y290" s="106"/>
      <c r="Z290" s="106"/>
      <c r="AA290" s="106"/>
      <c r="AB290" s="106"/>
      <c r="AC290" s="106"/>
    </row>
    <row r="291" spans="1:29">
      <c r="A291" s="106"/>
      <c r="B291" s="106"/>
      <c r="C291" s="106"/>
      <c r="D291" s="106"/>
      <c r="E291" s="106"/>
      <c r="F291" s="106"/>
      <c r="G291" s="106"/>
      <c r="H291" s="106"/>
      <c r="I291" s="106"/>
      <c r="J291" s="106"/>
      <c r="K291" s="106"/>
      <c r="L291" s="106"/>
      <c r="M291" s="106"/>
      <c r="N291" s="106"/>
      <c r="O291" s="106"/>
      <c r="P291" s="106"/>
      <c r="Q291" s="106"/>
      <c r="R291" s="106"/>
      <c r="S291" s="106"/>
      <c r="T291" s="106"/>
      <c r="U291" s="106"/>
      <c r="V291" s="106"/>
      <c r="W291" s="106"/>
      <c r="X291" s="106"/>
      <c r="Y291" s="106"/>
      <c r="Z291" s="106"/>
      <c r="AA291" s="106"/>
      <c r="AB291" s="106"/>
      <c r="AC291" s="106"/>
    </row>
    <row r="292" spans="1:29">
      <c r="A292" s="106"/>
      <c r="B292" s="106"/>
      <c r="C292" s="106"/>
      <c r="D292" s="106"/>
      <c r="E292" s="106"/>
      <c r="F292" s="106"/>
      <c r="G292" s="106"/>
      <c r="H292" s="106"/>
      <c r="I292" s="106"/>
      <c r="J292" s="106"/>
      <c r="K292" s="106"/>
      <c r="L292" s="106"/>
      <c r="M292" s="106"/>
      <c r="N292" s="106"/>
      <c r="O292" s="106"/>
      <c r="P292" s="106"/>
      <c r="Q292" s="106"/>
      <c r="R292" s="106"/>
      <c r="S292" s="106"/>
      <c r="T292" s="106"/>
      <c r="U292" s="106"/>
      <c r="V292" s="106"/>
      <c r="W292" s="106"/>
      <c r="X292" s="106"/>
      <c r="Y292" s="106"/>
      <c r="Z292" s="106"/>
      <c r="AA292" s="106"/>
      <c r="AB292" s="106"/>
      <c r="AC292" s="106"/>
    </row>
    <row r="293" spans="1:29">
      <c r="A293" s="106"/>
      <c r="B293" s="106"/>
      <c r="C293" s="106"/>
      <c r="D293" s="106"/>
      <c r="E293" s="106"/>
      <c r="F293" s="106"/>
      <c r="G293" s="106"/>
      <c r="H293" s="106"/>
      <c r="I293" s="106"/>
      <c r="J293" s="106"/>
      <c r="K293" s="106"/>
      <c r="L293" s="106"/>
      <c r="M293" s="106"/>
      <c r="N293" s="106"/>
      <c r="O293" s="106"/>
      <c r="P293" s="106"/>
      <c r="Q293" s="106"/>
      <c r="R293" s="106"/>
      <c r="S293" s="106"/>
      <c r="T293" s="106"/>
      <c r="U293" s="106"/>
      <c r="V293" s="106"/>
      <c r="W293" s="106"/>
      <c r="X293" s="106"/>
      <c r="Y293" s="106"/>
      <c r="Z293" s="106"/>
      <c r="AA293" s="106"/>
      <c r="AB293" s="106"/>
      <c r="AC293" s="106"/>
    </row>
    <row r="294" spans="1:29">
      <c r="A294" s="106"/>
      <c r="B294" s="106"/>
      <c r="C294" s="106"/>
      <c r="D294" s="106"/>
      <c r="E294" s="106"/>
      <c r="F294" s="106"/>
      <c r="G294" s="106"/>
      <c r="H294" s="106"/>
      <c r="I294" s="106"/>
      <c r="J294" s="106"/>
      <c r="K294" s="106"/>
      <c r="L294" s="106"/>
      <c r="M294" s="106"/>
      <c r="N294" s="106"/>
      <c r="O294" s="106"/>
      <c r="P294" s="106"/>
      <c r="Q294" s="106"/>
      <c r="R294" s="106"/>
      <c r="S294" s="106"/>
      <c r="T294" s="106"/>
      <c r="U294" s="106"/>
      <c r="V294" s="106"/>
      <c r="W294" s="106"/>
      <c r="X294" s="106"/>
      <c r="Y294" s="106"/>
      <c r="Z294" s="106"/>
      <c r="AA294" s="106"/>
      <c r="AB294" s="106"/>
      <c r="AC294" s="106"/>
    </row>
    <row r="295" spans="1:29">
      <c r="A295" s="106"/>
      <c r="B295" s="106"/>
      <c r="C295" s="106"/>
      <c r="D295" s="106"/>
      <c r="E295" s="106"/>
      <c r="F295" s="106"/>
      <c r="G295" s="106"/>
      <c r="H295" s="106"/>
      <c r="I295" s="106"/>
      <c r="J295" s="106"/>
      <c r="K295" s="106"/>
      <c r="L295" s="106"/>
      <c r="M295" s="106"/>
      <c r="N295" s="106"/>
      <c r="O295" s="106"/>
      <c r="P295" s="106"/>
      <c r="Q295" s="106"/>
      <c r="R295" s="106"/>
      <c r="S295" s="106"/>
      <c r="T295" s="106"/>
      <c r="U295" s="106"/>
      <c r="V295" s="106"/>
      <c r="W295" s="106"/>
      <c r="X295" s="106"/>
      <c r="Y295" s="106"/>
      <c r="Z295" s="106"/>
      <c r="AA295" s="106"/>
      <c r="AB295" s="106"/>
      <c r="AC295" s="106"/>
    </row>
    <row r="296" spans="1:29">
      <c r="A296" s="106"/>
      <c r="B296" s="106"/>
      <c r="C296" s="106"/>
      <c r="D296" s="106"/>
      <c r="E296" s="106"/>
      <c r="F296" s="106"/>
      <c r="G296" s="106"/>
      <c r="H296" s="106"/>
      <c r="I296" s="106"/>
      <c r="J296" s="106"/>
      <c r="K296" s="106"/>
      <c r="L296" s="106"/>
      <c r="M296" s="106"/>
      <c r="N296" s="106"/>
      <c r="O296" s="106"/>
      <c r="P296" s="106"/>
      <c r="Q296" s="106"/>
      <c r="R296" s="106"/>
      <c r="S296" s="106"/>
      <c r="T296" s="106"/>
      <c r="U296" s="106"/>
      <c r="V296" s="106"/>
      <c r="W296" s="106"/>
      <c r="X296" s="106"/>
      <c r="Y296" s="106"/>
      <c r="Z296" s="106"/>
      <c r="AA296" s="106"/>
      <c r="AB296" s="106"/>
      <c r="AC296" s="106"/>
    </row>
    <row r="297" spans="1:29">
      <c r="A297" s="106"/>
      <c r="B297" s="106"/>
      <c r="C297" s="106"/>
      <c r="D297" s="106"/>
      <c r="E297" s="106"/>
      <c r="F297" s="106"/>
      <c r="G297" s="106"/>
      <c r="H297" s="106"/>
      <c r="I297" s="106"/>
      <c r="J297" s="106"/>
      <c r="K297" s="106"/>
      <c r="L297" s="106"/>
      <c r="M297" s="106"/>
      <c r="N297" s="106"/>
      <c r="O297" s="106"/>
      <c r="P297" s="106"/>
      <c r="Q297" s="106"/>
      <c r="R297" s="106"/>
      <c r="S297" s="106"/>
      <c r="T297" s="106"/>
      <c r="U297" s="106"/>
      <c r="V297" s="106"/>
      <c r="W297" s="106"/>
      <c r="X297" s="106"/>
      <c r="Y297" s="106"/>
      <c r="Z297" s="106"/>
      <c r="AA297" s="106"/>
      <c r="AB297" s="106"/>
      <c r="AC297" s="106"/>
    </row>
    <row r="298" spans="1:29">
      <c r="A298" s="106"/>
      <c r="B298" s="106"/>
      <c r="C298" s="106"/>
      <c r="D298" s="106"/>
      <c r="E298" s="106"/>
      <c r="F298" s="106"/>
      <c r="G298" s="106"/>
      <c r="H298" s="106"/>
      <c r="I298" s="106"/>
      <c r="J298" s="106"/>
      <c r="K298" s="106"/>
      <c r="L298" s="106"/>
      <c r="M298" s="106"/>
      <c r="N298" s="106"/>
      <c r="O298" s="106"/>
      <c r="P298" s="106"/>
      <c r="Q298" s="106"/>
      <c r="R298" s="106"/>
      <c r="S298" s="106"/>
      <c r="T298" s="106"/>
      <c r="U298" s="106"/>
      <c r="V298" s="106"/>
      <c r="W298" s="106"/>
      <c r="X298" s="106"/>
      <c r="Y298" s="106"/>
      <c r="Z298" s="106"/>
      <c r="AA298" s="106"/>
      <c r="AB298" s="106"/>
      <c r="AC298" s="106"/>
    </row>
    <row r="299" spans="1:29">
      <c r="A299" s="106"/>
      <c r="B299" s="106"/>
      <c r="C299" s="106"/>
      <c r="D299" s="106"/>
      <c r="E299" s="106"/>
      <c r="F299" s="106"/>
      <c r="G299" s="106"/>
      <c r="H299" s="106"/>
      <c r="I299" s="106"/>
      <c r="J299" s="106"/>
      <c r="K299" s="106"/>
      <c r="L299" s="106"/>
      <c r="M299" s="106"/>
      <c r="N299" s="106"/>
      <c r="O299" s="106"/>
      <c r="P299" s="106"/>
      <c r="Q299" s="106"/>
      <c r="R299" s="106"/>
      <c r="S299" s="106"/>
      <c r="T299" s="106"/>
      <c r="U299" s="106"/>
      <c r="V299" s="106"/>
      <c r="W299" s="106"/>
      <c r="X299" s="106"/>
      <c r="Y299" s="106"/>
      <c r="Z299" s="106"/>
      <c r="AA299" s="106"/>
      <c r="AB299" s="106"/>
      <c r="AC299" s="106"/>
    </row>
    <row r="300" spans="1:29">
      <c r="A300" s="106"/>
      <c r="B300" s="106"/>
      <c r="C300" s="106"/>
      <c r="D300" s="106"/>
      <c r="E300" s="106"/>
      <c r="F300" s="106"/>
      <c r="G300" s="106"/>
      <c r="H300" s="106"/>
      <c r="I300" s="106"/>
      <c r="J300" s="106"/>
      <c r="K300" s="106"/>
      <c r="L300" s="106"/>
      <c r="M300" s="106"/>
      <c r="N300" s="106"/>
      <c r="O300" s="106"/>
      <c r="P300" s="106"/>
      <c r="Q300" s="106"/>
      <c r="R300" s="106"/>
      <c r="S300" s="106"/>
      <c r="T300" s="106"/>
      <c r="U300" s="106"/>
      <c r="V300" s="106"/>
      <c r="W300" s="106"/>
      <c r="X300" s="106"/>
      <c r="Y300" s="106"/>
      <c r="Z300" s="106"/>
      <c r="AA300" s="106"/>
      <c r="AB300" s="106"/>
      <c r="AC300" s="106"/>
    </row>
    <row r="301" spans="1:29">
      <c r="A301" s="106"/>
      <c r="B301" s="106"/>
      <c r="C301" s="106"/>
      <c r="D301" s="106"/>
      <c r="E301" s="106"/>
      <c r="F301" s="106"/>
      <c r="G301" s="106"/>
      <c r="H301" s="106"/>
      <c r="I301" s="106"/>
      <c r="J301" s="106"/>
      <c r="K301" s="106"/>
      <c r="L301" s="106"/>
      <c r="M301" s="106"/>
      <c r="N301" s="106"/>
      <c r="O301" s="106"/>
      <c r="P301" s="106"/>
      <c r="Q301" s="106"/>
      <c r="R301" s="106"/>
      <c r="S301" s="106"/>
      <c r="T301" s="106"/>
      <c r="U301" s="106"/>
      <c r="V301" s="106"/>
      <c r="W301" s="106"/>
      <c r="X301" s="106"/>
      <c r="Y301" s="106"/>
      <c r="Z301" s="106"/>
      <c r="AA301" s="106"/>
      <c r="AB301" s="106"/>
      <c r="AC301" s="106"/>
    </row>
    <row r="302" spans="1:29">
      <c r="A302" s="106"/>
      <c r="B302" s="106"/>
      <c r="C302" s="106"/>
      <c r="D302" s="106"/>
      <c r="E302" s="106"/>
      <c r="F302" s="106"/>
      <c r="G302" s="106"/>
      <c r="H302" s="106"/>
      <c r="I302" s="106"/>
      <c r="J302" s="106"/>
      <c r="K302" s="106"/>
      <c r="L302" s="106"/>
      <c r="M302" s="106"/>
      <c r="N302" s="106"/>
      <c r="O302" s="106"/>
      <c r="P302" s="106"/>
      <c r="Q302" s="106"/>
      <c r="R302" s="106"/>
      <c r="S302" s="106"/>
      <c r="T302" s="106"/>
      <c r="U302" s="106"/>
      <c r="V302" s="106"/>
      <c r="W302" s="106"/>
      <c r="X302" s="106"/>
      <c r="Y302" s="106"/>
      <c r="Z302" s="106"/>
      <c r="AA302" s="106"/>
      <c r="AB302" s="106"/>
      <c r="AC302" s="106"/>
    </row>
    <row r="303" spans="1:29">
      <c r="A303" s="106"/>
      <c r="B303" s="106"/>
      <c r="C303" s="106"/>
      <c r="D303" s="106"/>
      <c r="E303" s="106"/>
      <c r="F303" s="106"/>
      <c r="G303" s="106"/>
      <c r="H303" s="106"/>
      <c r="I303" s="106"/>
      <c r="J303" s="106"/>
      <c r="K303" s="106"/>
      <c r="L303" s="106"/>
      <c r="M303" s="106"/>
      <c r="N303" s="106"/>
      <c r="O303" s="106"/>
      <c r="P303" s="106"/>
      <c r="Q303" s="106"/>
      <c r="R303" s="106"/>
      <c r="S303" s="106"/>
      <c r="T303" s="106"/>
      <c r="U303" s="106"/>
      <c r="V303" s="106"/>
      <c r="W303" s="106"/>
      <c r="X303" s="106"/>
      <c r="Y303" s="106"/>
      <c r="Z303" s="106"/>
      <c r="AA303" s="106"/>
      <c r="AB303" s="106"/>
      <c r="AC303" s="106"/>
    </row>
    <row r="304" spans="1:29">
      <c r="A304" s="106"/>
      <c r="B304" s="106"/>
      <c r="C304" s="106"/>
      <c r="D304" s="106"/>
      <c r="E304" s="106"/>
      <c r="F304" s="106"/>
      <c r="G304" s="106"/>
      <c r="H304" s="106"/>
      <c r="I304" s="106"/>
      <c r="J304" s="106"/>
      <c r="K304" s="106"/>
      <c r="L304" s="106"/>
      <c r="M304" s="106"/>
      <c r="N304" s="106"/>
      <c r="O304" s="106"/>
      <c r="P304" s="106"/>
      <c r="Q304" s="106"/>
      <c r="R304" s="106"/>
      <c r="S304" s="106"/>
      <c r="T304" s="106"/>
      <c r="U304" s="106"/>
      <c r="V304" s="106"/>
      <c r="W304" s="106"/>
      <c r="X304" s="106"/>
      <c r="Y304" s="106"/>
      <c r="Z304" s="106"/>
      <c r="AA304" s="106"/>
      <c r="AB304" s="106"/>
      <c r="AC304" s="106"/>
    </row>
    <row r="305" spans="1:29">
      <c r="A305" s="106"/>
      <c r="B305" s="106"/>
      <c r="C305" s="106"/>
      <c r="D305" s="106"/>
      <c r="E305" s="106"/>
      <c r="F305" s="106"/>
      <c r="G305" s="106"/>
      <c r="H305" s="106"/>
      <c r="I305" s="106"/>
      <c r="J305" s="106"/>
      <c r="K305" s="106"/>
      <c r="L305" s="106"/>
      <c r="M305" s="106"/>
      <c r="N305" s="106"/>
      <c r="O305" s="106"/>
      <c r="P305" s="106"/>
      <c r="Q305" s="106"/>
      <c r="R305" s="106"/>
      <c r="S305" s="106"/>
      <c r="T305" s="106"/>
      <c r="U305" s="106"/>
      <c r="V305" s="106"/>
      <c r="W305" s="106"/>
      <c r="X305" s="106"/>
      <c r="Y305" s="106"/>
      <c r="Z305" s="106"/>
      <c r="AA305" s="106"/>
      <c r="AB305" s="106"/>
      <c r="AC305" s="106"/>
    </row>
    <row r="306" spans="1:29">
      <c r="A306" s="106"/>
      <c r="B306" s="106"/>
      <c r="C306" s="106"/>
      <c r="D306" s="106"/>
      <c r="E306" s="106"/>
      <c r="F306" s="106"/>
      <c r="G306" s="106"/>
      <c r="H306" s="106"/>
      <c r="I306" s="106"/>
      <c r="J306" s="106"/>
      <c r="K306" s="106"/>
      <c r="L306" s="106"/>
      <c r="M306" s="106"/>
      <c r="N306" s="106"/>
      <c r="O306" s="106"/>
      <c r="P306" s="106"/>
      <c r="Q306" s="106"/>
      <c r="R306" s="106"/>
      <c r="S306" s="106"/>
      <c r="T306" s="106"/>
      <c r="U306" s="106"/>
      <c r="V306" s="106"/>
      <c r="W306" s="106"/>
      <c r="X306" s="106"/>
      <c r="Y306" s="106"/>
      <c r="Z306" s="106"/>
      <c r="AA306" s="106"/>
      <c r="AB306" s="106"/>
      <c r="AC306" s="106"/>
    </row>
    <row r="307" spans="1:29">
      <c r="A307" s="106"/>
      <c r="B307" s="106"/>
      <c r="C307" s="106"/>
      <c r="D307" s="106"/>
      <c r="E307" s="106"/>
      <c r="F307" s="106"/>
      <c r="G307" s="106"/>
      <c r="H307" s="106"/>
      <c r="I307" s="106"/>
      <c r="J307" s="106"/>
      <c r="K307" s="106"/>
      <c r="L307" s="106"/>
      <c r="M307" s="106"/>
      <c r="N307" s="106"/>
      <c r="O307" s="106"/>
      <c r="P307" s="106"/>
      <c r="Q307" s="106"/>
      <c r="R307" s="106"/>
      <c r="S307" s="106"/>
      <c r="T307" s="106"/>
      <c r="U307" s="106"/>
      <c r="V307" s="106"/>
      <c r="W307" s="106"/>
      <c r="X307" s="106"/>
      <c r="Y307" s="106"/>
      <c r="Z307" s="106"/>
      <c r="AA307" s="106"/>
      <c r="AB307" s="106"/>
      <c r="AC307" s="106"/>
    </row>
    <row r="308" spans="1:29">
      <c r="A308" s="106"/>
      <c r="B308" s="106"/>
      <c r="C308" s="106"/>
      <c r="D308" s="106"/>
      <c r="E308" s="106"/>
      <c r="F308" s="106"/>
      <c r="G308" s="106"/>
      <c r="H308" s="106"/>
      <c r="I308" s="106"/>
      <c r="J308" s="106"/>
      <c r="K308" s="106"/>
      <c r="L308" s="106"/>
      <c r="M308" s="106"/>
      <c r="N308" s="106"/>
      <c r="O308" s="106"/>
      <c r="P308" s="106"/>
      <c r="Q308" s="106"/>
      <c r="R308" s="106"/>
      <c r="S308" s="106"/>
      <c r="T308" s="106"/>
      <c r="U308" s="106"/>
      <c r="V308" s="106"/>
      <c r="W308" s="106"/>
      <c r="X308" s="106"/>
      <c r="Y308" s="106"/>
      <c r="Z308" s="106"/>
      <c r="AA308" s="106"/>
      <c r="AB308" s="106"/>
      <c r="AC308" s="106"/>
    </row>
    <row r="309" spans="1:29">
      <c r="A309" s="106"/>
      <c r="B309" s="106"/>
      <c r="C309" s="106"/>
      <c r="D309" s="106"/>
      <c r="E309" s="106"/>
      <c r="F309" s="106"/>
      <c r="G309" s="106"/>
      <c r="H309" s="106"/>
      <c r="I309" s="106"/>
      <c r="J309" s="106"/>
      <c r="K309" s="106"/>
      <c r="L309" s="106"/>
      <c r="M309" s="106"/>
      <c r="N309" s="106"/>
      <c r="O309" s="106"/>
      <c r="P309" s="106"/>
      <c r="Q309" s="106"/>
      <c r="R309" s="106"/>
      <c r="S309" s="106"/>
      <c r="T309" s="106"/>
      <c r="U309" s="106"/>
      <c r="V309" s="106"/>
      <c r="W309" s="106"/>
      <c r="X309" s="106"/>
      <c r="Y309" s="106"/>
      <c r="Z309" s="106"/>
      <c r="AA309" s="106"/>
      <c r="AB309" s="106"/>
      <c r="AC309" s="106"/>
    </row>
    <row r="310" spans="1:29">
      <c r="A310" s="106"/>
      <c r="B310" s="106"/>
      <c r="C310" s="106"/>
      <c r="D310" s="106"/>
      <c r="E310" s="106"/>
      <c r="F310" s="106"/>
      <c r="G310" s="106"/>
      <c r="H310" s="106"/>
      <c r="I310" s="106"/>
      <c r="J310" s="106"/>
      <c r="K310" s="106"/>
      <c r="L310" s="106"/>
      <c r="M310" s="106"/>
      <c r="N310" s="106"/>
      <c r="O310" s="106"/>
      <c r="P310" s="106"/>
      <c r="Q310" s="106"/>
      <c r="R310" s="106"/>
      <c r="S310" s="106"/>
      <c r="T310" s="106"/>
      <c r="U310" s="106"/>
      <c r="V310" s="106"/>
      <c r="W310" s="106"/>
      <c r="X310" s="106"/>
      <c r="Y310" s="106"/>
      <c r="Z310" s="106"/>
      <c r="AA310" s="106"/>
      <c r="AB310" s="106"/>
      <c r="AC310" s="106"/>
    </row>
    <row r="311" spans="1:29">
      <c r="A311" s="106"/>
      <c r="B311" s="106"/>
      <c r="C311" s="106"/>
      <c r="D311" s="106"/>
      <c r="E311" s="106"/>
      <c r="F311" s="106"/>
      <c r="G311" s="106"/>
      <c r="H311" s="106"/>
      <c r="I311" s="106"/>
      <c r="J311" s="106"/>
      <c r="K311" s="106"/>
      <c r="L311" s="106"/>
      <c r="M311" s="106"/>
      <c r="N311" s="106"/>
      <c r="O311" s="106"/>
      <c r="P311" s="106"/>
      <c r="Q311" s="106"/>
      <c r="R311" s="106"/>
      <c r="S311" s="106"/>
      <c r="T311" s="106"/>
      <c r="U311" s="106"/>
      <c r="V311" s="106"/>
      <c r="W311" s="106"/>
      <c r="X311" s="106"/>
      <c r="Y311" s="106"/>
      <c r="Z311" s="106"/>
      <c r="AA311" s="106"/>
      <c r="AB311" s="106"/>
      <c r="AC311" s="106"/>
    </row>
    <row r="312" spans="1:29">
      <c r="A312" s="106"/>
      <c r="B312" s="106"/>
      <c r="C312" s="106"/>
      <c r="D312" s="106"/>
      <c r="E312" s="106"/>
      <c r="F312" s="106"/>
      <c r="G312" s="106"/>
      <c r="H312" s="106"/>
      <c r="I312" s="106"/>
      <c r="J312" s="106"/>
      <c r="K312" s="106"/>
      <c r="L312" s="106"/>
      <c r="M312" s="106"/>
      <c r="N312" s="106"/>
      <c r="O312" s="106"/>
      <c r="P312" s="106"/>
      <c r="Q312" s="106"/>
      <c r="R312" s="106"/>
      <c r="S312" s="106"/>
      <c r="T312" s="106"/>
      <c r="U312" s="106"/>
      <c r="V312" s="106"/>
      <c r="W312" s="106"/>
      <c r="X312" s="106"/>
      <c r="Y312" s="106"/>
      <c r="Z312" s="106"/>
      <c r="AA312" s="106"/>
      <c r="AB312" s="106"/>
      <c r="AC312" s="106"/>
    </row>
    <row r="313" spans="1:29">
      <c r="A313" s="106"/>
      <c r="B313" s="106"/>
      <c r="C313" s="106"/>
      <c r="D313" s="106"/>
      <c r="E313" s="106"/>
      <c r="F313" s="106"/>
      <c r="G313" s="106"/>
      <c r="H313" s="106"/>
      <c r="I313" s="106"/>
      <c r="J313" s="106"/>
      <c r="K313" s="106"/>
      <c r="L313" s="106"/>
      <c r="M313" s="106"/>
      <c r="N313" s="106"/>
      <c r="O313" s="106"/>
      <c r="P313" s="106"/>
      <c r="Q313" s="106"/>
      <c r="R313" s="106"/>
      <c r="S313" s="106"/>
      <c r="T313" s="106"/>
      <c r="U313" s="106"/>
      <c r="V313" s="106"/>
      <c r="W313" s="106"/>
      <c r="X313" s="106"/>
      <c r="Y313" s="106"/>
      <c r="Z313" s="106"/>
      <c r="AA313" s="106"/>
      <c r="AB313" s="106"/>
      <c r="AC313" s="106"/>
    </row>
    <row r="314" spans="1:29">
      <c r="A314" s="106"/>
      <c r="B314" s="106"/>
      <c r="C314" s="106"/>
      <c r="D314" s="106"/>
      <c r="E314" s="106"/>
      <c r="F314" s="106"/>
      <c r="G314" s="106"/>
      <c r="H314" s="106"/>
      <c r="I314" s="106"/>
      <c r="J314" s="106"/>
      <c r="K314" s="106"/>
      <c r="L314" s="106"/>
      <c r="M314" s="106"/>
      <c r="N314" s="106"/>
      <c r="O314" s="106"/>
      <c r="P314" s="106"/>
      <c r="Q314" s="106"/>
      <c r="R314" s="106"/>
      <c r="S314" s="106"/>
      <c r="T314" s="106"/>
      <c r="U314" s="106"/>
      <c r="V314" s="106"/>
      <c r="W314" s="106"/>
      <c r="X314" s="106"/>
      <c r="Y314" s="106"/>
      <c r="Z314" s="106"/>
      <c r="AA314" s="106"/>
      <c r="AB314" s="106"/>
      <c r="AC314" s="106"/>
    </row>
    <row r="315" spans="1:29">
      <c r="A315" s="106"/>
      <c r="B315" s="106"/>
      <c r="C315" s="106"/>
      <c r="D315" s="106"/>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row>
    <row r="316" spans="1:29">
      <c r="A316" s="106"/>
      <c r="B316" s="106"/>
      <c r="C316" s="106"/>
      <c r="D316" s="106"/>
      <c r="E316" s="106"/>
      <c r="F316" s="106"/>
      <c r="G316" s="106"/>
      <c r="H316" s="106"/>
      <c r="I316" s="106"/>
      <c r="J316" s="106"/>
      <c r="K316" s="106"/>
      <c r="L316" s="106"/>
      <c r="M316" s="106"/>
      <c r="N316" s="106"/>
      <c r="O316" s="106"/>
      <c r="P316" s="106"/>
      <c r="Q316" s="106"/>
      <c r="R316" s="106"/>
      <c r="S316" s="106"/>
      <c r="T316" s="106"/>
      <c r="U316" s="106"/>
      <c r="V316" s="106"/>
      <c r="W316" s="106"/>
      <c r="X316" s="106"/>
      <c r="Y316" s="106"/>
      <c r="Z316" s="106"/>
      <c r="AA316" s="106"/>
      <c r="AB316" s="106"/>
      <c r="AC316" s="106"/>
    </row>
    <row r="317" spans="1:29">
      <c r="A317" s="106"/>
      <c r="B317" s="106"/>
      <c r="C317" s="106"/>
      <c r="D317" s="106"/>
      <c r="E317" s="106"/>
      <c r="F317" s="106"/>
      <c r="G317" s="106"/>
      <c r="H317" s="106"/>
      <c r="I317" s="106"/>
      <c r="J317" s="106"/>
      <c r="K317" s="106"/>
      <c r="L317" s="106"/>
      <c r="M317" s="106"/>
      <c r="N317" s="106"/>
      <c r="O317" s="106"/>
      <c r="P317" s="106"/>
      <c r="Q317" s="106"/>
      <c r="R317" s="106"/>
      <c r="S317" s="106"/>
      <c r="T317" s="106"/>
      <c r="U317" s="106"/>
      <c r="V317" s="106"/>
      <c r="W317" s="106"/>
      <c r="X317" s="106"/>
      <c r="Y317" s="106"/>
      <c r="Z317" s="106"/>
      <c r="AA317" s="106"/>
      <c r="AB317" s="106"/>
      <c r="AC317" s="106"/>
    </row>
    <row r="318" spans="1:29">
      <c r="A318" s="106"/>
      <c r="B318" s="106"/>
      <c r="C318" s="106"/>
      <c r="D318" s="106"/>
      <c r="E318" s="106"/>
      <c r="F318" s="106"/>
      <c r="G318" s="106"/>
      <c r="H318" s="106"/>
      <c r="I318" s="106"/>
      <c r="J318" s="106"/>
      <c r="K318" s="106"/>
      <c r="L318" s="106"/>
      <c r="M318" s="106"/>
      <c r="N318" s="106"/>
      <c r="O318" s="106"/>
      <c r="P318" s="106"/>
      <c r="Q318" s="106"/>
      <c r="R318" s="106"/>
      <c r="S318" s="106"/>
      <c r="T318" s="106"/>
      <c r="U318" s="106"/>
      <c r="V318" s="106"/>
      <c r="W318" s="106"/>
      <c r="X318" s="106"/>
      <c r="Y318" s="106"/>
      <c r="Z318" s="106"/>
      <c r="AA318" s="106"/>
      <c r="AB318" s="106"/>
      <c r="AC318" s="106"/>
    </row>
    <row r="319" spans="1:29">
      <c r="A319" s="106"/>
      <c r="B319" s="106"/>
      <c r="C319" s="106"/>
      <c r="D319" s="106"/>
      <c r="E319" s="106"/>
      <c r="F319" s="106"/>
      <c r="G319" s="106"/>
      <c r="H319" s="106"/>
      <c r="I319" s="106"/>
      <c r="J319" s="106"/>
      <c r="K319" s="106"/>
      <c r="L319" s="106"/>
      <c r="M319" s="106"/>
      <c r="N319" s="106"/>
      <c r="O319" s="106"/>
      <c r="P319" s="106"/>
      <c r="Q319" s="106"/>
      <c r="R319" s="106"/>
      <c r="S319" s="106"/>
      <c r="T319" s="106"/>
      <c r="U319" s="106"/>
      <c r="V319" s="106"/>
      <c r="W319" s="106"/>
      <c r="X319" s="106"/>
      <c r="Y319" s="106"/>
      <c r="Z319" s="106"/>
      <c r="AA319" s="106"/>
      <c r="AB319" s="106"/>
      <c r="AC319" s="106"/>
    </row>
    <row r="320" spans="1:29">
      <c r="A320" s="106"/>
      <c r="B320" s="106"/>
      <c r="C320" s="106"/>
      <c r="D320" s="106"/>
      <c r="E320" s="106"/>
      <c r="F320" s="106"/>
      <c r="G320" s="106"/>
      <c r="H320" s="106"/>
      <c r="I320" s="106"/>
      <c r="J320" s="106"/>
      <c r="K320" s="106"/>
      <c r="L320" s="106"/>
      <c r="M320" s="106"/>
      <c r="N320" s="106"/>
      <c r="O320" s="106"/>
      <c r="P320" s="106"/>
      <c r="Q320" s="106"/>
      <c r="R320" s="106"/>
      <c r="S320" s="106"/>
      <c r="T320" s="106"/>
      <c r="U320" s="106"/>
      <c r="V320" s="106"/>
      <c r="W320" s="106"/>
      <c r="X320" s="106"/>
      <c r="Y320" s="106"/>
      <c r="Z320" s="106"/>
      <c r="AA320" s="106"/>
      <c r="AB320" s="106"/>
      <c r="AC320" s="106"/>
    </row>
    <row r="321" spans="1:29">
      <c r="A321" s="106"/>
      <c r="B321" s="106"/>
      <c r="C321" s="106"/>
      <c r="D321" s="106"/>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row>
    <row r="322" spans="1:29">
      <c r="A322" s="106"/>
      <c r="B322" s="106"/>
      <c r="C322" s="106"/>
      <c r="D322" s="106"/>
      <c r="E322" s="106"/>
      <c r="F322" s="106"/>
      <c r="G322" s="106"/>
      <c r="H322" s="106"/>
      <c r="I322" s="106"/>
      <c r="J322" s="106"/>
      <c r="K322" s="106"/>
      <c r="L322" s="106"/>
      <c r="M322" s="106"/>
      <c r="N322" s="106"/>
      <c r="O322" s="106"/>
      <c r="P322" s="106"/>
      <c r="Q322" s="106"/>
      <c r="R322" s="106"/>
      <c r="S322" s="106"/>
      <c r="T322" s="106"/>
      <c r="U322" s="106"/>
      <c r="V322" s="106"/>
      <c r="W322" s="106"/>
      <c r="X322" s="106"/>
      <c r="Y322" s="106"/>
      <c r="Z322" s="106"/>
      <c r="AA322" s="106"/>
      <c r="AB322" s="106"/>
      <c r="AC322" s="106"/>
    </row>
    <row r="323" spans="1:29">
      <c r="A323" s="106"/>
      <c r="B323" s="106"/>
      <c r="C323" s="106"/>
      <c r="D323" s="106"/>
      <c r="E323" s="106"/>
      <c r="F323" s="106"/>
      <c r="G323" s="106"/>
      <c r="H323" s="106"/>
      <c r="I323" s="106"/>
      <c r="J323" s="106"/>
      <c r="K323" s="106"/>
      <c r="L323" s="106"/>
      <c r="M323" s="106"/>
      <c r="N323" s="106"/>
      <c r="O323" s="106"/>
      <c r="P323" s="106"/>
      <c r="Q323" s="106"/>
      <c r="R323" s="106"/>
      <c r="S323" s="106"/>
      <c r="T323" s="106"/>
      <c r="U323" s="106"/>
      <c r="V323" s="106"/>
      <c r="W323" s="106"/>
      <c r="X323" s="106"/>
      <c r="Y323" s="106"/>
      <c r="Z323" s="106"/>
      <c r="AA323" s="106"/>
      <c r="AB323" s="106"/>
      <c r="AC323" s="106"/>
    </row>
    <row r="324" spans="1:29">
      <c r="A324" s="106"/>
      <c r="B324" s="106"/>
      <c r="C324" s="106"/>
      <c r="D324" s="106"/>
      <c r="E324" s="106"/>
      <c r="F324" s="106"/>
      <c r="G324" s="106"/>
      <c r="H324" s="106"/>
      <c r="I324" s="106"/>
      <c r="J324" s="106"/>
      <c r="K324" s="106"/>
      <c r="L324" s="106"/>
      <c r="M324" s="106"/>
      <c r="N324" s="106"/>
      <c r="O324" s="106"/>
      <c r="P324" s="106"/>
      <c r="Q324" s="106"/>
      <c r="R324" s="106"/>
      <c r="S324" s="106"/>
      <c r="T324" s="106"/>
      <c r="U324" s="106"/>
      <c r="V324" s="106"/>
      <c r="W324" s="106"/>
      <c r="X324" s="106"/>
      <c r="Y324" s="106"/>
      <c r="Z324" s="106"/>
      <c r="AA324" s="106"/>
      <c r="AB324" s="106"/>
      <c r="AC324" s="106"/>
    </row>
    <row r="325" spans="1:29">
      <c r="A325" s="106"/>
      <c r="B325" s="106"/>
      <c r="C325" s="106"/>
      <c r="D325" s="106"/>
      <c r="E325" s="106"/>
      <c r="F325" s="106"/>
      <c r="G325" s="106"/>
      <c r="H325" s="106"/>
      <c r="I325" s="106"/>
      <c r="J325" s="106"/>
      <c r="K325" s="106"/>
      <c r="L325" s="106"/>
      <c r="M325" s="106"/>
      <c r="N325" s="106"/>
      <c r="O325" s="106"/>
      <c r="P325" s="106"/>
      <c r="Q325" s="106"/>
      <c r="R325" s="106"/>
      <c r="S325" s="106"/>
      <c r="T325" s="106"/>
      <c r="U325" s="106"/>
      <c r="V325" s="106"/>
      <c r="W325" s="106"/>
      <c r="X325" s="106"/>
      <c r="Y325" s="106"/>
      <c r="Z325" s="106"/>
      <c r="AA325" s="106"/>
      <c r="AB325" s="106"/>
      <c r="AC325" s="106"/>
    </row>
    <row r="326" spans="1:29">
      <c r="A326" s="106"/>
      <c r="B326" s="106"/>
      <c r="C326" s="106"/>
      <c r="D326" s="106"/>
      <c r="E326" s="106"/>
      <c r="F326" s="106"/>
      <c r="G326" s="106"/>
      <c r="H326" s="106"/>
      <c r="I326" s="106"/>
      <c r="J326" s="106"/>
      <c r="K326" s="106"/>
      <c r="L326" s="106"/>
      <c r="M326" s="106"/>
      <c r="N326" s="106"/>
      <c r="O326" s="106"/>
      <c r="P326" s="106"/>
      <c r="Q326" s="106"/>
      <c r="R326" s="106"/>
      <c r="S326" s="106"/>
      <c r="T326" s="106"/>
      <c r="U326" s="106"/>
      <c r="V326" s="106"/>
      <c r="W326" s="106"/>
      <c r="X326" s="106"/>
      <c r="Y326" s="106"/>
      <c r="Z326" s="106"/>
      <c r="AA326" s="106"/>
      <c r="AB326" s="106"/>
      <c r="AC326" s="106"/>
    </row>
    <row r="327" spans="1:29">
      <c r="A327" s="106"/>
      <c r="B327" s="106"/>
      <c r="C327" s="106"/>
      <c r="D327" s="106"/>
      <c r="E327" s="106"/>
      <c r="F327" s="106"/>
      <c r="G327" s="106"/>
      <c r="H327" s="106"/>
      <c r="I327" s="106"/>
      <c r="J327" s="106"/>
      <c r="K327" s="106"/>
      <c r="L327" s="106"/>
      <c r="M327" s="106"/>
      <c r="N327" s="106"/>
      <c r="O327" s="106"/>
      <c r="P327" s="106"/>
      <c r="Q327" s="106"/>
      <c r="R327" s="106"/>
      <c r="S327" s="106"/>
      <c r="T327" s="106"/>
      <c r="U327" s="106"/>
      <c r="V327" s="106"/>
      <c r="W327" s="106"/>
      <c r="X327" s="106"/>
      <c r="Y327" s="106"/>
      <c r="Z327" s="106"/>
      <c r="AA327" s="106"/>
      <c r="AB327" s="106"/>
      <c r="AC327" s="106"/>
    </row>
    <row r="328" spans="1:29">
      <c r="A328" s="106"/>
      <c r="B328" s="106"/>
      <c r="C328" s="106"/>
      <c r="D328" s="106"/>
      <c r="E328" s="106"/>
      <c r="F328" s="106"/>
      <c r="G328" s="106"/>
      <c r="H328" s="106"/>
      <c r="I328" s="106"/>
      <c r="J328" s="106"/>
      <c r="K328" s="106"/>
      <c r="L328" s="106"/>
      <c r="M328" s="106"/>
      <c r="N328" s="106"/>
      <c r="O328" s="106"/>
      <c r="P328" s="106"/>
      <c r="Q328" s="106"/>
      <c r="R328" s="106"/>
      <c r="S328" s="106"/>
      <c r="T328" s="106"/>
      <c r="U328" s="106"/>
      <c r="V328" s="106"/>
      <c r="W328" s="106"/>
      <c r="X328" s="106"/>
      <c r="Y328" s="106"/>
      <c r="Z328" s="106"/>
      <c r="AA328" s="106"/>
      <c r="AB328" s="106"/>
      <c r="AC328" s="106"/>
    </row>
    <row r="329" spans="1:29">
      <c r="A329" s="106"/>
      <c r="B329" s="106"/>
      <c r="C329" s="106"/>
      <c r="D329" s="106"/>
      <c r="E329" s="106"/>
      <c r="F329" s="106"/>
      <c r="G329" s="106"/>
      <c r="H329" s="106"/>
      <c r="I329" s="106"/>
      <c r="J329" s="106"/>
      <c r="K329" s="106"/>
      <c r="L329" s="106"/>
      <c r="M329" s="106"/>
      <c r="N329" s="106"/>
      <c r="O329" s="106"/>
      <c r="P329" s="106"/>
      <c r="Q329" s="106"/>
      <c r="R329" s="106"/>
      <c r="S329" s="106"/>
      <c r="T329" s="106"/>
      <c r="U329" s="106"/>
      <c r="V329" s="106"/>
      <c r="W329" s="106"/>
      <c r="X329" s="106"/>
      <c r="Y329" s="106"/>
      <c r="Z329" s="106"/>
      <c r="AA329" s="106"/>
      <c r="AB329" s="106"/>
      <c r="AC329" s="106"/>
    </row>
    <row r="330" spans="1:29">
      <c r="A330" s="106"/>
      <c r="B330" s="106"/>
      <c r="C330" s="106"/>
      <c r="D330" s="106"/>
      <c r="E330" s="106"/>
      <c r="F330" s="106"/>
      <c r="G330" s="106"/>
      <c r="H330" s="106"/>
      <c r="I330" s="106"/>
      <c r="J330" s="106"/>
      <c r="K330" s="106"/>
      <c r="L330" s="106"/>
      <c r="M330" s="106"/>
      <c r="N330" s="106"/>
      <c r="O330" s="106"/>
      <c r="P330" s="106"/>
      <c r="Q330" s="106"/>
      <c r="R330" s="106"/>
      <c r="S330" s="106"/>
      <c r="T330" s="106"/>
      <c r="U330" s="106"/>
      <c r="V330" s="106"/>
      <c r="W330" s="106"/>
      <c r="X330" s="106"/>
      <c r="Y330" s="106"/>
      <c r="Z330" s="106"/>
      <c r="AA330" s="106"/>
      <c r="AB330" s="106"/>
      <c r="AC330" s="106"/>
    </row>
    <row r="331" spans="1:29">
      <c r="A331" s="106"/>
      <c r="B331" s="106"/>
      <c r="C331" s="106"/>
      <c r="D331" s="106"/>
      <c r="E331" s="106"/>
      <c r="F331" s="106"/>
      <c r="G331" s="106"/>
      <c r="H331" s="106"/>
      <c r="I331" s="106"/>
      <c r="J331" s="106"/>
      <c r="K331" s="106"/>
      <c r="L331" s="106"/>
      <c r="M331" s="106"/>
      <c r="N331" s="106"/>
      <c r="O331" s="106"/>
      <c r="P331" s="106"/>
      <c r="Q331" s="106"/>
      <c r="R331" s="106"/>
      <c r="S331" s="106"/>
      <c r="T331" s="106"/>
      <c r="U331" s="106"/>
      <c r="V331" s="106"/>
      <c r="W331" s="106"/>
      <c r="X331" s="106"/>
      <c r="Y331" s="106"/>
      <c r="Z331" s="106"/>
      <c r="AA331" s="106"/>
      <c r="AB331" s="106"/>
      <c r="AC331" s="106"/>
    </row>
    <row r="332" spans="1:29">
      <c r="A332" s="106"/>
      <c r="B332" s="106"/>
      <c r="C332" s="106"/>
      <c r="D332" s="106"/>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row>
    <row r="333" spans="1:29">
      <c r="A333" s="106"/>
      <c r="B333" s="106"/>
      <c r="C333" s="106"/>
      <c r="D333" s="106"/>
      <c r="E333" s="106"/>
      <c r="F333" s="106"/>
      <c r="G333" s="106"/>
      <c r="H333" s="106"/>
      <c r="I333" s="106"/>
      <c r="J333" s="106"/>
      <c r="K333" s="106"/>
      <c r="L333" s="106"/>
      <c r="M333" s="106"/>
      <c r="N333" s="106"/>
      <c r="O333" s="106"/>
      <c r="P333" s="106"/>
      <c r="Q333" s="106"/>
      <c r="R333" s="106"/>
      <c r="S333" s="106"/>
      <c r="T333" s="106"/>
      <c r="U333" s="106"/>
      <c r="V333" s="106"/>
      <c r="W333" s="106"/>
      <c r="X333" s="106"/>
      <c r="Y333" s="106"/>
      <c r="Z333" s="106"/>
      <c r="AA333" s="106"/>
      <c r="AB333" s="106"/>
      <c r="AC333" s="106"/>
    </row>
    <row r="334" spans="1:29">
      <c r="A334" s="106"/>
      <c r="B334" s="106"/>
      <c r="C334" s="106"/>
      <c r="D334" s="106"/>
      <c r="E334" s="106"/>
      <c r="F334" s="106"/>
      <c r="G334" s="106"/>
      <c r="H334" s="106"/>
      <c r="I334" s="106"/>
      <c r="J334" s="106"/>
      <c r="K334" s="106"/>
      <c r="L334" s="106"/>
      <c r="M334" s="106"/>
      <c r="N334" s="106"/>
      <c r="O334" s="106"/>
      <c r="P334" s="106"/>
      <c r="Q334" s="106"/>
      <c r="R334" s="106"/>
      <c r="S334" s="106"/>
      <c r="T334" s="106"/>
      <c r="U334" s="106"/>
      <c r="V334" s="106"/>
      <c r="W334" s="106"/>
      <c r="X334" s="106"/>
      <c r="Y334" s="106"/>
      <c r="Z334" s="106"/>
      <c r="AA334" s="106"/>
      <c r="AB334" s="106"/>
      <c r="AC334" s="106"/>
    </row>
    <row r="335" spans="1:29">
      <c r="A335" s="106"/>
      <c r="B335" s="106"/>
      <c r="C335" s="106"/>
      <c r="D335" s="106"/>
      <c r="E335" s="106"/>
      <c r="F335" s="106"/>
      <c r="G335" s="106"/>
      <c r="H335" s="106"/>
      <c r="I335" s="106"/>
      <c r="J335" s="106"/>
      <c r="K335" s="106"/>
      <c r="L335" s="106"/>
      <c r="M335" s="106"/>
      <c r="N335" s="106"/>
      <c r="O335" s="106"/>
      <c r="P335" s="106"/>
      <c r="Q335" s="106"/>
      <c r="R335" s="106"/>
      <c r="S335" s="106"/>
      <c r="T335" s="106"/>
      <c r="U335" s="106"/>
      <c r="V335" s="106"/>
      <c r="W335" s="106"/>
      <c r="X335" s="106"/>
      <c r="Y335" s="106"/>
      <c r="Z335" s="106"/>
      <c r="AA335" s="106"/>
      <c r="AB335" s="106"/>
      <c r="AC335" s="106"/>
    </row>
    <row r="336" spans="1:29">
      <c r="A336" s="106"/>
      <c r="B336" s="106"/>
      <c r="C336" s="106"/>
      <c r="D336" s="106"/>
      <c r="E336" s="106"/>
      <c r="F336" s="106"/>
      <c r="G336" s="106"/>
      <c r="H336" s="106"/>
      <c r="I336" s="106"/>
      <c r="J336" s="106"/>
      <c r="K336" s="106"/>
      <c r="L336" s="106"/>
      <c r="M336" s="106"/>
      <c r="N336" s="106"/>
      <c r="O336" s="106"/>
      <c r="P336" s="106"/>
      <c r="Q336" s="106"/>
      <c r="R336" s="106"/>
      <c r="S336" s="106"/>
      <c r="T336" s="106"/>
      <c r="U336" s="106"/>
      <c r="V336" s="106"/>
      <c r="W336" s="106"/>
      <c r="X336" s="106"/>
      <c r="Y336" s="106"/>
      <c r="Z336" s="106"/>
      <c r="AA336" s="106"/>
      <c r="AB336" s="106"/>
      <c r="AC336" s="106"/>
    </row>
    <row r="337" spans="1:29">
      <c r="A337" s="106"/>
      <c r="B337" s="106"/>
      <c r="C337" s="106"/>
      <c r="D337" s="106"/>
      <c r="E337" s="106"/>
      <c r="F337" s="106"/>
      <c r="G337" s="106"/>
      <c r="H337" s="106"/>
      <c r="I337" s="106"/>
      <c r="J337" s="106"/>
      <c r="K337" s="106"/>
      <c r="L337" s="106"/>
      <c r="M337" s="106"/>
      <c r="N337" s="106"/>
      <c r="O337" s="106"/>
      <c r="P337" s="106"/>
      <c r="Q337" s="106"/>
      <c r="R337" s="106"/>
      <c r="S337" s="106"/>
      <c r="T337" s="106"/>
      <c r="U337" s="106"/>
      <c r="V337" s="106"/>
      <c r="W337" s="106"/>
      <c r="X337" s="106"/>
      <c r="Y337" s="106"/>
      <c r="Z337" s="106"/>
      <c r="AA337" s="106"/>
      <c r="AB337" s="106"/>
      <c r="AC337" s="106"/>
    </row>
    <row r="338" spans="1:29">
      <c r="A338" s="106"/>
      <c r="B338" s="106"/>
      <c r="C338" s="106"/>
      <c r="D338" s="106"/>
      <c r="E338" s="106"/>
      <c r="F338" s="106"/>
      <c r="G338" s="106"/>
      <c r="H338" s="106"/>
      <c r="I338" s="106"/>
      <c r="J338" s="106"/>
      <c r="K338" s="106"/>
      <c r="L338" s="106"/>
      <c r="M338" s="106"/>
      <c r="N338" s="106"/>
      <c r="O338" s="106"/>
      <c r="P338" s="106"/>
      <c r="Q338" s="106"/>
      <c r="R338" s="106"/>
      <c r="S338" s="106"/>
      <c r="T338" s="106"/>
      <c r="U338" s="106"/>
      <c r="V338" s="106"/>
      <c r="W338" s="106"/>
      <c r="X338" s="106"/>
      <c r="Y338" s="106"/>
      <c r="Z338" s="106"/>
      <c r="AA338" s="106"/>
      <c r="AB338" s="106"/>
      <c r="AC338" s="106"/>
    </row>
    <row r="339" spans="1:29">
      <c r="A339" s="106"/>
      <c r="B339" s="106"/>
      <c r="C339" s="106"/>
      <c r="D339" s="106"/>
      <c r="E339" s="106"/>
      <c r="F339" s="106"/>
      <c r="G339" s="106"/>
      <c r="H339" s="106"/>
      <c r="I339" s="106"/>
      <c r="J339" s="106"/>
      <c r="K339" s="106"/>
      <c r="L339" s="106"/>
      <c r="M339" s="106"/>
      <c r="N339" s="106"/>
      <c r="O339" s="106"/>
      <c r="P339" s="106"/>
      <c r="Q339" s="106"/>
      <c r="R339" s="106"/>
      <c r="S339" s="106"/>
      <c r="T339" s="106"/>
      <c r="U339" s="106"/>
      <c r="V339" s="106"/>
      <c r="W339" s="106"/>
      <c r="X339" s="106"/>
      <c r="Y339" s="106"/>
      <c r="Z339" s="106"/>
      <c r="AA339" s="106"/>
      <c r="AB339" s="106"/>
      <c r="AC339" s="106"/>
    </row>
    <row r="340" spans="1:29">
      <c r="A340" s="106"/>
      <c r="B340" s="106"/>
      <c r="C340" s="106"/>
      <c r="D340" s="106"/>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row>
    <row r="341" spans="1:29">
      <c r="A341" s="106"/>
      <c r="B341" s="106"/>
      <c r="C341" s="106"/>
      <c r="D341" s="106"/>
      <c r="E341" s="106"/>
      <c r="F341" s="106"/>
      <c r="G341" s="106"/>
      <c r="H341" s="106"/>
      <c r="I341" s="106"/>
      <c r="J341" s="106"/>
      <c r="K341" s="106"/>
      <c r="L341" s="106"/>
      <c r="M341" s="106"/>
      <c r="N341" s="106"/>
      <c r="O341" s="106"/>
      <c r="P341" s="106"/>
      <c r="Q341" s="106"/>
      <c r="R341" s="106"/>
      <c r="S341" s="106"/>
      <c r="T341" s="106"/>
      <c r="U341" s="106"/>
      <c r="V341" s="106"/>
      <c r="W341" s="106"/>
      <c r="X341" s="106"/>
      <c r="Y341" s="106"/>
      <c r="Z341" s="106"/>
      <c r="AA341" s="106"/>
      <c r="AB341" s="106"/>
      <c r="AC341" s="106"/>
    </row>
    <row r="342" spans="1:29">
      <c r="A342" s="106"/>
      <c r="B342" s="106"/>
      <c r="C342" s="106"/>
      <c r="D342" s="106"/>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row>
    <row r="343" spans="1:29">
      <c r="A343" s="106"/>
      <c r="B343" s="106"/>
      <c r="C343" s="106"/>
      <c r="D343" s="106"/>
      <c r="E343" s="106"/>
      <c r="F343" s="106"/>
      <c r="G343" s="106"/>
      <c r="H343" s="106"/>
      <c r="I343" s="106"/>
      <c r="J343" s="106"/>
      <c r="K343" s="106"/>
      <c r="L343" s="106"/>
      <c r="M343" s="106"/>
      <c r="N343" s="106"/>
      <c r="O343" s="106"/>
      <c r="P343" s="106"/>
      <c r="Q343" s="106"/>
      <c r="R343" s="106"/>
      <c r="S343" s="106"/>
      <c r="T343" s="106"/>
      <c r="U343" s="106"/>
      <c r="V343" s="106"/>
      <c r="W343" s="106"/>
      <c r="X343" s="106"/>
      <c r="Y343" s="106"/>
      <c r="Z343" s="106"/>
      <c r="AA343" s="106"/>
      <c r="AB343" s="106"/>
      <c r="AC343" s="106"/>
    </row>
    <row r="344" spans="1:29">
      <c r="A344" s="106"/>
      <c r="B344" s="106"/>
      <c r="C344" s="106"/>
      <c r="D344" s="106"/>
      <c r="E344" s="106"/>
      <c r="F344" s="106"/>
      <c r="G344" s="106"/>
      <c r="H344" s="106"/>
      <c r="I344" s="106"/>
      <c r="J344" s="106"/>
      <c r="K344" s="106"/>
      <c r="L344" s="106"/>
      <c r="M344" s="106"/>
      <c r="N344" s="106"/>
      <c r="O344" s="106"/>
      <c r="P344" s="106"/>
      <c r="Q344" s="106"/>
      <c r="R344" s="106"/>
      <c r="S344" s="106"/>
      <c r="T344" s="106"/>
      <c r="U344" s="106"/>
      <c r="V344" s="106"/>
      <c r="W344" s="106"/>
      <c r="X344" s="106"/>
      <c r="Y344" s="106"/>
      <c r="Z344" s="106"/>
      <c r="AA344" s="106"/>
      <c r="AB344" s="106"/>
      <c r="AC344" s="106"/>
    </row>
    <row r="345" spans="1:29">
      <c r="A345" s="106"/>
      <c r="B345" s="106"/>
      <c r="C345" s="106"/>
      <c r="D345" s="106"/>
      <c r="E345" s="106"/>
      <c r="F345" s="106"/>
      <c r="G345" s="106"/>
      <c r="H345" s="106"/>
      <c r="I345" s="106"/>
      <c r="J345" s="106"/>
      <c r="K345" s="106"/>
      <c r="L345" s="106"/>
      <c r="M345" s="106"/>
      <c r="N345" s="106"/>
      <c r="O345" s="106"/>
      <c r="P345" s="106"/>
      <c r="Q345" s="106"/>
      <c r="R345" s="106"/>
      <c r="S345" s="106"/>
      <c r="T345" s="106"/>
      <c r="U345" s="106"/>
      <c r="V345" s="106"/>
      <c r="W345" s="106"/>
      <c r="X345" s="106"/>
      <c r="Y345" s="106"/>
      <c r="Z345" s="106"/>
      <c r="AA345" s="106"/>
      <c r="AB345" s="106"/>
      <c r="AC345" s="106"/>
    </row>
    <row r="346" spans="1:29">
      <c r="A346" s="106"/>
      <c r="B346" s="106"/>
      <c r="C346" s="106"/>
      <c r="D346" s="106"/>
      <c r="E346" s="106"/>
      <c r="F346" s="106"/>
      <c r="G346" s="106"/>
      <c r="H346" s="106"/>
      <c r="I346" s="106"/>
      <c r="J346" s="106"/>
      <c r="K346" s="106"/>
      <c r="L346" s="106"/>
      <c r="M346" s="106"/>
      <c r="N346" s="106"/>
      <c r="O346" s="106"/>
      <c r="P346" s="106"/>
      <c r="Q346" s="106"/>
      <c r="R346" s="106"/>
      <c r="S346" s="106"/>
      <c r="T346" s="106"/>
      <c r="U346" s="106"/>
      <c r="V346" s="106"/>
      <c r="W346" s="106"/>
      <c r="X346" s="106"/>
      <c r="Y346" s="106"/>
      <c r="Z346" s="106"/>
      <c r="AA346" s="106"/>
      <c r="AB346" s="106"/>
      <c r="AC346" s="106"/>
    </row>
    <row r="347" spans="1:29">
      <c r="A347" s="106"/>
      <c r="B347" s="106"/>
      <c r="C347" s="106"/>
      <c r="D347" s="106"/>
      <c r="E347" s="106"/>
      <c r="F347" s="106"/>
      <c r="G347" s="106"/>
      <c r="H347" s="106"/>
      <c r="I347" s="106"/>
      <c r="J347" s="106"/>
      <c r="K347" s="106"/>
      <c r="L347" s="106"/>
      <c r="M347" s="106"/>
      <c r="N347" s="106"/>
      <c r="O347" s="106"/>
      <c r="P347" s="106"/>
      <c r="Q347" s="106"/>
      <c r="R347" s="106"/>
      <c r="S347" s="106"/>
      <c r="T347" s="106"/>
      <c r="U347" s="106"/>
      <c r="V347" s="106"/>
      <c r="W347" s="106"/>
      <c r="X347" s="106"/>
      <c r="Y347" s="106"/>
      <c r="Z347" s="106"/>
      <c r="AA347" s="106"/>
      <c r="AB347" s="106"/>
      <c r="AC347" s="106"/>
    </row>
    <row r="348" spans="1:29">
      <c r="A348" s="106"/>
      <c r="B348" s="106"/>
      <c r="C348" s="106"/>
      <c r="D348" s="106"/>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row>
    <row r="349" spans="1:29">
      <c r="A349" s="106"/>
      <c r="B349" s="106"/>
      <c r="C349" s="106"/>
      <c r="D349" s="106"/>
      <c r="E349" s="106"/>
      <c r="F349" s="106"/>
      <c r="G349" s="106"/>
      <c r="H349" s="106"/>
      <c r="I349" s="106"/>
      <c r="J349" s="106"/>
      <c r="K349" s="106"/>
      <c r="L349" s="106"/>
      <c r="M349" s="106"/>
      <c r="N349" s="106"/>
      <c r="O349" s="106"/>
      <c r="P349" s="106"/>
      <c r="Q349" s="106"/>
      <c r="R349" s="106"/>
      <c r="S349" s="106"/>
      <c r="T349" s="106"/>
      <c r="U349" s="106"/>
      <c r="V349" s="106"/>
      <c r="W349" s="106"/>
      <c r="X349" s="106"/>
      <c r="Y349" s="106"/>
      <c r="Z349" s="106"/>
      <c r="AA349" s="106"/>
      <c r="AB349" s="106"/>
      <c r="AC349" s="106"/>
    </row>
    <row r="350" spans="1:29">
      <c r="A350" s="106"/>
      <c r="B350" s="106"/>
      <c r="C350" s="106"/>
      <c r="D350" s="106"/>
      <c r="E350" s="106"/>
      <c r="F350" s="106"/>
      <c r="G350" s="106"/>
      <c r="H350" s="106"/>
      <c r="I350" s="106"/>
      <c r="J350" s="106"/>
      <c r="K350" s="106"/>
      <c r="L350" s="106"/>
      <c r="M350" s="106"/>
      <c r="N350" s="106"/>
      <c r="O350" s="106"/>
      <c r="P350" s="106"/>
      <c r="Q350" s="106"/>
      <c r="R350" s="106"/>
      <c r="S350" s="106"/>
      <c r="T350" s="106"/>
      <c r="U350" s="106"/>
      <c r="V350" s="106"/>
      <c r="W350" s="106"/>
      <c r="X350" s="106"/>
      <c r="Y350" s="106"/>
      <c r="Z350" s="106"/>
      <c r="AA350" s="106"/>
      <c r="AB350" s="106"/>
      <c r="AC350" s="106"/>
    </row>
    <row r="351" spans="1:29">
      <c r="A351" s="106"/>
      <c r="B351" s="106"/>
      <c r="C351" s="106"/>
      <c r="D351" s="106"/>
      <c r="E351" s="106"/>
      <c r="F351" s="106"/>
      <c r="G351" s="106"/>
      <c r="H351" s="106"/>
      <c r="I351" s="106"/>
      <c r="J351" s="106"/>
      <c r="K351" s="106"/>
      <c r="L351" s="106"/>
      <c r="M351" s="106"/>
      <c r="N351" s="106"/>
      <c r="O351" s="106"/>
      <c r="P351" s="106"/>
      <c r="Q351" s="106"/>
      <c r="R351" s="106"/>
      <c r="S351" s="106"/>
      <c r="T351" s="106"/>
      <c r="U351" s="106"/>
      <c r="V351" s="106"/>
      <c r="W351" s="106"/>
      <c r="X351" s="106"/>
      <c r="Y351" s="106"/>
      <c r="Z351" s="106"/>
      <c r="AA351" s="106"/>
      <c r="AB351" s="106"/>
      <c r="AC351" s="106"/>
    </row>
    <row r="352" spans="1:29">
      <c r="A352" s="106"/>
      <c r="B352" s="106"/>
      <c r="C352" s="106"/>
      <c r="D352" s="106"/>
      <c r="E352" s="106"/>
      <c r="F352" s="106"/>
      <c r="G352" s="106"/>
      <c r="H352" s="106"/>
      <c r="I352" s="106"/>
      <c r="J352" s="106"/>
      <c r="K352" s="106"/>
      <c r="L352" s="106"/>
      <c r="M352" s="106"/>
      <c r="N352" s="106"/>
      <c r="O352" s="106"/>
      <c r="P352" s="106"/>
      <c r="Q352" s="106"/>
      <c r="R352" s="106"/>
      <c r="S352" s="106"/>
      <c r="T352" s="106"/>
      <c r="U352" s="106"/>
      <c r="V352" s="106"/>
      <c r="W352" s="106"/>
      <c r="X352" s="106"/>
      <c r="Y352" s="106"/>
      <c r="Z352" s="106"/>
      <c r="AA352" s="106"/>
      <c r="AB352" s="106"/>
      <c r="AC352" s="106"/>
    </row>
    <row r="353" spans="1:29">
      <c r="A353" s="106"/>
      <c r="B353" s="106"/>
      <c r="C353" s="106"/>
      <c r="D353" s="106"/>
      <c r="E353" s="106"/>
      <c r="F353" s="106"/>
      <c r="G353" s="106"/>
      <c r="H353" s="106"/>
      <c r="I353" s="106"/>
      <c r="J353" s="106"/>
      <c r="K353" s="106"/>
      <c r="L353" s="106"/>
      <c r="M353" s="106"/>
      <c r="N353" s="106"/>
      <c r="O353" s="106"/>
      <c r="P353" s="106"/>
      <c r="Q353" s="106"/>
      <c r="R353" s="106"/>
      <c r="S353" s="106"/>
      <c r="T353" s="106"/>
      <c r="U353" s="106"/>
      <c r="V353" s="106"/>
      <c r="W353" s="106"/>
      <c r="X353" s="106"/>
      <c r="Y353" s="106"/>
      <c r="Z353" s="106"/>
      <c r="AA353" s="106"/>
      <c r="AB353" s="106"/>
      <c r="AC353" s="106"/>
    </row>
    <row r="354" spans="1:29">
      <c r="A354" s="106"/>
      <c r="B354" s="106"/>
      <c r="C354" s="106"/>
      <c r="D354" s="106"/>
      <c r="E354" s="106"/>
      <c r="F354" s="106"/>
      <c r="G354" s="106"/>
      <c r="H354" s="106"/>
      <c r="I354" s="106"/>
      <c r="J354" s="106"/>
      <c r="K354" s="106"/>
      <c r="L354" s="106"/>
      <c r="M354" s="106"/>
      <c r="N354" s="106"/>
      <c r="O354" s="106"/>
      <c r="P354" s="106"/>
      <c r="Q354" s="106"/>
      <c r="R354" s="106"/>
      <c r="S354" s="106"/>
      <c r="T354" s="106"/>
      <c r="U354" s="106"/>
      <c r="V354" s="106"/>
      <c r="W354" s="106"/>
      <c r="X354" s="106"/>
      <c r="Y354" s="106"/>
      <c r="Z354" s="106"/>
      <c r="AA354" s="106"/>
      <c r="AB354" s="106"/>
      <c r="AC354" s="106"/>
    </row>
    <row r="355" spans="1:29">
      <c r="A355" s="106"/>
      <c r="B355" s="106"/>
      <c r="C355" s="106"/>
      <c r="D355" s="106"/>
      <c r="E355" s="106"/>
      <c r="F355" s="106"/>
      <c r="G355" s="106"/>
      <c r="H355" s="106"/>
      <c r="I355" s="106"/>
      <c r="J355" s="106"/>
      <c r="K355" s="106"/>
      <c r="L355" s="106"/>
      <c r="M355" s="106"/>
      <c r="N355" s="106"/>
      <c r="O355" s="106"/>
      <c r="P355" s="106"/>
      <c r="Q355" s="106"/>
      <c r="R355" s="106"/>
      <c r="S355" s="106"/>
      <c r="T355" s="106"/>
      <c r="U355" s="106"/>
      <c r="V355" s="106"/>
      <c r="W355" s="106"/>
      <c r="X355" s="106"/>
      <c r="Y355" s="106"/>
      <c r="Z355" s="106"/>
      <c r="AA355" s="106"/>
      <c r="AB355" s="106"/>
      <c r="AC355" s="106"/>
    </row>
    <row r="356" spans="1:29">
      <c r="A356" s="106"/>
      <c r="B356" s="106"/>
      <c r="C356" s="106"/>
      <c r="D356" s="106"/>
      <c r="E356" s="106"/>
      <c r="F356" s="106"/>
      <c r="G356" s="106"/>
      <c r="H356" s="106"/>
      <c r="I356" s="106"/>
      <c r="J356" s="106"/>
      <c r="K356" s="106"/>
      <c r="L356" s="106"/>
      <c r="M356" s="106"/>
      <c r="N356" s="106"/>
      <c r="O356" s="106"/>
      <c r="P356" s="106"/>
      <c r="Q356" s="106"/>
      <c r="R356" s="106"/>
      <c r="S356" s="106"/>
      <c r="T356" s="106"/>
      <c r="U356" s="106"/>
      <c r="V356" s="106"/>
      <c r="W356" s="106"/>
      <c r="X356" s="106"/>
      <c r="Y356" s="106"/>
      <c r="Z356" s="106"/>
      <c r="AA356" s="106"/>
      <c r="AB356" s="106"/>
      <c r="AC356" s="106"/>
    </row>
    <row r="357" spans="1:29">
      <c r="A357" s="106"/>
      <c r="B357" s="106"/>
      <c r="C357" s="106"/>
      <c r="D357" s="106"/>
      <c r="E357" s="106"/>
      <c r="F357" s="106"/>
      <c r="G357" s="106"/>
      <c r="H357" s="106"/>
      <c r="I357" s="106"/>
      <c r="J357" s="106"/>
      <c r="K357" s="106"/>
      <c r="L357" s="106"/>
      <c r="M357" s="106"/>
      <c r="N357" s="106"/>
      <c r="O357" s="106"/>
      <c r="P357" s="106"/>
      <c r="Q357" s="106"/>
      <c r="R357" s="106"/>
      <c r="S357" s="106"/>
      <c r="T357" s="106"/>
      <c r="U357" s="106"/>
      <c r="V357" s="106"/>
      <c r="W357" s="106"/>
      <c r="X357" s="106"/>
      <c r="Y357" s="106"/>
      <c r="Z357" s="106"/>
      <c r="AA357" s="106"/>
      <c r="AB357" s="106"/>
      <c r="AC357" s="106"/>
    </row>
    <row r="358" spans="1:29">
      <c r="A358" s="106"/>
      <c r="B358" s="106"/>
      <c r="C358" s="106"/>
      <c r="D358" s="106"/>
      <c r="E358" s="106"/>
      <c r="F358" s="106"/>
      <c r="G358" s="106"/>
      <c r="H358" s="106"/>
      <c r="I358" s="106"/>
      <c r="J358" s="106"/>
      <c r="K358" s="106"/>
      <c r="L358" s="106"/>
      <c r="M358" s="106"/>
      <c r="N358" s="106"/>
      <c r="O358" s="106"/>
      <c r="P358" s="106"/>
      <c r="Q358" s="106"/>
      <c r="R358" s="106"/>
      <c r="S358" s="106"/>
      <c r="T358" s="106"/>
      <c r="U358" s="106"/>
      <c r="V358" s="106"/>
      <c r="W358" s="106"/>
      <c r="X358" s="106"/>
      <c r="Y358" s="106"/>
      <c r="Z358" s="106"/>
      <c r="AA358" s="106"/>
      <c r="AB358" s="106"/>
      <c r="AC358" s="106"/>
    </row>
    <row r="359" spans="1:29">
      <c r="A359" s="106"/>
      <c r="B359" s="106"/>
      <c r="C359" s="106"/>
      <c r="D359" s="106"/>
      <c r="E359" s="106"/>
      <c r="F359" s="106"/>
      <c r="G359" s="106"/>
      <c r="H359" s="106"/>
      <c r="I359" s="106"/>
      <c r="J359" s="106"/>
      <c r="K359" s="106"/>
      <c r="L359" s="106"/>
      <c r="M359" s="106"/>
      <c r="N359" s="106"/>
      <c r="O359" s="106"/>
      <c r="P359" s="106"/>
      <c r="Q359" s="106"/>
      <c r="R359" s="106"/>
      <c r="S359" s="106"/>
      <c r="T359" s="106"/>
      <c r="U359" s="106"/>
      <c r="V359" s="106"/>
      <c r="W359" s="106"/>
      <c r="X359" s="106"/>
      <c r="Y359" s="106"/>
      <c r="Z359" s="106"/>
      <c r="AA359" s="106"/>
      <c r="AB359" s="106"/>
      <c r="AC359" s="106"/>
    </row>
    <row r="360" spans="1:29">
      <c r="A360" s="106"/>
      <c r="B360" s="106"/>
      <c r="C360" s="106"/>
      <c r="D360" s="106"/>
      <c r="E360" s="106"/>
      <c r="F360" s="106"/>
      <c r="G360" s="106"/>
      <c r="H360" s="106"/>
      <c r="I360" s="106"/>
      <c r="J360" s="106"/>
      <c r="K360" s="106"/>
      <c r="L360" s="106"/>
      <c r="M360" s="106"/>
      <c r="N360" s="106"/>
      <c r="O360" s="106"/>
      <c r="P360" s="106"/>
      <c r="Q360" s="106"/>
      <c r="R360" s="106"/>
      <c r="S360" s="106"/>
      <c r="T360" s="106"/>
      <c r="U360" s="106"/>
      <c r="V360" s="106"/>
      <c r="W360" s="106"/>
      <c r="X360" s="106"/>
      <c r="Y360" s="106"/>
      <c r="Z360" s="106"/>
      <c r="AA360" s="106"/>
      <c r="AB360" s="106"/>
      <c r="AC360" s="106"/>
    </row>
    <row r="361" spans="1:29">
      <c r="A361" s="106"/>
      <c r="B361" s="106"/>
      <c r="C361" s="106"/>
      <c r="D361" s="106"/>
      <c r="E361" s="106"/>
      <c r="F361" s="106"/>
      <c r="G361" s="106"/>
      <c r="H361" s="106"/>
      <c r="I361" s="106"/>
      <c r="J361" s="106"/>
      <c r="K361" s="106"/>
      <c r="L361" s="106"/>
      <c r="M361" s="106"/>
      <c r="N361" s="106"/>
      <c r="O361" s="106"/>
      <c r="P361" s="106"/>
      <c r="Q361" s="106"/>
      <c r="R361" s="106"/>
      <c r="S361" s="106"/>
      <c r="T361" s="106"/>
      <c r="U361" s="106"/>
      <c r="V361" s="106"/>
      <c r="W361" s="106"/>
      <c r="X361" s="106"/>
      <c r="Y361" s="106"/>
      <c r="Z361" s="106"/>
      <c r="AA361" s="106"/>
      <c r="AB361" s="106"/>
      <c r="AC361" s="106"/>
    </row>
    <row r="362" spans="1:29">
      <c r="A362" s="106"/>
      <c r="B362" s="106"/>
      <c r="C362" s="106"/>
      <c r="D362" s="106"/>
      <c r="E362" s="106"/>
      <c r="F362" s="106"/>
      <c r="G362" s="106"/>
      <c r="H362" s="106"/>
      <c r="I362" s="106"/>
      <c r="J362" s="106"/>
      <c r="K362" s="106"/>
      <c r="L362" s="106"/>
      <c r="M362" s="106"/>
      <c r="N362" s="106"/>
      <c r="O362" s="106"/>
      <c r="P362" s="106"/>
      <c r="Q362" s="106"/>
      <c r="R362" s="106"/>
      <c r="S362" s="106"/>
      <c r="T362" s="106"/>
      <c r="U362" s="106"/>
      <c r="V362" s="106"/>
      <c r="W362" s="106"/>
      <c r="X362" s="106"/>
      <c r="Y362" s="106"/>
      <c r="Z362" s="106"/>
      <c r="AA362" s="106"/>
      <c r="AB362" s="106"/>
      <c r="AC362" s="106"/>
    </row>
    <row r="363" spans="1:29">
      <c r="A363" s="106"/>
      <c r="B363" s="106"/>
      <c r="C363" s="106"/>
      <c r="D363" s="106"/>
      <c r="E363" s="106"/>
      <c r="F363" s="106"/>
      <c r="G363" s="106"/>
      <c r="H363" s="106"/>
      <c r="I363" s="106"/>
      <c r="J363" s="106"/>
      <c r="K363" s="106"/>
      <c r="L363" s="106"/>
      <c r="M363" s="106"/>
      <c r="N363" s="106"/>
      <c r="O363" s="106"/>
      <c r="P363" s="106"/>
      <c r="Q363" s="106"/>
      <c r="R363" s="106"/>
      <c r="S363" s="106"/>
      <c r="T363" s="106"/>
      <c r="U363" s="106"/>
      <c r="V363" s="106"/>
      <c r="W363" s="106"/>
      <c r="X363" s="106"/>
      <c r="Y363" s="106"/>
      <c r="Z363" s="106"/>
      <c r="AA363" s="106"/>
      <c r="AB363" s="106"/>
      <c r="AC363" s="106"/>
    </row>
    <row r="364" spans="1:29">
      <c r="A364" s="106"/>
      <c r="B364" s="106"/>
      <c r="C364" s="106"/>
      <c r="D364" s="106"/>
      <c r="E364" s="106"/>
      <c r="F364" s="106"/>
      <c r="G364" s="106"/>
      <c r="H364" s="106"/>
      <c r="I364" s="106"/>
      <c r="J364" s="106"/>
      <c r="K364" s="106"/>
      <c r="L364" s="106"/>
      <c r="M364" s="106"/>
      <c r="N364" s="106"/>
      <c r="O364" s="106"/>
      <c r="P364" s="106"/>
      <c r="Q364" s="106"/>
      <c r="R364" s="106"/>
      <c r="S364" s="106"/>
      <c r="T364" s="106"/>
      <c r="U364" s="106"/>
      <c r="V364" s="106"/>
      <c r="W364" s="106"/>
      <c r="X364" s="106"/>
      <c r="Y364" s="106"/>
      <c r="Z364" s="106"/>
      <c r="AA364" s="106"/>
      <c r="AB364" s="106"/>
      <c r="AC364" s="106"/>
    </row>
    <row r="365" spans="1:29">
      <c r="A365" s="106"/>
      <c r="B365" s="106"/>
      <c r="C365" s="106"/>
      <c r="D365" s="106"/>
      <c r="E365" s="106"/>
      <c r="F365" s="106"/>
      <c r="G365" s="106"/>
      <c r="H365" s="106"/>
      <c r="I365" s="106"/>
      <c r="J365" s="106"/>
      <c r="K365" s="106"/>
      <c r="L365" s="106"/>
      <c r="M365" s="106"/>
      <c r="N365" s="106"/>
      <c r="O365" s="106"/>
      <c r="P365" s="106"/>
      <c r="Q365" s="106"/>
      <c r="R365" s="106"/>
      <c r="S365" s="106"/>
      <c r="T365" s="106"/>
      <c r="U365" s="106"/>
      <c r="V365" s="106"/>
      <c r="W365" s="106"/>
      <c r="X365" s="106"/>
      <c r="Y365" s="106"/>
      <c r="Z365" s="106"/>
      <c r="AA365" s="106"/>
      <c r="AB365" s="106"/>
      <c r="AC365" s="106"/>
    </row>
    <row r="366" spans="1:29">
      <c r="A366" s="106"/>
      <c r="B366" s="106"/>
      <c r="C366" s="106"/>
      <c r="D366" s="106"/>
      <c r="E366" s="106"/>
      <c r="F366" s="106"/>
      <c r="G366" s="106"/>
      <c r="H366" s="106"/>
      <c r="I366" s="106"/>
      <c r="J366" s="106"/>
      <c r="K366" s="106"/>
      <c r="L366" s="106"/>
      <c r="M366" s="106"/>
      <c r="N366" s="106"/>
      <c r="O366" s="106"/>
      <c r="P366" s="106"/>
      <c r="Q366" s="106"/>
      <c r="R366" s="106"/>
      <c r="S366" s="106"/>
      <c r="T366" s="106"/>
      <c r="U366" s="106"/>
      <c r="V366" s="106"/>
      <c r="W366" s="106"/>
      <c r="X366" s="106"/>
      <c r="Y366" s="106"/>
      <c r="Z366" s="106"/>
      <c r="AA366" s="106"/>
      <c r="AB366" s="106"/>
      <c r="AC366" s="106"/>
    </row>
    <row r="367" spans="1:29">
      <c r="A367" s="106"/>
      <c r="B367" s="106"/>
      <c r="C367" s="106"/>
      <c r="D367" s="106"/>
      <c r="E367" s="106"/>
      <c r="F367" s="106"/>
      <c r="G367" s="106"/>
      <c r="H367" s="106"/>
      <c r="I367" s="106"/>
      <c r="J367" s="106"/>
      <c r="K367" s="106"/>
      <c r="L367" s="106"/>
      <c r="M367" s="106"/>
      <c r="N367" s="106"/>
      <c r="O367" s="106"/>
      <c r="P367" s="106"/>
      <c r="Q367" s="106"/>
      <c r="R367" s="106"/>
      <c r="S367" s="106"/>
      <c r="T367" s="106"/>
      <c r="U367" s="106"/>
      <c r="V367" s="106"/>
      <c r="W367" s="106"/>
      <c r="X367" s="106"/>
      <c r="Y367" s="106"/>
      <c r="Z367" s="106"/>
      <c r="AA367" s="106"/>
      <c r="AB367" s="106"/>
      <c r="AC367" s="106"/>
    </row>
    <row r="368" spans="1:29">
      <c r="A368" s="106"/>
      <c r="B368" s="106"/>
      <c r="C368" s="106"/>
      <c r="D368" s="106"/>
      <c r="E368" s="106"/>
      <c r="F368" s="106"/>
      <c r="G368" s="106"/>
      <c r="H368" s="106"/>
      <c r="I368" s="106"/>
      <c r="J368" s="106"/>
      <c r="K368" s="106"/>
      <c r="L368" s="106"/>
      <c r="M368" s="106"/>
      <c r="N368" s="106"/>
      <c r="O368" s="106"/>
      <c r="P368" s="106"/>
      <c r="Q368" s="106"/>
      <c r="R368" s="106"/>
      <c r="S368" s="106"/>
      <c r="T368" s="106"/>
      <c r="U368" s="106"/>
      <c r="V368" s="106"/>
      <c r="W368" s="106"/>
      <c r="X368" s="106"/>
      <c r="Y368" s="106"/>
      <c r="Z368" s="106"/>
      <c r="AA368" s="106"/>
      <c r="AB368" s="106"/>
      <c r="AC368" s="106"/>
    </row>
    <row r="369" spans="1:29">
      <c r="A369" s="106"/>
      <c r="B369" s="106"/>
      <c r="C369" s="106"/>
      <c r="D369" s="106"/>
      <c r="E369" s="106"/>
      <c r="F369" s="106"/>
      <c r="G369" s="106"/>
      <c r="H369" s="106"/>
      <c r="I369" s="106"/>
      <c r="J369" s="106"/>
      <c r="K369" s="106"/>
      <c r="L369" s="106"/>
      <c r="M369" s="106"/>
      <c r="N369" s="106"/>
      <c r="O369" s="106"/>
      <c r="P369" s="106"/>
      <c r="Q369" s="106"/>
      <c r="R369" s="106"/>
      <c r="S369" s="106"/>
      <c r="T369" s="106"/>
      <c r="U369" s="106"/>
      <c r="V369" s="106"/>
      <c r="W369" s="106"/>
      <c r="X369" s="106"/>
      <c r="Y369" s="106"/>
      <c r="Z369" s="106"/>
      <c r="AA369" s="106"/>
      <c r="AB369" s="106"/>
      <c r="AC369" s="106"/>
    </row>
    <row r="370" spans="1:29">
      <c r="A370" s="106"/>
      <c r="B370" s="106"/>
      <c r="C370" s="106"/>
      <c r="D370" s="106"/>
      <c r="E370" s="106"/>
      <c r="F370" s="106"/>
      <c r="G370" s="106"/>
      <c r="H370" s="106"/>
      <c r="I370" s="106"/>
      <c r="J370" s="106"/>
      <c r="K370" s="106"/>
      <c r="L370" s="106"/>
      <c r="M370" s="106"/>
      <c r="N370" s="106"/>
      <c r="O370" s="106"/>
      <c r="P370" s="106"/>
      <c r="Q370" s="106"/>
      <c r="R370" s="106"/>
      <c r="S370" s="106"/>
      <c r="T370" s="106"/>
      <c r="U370" s="106"/>
      <c r="V370" s="106"/>
      <c r="W370" s="106"/>
      <c r="X370" s="106"/>
      <c r="Y370" s="106"/>
      <c r="Z370" s="106"/>
      <c r="AA370" s="106"/>
      <c r="AB370" s="106"/>
      <c r="AC370" s="106"/>
    </row>
    <row r="371" spans="1:29">
      <c r="A371" s="106"/>
      <c r="B371" s="106"/>
      <c r="C371" s="106"/>
      <c r="D371" s="106"/>
      <c r="E371" s="106"/>
      <c r="F371" s="106"/>
      <c r="G371" s="106"/>
      <c r="H371" s="106"/>
      <c r="I371" s="106"/>
      <c r="J371" s="106"/>
      <c r="K371" s="106"/>
      <c r="L371" s="106"/>
      <c r="M371" s="106"/>
      <c r="N371" s="106"/>
      <c r="O371" s="106"/>
      <c r="P371" s="106"/>
      <c r="Q371" s="106"/>
      <c r="R371" s="106"/>
      <c r="S371" s="106"/>
      <c r="T371" s="106"/>
      <c r="U371" s="106"/>
      <c r="V371" s="106"/>
      <c r="W371" s="106"/>
      <c r="X371" s="106"/>
      <c r="Y371" s="106"/>
      <c r="Z371" s="106"/>
      <c r="AA371" s="106"/>
      <c r="AB371" s="106"/>
      <c r="AC371" s="106"/>
    </row>
    <row r="372" spans="1:29">
      <c r="A372" s="106"/>
      <c r="B372" s="106"/>
      <c r="C372" s="106"/>
      <c r="D372" s="106"/>
      <c r="E372" s="106"/>
      <c r="F372" s="106"/>
      <c r="G372" s="106"/>
      <c r="H372" s="106"/>
      <c r="I372" s="106"/>
      <c r="J372" s="106"/>
      <c r="K372" s="106"/>
      <c r="L372" s="106"/>
      <c r="M372" s="106"/>
      <c r="N372" s="106"/>
      <c r="O372" s="106"/>
      <c r="P372" s="106"/>
      <c r="Q372" s="106"/>
      <c r="R372" s="106"/>
      <c r="S372" s="106"/>
      <c r="T372" s="106"/>
      <c r="U372" s="106"/>
      <c r="V372" s="106"/>
      <c r="W372" s="106"/>
      <c r="X372" s="106"/>
      <c r="Y372" s="106"/>
      <c r="Z372" s="106"/>
      <c r="AA372" s="106"/>
      <c r="AB372" s="106"/>
      <c r="AC372" s="106"/>
    </row>
    <row r="373" spans="1:29">
      <c r="A373" s="106"/>
      <c r="B373" s="106"/>
      <c r="C373" s="106"/>
      <c r="D373" s="106"/>
      <c r="E373" s="106"/>
      <c r="F373" s="106"/>
      <c r="G373" s="106"/>
      <c r="H373" s="106"/>
      <c r="I373" s="106"/>
      <c r="J373" s="106"/>
      <c r="K373" s="106"/>
      <c r="L373" s="106"/>
      <c r="M373" s="106"/>
      <c r="N373" s="106"/>
      <c r="O373" s="106"/>
      <c r="P373" s="106"/>
      <c r="Q373" s="106"/>
      <c r="R373" s="106"/>
      <c r="S373" s="106"/>
      <c r="T373" s="106"/>
      <c r="U373" s="106"/>
      <c r="V373" s="106"/>
      <c r="W373" s="106"/>
      <c r="X373" s="106"/>
      <c r="Y373" s="106"/>
      <c r="Z373" s="106"/>
      <c r="AA373" s="106"/>
      <c r="AB373" s="106"/>
      <c r="AC373" s="106"/>
    </row>
    <row r="374" spans="1:29">
      <c r="A374" s="106"/>
      <c r="B374" s="106"/>
      <c r="C374" s="106"/>
      <c r="D374" s="106"/>
      <c r="E374" s="106"/>
      <c r="F374" s="106"/>
      <c r="G374" s="106"/>
      <c r="H374" s="106"/>
      <c r="I374" s="106"/>
      <c r="J374" s="106"/>
      <c r="K374" s="106"/>
      <c r="L374" s="106"/>
      <c r="M374" s="106"/>
      <c r="N374" s="106"/>
      <c r="O374" s="106"/>
      <c r="P374" s="106"/>
      <c r="Q374" s="106"/>
      <c r="R374" s="106"/>
      <c r="S374" s="106"/>
      <c r="T374" s="106"/>
      <c r="U374" s="106"/>
      <c r="V374" s="106"/>
      <c r="W374" s="106"/>
      <c r="X374" s="106"/>
      <c r="Y374" s="106"/>
      <c r="Z374" s="106"/>
      <c r="AA374" s="106"/>
      <c r="AB374" s="106"/>
      <c r="AC374" s="106"/>
    </row>
    <row r="375" spans="1:29">
      <c r="A375" s="106"/>
      <c r="B375" s="106"/>
      <c r="C375" s="106"/>
      <c r="D375" s="106"/>
      <c r="E375" s="106"/>
      <c r="F375" s="106"/>
      <c r="G375" s="106"/>
      <c r="H375" s="106"/>
      <c r="I375" s="106"/>
      <c r="J375" s="106"/>
      <c r="K375" s="106"/>
      <c r="L375" s="106"/>
      <c r="M375" s="106"/>
      <c r="N375" s="106"/>
      <c r="O375" s="106"/>
      <c r="P375" s="106"/>
      <c r="Q375" s="106"/>
      <c r="R375" s="106"/>
      <c r="S375" s="106"/>
      <c r="T375" s="106"/>
      <c r="U375" s="106"/>
      <c r="V375" s="106"/>
      <c r="W375" s="106"/>
      <c r="X375" s="106"/>
      <c r="Y375" s="106"/>
      <c r="Z375" s="106"/>
      <c r="AA375" s="106"/>
      <c r="AB375" s="106"/>
      <c r="AC375" s="106"/>
    </row>
    <row r="376" spans="1:29">
      <c r="A376" s="106"/>
      <c r="B376" s="106"/>
      <c r="C376" s="106"/>
      <c r="D376" s="106"/>
      <c r="E376" s="106"/>
      <c r="F376" s="106"/>
      <c r="G376" s="106"/>
      <c r="H376" s="106"/>
      <c r="I376" s="106"/>
      <c r="J376" s="106"/>
      <c r="K376" s="106"/>
      <c r="L376" s="106"/>
      <c r="M376" s="106"/>
      <c r="N376" s="106"/>
      <c r="O376" s="106"/>
      <c r="P376" s="106"/>
      <c r="Q376" s="106"/>
      <c r="R376" s="106"/>
      <c r="S376" s="106"/>
      <c r="T376" s="106"/>
      <c r="U376" s="106"/>
      <c r="V376" s="106"/>
      <c r="W376" s="106"/>
      <c r="X376" s="106"/>
      <c r="Y376" s="106"/>
      <c r="Z376" s="106"/>
      <c r="AA376" s="106"/>
      <c r="AB376" s="106"/>
      <c r="AC376" s="106"/>
    </row>
    <row r="377" spans="1:29">
      <c r="A377" s="106"/>
      <c r="B377" s="106"/>
      <c r="C377" s="106"/>
      <c r="D377" s="106"/>
      <c r="E377" s="106"/>
      <c r="F377" s="106"/>
      <c r="G377" s="106"/>
      <c r="H377" s="106"/>
      <c r="I377" s="106"/>
      <c r="J377" s="106"/>
      <c r="K377" s="106"/>
      <c r="L377" s="106"/>
      <c r="M377" s="106"/>
      <c r="N377" s="106"/>
      <c r="O377" s="106"/>
      <c r="P377" s="106"/>
      <c r="Q377" s="106"/>
      <c r="R377" s="106"/>
      <c r="S377" s="106"/>
      <c r="T377" s="106"/>
      <c r="U377" s="106"/>
      <c r="V377" s="106"/>
      <c r="W377" s="106"/>
      <c r="X377" s="106"/>
      <c r="Y377" s="106"/>
      <c r="Z377" s="106"/>
      <c r="AA377" s="106"/>
      <c r="AB377" s="106"/>
      <c r="AC377" s="106"/>
    </row>
    <row r="378" spans="1:29">
      <c r="A378" s="106"/>
      <c r="B378" s="106"/>
      <c r="C378" s="106"/>
      <c r="D378" s="106"/>
      <c r="E378" s="106"/>
      <c r="F378" s="106"/>
      <c r="G378" s="106"/>
      <c r="H378" s="106"/>
      <c r="I378" s="106"/>
      <c r="J378" s="106"/>
      <c r="K378" s="106"/>
      <c r="L378" s="106"/>
      <c r="M378" s="106"/>
      <c r="N378" s="106"/>
      <c r="O378" s="106"/>
      <c r="P378" s="106"/>
      <c r="Q378" s="106"/>
      <c r="R378" s="106"/>
      <c r="S378" s="106"/>
      <c r="T378" s="106"/>
      <c r="U378" s="106"/>
      <c r="V378" s="106"/>
      <c r="W378" s="106"/>
      <c r="X378" s="106"/>
      <c r="Y378" s="106"/>
      <c r="Z378" s="106"/>
      <c r="AA378" s="106"/>
      <c r="AB378" s="106"/>
      <c r="AC378" s="106"/>
    </row>
    <row r="379" spans="1:29">
      <c r="A379" s="106"/>
      <c r="B379" s="106"/>
      <c r="C379" s="106"/>
      <c r="D379" s="106"/>
      <c r="E379" s="106"/>
      <c r="F379" s="106"/>
      <c r="G379" s="106"/>
      <c r="H379" s="106"/>
      <c r="I379" s="106"/>
      <c r="J379" s="106"/>
      <c r="K379" s="106"/>
      <c r="L379" s="106"/>
      <c r="M379" s="106"/>
      <c r="N379" s="106"/>
      <c r="O379" s="106"/>
      <c r="P379" s="106"/>
      <c r="Q379" s="106"/>
      <c r="R379" s="106"/>
      <c r="S379" s="106"/>
      <c r="T379" s="106"/>
      <c r="U379" s="106"/>
      <c r="V379" s="106"/>
      <c r="W379" s="106"/>
      <c r="X379" s="106"/>
      <c r="Y379" s="106"/>
      <c r="Z379" s="106"/>
      <c r="AA379" s="106"/>
      <c r="AB379" s="106"/>
      <c r="AC379" s="106"/>
    </row>
    <row r="380" spans="1:29">
      <c r="A380" s="106"/>
      <c r="B380" s="106"/>
      <c r="C380" s="106"/>
      <c r="D380" s="106"/>
      <c r="E380" s="106"/>
      <c r="F380" s="106"/>
      <c r="G380" s="106"/>
      <c r="H380" s="106"/>
      <c r="I380" s="106"/>
      <c r="J380" s="106"/>
      <c r="K380" s="106"/>
      <c r="L380" s="106"/>
      <c r="M380" s="106"/>
      <c r="N380" s="106"/>
      <c r="O380" s="106"/>
      <c r="P380" s="106"/>
      <c r="Q380" s="106"/>
      <c r="R380" s="106"/>
      <c r="S380" s="106"/>
      <c r="T380" s="106"/>
      <c r="U380" s="106"/>
      <c r="V380" s="106"/>
      <c r="W380" s="106"/>
      <c r="X380" s="106"/>
      <c r="Y380" s="106"/>
      <c r="Z380" s="106"/>
      <c r="AA380" s="106"/>
      <c r="AB380" s="106"/>
      <c r="AC380" s="106"/>
    </row>
    <row r="381" spans="1:29">
      <c r="A381" s="106"/>
      <c r="B381" s="106"/>
      <c r="C381" s="106"/>
      <c r="D381" s="106"/>
      <c r="E381" s="106"/>
      <c r="F381" s="106"/>
      <c r="G381" s="106"/>
      <c r="H381" s="106"/>
      <c r="I381" s="106"/>
      <c r="J381" s="106"/>
      <c r="K381" s="106"/>
      <c r="L381" s="106"/>
      <c r="M381" s="106"/>
      <c r="N381" s="106"/>
      <c r="O381" s="106"/>
      <c r="P381" s="106"/>
      <c r="Q381" s="106"/>
      <c r="R381" s="106"/>
      <c r="S381" s="106"/>
      <c r="T381" s="106"/>
      <c r="U381" s="106"/>
      <c r="V381" s="106"/>
      <c r="W381" s="106"/>
      <c r="X381" s="106"/>
      <c r="Y381" s="106"/>
      <c r="Z381" s="106"/>
      <c r="AA381" s="106"/>
      <c r="AB381" s="106"/>
      <c r="AC381" s="106"/>
    </row>
    <row r="382" spans="1:29">
      <c r="A382" s="106"/>
      <c r="B382" s="106"/>
      <c r="C382" s="106"/>
      <c r="D382" s="106"/>
      <c r="E382" s="106"/>
      <c r="F382" s="106"/>
      <c r="G382" s="106"/>
      <c r="H382" s="106"/>
      <c r="I382" s="106"/>
      <c r="J382" s="106"/>
      <c r="K382" s="106"/>
      <c r="L382" s="106"/>
      <c r="M382" s="106"/>
      <c r="N382" s="106"/>
      <c r="O382" s="106"/>
      <c r="P382" s="106"/>
      <c r="Q382" s="106"/>
      <c r="R382" s="106"/>
      <c r="S382" s="106"/>
      <c r="T382" s="106"/>
      <c r="U382" s="106"/>
      <c r="V382" s="106"/>
      <c r="W382" s="106"/>
      <c r="X382" s="106"/>
      <c r="Y382" s="106"/>
      <c r="Z382" s="106"/>
      <c r="AA382" s="106"/>
      <c r="AB382" s="106"/>
      <c r="AC382" s="106"/>
    </row>
    <row r="383" spans="1:29">
      <c r="A383" s="106"/>
      <c r="B383" s="106"/>
      <c r="C383" s="106"/>
      <c r="D383" s="106"/>
      <c r="E383" s="106"/>
      <c r="F383" s="106"/>
      <c r="G383" s="106"/>
      <c r="H383" s="106"/>
      <c r="I383" s="106"/>
      <c r="J383" s="106"/>
      <c r="K383" s="106"/>
      <c r="L383" s="106"/>
      <c r="M383" s="106"/>
      <c r="N383" s="106"/>
      <c r="O383" s="106"/>
      <c r="P383" s="106"/>
      <c r="Q383" s="106"/>
      <c r="R383" s="106"/>
      <c r="S383" s="106"/>
      <c r="T383" s="106"/>
      <c r="U383" s="106"/>
      <c r="V383" s="106"/>
      <c r="W383" s="106"/>
      <c r="X383" s="106"/>
      <c r="Y383" s="106"/>
      <c r="Z383" s="106"/>
      <c r="AA383" s="106"/>
      <c r="AB383" s="106"/>
      <c r="AC383" s="106"/>
    </row>
    <row r="384" spans="1:29">
      <c r="A384" s="106"/>
      <c r="B384" s="106"/>
      <c r="C384" s="106"/>
      <c r="D384" s="106"/>
      <c r="E384" s="106"/>
      <c r="F384" s="106"/>
      <c r="G384" s="106"/>
      <c r="H384" s="106"/>
      <c r="I384" s="106"/>
      <c r="J384" s="106"/>
      <c r="K384" s="106"/>
      <c r="L384" s="106"/>
      <c r="M384" s="106"/>
      <c r="N384" s="106"/>
      <c r="O384" s="106"/>
      <c r="P384" s="106"/>
      <c r="Q384" s="106"/>
      <c r="R384" s="106"/>
      <c r="S384" s="106"/>
      <c r="T384" s="106"/>
      <c r="U384" s="106"/>
      <c r="V384" s="106"/>
      <c r="W384" s="106"/>
      <c r="X384" s="106"/>
      <c r="Y384" s="106"/>
      <c r="Z384" s="106"/>
      <c r="AA384" s="106"/>
      <c r="AB384" s="106"/>
      <c r="AC384" s="106"/>
    </row>
    <row r="385" spans="1:29">
      <c r="A385" s="106"/>
      <c r="B385" s="106"/>
      <c r="C385" s="106"/>
      <c r="D385" s="106"/>
      <c r="E385" s="106"/>
      <c r="F385" s="106"/>
      <c r="G385" s="106"/>
      <c r="H385" s="106"/>
      <c r="I385" s="106"/>
      <c r="J385" s="106"/>
      <c r="K385" s="106"/>
      <c r="L385" s="106"/>
      <c r="M385" s="106"/>
      <c r="N385" s="106"/>
      <c r="O385" s="106"/>
      <c r="P385" s="106"/>
      <c r="Q385" s="106"/>
      <c r="R385" s="106"/>
      <c r="S385" s="106"/>
      <c r="T385" s="106"/>
      <c r="U385" s="106"/>
      <c r="V385" s="106"/>
      <c r="W385" s="106"/>
      <c r="X385" s="106"/>
      <c r="Y385" s="106"/>
      <c r="Z385" s="106"/>
      <c r="AA385" s="106"/>
      <c r="AB385" s="106"/>
      <c r="AC385" s="106"/>
    </row>
    <row r="386" spans="1:29">
      <c r="A386" s="106"/>
      <c r="B386" s="106"/>
      <c r="C386" s="106"/>
      <c r="D386" s="106"/>
      <c r="E386" s="106"/>
      <c r="F386" s="106"/>
      <c r="G386" s="106"/>
      <c r="H386" s="106"/>
      <c r="I386" s="106"/>
      <c r="J386" s="106"/>
      <c r="K386" s="106"/>
      <c r="L386" s="106"/>
      <c r="M386" s="106"/>
      <c r="N386" s="106"/>
      <c r="O386" s="106"/>
      <c r="P386" s="106"/>
      <c r="Q386" s="106"/>
      <c r="R386" s="106"/>
      <c r="S386" s="106"/>
      <c r="T386" s="106"/>
      <c r="U386" s="106"/>
      <c r="V386" s="106"/>
      <c r="W386" s="106"/>
      <c r="X386" s="106"/>
      <c r="Y386" s="106"/>
      <c r="Z386" s="106"/>
      <c r="AA386" s="106"/>
      <c r="AB386" s="106"/>
      <c r="AC386" s="106"/>
    </row>
    <row r="387" spans="1:29">
      <c r="A387" s="106"/>
      <c r="B387" s="106"/>
      <c r="C387" s="106"/>
      <c r="D387" s="106"/>
      <c r="E387" s="106"/>
      <c r="F387" s="106"/>
      <c r="G387" s="106"/>
      <c r="H387" s="106"/>
      <c r="I387" s="106"/>
      <c r="J387" s="106"/>
      <c r="K387" s="106"/>
      <c r="L387" s="106"/>
      <c r="M387" s="106"/>
      <c r="N387" s="106"/>
      <c r="O387" s="106"/>
      <c r="P387" s="106"/>
      <c r="Q387" s="106"/>
      <c r="R387" s="106"/>
      <c r="S387" s="106"/>
      <c r="T387" s="106"/>
      <c r="U387" s="106"/>
      <c r="V387" s="106"/>
      <c r="W387" s="106"/>
      <c r="X387" s="106"/>
      <c r="Y387" s="106"/>
      <c r="Z387" s="106"/>
      <c r="AA387" s="106"/>
      <c r="AB387" s="106"/>
      <c r="AC387" s="106"/>
    </row>
    <row r="388" spans="1:29">
      <c r="A388" s="106"/>
      <c r="B388" s="106"/>
      <c r="C388" s="106"/>
      <c r="D388" s="106"/>
      <c r="E388" s="106"/>
      <c r="F388" s="106"/>
      <c r="G388" s="106"/>
      <c r="H388" s="106"/>
      <c r="I388" s="106"/>
      <c r="J388" s="106"/>
      <c r="K388" s="106"/>
      <c r="L388" s="106"/>
      <c r="M388" s="106"/>
      <c r="N388" s="106"/>
      <c r="O388" s="106"/>
      <c r="P388" s="106"/>
      <c r="Q388" s="106"/>
      <c r="R388" s="106"/>
      <c r="S388" s="106"/>
      <c r="T388" s="106"/>
      <c r="U388" s="106"/>
      <c r="V388" s="106"/>
      <c r="W388" s="106"/>
      <c r="X388" s="106"/>
      <c r="Y388" s="106"/>
      <c r="Z388" s="106"/>
      <c r="AA388" s="106"/>
      <c r="AB388" s="106"/>
      <c r="AC388" s="106"/>
    </row>
    <row r="389" spans="1:29">
      <c r="A389" s="106"/>
      <c r="B389" s="106"/>
      <c r="C389" s="106"/>
      <c r="D389" s="106"/>
      <c r="E389" s="106"/>
      <c r="F389" s="106"/>
      <c r="G389" s="106"/>
      <c r="H389" s="106"/>
      <c r="I389" s="106"/>
      <c r="J389" s="106"/>
      <c r="K389" s="106"/>
      <c r="L389" s="106"/>
      <c r="M389" s="106"/>
      <c r="N389" s="106"/>
      <c r="O389" s="106"/>
      <c r="P389" s="106"/>
      <c r="Q389" s="106"/>
      <c r="R389" s="106"/>
      <c r="S389" s="106"/>
      <c r="T389" s="106"/>
      <c r="U389" s="106"/>
      <c r="V389" s="106"/>
      <c r="W389" s="106"/>
      <c r="X389" s="106"/>
      <c r="Y389" s="106"/>
      <c r="Z389" s="106"/>
      <c r="AA389" s="106"/>
      <c r="AB389" s="106"/>
      <c r="AC389" s="106"/>
    </row>
    <row r="390" spans="1:29">
      <c r="A390" s="106"/>
      <c r="B390" s="106"/>
      <c r="C390" s="106"/>
      <c r="D390" s="106"/>
      <c r="E390" s="106"/>
      <c r="F390" s="106"/>
      <c r="G390" s="106"/>
      <c r="H390" s="106"/>
      <c r="I390" s="106"/>
      <c r="J390" s="106"/>
      <c r="K390" s="106"/>
      <c r="L390" s="106"/>
      <c r="M390" s="106"/>
      <c r="N390" s="106"/>
      <c r="O390" s="106"/>
      <c r="P390" s="106"/>
      <c r="Q390" s="106"/>
      <c r="R390" s="106"/>
      <c r="S390" s="106"/>
      <c r="T390" s="106"/>
      <c r="U390" s="106"/>
      <c r="V390" s="106"/>
      <c r="W390" s="106"/>
      <c r="X390" s="106"/>
      <c r="Y390" s="106"/>
      <c r="Z390" s="106"/>
      <c r="AA390" s="106"/>
      <c r="AB390" s="106"/>
      <c r="AC390" s="106"/>
    </row>
    <row r="391" spans="1:29">
      <c r="A391" s="106"/>
      <c r="B391" s="106"/>
      <c r="C391" s="106"/>
      <c r="D391" s="106"/>
      <c r="E391" s="106"/>
      <c r="F391" s="106"/>
      <c r="G391" s="106"/>
      <c r="H391" s="106"/>
      <c r="I391" s="106"/>
      <c r="J391" s="106"/>
      <c r="K391" s="106"/>
      <c r="L391" s="106"/>
      <c r="M391" s="106"/>
      <c r="N391" s="106"/>
      <c r="O391" s="106"/>
      <c r="P391" s="106"/>
      <c r="Q391" s="106"/>
      <c r="R391" s="106"/>
      <c r="S391" s="106"/>
      <c r="T391" s="106"/>
      <c r="U391" s="106"/>
      <c r="V391" s="106"/>
      <c r="W391" s="106"/>
      <c r="X391" s="106"/>
      <c r="Y391" s="106"/>
      <c r="Z391" s="106"/>
      <c r="AA391" s="106"/>
      <c r="AB391" s="106"/>
      <c r="AC391" s="106"/>
    </row>
    <row r="392" spans="1:29">
      <c r="A392" s="106"/>
      <c r="B392" s="106"/>
      <c r="C392" s="106"/>
      <c r="D392" s="106"/>
      <c r="E392" s="106"/>
      <c r="F392" s="106"/>
      <c r="G392" s="106"/>
      <c r="H392" s="106"/>
      <c r="I392" s="106"/>
      <c r="J392" s="106"/>
      <c r="K392" s="106"/>
      <c r="L392" s="106"/>
      <c r="M392" s="106"/>
      <c r="N392" s="106"/>
      <c r="O392" s="106"/>
      <c r="P392" s="106"/>
      <c r="Q392" s="106"/>
      <c r="R392" s="106"/>
      <c r="S392" s="106"/>
      <c r="T392" s="106"/>
      <c r="U392" s="106"/>
      <c r="V392" s="106"/>
      <c r="W392" s="106"/>
      <c r="X392" s="106"/>
      <c r="Y392" s="106"/>
      <c r="Z392" s="106"/>
      <c r="AA392" s="106"/>
      <c r="AB392" s="106"/>
      <c r="AC392" s="106"/>
    </row>
    <row r="393" spans="1:29">
      <c r="A393" s="106"/>
      <c r="B393" s="106"/>
      <c r="C393" s="106"/>
      <c r="D393" s="106"/>
      <c r="E393" s="106"/>
      <c r="F393" s="106"/>
      <c r="G393" s="106"/>
      <c r="H393" s="106"/>
      <c r="I393" s="106"/>
      <c r="J393" s="106"/>
      <c r="K393" s="106"/>
      <c r="L393" s="106"/>
      <c r="M393" s="106"/>
      <c r="N393" s="106"/>
      <c r="O393" s="106"/>
      <c r="P393" s="106"/>
      <c r="Q393" s="106"/>
      <c r="R393" s="106"/>
      <c r="S393" s="106"/>
      <c r="T393" s="106"/>
      <c r="U393" s="106"/>
      <c r="V393" s="106"/>
      <c r="W393" s="106"/>
      <c r="X393" s="106"/>
      <c r="Y393" s="106"/>
      <c r="Z393" s="106"/>
      <c r="AA393" s="106"/>
      <c r="AB393" s="106"/>
      <c r="AC393" s="106"/>
    </row>
    <row r="394" spans="1:29">
      <c r="A394" s="106"/>
      <c r="B394" s="106"/>
      <c r="C394" s="106"/>
      <c r="D394" s="106"/>
      <c r="E394" s="106"/>
      <c r="F394" s="106"/>
      <c r="G394" s="106"/>
      <c r="H394" s="106"/>
      <c r="I394" s="106"/>
      <c r="J394" s="106"/>
      <c r="K394" s="106"/>
      <c r="L394" s="106"/>
      <c r="M394" s="106"/>
      <c r="N394" s="106"/>
      <c r="O394" s="106"/>
      <c r="P394" s="106"/>
      <c r="Q394" s="106"/>
      <c r="R394" s="106"/>
      <c r="S394" s="106"/>
      <c r="T394" s="106"/>
      <c r="U394" s="106"/>
      <c r="V394" s="106"/>
      <c r="W394" s="106"/>
      <c r="X394" s="106"/>
      <c r="Y394" s="106"/>
      <c r="Z394" s="106"/>
      <c r="AA394" s="106"/>
      <c r="AB394" s="106"/>
      <c r="AC394" s="106"/>
    </row>
    <row r="395" spans="1:29">
      <c r="A395" s="106"/>
      <c r="B395" s="106"/>
      <c r="C395" s="106"/>
      <c r="D395" s="106"/>
      <c r="E395" s="106"/>
      <c r="F395" s="106"/>
      <c r="G395" s="106"/>
      <c r="H395" s="106"/>
      <c r="I395" s="106"/>
      <c r="J395" s="106"/>
      <c r="K395" s="106"/>
      <c r="L395" s="106"/>
      <c r="M395" s="106"/>
      <c r="N395" s="106"/>
      <c r="O395" s="106"/>
      <c r="P395" s="106"/>
      <c r="Q395" s="106"/>
      <c r="R395" s="106"/>
      <c r="S395" s="106"/>
      <c r="T395" s="106"/>
      <c r="U395" s="106"/>
      <c r="V395" s="106"/>
      <c r="W395" s="106"/>
      <c r="X395" s="106"/>
      <c r="Y395" s="106"/>
      <c r="Z395" s="106"/>
      <c r="AA395" s="106"/>
      <c r="AB395" s="106"/>
      <c r="AC395" s="106"/>
    </row>
    <row r="396" spans="1:29">
      <c r="A396" s="106"/>
      <c r="B396" s="106"/>
      <c r="C396" s="106"/>
      <c r="D396" s="106"/>
      <c r="E396" s="106"/>
      <c r="F396" s="106"/>
      <c r="G396" s="106"/>
      <c r="H396" s="106"/>
      <c r="I396" s="106"/>
      <c r="J396" s="106"/>
      <c r="K396" s="106"/>
      <c r="L396" s="106"/>
      <c r="M396" s="106"/>
      <c r="N396" s="106"/>
      <c r="O396" s="106"/>
      <c r="P396" s="106"/>
      <c r="Q396" s="106"/>
      <c r="R396" s="106"/>
      <c r="S396" s="106"/>
      <c r="T396" s="106"/>
      <c r="U396" s="106"/>
      <c r="V396" s="106"/>
      <c r="W396" s="106"/>
      <c r="X396" s="106"/>
      <c r="Y396" s="106"/>
      <c r="Z396" s="106"/>
      <c r="AA396" s="106"/>
      <c r="AB396" s="106"/>
      <c r="AC396" s="106"/>
    </row>
    <row r="397" spans="1:29">
      <c r="A397" s="106"/>
      <c r="B397" s="106"/>
      <c r="C397" s="106"/>
      <c r="D397" s="106"/>
      <c r="E397" s="106"/>
      <c r="F397" s="106"/>
      <c r="G397" s="106"/>
      <c r="H397" s="106"/>
      <c r="I397" s="106"/>
      <c r="J397" s="106"/>
      <c r="K397" s="106"/>
      <c r="L397" s="106"/>
      <c r="M397" s="106"/>
      <c r="N397" s="106"/>
      <c r="O397" s="106"/>
      <c r="P397" s="106"/>
      <c r="Q397" s="106"/>
      <c r="R397" s="106"/>
      <c r="S397" s="106"/>
      <c r="T397" s="106"/>
      <c r="U397" s="106"/>
      <c r="V397" s="106"/>
      <c r="W397" s="106"/>
      <c r="X397" s="106"/>
      <c r="Y397" s="106"/>
      <c r="Z397" s="106"/>
      <c r="AA397" s="106"/>
      <c r="AB397" s="106"/>
      <c r="AC397" s="106"/>
    </row>
    <row r="398" spans="1:29">
      <c r="A398" s="106"/>
      <c r="B398" s="106"/>
      <c r="C398" s="106"/>
      <c r="D398" s="106"/>
      <c r="E398" s="106"/>
      <c r="F398" s="106"/>
      <c r="G398" s="106"/>
      <c r="H398" s="106"/>
      <c r="I398" s="106"/>
      <c r="J398" s="106"/>
      <c r="K398" s="106"/>
      <c r="L398" s="106"/>
      <c r="M398" s="106"/>
      <c r="N398" s="106"/>
      <c r="O398" s="106"/>
      <c r="P398" s="106"/>
      <c r="Q398" s="106"/>
      <c r="R398" s="106"/>
      <c r="S398" s="106"/>
      <c r="T398" s="106"/>
      <c r="U398" s="106"/>
      <c r="V398" s="106"/>
      <c r="W398" s="106"/>
      <c r="X398" s="106"/>
      <c r="Y398" s="106"/>
      <c r="Z398" s="106"/>
      <c r="AA398" s="106"/>
      <c r="AB398" s="106"/>
      <c r="AC398" s="106"/>
    </row>
    <row r="399" spans="1:29">
      <c r="A399" s="106"/>
      <c r="B399" s="106"/>
      <c r="C399" s="106"/>
      <c r="D399" s="106"/>
      <c r="E399" s="106"/>
      <c r="F399" s="106"/>
      <c r="G399" s="106"/>
      <c r="H399" s="106"/>
      <c r="I399" s="106"/>
      <c r="J399" s="106"/>
      <c r="K399" s="106"/>
      <c r="L399" s="106"/>
      <c r="M399" s="106"/>
      <c r="N399" s="106"/>
      <c r="O399" s="106"/>
      <c r="P399" s="106"/>
      <c r="Q399" s="106"/>
      <c r="R399" s="106"/>
      <c r="S399" s="106"/>
      <c r="T399" s="106"/>
      <c r="U399" s="106"/>
      <c r="V399" s="106"/>
      <c r="W399" s="106"/>
      <c r="X399" s="106"/>
      <c r="Y399" s="106"/>
      <c r="Z399" s="106"/>
      <c r="AA399" s="106"/>
      <c r="AB399" s="106"/>
      <c r="AC399" s="106"/>
    </row>
    <row r="400" spans="1:29">
      <c r="A400" s="106"/>
      <c r="B400" s="106"/>
      <c r="C400" s="106"/>
      <c r="D400" s="106"/>
      <c r="E400" s="106"/>
      <c r="F400" s="106"/>
      <c r="G400" s="106"/>
      <c r="H400" s="106"/>
      <c r="I400" s="106"/>
      <c r="J400" s="106"/>
      <c r="K400" s="106"/>
      <c r="L400" s="106"/>
      <c r="M400" s="106"/>
      <c r="N400" s="106"/>
      <c r="O400" s="106"/>
      <c r="P400" s="106"/>
      <c r="Q400" s="106"/>
      <c r="R400" s="106"/>
      <c r="S400" s="106"/>
      <c r="T400" s="106"/>
      <c r="U400" s="106"/>
      <c r="V400" s="106"/>
      <c r="W400" s="106"/>
      <c r="X400" s="106"/>
      <c r="Y400" s="106"/>
      <c r="Z400" s="106"/>
      <c r="AA400" s="106"/>
      <c r="AB400" s="106"/>
      <c r="AC400" s="106"/>
    </row>
    <row r="401" spans="1:29">
      <c r="A401" s="106"/>
      <c r="B401" s="106"/>
      <c r="C401" s="106"/>
      <c r="D401" s="106"/>
      <c r="E401" s="106"/>
      <c r="F401" s="106"/>
      <c r="G401" s="106"/>
      <c r="H401" s="106"/>
      <c r="I401" s="106"/>
      <c r="J401" s="106"/>
      <c r="K401" s="106"/>
      <c r="L401" s="106"/>
      <c r="M401" s="106"/>
      <c r="N401" s="106"/>
      <c r="O401" s="106"/>
      <c r="P401" s="106"/>
      <c r="Q401" s="106"/>
      <c r="R401" s="106"/>
      <c r="S401" s="106"/>
      <c r="T401" s="106"/>
      <c r="U401" s="106"/>
      <c r="V401" s="106"/>
      <c r="W401" s="106"/>
      <c r="X401" s="106"/>
      <c r="Y401" s="106"/>
      <c r="Z401" s="106"/>
      <c r="AA401" s="106"/>
      <c r="AB401" s="106"/>
      <c r="AC401" s="106"/>
    </row>
    <row r="402" spans="1:29">
      <c r="A402" s="106"/>
      <c r="B402" s="106"/>
      <c r="C402" s="106"/>
      <c r="D402" s="106"/>
      <c r="E402" s="106"/>
      <c r="F402" s="106"/>
      <c r="G402" s="106"/>
      <c r="H402" s="106"/>
      <c r="I402" s="106"/>
      <c r="J402" s="106"/>
      <c r="K402" s="106"/>
      <c r="L402" s="106"/>
      <c r="M402" s="106"/>
      <c r="N402" s="106"/>
      <c r="O402" s="106"/>
      <c r="P402" s="106"/>
      <c r="Q402" s="106"/>
      <c r="R402" s="106"/>
      <c r="S402" s="106"/>
      <c r="T402" s="106"/>
      <c r="U402" s="106"/>
      <c r="V402" s="106"/>
      <c r="W402" s="106"/>
      <c r="X402" s="106"/>
      <c r="Y402" s="106"/>
      <c r="Z402" s="106"/>
      <c r="AA402" s="106"/>
      <c r="AB402" s="106"/>
      <c r="AC402" s="106"/>
    </row>
    <row r="403" spans="1:29">
      <c r="A403" s="106"/>
      <c r="B403" s="106"/>
      <c r="C403" s="106"/>
      <c r="D403" s="106"/>
      <c r="E403" s="106"/>
      <c r="F403" s="106"/>
      <c r="G403" s="106"/>
      <c r="H403" s="106"/>
      <c r="I403" s="106"/>
      <c r="J403" s="106"/>
      <c r="K403" s="106"/>
      <c r="L403" s="106"/>
      <c r="M403" s="106"/>
      <c r="N403" s="106"/>
      <c r="O403" s="106"/>
      <c r="P403" s="106"/>
      <c r="Q403" s="106"/>
      <c r="R403" s="106"/>
      <c r="S403" s="106"/>
      <c r="T403" s="106"/>
      <c r="U403" s="106"/>
      <c r="V403" s="106"/>
      <c r="W403" s="106"/>
      <c r="X403" s="106"/>
      <c r="Y403" s="106"/>
      <c r="Z403" s="106"/>
      <c r="AA403" s="106"/>
      <c r="AB403" s="106"/>
      <c r="AC403" s="106"/>
    </row>
    <row r="404" spans="1:29">
      <c r="A404" s="106"/>
      <c r="B404" s="106"/>
      <c r="C404" s="106"/>
      <c r="D404" s="106"/>
      <c r="E404" s="106"/>
      <c r="F404" s="106"/>
      <c r="G404" s="106"/>
      <c r="H404" s="106"/>
      <c r="I404" s="106"/>
      <c r="J404" s="106"/>
      <c r="K404" s="106"/>
      <c r="L404" s="106"/>
      <c r="M404" s="106"/>
      <c r="N404" s="106"/>
      <c r="O404" s="106"/>
      <c r="P404" s="106"/>
      <c r="Q404" s="106"/>
      <c r="R404" s="106"/>
      <c r="S404" s="106"/>
      <c r="T404" s="106"/>
      <c r="U404" s="106"/>
      <c r="V404" s="106"/>
      <c r="W404" s="106"/>
      <c r="X404" s="106"/>
      <c r="Y404" s="106"/>
      <c r="Z404" s="106"/>
      <c r="AA404" s="106"/>
      <c r="AB404" s="106"/>
      <c r="AC404" s="106"/>
    </row>
    <row r="405" spans="1:29">
      <c r="A405" s="106"/>
      <c r="B405" s="106"/>
      <c r="C405" s="106"/>
      <c r="D405" s="106"/>
      <c r="E405" s="106"/>
      <c r="F405" s="106"/>
      <c r="G405" s="106"/>
      <c r="H405" s="106"/>
      <c r="I405" s="106"/>
      <c r="J405" s="106"/>
      <c r="K405" s="106"/>
      <c r="L405" s="106"/>
      <c r="M405" s="106"/>
      <c r="N405" s="106"/>
      <c r="O405" s="106"/>
      <c r="P405" s="106"/>
      <c r="Q405" s="106"/>
      <c r="R405" s="106"/>
      <c r="S405" s="106"/>
      <c r="T405" s="106"/>
      <c r="U405" s="106"/>
      <c r="V405" s="106"/>
      <c r="W405" s="106"/>
      <c r="X405" s="106"/>
      <c r="Y405" s="106"/>
      <c r="Z405" s="106"/>
      <c r="AA405" s="106"/>
      <c r="AB405" s="106"/>
      <c r="AC405" s="106"/>
    </row>
    <row r="406" spans="1:29">
      <c r="A406" s="106"/>
      <c r="B406" s="106"/>
      <c r="C406" s="106"/>
      <c r="D406" s="106"/>
      <c r="E406" s="106"/>
      <c r="F406" s="106"/>
      <c r="G406" s="106"/>
      <c r="H406" s="106"/>
      <c r="I406" s="106"/>
      <c r="J406" s="106"/>
      <c r="K406" s="106"/>
      <c r="L406" s="106"/>
      <c r="M406" s="106"/>
      <c r="N406" s="106"/>
      <c r="O406" s="106"/>
      <c r="P406" s="106"/>
      <c r="Q406" s="106"/>
      <c r="R406" s="106"/>
      <c r="S406" s="106"/>
      <c r="T406" s="106"/>
      <c r="U406" s="106"/>
      <c r="V406" s="106"/>
      <c r="W406" s="106"/>
      <c r="X406" s="106"/>
      <c r="Y406" s="106"/>
      <c r="Z406" s="106"/>
      <c r="AA406" s="106"/>
      <c r="AB406" s="106"/>
      <c r="AC406" s="106"/>
    </row>
    <row r="407" spans="1:29">
      <c r="A407" s="106"/>
      <c r="B407" s="106"/>
      <c r="C407" s="106"/>
      <c r="D407" s="106"/>
      <c r="E407" s="106"/>
      <c r="F407" s="106"/>
      <c r="G407" s="106"/>
      <c r="H407" s="106"/>
      <c r="I407" s="106"/>
      <c r="J407" s="106"/>
      <c r="K407" s="106"/>
      <c r="L407" s="106"/>
      <c r="M407" s="106"/>
      <c r="N407" s="106"/>
      <c r="O407" s="106"/>
      <c r="P407" s="106"/>
      <c r="Q407" s="106"/>
      <c r="R407" s="106"/>
      <c r="S407" s="106"/>
      <c r="T407" s="106"/>
      <c r="U407" s="106"/>
      <c r="V407" s="106"/>
      <c r="W407" s="106"/>
      <c r="X407" s="106"/>
      <c r="Y407" s="106"/>
      <c r="Z407" s="106"/>
      <c r="AA407" s="106"/>
      <c r="AB407" s="106"/>
      <c r="AC407" s="106"/>
    </row>
    <row r="408" spans="1:29">
      <c r="A408" s="106"/>
      <c r="B408" s="106"/>
      <c r="C408" s="106"/>
      <c r="D408" s="106"/>
      <c r="E408" s="106"/>
      <c r="F408" s="106"/>
      <c r="G408" s="106"/>
      <c r="H408" s="106"/>
      <c r="I408" s="106"/>
      <c r="J408" s="106"/>
      <c r="K408" s="106"/>
      <c r="L408" s="106"/>
      <c r="M408" s="106"/>
      <c r="N408" s="106"/>
      <c r="O408" s="106"/>
      <c r="P408" s="106"/>
      <c r="Q408" s="106"/>
      <c r="R408" s="106"/>
      <c r="S408" s="106"/>
      <c r="T408" s="106"/>
      <c r="U408" s="106"/>
      <c r="V408" s="106"/>
      <c r="W408" s="106"/>
      <c r="X408" s="106"/>
      <c r="Y408" s="106"/>
      <c r="Z408" s="106"/>
      <c r="AA408" s="106"/>
      <c r="AB408" s="106"/>
      <c r="AC408" s="106"/>
    </row>
    <row r="409" spans="1:29">
      <c r="A409" s="106"/>
      <c r="B409" s="106"/>
      <c r="C409" s="106"/>
      <c r="D409" s="106"/>
      <c r="E409" s="106"/>
      <c r="F409" s="106"/>
      <c r="G409" s="106"/>
      <c r="H409" s="106"/>
      <c r="I409" s="106"/>
      <c r="J409" s="106"/>
      <c r="K409" s="106"/>
      <c r="L409" s="106"/>
      <c r="M409" s="106"/>
      <c r="N409" s="106"/>
      <c r="O409" s="106"/>
      <c r="P409" s="106"/>
      <c r="Q409" s="106"/>
      <c r="R409" s="106"/>
      <c r="S409" s="106"/>
      <c r="T409" s="106"/>
      <c r="U409" s="106"/>
      <c r="V409" s="106"/>
      <c r="W409" s="106"/>
      <c r="X409" s="106"/>
      <c r="Y409" s="106"/>
      <c r="Z409" s="106"/>
      <c r="AA409" s="106"/>
      <c r="AB409" s="106"/>
      <c r="AC409" s="106"/>
    </row>
    <row r="410" spans="1:29">
      <c r="A410" s="106"/>
      <c r="B410" s="106"/>
      <c r="C410" s="106"/>
      <c r="D410" s="106"/>
      <c r="E410" s="106"/>
      <c r="F410" s="106"/>
      <c r="G410" s="106"/>
      <c r="H410" s="106"/>
      <c r="I410" s="106"/>
      <c r="J410" s="106"/>
      <c r="K410" s="106"/>
      <c r="L410" s="106"/>
      <c r="M410" s="106"/>
      <c r="N410" s="106"/>
      <c r="O410" s="106"/>
      <c r="P410" s="106"/>
      <c r="Q410" s="106"/>
      <c r="R410" s="106"/>
      <c r="S410" s="106"/>
      <c r="T410" s="106"/>
      <c r="U410" s="106"/>
      <c r="V410" s="106"/>
      <c r="W410" s="106"/>
      <c r="X410" s="106"/>
      <c r="Y410" s="106"/>
      <c r="Z410" s="106"/>
      <c r="AA410" s="106"/>
      <c r="AB410" s="106"/>
      <c r="AC410" s="106"/>
    </row>
    <row r="411" spans="1:29">
      <c r="A411" s="106"/>
      <c r="B411" s="106"/>
      <c r="C411" s="106"/>
      <c r="D411" s="106"/>
      <c r="E411" s="106"/>
      <c r="F411" s="106"/>
      <c r="G411" s="106"/>
      <c r="H411" s="106"/>
      <c r="I411" s="106"/>
      <c r="J411" s="106"/>
      <c r="K411" s="106"/>
      <c r="L411" s="106"/>
      <c r="M411" s="106"/>
      <c r="N411" s="106"/>
      <c r="O411" s="106"/>
      <c r="P411" s="106"/>
      <c r="Q411" s="106"/>
      <c r="R411" s="106"/>
      <c r="S411" s="106"/>
      <c r="T411" s="106"/>
      <c r="U411" s="106"/>
      <c r="V411" s="106"/>
      <c r="W411" s="106"/>
      <c r="X411" s="106"/>
      <c r="Y411" s="106"/>
      <c r="Z411" s="106"/>
      <c r="AA411" s="106"/>
      <c r="AB411" s="106"/>
      <c r="AC411" s="106"/>
    </row>
    <row r="412" spans="1:29">
      <c r="A412" s="106"/>
      <c r="B412" s="106"/>
      <c r="C412" s="106"/>
      <c r="D412" s="106"/>
      <c r="E412" s="106"/>
      <c r="F412" s="106"/>
      <c r="G412" s="106"/>
      <c r="H412" s="106"/>
      <c r="I412" s="106"/>
      <c r="J412" s="106"/>
      <c r="K412" s="106"/>
      <c r="L412" s="106"/>
      <c r="M412" s="106"/>
      <c r="N412" s="106"/>
      <c r="O412" s="106"/>
      <c r="P412" s="106"/>
      <c r="Q412" s="106"/>
      <c r="R412" s="106"/>
      <c r="S412" s="106"/>
      <c r="T412" s="106"/>
      <c r="U412" s="106"/>
      <c r="V412" s="106"/>
      <c r="W412" s="106"/>
      <c r="X412" s="106"/>
      <c r="Y412" s="106"/>
      <c r="Z412" s="106"/>
      <c r="AA412" s="106"/>
      <c r="AB412" s="106"/>
      <c r="AC412" s="106"/>
    </row>
    <row r="413" spans="1:29">
      <c r="A413" s="106"/>
      <c r="B413" s="106"/>
      <c r="C413" s="106"/>
      <c r="D413" s="106"/>
      <c r="E413" s="106"/>
      <c r="F413" s="106"/>
      <c r="G413" s="106"/>
      <c r="H413" s="106"/>
      <c r="I413" s="106"/>
      <c r="J413" s="106"/>
      <c r="K413" s="106"/>
      <c r="L413" s="106"/>
      <c r="M413" s="106"/>
      <c r="N413" s="106"/>
      <c r="O413" s="106"/>
      <c r="P413" s="106"/>
      <c r="Q413" s="106"/>
      <c r="R413" s="106"/>
      <c r="S413" s="106"/>
      <c r="T413" s="106"/>
      <c r="U413" s="106"/>
      <c r="V413" s="106"/>
      <c r="W413" s="106"/>
      <c r="X413" s="106"/>
      <c r="Y413" s="106"/>
      <c r="Z413" s="106"/>
      <c r="AA413" s="106"/>
      <c r="AB413" s="106"/>
      <c r="AC413" s="106"/>
    </row>
    <row r="414" spans="1:29">
      <c r="A414" s="106"/>
      <c r="B414" s="106"/>
      <c r="C414" s="106"/>
      <c r="D414" s="106"/>
      <c r="E414" s="106"/>
      <c r="F414" s="106"/>
      <c r="G414" s="106"/>
      <c r="H414" s="106"/>
      <c r="I414" s="106"/>
      <c r="J414" s="106"/>
      <c r="K414" s="106"/>
      <c r="L414" s="106"/>
      <c r="M414" s="106"/>
      <c r="N414" s="106"/>
      <c r="O414" s="106"/>
      <c r="P414" s="106"/>
      <c r="Q414" s="106"/>
      <c r="R414" s="106"/>
      <c r="S414" s="106"/>
      <c r="T414" s="106"/>
      <c r="U414" s="106"/>
      <c r="V414" s="106"/>
      <c r="W414" s="106"/>
      <c r="X414" s="106"/>
      <c r="Y414" s="106"/>
      <c r="Z414" s="106"/>
      <c r="AA414" s="106"/>
      <c r="AB414" s="106"/>
      <c r="AC414" s="106"/>
    </row>
    <row r="415" spans="1:29">
      <c r="A415" s="106"/>
      <c r="B415" s="106"/>
      <c r="C415" s="106"/>
      <c r="D415" s="106"/>
      <c r="E415" s="106"/>
      <c r="F415" s="106"/>
      <c r="G415" s="106"/>
      <c r="H415" s="106"/>
      <c r="I415" s="106"/>
      <c r="J415" s="106"/>
      <c r="K415" s="106"/>
      <c r="L415" s="106"/>
      <c r="M415" s="106"/>
      <c r="N415" s="106"/>
      <c r="O415" s="106"/>
      <c r="P415" s="106"/>
      <c r="Q415" s="106"/>
      <c r="R415" s="106"/>
      <c r="S415" s="106"/>
      <c r="T415" s="106"/>
      <c r="U415" s="106"/>
      <c r="V415" s="106"/>
      <c r="W415" s="106"/>
      <c r="X415" s="106"/>
      <c r="Y415" s="106"/>
      <c r="Z415" s="106"/>
      <c r="AA415" s="106"/>
      <c r="AB415" s="106"/>
      <c r="AC415" s="106"/>
    </row>
    <row r="416" spans="1:29">
      <c r="A416" s="106"/>
      <c r="B416" s="106"/>
      <c r="C416" s="106"/>
      <c r="D416" s="106"/>
      <c r="E416" s="106"/>
      <c r="F416" s="106"/>
      <c r="G416" s="106"/>
      <c r="H416" s="106"/>
      <c r="I416" s="106"/>
      <c r="J416" s="106"/>
      <c r="K416" s="106"/>
      <c r="L416" s="106"/>
      <c r="M416" s="106"/>
      <c r="N416" s="106"/>
      <c r="O416" s="106"/>
      <c r="P416" s="106"/>
      <c r="Q416" s="106"/>
      <c r="R416" s="106"/>
      <c r="S416" s="106"/>
      <c r="T416" s="106"/>
      <c r="U416" s="106"/>
      <c r="V416" s="106"/>
      <c r="W416" s="106"/>
      <c r="X416" s="106"/>
      <c r="Y416" s="106"/>
      <c r="Z416" s="106"/>
      <c r="AA416" s="106"/>
      <c r="AB416" s="106"/>
      <c r="AC416" s="106"/>
    </row>
    <row r="417" spans="1:29">
      <c r="A417" s="106"/>
      <c r="B417" s="106"/>
      <c r="C417" s="106"/>
      <c r="D417" s="106"/>
      <c r="E417" s="106"/>
      <c r="F417" s="106"/>
      <c r="G417" s="106"/>
      <c r="H417" s="106"/>
      <c r="I417" s="106"/>
      <c r="J417" s="106"/>
      <c r="K417" s="106"/>
      <c r="L417" s="106"/>
      <c r="M417" s="106"/>
      <c r="N417" s="106"/>
      <c r="O417" s="106"/>
      <c r="P417" s="106"/>
      <c r="Q417" s="106"/>
      <c r="R417" s="106"/>
      <c r="S417" s="106"/>
      <c r="T417" s="106"/>
      <c r="U417" s="106"/>
      <c r="V417" s="106"/>
      <c r="W417" s="106"/>
      <c r="X417" s="106"/>
      <c r="Y417" s="106"/>
      <c r="Z417" s="106"/>
      <c r="AA417" s="106"/>
      <c r="AB417" s="106"/>
      <c r="AC417" s="106"/>
    </row>
    <row r="418" spans="1:29">
      <c r="A418" s="106"/>
      <c r="B418" s="106"/>
      <c r="C418" s="106"/>
      <c r="D418" s="106"/>
      <c r="E418" s="106"/>
      <c r="F418" s="106"/>
      <c r="G418" s="106"/>
      <c r="H418" s="106"/>
      <c r="I418" s="106"/>
      <c r="J418" s="106"/>
      <c r="K418" s="106"/>
      <c r="L418" s="106"/>
      <c r="M418" s="106"/>
      <c r="N418" s="106"/>
      <c r="O418" s="106"/>
      <c r="P418" s="106"/>
      <c r="Q418" s="106"/>
      <c r="R418" s="106"/>
      <c r="S418" s="106"/>
      <c r="T418" s="106"/>
      <c r="U418" s="106"/>
      <c r="V418" s="106"/>
      <c r="W418" s="106"/>
      <c r="X418" s="106"/>
      <c r="Y418" s="106"/>
      <c r="Z418" s="106"/>
      <c r="AA418" s="106"/>
      <c r="AB418" s="106"/>
      <c r="AC418" s="106"/>
    </row>
    <row r="419" spans="1:29">
      <c r="A419" s="106"/>
      <c r="B419" s="106"/>
      <c r="C419" s="106"/>
      <c r="D419" s="106"/>
      <c r="E419" s="106"/>
      <c r="F419" s="106"/>
      <c r="G419" s="106"/>
      <c r="H419" s="106"/>
      <c r="I419" s="106"/>
      <c r="J419" s="106"/>
      <c r="K419" s="106"/>
      <c r="L419" s="106"/>
      <c r="M419" s="106"/>
      <c r="N419" s="106"/>
      <c r="O419" s="106"/>
      <c r="P419" s="106"/>
      <c r="Q419" s="106"/>
      <c r="R419" s="106"/>
      <c r="S419" s="106"/>
      <c r="T419" s="106"/>
      <c r="U419" s="106"/>
      <c r="V419" s="106"/>
      <c r="W419" s="106"/>
      <c r="X419" s="106"/>
      <c r="Y419" s="106"/>
      <c r="Z419" s="106"/>
      <c r="AA419" s="106"/>
      <c r="AB419" s="106"/>
      <c r="AC419" s="106"/>
    </row>
    <row r="420" spans="1:29">
      <c r="A420" s="106"/>
      <c r="B420" s="106"/>
      <c r="C420" s="106"/>
      <c r="D420" s="106"/>
      <c r="E420" s="106"/>
      <c r="F420" s="106"/>
      <c r="G420" s="106"/>
      <c r="H420" s="106"/>
      <c r="I420" s="106"/>
      <c r="J420" s="106"/>
      <c r="K420" s="106"/>
      <c r="L420" s="106"/>
      <c r="M420" s="106"/>
      <c r="N420" s="106"/>
      <c r="O420" s="106"/>
      <c r="P420" s="106"/>
      <c r="Q420" s="106"/>
      <c r="R420" s="106"/>
      <c r="S420" s="106"/>
      <c r="T420" s="106"/>
      <c r="U420" s="106"/>
      <c r="V420" s="106"/>
      <c r="W420" s="106"/>
      <c r="X420" s="106"/>
      <c r="Y420" s="106"/>
      <c r="Z420" s="106"/>
      <c r="AA420" s="106"/>
      <c r="AB420" s="106"/>
      <c r="AC420" s="106"/>
    </row>
    <row r="421" spans="1:29">
      <c r="A421" s="106"/>
      <c r="B421" s="106"/>
      <c r="C421" s="106"/>
      <c r="D421" s="106"/>
      <c r="E421" s="106"/>
      <c r="F421" s="106"/>
      <c r="G421" s="106"/>
      <c r="H421" s="106"/>
      <c r="I421" s="106"/>
      <c r="J421" s="106"/>
      <c r="K421" s="106"/>
      <c r="L421" s="106"/>
      <c r="M421" s="106"/>
      <c r="N421" s="106"/>
      <c r="O421" s="106"/>
      <c r="P421" s="106"/>
      <c r="Q421" s="106"/>
      <c r="R421" s="106"/>
      <c r="S421" s="106"/>
      <c r="T421" s="106"/>
      <c r="U421" s="106"/>
      <c r="V421" s="106"/>
      <c r="W421" s="106"/>
      <c r="X421" s="106"/>
      <c r="Y421" s="106"/>
      <c r="Z421" s="106"/>
      <c r="AA421" s="106"/>
      <c r="AB421" s="106"/>
      <c r="AC421" s="106"/>
    </row>
    <row r="422" spans="1:29">
      <c r="A422" s="106"/>
      <c r="B422" s="106"/>
      <c r="C422" s="106"/>
      <c r="D422" s="106"/>
      <c r="E422" s="106"/>
      <c r="F422" s="106"/>
      <c r="G422" s="106"/>
      <c r="H422" s="106"/>
      <c r="I422" s="106"/>
      <c r="J422" s="106"/>
      <c r="K422" s="106"/>
      <c r="L422" s="106"/>
      <c r="M422" s="106"/>
      <c r="N422" s="106"/>
      <c r="O422" s="106"/>
      <c r="P422" s="106"/>
      <c r="Q422" s="106"/>
      <c r="R422" s="106"/>
      <c r="S422" s="106"/>
      <c r="T422" s="106"/>
      <c r="U422" s="106"/>
      <c r="V422" s="106"/>
      <c r="W422" s="106"/>
      <c r="X422" s="106"/>
      <c r="Y422" s="106"/>
      <c r="Z422" s="106"/>
      <c r="AA422" s="106"/>
      <c r="AB422" s="106"/>
      <c r="AC422" s="106"/>
    </row>
    <row r="423" spans="1:29">
      <c r="A423" s="106"/>
      <c r="B423" s="106"/>
      <c r="C423" s="106"/>
      <c r="D423" s="106"/>
      <c r="E423" s="106"/>
      <c r="F423" s="106"/>
      <c r="G423" s="106"/>
      <c r="H423" s="106"/>
      <c r="I423" s="106"/>
      <c r="J423" s="106"/>
      <c r="K423" s="106"/>
      <c r="L423" s="106"/>
      <c r="M423" s="106"/>
      <c r="N423" s="106"/>
      <c r="O423" s="106"/>
      <c r="P423" s="106"/>
      <c r="Q423" s="106"/>
      <c r="R423" s="106"/>
      <c r="S423" s="106"/>
      <c r="T423" s="106"/>
      <c r="U423" s="106"/>
      <c r="V423" s="106"/>
      <c r="W423" s="106"/>
      <c r="X423" s="106"/>
      <c r="Y423" s="106"/>
      <c r="Z423" s="106"/>
      <c r="AA423" s="106"/>
      <c r="AB423" s="106"/>
      <c r="AC423" s="106"/>
    </row>
    <row r="424" spans="1:29">
      <c r="A424" s="106"/>
      <c r="B424" s="106"/>
      <c r="C424" s="106"/>
      <c r="D424" s="106"/>
      <c r="E424" s="106"/>
      <c r="F424" s="106"/>
      <c r="G424" s="106"/>
      <c r="H424" s="106"/>
      <c r="I424" s="106"/>
      <c r="J424" s="106"/>
      <c r="K424" s="106"/>
      <c r="L424" s="106"/>
      <c r="M424" s="106"/>
      <c r="N424" s="106"/>
      <c r="O424" s="106"/>
      <c r="P424" s="106"/>
      <c r="Q424" s="106"/>
      <c r="R424" s="106"/>
      <c r="S424" s="106"/>
      <c r="T424" s="106"/>
      <c r="U424" s="106"/>
      <c r="V424" s="106"/>
      <c r="W424" s="106"/>
      <c r="X424" s="106"/>
      <c r="Y424" s="106"/>
      <c r="Z424" s="106"/>
      <c r="AA424" s="106"/>
      <c r="AB424" s="106"/>
      <c r="AC424" s="106"/>
    </row>
    <row r="425" spans="1:29">
      <c r="A425" s="106"/>
      <c r="B425" s="106"/>
      <c r="C425" s="106"/>
      <c r="D425" s="106"/>
      <c r="E425" s="106"/>
      <c r="F425" s="106"/>
      <c r="G425" s="106"/>
      <c r="H425" s="106"/>
      <c r="I425" s="106"/>
      <c r="J425" s="106"/>
      <c r="K425" s="106"/>
      <c r="L425" s="106"/>
      <c r="M425" s="106"/>
      <c r="N425" s="106"/>
      <c r="O425" s="106"/>
      <c r="P425" s="106"/>
      <c r="Q425" s="106"/>
      <c r="R425" s="106"/>
      <c r="S425" s="106"/>
      <c r="T425" s="106"/>
      <c r="U425" s="106"/>
      <c r="V425" s="106"/>
      <c r="W425" s="106"/>
      <c r="X425" s="106"/>
      <c r="Y425" s="106"/>
      <c r="Z425" s="106"/>
      <c r="AA425" s="106"/>
      <c r="AB425" s="106"/>
      <c r="AC425" s="106"/>
    </row>
    <row r="426" spans="1:29">
      <c r="A426" s="106"/>
      <c r="B426" s="106"/>
      <c r="C426" s="106"/>
      <c r="D426" s="106"/>
      <c r="E426" s="106"/>
      <c r="F426" s="106"/>
      <c r="G426" s="106"/>
      <c r="H426" s="106"/>
      <c r="I426" s="106"/>
      <c r="J426" s="106"/>
      <c r="K426" s="106"/>
      <c r="L426" s="106"/>
      <c r="M426" s="106"/>
      <c r="N426" s="106"/>
      <c r="O426" s="106"/>
      <c r="P426" s="106"/>
      <c r="Q426" s="106"/>
      <c r="R426" s="106"/>
      <c r="S426" s="106"/>
      <c r="T426" s="106"/>
      <c r="U426" s="106"/>
      <c r="V426" s="106"/>
      <c r="W426" s="106"/>
      <c r="X426" s="106"/>
      <c r="Y426" s="106"/>
      <c r="Z426" s="106"/>
      <c r="AA426" s="106"/>
      <c r="AB426" s="106"/>
      <c r="AC426" s="106"/>
    </row>
    <row r="427" spans="1:29">
      <c r="A427" s="106"/>
      <c r="B427" s="106"/>
      <c r="C427" s="106"/>
      <c r="D427" s="106"/>
      <c r="E427" s="106"/>
      <c r="F427" s="106"/>
      <c r="G427" s="106"/>
      <c r="H427" s="106"/>
      <c r="I427" s="106"/>
      <c r="J427" s="106"/>
      <c r="K427" s="106"/>
      <c r="L427" s="106"/>
      <c r="M427" s="106"/>
      <c r="N427" s="106"/>
      <c r="O427" s="106"/>
      <c r="P427" s="106"/>
      <c r="Q427" s="106"/>
      <c r="R427" s="106"/>
      <c r="S427" s="106"/>
      <c r="T427" s="106"/>
      <c r="U427" s="106"/>
      <c r="V427" s="106"/>
      <c r="W427" s="106"/>
      <c r="X427" s="106"/>
      <c r="Y427" s="106"/>
      <c r="Z427" s="106"/>
      <c r="AA427" s="106"/>
      <c r="AB427" s="106"/>
      <c r="AC427" s="106"/>
    </row>
    <row r="428" spans="1:29">
      <c r="A428" s="106"/>
      <c r="B428" s="106"/>
      <c r="C428" s="106"/>
      <c r="D428" s="106"/>
      <c r="E428" s="106"/>
      <c r="F428" s="106"/>
      <c r="G428" s="106"/>
      <c r="H428" s="106"/>
      <c r="I428" s="106"/>
      <c r="J428" s="106"/>
      <c r="K428" s="106"/>
      <c r="L428" s="106"/>
      <c r="M428" s="106"/>
      <c r="N428" s="106"/>
      <c r="O428" s="106"/>
      <c r="P428" s="106"/>
      <c r="Q428" s="106"/>
      <c r="R428" s="106"/>
      <c r="S428" s="106"/>
      <c r="T428" s="106"/>
      <c r="U428" s="106"/>
      <c r="V428" s="106"/>
      <c r="W428" s="106"/>
      <c r="X428" s="106"/>
      <c r="Y428" s="106"/>
      <c r="Z428" s="106"/>
      <c r="AA428" s="106"/>
      <c r="AB428" s="106"/>
      <c r="AC428" s="106"/>
    </row>
    <row r="429" spans="1:29">
      <c r="A429" s="106"/>
      <c r="B429" s="106"/>
      <c r="C429" s="106"/>
      <c r="D429" s="106"/>
      <c r="E429" s="106"/>
      <c r="F429" s="106"/>
      <c r="G429" s="106"/>
      <c r="H429" s="106"/>
      <c r="I429" s="106"/>
      <c r="J429" s="106"/>
      <c r="K429" s="106"/>
      <c r="L429" s="106"/>
      <c r="M429" s="106"/>
      <c r="N429" s="106"/>
      <c r="O429" s="106"/>
      <c r="P429" s="106"/>
      <c r="Q429" s="106"/>
      <c r="R429" s="106"/>
      <c r="S429" s="106"/>
      <c r="T429" s="106"/>
      <c r="U429" s="106"/>
      <c r="V429" s="106"/>
      <c r="W429" s="106"/>
      <c r="X429" s="106"/>
      <c r="Y429" s="106"/>
      <c r="Z429" s="106"/>
      <c r="AA429" s="106"/>
      <c r="AB429" s="106"/>
      <c r="AC429" s="106"/>
    </row>
    <row r="430" spans="1:29">
      <c r="A430" s="106"/>
      <c r="B430" s="106"/>
      <c r="C430" s="106"/>
      <c r="D430" s="106"/>
      <c r="E430" s="106"/>
      <c r="F430" s="106"/>
      <c r="G430" s="106"/>
      <c r="H430" s="106"/>
      <c r="I430" s="106"/>
      <c r="J430" s="106"/>
      <c r="K430" s="106"/>
      <c r="L430" s="106"/>
      <c r="M430" s="106"/>
      <c r="N430" s="106"/>
      <c r="O430" s="106"/>
      <c r="P430" s="106"/>
      <c r="Q430" s="106"/>
      <c r="R430" s="106"/>
      <c r="S430" s="106"/>
      <c r="T430" s="106"/>
      <c r="U430" s="106"/>
      <c r="V430" s="106"/>
      <c r="W430" s="106"/>
      <c r="X430" s="106"/>
      <c r="Y430" s="106"/>
      <c r="Z430" s="106"/>
      <c r="AA430" s="106"/>
      <c r="AB430" s="106"/>
      <c r="AC430" s="106"/>
    </row>
    <row r="431" spans="1:29">
      <c r="A431" s="106"/>
      <c r="B431" s="106"/>
      <c r="C431" s="106"/>
      <c r="D431" s="106"/>
      <c r="E431" s="106"/>
      <c r="F431" s="106"/>
      <c r="G431" s="106"/>
      <c r="H431" s="106"/>
      <c r="I431" s="106"/>
      <c r="J431" s="106"/>
      <c r="K431" s="106"/>
      <c r="L431" s="106"/>
      <c r="M431" s="106"/>
      <c r="N431" s="106"/>
      <c r="O431" s="106"/>
      <c r="P431" s="106"/>
      <c r="Q431" s="106"/>
      <c r="R431" s="106"/>
      <c r="S431" s="106"/>
      <c r="T431" s="106"/>
      <c r="U431" s="106"/>
      <c r="V431" s="106"/>
      <c r="W431" s="106"/>
      <c r="X431" s="106"/>
      <c r="Y431" s="106"/>
      <c r="Z431" s="106"/>
      <c r="AA431" s="106"/>
      <c r="AB431" s="106"/>
      <c r="AC431" s="106"/>
    </row>
    <row r="432" spans="1:29">
      <c r="A432" s="106"/>
      <c r="B432" s="106"/>
      <c r="C432" s="106"/>
      <c r="D432" s="106"/>
      <c r="E432" s="106"/>
      <c r="F432" s="106"/>
      <c r="G432" s="106"/>
      <c r="H432" s="106"/>
      <c r="I432" s="106"/>
      <c r="J432" s="106"/>
      <c r="K432" s="106"/>
      <c r="L432" s="106"/>
      <c r="M432" s="106"/>
      <c r="N432" s="106"/>
      <c r="O432" s="106"/>
      <c r="P432" s="106"/>
      <c r="Q432" s="106"/>
      <c r="R432" s="106"/>
      <c r="S432" s="106"/>
      <c r="T432" s="106"/>
      <c r="U432" s="106"/>
      <c r="V432" s="106"/>
      <c r="W432" s="106"/>
      <c r="X432" s="106"/>
      <c r="Y432" s="106"/>
      <c r="Z432" s="106"/>
      <c r="AA432" s="106"/>
      <c r="AB432" s="106"/>
      <c r="AC432" s="106"/>
    </row>
    <row r="433" spans="1:29">
      <c r="A433" s="106"/>
      <c r="B433" s="106"/>
      <c r="C433" s="106"/>
      <c r="D433" s="106"/>
      <c r="E433" s="106"/>
      <c r="F433" s="106"/>
      <c r="G433" s="106"/>
      <c r="H433" s="106"/>
      <c r="I433" s="106"/>
      <c r="J433" s="106"/>
      <c r="K433" s="106"/>
      <c r="L433" s="106"/>
      <c r="M433" s="106"/>
      <c r="N433" s="106"/>
      <c r="O433" s="106"/>
      <c r="P433" s="106"/>
      <c r="Q433" s="106"/>
      <c r="R433" s="106"/>
      <c r="S433" s="106"/>
      <c r="T433" s="106"/>
      <c r="U433" s="106"/>
      <c r="V433" s="106"/>
      <c r="W433" s="106"/>
      <c r="X433" s="106"/>
      <c r="Y433" s="106"/>
      <c r="Z433" s="106"/>
      <c r="AA433" s="106"/>
      <c r="AB433" s="106"/>
      <c r="AC433" s="106"/>
    </row>
    <row r="434" spans="1:29">
      <c r="A434" s="106"/>
      <c r="B434" s="106"/>
      <c r="C434" s="106"/>
      <c r="D434" s="106"/>
      <c r="E434" s="106"/>
      <c r="F434" s="106"/>
      <c r="G434" s="106"/>
      <c r="H434" s="106"/>
      <c r="I434" s="106"/>
      <c r="J434" s="106"/>
      <c r="K434" s="106"/>
      <c r="L434" s="106"/>
      <c r="M434" s="106"/>
      <c r="N434" s="106"/>
      <c r="O434" s="106"/>
      <c r="P434" s="106"/>
      <c r="Q434" s="106"/>
      <c r="R434" s="106"/>
      <c r="S434" s="106"/>
      <c r="T434" s="106"/>
      <c r="U434" s="106"/>
      <c r="V434" s="106"/>
      <c r="W434" s="106"/>
      <c r="X434" s="106"/>
      <c r="Y434" s="106"/>
      <c r="Z434" s="106"/>
      <c r="AA434" s="106"/>
      <c r="AB434" s="106"/>
      <c r="AC434" s="106"/>
    </row>
    <row r="435" spans="1:29">
      <c r="A435" s="106"/>
      <c r="B435" s="106"/>
      <c r="C435" s="106"/>
      <c r="D435" s="106"/>
      <c r="E435" s="106"/>
      <c r="F435" s="106"/>
      <c r="G435" s="106"/>
      <c r="H435" s="106"/>
      <c r="I435" s="106"/>
      <c r="J435" s="106"/>
      <c r="K435" s="106"/>
      <c r="L435" s="106"/>
      <c r="M435" s="106"/>
      <c r="N435" s="106"/>
      <c r="O435" s="106"/>
      <c r="P435" s="106"/>
      <c r="Q435" s="106"/>
      <c r="R435" s="106"/>
      <c r="S435" s="106"/>
      <c r="T435" s="106"/>
      <c r="U435" s="106"/>
      <c r="V435" s="106"/>
      <c r="W435" s="106"/>
      <c r="X435" s="106"/>
      <c r="Y435" s="106"/>
      <c r="Z435" s="106"/>
      <c r="AA435" s="106"/>
      <c r="AB435" s="106"/>
      <c r="AC435" s="106"/>
    </row>
    <row r="436" spans="1:29">
      <c r="A436" s="106"/>
      <c r="B436" s="106"/>
      <c r="C436" s="106"/>
      <c r="D436" s="106"/>
      <c r="E436" s="106"/>
      <c r="F436" s="106"/>
      <c r="G436" s="106"/>
      <c r="H436" s="106"/>
      <c r="I436" s="106"/>
      <c r="J436" s="106"/>
      <c r="K436" s="106"/>
      <c r="L436" s="106"/>
      <c r="M436" s="106"/>
      <c r="N436" s="106"/>
      <c r="O436" s="106"/>
      <c r="P436" s="106"/>
      <c r="Q436" s="106"/>
      <c r="R436" s="106"/>
      <c r="S436" s="106"/>
      <c r="T436" s="106"/>
      <c r="U436" s="106"/>
      <c r="V436" s="106"/>
      <c r="W436" s="106"/>
      <c r="X436" s="106"/>
      <c r="Y436" s="106"/>
      <c r="Z436" s="106"/>
      <c r="AA436" s="106"/>
      <c r="AB436" s="106"/>
      <c r="AC436" s="106"/>
    </row>
    <row r="437" spans="1:29">
      <c r="A437" s="106"/>
      <c r="B437" s="106"/>
      <c r="C437" s="106"/>
      <c r="D437" s="106"/>
      <c r="E437" s="106"/>
      <c r="F437" s="106"/>
      <c r="G437" s="106"/>
      <c r="H437" s="106"/>
      <c r="I437" s="106"/>
      <c r="J437" s="106"/>
      <c r="K437" s="106"/>
      <c r="L437" s="106"/>
      <c r="M437" s="106"/>
      <c r="N437" s="106"/>
      <c r="O437" s="106"/>
      <c r="P437" s="106"/>
      <c r="Q437" s="106"/>
      <c r="R437" s="106"/>
      <c r="S437" s="106"/>
      <c r="T437" s="106"/>
      <c r="U437" s="106"/>
      <c r="V437" s="106"/>
      <c r="W437" s="106"/>
      <c r="X437" s="106"/>
      <c r="Y437" s="106"/>
      <c r="Z437" s="106"/>
      <c r="AA437" s="106"/>
      <c r="AB437" s="106"/>
      <c r="AC437" s="106"/>
    </row>
    <row r="438" spans="1:29">
      <c r="A438" s="106"/>
      <c r="B438" s="106"/>
      <c r="C438" s="106"/>
      <c r="D438" s="106"/>
      <c r="E438" s="106"/>
      <c r="F438" s="106"/>
      <c r="G438" s="106"/>
      <c r="H438" s="106"/>
      <c r="I438" s="106"/>
      <c r="J438" s="106"/>
      <c r="K438" s="106"/>
      <c r="L438" s="106"/>
      <c r="M438" s="106"/>
      <c r="N438" s="106"/>
      <c r="O438" s="106"/>
      <c r="P438" s="106"/>
      <c r="Q438" s="106"/>
      <c r="R438" s="106"/>
      <c r="S438" s="106"/>
      <c r="T438" s="106"/>
      <c r="U438" s="106"/>
      <c r="V438" s="106"/>
      <c r="W438" s="106"/>
      <c r="X438" s="106"/>
      <c r="Y438" s="106"/>
      <c r="Z438" s="106"/>
      <c r="AA438" s="106"/>
      <c r="AB438" s="106"/>
      <c r="AC438" s="106"/>
    </row>
    <row r="439" spans="1:29">
      <c r="A439" s="106"/>
      <c r="B439" s="106"/>
      <c r="C439" s="106"/>
      <c r="D439" s="106"/>
      <c r="E439" s="106"/>
      <c r="F439" s="106"/>
      <c r="G439" s="106"/>
      <c r="H439" s="106"/>
      <c r="I439" s="106"/>
      <c r="J439" s="106"/>
      <c r="K439" s="106"/>
      <c r="L439" s="106"/>
      <c r="M439" s="106"/>
      <c r="N439" s="106"/>
      <c r="O439" s="106"/>
      <c r="P439" s="106"/>
      <c r="Q439" s="106"/>
      <c r="R439" s="106"/>
      <c r="S439" s="106"/>
      <c r="T439" s="106"/>
      <c r="U439" s="106"/>
      <c r="V439" s="106"/>
      <c r="W439" s="106"/>
      <c r="X439" s="106"/>
      <c r="Y439" s="106"/>
      <c r="Z439" s="106"/>
      <c r="AA439" s="106"/>
      <c r="AB439" s="106"/>
      <c r="AC439" s="106"/>
    </row>
    <row r="440" spans="1:29">
      <c r="A440" s="106"/>
      <c r="B440" s="106"/>
      <c r="C440" s="106"/>
      <c r="D440" s="106"/>
      <c r="E440" s="106"/>
      <c r="F440" s="106"/>
      <c r="G440" s="106"/>
      <c r="H440" s="106"/>
      <c r="I440" s="106"/>
      <c r="J440" s="106"/>
      <c r="K440" s="106"/>
      <c r="L440" s="106"/>
      <c r="M440" s="106"/>
      <c r="N440" s="106"/>
      <c r="O440" s="106"/>
      <c r="P440" s="106"/>
      <c r="Q440" s="106"/>
      <c r="R440" s="106"/>
      <c r="S440" s="106"/>
      <c r="T440" s="106"/>
      <c r="U440" s="106"/>
      <c r="V440" s="106"/>
      <c r="W440" s="106"/>
      <c r="X440" s="106"/>
      <c r="Y440" s="106"/>
      <c r="Z440" s="106"/>
      <c r="AA440" s="106"/>
      <c r="AB440" s="106"/>
      <c r="AC440" s="106"/>
    </row>
    <row r="441" spans="1:29">
      <c r="A441" s="106"/>
      <c r="B441" s="106"/>
      <c r="C441" s="106"/>
      <c r="D441" s="106"/>
      <c r="E441" s="106"/>
      <c r="F441" s="106"/>
      <c r="G441" s="106"/>
      <c r="H441" s="106"/>
      <c r="I441" s="106"/>
      <c r="J441" s="106"/>
      <c r="K441" s="106"/>
      <c r="L441" s="106"/>
      <c r="M441" s="106"/>
      <c r="N441" s="106"/>
      <c r="O441" s="106"/>
      <c r="P441" s="106"/>
      <c r="Q441" s="106"/>
      <c r="R441" s="106"/>
      <c r="S441" s="106"/>
      <c r="T441" s="106"/>
      <c r="U441" s="106"/>
      <c r="V441" s="106"/>
      <c r="W441" s="106"/>
      <c r="X441" s="106"/>
      <c r="Y441" s="106"/>
      <c r="Z441" s="106"/>
      <c r="AA441" s="106"/>
      <c r="AB441" s="106"/>
      <c r="AC441" s="106"/>
    </row>
    <row r="442" spans="1:29">
      <c r="A442" s="106"/>
      <c r="B442" s="106"/>
      <c r="C442" s="106"/>
      <c r="D442" s="106"/>
      <c r="E442" s="106"/>
      <c r="F442" s="106"/>
      <c r="G442" s="106"/>
      <c r="H442" s="106"/>
      <c r="I442" s="106"/>
      <c r="J442" s="106"/>
      <c r="K442" s="106"/>
      <c r="L442" s="106"/>
      <c r="M442" s="106"/>
      <c r="N442" s="106"/>
      <c r="O442" s="106"/>
      <c r="P442" s="106"/>
      <c r="Q442" s="106"/>
      <c r="R442" s="106"/>
      <c r="S442" s="106"/>
      <c r="T442" s="106"/>
      <c r="U442" s="106"/>
      <c r="V442" s="106"/>
      <c r="W442" s="106"/>
      <c r="X442" s="106"/>
      <c r="Y442" s="106"/>
      <c r="Z442" s="106"/>
      <c r="AA442" s="106"/>
      <c r="AB442" s="106"/>
      <c r="AC442" s="106"/>
    </row>
    <row r="443" spans="1:29">
      <c r="A443" s="106"/>
      <c r="B443" s="106"/>
      <c r="C443" s="106"/>
      <c r="D443" s="106"/>
      <c r="E443" s="106"/>
      <c r="F443" s="106"/>
      <c r="G443" s="106"/>
      <c r="H443" s="106"/>
      <c r="I443" s="106"/>
      <c r="J443" s="106"/>
      <c r="K443" s="106"/>
      <c r="L443" s="106"/>
      <c r="M443" s="106"/>
      <c r="N443" s="106"/>
      <c r="O443" s="106"/>
      <c r="P443" s="106"/>
      <c r="Q443" s="106"/>
      <c r="R443" s="106"/>
      <c r="S443" s="106"/>
      <c r="T443" s="106"/>
      <c r="U443" s="106"/>
      <c r="V443" s="106"/>
      <c r="W443" s="106"/>
      <c r="X443" s="106"/>
      <c r="Y443" s="106"/>
      <c r="Z443" s="106"/>
      <c r="AA443" s="106"/>
      <c r="AB443" s="106"/>
      <c r="AC443" s="106"/>
    </row>
    <row r="444" spans="1:29">
      <c r="A444" s="106"/>
      <c r="B444" s="106"/>
      <c r="C444" s="106"/>
      <c r="D444" s="106"/>
      <c r="E444" s="106"/>
      <c r="F444" s="106"/>
      <c r="G444" s="106"/>
      <c r="H444" s="106"/>
      <c r="I444" s="106"/>
      <c r="J444" s="106"/>
      <c r="K444" s="106"/>
      <c r="L444" s="106"/>
      <c r="M444" s="106"/>
      <c r="N444" s="106"/>
      <c r="O444" s="106"/>
      <c r="P444" s="106"/>
      <c r="Q444" s="106"/>
      <c r="R444" s="106"/>
      <c r="S444" s="106"/>
      <c r="T444" s="106"/>
      <c r="U444" s="106"/>
      <c r="V444" s="106"/>
      <c r="W444" s="106"/>
      <c r="X444" s="106"/>
      <c r="Y444" s="106"/>
      <c r="Z444" s="106"/>
      <c r="AA444" s="106"/>
      <c r="AB444" s="106"/>
      <c r="AC444" s="106"/>
    </row>
    <row r="445" spans="1:29">
      <c r="A445" s="106"/>
      <c r="B445" s="106"/>
      <c r="C445" s="106"/>
      <c r="D445" s="106"/>
      <c r="E445" s="106"/>
      <c r="F445" s="106"/>
      <c r="G445" s="106"/>
      <c r="H445" s="106"/>
      <c r="I445" s="106"/>
      <c r="J445" s="106"/>
      <c r="K445" s="106"/>
      <c r="L445" s="106"/>
      <c r="M445" s="106"/>
      <c r="N445" s="106"/>
      <c r="O445" s="106"/>
      <c r="P445" s="106"/>
      <c r="Q445" s="106"/>
      <c r="R445" s="106"/>
      <c r="S445" s="106"/>
      <c r="T445" s="106"/>
      <c r="U445" s="106"/>
      <c r="V445" s="106"/>
      <c r="W445" s="106"/>
      <c r="X445" s="106"/>
      <c r="Y445" s="106"/>
      <c r="Z445" s="106"/>
      <c r="AA445" s="106"/>
      <c r="AB445" s="106"/>
      <c r="AC445" s="106"/>
    </row>
    <row r="446" spans="1:29">
      <c r="A446" s="106"/>
      <c r="B446" s="106"/>
      <c r="C446" s="106"/>
      <c r="D446" s="106"/>
      <c r="E446" s="106"/>
      <c r="F446" s="106"/>
      <c r="G446" s="106"/>
      <c r="H446" s="106"/>
      <c r="I446" s="106"/>
      <c r="J446" s="106"/>
      <c r="K446" s="106"/>
      <c r="L446" s="106"/>
      <c r="M446" s="106"/>
      <c r="N446" s="106"/>
      <c r="O446" s="106"/>
      <c r="P446" s="106"/>
      <c r="Q446" s="106"/>
      <c r="R446" s="106"/>
      <c r="S446" s="106"/>
      <c r="T446" s="106"/>
      <c r="U446" s="106"/>
      <c r="V446" s="106"/>
      <c r="W446" s="106"/>
      <c r="X446" s="106"/>
      <c r="Y446" s="106"/>
      <c r="Z446" s="106"/>
      <c r="AA446" s="106"/>
      <c r="AB446" s="106"/>
      <c r="AC446" s="106"/>
    </row>
    <row r="447" spans="1:29">
      <c r="A447" s="106"/>
      <c r="B447" s="106"/>
      <c r="C447" s="106"/>
      <c r="D447" s="106"/>
      <c r="E447" s="106"/>
      <c r="F447" s="106"/>
      <c r="G447" s="106"/>
      <c r="H447" s="106"/>
      <c r="I447" s="106"/>
      <c r="J447" s="106"/>
      <c r="K447" s="106"/>
      <c r="L447" s="106"/>
      <c r="M447" s="106"/>
      <c r="N447" s="106"/>
      <c r="O447" s="106"/>
      <c r="P447" s="106"/>
      <c r="Q447" s="106"/>
      <c r="R447" s="106"/>
      <c r="S447" s="106"/>
      <c r="T447" s="106"/>
      <c r="U447" s="106"/>
      <c r="V447" s="106"/>
      <c r="W447" s="106"/>
      <c r="X447" s="106"/>
      <c r="Y447" s="106"/>
      <c r="Z447" s="106"/>
      <c r="AA447" s="106"/>
      <c r="AB447" s="106"/>
      <c r="AC447" s="106"/>
    </row>
    <row r="448" spans="1:29">
      <c r="A448" s="106"/>
      <c r="B448" s="106"/>
      <c r="C448" s="106"/>
      <c r="D448" s="106"/>
      <c r="E448" s="106"/>
      <c r="F448" s="106"/>
      <c r="G448" s="106"/>
      <c r="H448" s="106"/>
      <c r="I448" s="106"/>
      <c r="J448" s="106"/>
      <c r="K448" s="106"/>
      <c r="L448" s="106"/>
      <c r="M448" s="106"/>
      <c r="N448" s="106"/>
      <c r="O448" s="106"/>
      <c r="P448" s="106"/>
      <c r="Q448" s="106"/>
      <c r="R448" s="106"/>
      <c r="S448" s="106"/>
      <c r="T448" s="106"/>
      <c r="U448" s="106"/>
      <c r="V448" s="106"/>
      <c r="W448" s="106"/>
      <c r="X448" s="106"/>
      <c r="Y448" s="106"/>
      <c r="Z448" s="106"/>
      <c r="AA448" s="106"/>
      <c r="AB448" s="106"/>
      <c r="AC448" s="106"/>
    </row>
    <row r="449" spans="1:29">
      <c r="A449" s="106"/>
      <c r="B449" s="106"/>
      <c r="C449" s="106"/>
      <c r="D449" s="106"/>
      <c r="E449" s="106"/>
      <c r="F449" s="106"/>
      <c r="G449" s="106"/>
      <c r="H449" s="106"/>
      <c r="I449" s="106"/>
      <c r="J449" s="106"/>
      <c r="K449" s="106"/>
      <c r="L449" s="106"/>
      <c r="M449" s="106"/>
      <c r="N449" s="106"/>
      <c r="O449" s="106"/>
      <c r="P449" s="106"/>
      <c r="Q449" s="106"/>
      <c r="R449" s="106"/>
      <c r="S449" s="106"/>
      <c r="T449" s="106"/>
      <c r="U449" s="106"/>
      <c r="V449" s="106"/>
      <c r="W449" s="106"/>
      <c r="X449" s="106"/>
      <c r="Y449" s="106"/>
      <c r="Z449" s="106"/>
      <c r="AA449" s="106"/>
      <c r="AB449" s="106"/>
      <c r="AC449" s="106"/>
    </row>
    <row r="450" spans="1:29">
      <c r="A450" s="106"/>
      <c r="B450" s="106"/>
      <c r="C450" s="106"/>
      <c r="D450" s="106"/>
      <c r="E450" s="106"/>
      <c r="F450" s="106"/>
      <c r="G450" s="106"/>
      <c r="H450" s="106"/>
      <c r="I450" s="106"/>
      <c r="J450" s="106"/>
      <c r="K450" s="106"/>
      <c r="L450" s="106"/>
      <c r="M450" s="106"/>
      <c r="N450" s="106"/>
      <c r="O450" s="106"/>
      <c r="P450" s="106"/>
      <c r="Q450" s="106"/>
      <c r="R450" s="106"/>
      <c r="S450" s="106"/>
      <c r="T450" s="106"/>
      <c r="U450" s="106"/>
      <c r="V450" s="106"/>
      <c r="W450" s="106"/>
      <c r="X450" s="106"/>
      <c r="Y450" s="106"/>
      <c r="Z450" s="106"/>
      <c r="AA450" s="106"/>
      <c r="AB450" s="106"/>
      <c r="AC450" s="106"/>
    </row>
    <row r="451" spans="1:29">
      <c r="A451" s="106"/>
      <c r="B451" s="106"/>
      <c r="C451" s="106"/>
      <c r="D451" s="106"/>
      <c r="E451" s="106"/>
      <c r="F451" s="106"/>
      <c r="G451" s="106"/>
      <c r="H451" s="106"/>
      <c r="I451" s="106"/>
      <c r="J451" s="106"/>
      <c r="K451" s="106"/>
      <c r="L451" s="106"/>
      <c r="M451" s="106"/>
      <c r="N451" s="106"/>
      <c r="O451" s="106"/>
      <c r="P451" s="106"/>
      <c r="Q451" s="106"/>
      <c r="R451" s="106"/>
      <c r="S451" s="106"/>
      <c r="T451" s="106"/>
      <c r="U451" s="106"/>
      <c r="V451" s="106"/>
      <c r="W451" s="106"/>
      <c r="X451" s="106"/>
      <c r="Y451" s="106"/>
      <c r="Z451" s="106"/>
      <c r="AA451" s="106"/>
      <c r="AB451" s="106"/>
      <c r="AC451" s="106"/>
    </row>
    <row r="452" spans="1:29">
      <c r="A452" s="106"/>
      <c r="B452" s="106"/>
      <c r="C452" s="106"/>
      <c r="D452" s="106"/>
      <c r="E452" s="106"/>
      <c r="F452" s="106"/>
      <c r="G452" s="106"/>
      <c r="H452" s="106"/>
      <c r="I452" s="106"/>
      <c r="J452" s="106"/>
      <c r="K452" s="106"/>
      <c r="L452" s="106"/>
      <c r="M452" s="106"/>
      <c r="N452" s="106"/>
      <c r="O452" s="106"/>
      <c r="P452" s="106"/>
      <c r="Q452" s="106"/>
      <c r="R452" s="106"/>
      <c r="S452" s="106"/>
      <c r="T452" s="106"/>
      <c r="U452" s="106"/>
      <c r="V452" s="106"/>
      <c r="W452" s="106"/>
      <c r="X452" s="106"/>
      <c r="Y452" s="106"/>
      <c r="Z452" s="106"/>
      <c r="AA452" s="106"/>
      <c r="AB452" s="106"/>
      <c r="AC452" s="106"/>
    </row>
    <row r="453" spans="1:29">
      <c r="A453" s="106"/>
      <c r="B453" s="106"/>
      <c r="C453" s="106"/>
      <c r="D453" s="106"/>
      <c r="E453" s="106"/>
      <c r="F453" s="106"/>
      <c r="G453" s="106"/>
      <c r="H453" s="106"/>
      <c r="I453" s="106"/>
      <c r="J453" s="106"/>
      <c r="K453" s="106"/>
      <c r="L453" s="106"/>
      <c r="M453" s="106"/>
      <c r="N453" s="106"/>
      <c r="O453" s="106"/>
      <c r="P453" s="106"/>
      <c r="Q453" s="106"/>
      <c r="R453" s="106"/>
      <c r="S453" s="106"/>
      <c r="T453" s="106"/>
      <c r="U453" s="106"/>
      <c r="V453" s="106"/>
      <c r="W453" s="106"/>
      <c r="X453" s="106"/>
      <c r="Y453" s="106"/>
      <c r="Z453" s="106"/>
      <c r="AA453" s="106"/>
      <c r="AB453" s="106"/>
      <c r="AC453" s="106"/>
    </row>
    <row r="454" spans="1:29">
      <c r="A454" s="106"/>
      <c r="B454" s="106"/>
      <c r="C454" s="106"/>
      <c r="D454" s="106"/>
      <c r="E454" s="106"/>
      <c r="F454" s="106"/>
      <c r="G454" s="106"/>
      <c r="H454" s="106"/>
      <c r="I454" s="106"/>
      <c r="J454" s="106"/>
      <c r="K454" s="106"/>
      <c r="L454" s="106"/>
      <c r="M454" s="106"/>
      <c r="N454" s="106"/>
      <c r="O454" s="106"/>
      <c r="P454" s="106"/>
      <c r="Q454" s="106"/>
      <c r="R454" s="106"/>
      <c r="S454" s="106"/>
      <c r="T454" s="106"/>
      <c r="U454" s="106"/>
      <c r="V454" s="106"/>
      <c r="W454" s="106"/>
      <c r="X454" s="106"/>
      <c r="Y454" s="106"/>
      <c r="Z454" s="106"/>
      <c r="AA454" s="106"/>
      <c r="AB454" s="106"/>
      <c r="AC454" s="106"/>
    </row>
    <row r="455" spans="1:29">
      <c r="A455" s="106"/>
      <c r="B455" s="106"/>
      <c r="C455" s="106"/>
      <c r="D455" s="106"/>
      <c r="E455" s="106"/>
      <c r="F455" s="106"/>
      <c r="G455" s="106"/>
      <c r="H455" s="106"/>
      <c r="I455" s="106"/>
      <c r="J455" s="106"/>
      <c r="K455" s="106"/>
      <c r="L455" s="106"/>
      <c r="M455" s="106"/>
      <c r="N455" s="106"/>
      <c r="O455" s="106"/>
      <c r="P455" s="106"/>
      <c r="Q455" s="106"/>
      <c r="R455" s="106"/>
      <c r="S455" s="106"/>
      <c r="T455" s="106"/>
      <c r="U455" s="106"/>
      <c r="V455" s="106"/>
      <c r="W455" s="106"/>
      <c r="X455" s="106"/>
      <c r="Y455" s="106"/>
      <c r="Z455" s="106"/>
      <c r="AA455" s="106"/>
      <c r="AB455" s="106"/>
      <c r="AC455" s="106"/>
    </row>
    <row r="456" spans="1:29">
      <c r="A456" s="106"/>
      <c r="B456" s="106"/>
      <c r="C456" s="106"/>
      <c r="D456" s="106"/>
      <c r="E456" s="106"/>
      <c r="F456" s="106"/>
      <c r="G456" s="106"/>
      <c r="H456" s="106"/>
      <c r="I456" s="106"/>
      <c r="J456" s="106"/>
      <c r="K456" s="106"/>
      <c r="L456" s="106"/>
      <c r="M456" s="106"/>
      <c r="N456" s="106"/>
      <c r="O456" s="106"/>
      <c r="P456" s="106"/>
      <c r="Q456" s="106"/>
      <c r="R456" s="106"/>
      <c r="S456" s="106"/>
      <c r="T456" s="106"/>
      <c r="U456" s="106"/>
      <c r="V456" s="106"/>
      <c r="W456" s="106"/>
      <c r="X456" s="106"/>
      <c r="Y456" s="106"/>
      <c r="Z456" s="106"/>
      <c r="AA456" s="106"/>
      <c r="AB456" s="106"/>
      <c r="AC456" s="106"/>
    </row>
    <row r="457" spans="1:29">
      <c r="A457" s="106"/>
      <c r="B457" s="106"/>
      <c r="C457" s="106"/>
      <c r="D457" s="106"/>
      <c r="E457" s="106"/>
      <c r="F457" s="106"/>
      <c r="G457" s="106"/>
      <c r="H457" s="106"/>
      <c r="I457" s="106"/>
      <c r="J457" s="106"/>
      <c r="K457" s="106"/>
      <c r="L457" s="106"/>
      <c r="M457" s="106"/>
      <c r="N457" s="106"/>
      <c r="O457" s="106"/>
      <c r="P457" s="106"/>
      <c r="Q457" s="106"/>
      <c r="R457" s="106"/>
      <c r="S457" s="106"/>
      <c r="T457" s="106"/>
      <c r="U457" s="106"/>
      <c r="V457" s="106"/>
      <c r="W457" s="106"/>
      <c r="X457" s="106"/>
      <c r="Y457" s="106"/>
      <c r="Z457" s="106"/>
      <c r="AA457" s="106"/>
      <c r="AB457" s="106"/>
      <c r="AC457" s="106"/>
    </row>
    <row r="458" spans="1:29">
      <c r="A458" s="106"/>
      <c r="B458" s="106"/>
      <c r="C458" s="106"/>
      <c r="D458" s="106"/>
      <c r="E458" s="106"/>
      <c r="F458" s="106"/>
      <c r="G458" s="106"/>
      <c r="H458" s="106"/>
      <c r="I458" s="106"/>
      <c r="J458" s="106"/>
      <c r="K458" s="106"/>
      <c r="L458" s="106"/>
      <c r="M458" s="106"/>
      <c r="N458" s="106"/>
      <c r="O458" s="106"/>
      <c r="P458" s="106"/>
      <c r="Q458" s="106"/>
      <c r="R458" s="106"/>
      <c r="S458" s="106"/>
      <c r="T458" s="106"/>
      <c r="U458" s="106"/>
      <c r="V458" s="106"/>
      <c r="W458" s="106"/>
      <c r="X458" s="106"/>
      <c r="Y458" s="106"/>
      <c r="Z458" s="106"/>
      <c r="AA458" s="106"/>
      <c r="AB458" s="106"/>
      <c r="AC458" s="106"/>
    </row>
    <row r="459" spans="1:29">
      <c r="A459" s="106"/>
      <c r="B459" s="106"/>
      <c r="C459" s="106"/>
      <c r="D459" s="106"/>
      <c r="E459" s="106"/>
      <c r="F459" s="106"/>
      <c r="G459" s="106"/>
      <c r="H459" s="106"/>
      <c r="I459" s="106"/>
      <c r="J459" s="106"/>
      <c r="K459" s="106"/>
      <c r="L459" s="106"/>
      <c r="M459" s="106"/>
      <c r="N459" s="106"/>
      <c r="O459" s="106"/>
      <c r="P459" s="106"/>
      <c r="Q459" s="106"/>
      <c r="R459" s="106"/>
      <c r="S459" s="106"/>
      <c r="T459" s="106"/>
      <c r="U459" s="106"/>
      <c r="V459" s="106"/>
      <c r="W459" s="106"/>
      <c r="X459" s="106"/>
      <c r="Y459" s="106"/>
      <c r="Z459" s="106"/>
      <c r="AA459" s="106"/>
      <c r="AB459" s="106"/>
      <c r="AC459" s="106"/>
    </row>
    <row r="460" spans="1:29">
      <c r="A460" s="106"/>
      <c r="B460" s="106"/>
      <c r="C460" s="106"/>
      <c r="D460" s="106"/>
      <c r="E460" s="106"/>
      <c r="F460" s="106"/>
      <c r="G460" s="106"/>
      <c r="H460" s="106"/>
      <c r="I460" s="106"/>
      <c r="J460" s="106"/>
      <c r="K460" s="106"/>
      <c r="L460" s="106"/>
      <c r="M460" s="106"/>
      <c r="N460" s="106"/>
      <c r="O460" s="106"/>
      <c r="P460" s="106"/>
      <c r="Q460" s="106"/>
      <c r="R460" s="106"/>
      <c r="S460" s="106"/>
      <c r="T460" s="106"/>
      <c r="U460" s="106"/>
      <c r="V460" s="106"/>
      <c r="W460" s="106"/>
      <c r="X460" s="106"/>
      <c r="Y460" s="106"/>
      <c r="Z460" s="106"/>
      <c r="AA460" s="106"/>
      <c r="AB460" s="106"/>
      <c r="AC460" s="106"/>
    </row>
    <row r="461" spans="1:29">
      <c r="A461" s="106"/>
      <c r="B461" s="106"/>
      <c r="C461" s="106"/>
      <c r="D461" s="106"/>
      <c r="E461" s="106"/>
      <c r="F461" s="106"/>
      <c r="G461" s="106"/>
      <c r="H461" s="106"/>
      <c r="I461" s="106"/>
      <c r="J461" s="106"/>
      <c r="K461" s="106"/>
      <c r="L461" s="106"/>
      <c r="M461" s="106"/>
      <c r="N461" s="106"/>
      <c r="O461" s="106"/>
      <c r="P461" s="106"/>
      <c r="Q461" s="106"/>
      <c r="R461" s="106"/>
      <c r="S461" s="106"/>
      <c r="T461" s="106"/>
      <c r="U461" s="106"/>
      <c r="V461" s="106"/>
      <c r="W461" s="106"/>
      <c r="X461" s="106"/>
      <c r="Y461" s="106"/>
      <c r="Z461" s="106"/>
      <c r="AA461" s="106"/>
      <c r="AB461" s="106"/>
      <c r="AC461" s="106"/>
    </row>
    <row r="462" spans="1:29">
      <c r="A462" s="106"/>
      <c r="B462" s="106"/>
      <c r="C462" s="106"/>
      <c r="D462" s="106"/>
      <c r="E462" s="106"/>
      <c r="F462" s="106"/>
      <c r="G462" s="106"/>
      <c r="H462" s="106"/>
      <c r="I462" s="106"/>
      <c r="J462" s="106"/>
      <c r="K462" s="106"/>
      <c r="L462" s="106"/>
      <c r="M462" s="106"/>
      <c r="N462" s="106"/>
      <c r="O462" s="106"/>
      <c r="P462" s="106"/>
      <c r="Q462" s="106"/>
      <c r="R462" s="106"/>
      <c r="S462" s="106"/>
      <c r="T462" s="106"/>
      <c r="U462" s="106"/>
      <c r="V462" s="106"/>
      <c r="W462" s="106"/>
      <c r="X462" s="106"/>
      <c r="Y462" s="106"/>
      <c r="Z462" s="106"/>
      <c r="AA462" s="106"/>
      <c r="AB462" s="106"/>
      <c r="AC462" s="106"/>
    </row>
    <row r="463" spans="1:29">
      <c r="A463" s="106"/>
      <c r="B463" s="106"/>
      <c r="C463" s="106"/>
      <c r="D463" s="106"/>
      <c r="E463" s="106"/>
      <c r="F463" s="106"/>
      <c r="G463" s="106"/>
      <c r="H463" s="106"/>
      <c r="I463" s="106"/>
      <c r="J463" s="106"/>
      <c r="K463" s="106"/>
      <c r="L463" s="106"/>
      <c r="M463" s="106"/>
      <c r="N463" s="106"/>
      <c r="O463" s="106"/>
      <c r="P463" s="106"/>
      <c r="Q463" s="106"/>
      <c r="R463" s="106"/>
      <c r="S463" s="106"/>
      <c r="T463" s="106"/>
      <c r="U463" s="106"/>
      <c r="V463" s="106"/>
      <c r="W463" s="106"/>
      <c r="X463" s="106"/>
      <c r="Y463" s="106"/>
      <c r="Z463" s="106"/>
      <c r="AA463" s="106"/>
      <c r="AB463" s="106"/>
      <c r="AC463" s="106"/>
    </row>
    <row r="464" spans="1:29">
      <c r="A464" s="106"/>
      <c r="B464" s="106"/>
      <c r="C464" s="106"/>
      <c r="D464" s="106"/>
      <c r="E464" s="106"/>
      <c r="F464" s="106"/>
      <c r="G464" s="106"/>
      <c r="H464" s="106"/>
      <c r="I464" s="106"/>
      <c r="J464" s="106"/>
      <c r="K464" s="106"/>
      <c r="L464" s="106"/>
      <c r="M464" s="106"/>
      <c r="N464" s="106"/>
      <c r="O464" s="106"/>
      <c r="P464" s="106"/>
      <c r="Q464" s="106"/>
      <c r="R464" s="106"/>
      <c r="S464" s="106"/>
      <c r="T464" s="106"/>
      <c r="U464" s="106"/>
      <c r="V464" s="106"/>
      <c r="W464" s="106"/>
      <c r="X464" s="106"/>
      <c r="Y464" s="106"/>
      <c r="Z464" s="106"/>
      <c r="AA464" s="106"/>
      <c r="AB464" s="106"/>
      <c r="AC464" s="106"/>
    </row>
    <row r="465" spans="1:29">
      <c r="A465" s="106"/>
      <c r="B465" s="106"/>
      <c r="C465" s="106"/>
      <c r="D465" s="106"/>
      <c r="E465" s="106"/>
      <c r="F465" s="106"/>
      <c r="G465" s="106"/>
      <c r="H465" s="106"/>
      <c r="I465" s="106"/>
      <c r="J465" s="106"/>
      <c r="K465" s="106"/>
      <c r="L465" s="106"/>
      <c r="M465" s="106"/>
      <c r="N465" s="106"/>
      <c r="O465" s="106"/>
      <c r="P465" s="106"/>
      <c r="Q465" s="106"/>
      <c r="R465" s="106"/>
      <c r="S465" s="106"/>
      <c r="T465" s="106"/>
      <c r="U465" s="106"/>
      <c r="V465" s="106"/>
      <c r="W465" s="106"/>
      <c r="X465" s="106"/>
      <c r="Y465" s="106"/>
      <c r="Z465" s="106"/>
      <c r="AA465" s="106"/>
      <c r="AB465" s="106"/>
      <c r="AC465" s="106"/>
    </row>
    <row r="466" spans="1:29">
      <c r="A466" s="106"/>
      <c r="B466" s="106"/>
      <c r="C466" s="106"/>
      <c r="D466" s="106"/>
      <c r="E466" s="106"/>
      <c r="F466" s="106"/>
      <c r="G466" s="106"/>
      <c r="H466" s="106"/>
      <c r="I466" s="106"/>
      <c r="J466" s="106"/>
      <c r="K466" s="106"/>
      <c r="L466" s="106"/>
      <c r="M466" s="106"/>
      <c r="N466" s="106"/>
      <c r="O466" s="106"/>
      <c r="P466" s="106"/>
      <c r="Q466" s="106"/>
      <c r="R466" s="106"/>
      <c r="S466" s="106"/>
      <c r="T466" s="106"/>
      <c r="U466" s="106"/>
      <c r="V466" s="106"/>
      <c r="W466" s="106"/>
      <c r="X466" s="106"/>
      <c r="Y466" s="106"/>
      <c r="Z466" s="106"/>
      <c r="AA466" s="106"/>
      <c r="AB466" s="106"/>
      <c r="AC466" s="106"/>
    </row>
    <row r="467" spans="1:29">
      <c r="A467" s="106"/>
      <c r="B467" s="106"/>
      <c r="C467" s="106"/>
      <c r="D467" s="106"/>
      <c r="E467" s="106"/>
      <c r="F467" s="106"/>
      <c r="G467" s="106"/>
      <c r="H467" s="106"/>
      <c r="I467" s="106"/>
      <c r="J467" s="106"/>
      <c r="K467" s="106"/>
      <c r="L467" s="106"/>
      <c r="M467" s="106"/>
      <c r="N467" s="106"/>
      <c r="O467" s="106"/>
      <c r="P467" s="106"/>
      <c r="Q467" s="106"/>
      <c r="R467" s="106"/>
      <c r="S467" s="106"/>
      <c r="T467" s="106"/>
      <c r="U467" s="106"/>
      <c r="V467" s="106"/>
      <c r="W467" s="106"/>
      <c r="X467" s="106"/>
      <c r="Y467" s="106"/>
      <c r="Z467" s="106"/>
      <c r="AA467" s="106"/>
      <c r="AB467" s="106"/>
      <c r="AC467" s="106"/>
    </row>
    <row r="468" spans="1:29">
      <c r="A468" s="106"/>
      <c r="B468" s="106"/>
      <c r="C468" s="106"/>
      <c r="D468" s="106"/>
      <c r="E468" s="106"/>
      <c r="F468" s="106"/>
      <c r="G468" s="106"/>
      <c r="H468" s="106"/>
      <c r="I468" s="106"/>
      <c r="J468" s="106"/>
      <c r="K468" s="106"/>
      <c r="L468" s="106"/>
      <c r="M468" s="106"/>
      <c r="N468" s="106"/>
      <c r="O468" s="106"/>
      <c r="P468" s="106"/>
      <c r="Q468" s="106"/>
      <c r="R468" s="106"/>
      <c r="S468" s="106"/>
      <c r="T468" s="106"/>
      <c r="U468" s="106"/>
      <c r="V468" s="106"/>
      <c r="W468" s="106"/>
      <c r="X468" s="106"/>
      <c r="Y468" s="106"/>
      <c r="Z468" s="106"/>
      <c r="AA468" s="106"/>
      <c r="AB468" s="106"/>
      <c r="AC468" s="106"/>
    </row>
    <row r="469" spans="1:29">
      <c r="A469" s="106"/>
      <c r="B469" s="106"/>
      <c r="C469" s="106"/>
      <c r="D469" s="106"/>
      <c r="E469" s="106"/>
      <c r="F469" s="106"/>
      <c r="G469" s="106"/>
      <c r="H469" s="106"/>
      <c r="I469" s="106"/>
      <c r="J469" s="106"/>
      <c r="K469" s="106"/>
      <c r="L469" s="106"/>
      <c r="M469" s="106"/>
      <c r="N469" s="106"/>
      <c r="O469" s="106"/>
      <c r="P469" s="106"/>
      <c r="Q469" s="106"/>
      <c r="R469" s="106"/>
      <c r="S469" s="106"/>
      <c r="T469" s="106"/>
      <c r="U469" s="106"/>
      <c r="V469" s="106"/>
      <c r="W469" s="106"/>
      <c r="X469" s="106"/>
      <c r="Y469" s="106"/>
      <c r="Z469" s="106"/>
      <c r="AA469" s="106"/>
      <c r="AB469" s="106"/>
      <c r="AC469" s="106"/>
    </row>
    <row r="470" spans="1:29">
      <c r="A470" s="106"/>
      <c r="B470" s="106"/>
      <c r="C470" s="106"/>
      <c r="D470" s="106"/>
      <c r="E470" s="106"/>
      <c r="F470" s="106"/>
      <c r="G470" s="106"/>
      <c r="H470" s="106"/>
      <c r="I470" s="106"/>
      <c r="J470" s="106"/>
      <c r="K470" s="106"/>
      <c r="L470" s="106"/>
      <c r="M470" s="106"/>
      <c r="N470" s="106"/>
      <c r="O470" s="106"/>
      <c r="P470" s="106"/>
      <c r="Q470" s="106"/>
      <c r="R470" s="106"/>
      <c r="S470" s="106"/>
      <c r="T470" s="106"/>
      <c r="U470" s="106"/>
      <c r="V470" s="106"/>
      <c r="W470" s="106"/>
      <c r="X470" s="106"/>
      <c r="Y470" s="106"/>
      <c r="Z470" s="106"/>
      <c r="AA470" s="106"/>
      <c r="AB470" s="106"/>
      <c r="AC470" s="106"/>
    </row>
    <row r="471" spans="1:29">
      <c r="A471" s="106"/>
      <c r="B471" s="106"/>
      <c r="C471" s="106"/>
      <c r="D471" s="106"/>
      <c r="E471" s="106"/>
      <c r="F471" s="106"/>
      <c r="G471" s="106"/>
      <c r="H471" s="106"/>
      <c r="I471" s="106"/>
      <c r="J471" s="106"/>
      <c r="K471" s="106"/>
      <c r="L471" s="106"/>
      <c r="M471" s="106"/>
      <c r="N471" s="106"/>
      <c r="O471" s="106"/>
      <c r="P471" s="106"/>
      <c r="Q471" s="106"/>
      <c r="R471" s="106"/>
      <c r="S471" s="106"/>
      <c r="T471" s="106"/>
      <c r="U471" s="106"/>
      <c r="V471" s="106"/>
      <c r="W471" s="106"/>
      <c r="X471" s="106"/>
      <c r="Y471" s="106"/>
      <c r="Z471" s="106"/>
      <c r="AA471" s="106"/>
      <c r="AB471" s="106"/>
      <c r="AC471" s="106"/>
    </row>
    <row r="472" spans="1:29">
      <c r="A472" s="106"/>
      <c r="B472" s="106"/>
      <c r="C472" s="106"/>
      <c r="D472" s="106"/>
      <c r="E472" s="106"/>
      <c r="F472" s="106"/>
      <c r="G472" s="106"/>
      <c r="H472" s="106"/>
      <c r="I472" s="106"/>
      <c r="J472" s="106"/>
      <c r="K472" s="106"/>
      <c r="L472" s="106"/>
      <c r="M472" s="106"/>
      <c r="N472" s="106"/>
      <c r="O472" s="106"/>
      <c r="P472" s="106"/>
      <c r="Q472" s="106"/>
      <c r="R472" s="106"/>
      <c r="S472" s="106"/>
      <c r="T472" s="106"/>
      <c r="U472" s="106"/>
      <c r="V472" s="106"/>
      <c r="W472" s="106"/>
      <c r="X472" s="106"/>
      <c r="Y472" s="106"/>
      <c r="Z472" s="106"/>
      <c r="AA472" s="106"/>
      <c r="AB472" s="106"/>
      <c r="AC472" s="106"/>
    </row>
    <row r="473" spans="1:29">
      <c r="A473" s="106"/>
      <c r="B473" s="106"/>
      <c r="C473" s="106"/>
      <c r="D473" s="106"/>
      <c r="E473" s="106"/>
      <c r="F473" s="106"/>
      <c r="G473" s="106"/>
      <c r="H473" s="106"/>
      <c r="I473" s="106"/>
      <c r="J473" s="106"/>
      <c r="K473" s="106"/>
      <c r="L473" s="106"/>
      <c r="M473" s="106"/>
      <c r="N473" s="106"/>
      <c r="O473" s="106"/>
      <c r="P473" s="106"/>
      <c r="Q473" s="106"/>
      <c r="R473" s="106"/>
      <c r="S473" s="106"/>
      <c r="T473" s="106"/>
      <c r="U473" s="106"/>
      <c r="V473" s="106"/>
      <c r="W473" s="106"/>
      <c r="X473" s="106"/>
      <c r="Y473" s="106"/>
      <c r="Z473" s="106"/>
      <c r="AA473" s="106"/>
      <c r="AB473" s="106"/>
      <c r="AC473" s="106"/>
    </row>
    <row r="474" spans="1:29">
      <c r="A474" s="106"/>
      <c r="B474" s="106"/>
      <c r="C474" s="106"/>
      <c r="D474" s="106"/>
      <c r="E474" s="106"/>
      <c r="F474" s="106"/>
      <c r="G474" s="106"/>
      <c r="H474" s="106"/>
      <c r="I474" s="106"/>
      <c r="J474" s="106"/>
      <c r="K474" s="106"/>
      <c r="L474" s="106"/>
      <c r="M474" s="106"/>
      <c r="N474" s="106"/>
      <c r="O474" s="106"/>
      <c r="P474" s="106"/>
      <c r="Q474" s="106"/>
      <c r="R474" s="106"/>
      <c r="S474" s="106"/>
      <c r="T474" s="106"/>
      <c r="U474" s="106"/>
      <c r="V474" s="106"/>
      <c r="W474" s="106"/>
      <c r="X474" s="106"/>
      <c r="Y474" s="106"/>
      <c r="Z474" s="106"/>
      <c r="AA474" s="106"/>
      <c r="AB474" s="106"/>
      <c r="AC474" s="106"/>
    </row>
    <row r="475" spans="1:29">
      <c r="A475" s="106"/>
      <c r="B475" s="106"/>
      <c r="C475" s="106"/>
      <c r="D475" s="106"/>
      <c r="E475" s="106"/>
      <c r="F475" s="106"/>
      <c r="G475" s="106"/>
      <c r="H475" s="106"/>
      <c r="I475" s="106"/>
      <c r="J475" s="106"/>
      <c r="K475" s="106"/>
      <c r="L475" s="106"/>
      <c r="M475" s="106"/>
      <c r="N475" s="106"/>
      <c r="O475" s="106"/>
      <c r="P475" s="106"/>
      <c r="Q475" s="106"/>
      <c r="R475" s="106"/>
      <c r="S475" s="106"/>
      <c r="T475" s="106"/>
      <c r="U475" s="106"/>
      <c r="V475" s="106"/>
      <c r="W475" s="106"/>
      <c r="X475" s="106"/>
      <c r="Y475" s="106"/>
      <c r="Z475" s="106"/>
      <c r="AA475" s="106"/>
      <c r="AB475" s="106"/>
      <c r="AC475" s="106"/>
    </row>
    <row r="476" spans="1:29">
      <c r="A476" s="106"/>
      <c r="B476" s="106"/>
      <c r="C476" s="106"/>
      <c r="D476" s="106"/>
      <c r="E476" s="106"/>
      <c r="F476" s="106"/>
      <c r="G476" s="106"/>
      <c r="H476" s="106"/>
      <c r="I476" s="106"/>
      <c r="J476" s="106"/>
      <c r="K476" s="106"/>
      <c r="L476" s="106"/>
      <c r="M476" s="106"/>
      <c r="N476" s="106"/>
      <c r="O476" s="106"/>
      <c r="P476" s="106"/>
      <c r="Q476" s="106"/>
      <c r="R476" s="106"/>
      <c r="S476" s="106"/>
      <c r="T476" s="106"/>
      <c r="U476" s="106"/>
      <c r="V476" s="106"/>
      <c r="W476" s="106"/>
      <c r="X476" s="106"/>
      <c r="Y476" s="106"/>
      <c r="Z476" s="106"/>
      <c r="AA476" s="106"/>
      <c r="AB476" s="106"/>
      <c r="AC476" s="106"/>
    </row>
    <row r="477" spans="1:29">
      <c r="A477" s="106"/>
      <c r="B477" s="106"/>
      <c r="C477" s="106"/>
      <c r="D477" s="106"/>
      <c r="E477" s="106"/>
      <c r="F477" s="106"/>
      <c r="G477" s="106"/>
      <c r="H477" s="106"/>
      <c r="I477" s="106"/>
      <c r="J477" s="106"/>
      <c r="K477" s="106"/>
      <c r="L477" s="106"/>
      <c r="M477" s="106"/>
      <c r="N477" s="106"/>
      <c r="O477" s="106"/>
      <c r="P477" s="106"/>
      <c r="Q477" s="106"/>
      <c r="R477" s="106"/>
      <c r="S477" s="106"/>
      <c r="T477" s="106"/>
      <c r="U477" s="106"/>
      <c r="V477" s="106"/>
      <c r="W477" s="106"/>
      <c r="X477" s="106"/>
      <c r="Y477" s="106"/>
      <c r="Z477" s="106"/>
      <c r="AA477" s="106"/>
      <c r="AB477" s="106"/>
      <c r="AC477" s="106"/>
    </row>
    <row r="478" spans="1:29">
      <c r="A478" s="106"/>
      <c r="B478" s="106"/>
      <c r="C478" s="106"/>
      <c r="D478" s="106"/>
      <c r="E478" s="106"/>
      <c r="F478" s="106"/>
      <c r="G478" s="106"/>
      <c r="H478" s="106"/>
      <c r="I478" s="106"/>
      <c r="J478" s="106"/>
      <c r="K478" s="106"/>
      <c r="L478" s="106"/>
      <c r="M478" s="106"/>
      <c r="N478" s="106"/>
      <c r="O478" s="106"/>
      <c r="P478" s="106"/>
      <c r="Q478" s="106"/>
      <c r="R478" s="106"/>
      <c r="S478" s="106"/>
      <c r="T478" s="106"/>
      <c r="U478" s="106"/>
      <c r="V478" s="106"/>
      <c r="W478" s="106"/>
      <c r="X478" s="106"/>
      <c r="Y478" s="106"/>
      <c r="Z478" s="106"/>
      <c r="AA478" s="106"/>
      <c r="AB478" s="106"/>
      <c r="AC478" s="106"/>
    </row>
    <row r="479" spans="1:29">
      <c r="A479" s="106"/>
      <c r="B479" s="106"/>
      <c r="C479" s="106"/>
      <c r="D479" s="106"/>
      <c r="E479" s="106"/>
      <c r="F479" s="106"/>
      <c r="G479" s="106"/>
      <c r="H479" s="106"/>
      <c r="I479" s="106"/>
      <c r="J479" s="106"/>
      <c r="K479" s="106"/>
      <c r="L479" s="106"/>
      <c r="M479" s="106"/>
      <c r="N479" s="106"/>
      <c r="O479" s="106"/>
      <c r="P479" s="106"/>
      <c r="Q479" s="106"/>
      <c r="R479" s="106"/>
      <c r="S479" s="106"/>
      <c r="T479" s="106"/>
      <c r="U479" s="106"/>
      <c r="V479" s="106"/>
      <c r="W479" s="106"/>
      <c r="X479" s="106"/>
      <c r="Y479" s="106"/>
      <c r="Z479" s="106"/>
      <c r="AA479" s="106"/>
      <c r="AB479" s="106"/>
      <c r="AC479" s="106"/>
    </row>
    <row r="480" spans="1:29">
      <c r="A480" s="106"/>
      <c r="B480" s="106"/>
      <c r="C480" s="106"/>
      <c r="D480" s="106"/>
      <c r="E480" s="106"/>
      <c r="F480" s="106"/>
      <c r="G480" s="106"/>
      <c r="H480" s="106"/>
      <c r="I480" s="106"/>
      <c r="J480" s="106"/>
      <c r="K480" s="106"/>
      <c r="L480" s="106"/>
      <c r="M480" s="106"/>
      <c r="N480" s="106"/>
      <c r="O480" s="106"/>
      <c r="P480" s="106"/>
      <c r="Q480" s="106"/>
      <c r="R480" s="106"/>
      <c r="S480" s="106"/>
      <c r="T480" s="106"/>
      <c r="U480" s="106"/>
      <c r="V480" s="106"/>
      <c r="W480" s="106"/>
      <c r="X480" s="106"/>
      <c r="Y480" s="106"/>
      <c r="Z480" s="106"/>
      <c r="AA480" s="106"/>
      <c r="AB480" s="106"/>
      <c r="AC480" s="106"/>
    </row>
    <row r="481" spans="1:29">
      <c r="A481" s="106"/>
      <c r="B481" s="106"/>
      <c r="C481" s="106"/>
      <c r="D481" s="106"/>
      <c r="E481" s="106"/>
      <c r="F481" s="106"/>
      <c r="G481" s="106"/>
      <c r="H481" s="106"/>
      <c r="I481" s="106"/>
      <c r="J481" s="106"/>
      <c r="K481" s="106"/>
      <c r="L481" s="106"/>
      <c r="M481" s="106"/>
      <c r="N481" s="106"/>
      <c r="O481" s="106"/>
      <c r="P481" s="106"/>
      <c r="Q481" s="106"/>
      <c r="R481" s="106"/>
      <c r="S481" s="106"/>
      <c r="T481" s="106"/>
      <c r="U481" s="106"/>
      <c r="V481" s="106"/>
      <c r="W481" s="106"/>
      <c r="X481" s="106"/>
      <c r="Y481" s="106"/>
      <c r="Z481" s="106"/>
      <c r="AA481" s="106"/>
      <c r="AB481" s="106"/>
      <c r="AC481" s="106"/>
    </row>
    <row r="482" spans="1:29">
      <c r="A482" s="106"/>
      <c r="B482" s="106"/>
      <c r="C482" s="106"/>
      <c r="D482" s="106"/>
      <c r="E482" s="106"/>
      <c r="F482" s="106"/>
      <c r="G482" s="106"/>
      <c r="H482" s="106"/>
      <c r="I482" s="106"/>
      <c r="J482" s="106"/>
      <c r="K482" s="106"/>
      <c r="L482" s="106"/>
      <c r="M482" s="106"/>
      <c r="N482" s="106"/>
      <c r="O482" s="106"/>
      <c r="P482" s="106"/>
      <c r="Q482" s="106"/>
      <c r="R482" s="106"/>
      <c r="S482" s="106"/>
      <c r="T482" s="106"/>
      <c r="U482" s="106"/>
      <c r="V482" s="106"/>
      <c r="W482" s="106"/>
      <c r="X482" s="106"/>
      <c r="Y482" s="106"/>
      <c r="Z482" s="106"/>
      <c r="AA482" s="106"/>
      <c r="AB482" s="106"/>
      <c r="AC482" s="106"/>
    </row>
    <row r="483" spans="1:29">
      <c r="A483" s="106"/>
      <c r="B483" s="106"/>
      <c r="C483" s="106"/>
      <c r="D483" s="106"/>
      <c r="E483" s="106"/>
      <c r="F483" s="106"/>
      <c r="G483" s="106"/>
      <c r="H483" s="106"/>
      <c r="I483" s="106"/>
      <c r="J483" s="106"/>
      <c r="K483" s="106"/>
      <c r="L483" s="106"/>
      <c r="M483" s="106"/>
      <c r="N483" s="106"/>
      <c r="O483" s="106"/>
      <c r="P483" s="106"/>
      <c r="Q483" s="106"/>
      <c r="R483" s="106"/>
      <c r="S483" s="106"/>
      <c r="T483" s="106"/>
      <c r="U483" s="106"/>
      <c r="V483" s="106"/>
      <c r="W483" s="106"/>
      <c r="X483" s="106"/>
      <c r="Y483" s="106"/>
      <c r="Z483" s="106"/>
      <c r="AA483" s="106"/>
      <c r="AB483" s="106"/>
      <c r="AC483" s="106"/>
    </row>
    <row r="484" spans="1:29">
      <c r="A484" s="106"/>
      <c r="B484" s="106"/>
      <c r="C484" s="106"/>
      <c r="D484" s="106"/>
      <c r="E484" s="106"/>
      <c r="F484" s="106"/>
      <c r="G484" s="106"/>
      <c r="H484" s="106"/>
      <c r="I484" s="106"/>
      <c r="J484" s="106"/>
      <c r="K484" s="106"/>
      <c r="L484" s="106"/>
      <c r="M484" s="106"/>
      <c r="N484" s="106"/>
      <c r="O484" s="106"/>
      <c r="P484" s="106"/>
      <c r="Q484" s="106"/>
      <c r="R484" s="106"/>
      <c r="S484" s="106"/>
      <c r="T484" s="106"/>
      <c r="U484" s="106"/>
      <c r="V484" s="106"/>
      <c r="W484" s="106"/>
      <c r="X484" s="106"/>
      <c r="Y484" s="106"/>
      <c r="Z484" s="106"/>
      <c r="AA484" s="106"/>
      <c r="AB484" s="106"/>
      <c r="AC484" s="106"/>
    </row>
    <row r="485" spans="1:29">
      <c r="A485" s="106"/>
      <c r="B485" s="106"/>
      <c r="C485" s="106"/>
      <c r="D485" s="106"/>
      <c r="E485" s="106"/>
      <c r="F485" s="106"/>
      <c r="G485" s="106"/>
      <c r="H485" s="106"/>
      <c r="I485" s="106"/>
      <c r="J485" s="106"/>
      <c r="K485" s="106"/>
      <c r="L485" s="106"/>
      <c r="M485" s="106"/>
      <c r="N485" s="106"/>
      <c r="O485" s="106"/>
      <c r="P485" s="106"/>
      <c r="Q485" s="106"/>
      <c r="R485" s="106"/>
      <c r="S485" s="106"/>
      <c r="T485" s="106"/>
      <c r="U485" s="106"/>
      <c r="V485" s="106"/>
      <c r="W485" s="106"/>
      <c r="X485" s="106"/>
      <c r="Y485" s="106"/>
      <c r="Z485" s="106"/>
      <c r="AA485" s="106"/>
      <c r="AB485" s="106"/>
      <c r="AC485" s="106"/>
    </row>
    <row r="486" spans="1:29">
      <c r="A486" s="106"/>
      <c r="B486" s="106"/>
      <c r="C486" s="106"/>
      <c r="D486" s="106"/>
      <c r="E486" s="106"/>
      <c r="F486" s="106"/>
      <c r="G486" s="106"/>
      <c r="H486" s="106"/>
      <c r="I486" s="106"/>
      <c r="J486" s="106"/>
      <c r="K486" s="106"/>
      <c r="L486" s="106"/>
      <c r="M486" s="106"/>
      <c r="N486" s="106"/>
      <c r="O486" s="106"/>
      <c r="P486" s="106"/>
      <c r="Q486" s="106"/>
      <c r="R486" s="106"/>
      <c r="S486" s="106"/>
      <c r="T486" s="106"/>
      <c r="U486" s="106"/>
      <c r="V486" s="106"/>
      <c r="W486" s="106"/>
      <c r="X486" s="106"/>
      <c r="Y486" s="106"/>
      <c r="Z486" s="106"/>
      <c r="AA486" s="106"/>
      <c r="AB486" s="106"/>
      <c r="AC486" s="106"/>
    </row>
    <row r="487" spans="1:29">
      <c r="A487" s="106"/>
      <c r="B487" s="106"/>
      <c r="C487" s="106"/>
      <c r="D487" s="106"/>
      <c r="E487" s="106"/>
      <c r="F487" s="106"/>
      <c r="G487" s="106"/>
      <c r="H487" s="106"/>
      <c r="I487" s="106"/>
      <c r="J487" s="106"/>
      <c r="K487" s="106"/>
      <c r="L487" s="106"/>
      <c r="M487" s="106"/>
      <c r="N487" s="106"/>
      <c r="O487" s="106"/>
      <c r="P487" s="106"/>
      <c r="Q487" s="106"/>
      <c r="R487" s="106"/>
      <c r="S487" s="106"/>
      <c r="T487" s="106"/>
      <c r="U487" s="106"/>
      <c r="V487" s="106"/>
      <c r="W487" s="106"/>
      <c r="X487" s="106"/>
      <c r="Y487" s="106"/>
      <c r="Z487" s="106"/>
      <c r="AA487" s="106"/>
      <c r="AB487" s="106"/>
      <c r="AC487" s="106"/>
    </row>
    <row r="488" spans="1:29">
      <c r="A488" s="106"/>
      <c r="B488" s="106"/>
      <c r="C488" s="106"/>
      <c r="D488" s="106"/>
      <c r="E488" s="106"/>
      <c r="F488" s="106"/>
      <c r="G488" s="106"/>
      <c r="H488" s="106"/>
      <c r="I488" s="106"/>
      <c r="J488" s="106"/>
      <c r="K488" s="106"/>
      <c r="L488" s="106"/>
      <c r="M488" s="106"/>
      <c r="N488" s="106"/>
      <c r="O488" s="106"/>
      <c r="P488" s="106"/>
      <c r="Q488" s="106"/>
      <c r="R488" s="106"/>
      <c r="S488" s="106"/>
      <c r="T488" s="106"/>
      <c r="U488" s="106"/>
      <c r="V488" s="106"/>
      <c r="W488" s="106"/>
      <c r="X488" s="106"/>
      <c r="Y488" s="106"/>
      <c r="Z488" s="106"/>
      <c r="AA488" s="106"/>
      <c r="AB488" s="106"/>
      <c r="AC488" s="106"/>
    </row>
    <row r="489" spans="1:29">
      <c r="A489" s="106"/>
      <c r="B489" s="106"/>
      <c r="C489" s="106"/>
      <c r="D489" s="106"/>
      <c r="E489" s="106"/>
      <c r="F489" s="106"/>
      <c r="G489" s="106"/>
      <c r="H489" s="106"/>
      <c r="I489" s="106"/>
      <c r="J489" s="106"/>
      <c r="K489" s="106"/>
      <c r="L489" s="106"/>
      <c r="M489" s="106"/>
      <c r="N489" s="106"/>
      <c r="O489" s="106"/>
      <c r="P489" s="106"/>
      <c r="Q489" s="106"/>
      <c r="R489" s="106"/>
      <c r="S489" s="106"/>
      <c r="T489" s="106"/>
      <c r="U489" s="106"/>
      <c r="V489" s="106"/>
      <c r="W489" s="106"/>
      <c r="X489" s="106"/>
      <c r="Y489" s="106"/>
      <c r="Z489" s="106"/>
      <c r="AA489" s="106"/>
      <c r="AB489" s="106"/>
      <c r="AC489" s="106"/>
    </row>
    <row r="490" spans="1:29">
      <c r="A490" s="106"/>
      <c r="B490" s="106"/>
      <c r="C490" s="106"/>
      <c r="D490" s="106"/>
      <c r="E490" s="106"/>
      <c r="F490" s="106"/>
      <c r="G490" s="106"/>
      <c r="H490" s="106"/>
      <c r="I490" s="106"/>
      <c r="J490" s="106"/>
      <c r="K490" s="106"/>
      <c r="L490" s="106"/>
      <c r="M490" s="106"/>
      <c r="N490" s="106"/>
      <c r="O490" s="106"/>
      <c r="P490" s="106"/>
      <c r="Q490" s="106"/>
      <c r="R490" s="106"/>
      <c r="S490" s="106"/>
      <c r="T490" s="106"/>
      <c r="U490" s="106"/>
      <c r="V490" s="106"/>
      <c r="W490" s="106"/>
      <c r="X490" s="106"/>
      <c r="Y490" s="106"/>
      <c r="Z490" s="106"/>
      <c r="AA490" s="106"/>
      <c r="AB490" s="106"/>
      <c r="AC490" s="106"/>
    </row>
    <row r="491" spans="1:29">
      <c r="A491" s="106"/>
      <c r="B491" s="106"/>
      <c r="C491" s="106"/>
      <c r="D491" s="106"/>
      <c r="E491" s="106"/>
      <c r="F491" s="106"/>
      <c r="G491" s="106"/>
      <c r="H491" s="106"/>
      <c r="I491" s="106"/>
      <c r="J491" s="106"/>
      <c r="K491" s="106"/>
      <c r="L491" s="106"/>
      <c r="M491" s="106"/>
      <c r="N491" s="106"/>
      <c r="O491" s="106"/>
      <c r="P491" s="106"/>
      <c r="Q491" s="106"/>
      <c r="R491" s="106"/>
      <c r="S491" s="106"/>
      <c r="T491" s="106"/>
      <c r="U491" s="106"/>
      <c r="V491" s="106"/>
      <c r="W491" s="106"/>
      <c r="X491" s="106"/>
      <c r="Y491" s="106"/>
      <c r="Z491" s="106"/>
      <c r="AA491" s="106"/>
      <c r="AB491" s="106"/>
      <c r="AC491" s="106"/>
    </row>
    <row r="492" spans="1:29">
      <c r="A492" s="106"/>
      <c r="B492" s="106"/>
      <c r="C492" s="106"/>
      <c r="D492" s="106"/>
      <c r="E492" s="106"/>
      <c r="F492" s="106"/>
      <c r="G492" s="106"/>
      <c r="H492" s="106"/>
      <c r="I492" s="106"/>
      <c r="J492" s="106"/>
      <c r="K492" s="106"/>
      <c r="L492" s="106"/>
      <c r="M492" s="106"/>
      <c r="N492" s="106"/>
      <c r="O492" s="106"/>
      <c r="P492" s="106"/>
      <c r="Q492" s="106"/>
      <c r="R492" s="106"/>
      <c r="S492" s="106"/>
      <c r="T492" s="106"/>
      <c r="U492" s="106"/>
      <c r="V492" s="106"/>
      <c r="W492" s="106"/>
      <c r="X492" s="106"/>
      <c r="Y492" s="106"/>
      <c r="Z492" s="106"/>
      <c r="AA492" s="106"/>
      <c r="AB492" s="106"/>
      <c r="AC492" s="106"/>
    </row>
    <row r="493" spans="1:29">
      <c r="A493" s="106"/>
      <c r="B493" s="106"/>
      <c r="C493" s="106"/>
      <c r="D493" s="106"/>
      <c r="E493" s="106"/>
      <c r="F493" s="106"/>
      <c r="G493" s="106"/>
      <c r="H493" s="106"/>
      <c r="I493" s="106"/>
      <c r="J493" s="106"/>
      <c r="K493" s="106"/>
      <c r="L493" s="106"/>
      <c r="M493" s="106"/>
      <c r="N493" s="106"/>
      <c r="O493" s="106"/>
      <c r="P493" s="106"/>
      <c r="Q493" s="106"/>
      <c r="R493" s="106"/>
      <c r="S493" s="106"/>
      <c r="T493" s="106"/>
      <c r="U493" s="106"/>
      <c r="V493" s="106"/>
      <c r="W493" s="106"/>
      <c r="X493" s="106"/>
      <c r="Y493" s="106"/>
      <c r="Z493" s="106"/>
      <c r="AA493" s="106"/>
      <c r="AB493" s="106"/>
      <c r="AC493" s="106"/>
    </row>
    <row r="494" spans="1:29">
      <c r="A494" s="106"/>
      <c r="B494" s="106"/>
      <c r="C494" s="106"/>
      <c r="D494" s="106"/>
      <c r="E494" s="106"/>
      <c r="F494" s="106"/>
      <c r="G494" s="106"/>
      <c r="H494" s="106"/>
      <c r="I494" s="106"/>
      <c r="J494" s="106"/>
      <c r="K494" s="106"/>
      <c r="L494" s="106"/>
      <c r="M494" s="106"/>
      <c r="N494" s="106"/>
      <c r="O494" s="106"/>
      <c r="P494" s="106"/>
      <c r="Q494" s="106"/>
      <c r="R494" s="106"/>
      <c r="S494" s="106"/>
      <c r="T494" s="106"/>
      <c r="U494" s="106"/>
      <c r="V494" s="106"/>
      <c r="W494" s="106"/>
      <c r="X494" s="106"/>
      <c r="Y494" s="106"/>
      <c r="Z494" s="106"/>
      <c r="AA494" s="106"/>
      <c r="AB494" s="106"/>
      <c r="AC494" s="106"/>
    </row>
    <row r="495" spans="1:29">
      <c r="A495" s="106"/>
      <c r="B495" s="106"/>
      <c r="C495" s="106"/>
      <c r="D495" s="106"/>
      <c r="E495" s="106"/>
      <c r="F495" s="106"/>
      <c r="G495" s="106"/>
      <c r="H495" s="106"/>
      <c r="I495" s="106"/>
      <c r="J495" s="106"/>
      <c r="K495" s="106"/>
      <c r="L495" s="106"/>
      <c r="M495" s="106"/>
      <c r="N495" s="106"/>
      <c r="O495" s="106"/>
      <c r="P495" s="106"/>
      <c r="Q495" s="106"/>
      <c r="R495" s="106"/>
      <c r="S495" s="106"/>
      <c r="T495" s="106"/>
      <c r="U495" s="106"/>
      <c r="V495" s="106"/>
      <c r="W495" s="106"/>
      <c r="X495" s="106"/>
      <c r="Y495" s="106"/>
      <c r="Z495" s="106"/>
      <c r="AA495" s="106"/>
      <c r="AB495" s="106"/>
      <c r="AC495" s="106"/>
    </row>
    <row r="496" spans="1:29">
      <c r="A496" s="106"/>
      <c r="B496" s="106"/>
      <c r="C496" s="106"/>
      <c r="D496" s="106"/>
      <c r="E496" s="106"/>
      <c r="F496" s="106"/>
      <c r="G496" s="106"/>
      <c r="H496" s="106"/>
      <c r="I496" s="106"/>
      <c r="J496" s="106"/>
      <c r="K496" s="106"/>
      <c r="L496" s="106"/>
      <c r="M496" s="106"/>
      <c r="N496" s="106"/>
      <c r="O496" s="106"/>
      <c r="P496" s="106"/>
      <c r="Q496" s="106"/>
      <c r="R496" s="106"/>
      <c r="S496" s="106"/>
      <c r="T496" s="106"/>
      <c r="U496" s="106"/>
      <c r="V496" s="106"/>
      <c r="W496" s="106"/>
      <c r="X496" s="106"/>
      <c r="Y496" s="106"/>
      <c r="Z496" s="106"/>
      <c r="AA496" s="106"/>
      <c r="AB496" s="106"/>
      <c r="AC496" s="106"/>
    </row>
    <row r="497" spans="1:29">
      <c r="A497" s="106"/>
      <c r="B497" s="106"/>
      <c r="C497" s="106"/>
      <c r="D497" s="106"/>
      <c r="E497" s="106"/>
      <c r="F497" s="106"/>
      <c r="G497" s="106"/>
      <c r="H497" s="106"/>
      <c r="I497" s="106"/>
      <c r="J497" s="106"/>
      <c r="K497" s="106"/>
      <c r="L497" s="106"/>
      <c r="M497" s="106"/>
      <c r="N497" s="106"/>
      <c r="O497" s="106"/>
      <c r="P497" s="106"/>
      <c r="Q497" s="106"/>
      <c r="R497" s="106"/>
      <c r="S497" s="106"/>
      <c r="T497" s="106"/>
      <c r="U497" s="106"/>
      <c r="V497" s="106"/>
      <c r="W497" s="106"/>
      <c r="X497" s="106"/>
      <c r="Y497" s="106"/>
      <c r="Z497" s="106"/>
      <c r="AA497" s="106"/>
      <c r="AB497" s="106"/>
      <c r="AC497" s="106"/>
    </row>
    <row r="498" spans="1:29">
      <c r="A498" s="106"/>
      <c r="B498" s="106"/>
      <c r="C498" s="106"/>
      <c r="D498" s="106"/>
      <c r="E498" s="106"/>
      <c r="F498" s="106"/>
      <c r="G498" s="106"/>
      <c r="H498" s="106"/>
      <c r="I498" s="106"/>
      <c r="J498" s="106"/>
      <c r="K498" s="106"/>
      <c r="L498" s="106"/>
      <c r="M498" s="106"/>
      <c r="N498" s="106"/>
      <c r="O498" s="106"/>
      <c r="P498" s="106"/>
      <c r="Q498" s="106"/>
      <c r="R498" s="106"/>
      <c r="S498" s="106"/>
      <c r="T498" s="106"/>
      <c r="U498" s="106"/>
      <c r="V498" s="106"/>
      <c r="W498" s="106"/>
      <c r="X498" s="106"/>
      <c r="Y498" s="106"/>
      <c r="Z498" s="106"/>
      <c r="AA498" s="106"/>
      <c r="AB498" s="106"/>
      <c r="AC498" s="106"/>
    </row>
    <row r="499" spans="1:29">
      <c r="A499" s="106"/>
      <c r="B499" s="106"/>
      <c r="C499" s="106"/>
      <c r="D499" s="106"/>
      <c r="E499" s="106"/>
      <c r="F499" s="106"/>
      <c r="G499" s="106"/>
      <c r="H499" s="106"/>
      <c r="I499" s="106"/>
      <c r="J499" s="106"/>
      <c r="K499" s="106"/>
      <c r="L499" s="106"/>
      <c r="M499" s="106"/>
      <c r="N499" s="106"/>
      <c r="O499" s="106"/>
      <c r="P499" s="106"/>
      <c r="Q499" s="106"/>
      <c r="R499" s="106"/>
      <c r="S499" s="106"/>
      <c r="T499" s="106"/>
      <c r="U499" s="106"/>
      <c r="V499" s="106"/>
      <c r="W499" s="106"/>
      <c r="X499" s="106"/>
      <c r="Y499" s="106"/>
      <c r="Z499" s="106"/>
      <c r="AA499" s="106"/>
      <c r="AB499" s="106"/>
      <c r="AC499" s="106"/>
    </row>
    <row r="500" spans="1:29">
      <c r="A500" s="106"/>
      <c r="B500" s="106"/>
      <c r="C500" s="106"/>
      <c r="D500" s="106"/>
      <c r="E500" s="106"/>
      <c r="F500" s="106"/>
      <c r="G500" s="106"/>
      <c r="H500" s="106"/>
      <c r="I500" s="106"/>
      <c r="J500" s="106"/>
      <c r="K500" s="106"/>
      <c r="L500" s="106"/>
      <c r="M500" s="106"/>
      <c r="N500" s="106"/>
      <c r="O500" s="106"/>
      <c r="P500" s="106"/>
      <c r="Q500" s="106"/>
      <c r="R500" s="106"/>
      <c r="S500" s="106"/>
      <c r="T500" s="106"/>
      <c r="U500" s="106"/>
      <c r="V500" s="106"/>
      <c r="W500" s="106"/>
      <c r="X500" s="106"/>
      <c r="Y500" s="106"/>
      <c r="Z500" s="106"/>
      <c r="AA500" s="106"/>
      <c r="AB500" s="106"/>
      <c r="AC500" s="106"/>
    </row>
    <row r="501" spans="1:29">
      <c r="A501" s="106"/>
      <c r="B501" s="106"/>
      <c r="C501" s="106"/>
      <c r="D501" s="106"/>
      <c r="E501" s="106"/>
      <c r="F501" s="106"/>
      <c r="G501" s="106"/>
      <c r="H501" s="106"/>
      <c r="I501" s="106"/>
      <c r="J501" s="106"/>
      <c r="K501" s="106"/>
      <c r="L501" s="106"/>
      <c r="M501" s="106"/>
      <c r="N501" s="106"/>
      <c r="O501" s="106"/>
      <c r="P501" s="106"/>
      <c r="Q501" s="106"/>
      <c r="R501" s="106"/>
      <c r="S501" s="106"/>
      <c r="T501" s="106"/>
      <c r="U501" s="106"/>
      <c r="V501" s="106"/>
      <c r="W501" s="106"/>
      <c r="X501" s="106"/>
      <c r="Y501" s="106"/>
      <c r="Z501" s="106"/>
      <c r="AA501" s="106"/>
      <c r="AB501" s="106"/>
      <c r="AC501" s="106"/>
    </row>
    <row r="502" spans="1:29">
      <c r="A502" s="106"/>
      <c r="B502" s="106"/>
      <c r="C502" s="106"/>
      <c r="D502" s="106"/>
      <c r="E502" s="106"/>
      <c r="F502" s="106"/>
      <c r="G502" s="106"/>
      <c r="H502" s="106"/>
      <c r="I502" s="106"/>
      <c r="J502" s="106"/>
      <c r="K502" s="106"/>
      <c r="L502" s="106"/>
      <c r="M502" s="106"/>
      <c r="N502" s="106"/>
      <c r="O502" s="106"/>
      <c r="P502" s="106"/>
      <c r="Q502" s="106"/>
      <c r="R502" s="106"/>
      <c r="S502" s="106"/>
      <c r="T502" s="106"/>
      <c r="U502" s="106"/>
      <c r="V502" s="106"/>
      <c r="W502" s="106"/>
      <c r="X502" s="106"/>
      <c r="Y502" s="106"/>
      <c r="Z502" s="106"/>
      <c r="AA502" s="106"/>
      <c r="AB502" s="106"/>
      <c r="AC502" s="106"/>
    </row>
    <row r="503" spans="1:29">
      <c r="A503" s="106"/>
      <c r="B503" s="106"/>
      <c r="C503" s="106"/>
      <c r="D503" s="106"/>
      <c r="E503" s="106"/>
      <c r="F503" s="106"/>
      <c r="G503" s="106"/>
      <c r="H503" s="106"/>
      <c r="I503" s="106"/>
      <c r="J503" s="106"/>
      <c r="K503" s="106"/>
      <c r="L503" s="106"/>
      <c r="M503" s="106"/>
      <c r="N503" s="106"/>
      <c r="O503" s="106"/>
      <c r="P503" s="106"/>
      <c r="Q503" s="106"/>
      <c r="R503" s="106"/>
      <c r="S503" s="106"/>
      <c r="T503" s="106"/>
      <c r="U503" s="106"/>
      <c r="V503" s="106"/>
      <c r="W503" s="106"/>
      <c r="X503" s="106"/>
      <c r="Y503" s="106"/>
      <c r="Z503" s="106"/>
      <c r="AA503" s="106"/>
      <c r="AB503" s="106"/>
      <c r="AC503" s="106"/>
    </row>
    <row r="504" spans="1:29">
      <c r="A504" s="106"/>
      <c r="B504" s="106"/>
      <c r="C504" s="106"/>
      <c r="D504" s="106"/>
      <c r="E504" s="106"/>
      <c r="F504" s="106"/>
      <c r="G504" s="106"/>
      <c r="H504" s="106"/>
      <c r="I504" s="106"/>
      <c r="J504" s="106"/>
      <c r="K504" s="106"/>
      <c r="L504" s="106"/>
      <c r="M504" s="106"/>
      <c r="N504" s="106"/>
      <c r="O504" s="106"/>
      <c r="P504" s="106"/>
      <c r="Q504" s="106"/>
      <c r="R504" s="106"/>
      <c r="S504" s="106"/>
      <c r="T504" s="106"/>
      <c r="U504" s="106"/>
      <c r="V504" s="106"/>
      <c r="W504" s="106"/>
      <c r="X504" s="106"/>
      <c r="Y504" s="106"/>
      <c r="Z504" s="106"/>
      <c r="AA504" s="106"/>
      <c r="AB504" s="106"/>
      <c r="AC504" s="106"/>
    </row>
    <row r="505" spans="1:29">
      <c r="A505" s="106"/>
      <c r="B505" s="106"/>
      <c r="C505" s="106"/>
      <c r="D505" s="106"/>
      <c r="E505" s="106"/>
      <c r="F505" s="106"/>
      <c r="G505" s="106"/>
      <c r="H505" s="106"/>
      <c r="I505" s="106"/>
      <c r="J505" s="106"/>
      <c r="K505" s="106"/>
      <c r="L505" s="106"/>
      <c r="M505" s="106"/>
      <c r="N505" s="106"/>
      <c r="O505" s="106"/>
      <c r="P505" s="106"/>
      <c r="Q505" s="106"/>
      <c r="R505" s="106"/>
      <c r="S505" s="106"/>
      <c r="T505" s="106"/>
      <c r="U505" s="106"/>
      <c r="V505" s="106"/>
      <c r="W505" s="106"/>
      <c r="X505" s="106"/>
      <c r="Y505" s="106"/>
      <c r="Z505" s="106"/>
      <c r="AA505" s="106"/>
      <c r="AB505" s="106"/>
      <c r="AC505" s="106"/>
    </row>
    <row r="506" spans="1:29">
      <c r="A506" s="106"/>
      <c r="B506" s="106"/>
      <c r="C506" s="106"/>
      <c r="D506" s="106"/>
      <c r="E506" s="106"/>
      <c r="F506" s="106"/>
      <c r="G506" s="106"/>
      <c r="H506" s="106"/>
      <c r="I506" s="106"/>
      <c r="J506" s="106"/>
      <c r="K506" s="106"/>
      <c r="L506" s="106"/>
      <c r="M506" s="106"/>
      <c r="N506" s="106"/>
      <c r="O506" s="106"/>
      <c r="P506" s="106"/>
      <c r="Q506" s="106"/>
      <c r="R506" s="106"/>
      <c r="S506" s="106"/>
      <c r="T506" s="106"/>
      <c r="U506" s="106"/>
      <c r="V506" s="106"/>
      <c r="W506" s="106"/>
      <c r="X506" s="106"/>
      <c r="Y506" s="106"/>
      <c r="Z506" s="106"/>
      <c r="AA506" s="106"/>
      <c r="AB506" s="106"/>
      <c r="AC506" s="106"/>
    </row>
    <row r="507" spans="1:29">
      <c r="A507" s="106"/>
      <c r="B507" s="106"/>
      <c r="C507" s="106"/>
      <c r="D507" s="106"/>
      <c r="E507" s="106"/>
      <c r="F507" s="106"/>
      <c r="G507" s="106"/>
      <c r="H507" s="106"/>
      <c r="I507" s="106"/>
      <c r="J507" s="106"/>
      <c r="K507" s="106"/>
      <c r="L507" s="106"/>
      <c r="M507" s="106"/>
      <c r="N507" s="106"/>
      <c r="O507" s="106"/>
      <c r="P507" s="106"/>
      <c r="Q507" s="106"/>
      <c r="R507" s="106"/>
      <c r="S507" s="106"/>
      <c r="T507" s="106"/>
      <c r="U507" s="106"/>
      <c r="V507" s="106"/>
      <c r="W507" s="106"/>
      <c r="X507" s="106"/>
      <c r="Y507" s="106"/>
      <c r="Z507" s="106"/>
      <c r="AA507" s="106"/>
      <c r="AB507" s="106"/>
      <c r="AC507" s="106"/>
    </row>
    <row r="508" spans="1:29">
      <c r="A508" s="106"/>
      <c r="B508" s="106"/>
      <c r="C508" s="106"/>
      <c r="D508" s="106"/>
      <c r="E508" s="106"/>
      <c r="F508" s="106"/>
      <c r="G508" s="106"/>
      <c r="H508" s="106"/>
      <c r="I508" s="106"/>
      <c r="J508" s="106"/>
      <c r="K508" s="106"/>
      <c r="L508" s="106"/>
      <c r="M508" s="106"/>
      <c r="N508" s="106"/>
      <c r="O508" s="106"/>
      <c r="P508" s="106"/>
      <c r="Q508" s="106"/>
      <c r="R508" s="106"/>
      <c r="S508" s="106"/>
      <c r="T508" s="106"/>
      <c r="U508" s="106"/>
      <c r="V508" s="106"/>
      <c r="W508" s="106"/>
      <c r="X508" s="106"/>
      <c r="Y508" s="106"/>
      <c r="Z508" s="106"/>
      <c r="AA508" s="106"/>
      <c r="AB508" s="106"/>
      <c r="AC508" s="106"/>
    </row>
    <row r="509" spans="1:29">
      <c r="A509" s="106"/>
      <c r="B509" s="106"/>
      <c r="C509" s="106"/>
      <c r="D509" s="106"/>
      <c r="E509" s="106"/>
      <c r="F509" s="106"/>
      <c r="G509" s="106"/>
      <c r="H509" s="106"/>
      <c r="I509" s="106"/>
      <c r="J509" s="106"/>
      <c r="K509" s="106"/>
      <c r="L509" s="106"/>
      <c r="M509" s="106"/>
      <c r="N509" s="106"/>
      <c r="O509" s="106"/>
      <c r="P509" s="106"/>
      <c r="Q509" s="106"/>
      <c r="R509" s="106"/>
      <c r="S509" s="106"/>
      <c r="T509" s="106"/>
      <c r="U509" s="106"/>
      <c r="V509" s="106"/>
      <c r="W509" s="106"/>
      <c r="X509" s="106"/>
      <c r="Y509" s="106"/>
      <c r="Z509" s="106"/>
      <c r="AA509" s="106"/>
      <c r="AB509" s="106"/>
      <c r="AC509" s="106"/>
    </row>
    <row r="510" spans="1:29">
      <c r="A510" s="106"/>
      <c r="B510" s="106"/>
      <c r="C510" s="106"/>
      <c r="D510" s="106"/>
      <c r="E510" s="106"/>
      <c r="F510" s="106"/>
      <c r="G510" s="106"/>
      <c r="H510" s="106"/>
      <c r="I510" s="106"/>
      <c r="J510" s="106"/>
      <c r="K510" s="106"/>
      <c r="L510" s="106"/>
      <c r="M510" s="106"/>
      <c r="N510" s="106"/>
      <c r="O510" s="106"/>
      <c r="P510" s="106"/>
      <c r="Q510" s="106"/>
      <c r="R510" s="106"/>
      <c r="S510" s="106"/>
      <c r="T510" s="106"/>
      <c r="U510" s="106"/>
      <c r="V510" s="106"/>
      <c r="W510" s="106"/>
      <c r="X510" s="106"/>
      <c r="Y510" s="106"/>
      <c r="Z510" s="106"/>
      <c r="AA510" s="106"/>
      <c r="AB510" s="106"/>
      <c r="AC510" s="106"/>
    </row>
    <row r="511" spans="1:29">
      <c r="A511" s="106"/>
      <c r="B511" s="106"/>
      <c r="C511" s="106"/>
      <c r="D511" s="106"/>
      <c r="E511" s="106"/>
      <c r="F511" s="106"/>
      <c r="G511" s="106"/>
      <c r="H511" s="106"/>
      <c r="I511" s="106"/>
      <c r="J511" s="106"/>
      <c r="K511" s="106"/>
      <c r="L511" s="106"/>
      <c r="M511" s="106"/>
      <c r="N511" s="106"/>
      <c r="O511" s="106"/>
      <c r="P511" s="106"/>
      <c r="Q511" s="106"/>
      <c r="R511" s="106"/>
      <c r="S511" s="106"/>
      <c r="T511" s="106"/>
      <c r="U511" s="106"/>
      <c r="V511" s="106"/>
      <c r="W511" s="106"/>
      <c r="X511" s="106"/>
      <c r="Y511" s="106"/>
      <c r="Z511" s="106"/>
      <c r="AA511" s="106"/>
      <c r="AB511" s="106"/>
      <c r="AC511" s="106"/>
    </row>
    <row r="512" spans="1:29">
      <c r="A512" s="106"/>
      <c r="B512" s="106"/>
      <c r="C512" s="106"/>
      <c r="D512" s="106"/>
      <c r="E512" s="106"/>
      <c r="F512" s="106"/>
      <c r="G512" s="106"/>
      <c r="H512" s="106"/>
      <c r="I512" s="106"/>
      <c r="J512" s="106"/>
      <c r="K512" s="106"/>
      <c r="L512" s="106"/>
      <c r="M512" s="106"/>
      <c r="N512" s="106"/>
      <c r="O512" s="106"/>
      <c r="P512" s="106"/>
      <c r="Q512" s="106"/>
      <c r="R512" s="106"/>
      <c r="S512" s="106"/>
      <c r="T512" s="106"/>
      <c r="U512" s="106"/>
      <c r="V512" s="106"/>
      <c r="W512" s="106"/>
      <c r="X512" s="106"/>
      <c r="Y512" s="106"/>
      <c r="Z512" s="106"/>
      <c r="AA512" s="106"/>
      <c r="AB512" s="106"/>
      <c r="AC512" s="106"/>
    </row>
    <row r="513" spans="1:29">
      <c r="A513" s="106"/>
      <c r="B513" s="106"/>
      <c r="C513" s="106"/>
      <c r="D513" s="106"/>
      <c r="E513" s="106"/>
      <c r="F513" s="106"/>
      <c r="G513" s="106"/>
      <c r="H513" s="106"/>
      <c r="I513" s="106"/>
      <c r="J513" s="106"/>
      <c r="K513" s="106"/>
      <c r="L513" s="106"/>
      <c r="M513" s="106"/>
      <c r="N513" s="106"/>
      <c r="O513" s="106"/>
      <c r="P513" s="106"/>
      <c r="Q513" s="106"/>
      <c r="R513" s="106"/>
      <c r="S513" s="106"/>
      <c r="T513" s="106"/>
      <c r="U513" s="106"/>
      <c r="V513" s="106"/>
      <c r="W513" s="106"/>
      <c r="X513" s="106"/>
      <c r="Y513" s="106"/>
      <c r="Z513" s="106"/>
      <c r="AA513" s="106"/>
      <c r="AB513" s="106"/>
      <c r="AC513" s="106"/>
    </row>
    <row r="514" spans="1:29">
      <c r="A514" s="106"/>
      <c r="B514" s="106"/>
      <c r="C514" s="106"/>
      <c r="D514" s="106"/>
      <c r="E514" s="106"/>
      <c r="F514" s="106"/>
      <c r="G514" s="106"/>
      <c r="H514" s="106"/>
      <c r="I514" s="106"/>
      <c r="J514" s="106"/>
      <c r="K514" s="106"/>
      <c r="L514" s="106"/>
      <c r="M514" s="106"/>
      <c r="N514" s="106"/>
      <c r="O514" s="106"/>
      <c r="P514" s="106"/>
      <c r="Q514" s="106"/>
      <c r="R514" s="106"/>
      <c r="S514" s="106"/>
      <c r="T514" s="106"/>
      <c r="U514" s="106"/>
      <c r="V514" s="106"/>
      <c r="W514" s="106"/>
      <c r="X514" s="106"/>
      <c r="Y514" s="106"/>
      <c r="Z514" s="106"/>
      <c r="AA514" s="106"/>
      <c r="AB514" s="106"/>
      <c r="AC514" s="106"/>
    </row>
    <row r="515" spans="1:29">
      <c r="A515" s="106"/>
      <c r="B515" s="106"/>
      <c r="C515" s="106"/>
      <c r="D515" s="106"/>
      <c r="E515" s="106"/>
      <c r="F515" s="106"/>
      <c r="G515" s="106"/>
      <c r="H515" s="106"/>
      <c r="I515" s="106"/>
      <c r="J515" s="106"/>
      <c r="K515" s="106"/>
      <c r="L515" s="106"/>
      <c r="M515" s="106"/>
      <c r="N515" s="106"/>
      <c r="O515" s="106"/>
      <c r="P515" s="106"/>
      <c r="Q515" s="106"/>
      <c r="R515" s="106"/>
      <c r="S515" s="106"/>
      <c r="T515" s="106"/>
      <c r="U515" s="106"/>
      <c r="V515" s="106"/>
      <c r="W515" s="106"/>
      <c r="X515" s="106"/>
      <c r="Y515" s="106"/>
      <c r="Z515" s="106"/>
      <c r="AA515" s="106"/>
      <c r="AB515" s="106"/>
      <c r="AC515" s="106"/>
    </row>
    <row r="516" spans="1:29">
      <c r="A516" s="106"/>
      <c r="B516" s="106"/>
      <c r="C516" s="106"/>
      <c r="D516" s="106"/>
      <c r="E516" s="106"/>
      <c r="F516" s="106"/>
      <c r="G516" s="106"/>
      <c r="H516" s="106"/>
      <c r="I516" s="106"/>
      <c r="J516" s="106"/>
      <c r="K516" s="106"/>
      <c r="L516" s="106"/>
      <c r="M516" s="106"/>
      <c r="N516" s="106"/>
      <c r="O516" s="106"/>
      <c r="P516" s="106"/>
      <c r="Q516" s="106"/>
      <c r="R516" s="106"/>
      <c r="S516" s="106"/>
      <c r="T516" s="106"/>
      <c r="U516" s="106"/>
      <c r="V516" s="106"/>
      <c r="W516" s="106"/>
      <c r="X516" s="106"/>
      <c r="Y516" s="106"/>
      <c r="Z516" s="106"/>
      <c r="AA516" s="106"/>
      <c r="AB516" s="106"/>
      <c r="AC516" s="106"/>
    </row>
    <row r="517" spans="1:29">
      <c r="A517" s="106"/>
      <c r="B517" s="106"/>
      <c r="C517" s="106"/>
      <c r="D517" s="106"/>
      <c r="E517" s="106"/>
      <c r="F517" s="106"/>
      <c r="G517" s="106"/>
      <c r="H517" s="106"/>
      <c r="I517" s="106"/>
      <c r="J517" s="106"/>
      <c r="K517" s="106"/>
      <c r="L517" s="106"/>
      <c r="M517" s="106"/>
      <c r="N517" s="106"/>
      <c r="O517" s="106"/>
      <c r="P517" s="106"/>
      <c r="Q517" s="106"/>
      <c r="R517" s="106"/>
      <c r="S517" s="106"/>
      <c r="T517" s="106"/>
      <c r="U517" s="106"/>
      <c r="V517" s="106"/>
      <c r="W517" s="106"/>
      <c r="X517" s="106"/>
      <c r="Y517" s="106"/>
      <c r="Z517" s="106"/>
      <c r="AA517" s="106"/>
      <c r="AB517" s="106"/>
      <c r="AC517" s="106"/>
    </row>
    <row r="518" spans="1:29">
      <c r="A518" s="106"/>
      <c r="B518" s="106"/>
      <c r="C518" s="106"/>
      <c r="D518" s="106"/>
      <c r="E518" s="106"/>
      <c r="F518" s="106"/>
      <c r="G518" s="106"/>
      <c r="H518" s="106"/>
      <c r="I518" s="106"/>
      <c r="J518" s="106"/>
      <c r="K518" s="106"/>
      <c r="L518" s="106"/>
      <c r="M518" s="106"/>
      <c r="N518" s="106"/>
      <c r="O518" s="106"/>
      <c r="P518" s="106"/>
      <c r="Q518" s="106"/>
      <c r="R518" s="106"/>
      <c r="S518" s="106"/>
      <c r="T518" s="106"/>
      <c r="U518" s="106"/>
      <c r="V518" s="106"/>
      <c r="W518" s="106"/>
      <c r="X518" s="106"/>
      <c r="Y518" s="106"/>
      <c r="Z518" s="106"/>
      <c r="AA518" s="106"/>
      <c r="AB518" s="106"/>
      <c r="AC518" s="106"/>
    </row>
    <row r="519" spans="1:29">
      <c r="A519" s="106"/>
      <c r="B519" s="106"/>
      <c r="C519" s="106"/>
      <c r="D519" s="106"/>
      <c r="E519" s="106"/>
      <c r="F519" s="106"/>
      <c r="G519" s="106"/>
      <c r="H519" s="106"/>
      <c r="I519" s="106"/>
      <c r="J519" s="106"/>
      <c r="K519" s="106"/>
      <c r="L519" s="106"/>
      <c r="M519" s="106"/>
      <c r="N519" s="106"/>
      <c r="O519" s="106"/>
      <c r="P519" s="106"/>
      <c r="Q519" s="106"/>
      <c r="R519" s="106"/>
      <c r="S519" s="106"/>
      <c r="T519" s="106"/>
      <c r="U519" s="106"/>
      <c r="V519" s="106"/>
      <c r="W519" s="106"/>
      <c r="X519" s="106"/>
      <c r="Y519" s="106"/>
      <c r="Z519" s="106"/>
      <c r="AA519" s="106"/>
      <c r="AB519" s="106"/>
      <c r="AC519" s="106"/>
    </row>
    <row r="520" spans="1:29">
      <c r="A520" s="106"/>
      <c r="B520" s="106"/>
      <c r="C520" s="106"/>
      <c r="D520" s="106"/>
      <c r="E520" s="106"/>
      <c r="F520" s="106"/>
      <c r="G520" s="106"/>
      <c r="H520" s="106"/>
      <c r="I520" s="106"/>
      <c r="J520" s="106"/>
      <c r="K520" s="106"/>
      <c r="L520" s="106"/>
      <c r="M520" s="106"/>
      <c r="N520" s="106"/>
      <c r="O520" s="106"/>
      <c r="P520" s="106"/>
      <c r="Q520" s="106"/>
      <c r="R520" s="106"/>
      <c r="S520" s="106"/>
      <c r="T520" s="106"/>
      <c r="U520" s="106"/>
      <c r="V520" s="106"/>
      <c r="W520" s="106"/>
      <c r="X520" s="106"/>
      <c r="Y520" s="106"/>
      <c r="Z520" s="106"/>
      <c r="AA520" s="106"/>
      <c r="AB520" s="106"/>
      <c r="AC520" s="106"/>
    </row>
    <row r="521" spans="1:29">
      <c r="A521" s="106"/>
      <c r="B521" s="106"/>
      <c r="C521" s="106"/>
      <c r="D521" s="106"/>
      <c r="E521" s="106"/>
      <c r="F521" s="106"/>
      <c r="G521" s="106"/>
      <c r="H521" s="106"/>
      <c r="I521" s="106"/>
      <c r="J521" s="106"/>
      <c r="K521" s="106"/>
      <c r="L521" s="106"/>
      <c r="M521" s="106"/>
      <c r="N521" s="106"/>
      <c r="O521" s="106"/>
      <c r="P521" s="106"/>
      <c r="Q521" s="106"/>
      <c r="R521" s="106"/>
      <c r="S521" s="106"/>
      <c r="T521" s="106"/>
      <c r="U521" s="106"/>
      <c r="V521" s="106"/>
      <c r="W521" s="106"/>
      <c r="X521" s="106"/>
      <c r="Y521" s="106"/>
      <c r="Z521" s="106"/>
      <c r="AA521" s="106"/>
      <c r="AB521" s="106"/>
      <c r="AC521" s="106"/>
    </row>
    <row r="522" spans="1:29">
      <c r="A522" s="106"/>
      <c r="B522" s="106"/>
      <c r="C522" s="106"/>
      <c r="D522" s="106"/>
      <c r="E522" s="106"/>
      <c r="F522" s="106"/>
      <c r="G522" s="106"/>
      <c r="H522" s="106"/>
      <c r="I522" s="106"/>
      <c r="J522" s="106"/>
      <c r="K522" s="106"/>
      <c r="L522" s="106"/>
      <c r="M522" s="106"/>
      <c r="N522" s="106"/>
      <c r="O522" s="106"/>
      <c r="P522" s="106"/>
      <c r="Q522" s="106"/>
      <c r="R522" s="106"/>
      <c r="S522" s="106"/>
      <c r="T522" s="106"/>
      <c r="U522" s="106"/>
      <c r="V522" s="106"/>
      <c r="W522" s="106"/>
      <c r="X522" s="106"/>
      <c r="Y522" s="106"/>
      <c r="Z522" s="106"/>
      <c r="AA522" s="106"/>
      <c r="AB522" s="106"/>
      <c r="AC522" s="106"/>
    </row>
    <row r="523" spans="1:29">
      <c r="A523" s="106"/>
      <c r="B523" s="106"/>
      <c r="C523" s="106"/>
      <c r="D523" s="106"/>
      <c r="E523" s="106"/>
      <c r="F523" s="106"/>
      <c r="G523" s="106"/>
      <c r="H523" s="106"/>
      <c r="I523" s="106"/>
      <c r="J523" s="106"/>
      <c r="K523" s="106"/>
      <c r="L523" s="106"/>
      <c r="M523" s="106"/>
      <c r="N523" s="106"/>
      <c r="O523" s="106"/>
      <c r="P523" s="106"/>
      <c r="Q523" s="106"/>
      <c r="R523" s="106"/>
      <c r="S523" s="106"/>
      <c r="T523" s="106"/>
      <c r="U523" s="106"/>
      <c r="V523" s="106"/>
      <c r="W523" s="106"/>
      <c r="X523" s="106"/>
      <c r="Y523" s="106"/>
      <c r="Z523" s="106"/>
      <c r="AA523" s="106"/>
      <c r="AB523" s="106"/>
      <c r="AC523" s="106"/>
    </row>
    <row r="524" spans="1:29">
      <c r="A524" s="106"/>
      <c r="B524" s="106"/>
      <c r="C524" s="106"/>
      <c r="D524" s="106"/>
      <c r="E524" s="106"/>
      <c r="F524" s="106"/>
      <c r="G524" s="106"/>
      <c r="H524" s="106"/>
      <c r="I524" s="106"/>
      <c r="J524" s="106"/>
      <c r="K524" s="106"/>
      <c r="L524" s="106"/>
      <c r="M524" s="106"/>
      <c r="N524" s="106"/>
      <c r="O524" s="106"/>
      <c r="P524" s="106"/>
      <c r="Q524" s="106"/>
      <c r="R524" s="106"/>
      <c r="S524" s="106"/>
      <c r="T524" s="106"/>
      <c r="U524" s="106"/>
      <c r="V524" s="106"/>
      <c r="W524" s="106"/>
      <c r="X524" s="106"/>
      <c r="Y524" s="106"/>
      <c r="Z524" s="106"/>
      <c r="AA524" s="106"/>
      <c r="AB524" s="106"/>
      <c r="AC524" s="106"/>
    </row>
    <row r="525" spans="1:29">
      <c r="A525" s="106"/>
      <c r="B525" s="106"/>
      <c r="C525" s="106"/>
      <c r="D525" s="106"/>
      <c r="E525" s="106"/>
      <c r="F525" s="106"/>
      <c r="G525" s="106"/>
      <c r="H525" s="106"/>
      <c r="I525" s="106"/>
      <c r="J525" s="106"/>
      <c r="K525" s="106"/>
      <c r="L525" s="106"/>
      <c r="M525" s="106"/>
      <c r="N525" s="106"/>
      <c r="O525" s="106"/>
      <c r="P525" s="106"/>
      <c r="Q525" s="106"/>
      <c r="R525" s="106"/>
      <c r="S525" s="106"/>
      <c r="T525" s="106"/>
      <c r="U525" s="106"/>
      <c r="V525" s="106"/>
      <c r="W525" s="106"/>
      <c r="X525" s="106"/>
      <c r="Y525" s="106"/>
      <c r="Z525" s="106"/>
      <c r="AA525" s="106"/>
      <c r="AB525" s="106"/>
      <c r="AC525" s="106"/>
    </row>
    <row r="526" spans="1:29">
      <c r="A526" s="106"/>
      <c r="B526" s="106"/>
      <c r="C526" s="106"/>
      <c r="D526" s="106"/>
      <c r="E526" s="106"/>
      <c r="F526" s="106"/>
      <c r="G526" s="106"/>
      <c r="H526" s="106"/>
      <c r="I526" s="106"/>
      <c r="J526" s="106"/>
      <c r="K526" s="106"/>
      <c r="L526" s="106"/>
      <c r="M526" s="106"/>
      <c r="N526" s="106"/>
      <c r="O526" s="106"/>
      <c r="P526" s="106"/>
      <c r="Q526" s="106"/>
      <c r="R526" s="106"/>
      <c r="S526" s="106"/>
      <c r="T526" s="106"/>
      <c r="U526" s="106"/>
      <c r="V526" s="106"/>
      <c r="W526" s="106"/>
      <c r="X526" s="106"/>
      <c r="Y526" s="106"/>
      <c r="Z526" s="106"/>
      <c r="AA526" s="106"/>
      <c r="AB526" s="106"/>
      <c r="AC526" s="106"/>
    </row>
    <row r="527" spans="1:29">
      <c r="A527" s="106"/>
      <c r="B527" s="106"/>
      <c r="C527" s="106"/>
      <c r="D527" s="106"/>
      <c r="E527" s="106"/>
      <c r="F527" s="106"/>
      <c r="G527" s="106"/>
      <c r="H527" s="106"/>
      <c r="I527" s="106"/>
      <c r="J527" s="106"/>
      <c r="K527" s="106"/>
      <c r="L527" s="106"/>
      <c r="M527" s="106"/>
      <c r="N527" s="106"/>
      <c r="O527" s="106"/>
      <c r="P527" s="106"/>
      <c r="Q527" s="106"/>
      <c r="R527" s="106"/>
      <c r="S527" s="106"/>
      <c r="T527" s="106"/>
      <c r="U527" s="106"/>
      <c r="V527" s="106"/>
      <c r="W527" s="106"/>
      <c r="X527" s="106"/>
      <c r="Y527" s="106"/>
      <c r="Z527" s="106"/>
      <c r="AA527" s="106"/>
      <c r="AB527" s="106"/>
      <c r="AC527" s="106"/>
    </row>
    <row r="528" spans="1:29">
      <c r="A528" s="106"/>
      <c r="B528" s="106"/>
      <c r="C528" s="106"/>
      <c r="D528" s="106"/>
      <c r="E528" s="106"/>
      <c r="F528" s="106"/>
      <c r="G528" s="106"/>
      <c r="H528" s="106"/>
      <c r="I528" s="106"/>
      <c r="J528" s="106"/>
      <c r="K528" s="106"/>
      <c r="L528" s="106"/>
      <c r="M528" s="106"/>
      <c r="N528" s="106"/>
      <c r="O528" s="106"/>
      <c r="P528" s="106"/>
      <c r="Q528" s="106"/>
      <c r="R528" s="106"/>
      <c r="S528" s="106"/>
      <c r="T528" s="106"/>
      <c r="U528" s="106"/>
      <c r="V528" s="106"/>
      <c r="W528" s="106"/>
      <c r="X528" s="106"/>
      <c r="Y528" s="106"/>
      <c r="Z528" s="106"/>
      <c r="AA528" s="106"/>
      <c r="AB528" s="106"/>
      <c r="AC528" s="106"/>
    </row>
    <row r="529" spans="1:29">
      <c r="A529" s="106"/>
      <c r="B529" s="106"/>
      <c r="C529" s="106"/>
      <c r="D529" s="106"/>
      <c r="E529" s="106"/>
      <c r="F529" s="106"/>
      <c r="G529" s="106"/>
      <c r="H529" s="106"/>
      <c r="I529" s="106"/>
      <c r="J529" s="106"/>
      <c r="K529" s="106"/>
      <c r="L529" s="106"/>
      <c r="M529" s="106"/>
      <c r="N529" s="106"/>
      <c r="O529" s="106"/>
      <c r="P529" s="106"/>
      <c r="Q529" s="106"/>
      <c r="R529" s="106"/>
      <c r="S529" s="106"/>
      <c r="T529" s="106"/>
      <c r="U529" s="106"/>
      <c r="V529" s="106"/>
      <c r="W529" s="106"/>
      <c r="X529" s="106"/>
      <c r="Y529" s="106"/>
      <c r="Z529" s="106"/>
      <c r="AA529" s="106"/>
      <c r="AB529" s="106"/>
      <c r="AC529" s="106"/>
    </row>
    <row r="530" spans="1:29">
      <c r="A530" s="106"/>
      <c r="B530" s="106"/>
      <c r="C530" s="106"/>
      <c r="D530" s="106"/>
      <c r="E530" s="106"/>
      <c r="F530" s="106"/>
      <c r="G530" s="106"/>
      <c r="H530" s="106"/>
      <c r="I530" s="106"/>
      <c r="J530" s="106"/>
      <c r="K530" s="106"/>
      <c r="L530" s="106"/>
      <c r="M530" s="106"/>
      <c r="N530" s="106"/>
      <c r="O530" s="106"/>
      <c r="P530" s="106"/>
      <c r="Q530" s="106"/>
      <c r="R530" s="106"/>
      <c r="S530" s="106"/>
      <c r="T530" s="106"/>
      <c r="U530" s="106"/>
      <c r="V530" s="106"/>
      <c r="W530" s="106"/>
      <c r="X530" s="106"/>
      <c r="Y530" s="106"/>
      <c r="Z530" s="106"/>
      <c r="AA530" s="106"/>
      <c r="AB530" s="106"/>
      <c r="AC530" s="106"/>
    </row>
    <row r="531" spans="1:29">
      <c r="A531" s="106"/>
      <c r="B531" s="106"/>
      <c r="C531" s="106"/>
      <c r="D531" s="106"/>
      <c r="E531" s="106"/>
      <c r="F531" s="106"/>
      <c r="G531" s="106"/>
      <c r="H531" s="106"/>
      <c r="I531" s="106"/>
      <c r="J531" s="106"/>
      <c r="K531" s="106"/>
      <c r="L531" s="106"/>
      <c r="M531" s="106"/>
      <c r="N531" s="106"/>
      <c r="O531" s="106"/>
      <c r="P531" s="106"/>
      <c r="Q531" s="106"/>
      <c r="R531" s="106"/>
      <c r="S531" s="106"/>
      <c r="T531" s="106"/>
      <c r="U531" s="106"/>
      <c r="V531" s="106"/>
      <c r="W531" s="106"/>
      <c r="X531" s="106"/>
      <c r="Y531" s="106"/>
      <c r="Z531" s="106"/>
      <c r="AA531" s="106"/>
      <c r="AB531" s="106"/>
      <c r="AC531" s="106"/>
    </row>
    <row r="532" spans="1:29">
      <c r="A532" s="106"/>
      <c r="B532" s="106"/>
      <c r="C532" s="106"/>
      <c r="D532" s="106"/>
      <c r="E532" s="106"/>
      <c r="F532" s="106"/>
      <c r="G532" s="106"/>
      <c r="H532" s="106"/>
      <c r="I532" s="106"/>
      <c r="J532" s="106"/>
      <c r="K532" s="106"/>
      <c r="L532" s="106"/>
      <c r="M532" s="106"/>
      <c r="N532" s="106"/>
      <c r="O532" s="106"/>
      <c r="P532" s="106"/>
      <c r="Q532" s="106"/>
      <c r="R532" s="106"/>
      <c r="S532" s="106"/>
      <c r="T532" s="106"/>
      <c r="U532" s="106"/>
      <c r="V532" s="106"/>
      <c r="W532" s="106"/>
      <c r="X532" s="106"/>
      <c r="Y532" s="106"/>
      <c r="Z532" s="106"/>
      <c r="AA532" s="106"/>
      <c r="AB532" s="106"/>
      <c r="AC532" s="106"/>
    </row>
    <row r="533" spans="1:29">
      <c r="A533" s="106"/>
      <c r="B533" s="106"/>
      <c r="C533" s="106"/>
      <c r="D533" s="106"/>
      <c r="E533" s="106"/>
      <c r="F533" s="106"/>
      <c r="G533" s="106"/>
      <c r="H533" s="106"/>
      <c r="I533" s="106"/>
      <c r="J533" s="106"/>
      <c r="K533" s="106"/>
      <c r="L533" s="106"/>
      <c r="M533" s="106"/>
      <c r="N533" s="106"/>
      <c r="O533" s="106"/>
      <c r="P533" s="106"/>
      <c r="Q533" s="106"/>
      <c r="R533" s="106"/>
      <c r="S533" s="106"/>
      <c r="T533" s="106"/>
      <c r="U533" s="106"/>
      <c r="V533" s="106"/>
      <c r="W533" s="106"/>
      <c r="X533" s="106"/>
      <c r="Y533" s="106"/>
      <c r="Z533" s="106"/>
      <c r="AA533" s="106"/>
      <c r="AB533" s="106"/>
      <c r="AC533" s="106"/>
    </row>
    <row r="534" spans="1:29">
      <c r="A534" s="106"/>
      <c r="B534" s="106"/>
      <c r="C534" s="106"/>
      <c r="D534" s="106"/>
      <c r="E534" s="106"/>
      <c r="F534" s="106"/>
      <c r="G534" s="106"/>
      <c r="H534" s="106"/>
      <c r="I534" s="106"/>
      <c r="J534" s="106"/>
      <c r="K534" s="106"/>
      <c r="L534" s="106"/>
      <c r="M534" s="106"/>
      <c r="N534" s="106"/>
      <c r="O534" s="106"/>
      <c r="P534" s="106"/>
      <c r="Q534" s="106"/>
      <c r="R534" s="106"/>
      <c r="S534" s="106"/>
      <c r="T534" s="106"/>
      <c r="U534" s="106"/>
      <c r="V534" s="106"/>
      <c r="W534" s="106"/>
      <c r="X534" s="106"/>
      <c r="Y534" s="106"/>
      <c r="Z534" s="106"/>
      <c r="AA534" s="106"/>
      <c r="AB534" s="106"/>
      <c r="AC534" s="106"/>
    </row>
    <row r="535" spans="1:29">
      <c r="A535" s="106"/>
      <c r="B535" s="106"/>
      <c r="C535" s="106"/>
      <c r="D535" s="106"/>
      <c r="E535" s="106"/>
      <c r="F535" s="106"/>
      <c r="G535" s="106"/>
      <c r="H535" s="106"/>
      <c r="I535" s="106"/>
      <c r="J535" s="106"/>
      <c r="K535" s="106"/>
      <c r="L535" s="106"/>
      <c r="M535" s="106"/>
      <c r="N535" s="106"/>
      <c r="O535" s="106"/>
      <c r="P535" s="106"/>
      <c r="Q535" s="106"/>
      <c r="R535" s="106"/>
      <c r="S535" s="106"/>
      <c r="T535" s="106"/>
      <c r="U535" s="106"/>
      <c r="V535" s="106"/>
      <c r="W535" s="106"/>
      <c r="X535" s="106"/>
      <c r="Y535" s="106"/>
      <c r="Z535" s="106"/>
      <c r="AA535" s="106"/>
      <c r="AB535" s="106"/>
      <c r="AC535" s="106"/>
    </row>
    <row r="536" spans="1:29">
      <c r="A536" s="106"/>
      <c r="B536" s="106"/>
      <c r="C536" s="106"/>
      <c r="D536" s="106"/>
      <c r="E536" s="106"/>
      <c r="F536" s="106"/>
      <c r="G536" s="106"/>
      <c r="H536" s="106"/>
      <c r="I536" s="106"/>
      <c r="J536" s="106"/>
      <c r="K536" s="106"/>
      <c r="L536" s="106"/>
      <c r="M536" s="106"/>
      <c r="N536" s="106"/>
      <c r="O536" s="106"/>
      <c r="P536" s="106"/>
      <c r="Q536" s="106"/>
      <c r="R536" s="106"/>
      <c r="S536" s="106"/>
      <c r="T536" s="106"/>
      <c r="U536" s="106"/>
      <c r="V536" s="106"/>
      <c r="W536" s="106"/>
      <c r="X536" s="106"/>
      <c r="Y536" s="106"/>
      <c r="Z536" s="106"/>
      <c r="AA536" s="106"/>
      <c r="AB536" s="106"/>
      <c r="AC536" s="106"/>
    </row>
    <row r="537" spans="1:29">
      <c r="A537" s="106"/>
      <c r="B537" s="106"/>
      <c r="C537" s="106"/>
      <c r="D537" s="106"/>
      <c r="E537" s="106"/>
      <c r="F537" s="106"/>
      <c r="G537" s="106"/>
      <c r="H537" s="106"/>
      <c r="I537" s="106"/>
      <c r="J537" s="106"/>
      <c r="K537" s="106"/>
      <c r="L537" s="106"/>
      <c r="M537" s="106"/>
      <c r="N537" s="106"/>
      <c r="O537" s="106"/>
      <c r="P537" s="106"/>
      <c r="Q537" s="106"/>
      <c r="R537" s="106"/>
      <c r="S537" s="106"/>
      <c r="T537" s="106"/>
      <c r="U537" s="106"/>
      <c r="V537" s="106"/>
      <c r="W537" s="106"/>
      <c r="X537" s="106"/>
      <c r="Y537" s="106"/>
      <c r="Z537" s="106"/>
      <c r="AA537" s="106"/>
      <c r="AB537" s="106"/>
      <c r="AC537" s="106"/>
    </row>
    <row r="538" spans="1:29">
      <c r="A538" s="106"/>
      <c r="B538" s="106"/>
      <c r="C538" s="106"/>
      <c r="D538" s="106"/>
      <c r="E538" s="106"/>
      <c r="F538" s="106"/>
      <c r="G538" s="106"/>
      <c r="H538" s="106"/>
      <c r="I538" s="106"/>
      <c r="J538" s="106"/>
      <c r="K538" s="106"/>
      <c r="L538" s="106"/>
      <c r="M538" s="106"/>
      <c r="N538" s="106"/>
      <c r="O538" s="106"/>
      <c r="P538" s="106"/>
      <c r="Q538" s="106"/>
      <c r="R538" s="106"/>
      <c r="S538" s="106"/>
      <c r="T538" s="106"/>
      <c r="U538" s="106"/>
      <c r="V538" s="106"/>
      <c r="W538" s="106"/>
      <c r="X538" s="106"/>
      <c r="Y538" s="106"/>
      <c r="Z538" s="106"/>
      <c r="AA538" s="106"/>
      <c r="AB538" s="106"/>
      <c r="AC538" s="106"/>
    </row>
    <row r="539" spans="1:29">
      <c r="A539" s="106"/>
      <c r="B539" s="106"/>
      <c r="C539" s="106"/>
      <c r="D539" s="106"/>
      <c r="E539" s="106"/>
      <c r="F539" s="106"/>
      <c r="G539" s="106"/>
      <c r="H539" s="106"/>
      <c r="I539" s="106"/>
      <c r="J539" s="106"/>
      <c r="K539" s="106"/>
      <c r="L539" s="106"/>
      <c r="M539" s="106"/>
      <c r="N539" s="106"/>
      <c r="O539" s="106"/>
      <c r="P539" s="106"/>
      <c r="Q539" s="106"/>
      <c r="R539" s="106"/>
      <c r="S539" s="106"/>
      <c r="T539" s="106"/>
      <c r="U539" s="106"/>
      <c r="V539" s="106"/>
      <c r="W539" s="106"/>
      <c r="X539" s="106"/>
      <c r="Y539" s="106"/>
      <c r="Z539" s="106"/>
      <c r="AA539" s="106"/>
      <c r="AB539" s="106"/>
      <c r="AC539" s="106"/>
    </row>
    <row r="540" spans="1:29">
      <c r="A540" s="106"/>
      <c r="B540" s="106"/>
      <c r="C540" s="106"/>
      <c r="D540" s="106"/>
      <c r="E540" s="106"/>
      <c r="F540" s="106"/>
      <c r="G540" s="106"/>
      <c r="H540" s="106"/>
      <c r="I540" s="106"/>
      <c r="J540" s="106"/>
      <c r="K540" s="106"/>
      <c r="L540" s="106"/>
      <c r="M540" s="106"/>
      <c r="N540" s="106"/>
      <c r="O540" s="106"/>
      <c r="P540" s="106"/>
      <c r="Q540" s="106"/>
      <c r="R540" s="106"/>
      <c r="S540" s="106"/>
      <c r="T540" s="106"/>
      <c r="U540" s="106"/>
      <c r="V540" s="106"/>
      <c r="W540" s="106"/>
      <c r="X540" s="106"/>
      <c r="Y540" s="106"/>
      <c r="Z540" s="106"/>
      <c r="AA540" s="106"/>
      <c r="AB540" s="106"/>
      <c r="AC540" s="106"/>
    </row>
    <row r="541" spans="1:29">
      <c r="A541" s="106"/>
      <c r="B541" s="106"/>
      <c r="C541" s="106"/>
      <c r="D541" s="106"/>
      <c r="E541" s="106"/>
      <c r="F541" s="106"/>
      <c r="G541" s="106"/>
      <c r="H541" s="106"/>
      <c r="I541" s="106"/>
      <c r="J541" s="106"/>
      <c r="K541" s="106"/>
      <c r="L541" s="106"/>
      <c r="M541" s="106"/>
      <c r="N541" s="106"/>
      <c r="O541" s="106"/>
      <c r="P541" s="106"/>
      <c r="Q541" s="106"/>
      <c r="R541" s="106"/>
      <c r="S541" s="106"/>
      <c r="T541" s="106"/>
      <c r="U541" s="106"/>
      <c r="V541" s="106"/>
      <c r="W541" s="106"/>
      <c r="X541" s="106"/>
      <c r="Y541" s="106"/>
      <c r="Z541" s="106"/>
      <c r="AA541" s="106"/>
      <c r="AB541" s="106"/>
      <c r="AC541" s="106"/>
    </row>
    <row r="542" spans="1:29">
      <c r="A542" s="106"/>
      <c r="B542" s="106"/>
      <c r="C542" s="106"/>
      <c r="D542" s="106"/>
      <c r="E542" s="106"/>
      <c r="F542" s="106"/>
      <c r="G542" s="106"/>
      <c r="H542" s="106"/>
      <c r="I542" s="106"/>
      <c r="J542" s="106"/>
      <c r="K542" s="106"/>
      <c r="L542" s="106"/>
      <c r="M542" s="106"/>
      <c r="N542" s="106"/>
      <c r="O542" s="106"/>
      <c r="P542" s="106"/>
      <c r="Q542" s="106"/>
      <c r="R542" s="106"/>
      <c r="S542" s="106"/>
      <c r="T542" s="106"/>
      <c r="U542" s="106"/>
      <c r="V542" s="106"/>
      <c r="W542" s="106"/>
      <c r="X542" s="106"/>
      <c r="Y542" s="106"/>
      <c r="Z542" s="106"/>
      <c r="AA542" s="106"/>
      <c r="AB542" s="106"/>
      <c r="AC542" s="106"/>
    </row>
    <row r="543" spans="1:29">
      <c r="A543" s="106"/>
      <c r="B543" s="106"/>
      <c r="C543" s="106"/>
      <c r="D543" s="106"/>
      <c r="E543" s="106"/>
      <c r="F543" s="106"/>
      <c r="G543" s="106"/>
      <c r="H543" s="106"/>
      <c r="I543" s="106"/>
      <c r="J543" s="106"/>
      <c r="K543" s="106"/>
      <c r="L543" s="106"/>
      <c r="M543" s="106"/>
      <c r="N543" s="106"/>
      <c r="O543" s="106"/>
      <c r="P543" s="106"/>
      <c r="Q543" s="106"/>
      <c r="R543" s="106"/>
      <c r="S543" s="106"/>
      <c r="T543" s="106"/>
      <c r="U543" s="106"/>
      <c r="V543" s="106"/>
      <c r="W543" s="106"/>
      <c r="X543" s="106"/>
      <c r="Y543" s="106"/>
      <c r="Z543" s="106"/>
      <c r="AA543" s="106"/>
      <c r="AB543" s="106"/>
      <c r="AC543" s="106"/>
    </row>
    <row r="544" spans="1:29">
      <c r="A544" s="106"/>
      <c r="B544" s="106"/>
      <c r="C544" s="106"/>
      <c r="D544" s="106"/>
      <c r="E544" s="106"/>
      <c r="F544" s="106"/>
      <c r="G544" s="106"/>
      <c r="H544" s="106"/>
      <c r="I544" s="106"/>
      <c r="J544" s="106"/>
      <c r="K544" s="106"/>
      <c r="L544" s="106"/>
      <c r="M544" s="106"/>
      <c r="N544" s="106"/>
      <c r="O544" s="106"/>
      <c r="P544" s="106"/>
      <c r="Q544" s="106"/>
      <c r="R544" s="106"/>
      <c r="S544" s="106"/>
      <c r="T544" s="106"/>
      <c r="U544" s="106"/>
      <c r="V544" s="106"/>
      <c r="W544" s="106"/>
      <c r="X544" s="106"/>
      <c r="Y544" s="106"/>
      <c r="Z544" s="106"/>
      <c r="AA544" s="106"/>
      <c r="AB544" s="106"/>
      <c r="AC544" s="106"/>
    </row>
    <row r="545" spans="1:29">
      <c r="A545" s="106"/>
      <c r="B545" s="106"/>
      <c r="C545" s="106"/>
      <c r="D545" s="106"/>
      <c r="E545" s="106"/>
      <c r="F545" s="106"/>
      <c r="G545" s="106"/>
      <c r="H545" s="106"/>
      <c r="I545" s="106"/>
      <c r="J545" s="106"/>
      <c r="K545" s="106"/>
      <c r="L545" s="106"/>
      <c r="M545" s="106"/>
      <c r="N545" s="106"/>
      <c r="O545" s="106"/>
      <c r="P545" s="106"/>
      <c r="Q545" s="106"/>
      <c r="R545" s="106"/>
      <c r="S545" s="106"/>
      <c r="T545" s="106"/>
      <c r="U545" s="106"/>
      <c r="V545" s="106"/>
      <c r="W545" s="106"/>
      <c r="X545" s="106"/>
      <c r="Y545" s="106"/>
      <c r="Z545" s="106"/>
      <c r="AA545" s="106"/>
      <c r="AB545" s="106"/>
      <c r="AC545" s="106"/>
    </row>
    <row r="546" spans="1:29">
      <c r="A546" s="106"/>
      <c r="B546" s="106"/>
      <c r="C546" s="106"/>
      <c r="D546" s="106"/>
      <c r="E546" s="106"/>
      <c r="F546" s="106"/>
      <c r="G546" s="106"/>
      <c r="H546" s="106"/>
      <c r="I546" s="106"/>
      <c r="J546" s="106"/>
      <c r="K546" s="106"/>
      <c r="L546" s="106"/>
      <c r="M546" s="106"/>
      <c r="N546" s="106"/>
      <c r="O546" s="106"/>
      <c r="P546" s="106"/>
      <c r="Q546" s="106"/>
      <c r="R546" s="106"/>
      <c r="S546" s="106"/>
      <c r="T546" s="106"/>
      <c r="U546" s="106"/>
      <c r="V546" s="106"/>
      <c r="W546" s="106"/>
      <c r="X546" s="106"/>
      <c r="Y546" s="106"/>
      <c r="Z546" s="106"/>
      <c r="AA546" s="106"/>
      <c r="AB546" s="106"/>
      <c r="AC546" s="106"/>
    </row>
    <row r="547" spans="1:29">
      <c r="A547" s="106"/>
      <c r="B547" s="106"/>
      <c r="C547" s="106"/>
      <c r="D547" s="106"/>
      <c r="E547" s="106"/>
      <c r="F547" s="106"/>
      <c r="G547" s="106"/>
      <c r="H547" s="106"/>
      <c r="I547" s="106"/>
      <c r="J547" s="106"/>
      <c r="K547" s="106"/>
      <c r="L547" s="106"/>
      <c r="M547" s="106"/>
      <c r="N547" s="106"/>
      <c r="O547" s="106"/>
      <c r="P547" s="106"/>
      <c r="Q547" s="106"/>
      <c r="R547" s="106"/>
      <c r="S547" s="106"/>
      <c r="T547" s="106"/>
      <c r="U547" s="106"/>
      <c r="V547" s="106"/>
      <c r="W547" s="106"/>
      <c r="X547" s="106"/>
      <c r="Y547" s="106"/>
      <c r="Z547" s="106"/>
      <c r="AA547" s="106"/>
      <c r="AB547" s="106"/>
      <c r="AC547" s="106"/>
    </row>
    <row r="548" spans="1:29">
      <c r="A548" s="106"/>
      <c r="B548" s="106"/>
      <c r="C548" s="106"/>
      <c r="D548" s="106"/>
      <c r="E548" s="106"/>
      <c r="F548" s="106"/>
      <c r="G548" s="106"/>
      <c r="H548" s="106"/>
      <c r="I548" s="106"/>
      <c r="J548" s="106"/>
      <c r="K548" s="106"/>
      <c r="L548" s="106"/>
      <c r="M548" s="106"/>
      <c r="N548" s="106"/>
      <c r="O548" s="106"/>
      <c r="P548" s="106"/>
      <c r="Q548" s="106"/>
      <c r="R548" s="106"/>
      <c r="S548" s="106"/>
      <c r="T548" s="106"/>
      <c r="U548" s="106"/>
      <c r="V548" s="106"/>
      <c r="W548" s="106"/>
      <c r="X548" s="106"/>
      <c r="Y548" s="106"/>
      <c r="Z548" s="106"/>
      <c r="AA548" s="106"/>
      <c r="AB548" s="106"/>
      <c r="AC548" s="106"/>
    </row>
    <row r="549" spans="1:29">
      <c r="A549" s="106"/>
      <c r="B549" s="106"/>
      <c r="C549" s="106"/>
      <c r="D549" s="106"/>
      <c r="E549" s="106"/>
      <c r="F549" s="106"/>
      <c r="G549" s="106"/>
      <c r="H549" s="106"/>
      <c r="I549" s="106"/>
      <c r="J549" s="106"/>
      <c r="K549" s="106"/>
      <c r="L549" s="106"/>
      <c r="M549" s="106"/>
      <c r="N549" s="106"/>
      <c r="O549" s="106"/>
      <c r="P549" s="106"/>
      <c r="Q549" s="106"/>
      <c r="R549" s="106"/>
      <c r="S549" s="106"/>
      <c r="T549" s="106"/>
      <c r="U549" s="106"/>
      <c r="V549" s="106"/>
      <c r="W549" s="106"/>
      <c r="X549" s="106"/>
      <c r="Y549" s="106"/>
      <c r="Z549" s="106"/>
      <c r="AA549" s="106"/>
      <c r="AB549" s="106"/>
      <c r="AC549" s="106"/>
    </row>
    <row r="550" spans="1:29">
      <c r="A550" s="106"/>
      <c r="B550" s="106"/>
      <c r="C550" s="106"/>
      <c r="D550" s="106"/>
      <c r="E550" s="106"/>
      <c r="F550" s="106"/>
      <c r="G550" s="106"/>
      <c r="H550" s="106"/>
      <c r="I550" s="106"/>
      <c r="J550" s="106"/>
      <c r="K550" s="106"/>
      <c r="L550" s="106"/>
      <c r="M550" s="106"/>
      <c r="N550" s="106"/>
      <c r="O550" s="106"/>
      <c r="P550" s="106"/>
      <c r="Q550" s="106"/>
      <c r="R550" s="106"/>
      <c r="S550" s="106"/>
      <c r="T550" s="106"/>
      <c r="U550" s="106"/>
      <c r="V550" s="106"/>
      <c r="W550" s="106"/>
      <c r="X550" s="106"/>
      <c r="Y550" s="106"/>
      <c r="Z550" s="106"/>
      <c r="AA550" s="106"/>
      <c r="AB550" s="106"/>
      <c r="AC550" s="106"/>
    </row>
    <row r="551" spans="1:29">
      <c r="A551" s="106"/>
      <c r="B551" s="106"/>
      <c r="C551" s="106"/>
      <c r="D551" s="106"/>
      <c r="E551" s="106"/>
      <c r="F551" s="106"/>
      <c r="G551" s="106"/>
      <c r="H551" s="106"/>
      <c r="I551" s="106"/>
      <c r="J551" s="106"/>
      <c r="K551" s="106"/>
      <c r="L551" s="106"/>
      <c r="M551" s="106"/>
      <c r="N551" s="106"/>
      <c r="O551" s="106"/>
      <c r="P551" s="106"/>
      <c r="Q551" s="106"/>
      <c r="R551" s="106"/>
      <c r="S551" s="106"/>
      <c r="T551" s="106"/>
      <c r="U551" s="106"/>
      <c r="V551" s="106"/>
      <c r="W551" s="106"/>
      <c r="X551" s="106"/>
      <c r="Y551" s="106"/>
      <c r="Z551" s="106"/>
      <c r="AA551" s="106"/>
      <c r="AB551" s="106"/>
      <c r="AC551" s="106"/>
    </row>
    <row r="552" spans="1:29">
      <c r="A552" s="106"/>
      <c r="B552" s="106"/>
      <c r="C552" s="106"/>
      <c r="D552" s="106"/>
      <c r="E552" s="106"/>
      <c r="F552" s="106"/>
      <c r="G552" s="106"/>
      <c r="H552" s="106"/>
      <c r="I552" s="106"/>
      <c r="J552" s="106"/>
      <c r="K552" s="106"/>
      <c r="L552" s="106"/>
      <c r="M552" s="106"/>
      <c r="N552" s="106"/>
      <c r="O552" s="106"/>
      <c r="P552" s="106"/>
      <c r="Q552" s="106"/>
      <c r="R552" s="106"/>
      <c r="S552" s="106"/>
      <c r="T552" s="106"/>
      <c r="U552" s="106"/>
      <c r="V552" s="106"/>
      <c r="W552" s="106"/>
      <c r="X552" s="106"/>
      <c r="Y552" s="106"/>
      <c r="Z552" s="106"/>
      <c r="AA552" s="106"/>
      <c r="AB552" s="106"/>
      <c r="AC552" s="106"/>
    </row>
    <row r="553" spans="1:29">
      <c r="A553" s="106"/>
      <c r="B553" s="106"/>
      <c r="C553" s="106"/>
      <c r="D553" s="106"/>
      <c r="E553" s="106"/>
      <c r="F553" s="106"/>
      <c r="G553" s="106"/>
      <c r="H553" s="106"/>
      <c r="I553" s="106"/>
      <c r="J553" s="106"/>
      <c r="K553" s="106"/>
      <c r="L553" s="106"/>
      <c r="M553" s="106"/>
      <c r="N553" s="106"/>
      <c r="O553" s="106"/>
      <c r="P553" s="106"/>
      <c r="Q553" s="106"/>
      <c r="R553" s="106"/>
      <c r="S553" s="106"/>
      <c r="T553" s="106"/>
      <c r="U553" s="106"/>
      <c r="V553" s="106"/>
      <c r="W553" s="106"/>
      <c r="X553" s="106"/>
      <c r="Y553" s="106"/>
      <c r="Z553" s="106"/>
      <c r="AA553" s="106"/>
      <c r="AB553" s="106"/>
      <c r="AC553" s="106"/>
    </row>
    <row r="554" spans="1:29">
      <c r="A554" s="106"/>
      <c r="B554" s="106"/>
      <c r="C554" s="106"/>
      <c r="D554" s="106"/>
      <c r="E554" s="106"/>
      <c r="F554" s="106"/>
      <c r="G554" s="106"/>
      <c r="H554" s="106"/>
      <c r="I554" s="106"/>
      <c r="J554" s="106"/>
      <c r="K554" s="106"/>
      <c r="L554" s="106"/>
      <c r="M554" s="106"/>
      <c r="N554" s="106"/>
      <c r="O554" s="106"/>
      <c r="P554" s="106"/>
      <c r="Q554" s="106"/>
      <c r="R554" s="106"/>
      <c r="S554" s="106"/>
      <c r="T554" s="106"/>
      <c r="U554" s="106"/>
      <c r="V554" s="106"/>
      <c r="W554" s="106"/>
      <c r="X554" s="106"/>
      <c r="Y554" s="106"/>
      <c r="Z554" s="106"/>
      <c r="AA554" s="106"/>
      <c r="AB554" s="106"/>
      <c r="AC554" s="106"/>
    </row>
    <row r="555" spans="1:29">
      <c r="A555" s="106"/>
      <c r="B555" s="106"/>
      <c r="C555" s="106"/>
      <c r="D555" s="106"/>
      <c r="E555" s="106"/>
      <c r="F555" s="106"/>
      <c r="G555" s="106"/>
      <c r="H555" s="106"/>
      <c r="I555" s="106"/>
      <c r="J555" s="106"/>
      <c r="K555" s="106"/>
      <c r="L555" s="106"/>
      <c r="M555" s="106"/>
      <c r="N555" s="106"/>
      <c r="O555" s="106"/>
      <c r="P555" s="106"/>
      <c r="Q555" s="106"/>
      <c r="R555" s="106"/>
      <c r="S555" s="106"/>
      <c r="T555" s="106"/>
      <c r="U555" s="106"/>
      <c r="V555" s="106"/>
      <c r="W555" s="106"/>
      <c r="X555" s="106"/>
      <c r="Y555" s="106"/>
      <c r="Z555" s="106"/>
      <c r="AA555" s="106"/>
      <c r="AB555" s="106"/>
      <c r="AC555" s="106"/>
    </row>
    <row r="556" spans="1:29">
      <c r="A556" s="106"/>
      <c r="B556" s="106"/>
      <c r="C556" s="106"/>
      <c r="D556" s="106"/>
      <c r="E556" s="106"/>
      <c r="F556" s="106"/>
      <c r="G556" s="106"/>
      <c r="H556" s="106"/>
      <c r="I556" s="106"/>
      <c r="J556" s="106"/>
      <c r="K556" s="106"/>
      <c r="L556" s="106"/>
      <c r="M556" s="106"/>
      <c r="N556" s="106"/>
      <c r="O556" s="106"/>
      <c r="P556" s="106"/>
      <c r="Q556" s="106"/>
      <c r="R556" s="106"/>
      <c r="S556" s="106"/>
      <c r="T556" s="106"/>
      <c r="U556" s="106"/>
      <c r="V556" s="106"/>
      <c r="W556" s="106"/>
      <c r="X556" s="106"/>
      <c r="Y556" s="106"/>
      <c r="Z556" s="106"/>
      <c r="AA556" s="106"/>
      <c r="AB556" s="106"/>
      <c r="AC556" s="106"/>
    </row>
    <row r="557" spans="1:29">
      <c r="A557" s="106"/>
      <c r="B557" s="106"/>
      <c r="C557" s="106"/>
      <c r="D557" s="106"/>
      <c r="E557" s="106"/>
      <c r="F557" s="106"/>
      <c r="G557" s="106"/>
      <c r="H557" s="106"/>
      <c r="I557" s="106"/>
      <c r="J557" s="106"/>
      <c r="K557" s="106"/>
      <c r="L557" s="106"/>
      <c r="M557" s="106"/>
      <c r="N557" s="106"/>
      <c r="O557" s="106"/>
      <c r="P557" s="106"/>
      <c r="Q557" s="106"/>
      <c r="R557" s="106"/>
      <c r="S557" s="106"/>
      <c r="T557" s="106"/>
      <c r="U557" s="106"/>
      <c r="V557" s="106"/>
      <c r="W557" s="106"/>
      <c r="X557" s="106"/>
      <c r="Y557" s="106"/>
      <c r="Z557" s="106"/>
      <c r="AA557" s="106"/>
      <c r="AB557" s="106"/>
      <c r="AC557" s="106"/>
    </row>
    <row r="558" spans="1:29">
      <c r="A558" s="106"/>
      <c r="B558" s="106"/>
      <c r="C558" s="106"/>
      <c r="D558" s="106"/>
      <c r="E558" s="106"/>
      <c r="F558" s="106"/>
      <c r="G558" s="106"/>
      <c r="H558" s="106"/>
      <c r="I558" s="106"/>
      <c r="J558" s="106"/>
      <c r="K558" s="106"/>
      <c r="L558" s="106"/>
      <c r="M558" s="106"/>
      <c r="N558" s="106"/>
      <c r="O558" s="106"/>
      <c r="P558" s="106"/>
      <c r="Q558" s="106"/>
      <c r="R558" s="106"/>
      <c r="S558" s="106"/>
      <c r="T558" s="106"/>
      <c r="U558" s="106"/>
      <c r="V558" s="106"/>
      <c r="W558" s="106"/>
      <c r="X558" s="106"/>
      <c r="Y558" s="106"/>
      <c r="Z558" s="106"/>
      <c r="AA558" s="106"/>
      <c r="AB558" s="106"/>
      <c r="AC558" s="106"/>
    </row>
    <row r="559" spans="1:29">
      <c r="A559" s="106"/>
      <c r="B559" s="106"/>
      <c r="C559" s="106"/>
      <c r="D559" s="106"/>
      <c r="E559" s="106"/>
      <c r="F559" s="106"/>
      <c r="G559" s="106"/>
      <c r="H559" s="106"/>
      <c r="I559" s="106"/>
      <c r="J559" s="106"/>
      <c r="K559" s="106"/>
      <c r="L559" s="106"/>
      <c r="M559" s="106"/>
      <c r="N559" s="106"/>
      <c r="O559" s="106"/>
      <c r="P559" s="106"/>
      <c r="Q559" s="106"/>
      <c r="R559" s="106"/>
      <c r="S559" s="106"/>
      <c r="T559" s="106"/>
      <c r="U559" s="106"/>
      <c r="V559" s="106"/>
      <c r="W559" s="106"/>
      <c r="X559" s="106"/>
      <c r="Y559" s="106"/>
      <c r="Z559" s="106"/>
      <c r="AA559" s="106"/>
      <c r="AB559" s="106"/>
      <c r="AC559" s="106"/>
    </row>
    <row r="560" spans="1:29">
      <c r="A560" s="106"/>
      <c r="B560" s="106"/>
      <c r="C560" s="106"/>
      <c r="D560" s="106"/>
      <c r="E560" s="106"/>
      <c r="F560" s="106"/>
      <c r="G560" s="106"/>
      <c r="H560" s="106"/>
      <c r="I560" s="106"/>
      <c r="J560" s="106"/>
      <c r="K560" s="106"/>
      <c r="L560" s="106"/>
      <c r="M560" s="106"/>
      <c r="N560" s="106"/>
      <c r="O560" s="106"/>
      <c r="P560" s="106"/>
      <c r="Q560" s="106"/>
      <c r="R560" s="106"/>
      <c r="S560" s="106"/>
      <c r="T560" s="106"/>
      <c r="U560" s="106"/>
      <c r="V560" s="106"/>
      <c r="W560" s="106"/>
      <c r="X560" s="106"/>
      <c r="Y560" s="106"/>
      <c r="Z560" s="106"/>
      <c r="AA560" s="106"/>
      <c r="AB560" s="106"/>
      <c r="AC560" s="106"/>
    </row>
    <row r="561" spans="1:29">
      <c r="A561" s="106"/>
      <c r="B561" s="106"/>
      <c r="C561" s="106"/>
      <c r="D561" s="106"/>
      <c r="E561" s="106"/>
      <c r="F561" s="106"/>
      <c r="G561" s="106"/>
      <c r="H561" s="106"/>
      <c r="I561" s="106"/>
      <c r="J561" s="106"/>
      <c r="K561" s="106"/>
      <c r="L561" s="106"/>
      <c r="M561" s="106"/>
      <c r="N561" s="106"/>
      <c r="O561" s="106"/>
      <c r="P561" s="106"/>
      <c r="Q561" s="106"/>
      <c r="R561" s="106"/>
      <c r="S561" s="106"/>
      <c r="T561" s="106"/>
      <c r="U561" s="106"/>
      <c r="V561" s="106"/>
      <c r="W561" s="106"/>
      <c r="X561" s="106"/>
      <c r="Y561" s="106"/>
      <c r="Z561" s="106"/>
      <c r="AA561" s="106"/>
      <c r="AB561" s="106"/>
      <c r="AC561" s="106"/>
    </row>
    <row r="562" spans="1:29">
      <c r="A562" s="106"/>
      <c r="B562" s="106"/>
      <c r="C562" s="106"/>
      <c r="D562" s="106"/>
      <c r="E562" s="106"/>
      <c r="F562" s="106"/>
      <c r="G562" s="106"/>
      <c r="H562" s="106"/>
      <c r="I562" s="106"/>
      <c r="J562" s="106"/>
      <c r="K562" s="106"/>
      <c r="L562" s="106"/>
      <c r="M562" s="106"/>
      <c r="N562" s="106"/>
      <c r="O562" s="106"/>
      <c r="P562" s="106"/>
      <c r="Q562" s="106"/>
      <c r="R562" s="106"/>
      <c r="S562" s="106"/>
      <c r="T562" s="106"/>
      <c r="U562" s="106"/>
      <c r="V562" s="106"/>
      <c r="W562" s="106"/>
      <c r="X562" s="106"/>
      <c r="Y562" s="106"/>
      <c r="Z562" s="106"/>
      <c r="AA562" s="106"/>
      <c r="AB562" s="106"/>
      <c r="AC562" s="106"/>
    </row>
    <row r="563" spans="1:29">
      <c r="A563" s="106"/>
      <c r="B563" s="106"/>
      <c r="C563" s="106"/>
      <c r="D563" s="106"/>
      <c r="E563" s="106"/>
      <c r="F563" s="106"/>
      <c r="G563" s="106"/>
      <c r="H563" s="106"/>
      <c r="I563" s="106"/>
      <c r="J563" s="106"/>
      <c r="K563" s="106"/>
      <c r="L563" s="106"/>
      <c r="M563" s="106"/>
      <c r="N563" s="106"/>
      <c r="O563" s="106"/>
      <c r="P563" s="106"/>
      <c r="Q563" s="106"/>
      <c r="R563" s="106"/>
      <c r="S563" s="106"/>
      <c r="T563" s="106"/>
      <c r="U563" s="106"/>
      <c r="V563" s="106"/>
      <c r="W563" s="106"/>
      <c r="X563" s="106"/>
      <c r="Y563" s="106"/>
      <c r="Z563" s="106"/>
      <c r="AA563" s="106"/>
      <c r="AB563" s="106"/>
      <c r="AC563" s="106"/>
    </row>
    <row r="564" spans="1:29">
      <c r="A564" s="106"/>
      <c r="B564" s="106"/>
      <c r="C564" s="106"/>
      <c r="D564" s="106"/>
      <c r="E564" s="106"/>
      <c r="F564" s="106"/>
      <c r="G564" s="106"/>
      <c r="H564" s="106"/>
      <c r="I564" s="106"/>
      <c r="J564" s="106"/>
      <c r="K564" s="106"/>
      <c r="L564" s="106"/>
      <c r="M564" s="106"/>
      <c r="N564" s="106"/>
      <c r="O564" s="106"/>
      <c r="P564" s="106"/>
      <c r="Q564" s="106"/>
      <c r="R564" s="106"/>
      <c r="S564" s="106"/>
      <c r="T564" s="106"/>
      <c r="U564" s="106"/>
      <c r="V564" s="106"/>
      <c r="W564" s="106"/>
      <c r="X564" s="106"/>
      <c r="Y564" s="106"/>
      <c r="Z564" s="106"/>
      <c r="AA564" s="106"/>
      <c r="AB564" s="106"/>
      <c r="AC564" s="106"/>
    </row>
    <row r="565" spans="1:29">
      <c r="A565" s="106"/>
      <c r="B565" s="106"/>
      <c r="C565" s="106"/>
      <c r="D565" s="106"/>
      <c r="E565" s="106"/>
      <c r="F565" s="106"/>
      <c r="G565" s="106"/>
      <c r="H565" s="106"/>
      <c r="I565" s="106"/>
      <c r="J565" s="106"/>
      <c r="K565" s="106"/>
      <c r="L565" s="106"/>
      <c r="M565" s="106"/>
      <c r="N565" s="106"/>
      <c r="O565" s="106"/>
      <c r="P565" s="106"/>
      <c r="Q565" s="106"/>
      <c r="R565" s="106"/>
      <c r="S565" s="106"/>
      <c r="T565" s="106"/>
      <c r="U565" s="106"/>
      <c r="V565" s="106"/>
      <c r="W565" s="106"/>
      <c r="X565" s="106"/>
      <c r="Y565" s="106"/>
      <c r="Z565" s="106"/>
      <c r="AA565" s="106"/>
      <c r="AB565" s="106"/>
      <c r="AC565" s="106"/>
    </row>
    <row r="566" spans="1:29">
      <c r="A566" s="106"/>
      <c r="B566" s="106"/>
      <c r="C566" s="106"/>
      <c r="D566" s="106"/>
      <c r="E566" s="106"/>
      <c r="F566" s="106"/>
      <c r="G566" s="106"/>
      <c r="H566" s="106"/>
      <c r="I566" s="106"/>
      <c r="J566" s="106"/>
      <c r="K566" s="106"/>
      <c r="L566" s="106"/>
      <c r="M566" s="106"/>
      <c r="N566" s="106"/>
      <c r="O566" s="106"/>
      <c r="P566" s="106"/>
      <c r="Q566" s="106"/>
      <c r="R566" s="106"/>
      <c r="S566" s="106"/>
      <c r="T566" s="106"/>
      <c r="U566" s="106"/>
      <c r="V566" s="106"/>
      <c r="W566" s="106"/>
      <c r="X566" s="106"/>
      <c r="Y566" s="106"/>
      <c r="Z566" s="106"/>
      <c r="AA566" s="106"/>
      <c r="AB566" s="106"/>
      <c r="AC566" s="106"/>
    </row>
    <row r="567" spans="1:29">
      <c r="A567" s="106"/>
      <c r="B567" s="106"/>
      <c r="C567" s="106"/>
      <c r="D567" s="106"/>
      <c r="E567" s="106"/>
      <c r="F567" s="106"/>
      <c r="G567" s="106"/>
      <c r="H567" s="106"/>
      <c r="I567" s="106"/>
      <c r="J567" s="106"/>
      <c r="K567" s="106"/>
      <c r="L567" s="106"/>
      <c r="M567" s="106"/>
      <c r="N567" s="106"/>
      <c r="O567" s="106"/>
      <c r="P567" s="106"/>
      <c r="Q567" s="106"/>
      <c r="R567" s="106"/>
      <c r="S567" s="106"/>
      <c r="T567" s="106"/>
      <c r="U567" s="106"/>
      <c r="V567" s="106"/>
      <c r="W567" s="106"/>
      <c r="X567" s="106"/>
      <c r="Y567" s="106"/>
      <c r="Z567" s="106"/>
      <c r="AA567" s="106"/>
      <c r="AB567" s="106"/>
      <c r="AC567" s="106"/>
    </row>
    <row r="568" spans="1:29">
      <c r="A568" s="106"/>
      <c r="B568" s="106"/>
      <c r="C568" s="106"/>
      <c r="D568" s="106"/>
      <c r="E568" s="106"/>
      <c r="F568" s="106"/>
      <c r="G568" s="106"/>
      <c r="H568" s="106"/>
      <c r="I568" s="106"/>
      <c r="J568" s="106"/>
      <c r="K568" s="106"/>
      <c r="L568" s="106"/>
      <c r="M568" s="106"/>
      <c r="N568" s="106"/>
      <c r="O568" s="106"/>
      <c r="P568" s="106"/>
      <c r="Q568" s="106"/>
      <c r="R568" s="106"/>
      <c r="S568" s="106"/>
      <c r="T568" s="106"/>
      <c r="U568" s="106"/>
      <c r="V568" s="106"/>
      <c r="W568" s="106"/>
      <c r="X568" s="106"/>
      <c r="Y568" s="106"/>
      <c r="Z568" s="106"/>
      <c r="AA568" s="106"/>
      <c r="AB568" s="106"/>
      <c r="AC568" s="106"/>
    </row>
    <row r="569" spans="1:29">
      <c r="A569" s="106"/>
      <c r="B569" s="106"/>
      <c r="C569" s="106"/>
      <c r="D569" s="106"/>
      <c r="E569" s="106"/>
      <c r="F569" s="106"/>
      <c r="G569" s="106"/>
      <c r="H569" s="106"/>
      <c r="I569" s="106"/>
      <c r="J569" s="106"/>
      <c r="K569" s="106"/>
      <c r="L569" s="106"/>
      <c r="M569" s="106"/>
      <c r="N569" s="106"/>
      <c r="O569" s="106"/>
      <c r="P569" s="106"/>
      <c r="Q569" s="106"/>
      <c r="R569" s="106"/>
      <c r="S569" s="106"/>
      <c r="T569" s="106"/>
      <c r="U569" s="106"/>
      <c r="V569" s="106"/>
      <c r="W569" s="106"/>
      <c r="X569" s="106"/>
      <c r="Y569" s="106"/>
      <c r="Z569" s="106"/>
      <c r="AA569" s="106"/>
      <c r="AB569" s="106"/>
      <c r="AC569" s="106"/>
    </row>
    <row r="570" spans="1:29">
      <c r="A570" s="106"/>
      <c r="B570" s="106"/>
      <c r="C570" s="106"/>
      <c r="D570" s="106"/>
      <c r="E570" s="106"/>
      <c r="F570" s="106"/>
      <c r="G570" s="106"/>
      <c r="H570" s="106"/>
      <c r="I570" s="106"/>
      <c r="J570" s="106"/>
      <c r="K570" s="106"/>
      <c r="L570" s="106"/>
      <c r="M570" s="106"/>
      <c r="N570" s="106"/>
      <c r="O570" s="106"/>
      <c r="P570" s="106"/>
      <c r="Q570" s="106"/>
      <c r="R570" s="106"/>
      <c r="S570" s="106"/>
      <c r="T570" s="106"/>
      <c r="U570" s="106"/>
      <c r="V570" s="106"/>
      <c r="W570" s="106"/>
      <c r="X570" s="106"/>
      <c r="Y570" s="106"/>
      <c r="Z570" s="106"/>
      <c r="AA570" s="106"/>
      <c r="AB570" s="106"/>
      <c r="AC570" s="106"/>
    </row>
    <row r="571" spans="1:29">
      <c r="A571" s="106"/>
      <c r="B571" s="106"/>
      <c r="C571" s="106"/>
      <c r="D571" s="106"/>
      <c r="E571" s="106"/>
      <c r="F571" s="106"/>
      <c r="G571" s="106"/>
      <c r="H571" s="106"/>
      <c r="I571" s="106"/>
      <c r="J571" s="106"/>
      <c r="K571" s="106"/>
      <c r="L571" s="106"/>
      <c r="M571" s="106"/>
      <c r="N571" s="106"/>
      <c r="O571" s="106"/>
      <c r="P571" s="106"/>
      <c r="Q571" s="106"/>
      <c r="R571" s="106"/>
      <c r="S571" s="106"/>
      <c r="T571" s="106"/>
      <c r="U571" s="106"/>
      <c r="V571" s="106"/>
      <c r="W571" s="106"/>
      <c r="X571" s="106"/>
      <c r="Y571" s="106"/>
      <c r="Z571" s="106"/>
      <c r="AA571" s="106"/>
      <c r="AB571" s="106"/>
      <c r="AC571" s="106"/>
    </row>
    <row r="572" spans="1:29">
      <c r="A572" s="106"/>
      <c r="B572" s="106"/>
      <c r="C572" s="106"/>
      <c r="D572" s="106"/>
      <c r="E572" s="106"/>
      <c r="F572" s="106"/>
      <c r="G572" s="106"/>
      <c r="H572" s="106"/>
      <c r="I572" s="106"/>
      <c r="J572" s="106"/>
      <c r="K572" s="106"/>
      <c r="L572" s="106"/>
      <c r="M572" s="106"/>
      <c r="N572" s="106"/>
      <c r="O572" s="106"/>
      <c r="P572" s="106"/>
      <c r="Q572" s="106"/>
      <c r="R572" s="106"/>
      <c r="S572" s="106"/>
      <c r="T572" s="106"/>
      <c r="U572" s="106"/>
      <c r="V572" s="106"/>
      <c r="W572" s="106"/>
      <c r="X572" s="106"/>
      <c r="Y572" s="106"/>
      <c r="Z572" s="106"/>
      <c r="AA572" s="106"/>
      <c r="AB572" s="106"/>
      <c r="AC572" s="106"/>
    </row>
    <row r="573" spans="1:29">
      <c r="A573" s="106"/>
      <c r="B573" s="106"/>
      <c r="C573" s="106"/>
      <c r="D573" s="106"/>
      <c r="E573" s="106"/>
      <c r="F573" s="106"/>
      <c r="G573" s="106"/>
      <c r="H573" s="106"/>
      <c r="I573" s="106"/>
      <c r="J573" s="106"/>
      <c r="K573" s="106"/>
      <c r="L573" s="106"/>
      <c r="M573" s="106"/>
      <c r="N573" s="106"/>
      <c r="O573" s="106"/>
      <c r="P573" s="106"/>
      <c r="Q573" s="106"/>
      <c r="R573" s="106"/>
      <c r="S573" s="106"/>
      <c r="T573" s="106"/>
      <c r="U573" s="106"/>
      <c r="V573" s="106"/>
      <c r="W573" s="106"/>
      <c r="X573" s="106"/>
      <c r="Y573" s="106"/>
      <c r="Z573" s="106"/>
      <c r="AA573" s="106"/>
      <c r="AB573" s="106"/>
      <c r="AC573" s="106"/>
    </row>
    <row r="574" spans="1:29">
      <c r="A574" s="106"/>
      <c r="B574" s="106"/>
      <c r="C574" s="106"/>
      <c r="D574" s="106"/>
      <c r="E574" s="106"/>
      <c r="F574" s="106"/>
      <c r="G574" s="106"/>
      <c r="H574" s="106"/>
      <c r="I574" s="106"/>
      <c r="J574" s="106"/>
      <c r="K574" s="106"/>
      <c r="L574" s="106"/>
      <c r="M574" s="106"/>
      <c r="N574" s="106"/>
      <c r="O574" s="106"/>
      <c r="P574" s="106"/>
      <c r="Q574" s="106"/>
      <c r="R574" s="106"/>
      <c r="S574" s="106"/>
      <c r="T574" s="106"/>
      <c r="U574" s="106"/>
      <c r="V574" s="106"/>
      <c r="W574" s="106"/>
      <c r="X574" s="106"/>
      <c r="Y574" s="106"/>
      <c r="Z574" s="106"/>
      <c r="AA574" s="106"/>
      <c r="AB574" s="106"/>
      <c r="AC574" s="106"/>
    </row>
    <row r="575" spans="1:29">
      <c r="A575" s="106"/>
      <c r="B575" s="106"/>
      <c r="C575" s="106"/>
      <c r="D575" s="106"/>
      <c r="E575" s="106"/>
      <c r="F575" s="106"/>
      <c r="G575" s="106"/>
      <c r="H575" s="106"/>
      <c r="I575" s="106"/>
      <c r="J575" s="106"/>
      <c r="K575" s="106"/>
      <c r="L575" s="106"/>
      <c r="M575" s="106"/>
      <c r="N575" s="106"/>
      <c r="O575" s="106"/>
      <c r="P575" s="106"/>
      <c r="Q575" s="106"/>
      <c r="R575" s="106"/>
      <c r="S575" s="106"/>
      <c r="T575" s="106"/>
      <c r="U575" s="106"/>
      <c r="V575" s="106"/>
      <c r="W575" s="106"/>
      <c r="X575" s="106"/>
      <c r="Y575" s="106"/>
      <c r="Z575" s="106"/>
      <c r="AA575" s="106"/>
      <c r="AB575" s="106"/>
      <c r="AC575" s="106"/>
    </row>
    <row r="576" spans="1:29">
      <c r="A576" s="106"/>
      <c r="B576" s="106"/>
      <c r="C576" s="106"/>
      <c r="D576" s="106"/>
      <c r="E576" s="106"/>
      <c r="F576" s="106"/>
      <c r="G576" s="106"/>
      <c r="H576" s="106"/>
      <c r="I576" s="106"/>
      <c r="J576" s="106"/>
      <c r="K576" s="106"/>
      <c r="L576" s="106"/>
      <c r="M576" s="106"/>
      <c r="N576" s="106"/>
      <c r="O576" s="106"/>
      <c r="P576" s="106"/>
      <c r="Q576" s="106"/>
      <c r="R576" s="106"/>
      <c r="S576" s="106"/>
      <c r="T576" s="106"/>
      <c r="U576" s="106"/>
      <c r="V576" s="106"/>
      <c r="W576" s="106"/>
      <c r="X576" s="106"/>
      <c r="Y576" s="106"/>
      <c r="Z576" s="106"/>
      <c r="AA576" s="106"/>
      <c r="AB576" s="106"/>
      <c r="AC576" s="106"/>
    </row>
    <row r="577" spans="1:29">
      <c r="A577" s="106"/>
      <c r="B577" s="106"/>
      <c r="C577" s="106"/>
      <c r="D577" s="106"/>
      <c r="E577" s="106"/>
      <c r="F577" s="106"/>
      <c r="G577" s="106"/>
      <c r="H577" s="106"/>
      <c r="I577" s="106"/>
      <c r="J577" s="106"/>
      <c r="K577" s="106"/>
      <c r="L577" s="106"/>
      <c r="M577" s="106"/>
      <c r="N577" s="106"/>
      <c r="O577" s="106"/>
      <c r="P577" s="106"/>
      <c r="Q577" s="106"/>
      <c r="R577" s="106"/>
      <c r="S577" s="106"/>
      <c r="T577" s="106"/>
      <c r="U577" s="106"/>
      <c r="V577" s="106"/>
      <c r="W577" s="106"/>
      <c r="X577" s="106"/>
      <c r="Y577" s="106"/>
      <c r="Z577" s="106"/>
      <c r="AA577" s="106"/>
      <c r="AB577" s="106"/>
      <c r="AC577" s="106"/>
    </row>
    <row r="578" spans="1:29">
      <c r="A578" s="106"/>
      <c r="B578" s="106"/>
      <c r="C578" s="106"/>
      <c r="D578" s="106"/>
      <c r="E578" s="106"/>
      <c r="F578" s="106"/>
      <c r="G578" s="106"/>
      <c r="H578" s="106"/>
      <c r="I578" s="106"/>
      <c r="J578" s="106"/>
      <c r="K578" s="106"/>
      <c r="L578" s="106"/>
      <c r="M578" s="106"/>
      <c r="N578" s="106"/>
      <c r="O578" s="106"/>
      <c r="P578" s="106"/>
      <c r="Q578" s="106"/>
      <c r="R578" s="106"/>
      <c r="S578" s="106"/>
      <c r="T578" s="106"/>
      <c r="U578" s="106"/>
      <c r="V578" s="106"/>
      <c r="W578" s="106"/>
      <c r="X578" s="106"/>
      <c r="Y578" s="106"/>
      <c r="Z578" s="106"/>
      <c r="AA578" s="106"/>
      <c r="AB578" s="106"/>
      <c r="AC578" s="106"/>
    </row>
    <row r="579" spans="1:29">
      <c r="A579" s="106"/>
      <c r="B579" s="106"/>
      <c r="C579" s="106"/>
      <c r="D579" s="106"/>
      <c r="E579" s="106"/>
      <c r="F579" s="106"/>
      <c r="G579" s="106"/>
      <c r="H579" s="106"/>
      <c r="I579" s="106"/>
      <c r="J579" s="106"/>
      <c r="K579" s="106"/>
      <c r="L579" s="106"/>
      <c r="M579" s="106"/>
      <c r="N579" s="106"/>
      <c r="O579" s="106"/>
      <c r="P579" s="106"/>
      <c r="Q579" s="106"/>
      <c r="R579" s="106"/>
      <c r="S579" s="106"/>
      <c r="T579" s="106"/>
      <c r="U579" s="106"/>
      <c r="V579" s="106"/>
      <c r="W579" s="106"/>
      <c r="X579" s="106"/>
      <c r="Y579" s="106"/>
      <c r="Z579" s="106"/>
      <c r="AA579" s="106"/>
      <c r="AB579" s="106"/>
      <c r="AC579" s="106"/>
    </row>
    <row r="580" spans="1:29">
      <c r="A580" s="106"/>
      <c r="B580" s="106"/>
      <c r="C580" s="106"/>
      <c r="D580" s="106"/>
      <c r="E580" s="106"/>
      <c r="F580" s="106"/>
      <c r="G580" s="106"/>
      <c r="H580" s="106"/>
      <c r="I580" s="106"/>
      <c r="J580" s="106"/>
      <c r="K580" s="106"/>
      <c r="L580" s="106"/>
      <c r="M580" s="106"/>
      <c r="N580" s="106"/>
      <c r="O580" s="106"/>
      <c r="P580" s="106"/>
      <c r="Q580" s="106"/>
      <c r="R580" s="106"/>
      <c r="S580" s="106"/>
      <c r="T580" s="106"/>
      <c r="U580" s="106"/>
      <c r="V580" s="106"/>
      <c r="W580" s="106"/>
      <c r="X580" s="106"/>
      <c r="Y580" s="106"/>
      <c r="Z580" s="106"/>
      <c r="AA580" s="106"/>
      <c r="AB580" s="106"/>
      <c r="AC580" s="106"/>
    </row>
    <row r="581" spans="1:29">
      <c r="A581" s="106"/>
      <c r="B581" s="106"/>
      <c r="C581" s="106"/>
      <c r="D581" s="106"/>
      <c r="E581" s="106"/>
      <c r="F581" s="106"/>
      <c r="G581" s="106"/>
      <c r="H581" s="106"/>
      <c r="I581" s="106"/>
      <c r="J581" s="106"/>
      <c r="K581" s="106"/>
      <c r="L581" s="106"/>
      <c r="M581" s="106"/>
      <c r="N581" s="106"/>
      <c r="O581" s="106"/>
      <c r="P581" s="106"/>
      <c r="Q581" s="106"/>
      <c r="R581" s="106"/>
      <c r="S581" s="106"/>
      <c r="T581" s="106"/>
      <c r="U581" s="106"/>
      <c r="V581" s="106"/>
      <c r="W581" s="106"/>
      <c r="X581" s="106"/>
      <c r="Y581" s="106"/>
      <c r="Z581" s="106"/>
      <c r="AA581" s="106"/>
      <c r="AB581" s="106"/>
      <c r="AC581" s="106"/>
    </row>
    <row r="582" spans="1:29">
      <c r="A582" s="106"/>
      <c r="B582" s="106"/>
      <c r="C582" s="106"/>
      <c r="D582" s="106"/>
      <c r="E582" s="106"/>
      <c r="F582" s="106"/>
      <c r="G582" s="106"/>
      <c r="H582" s="106"/>
      <c r="I582" s="106"/>
      <c r="J582" s="106"/>
      <c r="K582" s="106"/>
      <c r="L582" s="106"/>
      <c r="M582" s="106"/>
      <c r="N582" s="106"/>
      <c r="O582" s="106"/>
      <c r="P582" s="106"/>
      <c r="Q582" s="106"/>
      <c r="R582" s="106"/>
      <c r="S582" s="106"/>
      <c r="T582" s="106"/>
      <c r="U582" s="106"/>
      <c r="V582" s="106"/>
      <c r="W582" s="106"/>
      <c r="X582" s="106"/>
      <c r="Y582" s="106"/>
      <c r="Z582" s="106"/>
      <c r="AA582" s="106"/>
      <c r="AB582" s="106"/>
      <c r="AC582" s="106"/>
    </row>
    <row r="583" spans="1:29">
      <c r="A583" s="106"/>
      <c r="B583" s="106"/>
      <c r="C583" s="106"/>
      <c r="D583" s="106"/>
      <c r="E583" s="106"/>
      <c r="F583" s="106"/>
      <c r="G583" s="106"/>
      <c r="H583" s="106"/>
      <c r="I583" s="106"/>
      <c r="J583" s="106"/>
      <c r="K583" s="106"/>
      <c r="L583" s="106"/>
      <c r="M583" s="106"/>
      <c r="N583" s="106"/>
      <c r="O583" s="106"/>
      <c r="P583" s="106"/>
      <c r="Q583" s="106"/>
      <c r="R583" s="106"/>
      <c r="S583" s="106"/>
      <c r="T583" s="106"/>
      <c r="U583" s="106"/>
      <c r="V583" s="106"/>
      <c r="W583" s="106"/>
      <c r="X583" s="106"/>
      <c r="Y583" s="106"/>
      <c r="Z583" s="106"/>
      <c r="AA583" s="106"/>
      <c r="AB583" s="106"/>
      <c r="AC583" s="106"/>
    </row>
    <row r="584" spans="1:29">
      <c r="A584" s="106"/>
      <c r="B584" s="106"/>
      <c r="C584" s="106"/>
      <c r="D584" s="106"/>
      <c r="E584" s="106"/>
      <c r="F584" s="106"/>
      <c r="G584" s="106"/>
      <c r="H584" s="106"/>
      <c r="I584" s="106"/>
      <c r="J584" s="106"/>
      <c r="K584" s="106"/>
      <c r="L584" s="106"/>
      <c r="M584" s="106"/>
      <c r="N584" s="106"/>
      <c r="O584" s="106"/>
      <c r="P584" s="106"/>
      <c r="Q584" s="106"/>
      <c r="R584" s="106"/>
      <c r="S584" s="106"/>
      <c r="T584" s="106"/>
      <c r="U584" s="106"/>
      <c r="V584" s="106"/>
      <c r="W584" s="106"/>
      <c r="X584" s="106"/>
      <c r="Y584" s="106"/>
      <c r="Z584" s="106"/>
      <c r="AA584" s="106"/>
      <c r="AB584" s="106"/>
      <c r="AC584" s="106"/>
    </row>
    <row r="585" spans="1:29">
      <c r="A585" s="106"/>
      <c r="B585" s="106"/>
      <c r="C585" s="106"/>
      <c r="D585" s="106"/>
      <c r="E585" s="106"/>
      <c r="F585" s="106"/>
      <c r="G585" s="106"/>
      <c r="H585" s="106"/>
      <c r="I585" s="106"/>
      <c r="J585" s="106"/>
      <c r="K585" s="106"/>
      <c r="L585" s="106"/>
      <c r="M585" s="106"/>
      <c r="N585" s="106"/>
      <c r="O585" s="106"/>
      <c r="P585" s="106"/>
      <c r="Q585" s="106"/>
      <c r="R585" s="106"/>
      <c r="S585" s="106"/>
      <c r="T585" s="106"/>
      <c r="U585" s="106"/>
      <c r="V585" s="106"/>
      <c r="W585" s="106"/>
      <c r="X585" s="106"/>
      <c r="Y585" s="106"/>
      <c r="Z585" s="106"/>
      <c r="AA585" s="106"/>
      <c r="AB585" s="106"/>
      <c r="AC585" s="106"/>
    </row>
    <row r="586" spans="1:29">
      <c r="A586" s="106"/>
      <c r="B586" s="106"/>
      <c r="C586" s="106"/>
      <c r="D586" s="106"/>
      <c r="E586" s="106"/>
      <c r="F586" s="106"/>
      <c r="G586" s="106"/>
      <c r="H586" s="106"/>
      <c r="I586" s="106"/>
      <c r="J586" s="106"/>
      <c r="K586" s="106"/>
      <c r="L586" s="106"/>
      <c r="M586" s="106"/>
      <c r="N586" s="106"/>
      <c r="O586" s="106"/>
      <c r="P586" s="106"/>
      <c r="Q586" s="106"/>
      <c r="R586" s="106"/>
      <c r="S586" s="106"/>
      <c r="T586" s="106"/>
      <c r="U586" s="106"/>
      <c r="V586" s="106"/>
      <c r="W586" s="106"/>
      <c r="X586" s="106"/>
      <c r="Y586" s="106"/>
      <c r="Z586" s="106"/>
      <c r="AA586" s="106"/>
      <c r="AB586" s="106"/>
      <c r="AC586" s="106"/>
    </row>
    <row r="587" spans="1:29">
      <c r="A587" s="106"/>
      <c r="B587" s="106"/>
      <c r="C587" s="106"/>
      <c r="D587" s="106"/>
      <c r="E587" s="106"/>
      <c r="F587" s="106"/>
      <c r="G587" s="106"/>
      <c r="H587" s="106"/>
      <c r="I587" s="106"/>
      <c r="J587" s="106"/>
      <c r="K587" s="106"/>
      <c r="L587" s="106"/>
      <c r="M587" s="106"/>
      <c r="N587" s="106"/>
      <c r="O587" s="106"/>
      <c r="P587" s="106"/>
      <c r="Q587" s="106"/>
      <c r="R587" s="106"/>
      <c r="S587" s="106"/>
      <c r="T587" s="106"/>
      <c r="U587" s="106"/>
      <c r="V587" s="106"/>
      <c r="W587" s="106"/>
      <c r="X587" s="106"/>
      <c r="Y587" s="106"/>
      <c r="Z587" s="106"/>
      <c r="AA587" s="106"/>
      <c r="AB587" s="106"/>
      <c r="AC587" s="106"/>
    </row>
    <row r="588" spans="1:29">
      <c r="A588" s="106"/>
      <c r="B588" s="106"/>
      <c r="C588" s="106"/>
      <c r="D588" s="106"/>
      <c r="E588" s="106"/>
      <c r="F588" s="106"/>
      <c r="G588" s="106"/>
      <c r="H588" s="106"/>
      <c r="I588" s="106"/>
      <c r="J588" s="106"/>
      <c r="K588" s="106"/>
      <c r="L588" s="106"/>
      <c r="M588" s="106"/>
      <c r="N588" s="106"/>
      <c r="O588" s="106"/>
      <c r="P588" s="106"/>
      <c r="Q588" s="106"/>
      <c r="R588" s="106"/>
      <c r="S588" s="106"/>
      <c r="T588" s="106"/>
      <c r="U588" s="106"/>
      <c r="V588" s="106"/>
      <c r="W588" s="106"/>
      <c r="X588" s="106"/>
      <c r="Y588" s="106"/>
      <c r="Z588" s="106"/>
      <c r="AA588" s="106"/>
      <c r="AB588" s="106"/>
      <c r="AC588" s="106"/>
    </row>
    <row r="589" spans="1:29">
      <c r="A589" s="106"/>
      <c r="B589" s="106"/>
      <c r="C589" s="106"/>
      <c r="D589" s="106"/>
      <c r="E589" s="106"/>
      <c r="F589" s="106"/>
      <c r="G589" s="106"/>
      <c r="H589" s="106"/>
      <c r="I589" s="106"/>
      <c r="J589" s="106"/>
      <c r="K589" s="106"/>
      <c r="L589" s="106"/>
      <c r="M589" s="106"/>
      <c r="N589" s="106"/>
      <c r="O589" s="106"/>
      <c r="P589" s="106"/>
      <c r="Q589" s="106"/>
      <c r="R589" s="106"/>
      <c r="S589" s="106"/>
      <c r="T589" s="106"/>
      <c r="U589" s="106"/>
      <c r="V589" s="106"/>
      <c r="W589" s="106"/>
      <c r="X589" s="106"/>
      <c r="Y589" s="106"/>
      <c r="Z589" s="106"/>
      <c r="AA589" s="106"/>
      <c r="AB589" s="106"/>
      <c r="AC589" s="106"/>
    </row>
    <row r="590" spans="1:29">
      <c r="A590" s="106"/>
      <c r="B590" s="106"/>
      <c r="C590" s="106"/>
      <c r="D590" s="106"/>
      <c r="E590" s="106"/>
      <c r="F590" s="106"/>
      <c r="G590" s="106"/>
      <c r="H590" s="106"/>
      <c r="I590" s="106"/>
      <c r="J590" s="106"/>
      <c r="K590" s="106"/>
      <c r="L590" s="106"/>
      <c r="M590" s="106"/>
      <c r="N590" s="106"/>
      <c r="O590" s="106"/>
      <c r="P590" s="106"/>
      <c r="Q590" s="106"/>
      <c r="R590" s="106"/>
      <c r="S590" s="106"/>
      <c r="T590" s="106"/>
      <c r="U590" s="106"/>
      <c r="V590" s="106"/>
      <c r="W590" s="106"/>
      <c r="X590" s="106"/>
      <c r="Y590" s="106"/>
      <c r="Z590" s="106"/>
      <c r="AA590" s="106"/>
      <c r="AB590" s="106"/>
      <c r="AC590" s="106"/>
    </row>
    <row r="591" spans="1:29">
      <c r="A591" s="106"/>
      <c r="B591" s="106"/>
      <c r="C591" s="106"/>
      <c r="D591" s="106"/>
      <c r="E591" s="106"/>
      <c r="F591" s="106"/>
      <c r="G591" s="106"/>
      <c r="H591" s="106"/>
      <c r="I591" s="106"/>
      <c r="J591" s="106"/>
      <c r="K591" s="106"/>
      <c r="L591" s="106"/>
      <c r="M591" s="106"/>
      <c r="N591" s="106"/>
      <c r="O591" s="106"/>
      <c r="P591" s="106"/>
      <c r="Q591" s="106"/>
      <c r="R591" s="106"/>
      <c r="S591" s="106"/>
      <c r="T591" s="106"/>
      <c r="U591" s="106"/>
      <c r="V591" s="106"/>
      <c r="W591" s="106"/>
      <c r="X591" s="106"/>
      <c r="Y591" s="106"/>
      <c r="Z591" s="106"/>
      <c r="AA591" s="106"/>
      <c r="AB591" s="106"/>
      <c r="AC591" s="106"/>
    </row>
    <row r="592" spans="1:29">
      <c r="A592" s="106"/>
      <c r="B592" s="106"/>
      <c r="C592" s="106"/>
      <c r="D592" s="106"/>
      <c r="E592" s="106"/>
      <c r="F592" s="106"/>
      <c r="G592" s="106"/>
      <c r="H592" s="106"/>
      <c r="I592" s="106"/>
      <c r="J592" s="106"/>
      <c r="K592" s="106"/>
      <c r="L592" s="106"/>
      <c r="M592" s="106"/>
      <c r="N592" s="106"/>
      <c r="O592" s="106"/>
      <c r="P592" s="106"/>
      <c r="Q592" s="106"/>
      <c r="R592" s="106"/>
      <c r="S592" s="106"/>
      <c r="T592" s="106"/>
      <c r="U592" s="106"/>
      <c r="V592" s="106"/>
      <c r="W592" s="106"/>
      <c r="X592" s="106"/>
      <c r="Y592" s="106"/>
      <c r="Z592" s="106"/>
      <c r="AA592" s="106"/>
      <c r="AB592" s="106"/>
      <c r="AC592" s="106"/>
    </row>
    <row r="593" spans="1:29">
      <c r="A593" s="106"/>
      <c r="B593" s="106"/>
      <c r="C593" s="106"/>
      <c r="D593" s="106"/>
      <c r="E593" s="106"/>
      <c r="F593" s="106"/>
      <c r="G593" s="106"/>
      <c r="H593" s="106"/>
      <c r="I593" s="106"/>
      <c r="J593" s="106"/>
      <c r="K593" s="106"/>
      <c r="L593" s="106"/>
      <c r="M593" s="106"/>
      <c r="N593" s="106"/>
      <c r="O593" s="106"/>
      <c r="P593" s="106"/>
      <c r="Q593" s="106"/>
      <c r="R593" s="106"/>
      <c r="S593" s="106"/>
      <c r="T593" s="106"/>
      <c r="U593" s="106"/>
      <c r="V593" s="106"/>
      <c r="W593" s="106"/>
      <c r="X593" s="106"/>
      <c r="Y593" s="106"/>
      <c r="Z593" s="106"/>
      <c r="AA593" s="106"/>
      <c r="AB593" s="106"/>
      <c r="AC593" s="106"/>
    </row>
    <row r="594" spans="1:29">
      <c r="A594" s="106"/>
      <c r="B594" s="106"/>
      <c r="C594" s="106"/>
      <c r="D594" s="106"/>
      <c r="E594" s="106"/>
      <c r="F594" s="106"/>
      <c r="G594" s="106"/>
      <c r="H594" s="106"/>
      <c r="I594" s="106"/>
      <c r="J594" s="106"/>
      <c r="K594" s="106"/>
      <c r="L594" s="106"/>
      <c r="M594" s="106"/>
      <c r="N594" s="106"/>
      <c r="O594" s="106"/>
      <c r="P594" s="106"/>
      <c r="Q594" s="106"/>
      <c r="R594" s="106"/>
      <c r="S594" s="106"/>
      <c r="T594" s="106"/>
      <c r="U594" s="106"/>
      <c r="V594" s="106"/>
      <c r="W594" s="106"/>
      <c r="X594" s="106"/>
      <c r="Y594" s="106"/>
      <c r="Z594" s="106"/>
      <c r="AA594" s="106"/>
      <c r="AB594" s="106"/>
      <c r="AC594" s="106"/>
    </row>
    <row r="595" spans="1:29">
      <c r="A595" s="106"/>
      <c r="B595" s="106"/>
      <c r="C595" s="106"/>
      <c r="D595" s="106"/>
      <c r="E595" s="106"/>
      <c r="F595" s="106"/>
      <c r="G595" s="106"/>
      <c r="H595" s="106"/>
      <c r="I595" s="106"/>
      <c r="J595" s="106"/>
      <c r="K595" s="106"/>
      <c r="L595" s="106"/>
      <c r="M595" s="106"/>
      <c r="N595" s="106"/>
      <c r="O595" s="106"/>
      <c r="P595" s="106"/>
      <c r="Q595" s="106"/>
      <c r="R595" s="106"/>
      <c r="S595" s="106"/>
      <c r="T595" s="106"/>
      <c r="U595" s="106"/>
      <c r="V595" s="106"/>
      <c r="W595" s="106"/>
      <c r="X595" s="106"/>
      <c r="Y595" s="106"/>
      <c r="Z595" s="106"/>
      <c r="AA595" s="106"/>
      <c r="AB595" s="106"/>
      <c r="AC595" s="106"/>
    </row>
    <row r="596" spans="1:29">
      <c r="A596" s="106"/>
      <c r="B596" s="106"/>
      <c r="C596" s="106"/>
      <c r="D596" s="106"/>
      <c r="E596" s="106"/>
      <c r="F596" s="106"/>
      <c r="G596" s="106"/>
      <c r="H596" s="106"/>
      <c r="I596" s="106"/>
      <c r="J596" s="106"/>
      <c r="K596" s="106"/>
      <c r="L596" s="106"/>
      <c r="M596" s="106"/>
      <c r="N596" s="106"/>
      <c r="O596" s="106"/>
      <c r="P596" s="106"/>
      <c r="Q596" s="106"/>
      <c r="R596" s="106"/>
      <c r="S596" s="106"/>
      <c r="T596" s="106"/>
      <c r="U596" s="106"/>
      <c r="V596" s="106"/>
      <c r="W596" s="106"/>
      <c r="X596" s="106"/>
      <c r="Y596" s="106"/>
      <c r="Z596" s="106"/>
      <c r="AA596" s="106"/>
      <c r="AB596" s="106"/>
      <c r="AC596" s="106"/>
    </row>
    <row r="597" spans="1:29">
      <c r="A597" s="106"/>
      <c r="B597" s="106"/>
      <c r="C597" s="106"/>
      <c r="D597" s="106"/>
      <c r="E597" s="106"/>
      <c r="F597" s="106"/>
      <c r="G597" s="106"/>
      <c r="H597" s="106"/>
      <c r="I597" s="106"/>
      <c r="J597" s="106"/>
      <c r="K597" s="106"/>
      <c r="L597" s="106"/>
      <c r="M597" s="106"/>
      <c r="N597" s="106"/>
      <c r="O597" s="106"/>
      <c r="P597" s="106"/>
      <c r="Q597" s="106"/>
      <c r="R597" s="106"/>
      <c r="S597" s="106"/>
      <c r="T597" s="106"/>
      <c r="U597" s="106"/>
      <c r="V597" s="106"/>
      <c r="W597" s="106"/>
      <c r="X597" s="106"/>
      <c r="Y597" s="106"/>
      <c r="Z597" s="106"/>
      <c r="AA597" s="106"/>
      <c r="AB597" s="106"/>
      <c r="AC597" s="106"/>
    </row>
    <row r="598" spans="1:29">
      <c r="A598" s="106"/>
      <c r="B598" s="106"/>
      <c r="C598" s="106"/>
      <c r="D598" s="106"/>
      <c r="E598" s="106"/>
      <c r="F598" s="106"/>
      <c r="G598" s="106"/>
      <c r="H598" s="106"/>
      <c r="I598" s="106"/>
      <c r="J598" s="106"/>
      <c r="K598" s="106"/>
      <c r="L598" s="106"/>
      <c r="M598" s="106"/>
      <c r="N598" s="106"/>
      <c r="O598" s="106"/>
      <c r="P598" s="106"/>
      <c r="Q598" s="106"/>
      <c r="R598" s="106"/>
      <c r="S598" s="106"/>
      <c r="T598" s="106"/>
      <c r="U598" s="106"/>
      <c r="V598" s="106"/>
      <c r="W598" s="106"/>
      <c r="X598" s="106"/>
      <c r="Y598" s="106"/>
      <c r="Z598" s="106"/>
      <c r="AA598" s="106"/>
      <c r="AB598" s="106"/>
      <c r="AC598" s="106"/>
    </row>
    <row r="599" spans="1:29">
      <c r="A599" s="106"/>
      <c r="B599" s="106"/>
      <c r="C599" s="106"/>
      <c r="D599" s="106"/>
      <c r="E599" s="106"/>
      <c r="F599" s="106"/>
      <c r="G599" s="106"/>
      <c r="H599" s="106"/>
      <c r="I599" s="106"/>
      <c r="J599" s="106"/>
      <c r="K599" s="106"/>
      <c r="L599" s="106"/>
      <c r="M599" s="106"/>
      <c r="N599" s="106"/>
      <c r="O599" s="106"/>
      <c r="P599" s="106"/>
      <c r="Q599" s="106"/>
      <c r="R599" s="106"/>
      <c r="S599" s="106"/>
      <c r="T599" s="106"/>
      <c r="U599" s="106"/>
      <c r="V599" s="106"/>
      <c r="W599" s="106"/>
      <c r="X599" s="106"/>
      <c r="Y599" s="106"/>
      <c r="Z599" s="106"/>
      <c r="AA599" s="106"/>
      <c r="AB599" s="106"/>
      <c r="AC599" s="106"/>
    </row>
    <row r="600" spans="1:29">
      <c r="A600" s="106"/>
      <c r="B600" s="106"/>
      <c r="C600" s="106"/>
      <c r="D600" s="106"/>
      <c r="E600" s="106"/>
      <c r="F600" s="106"/>
      <c r="G600" s="106"/>
      <c r="H600" s="106"/>
      <c r="I600" s="106"/>
      <c r="J600" s="106"/>
      <c r="K600" s="106"/>
      <c r="L600" s="106"/>
      <c r="M600" s="106"/>
      <c r="N600" s="106"/>
      <c r="O600" s="106"/>
      <c r="P600" s="106"/>
      <c r="Q600" s="106"/>
      <c r="R600" s="106"/>
      <c r="S600" s="106"/>
      <c r="T600" s="106"/>
      <c r="U600" s="106"/>
      <c r="V600" s="106"/>
      <c r="W600" s="106"/>
      <c r="X600" s="106"/>
      <c r="Y600" s="106"/>
      <c r="Z600" s="106"/>
      <c r="AA600" s="106"/>
      <c r="AB600" s="106"/>
      <c r="AC600" s="106"/>
    </row>
    <row r="601" spans="1:29">
      <c r="A601" s="106"/>
      <c r="B601" s="106"/>
      <c r="C601" s="106"/>
      <c r="D601" s="106"/>
      <c r="E601" s="106"/>
      <c r="F601" s="106"/>
      <c r="G601" s="106"/>
      <c r="H601" s="106"/>
      <c r="I601" s="106"/>
      <c r="J601" s="106"/>
      <c r="K601" s="106"/>
      <c r="L601" s="106"/>
      <c r="M601" s="106"/>
      <c r="N601" s="106"/>
      <c r="O601" s="106"/>
      <c r="P601" s="106"/>
      <c r="Q601" s="106"/>
      <c r="R601" s="106"/>
      <c r="S601" s="106"/>
      <c r="T601" s="106"/>
      <c r="U601" s="106"/>
      <c r="V601" s="106"/>
      <c r="W601" s="106"/>
      <c r="X601" s="106"/>
      <c r="Y601" s="106"/>
      <c r="Z601" s="106"/>
      <c r="AA601" s="106"/>
      <c r="AB601" s="106"/>
      <c r="AC601" s="106"/>
    </row>
    <row r="602" spans="1:29">
      <c r="A602" s="106"/>
      <c r="B602" s="106"/>
      <c r="C602" s="106"/>
      <c r="D602" s="106"/>
      <c r="E602" s="106"/>
      <c r="F602" s="106"/>
      <c r="G602" s="106"/>
      <c r="H602" s="106"/>
      <c r="I602" s="106"/>
      <c r="J602" s="106"/>
      <c r="K602" s="106"/>
      <c r="L602" s="106"/>
      <c r="M602" s="106"/>
      <c r="N602" s="106"/>
      <c r="O602" s="106"/>
      <c r="P602" s="106"/>
      <c r="Q602" s="106"/>
      <c r="R602" s="106"/>
      <c r="S602" s="106"/>
      <c r="T602" s="106"/>
      <c r="U602" s="106"/>
      <c r="V602" s="106"/>
      <c r="W602" s="106"/>
      <c r="X602" s="106"/>
      <c r="Y602" s="106"/>
      <c r="Z602" s="106"/>
      <c r="AA602" s="106"/>
      <c r="AB602" s="106"/>
      <c r="AC602" s="106"/>
    </row>
    <row r="603" spans="1:29">
      <c r="A603" s="106"/>
      <c r="B603" s="106"/>
      <c r="C603" s="106"/>
      <c r="D603" s="106"/>
      <c r="E603" s="106"/>
      <c r="F603" s="106"/>
      <c r="G603" s="106"/>
      <c r="H603" s="106"/>
      <c r="I603" s="106"/>
      <c r="J603" s="106"/>
      <c r="K603" s="106"/>
      <c r="L603" s="106"/>
      <c r="M603" s="106"/>
      <c r="N603" s="106"/>
      <c r="O603" s="106"/>
      <c r="P603" s="106"/>
      <c r="Q603" s="106"/>
      <c r="R603" s="106"/>
      <c r="S603" s="106"/>
      <c r="T603" s="106"/>
      <c r="U603" s="106"/>
      <c r="V603" s="106"/>
      <c r="W603" s="106"/>
      <c r="X603" s="106"/>
      <c r="Y603" s="106"/>
      <c r="Z603" s="106"/>
      <c r="AA603" s="106"/>
      <c r="AB603" s="106"/>
      <c r="AC603" s="106"/>
    </row>
    <row r="604" spans="1:29">
      <c r="A604" s="106"/>
      <c r="B604" s="106"/>
      <c r="C604" s="106"/>
      <c r="D604" s="106"/>
      <c r="E604" s="106"/>
      <c r="F604" s="106"/>
      <c r="G604" s="106"/>
      <c r="H604" s="106"/>
      <c r="I604" s="106"/>
      <c r="J604" s="106"/>
      <c r="K604" s="106"/>
      <c r="L604" s="106"/>
      <c r="M604" s="106"/>
      <c r="N604" s="106"/>
      <c r="O604" s="106"/>
      <c r="P604" s="106"/>
      <c r="Q604" s="106"/>
      <c r="R604" s="106"/>
      <c r="S604" s="106"/>
      <c r="T604" s="106"/>
      <c r="U604" s="106"/>
      <c r="V604" s="106"/>
      <c r="W604" s="106"/>
      <c r="X604" s="106"/>
      <c r="Y604" s="106"/>
      <c r="Z604" s="106"/>
      <c r="AA604" s="106"/>
      <c r="AB604" s="106"/>
      <c r="AC604" s="106"/>
    </row>
    <row r="605" spans="1:29">
      <c r="A605" s="106"/>
      <c r="B605" s="106"/>
      <c r="C605" s="106"/>
      <c r="D605" s="106"/>
      <c r="E605" s="106"/>
      <c r="F605" s="106"/>
      <c r="G605" s="106"/>
      <c r="H605" s="106"/>
      <c r="I605" s="106"/>
      <c r="J605" s="106"/>
      <c r="K605" s="106"/>
      <c r="L605" s="106"/>
      <c r="M605" s="106"/>
      <c r="N605" s="106"/>
      <c r="O605" s="106"/>
      <c r="P605" s="106"/>
      <c r="Q605" s="106"/>
      <c r="R605" s="106"/>
      <c r="S605" s="106"/>
      <c r="T605" s="106"/>
      <c r="U605" s="106"/>
      <c r="V605" s="106"/>
      <c r="W605" s="106"/>
      <c r="X605" s="106"/>
      <c r="Y605" s="106"/>
      <c r="Z605" s="106"/>
      <c r="AA605" s="106"/>
      <c r="AB605" s="106"/>
      <c r="AC605" s="106"/>
    </row>
    <row r="606" spans="1:29">
      <c r="A606" s="106"/>
      <c r="B606" s="106"/>
      <c r="C606" s="106"/>
      <c r="D606" s="106"/>
      <c r="E606" s="106"/>
      <c r="F606" s="106"/>
      <c r="G606" s="106"/>
      <c r="H606" s="106"/>
      <c r="I606" s="106"/>
      <c r="J606" s="106"/>
      <c r="K606" s="106"/>
      <c r="L606" s="106"/>
      <c r="M606" s="106"/>
      <c r="N606" s="106"/>
      <c r="O606" s="106"/>
      <c r="P606" s="106"/>
      <c r="Q606" s="106"/>
      <c r="R606" s="106"/>
      <c r="S606" s="106"/>
      <c r="T606" s="106"/>
      <c r="U606" s="106"/>
      <c r="V606" s="106"/>
      <c r="W606" s="106"/>
      <c r="X606" s="106"/>
      <c r="Y606" s="106"/>
      <c r="Z606" s="106"/>
      <c r="AA606" s="106"/>
      <c r="AB606" s="106"/>
      <c r="AC606" s="106"/>
    </row>
    <row r="607" spans="1:29">
      <c r="A607" s="106"/>
      <c r="B607" s="106"/>
      <c r="C607" s="106"/>
      <c r="D607" s="106"/>
      <c r="E607" s="106"/>
      <c r="F607" s="106"/>
      <c r="G607" s="106"/>
      <c r="H607" s="106"/>
      <c r="I607" s="106"/>
      <c r="J607" s="106"/>
      <c r="K607" s="106"/>
      <c r="L607" s="106"/>
      <c r="M607" s="106"/>
      <c r="N607" s="106"/>
      <c r="O607" s="106"/>
      <c r="P607" s="106"/>
      <c r="Q607" s="106"/>
      <c r="R607" s="106"/>
      <c r="S607" s="106"/>
      <c r="T607" s="106"/>
      <c r="U607" s="106"/>
      <c r="V607" s="106"/>
      <c r="W607" s="106"/>
      <c r="X607" s="106"/>
      <c r="Y607" s="106"/>
      <c r="Z607" s="106"/>
      <c r="AA607" s="106"/>
      <c r="AB607" s="106"/>
      <c r="AC607" s="106"/>
    </row>
    <row r="608" spans="1:29">
      <c r="A608" s="106"/>
      <c r="B608" s="106"/>
      <c r="C608" s="106"/>
      <c r="D608" s="106"/>
      <c r="E608" s="106"/>
      <c r="F608" s="106"/>
      <c r="G608" s="106"/>
      <c r="H608" s="106"/>
      <c r="I608" s="106"/>
      <c r="J608" s="106"/>
      <c r="K608" s="106"/>
      <c r="L608" s="106"/>
      <c r="M608" s="106"/>
      <c r="N608" s="106"/>
      <c r="O608" s="106"/>
      <c r="P608" s="106"/>
      <c r="Q608" s="106"/>
      <c r="R608" s="106"/>
      <c r="S608" s="106"/>
      <c r="T608" s="106"/>
      <c r="U608" s="106"/>
      <c r="V608" s="106"/>
      <c r="W608" s="106"/>
      <c r="X608" s="106"/>
      <c r="Y608" s="106"/>
      <c r="Z608" s="106"/>
      <c r="AA608" s="106"/>
      <c r="AB608" s="106"/>
      <c r="AC608" s="106"/>
    </row>
    <row r="609" spans="1:29">
      <c r="A609" s="106"/>
      <c r="B609" s="106"/>
      <c r="C609" s="106"/>
      <c r="D609" s="106"/>
      <c r="E609" s="106"/>
      <c r="F609" s="106"/>
      <c r="G609" s="106"/>
      <c r="H609" s="106"/>
      <c r="I609" s="106"/>
      <c r="J609" s="106"/>
      <c r="K609" s="106"/>
      <c r="L609" s="106"/>
      <c r="M609" s="106"/>
      <c r="N609" s="106"/>
      <c r="O609" s="106"/>
      <c r="P609" s="106"/>
      <c r="Q609" s="106"/>
      <c r="R609" s="106"/>
      <c r="S609" s="106"/>
      <c r="T609" s="106"/>
      <c r="U609" s="106"/>
      <c r="V609" s="106"/>
      <c r="W609" s="106"/>
      <c r="X609" s="106"/>
      <c r="Y609" s="106"/>
      <c r="Z609" s="106"/>
      <c r="AA609" s="106"/>
      <c r="AB609" s="106"/>
      <c r="AC609" s="106"/>
    </row>
    <row r="610" spans="1:29">
      <c r="A610" s="106"/>
      <c r="B610" s="106"/>
      <c r="C610" s="106"/>
      <c r="D610" s="106"/>
      <c r="E610" s="106"/>
      <c r="F610" s="106"/>
      <c r="G610" s="106"/>
      <c r="H610" s="106"/>
      <c r="I610" s="106"/>
      <c r="J610" s="106"/>
      <c r="K610" s="106"/>
      <c r="L610" s="106"/>
      <c r="M610" s="106"/>
      <c r="N610" s="106"/>
      <c r="O610" s="106"/>
      <c r="P610" s="106"/>
      <c r="Q610" s="106"/>
      <c r="R610" s="106"/>
      <c r="S610" s="106"/>
      <c r="T610" s="106"/>
      <c r="U610" s="106"/>
      <c r="V610" s="106"/>
      <c r="W610" s="106"/>
      <c r="X610" s="106"/>
      <c r="Y610" s="106"/>
      <c r="Z610" s="106"/>
      <c r="AA610" s="106"/>
      <c r="AB610" s="106"/>
      <c r="AC610" s="106"/>
    </row>
    <row r="611" spans="1:29">
      <c r="A611" s="106"/>
      <c r="B611" s="106"/>
      <c r="C611" s="106"/>
      <c r="D611" s="106"/>
      <c r="E611" s="106"/>
      <c r="F611" s="106"/>
      <c r="G611" s="106"/>
      <c r="H611" s="106"/>
      <c r="I611" s="106"/>
      <c r="J611" s="106"/>
      <c r="K611" s="106"/>
      <c r="L611" s="106"/>
      <c r="M611" s="106"/>
      <c r="N611" s="106"/>
      <c r="O611" s="106"/>
      <c r="P611" s="106"/>
      <c r="Q611" s="106"/>
      <c r="R611" s="106"/>
      <c r="S611" s="106"/>
      <c r="T611" s="106"/>
      <c r="U611" s="106"/>
      <c r="V611" s="106"/>
      <c r="W611" s="106"/>
      <c r="X611" s="106"/>
      <c r="Y611" s="106"/>
      <c r="Z611" s="106"/>
      <c r="AA611" s="106"/>
      <c r="AB611" s="106"/>
      <c r="AC611" s="106"/>
    </row>
    <row r="612" spans="1:29">
      <c r="A612" s="106"/>
      <c r="B612" s="106"/>
      <c r="C612" s="106"/>
      <c r="D612" s="106"/>
      <c r="E612" s="106"/>
      <c r="F612" s="106"/>
      <c r="G612" s="106"/>
      <c r="H612" s="106"/>
      <c r="I612" s="106"/>
      <c r="J612" s="106"/>
      <c r="K612" s="106"/>
      <c r="L612" s="106"/>
      <c r="M612" s="106"/>
      <c r="N612" s="106"/>
      <c r="O612" s="106"/>
      <c r="P612" s="106"/>
      <c r="Q612" s="106"/>
      <c r="R612" s="106"/>
      <c r="S612" s="106"/>
      <c r="T612" s="106"/>
      <c r="U612" s="106"/>
      <c r="V612" s="106"/>
      <c r="W612" s="106"/>
      <c r="X612" s="106"/>
      <c r="Y612" s="106"/>
      <c r="Z612" s="106"/>
      <c r="AA612" s="106"/>
      <c r="AB612" s="106"/>
      <c r="AC612" s="106"/>
    </row>
    <row r="613" spans="1:29">
      <c r="A613" s="106"/>
      <c r="B613" s="106"/>
      <c r="C613" s="106"/>
      <c r="D613" s="106"/>
      <c r="E613" s="106"/>
      <c r="F613" s="106"/>
      <c r="G613" s="106"/>
      <c r="H613" s="106"/>
      <c r="I613" s="106"/>
      <c r="J613" s="106"/>
      <c r="K613" s="106"/>
      <c r="L613" s="106"/>
      <c r="M613" s="106"/>
      <c r="N613" s="106"/>
      <c r="O613" s="106"/>
      <c r="P613" s="106"/>
      <c r="Q613" s="106"/>
      <c r="R613" s="106"/>
      <c r="S613" s="106"/>
      <c r="T613" s="106"/>
      <c r="U613" s="106"/>
      <c r="V613" s="106"/>
      <c r="W613" s="106"/>
      <c r="X613" s="106"/>
      <c r="Y613" s="106"/>
      <c r="Z613" s="106"/>
      <c r="AA613" s="106"/>
      <c r="AB613" s="106"/>
      <c r="AC613" s="106"/>
    </row>
    <row r="614" spans="1:29">
      <c r="A614" s="106"/>
      <c r="B614" s="106"/>
      <c r="C614" s="106"/>
      <c r="D614" s="106"/>
      <c r="E614" s="106"/>
      <c r="F614" s="106"/>
      <c r="G614" s="106"/>
      <c r="H614" s="106"/>
      <c r="I614" s="106"/>
      <c r="J614" s="106"/>
      <c r="K614" s="106"/>
      <c r="L614" s="106"/>
      <c r="M614" s="106"/>
      <c r="N614" s="106"/>
      <c r="O614" s="106"/>
      <c r="P614" s="106"/>
      <c r="Q614" s="106"/>
      <c r="R614" s="106"/>
      <c r="S614" s="106"/>
      <c r="T614" s="106"/>
      <c r="U614" s="106"/>
      <c r="V614" s="106"/>
      <c r="W614" s="106"/>
      <c r="X614" s="106"/>
      <c r="Y614" s="106"/>
      <c r="Z614" s="106"/>
      <c r="AA614" s="106"/>
      <c r="AB614" s="106"/>
      <c r="AC614" s="106"/>
    </row>
    <row r="615" spans="1:29">
      <c r="A615" s="106"/>
      <c r="B615" s="106"/>
      <c r="C615" s="106"/>
      <c r="D615" s="106"/>
      <c r="E615" s="106"/>
      <c r="F615" s="106"/>
      <c r="G615" s="106"/>
      <c r="H615" s="106"/>
      <c r="I615" s="106"/>
      <c r="J615" s="106"/>
      <c r="K615" s="106"/>
      <c r="L615" s="106"/>
      <c r="M615" s="106"/>
      <c r="N615" s="106"/>
      <c r="O615" s="106"/>
      <c r="P615" s="106"/>
      <c r="Q615" s="106"/>
      <c r="R615" s="106"/>
      <c r="S615" s="106"/>
      <c r="T615" s="106"/>
      <c r="U615" s="106"/>
      <c r="V615" s="106"/>
      <c r="W615" s="106"/>
      <c r="X615" s="106"/>
      <c r="Y615" s="106"/>
      <c r="Z615" s="106"/>
      <c r="AA615" s="106"/>
      <c r="AB615" s="106"/>
      <c r="AC615" s="106"/>
    </row>
    <row r="616" spans="1:29">
      <c r="A616" s="106"/>
      <c r="B616" s="106"/>
      <c r="C616" s="106"/>
      <c r="D616" s="106"/>
      <c r="E616" s="106"/>
      <c r="F616" s="106"/>
      <c r="G616" s="106"/>
      <c r="H616" s="106"/>
      <c r="I616" s="106"/>
      <c r="J616" s="106"/>
      <c r="K616" s="106"/>
      <c r="L616" s="106"/>
      <c r="M616" s="106"/>
      <c r="N616" s="106"/>
      <c r="O616" s="106"/>
      <c r="P616" s="106"/>
      <c r="Q616" s="106"/>
      <c r="R616" s="106"/>
      <c r="S616" s="106"/>
      <c r="T616" s="106"/>
      <c r="U616" s="106"/>
      <c r="V616" s="106"/>
      <c r="W616" s="106"/>
      <c r="X616" s="106"/>
      <c r="Y616" s="106"/>
      <c r="Z616" s="106"/>
      <c r="AA616" s="106"/>
      <c r="AB616" s="106"/>
      <c r="AC616" s="106"/>
    </row>
    <row r="617" spans="1:29">
      <c r="A617" s="106"/>
      <c r="B617" s="106"/>
      <c r="C617" s="106"/>
      <c r="D617" s="106"/>
      <c r="E617" s="106"/>
      <c r="F617" s="106"/>
      <c r="G617" s="106"/>
      <c r="H617" s="106"/>
      <c r="I617" s="106"/>
      <c r="J617" s="106"/>
      <c r="K617" s="106"/>
      <c r="L617" s="106"/>
      <c r="M617" s="106"/>
      <c r="N617" s="106"/>
      <c r="O617" s="106"/>
      <c r="P617" s="106"/>
      <c r="Q617" s="106"/>
      <c r="R617" s="106"/>
      <c r="S617" s="106"/>
      <c r="T617" s="106"/>
      <c r="U617" s="106"/>
      <c r="V617" s="106"/>
      <c r="W617" s="106"/>
      <c r="X617" s="106"/>
      <c r="Y617" s="106"/>
      <c r="Z617" s="106"/>
      <c r="AA617" s="106"/>
      <c r="AB617" s="106"/>
      <c r="AC617" s="106"/>
    </row>
    <row r="618" spans="1:29">
      <c r="A618" s="106"/>
      <c r="B618" s="106"/>
      <c r="C618" s="106"/>
      <c r="D618" s="106"/>
      <c r="E618" s="106"/>
      <c r="F618" s="106"/>
      <c r="G618" s="106"/>
      <c r="H618" s="106"/>
      <c r="I618" s="106"/>
      <c r="J618" s="106"/>
      <c r="K618" s="106"/>
      <c r="L618" s="106"/>
      <c r="M618" s="106"/>
      <c r="N618" s="106"/>
      <c r="O618" s="106"/>
      <c r="P618" s="106"/>
      <c r="Q618" s="106"/>
      <c r="R618" s="106"/>
      <c r="S618" s="106"/>
      <c r="T618" s="106"/>
      <c r="U618" s="106"/>
      <c r="V618" s="106"/>
      <c r="W618" s="106"/>
      <c r="X618" s="106"/>
      <c r="Y618" s="106"/>
      <c r="Z618" s="106"/>
      <c r="AA618" s="106"/>
      <c r="AB618" s="106"/>
      <c r="AC618" s="106"/>
    </row>
    <row r="619" spans="1:29">
      <c r="A619" s="106"/>
      <c r="B619" s="106"/>
      <c r="C619" s="106"/>
      <c r="D619" s="106"/>
      <c r="E619" s="106"/>
      <c r="F619" s="106"/>
      <c r="G619" s="106"/>
      <c r="H619" s="106"/>
      <c r="I619" s="106"/>
      <c r="J619" s="106"/>
      <c r="K619" s="106"/>
      <c r="L619" s="106"/>
      <c r="M619" s="106"/>
      <c r="N619" s="106"/>
      <c r="O619" s="106"/>
      <c r="P619" s="106"/>
      <c r="Q619" s="106"/>
      <c r="R619" s="106"/>
      <c r="S619" s="106"/>
      <c r="T619" s="106"/>
      <c r="U619" s="106"/>
      <c r="V619" s="106"/>
      <c r="W619" s="106"/>
      <c r="X619" s="106"/>
      <c r="Y619" s="106"/>
      <c r="Z619" s="106"/>
      <c r="AA619" s="106"/>
      <c r="AB619" s="106"/>
      <c r="AC619" s="106"/>
    </row>
    <row r="620" spans="1:29">
      <c r="A620" s="106"/>
      <c r="B620" s="106"/>
      <c r="C620" s="106"/>
      <c r="D620" s="106"/>
      <c r="E620" s="106"/>
      <c r="F620" s="106"/>
      <c r="G620" s="106"/>
      <c r="H620" s="106"/>
      <c r="I620" s="106"/>
      <c r="J620" s="106"/>
      <c r="K620" s="106"/>
      <c r="L620" s="106"/>
      <c r="M620" s="106"/>
      <c r="N620" s="106"/>
      <c r="O620" s="106"/>
      <c r="P620" s="106"/>
      <c r="Q620" s="106"/>
      <c r="R620" s="106"/>
      <c r="S620" s="106"/>
      <c r="T620" s="106"/>
      <c r="U620" s="106"/>
      <c r="V620" s="106"/>
      <c r="W620" s="106"/>
      <c r="X620" s="106"/>
      <c r="Y620" s="106"/>
      <c r="Z620" s="106"/>
      <c r="AA620" s="106"/>
      <c r="AB620" s="106"/>
      <c r="AC620" s="106"/>
    </row>
    <row r="621" spans="1:29">
      <c r="A621" s="106"/>
      <c r="B621" s="106"/>
      <c r="C621" s="106"/>
      <c r="D621" s="106"/>
      <c r="E621" s="106"/>
      <c r="F621" s="106"/>
      <c r="G621" s="106"/>
      <c r="H621" s="106"/>
      <c r="I621" s="106"/>
      <c r="J621" s="106"/>
      <c r="K621" s="106"/>
      <c r="L621" s="106"/>
      <c r="M621" s="106"/>
      <c r="N621" s="106"/>
      <c r="O621" s="106"/>
      <c r="P621" s="106"/>
      <c r="Q621" s="106"/>
      <c r="R621" s="106"/>
      <c r="S621" s="106"/>
      <c r="T621" s="106"/>
      <c r="U621" s="106"/>
      <c r="V621" s="106"/>
      <c r="W621" s="106"/>
      <c r="X621" s="106"/>
      <c r="Y621" s="106"/>
      <c r="Z621" s="106"/>
      <c r="AA621" s="106"/>
      <c r="AB621" s="106"/>
      <c r="AC621" s="106"/>
    </row>
    <row r="622" spans="1:29">
      <c r="A622" s="106"/>
      <c r="B622" s="106"/>
      <c r="C622" s="106"/>
      <c r="D622" s="106"/>
      <c r="E622" s="106"/>
      <c r="F622" s="106"/>
      <c r="G622" s="106"/>
      <c r="H622" s="106"/>
      <c r="I622" s="106"/>
      <c r="J622" s="106"/>
      <c r="K622" s="106"/>
      <c r="L622" s="106"/>
      <c r="M622" s="106"/>
      <c r="N622" s="106"/>
      <c r="O622" s="106"/>
      <c r="P622" s="106"/>
      <c r="Q622" s="106"/>
      <c r="R622" s="106"/>
      <c r="S622" s="106"/>
      <c r="T622" s="106"/>
      <c r="U622" s="106"/>
      <c r="V622" s="106"/>
      <c r="W622" s="106"/>
      <c r="X622" s="106"/>
      <c r="Y622" s="106"/>
      <c r="Z622" s="106"/>
      <c r="AA622" s="106"/>
      <c r="AB622" s="106"/>
      <c r="AC622" s="106"/>
    </row>
    <row r="623" spans="1:29">
      <c r="A623" s="106"/>
      <c r="B623" s="106"/>
      <c r="C623" s="106"/>
      <c r="D623" s="106"/>
      <c r="E623" s="106"/>
      <c r="F623" s="106"/>
      <c r="G623" s="106"/>
      <c r="H623" s="106"/>
      <c r="I623" s="106"/>
      <c r="J623" s="106"/>
      <c r="K623" s="106"/>
      <c r="L623" s="106"/>
      <c r="M623" s="106"/>
      <c r="N623" s="106"/>
      <c r="O623" s="106"/>
      <c r="P623" s="106"/>
      <c r="Q623" s="106"/>
      <c r="R623" s="106"/>
      <c r="S623" s="106"/>
      <c r="T623" s="106"/>
      <c r="U623" s="106"/>
      <c r="V623" s="106"/>
      <c r="W623" s="106"/>
      <c r="X623" s="106"/>
      <c r="Y623" s="106"/>
      <c r="Z623" s="106"/>
      <c r="AA623" s="106"/>
      <c r="AB623" s="106"/>
      <c r="AC623" s="106"/>
    </row>
    <row r="624" spans="1:29">
      <c r="A624" s="106"/>
      <c r="B624" s="106"/>
      <c r="C624" s="106"/>
      <c r="D624" s="106"/>
      <c r="E624" s="106"/>
      <c r="F624" s="106"/>
      <c r="G624" s="106"/>
      <c r="H624" s="106"/>
      <c r="I624" s="106"/>
      <c r="J624" s="106"/>
      <c r="K624" s="106"/>
      <c r="L624" s="106"/>
      <c r="M624" s="106"/>
      <c r="N624" s="106"/>
      <c r="O624" s="106"/>
      <c r="P624" s="106"/>
      <c r="Q624" s="106"/>
      <c r="R624" s="106"/>
      <c r="S624" s="106"/>
      <c r="T624" s="106"/>
      <c r="U624" s="106"/>
      <c r="V624" s="106"/>
      <c r="W624" s="106"/>
      <c r="X624" s="106"/>
      <c r="Y624" s="106"/>
      <c r="Z624" s="106"/>
      <c r="AA624" s="106"/>
      <c r="AB624" s="106"/>
      <c r="AC624" s="106"/>
    </row>
    <row r="625" spans="1:29">
      <c r="A625" s="106"/>
      <c r="B625" s="106"/>
      <c r="C625" s="106"/>
      <c r="D625" s="106"/>
      <c r="E625" s="106"/>
      <c r="F625" s="106"/>
      <c r="G625" s="106"/>
      <c r="H625" s="106"/>
      <c r="I625" s="106"/>
      <c r="J625" s="106"/>
      <c r="K625" s="106"/>
      <c r="L625" s="106"/>
      <c r="M625" s="106"/>
      <c r="N625" s="106"/>
      <c r="O625" s="106"/>
      <c r="P625" s="106"/>
      <c r="Q625" s="106"/>
      <c r="R625" s="106"/>
      <c r="S625" s="106"/>
      <c r="T625" s="106"/>
      <c r="U625" s="106"/>
      <c r="V625" s="106"/>
      <c r="W625" s="106"/>
      <c r="X625" s="106"/>
      <c r="Y625" s="106"/>
      <c r="Z625" s="106"/>
      <c r="AA625" s="106"/>
      <c r="AB625" s="106"/>
      <c r="AC625" s="106"/>
    </row>
    <row r="626" spans="1:29">
      <c r="A626" s="106"/>
      <c r="B626" s="106"/>
      <c r="C626" s="106"/>
      <c r="D626" s="106"/>
      <c r="E626" s="106"/>
      <c r="F626" s="106"/>
      <c r="G626" s="106"/>
      <c r="H626" s="106"/>
      <c r="I626" s="106"/>
      <c r="J626" s="106"/>
      <c r="K626" s="106"/>
      <c r="L626" s="106"/>
      <c r="M626" s="106"/>
      <c r="N626" s="106"/>
      <c r="O626" s="106"/>
      <c r="P626" s="106"/>
      <c r="Q626" s="106"/>
      <c r="R626" s="106"/>
      <c r="S626" s="106"/>
      <c r="T626" s="106"/>
      <c r="U626" s="106"/>
      <c r="V626" s="106"/>
      <c r="W626" s="106"/>
      <c r="X626" s="106"/>
      <c r="Y626" s="106"/>
      <c r="Z626" s="106"/>
      <c r="AA626" s="106"/>
      <c r="AB626" s="106"/>
      <c r="AC626" s="106"/>
    </row>
    <row r="627" spans="1:29">
      <c r="A627" s="106"/>
      <c r="B627" s="106"/>
      <c r="C627" s="106"/>
      <c r="D627" s="106"/>
      <c r="E627" s="106"/>
      <c r="F627" s="106"/>
      <c r="G627" s="106"/>
      <c r="H627" s="106"/>
      <c r="I627" s="106"/>
      <c r="J627" s="106"/>
      <c r="K627" s="106"/>
      <c r="L627" s="106"/>
      <c r="M627" s="106"/>
      <c r="N627" s="106"/>
      <c r="O627" s="106"/>
      <c r="P627" s="106"/>
      <c r="Q627" s="106"/>
      <c r="R627" s="106"/>
      <c r="S627" s="106"/>
      <c r="T627" s="106"/>
      <c r="U627" s="106"/>
      <c r="V627" s="106"/>
      <c r="W627" s="106"/>
      <c r="X627" s="106"/>
      <c r="Y627" s="106"/>
      <c r="Z627" s="106"/>
      <c r="AA627" s="106"/>
      <c r="AB627" s="106"/>
      <c r="AC627" s="106"/>
    </row>
    <row r="628" spans="1:29">
      <c r="A628" s="106"/>
      <c r="B628" s="106"/>
      <c r="C628" s="106"/>
      <c r="D628" s="106"/>
      <c r="E628" s="106"/>
      <c r="F628" s="106"/>
      <c r="G628" s="106"/>
      <c r="H628" s="106"/>
      <c r="I628" s="106"/>
      <c r="J628" s="106"/>
      <c r="K628" s="106"/>
      <c r="L628" s="106"/>
      <c r="M628" s="106"/>
      <c r="N628" s="106"/>
      <c r="O628" s="106"/>
      <c r="P628" s="106"/>
      <c r="Q628" s="106"/>
      <c r="R628" s="106"/>
      <c r="S628" s="106"/>
      <c r="T628" s="106"/>
      <c r="U628" s="106"/>
      <c r="V628" s="106"/>
      <c r="W628" s="106"/>
      <c r="X628" s="106"/>
      <c r="Y628" s="106"/>
      <c r="Z628" s="106"/>
      <c r="AA628" s="106"/>
      <c r="AB628" s="106"/>
      <c r="AC628" s="106"/>
    </row>
    <row r="629" spans="1:29">
      <c r="A629" s="106"/>
      <c r="B629" s="106"/>
      <c r="C629" s="106"/>
      <c r="D629" s="106"/>
      <c r="E629" s="106"/>
      <c r="F629" s="106"/>
      <c r="G629" s="106"/>
      <c r="H629" s="106"/>
      <c r="I629" s="106"/>
      <c r="J629" s="106"/>
      <c r="K629" s="106"/>
      <c r="L629" s="106"/>
      <c r="M629" s="106"/>
      <c r="N629" s="106"/>
      <c r="O629" s="106"/>
      <c r="P629" s="106"/>
      <c r="Q629" s="106"/>
      <c r="R629" s="106"/>
      <c r="S629" s="106"/>
      <c r="T629" s="106"/>
      <c r="U629" s="106"/>
      <c r="V629" s="106"/>
      <c r="W629" s="106"/>
      <c r="X629" s="106"/>
      <c r="Y629" s="106"/>
      <c r="Z629" s="106"/>
      <c r="AA629" s="106"/>
      <c r="AB629" s="106"/>
      <c r="AC629" s="106"/>
    </row>
    <row r="630" spans="1:29">
      <c r="A630" s="106"/>
      <c r="B630" s="106"/>
      <c r="C630" s="106"/>
      <c r="D630" s="106"/>
      <c r="E630" s="106"/>
      <c r="F630" s="106"/>
      <c r="G630" s="106"/>
      <c r="H630" s="106"/>
      <c r="I630" s="106"/>
      <c r="J630" s="106"/>
      <c r="K630" s="106"/>
      <c r="L630" s="106"/>
      <c r="M630" s="106"/>
      <c r="N630" s="106"/>
      <c r="O630" s="106"/>
      <c r="P630" s="106"/>
      <c r="Q630" s="106"/>
      <c r="R630" s="106"/>
      <c r="S630" s="106"/>
      <c r="T630" s="106"/>
      <c r="U630" s="106"/>
      <c r="V630" s="106"/>
      <c r="W630" s="106"/>
      <c r="X630" s="106"/>
      <c r="Y630" s="106"/>
      <c r="Z630" s="106"/>
      <c r="AA630" s="106"/>
      <c r="AB630" s="106"/>
      <c r="AC630" s="106"/>
    </row>
    <row r="631" spans="1:29">
      <c r="A631" s="106"/>
      <c r="B631" s="106"/>
      <c r="C631" s="106"/>
      <c r="D631" s="106"/>
      <c r="E631" s="106"/>
      <c r="F631" s="106"/>
      <c r="G631" s="106"/>
      <c r="H631" s="106"/>
      <c r="I631" s="106"/>
      <c r="J631" s="106"/>
      <c r="K631" s="106"/>
      <c r="L631" s="106"/>
      <c r="M631" s="106"/>
      <c r="N631" s="106"/>
      <c r="O631" s="106"/>
      <c r="P631" s="106"/>
      <c r="Q631" s="106"/>
      <c r="R631" s="106"/>
      <c r="S631" s="106"/>
      <c r="T631" s="106"/>
      <c r="U631" s="106"/>
      <c r="V631" s="106"/>
      <c r="W631" s="106"/>
      <c r="X631" s="106"/>
      <c r="Y631" s="106"/>
      <c r="Z631" s="106"/>
      <c r="AA631" s="106"/>
      <c r="AB631" s="106"/>
      <c r="AC631" s="106"/>
    </row>
    <row r="632" spans="1:29">
      <c r="A632" s="106"/>
      <c r="B632" s="106"/>
      <c r="C632" s="106"/>
      <c r="D632" s="106"/>
      <c r="E632" s="106"/>
      <c r="F632" s="106"/>
      <c r="G632" s="106"/>
      <c r="H632" s="106"/>
      <c r="I632" s="106"/>
      <c r="J632" s="106"/>
      <c r="K632" s="106"/>
      <c r="L632" s="106"/>
      <c r="M632" s="106"/>
      <c r="N632" s="106"/>
      <c r="O632" s="106"/>
      <c r="P632" s="106"/>
      <c r="Q632" s="106"/>
      <c r="R632" s="106"/>
      <c r="S632" s="106"/>
      <c r="T632" s="106"/>
      <c r="U632" s="106"/>
      <c r="V632" s="106"/>
      <c r="W632" s="106"/>
      <c r="X632" s="106"/>
      <c r="Y632" s="106"/>
      <c r="Z632" s="106"/>
      <c r="AA632" s="106"/>
      <c r="AB632" s="106"/>
      <c r="AC632" s="106"/>
    </row>
    <row r="633" spans="1:29">
      <c r="A633" s="106"/>
      <c r="B633" s="106"/>
      <c r="C633" s="106"/>
      <c r="D633" s="106"/>
      <c r="E633" s="106"/>
      <c r="F633" s="106"/>
      <c r="G633" s="106"/>
      <c r="H633" s="106"/>
      <c r="I633" s="106"/>
      <c r="J633" s="106"/>
      <c r="K633" s="106"/>
      <c r="L633" s="106"/>
      <c r="M633" s="106"/>
      <c r="N633" s="106"/>
      <c r="O633" s="106"/>
      <c r="P633" s="106"/>
      <c r="Q633" s="106"/>
      <c r="R633" s="106"/>
      <c r="S633" s="106"/>
      <c r="T633" s="106"/>
      <c r="U633" s="106"/>
      <c r="V633" s="106"/>
      <c r="W633" s="106"/>
      <c r="X633" s="106"/>
      <c r="Y633" s="106"/>
      <c r="Z633" s="106"/>
      <c r="AA633" s="106"/>
      <c r="AB633" s="106"/>
      <c r="AC633" s="106"/>
    </row>
    <row r="634" spans="1:29">
      <c r="A634" s="106"/>
      <c r="B634" s="106"/>
      <c r="C634" s="106"/>
      <c r="D634" s="106"/>
      <c r="E634" s="106"/>
      <c r="F634" s="106"/>
      <c r="G634" s="106"/>
      <c r="H634" s="106"/>
      <c r="I634" s="106"/>
      <c r="J634" s="106"/>
      <c r="K634" s="106"/>
      <c r="L634" s="106"/>
      <c r="M634" s="106"/>
      <c r="N634" s="106"/>
      <c r="O634" s="106"/>
      <c r="P634" s="106"/>
      <c r="Q634" s="106"/>
      <c r="R634" s="106"/>
      <c r="S634" s="106"/>
      <c r="T634" s="106"/>
      <c r="U634" s="106"/>
      <c r="V634" s="106"/>
      <c r="W634" s="106"/>
      <c r="X634" s="106"/>
      <c r="Y634" s="106"/>
      <c r="Z634" s="106"/>
      <c r="AA634" s="106"/>
      <c r="AB634" s="106"/>
      <c r="AC634" s="106"/>
    </row>
    <row r="635" spans="1:29">
      <c r="A635" s="106"/>
      <c r="B635" s="106"/>
      <c r="C635" s="106"/>
      <c r="D635" s="106"/>
      <c r="E635" s="106"/>
      <c r="F635" s="106"/>
      <c r="G635" s="106"/>
      <c r="H635" s="106"/>
      <c r="I635" s="106"/>
      <c r="J635" s="106"/>
      <c r="K635" s="106"/>
      <c r="L635" s="106"/>
      <c r="M635" s="106"/>
      <c r="N635" s="106"/>
      <c r="O635" s="106"/>
      <c r="P635" s="106"/>
      <c r="Q635" s="106"/>
      <c r="R635" s="106"/>
      <c r="S635" s="106"/>
      <c r="T635" s="106"/>
      <c r="U635" s="106"/>
      <c r="V635" s="106"/>
      <c r="W635" s="106"/>
      <c r="X635" s="106"/>
      <c r="Y635" s="106"/>
      <c r="Z635" s="106"/>
      <c r="AA635" s="106"/>
      <c r="AB635" s="106"/>
      <c r="AC635" s="106"/>
    </row>
    <row r="636" spans="1:29">
      <c r="A636" s="106"/>
      <c r="B636" s="106"/>
      <c r="C636" s="106"/>
      <c r="D636" s="106"/>
      <c r="E636" s="106"/>
      <c r="F636" s="106"/>
      <c r="G636" s="106"/>
      <c r="H636" s="106"/>
      <c r="I636" s="106"/>
      <c r="J636" s="106"/>
      <c r="K636" s="106"/>
      <c r="L636" s="106"/>
      <c r="M636" s="106"/>
      <c r="N636" s="106"/>
      <c r="O636" s="106"/>
      <c r="P636" s="106"/>
      <c r="Q636" s="106"/>
      <c r="R636" s="106"/>
      <c r="S636" s="106"/>
      <c r="T636" s="106"/>
      <c r="U636" s="106"/>
      <c r="V636" s="106"/>
      <c r="W636" s="106"/>
      <c r="X636" s="106"/>
      <c r="Y636" s="106"/>
      <c r="Z636" s="106"/>
      <c r="AA636" s="106"/>
      <c r="AB636" s="106"/>
      <c r="AC636" s="106"/>
    </row>
    <row r="637" spans="1:29">
      <c r="A637" s="106"/>
      <c r="B637" s="106"/>
      <c r="C637" s="106"/>
      <c r="D637" s="106"/>
      <c r="E637" s="106"/>
      <c r="F637" s="106"/>
      <c r="G637" s="106"/>
      <c r="H637" s="106"/>
      <c r="I637" s="106"/>
      <c r="J637" s="106"/>
      <c r="K637" s="106"/>
      <c r="L637" s="106"/>
      <c r="M637" s="106"/>
      <c r="N637" s="106"/>
      <c r="O637" s="106"/>
      <c r="P637" s="106"/>
      <c r="Q637" s="106"/>
      <c r="R637" s="106"/>
      <c r="S637" s="106"/>
      <c r="T637" s="106"/>
      <c r="U637" s="106"/>
      <c r="V637" s="106"/>
      <c r="W637" s="106"/>
      <c r="X637" s="106"/>
      <c r="Y637" s="106"/>
      <c r="Z637" s="106"/>
      <c r="AA637" s="106"/>
      <c r="AB637" s="106"/>
      <c r="AC637" s="106"/>
    </row>
    <row r="638" spans="1:29">
      <c r="A638" s="106"/>
      <c r="B638" s="106"/>
      <c r="C638" s="106"/>
      <c r="D638" s="106"/>
      <c r="E638" s="106"/>
      <c r="F638" s="106"/>
      <c r="G638" s="106"/>
      <c r="H638" s="106"/>
      <c r="I638" s="106"/>
      <c r="J638" s="106"/>
      <c r="K638" s="106"/>
      <c r="L638" s="106"/>
      <c r="M638" s="106"/>
      <c r="N638" s="106"/>
      <c r="O638" s="106"/>
      <c r="P638" s="106"/>
      <c r="Q638" s="106"/>
      <c r="R638" s="106"/>
      <c r="S638" s="106"/>
      <c r="T638" s="106"/>
      <c r="U638" s="106"/>
      <c r="V638" s="106"/>
      <c r="W638" s="106"/>
      <c r="X638" s="106"/>
      <c r="Y638" s="106"/>
      <c r="Z638" s="106"/>
      <c r="AA638" s="106"/>
      <c r="AB638" s="106"/>
      <c r="AC638" s="106"/>
    </row>
    <row r="639" spans="1:29">
      <c r="A639" s="106"/>
      <c r="B639" s="106"/>
      <c r="C639" s="106"/>
      <c r="D639" s="106"/>
      <c r="E639" s="106"/>
      <c r="F639" s="106"/>
      <c r="G639" s="106"/>
      <c r="H639" s="106"/>
      <c r="I639" s="106"/>
      <c r="J639" s="106"/>
      <c r="K639" s="106"/>
      <c r="L639" s="106"/>
      <c r="M639" s="106"/>
      <c r="N639" s="106"/>
      <c r="O639" s="106"/>
      <c r="P639" s="106"/>
      <c r="Q639" s="106"/>
      <c r="R639" s="106"/>
      <c r="S639" s="106"/>
      <c r="T639" s="106"/>
      <c r="U639" s="106"/>
      <c r="V639" s="106"/>
      <c r="W639" s="106"/>
      <c r="X639" s="106"/>
      <c r="Y639" s="106"/>
      <c r="Z639" s="106"/>
      <c r="AA639" s="106"/>
      <c r="AB639" s="106"/>
      <c r="AC639" s="106"/>
    </row>
    <row r="640" spans="1:29">
      <c r="A640" s="106"/>
      <c r="B640" s="106"/>
      <c r="C640" s="106"/>
      <c r="D640" s="106"/>
      <c r="E640" s="106"/>
      <c r="F640" s="106"/>
      <c r="G640" s="106"/>
      <c r="H640" s="106"/>
      <c r="I640" s="106"/>
      <c r="J640" s="106"/>
      <c r="K640" s="106"/>
      <c r="L640" s="106"/>
      <c r="M640" s="106"/>
      <c r="N640" s="106"/>
      <c r="O640" s="106"/>
      <c r="P640" s="106"/>
      <c r="Q640" s="106"/>
      <c r="R640" s="106"/>
      <c r="S640" s="106"/>
      <c r="T640" s="106"/>
      <c r="U640" s="106"/>
      <c r="V640" s="106"/>
      <c r="W640" s="106"/>
      <c r="X640" s="106"/>
      <c r="Y640" s="106"/>
      <c r="Z640" s="106"/>
      <c r="AA640" s="106"/>
      <c r="AB640" s="106"/>
      <c r="AC640" s="106"/>
    </row>
    <row r="641" spans="1:29">
      <c r="A641" s="106"/>
      <c r="B641" s="106"/>
      <c r="C641" s="106"/>
      <c r="D641" s="106"/>
      <c r="E641" s="106"/>
      <c r="F641" s="106"/>
      <c r="G641" s="106"/>
      <c r="H641" s="106"/>
      <c r="I641" s="106"/>
      <c r="J641" s="106"/>
      <c r="K641" s="106"/>
      <c r="L641" s="106"/>
      <c r="M641" s="106"/>
      <c r="N641" s="106"/>
      <c r="O641" s="106"/>
      <c r="P641" s="106"/>
      <c r="Q641" s="106"/>
      <c r="R641" s="106"/>
      <c r="S641" s="106"/>
      <c r="T641" s="106"/>
      <c r="U641" s="106"/>
      <c r="V641" s="106"/>
      <c r="W641" s="106"/>
      <c r="X641" s="106"/>
      <c r="Y641" s="106"/>
      <c r="Z641" s="106"/>
      <c r="AA641" s="106"/>
      <c r="AB641" s="106"/>
      <c r="AC641" s="106"/>
    </row>
    <row r="642" spans="1:29">
      <c r="A642" s="106"/>
      <c r="B642" s="106"/>
      <c r="C642" s="106"/>
      <c r="D642" s="106"/>
      <c r="E642" s="106"/>
      <c r="F642" s="106"/>
      <c r="G642" s="106"/>
      <c r="H642" s="106"/>
      <c r="I642" s="106"/>
      <c r="J642" s="106"/>
      <c r="K642" s="106"/>
      <c r="L642" s="106"/>
      <c r="M642" s="106"/>
      <c r="N642" s="106"/>
      <c r="O642" s="106"/>
      <c r="P642" s="106"/>
      <c r="Q642" s="106"/>
      <c r="R642" s="106"/>
      <c r="S642" s="106"/>
      <c r="T642" s="106"/>
      <c r="U642" s="106"/>
      <c r="V642" s="106"/>
      <c r="W642" s="106"/>
      <c r="X642" s="106"/>
      <c r="Y642" s="106"/>
      <c r="Z642" s="106"/>
      <c r="AA642" s="106"/>
      <c r="AB642" s="106"/>
      <c r="AC642" s="106"/>
    </row>
    <row r="643" spans="1:29">
      <c r="A643" s="106"/>
      <c r="B643" s="106"/>
      <c r="C643" s="106"/>
      <c r="D643" s="106"/>
      <c r="E643" s="106"/>
      <c r="F643" s="106"/>
      <c r="G643" s="106"/>
      <c r="H643" s="106"/>
      <c r="I643" s="106"/>
      <c r="J643" s="106"/>
      <c r="K643" s="106"/>
      <c r="L643" s="106"/>
      <c r="M643" s="106"/>
      <c r="N643" s="106"/>
      <c r="O643" s="106"/>
      <c r="P643" s="106"/>
      <c r="Q643" s="106"/>
      <c r="R643" s="106"/>
      <c r="S643" s="106"/>
      <c r="T643" s="106"/>
      <c r="U643" s="106"/>
      <c r="V643" s="106"/>
      <c r="W643" s="106"/>
      <c r="X643" s="106"/>
      <c r="Y643" s="106"/>
      <c r="Z643" s="106"/>
      <c r="AA643" s="106"/>
      <c r="AB643" s="106"/>
      <c r="AC643" s="106"/>
    </row>
    <row r="644" spans="1:29">
      <c r="A644" s="106"/>
      <c r="B644" s="106"/>
      <c r="C644" s="106"/>
      <c r="D644" s="106"/>
      <c r="E644" s="106"/>
      <c r="F644" s="106"/>
      <c r="G644" s="106"/>
      <c r="H644" s="106"/>
      <c r="I644" s="106"/>
      <c r="J644" s="106"/>
      <c r="K644" s="106"/>
      <c r="L644" s="106"/>
      <c r="M644" s="106"/>
      <c r="N644" s="106"/>
      <c r="O644" s="106"/>
      <c r="P644" s="106"/>
      <c r="Q644" s="106"/>
      <c r="R644" s="106"/>
      <c r="S644" s="106"/>
      <c r="T644" s="106"/>
      <c r="U644" s="106"/>
      <c r="V644" s="106"/>
      <c r="W644" s="106"/>
      <c r="X644" s="106"/>
      <c r="Y644" s="106"/>
      <c r="Z644" s="106"/>
      <c r="AA644" s="106"/>
      <c r="AB644" s="106"/>
      <c r="AC644" s="106"/>
    </row>
    <row r="645" spans="1:29">
      <c r="A645" s="106"/>
      <c r="B645" s="106"/>
      <c r="C645" s="106"/>
      <c r="D645" s="106"/>
      <c r="E645" s="106"/>
      <c r="F645" s="106"/>
      <c r="G645" s="106"/>
      <c r="H645" s="106"/>
      <c r="I645" s="106"/>
      <c r="J645" s="106"/>
      <c r="K645" s="106"/>
      <c r="L645" s="106"/>
      <c r="M645" s="106"/>
      <c r="N645" s="106"/>
      <c r="O645" s="106"/>
      <c r="P645" s="106"/>
      <c r="Q645" s="106"/>
      <c r="R645" s="106"/>
      <c r="S645" s="106"/>
      <c r="T645" s="106"/>
      <c r="U645" s="106"/>
      <c r="V645" s="106"/>
      <c r="W645" s="106"/>
      <c r="X645" s="106"/>
      <c r="Y645" s="106"/>
      <c r="Z645" s="106"/>
      <c r="AA645" s="106"/>
      <c r="AB645" s="106"/>
      <c r="AC645" s="106"/>
    </row>
    <row r="646" spans="1:29">
      <c r="A646" s="106"/>
      <c r="B646" s="106"/>
      <c r="C646" s="106"/>
      <c r="D646" s="106"/>
      <c r="E646" s="106"/>
      <c r="F646" s="106"/>
      <c r="G646" s="106"/>
      <c r="H646" s="106"/>
      <c r="I646" s="106"/>
      <c r="J646" s="106"/>
      <c r="K646" s="106"/>
      <c r="L646" s="106"/>
      <c r="M646" s="106"/>
      <c r="N646" s="106"/>
      <c r="O646" s="106"/>
      <c r="P646" s="106"/>
      <c r="Q646" s="106"/>
      <c r="R646" s="106"/>
      <c r="S646" s="106"/>
      <c r="T646" s="106"/>
      <c r="U646" s="106"/>
      <c r="V646" s="106"/>
      <c r="W646" s="106"/>
      <c r="X646" s="106"/>
      <c r="Y646" s="106"/>
      <c r="Z646" s="106"/>
      <c r="AA646" s="106"/>
      <c r="AB646" s="106"/>
      <c r="AC646" s="106"/>
    </row>
    <row r="647" spans="1:29">
      <c r="A647" s="106"/>
      <c r="B647" s="106"/>
      <c r="C647" s="106"/>
      <c r="D647" s="106"/>
      <c r="E647" s="106"/>
      <c r="F647" s="106"/>
      <c r="G647" s="106"/>
      <c r="H647" s="106"/>
      <c r="I647" s="106"/>
      <c r="J647" s="106"/>
      <c r="K647" s="106"/>
      <c r="L647" s="106"/>
      <c r="M647" s="106"/>
      <c r="N647" s="106"/>
      <c r="O647" s="106"/>
      <c r="P647" s="106"/>
      <c r="Q647" s="106"/>
      <c r="R647" s="106"/>
      <c r="S647" s="106"/>
      <c r="T647" s="106"/>
      <c r="U647" s="106"/>
      <c r="V647" s="106"/>
      <c r="W647" s="106"/>
      <c r="X647" s="106"/>
      <c r="Y647" s="106"/>
      <c r="Z647" s="106"/>
      <c r="AA647" s="106"/>
      <c r="AB647" s="106"/>
      <c r="AC647" s="106"/>
    </row>
    <row r="648" spans="1:29">
      <c r="A648" s="106"/>
      <c r="B648" s="106"/>
      <c r="C648" s="106"/>
      <c r="D648" s="106"/>
      <c r="E648" s="106"/>
      <c r="F648" s="106"/>
      <c r="G648" s="106"/>
      <c r="H648" s="106"/>
      <c r="I648" s="106"/>
      <c r="J648" s="106"/>
      <c r="K648" s="106"/>
      <c r="L648" s="106"/>
      <c r="M648" s="106"/>
      <c r="N648" s="106"/>
      <c r="O648" s="106"/>
      <c r="P648" s="106"/>
      <c r="Q648" s="106"/>
      <c r="R648" s="106"/>
      <c r="S648" s="106"/>
      <c r="T648" s="106"/>
      <c r="U648" s="106"/>
      <c r="V648" s="106"/>
      <c r="W648" s="106"/>
      <c r="X648" s="106"/>
      <c r="Y648" s="106"/>
      <c r="Z648" s="106"/>
      <c r="AA648" s="106"/>
      <c r="AB648" s="106"/>
      <c r="AC648" s="106"/>
    </row>
    <row r="649" spans="1:29">
      <c r="A649" s="106"/>
      <c r="B649" s="106"/>
      <c r="C649" s="106"/>
      <c r="D649" s="106"/>
      <c r="E649" s="106"/>
      <c r="F649" s="106"/>
      <c r="G649" s="106"/>
      <c r="H649" s="106"/>
      <c r="I649" s="106"/>
      <c r="J649" s="106"/>
      <c r="K649" s="106"/>
      <c r="L649" s="106"/>
      <c r="M649" s="106"/>
      <c r="N649" s="106"/>
      <c r="O649" s="106"/>
      <c r="P649" s="106"/>
      <c r="Q649" s="106"/>
      <c r="R649" s="106"/>
      <c r="S649" s="106"/>
      <c r="T649" s="106"/>
      <c r="U649" s="106"/>
      <c r="V649" s="106"/>
      <c r="W649" s="106"/>
      <c r="X649" s="106"/>
      <c r="Y649" s="106"/>
      <c r="Z649" s="106"/>
      <c r="AA649" s="106"/>
      <c r="AB649" s="106"/>
      <c r="AC649" s="106"/>
    </row>
    <row r="650" spans="1:29">
      <c r="A650" s="106"/>
      <c r="B650" s="106"/>
      <c r="C650" s="106"/>
      <c r="D650" s="106"/>
      <c r="E650" s="106"/>
      <c r="F650" s="106"/>
      <c r="G650" s="106"/>
      <c r="H650" s="106"/>
      <c r="I650" s="106"/>
      <c r="J650" s="106"/>
      <c r="K650" s="106"/>
      <c r="L650" s="106"/>
      <c r="M650" s="106"/>
      <c r="N650" s="106"/>
      <c r="O650" s="106"/>
      <c r="P650" s="106"/>
      <c r="Q650" s="106"/>
      <c r="R650" s="106"/>
      <c r="S650" s="106"/>
      <c r="T650" s="106"/>
      <c r="U650" s="106"/>
      <c r="V650" s="106"/>
      <c r="W650" s="106"/>
      <c r="X650" s="106"/>
      <c r="Y650" s="106"/>
      <c r="Z650" s="106"/>
      <c r="AA650" s="106"/>
      <c r="AB650" s="106"/>
      <c r="AC650" s="106"/>
    </row>
    <row r="651" spans="1:29">
      <c r="A651" s="106"/>
      <c r="B651" s="106"/>
      <c r="C651" s="106"/>
      <c r="D651" s="106"/>
      <c r="E651" s="106"/>
      <c r="F651" s="106"/>
      <c r="G651" s="106"/>
      <c r="H651" s="106"/>
      <c r="I651" s="106"/>
      <c r="J651" s="106"/>
      <c r="K651" s="106"/>
      <c r="L651" s="106"/>
      <c r="M651" s="106"/>
      <c r="N651" s="106"/>
      <c r="O651" s="106"/>
      <c r="P651" s="106"/>
      <c r="Q651" s="106"/>
      <c r="R651" s="106"/>
      <c r="S651" s="106"/>
      <c r="T651" s="106"/>
      <c r="U651" s="106"/>
      <c r="V651" s="106"/>
      <c r="W651" s="106"/>
      <c r="X651" s="106"/>
      <c r="Y651" s="106"/>
      <c r="Z651" s="106"/>
      <c r="AA651" s="106"/>
      <c r="AB651" s="106"/>
      <c r="AC651" s="106"/>
    </row>
    <row r="652" spans="1:29">
      <c r="A652" s="106"/>
      <c r="B652" s="106"/>
      <c r="C652" s="106"/>
      <c r="D652" s="106"/>
      <c r="E652" s="106"/>
      <c r="F652" s="106"/>
      <c r="G652" s="106"/>
      <c r="H652" s="106"/>
      <c r="I652" s="106"/>
      <c r="J652" s="106"/>
      <c r="K652" s="106"/>
      <c r="L652" s="106"/>
      <c r="M652" s="106"/>
      <c r="N652" s="106"/>
      <c r="O652" s="106"/>
      <c r="P652" s="106"/>
      <c r="Q652" s="106"/>
      <c r="R652" s="106"/>
      <c r="S652" s="106"/>
      <c r="T652" s="106"/>
      <c r="U652" s="106"/>
      <c r="V652" s="106"/>
      <c r="W652" s="106"/>
      <c r="X652" s="106"/>
      <c r="Y652" s="106"/>
      <c r="Z652" s="106"/>
      <c r="AA652" s="106"/>
      <c r="AB652" s="106"/>
      <c r="AC652" s="106"/>
    </row>
    <row r="653" spans="1:29">
      <c r="A653" s="106"/>
      <c r="B653" s="106"/>
      <c r="C653" s="106"/>
      <c r="D653" s="106"/>
      <c r="E653" s="106"/>
      <c r="F653" s="106"/>
      <c r="G653" s="106"/>
      <c r="H653" s="106"/>
      <c r="I653" s="106"/>
      <c r="J653" s="106"/>
      <c r="K653" s="106"/>
      <c r="L653" s="106"/>
      <c r="M653" s="106"/>
      <c r="N653" s="106"/>
      <c r="O653" s="106"/>
      <c r="P653" s="106"/>
      <c r="Q653" s="106"/>
      <c r="R653" s="106"/>
      <c r="S653" s="106"/>
      <c r="T653" s="106"/>
      <c r="U653" s="106"/>
      <c r="V653" s="106"/>
      <c r="W653" s="106"/>
      <c r="X653" s="106"/>
      <c r="Y653" s="106"/>
      <c r="Z653" s="106"/>
      <c r="AA653" s="106"/>
      <c r="AB653" s="106"/>
      <c r="AC653" s="106"/>
    </row>
    <row r="654" spans="1:29">
      <c r="A654" s="106"/>
      <c r="B654" s="106"/>
      <c r="C654" s="106"/>
      <c r="D654" s="106"/>
      <c r="E654" s="106"/>
      <c r="F654" s="106"/>
      <c r="G654" s="106"/>
      <c r="H654" s="106"/>
      <c r="I654" s="106"/>
      <c r="J654" s="106"/>
      <c r="K654" s="106"/>
      <c r="L654" s="106"/>
      <c r="M654" s="106"/>
      <c r="N654" s="106"/>
      <c r="O654" s="106"/>
      <c r="P654" s="106"/>
      <c r="Q654" s="106"/>
      <c r="R654" s="106"/>
      <c r="S654" s="106"/>
      <c r="T654" s="106"/>
      <c r="U654" s="106"/>
      <c r="V654" s="106"/>
      <c r="W654" s="106"/>
      <c r="X654" s="106"/>
      <c r="Y654" s="106"/>
      <c r="Z654" s="106"/>
      <c r="AA654" s="106"/>
      <c r="AB654" s="106"/>
      <c r="AC654" s="106"/>
    </row>
    <row r="655" spans="1:29">
      <c r="A655" s="106"/>
      <c r="B655" s="106"/>
      <c r="C655" s="106"/>
      <c r="D655" s="106"/>
      <c r="E655" s="106"/>
      <c r="F655" s="106"/>
      <c r="G655" s="106"/>
      <c r="H655" s="106"/>
      <c r="I655" s="106"/>
      <c r="J655" s="106"/>
      <c r="K655" s="106"/>
      <c r="L655" s="106"/>
      <c r="M655" s="106"/>
      <c r="N655" s="106"/>
      <c r="O655" s="106"/>
      <c r="P655" s="106"/>
      <c r="Q655" s="106"/>
      <c r="R655" s="106"/>
      <c r="S655" s="106"/>
      <c r="T655" s="106"/>
      <c r="U655" s="106"/>
      <c r="V655" s="106"/>
      <c r="W655" s="106"/>
      <c r="X655" s="106"/>
      <c r="Y655" s="106"/>
      <c r="Z655" s="106"/>
      <c r="AA655" s="106"/>
      <c r="AB655" s="106"/>
      <c r="AC655" s="106"/>
    </row>
    <row r="656" spans="1:29">
      <c r="A656" s="106"/>
      <c r="B656" s="106"/>
      <c r="C656" s="106"/>
      <c r="D656" s="106"/>
      <c r="E656" s="106"/>
      <c r="F656" s="106"/>
      <c r="G656" s="106"/>
      <c r="H656" s="106"/>
      <c r="I656" s="106"/>
      <c r="J656" s="106"/>
      <c r="K656" s="106"/>
      <c r="L656" s="106"/>
      <c r="M656" s="106"/>
      <c r="N656" s="106"/>
      <c r="O656" s="106"/>
      <c r="P656" s="106"/>
      <c r="Q656" s="106"/>
      <c r="R656" s="106"/>
      <c r="S656" s="106"/>
      <c r="T656" s="106"/>
      <c r="U656" s="106"/>
      <c r="V656" s="106"/>
      <c r="W656" s="106"/>
      <c r="X656" s="106"/>
      <c r="Y656" s="106"/>
      <c r="Z656" s="106"/>
      <c r="AA656" s="106"/>
      <c r="AB656" s="106"/>
      <c r="AC656" s="106"/>
    </row>
    <row r="657" spans="1:29">
      <c r="A657" s="106"/>
      <c r="B657" s="106"/>
      <c r="C657" s="106"/>
      <c r="D657" s="106"/>
      <c r="E657" s="106"/>
      <c r="F657" s="106"/>
      <c r="G657" s="106"/>
      <c r="H657" s="106"/>
      <c r="I657" s="106"/>
      <c r="J657" s="106"/>
      <c r="K657" s="106"/>
      <c r="L657" s="106"/>
      <c r="M657" s="106"/>
      <c r="N657" s="106"/>
      <c r="O657" s="106"/>
      <c r="P657" s="106"/>
      <c r="Q657" s="106"/>
      <c r="R657" s="106"/>
      <c r="S657" s="106"/>
      <c r="T657" s="106"/>
      <c r="U657" s="106"/>
      <c r="V657" s="106"/>
      <c r="W657" s="106"/>
      <c r="X657" s="106"/>
      <c r="Y657" s="106"/>
      <c r="Z657" s="106"/>
      <c r="AA657" s="106"/>
      <c r="AB657" s="106"/>
      <c r="AC657" s="106"/>
    </row>
    <row r="658" spans="1:29">
      <c r="A658" s="106"/>
      <c r="B658" s="106"/>
      <c r="C658" s="106"/>
      <c r="D658" s="106"/>
      <c r="E658" s="106"/>
      <c r="F658" s="106"/>
      <c r="G658" s="106"/>
      <c r="H658" s="106"/>
      <c r="I658" s="106"/>
      <c r="J658" s="106"/>
      <c r="K658" s="106"/>
      <c r="L658" s="106"/>
      <c r="M658" s="106"/>
      <c r="N658" s="106"/>
      <c r="O658" s="106"/>
      <c r="P658" s="106"/>
      <c r="Q658" s="106"/>
      <c r="R658" s="106"/>
      <c r="S658" s="106"/>
      <c r="T658" s="106"/>
      <c r="U658" s="106"/>
      <c r="V658" s="106"/>
      <c r="W658" s="106"/>
      <c r="X658" s="106"/>
      <c r="Y658" s="106"/>
      <c r="Z658" s="106"/>
      <c r="AA658" s="106"/>
      <c r="AB658" s="106"/>
      <c r="AC658" s="106"/>
    </row>
    <row r="659" spans="1:29">
      <c r="A659" s="106"/>
      <c r="B659" s="106"/>
      <c r="C659" s="106"/>
      <c r="D659" s="106"/>
      <c r="E659" s="106"/>
      <c r="F659" s="106"/>
      <c r="G659" s="106"/>
      <c r="H659" s="106"/>
      <c r="I659" s="106"/>
      <c r="J659" s="106"/>
      <c r="K659" s="106"/>
      <c r="L659" s="106"/>
      <c r="M659" s="106"/>
      <c r="N659" s="106"/>
      <c r="O659" s="106"/>
      <c r="P659" s="106"/>
      <c r="Q659" s="106"/>
      <c r="R659" s="106"/>
      <c r="S659" s="106"/>
      <c r="T659" s="106"/>
      <c r="U659" s="106"/>
      <c r="V659" s="106"/>
      <c r="W659" s="106"/>
      <c r="X659" s="106"/>
      <c r="Y659" s="106"/>
      <c r="Z659" s="106"/>
      <c r="AA659" s="106"/>
      <c r="AB659" s="106"/>
      <c r="AC659" s="106"/>
    </row>
    <row r="660" spans="1:29">
      <c r="A660" s="106"/>
      <c r="B660" s="106"/>
      <c r="C660" s="106"/>
      <c r="D660" s="106"/>
      <c r="E660" s="106"/>
      <c r="F660" s="106"/>
      <c r="G660" s="106"/>
      <c r="H660" s="106"/>
      <c r="I660" s="106"/>
      <c r="J660" s="106"/>
      <c r="K660" s="106"/>
      <c r="L660" s="106"/>
      <c r="M660" s="106"/>
      <c r="N660" s="106"/>
      <c r="O660" s="106"/>
      <c r="P660" s="106"/>
      <c r="Q660" s="106"/>
      <c r="R660" s="106"/>
      <c r="S660" s="106"/>
      <c r="T660" s="106"/>
      <c r="U660" s="106"/>
      <c r="V660" s="106"/>
      <c r="W660" s="106"/>
      <c r="X660" s="106"/>
      <c r="Y660" s="106"/>
      <c r="Z660" s="106"/>
      <c r="AA660" s="106"/>
      <c r="AB660" s="106"/>
      <c r="AC660" s="106"/>
    </row>
    <row r="661" spans="1:29">
      <c r="A661" s="106"/>
      <c r="B661" s="106"/>
      <c r="C661" s="106"/>
      <c r="D661" s="106"/>
      <c r="E661" s="106"/>
      <c r="F661" s="106"/>
      <c r="G661" s="106"/>
      <c r="H661" s="106"/>
      <c r="I661" s="106"/>
      <c r="J661" s="106"/>
      <c r="K661" s="106"/>
      <c r="L661" s="106"/>
      <c r="M661" s="106"/>
      <c r="N661" s="106"/>
      <c r="O661" s="106"/>
      <c r="P661" s="106"/>
      <c r="Q661" s="106"/>
      <c r="R661" s="106"/>
      <c r="S661" s="106"/>
      <c r="T661" s="106"/>
      <c r="U661" s="106"/>
      <c r="V661" s="106"/>
      <c r="W661" s="106"/>
      <c r="X661" s="106"/>
      <c r="Y661" s="106"/>
      <c r="Z661" s="106"/>
      <c r="AA661" s="106"/>
      <c r="AB661" s="106"/>
      <c r="AC661" s="106"/>
    </row>
    <row r="662" spans="1:29">
      <c r="A662" s="106"/>
      <c r="B662" s="106"/>
      <c r="C662" s="106"/>
      <c r="D662" s="106"/>
      <c r="E662" s="106"/>
      <c r="F662" s="106"/>
      <c r="G662" s="106"/>
      <c r="H662" s="106"/>
      <c r="I662" s="106"/>
      <c r="J662" s="106"/>
      <c r="K662" s="106"/>
      <c r="L662" s="106"/>
      <c r="M662" s="106"/>
      <c r="N662" s="106"/>
      <c r="O662" s="106"/>
      <c r="P662" s="106"/>
      <c r="Q662" s="106"/>
      <c r="R662" s="106"/>
      <c r="S662" s="106"/>
      <c r="T662" s="106"/>
      <c r="U662" s="106"/>
      <c r="V662" s="106"/>
      <c r="W662" s="106"/>
      <c r="X662" s="106"/>
      <c r="Y662" s="106"/>
      <c r="Z662" s="106"/>
      <c r="AA662" s="106"/>
      <c r="AB662" s="106"/>
      <c r="AC662" s="106"/>
    </row>
    <row r="663" spans="1:29">
      <c r="A663" s="106"/>
      <c r="B663" s="106"/>
      <c r="C663" s="106"/>
      <c r="D663" s="106"/>
      <c r="E663" s="106"/>
      <c r="F663" s="106"/>
      <c r="G663" s="106"/>
      <c r="H663" s="106"/>
      <c r="I663" s="106"/>
      <c r="J663" s="106"/>
      <c r="K663" s="106"/>
      <c r="L663" s="106"/>
      <c r="M663" s="106"/>
      <c r="N663" s="106"/>
      <c r="O663" s="106"/>
      <c r="P663" s="106"/>
      <c r="Q663" s="106"/>
      <c r="R663" s="106"/>
      <c r="S663" s="106"/>
      <c r="T663" s="106"/>
      <c r="U663" s="106"/>
      <c r="V663" s="106"/>
      <c r="W663" s="106"/>
      <c r="X663" s="106"/>
      <c r="Y663" s="106"/>
      <c r="Z663" s="106"/>
      <c r="AA663" s="106"/>
      <c r="AB663" s="106"/>
      <c r="AC663" s="106"/>
    </row>
    <row r="664" spans="1:29">
      <c r="A664" s="106"/>
      <c r="B664" s="106"/>
      <c r="C664" s="106"/>
      <c r="D664" s="106"/>
      <c r="E664" s="106"/>
      <c r="F664" s="106"/>
      <c r="G664" s="106"/>
      <c r="H664" s="106"/>
      <c r="I664" s="106"/>
      <c r="J664" s="106"/>
      <c r="K664" s="106"/>
      <c r="L664" s="106"/>
      <c r="M664" s="106"/>
      <c r="N664" s="106"/>
      <c r="O664" s="106"/>
      <c r="P664" s="106"/>
      <c r="Q664" s="106"/>
      <c r="R664" s="106"/>
      <c r="S664" s="106"/>
      <c r="T664" s="106"/>
      <c r="U664" s="106"/>
      <c r="V664" s="106"/>
      <c r="W664" s="106"/>
      <c r="X664" s="106"/>
      <c r="Y664" s="106"/>
      <c r="Z664" s="106"/>
      <c r="AA664" s="106"/>
      <c r="AB664" s="106"/>
      <c r="AC664" s="106"/>
    </row>
    <row r="665" spans="1:29">
      <c r="A665" s="106"/>
      <c r="B665" s="106"/>
      <c r="C665" s="106"/>
      <c r="D665" s="106"/>
      <c r="E665" s="106"/>
      <c r="F665" s="106"/>
      <c r="G665" s="106"/>
      <c r="H665" s="106"/>
      <c r="I665" s="106"/>
      <c r="J665" s="106"/>
      <c r="K665" s="106"/>
      <c r="L665" s="106"/>
      <c r="M665" s="106"/>
      <c r="N665" s="106"/>
      <c r="O665" s="106"/>
      <c r="P665" s="106"/>
      <c r="Q665" s="106"/>
      <c r="R665" s="106"/>
      <c r="S665" s="106"/>
      <c r="T665" s="106"/>
      <c r="U665" s="106"/>
      <c r="V665" s="106"/>
      <c r="W665" s="106"/>
      <c r="X665" s="106"/>
      <c r="Y665" s="106"/>
      <c r="Z665" s="106"/>
      <c r="AA665" s="106"/>
      <c r="AB665" s="106"/>
      <c r="AC665" s="106"/>
    </row>
    <row r="666" spans="1:29">
      <c r="A666" s="106"/>
      <c r="B666" s="106"/>
      <c r="C666" s="106"/>
      <c r="D666" s="106"/>
      <c r="E666" s="106"/>
      <c r="F666" s="106"/>
      <c r="G666" s="106"/>
      <c r="H666" s="106"/>
      <c r="I666" s="106"/>
      <c r="J666" s="106"/>
      <c r="K666" s="106"/>
      <c r="L666" s="106"/>
      <c r="M666" s="106"/>
      <c r="N666" s="106"/>
      <c r="O666" s="106"/>
      <c r="P666" s="106"/>
      <c r="Q666" s="106"/>
      <c r="R666" s="106"/>
      <c r="S666" s="106"/>
      <c r="T666" s="106"/>
      <c r="U666" s="106"/>
      <c r="V666" s="106"/>
      <c r="W666" s="106"/>
      <c r="X666" s="106"/>
      <c r="Y666" s="106"/>
      <c r="Z666" s="106"/>
      <c r="AA666" s="106"/>
      <c r="AB666" s="106"/>
      <c r="AC666" s="106"/>
    </row>
    <row r="667" spans="1:29">
      <c r="A667" s="106"/>
      <c r="B667" s="106"/>
      <c r="C667" s="106"/>
      <c r="D667" s="106"/>
      <c r="E667" s="106"/>
      <c r="F667" s="106"/>
      <c r="G667" s="106"/>
      <c r="H667" s="106"/>
      <c r="I667" s="106"/>
      <c r="J667" s="106"/>
      <c r="K667" s="106"/>
      <c r="L667" s="106"/>
      <c r="M667" s="106"/>
      <c r="N667" s="106"/>
      <c r="O667" s="106"/>
      <c r="P667" s="106"/>
      <c r="Q667" s="106"/>
      <c r="R667" s="106"/>
      <c r="S667" s="106"/>
      <c r="T667" s="106"/>
      <c r="U667" s="106"/>
      <c r="V667" s="106"/>
      <c r="W667" s="106"/>
      <c r="X667" s="106"/>
      <c r="Y667" s="106"/>
      <c r="Z667" s="106"/>
      <c r="AA667" s="106"/>
      <c r="AB667" s="106"/>
      <c r="AC667" s="106"/>
    </row>
    <row r="668" spans="1:29">
      <c r="A668" s="106"/>
      <c r="B668" s="106"/>
      <c r="C668" s="106"/>
      <c r="D668" s="106"/>
      <c r="E668" s="106"/>
      <c r="F668" s="106"/>
      <c r="G668" s="106"/>
      <c r="H668" s="106"/>
      <c r="I668" s="106"/>
      <c r="J668" s="106"/>
      <c r="K668" s="106"/>
      <c r="L668" s="106"/>
      <c r="M668" s="106"/>
      <c r="N668" s="106"/>
      <c r="O668" s="106"/>
      <c r="P668" s="106"/>
      <c r="Q668" s="106"/>
      <c r="R668" s="106"/>
      <c r="S668" s="106"/>
      <c r="T668" s="106"/>
      <c r="U668" s="106"/>
      <c r="V668" s="106"/>
      <c r="W668" s="106"/>
      <c r="X668" s="106"/>
      <c r="Y668" s="106"/>
      <c r="Z668" s="106"/>
      <c r="AA668" s="106"/>
      <c r="AB668" s="106"/>
      <c r="AC668" s="106"/>
    </row>
    <row r="669" spans="1:29">
      <c r="A669" s="106"/>
      <c r="B669" s="106"/>
      <c r="C669" s="106"/>
      <c r="D669" s="106"/>
      <c r="E669" s="106"/>
      <c r="F669" s="106"/>
      <c r="G669" s="106"/>
      <c r="H669" s="106"/>
      <c r="I669" s="106"/>
      <c r="J669" s="106"/>
      <c r="K669" s="106"/>
      <c r="L669" s="106"/>
      <c r="M669" s="106"/>
      <c r="N669" s="106"/>
      <c r="O669" s="106"/>
      <c r="P669" s="106"/>
      <c r="Q669" s="106"/>
      <c r="R669" s="106"/>
      <c r="S669" s="106"/>
      <c r="T669" s="106"/>
      <c r="U669" s="106"/>
      <c r="V669" s="106"/>
      <c r="W669" s="106"/>
      <c r="X669" s="106"/>
      <c r="Y669" s="106"/>
      <c r="Z669" s="106"/>
      <c r="AA669" s="106"/>
      <c r="AB669" s="106"/>
      <c r="AC669" s="106"/>
    </row>
    <row r="670" spans="1:29">
      <c r="A670" s="106"/>
      <c r="B670" s="106"/>
      <c r="C670" s="106"/>
      <c r="D670" s="106"/>
      <c r="E670" s="106"/>
      <c r="F670" s="106"/>
      <c r="G670" s="106"/>
      <c r="H670" s="106"/>
      <c r="I670" s="106"/>
      <c r="J670" s="106"/>
      <c r="K670" s="106"/>
      <c r="L670" s="106"/>
      <c r="M670" s="106"/>
      <c r="N670" s="106"/>
      <c r="O670" s="106"/>
      <c r="P670" s="106"/>
      <c r="Q670" s="106"/>
      <c r="R670" s="106"/>
      <c r="S670" s="106"/>
      <c r="T670" s="106"/>
      <c r="U670" s="106"/>
      <c r="V670" s="106"/>
      <c r="W670" s="106"/>
      <c r="X670" s="106"/>
      <c r="Y670" s="106"/>
      <c r="Z670" s="106"/>
      <c r="AA670" s="106"/>
      <c r="AB670" s="106"/>
      <c r="AC670" s="106"/>
    </row>
    <row r="671" spans="1:29">
      <c r="A671" s="106"/>
      <c r="B671" s="106"/>
      <c r="C671" s="106"/>
      <c r="D671" s="106"/>
      <c r="E671" s="106"/>
      <c r="F671" s="106"/>
      <c r="G671" s="106"/>
      <c r="H671" s="106"/>
      <c r="I671" s="106"/>
      <c r="J671" s="106"/>
      <c r="K671" s="106"/>
      <c r="L671" s="106"/>
      <c r="M671" s="106"/>
      <c r="N671" s="106"/>
      <c r="O671" s="106"/>
      <c r="P671" s="106"/>
      <c r="Q671" s="106"/>
      <c r="R671" s="106"/>
      <c r="S671" s="106"/>
      <c r="T671" s="106"/>
      <c r="U671" s="106"/>
      <c r="V671" s="106"/>
      <c r="W671" s="106"/>
      <c r="X671" s="106"/>
      <c r="Y671" s="106"/>
      <c r="Z671" s="106"/>
      <c r="AA671" s="106"/>
      <c r="AB671" s="106"/>
      <c r="AC671" s="106"/>
    </row>
    <row r="672" spans="1:29">
      <c r="A672" s="106"/>
      <c r="B672" s="106"/>
      <c r="C672" s="106"/>
      <c r="D672" s="106"/>
      <c r="E672" s="106"/>
      <c r="F672" s="106"/>
      <c r="G672" s="106"/>
      <c r="H672" s="106"/>
      <c r="I672" s="106"/>
      <c r="J672" s="106"/>
      <c r="K672" s="106"/>
      <c r="L672" s="106"/>
      <c r="M672" s="106"/>
      <c r="N672" s="106"/>
      <c r="O672" s="106"/>
      <c r="P672" s="106"/>
      <c r="Q672" s="106"/>
      <c r="R672" s="106"/>
      <c r="S672" s="106"/>
      <c r="T672" s="106"/>
      <c r="U672" s="106"/>
      <c r="V672" s="106"/>
      <c r="W672" s="106"/>
      <c r="X672" s="106"/>
      <c r="Y672" s="106"/>
      <c r="Z672" s="106"/>
      <c r="AA672" s="106"/>
      <c r="AB672" s="106"/>
      <c r="AC672" s="106"/>
    </row>
    <row r="673" spans="1:29">
      <c r="A673" s="106"/>
      <c r="B673" s="106"/>
      <c r="C673" s="106"/>
      <c r="D673" s="106"/>
      <c r="E673" s="106"/>
      <c r="F673" s="106"/>
      <c r="G673" s="106"/>
      <c r="H673" s="106"/>
      <c r="I673" s="106"/>
      <c r="J673" s="106"/>
      <c r="K673" s="106"/>
      <c r="L673" s="106"/>
      <c r="M673" s="106"/>
      <c r="N673" s="106"/>
      <c r="O673" s="106"/>
      <c r="P673" s="106"/>
      <c r="Q673" s="106"/>
      <c r="R673" s="106"/>
      <c r="S673" s="106"/>
      <c r="T673" s="106"/>
      <c r="U673" s="106"/>
      <c r="V673" s="106"/>
      <c r="W673" s="106"/>
      <c r="X673" s="106"/>
      <c r="Y673" s="106"/>
      <c r="Z673" s="106"/>
      <c r="AA673" s="106"/>
      <c r="AB673" s="106"/>
      <c r="AC673" s="106"/>
    </row>
    <row r="674" spans="1:29">
      <c r="A674" s="106"/>
      <c r="B674" s="106"/>
      <c r="C674" s="106"/>
      <c r="D674" s="106"/>
      <c r="E674" s="106"/>
      <c r="F674" s="106"/>
      <c r="G674" s="106"/>
      <c r="H674" s="106"/>
      <c r="I674" s="106"/>
      <c r="J674" s="106"/>
      <c r="K674" s="106"/>
      <c r="L674" s="106"/>
      <c r="M674" s="106"/>
      <c r="N674" s="106"/>
      <c r="O674" s="106"/>
      <c r="P674" s="106"/>
      <c r="Q674" s="106"/>
      <c r="R674" s="106"/>
      <c r="S674" s="106"/>
      <c r="T674" s="106"/>
      <c r="U674" s="106"/>
      <c r="V674" s="106"/>
      <c r="W674" s="106"/>
      <c r="X674" s="106"/>
      <c r="Y674" s="106"/>
      <c r="Z674" s="106"/>
      <c r="AA674" s="106"/>
      <c r="AB674" s="106"/>
      <c r="AC674" s="106"/>
    </row>
    <row r="675" spans="1:29">
      <c r="A675" s="106"/>
      <c r="B675" s="106"/>
      <c r="C675" s="106"/>
      <c r="D675" s="106"/>
      <c r="E675" s="106"/>
      <c r="F675" s="106"/>
      <c r="G675" s="106"/>
      <c r="H675" s="106"/>
      <c r="I675" s="106"/>
      <c r="J675" s="106"/>
      <c r="K675" s="106"/>
      <c r="L675" s="106"/>
      <c r="M675" s="106"/>
      <c r="N675" s="106"/>
      <c r="O675" s="106"/>
      <c r="P675" s="106"/>
      <c r="Q675" s="106"/>
      <c r="R675" s="106"/>
      <c r="S675" s="106"/>
      <c r="T675" s="106"/>
      <c r="U675" s="106"/>
      <c r="V675" s="106"/>
      <c r="W675" s="106"/>
      <c r="X675" s="106"/>
      <c r="Y675" s="106"/>
      <c r="Z675" s="106"/>
      <c r="AA675" s="106"/>
      <c r="AB675" s="106"/>
      <c r="AC675" s="106"/>
    </row>
    <row r="676" spans="1:29">
      <c r="A676" s="106"/>
      <c r="B676" s="106"/>
      <c r="C676" s="106"/>
      <c r="D676" s="106"/>
      <c r="E676" s="106"/>
      <c r="F676" s="106"/>
      <c r="G676" s="106"/>
      <c r="H676" s="106"/>
      <c r="I676" s="106"/>
      <c r="J676" s="106"/>
      <c r="K676" s="106"/>
      <c r="L676" s="106"/>
      <c r="M676" s="106"/>
      <c r="N676" s="106"/>
      <c r="O676" s="106"/>
      <c r="P676" s="106"/>
      <c r="Q676" s="106"/>
      <c r="R676" s="106"/>
      <c r="S676" s="106"/>
      <c r="T676" s="106"/>
      <c r="U676" s="106"/>
      <c r="V676" s="106"/>
      <c r="W676" s="106"/>
      <c r="X676" s="106"/>
      <c r="Y676" s="106"/>
      <c r="Z676" s="106"/>
      <c r="AA676" s="106"/>
      <c r="AB676" s="106"/>
      <c r="AC676" s="106"/>
    </row>
    <row r="677" spans="1:29">
      <c r="A677" s="106"/>
      <c r="B677" s="106"/>
      <c r="C677" s="106"/>
      <c r="D677" s="106"/>
      <c r="E677" s="106"/>
      <c r="F677" s="106"/>
      <c r="G677" s="106"/>
      <c r="H677" s="106"/>
      <c r="I677" s="106"/>
      <c r="J677" s="106"/>
      <c r="K677" s="106"/>
      <c r="L677" s="106"/>
      <c r="M677" s="106"/>
      <c r="N677" s="106"/>
      <c r="O677" s="106"/>
      <c r="P677" s="106"/>
      <c r="Q677" s="106"/>
      <c r="R677" s="106"/>
      <c r="S677" s="106"/>
      <c r="T677" s="106"/>
      <c r="U677" s="106"/>
      <c r="V677" s="106"/>
      <c r="W677" s="106"/>
      <c r="X677" s="106"/>
      <c r="Y677" s="106"/>
      <c r="Z677" s="106"/>
      <c r="AA677" s="106"/>
      <c r="AB677" s="106"/>
      <c r="AC677" s="106"/>
    </row>
    <row r="678" spans="1:29">
      <c r="A678" s="106"/>
      <c r="B678" s="106"/>
      <c r="C678" s="106"/>
      <c r="D678" s="106"/>
      <c r="E678" s="106"/>
      <c r="F678" s="106"/>
      <c r="G678" s="106"/>
      <c r="H678" s="106"/>
      <c r="I678" s="106"/>
      <c r="J678" s="106"/>
      <c r="K678" s="106"/>
      <c r="L678" s="106"/>
      <c r="M678" s="106"/>
      <c r="N678" s="106"/>
      <c r="O678" s="106"/>
      <c r="P678" s="106"/>
      <c r="Q678" s="106"/>
      <c r="R678" s="106"/>
      <c r="S678" s="106"/>
      <c r="T678" s="106"/>
      <c r="U678" s="106"/>
      <c r="V678" s="106"/>
      <c r="W678" s="106"/>
      <c r="X678" s="106"/>
      <c r="Y678" s="106"/>
      <c r="Z678" s="106"/>
      <c r="AA678" s="106"/>
      <c r="AB678" s="106"/>
      <c r="AC678" s="106"/>
    </row>
    <row r="679" spans="1:29">
      <c r="A679" s="106"/>
      <c r="B679" s="106"/>
      <c r="C679" s="106"/>
      <c r="D679" s="106"/>
      <c r="E679" s="106"/>
      <c r="F679" s="106"/>
      <c r="G679" s="106"/>
      <c r="H679" s="106"/>
      <c r="I679" s="106"/>
      <c r="J679" s="106"/>
      <c r="K679" s="106"/>
      <c r="L679" s="106"/>
      <c r="M679" s="106"/>
      <c r="N679" s="106"/>
      <c r="O679" s="106"/>
      <c r="P679" s="106"/>
      <c r="Q679" s="106"/>
      <c r="R679" s="106"/>
      <c r="S679" s="106"/>
      <c r="T679" s="106"/>
      <c r="U679" s="106"/>
      <c r="V679" s="106"/>
      <c r="W679" s="106"/>
      <c r="X679" s="106"/>
      <c r="Y679" s="106"/>
      <c r="Z679" s="106"/>
      <c r="AA679" s="106"/>
      <c r="AB679" s="106"/>
      <c r="AC679" s="106"/>
    </row>
    <row r="680" spans="1:29">
      <c r="A680" s="106"/>
      <c r="B680" s="106"/>
      <c r="C680" s="106"/>
      <c r="D680" s="106"/>
      <c r="E680" s="106"/>
      <c r="F680" s="106"/>
      <c r="G680" s="106"/>
      <c r="H680" s="106"/>
      <c r="I680" s="106"/>
      <c r="J680" s="106"/>
      <c r="K680" s="106"/>
      <c r="L680" s="106"/>
      <c r="M680" s="106"/>
      <c r="N680" s="106"/>
      <c r="O680" s="106"/>
      <c r="P680" s="106"/>
      <c r="Q680" s="106"/>
      <c r="R680" s="106"/>
      <c r="S680" s="106"/>
      <c r="T680" s="106"/>
      <c r="U680" s="106"/>
      <c r="V680" s="106"/>
      <c r="W680" s="106"/>
      <c r="X680" s="106"/>
      <c r="Y680" s="106"/>
      <c r="Z680" s="106"/>
      <c r="AA680" s="106"/>
      <c r="AB680" s="106"/>
      <c r="AC680" s="106"/>
    </row>
    <row r="681" spans="1:29">
      <c r="A681" s="106"/>
      <c r="B681" s="106"/>
      <c r="C681" s="106"/>
      <c r="D681" s="106"/>
      <c r="E681" s="106"/>
      <c r="F681" s="106"/>
      <c r="G681" s="106"/>
      <c r="H681" s="106"/>
      <c r="I681" s="106"/>
      <c r="J681" s="106"/>
      <c r="K681" s="106"/>
      <c r="L681" s="106"/>
      <c r="M681" s="106"/>
      <c r="N681" s="106"/>
      <c r="O681" s="106"/>
      <c r="P681" s="106"/>
      <c r="Q681" s="106"/>
      <c r="R681" s="106"/>
      <c r="S681" s="106"/>
      <c r="T681" s="106"/>
      <c r="U681" s="106"/>
      <c r="V681" s="106"/>
      <c r="W681" s="106"/>
      <c r="X681" s="106"/>
      <c r="Y681" s="106"/>
      <c r="Z681" s="106"/>
      <c r="AA681" s="106"/>
      <c r="AB681" s="106"/>
      <c r="AC681" s="106"/>
    </row>
    <row r="682" spans="1:29">
      <c r="A682" s="106"/>
      <c r="B682" s="106"/>
      <c r="C682" s="106"/>
      <c r="D682" s="106"/>
      <c r="E682" s="106"/>
      <c r="F682" s="106"/>
      <c r="G682" s="106"/>
      <c r="H682" s="106"/>
      <c r="I682" s="106"/>
      <c r="J682" s="106"/>
      <c r="K682" s="106"/>
      <c r="L682" s="106"/>
      <c r="M682" s="106"/>
      <c r="N682" s="106"/>
      <c r="O682" s="106"/>
      <c r="P682" s="106"/>
      <c r="Q682" s="106"/>
      <c r="R682" s="106"/>
      <c r="S682" s="106"/>
      <c r="T682" s="106"/>
      <c r="U682" s="106"/>
      <c r="V682" s="106"/>
      <c r="W682" s="106"/>
      <c r="X682" s="106"/>
      <c r="Y682" s="106"/>
      <c r="Z682" s="106"/>
      <c r="AA682" s="106"/>
      <c r="AB682" s="106"/>
      <c r="AC682" s="106"/>
    </row>
    <row r="683" spans="1:29">
      <c r="A683" s="106"/>
      <c r="B683" s="106"/>
      <c r="C683" s="106"/>
      <c r="D683" s="106"/>
      <c r="E683" s="106"/>
      <c r="F683" s="106"/>
      <c r="G683" s="106"/>
      <c r="H683" s="106"/>
      <c r="I683" s="106"/>
      <c r="J683" s="106"/>
      <c r="K683" s="106"/>
      <c r="L683" s="106"/>
      <c r="M683" s="106"/>
      <c r="N683" s="106"/>
      <c r="O683" s="106"/>
      <c r="P683" s="106"/>
      <c r="Q683" s="106"/>
      <c r="R683" s="106"/>
      <c r="S683" s="106"/>
      <c r="T683" s="106"/>
      <c r="U683" s="106"/>
      <c r="V683" s="106"/>
      <c r="W683" s="106"/>
      <c r="X683" s="106"/>
      <c r="Y683" s="106"/>
      <c r="Z683" s="106"/>
      <c r="AA683" s="106"/>
      <c r="AB683" s="106"/>
      <c r="AC683" s="106"/>
    </row>
    <row r="684" spans="1:29">
      <c r="A684" s="106"/>
      <c r="B684" s="106"/>
      <c r="C684" s="106"/>
      <c r="D684" s="106"/>
      <c r="E684" s="106"/>
      <c r="F684" s="106"/>
      <c r="G684" s="106"/>
      <c r="H684" s="106"/>
      <c r="I684" s="106"/>
      <c r="J684" s="106"/>
      <c r="K684" s="106"/>
      <c r="L684" s="106"/>
      <c r="M684" s="106"/>
      <c r="N684" s="106"/>
      <c r="O684" s="106"/>
      <c r="P684" s="106"/>
      <c r="Q684" s="106"/>
      <c r="R684" s="106"/>
      <c r="S684" s="106"/>
      <c r="T684" s="106"/>
      <c r="U684" s="106"/>
      <c r="V684" s="106"/>
      <c r="W684" s="106"/>
      <c r="X684" s="106"/>
      <c r="Y684" s="106"/>
      <c r="Z684" s="106"/>
      <c r="AA684" s="106"/>
      <c r="AB684" s="106"/>
      <c r="AC684" s="106"/>
    </row>
    <row r="685" spans="1:29">
      <c r="A685" s="106"/>
      <c r="B685" s="106"/>
      <c r="C685" s="106"/>
      <c r="D685" s="106"/>
      <c r="E685" s="106"/>
      <c r="F685" s="106"/>
      <c r="G685" s="106"/>
      <c r="H685" s="106"/>
      <c r="I685" s="106"/>
      <c r="J685" s="106"/>
      <c r="K685" s="106"/>
      <c r="L685" s="106"/>
      <c r="M685" s="106"/>
      <c r="N685" s="106"/>
      <c r="O685" s="106"/>
      <c r="P685" s="106"/>
      <c r="Q685" s="106"/>
      <c r="R685" s="106"/>
      <c r="S685" s="106"/>
      <c r="T685" s="106"/>
      <c r="U685" s="106"/>
      <c r="V685" s="106"/>
      <c r="W685" s="106"/>
      <c r="X685" s="106"/>
      <c r="Y685" s="106"/>
      <c r="Z685" s="106"/>
      <c r="AA685" s="106"/>
      <c r="AB685" s="106"/>
      <c r="AC685" s="106"/>
    </row>
    <row r="686" spans="1:29">
      <c r="A686" s="106"/>
      <c r="B686" s="106"/>
      <c r="C686" s="106"/>
      <c r="D686" s="106"/>
      <c r="E686" s="106"/>
      <c r="F686" s="106"/>
      <c r="G686" s="106"/>
      <c r="H686" s="106"/>
      <c r="I686" s="106"/>
      <c r="J686" s="106"/>
      <c r="K686" s="106"/>
      <c r="L686" s="106"/>
      <c r="M686" s="106"/>
      <c r="N686" s="106"/>
      <c r="O686" s="106"/>
      <c r="P686" s="106"/>
      <c r="Q686" s="106"/>
      <c r="R686" s="106"/>
      <c r="S686" s="106"/>
      <c r="T686" s="106"/>
      <c r="U686" s="106"/>
      <c r="V686" s="106"/>
      <c r="W686" s="106"/>
      <c r="X686" s="106"/>
      <c r="Y686" s="106"/>
      <c r="Z686" s="106"/>
      <c r="AA686" s="106"/>
      <c r="AB686" s="106"/>
      <c r="AC686" s="106"/>
    </row>
    <row r="687" spans="1:29">
      <c r="A687" s="106"/>
      <c r="B687" s="106"/>
      <c r="C687" s="106"/>
      <c r="D687" s="106"/>
      <c r="E687" s="106"/>
      <c r="F687" s="106"/>
      <c r="G687" s="106"/>
      <c r="H687" s="106"/>
      <c r="I687" s="106"/>
      <c r="J687" s="106"/>
      <c r="K687" s="106"/>
      <c r="L687" s="106"/>
      <c r="M687" s="106"/>
      <c r="N687" s="106"/>
      <c r="O687" s="106"/>
      <c r="P687" s="106"/>
      <c r="Q687" s="106"/>
      <c r="R687" s="106"/>
      <c r="S687" s="106"/>
      <c r="T687" s="106"/>
      <c r="U687" s="106"/>
      <c r="V687" s="106"/>
      <c r="W687" s="106"/>
      <c r="X687" s="106"/>
      <c r="Y687" s="106"/>
      <c r="Z687" s="106"/>
      <c r="AA687" s="106"/>
      <c r="AB687" s="106"/>
      <c r="AC687" s="106"/>
    </row>
    <row r="688" spans="1:29">
      <c r="A688" s="106"/>
      <c r="B688" s="106"/>
      <c r="C688" s="106"/>
      <c r="D688" s="106"/>
      <c r="E688" s="106"/>
      <c r="F688" s="106"/>
      <c r="G688" s="106"/>
      <c r="H688" s="106"/>
      <c r="I688" s="106"/>
      <c r="J688" s="106"/>
      <c r="K688" s="106"/>
      <c r="L688" s="106"/>
      <c r="M688" s="106"/>
      <c r="N688" s="106"/>
      <c r="O688" s="106"/>
      <c r="P688" s="106"/>
      <c r="Q688" s="106"/>
      <c r="R688" s="106"/>
      <c r="S688" s="106"/>
      <c r="T688" s="106"/>
      <c r="U688" s="106"/>
      <c r="V688" s="106"/>
      <c r="W688" s="106"/>
      <c r="X688" s="106"/>
      <c r="Y688" s="106"/>
      <c r="Z688" s="106"/>
      <c r="AA688" s="106"/>
      <c r="AB688" s="106"/>
      <c r="AC688" s="106"/>
    </row>
    <row r="689" spans="1:29">
      <c r="A689" s="106"/>
      <c r="B689" s="106"/>
      <c r="C689" s="106"/>
      <c r="D689" s="106"/>
      <c r="E689" s="106"/>
      <c r="F689" s="106"/>
      <c r="G689" s="106"/>
      <c r="H689" s="106"/>
      <c r="I689" s="106"/>
      <c r="J689" s="106"/>
      <c r="K689" s="106"/>
      <c r="L689" s="106"/>
      <c r="M689" s="106"/>
      <c r="N689" s="106"/>
      <c r="O689" s="106"/>
      <c r="P689" s="106"/>
      <c r="Q689" s="106"/>
      <c r="R689" s="106"/>
      <c r="S689" s="106"/>
      <c r="T689" s="106"/>
      <c r="U689" s="106"/>
      <c r="V689" s="106"/>
      <c r="W689" s="106"/>
      <c r="X689" s="106"/>
      <c r="Y689" s="106"/>
      <c r="Z689" s="106"/>
      <c r="AA689" s="106"/>
      <c r="AB689" s="106"/>
      <c r="AC689" s="106"/>
    </row>
    <row r="690" spans="1:29">
      <c r="A690" s="106"/>
      <c r="B690" s="106"/>
      <c r="C690" s="106"/>
      <c r="D690" s="106"/>
      <c r="E690" s="106"/>
      <c r="F690" s="106"/>
      <c r="G690" s="106"/>
      <c r="H690" s="106"/>
      <c r="I690" s="106"/>
      <c r="J690" s="106"/>
      <c r="K690" s="106"/>
      <c r="L690" s="106"/>
      <c r="M690" s="106"/>
      <c r="N690" s="106"/>
      <c r="O690" s="106"/>
      <c r="P690" s="106"/>
      <c r="Q690" s="106"/>
      <c r="R690" s="106"/>
      <c r="S690" s="106"/>
      <c r="T690" s="106"/>
      <c r="U690" s="106"/>
      <c r="V690" s="106"/>
      <c r="W690" s="106"/>
      <c r="X690" s="106"/>
      <c r="Y690" s="106"/>
      <c r="Z690" s="106"/>
      <c r="AA690" s="106"/>
      <c r="AB690" s="106"/>
      <c r="AC690" s="106"/>
    </row>
    <row r="691" spans="1:29">
      <c r="A691" s="106"/>
      <c r="B691" s="106"/>
      <c r="C691" s="106"/>
      <c r="D691" s="106"/>
      <c r="E691" s="106"/>
      <c r="F691" s="106"/>
      <c r="G691" s="106"/>
      <c r="H691" s="106"/>
      <c r="I691" s="106"/>
      <c r="J691" s="106"/>
      <c r="K691" s="106"/>
      <c r="L691" s="106"/>
      <c r="M691" s="106"/>
      <c r="N691" s="106"/>
      <c r="O691" s="106"/>
      <c r="P691" s="106"/>
      <c r="Q691" s="106"/>
      <c r="R691" s="106"/>
      <c r="S691" s="106"/>
      <c r="T691" s="106"/>
      <c r="U691" s="106"/>
      <c r="V691" s="106"/>
      <c r="W691" s="106"/>
      <c r="X691" s="106"/>
      <c r="Y691" s="106"/>
      <c r="Z691" s="106"/>
      <c r="AA691" s="106"/>
      <c r="AB691" s="106"/>
      <c r="AC691" s="106"/>
    </row>
    <row r="692" spans="1:29">
      <c r="A692" s="106"/>
      <c r="B692" s="106"/>
      <c r="C692" s="106"/>
      <c r="D692" s="106"/>
      <c r="E692" s="106"/>
      <c r="F692" s="106"/>
      <c r="G692" s="106"/>
      <c r="H692" s="106"/>
      <c r="I692" s="106"/>
      <c r="J692" s="106"/>
      <c r="K692" s="106"/>
      <c r="L692" s="106"/>
      <c r="M692" s="106"/>
      <c r="N692" s="106"/>
      <c r="O692" s="106"/>
      <c r="P692" s="106"/>
      <c r="Q692" s="106"/>
      <c r="R692" s="106"/>
      <c r="S692" s="106"/>
      <c r="T692" s="106"/>
      <c r="U692" s="106"/>
      <c r="V692" s="106"/>
      <c r="W692" s="106"/>
      <c r="X692" s="106"/>
      <c r="Y692" s="106"/>
      <c r="Z692" s="106"/>
      <c r="AA692" s="106"/>
      <c r="AB692" s="106"/>
      <c r="AC692" s="106"/>
    </row>
    <row r="693" spans="1:29">
      <c r="A693" s="106"/>
      <c r="B693" s="106"/>
      <c r="C693" s="106"/>
      <c r="D693" s="106"/>
      <c r="E693" s="106"/>
      <c r="F693" s="106"/>
      <c r="G693" s="106"/>
      <c r="H693" s="106"/>
      <c r="I693" s="106"/>
      <c r="J693" s="106"/>
      <c r="K693" s="106"/>
      <c r="L693" s="106"/>
      <c r="M693" s="106"/>
      <c r="N693" s="106"/>
      <c r="O693" s="106"/>
      <c r="P693" s="106"/>
      <c r="Q693" s="106"/>
      <c r="R693" s="106"/>
      <c r="S693" s="106"/>
      <c r="T693" s="106"/>
      <c r="U693" s="106"/>
      <c r="V693" s="106"/>
      <c r="W693" s="106"/>
      <c r="X693" s="106"/>
      <c r="Y693" s="106"/>
      <c r="Z693" s="106"/>
      <c r="AA693" s="106"/>
      <c r="AB693" s="106"/>
      <c r="AC693" s="106"/>
    </row>
    <row r="694" spans="1:29">
      <c r="A694" s="106"/>
      <c r="B694" s="106"/>
      <c r="C694" s="106"/>
      <c r="D694" s="106"/>
      <c r="E694" s="106"/>
      <c r="F694" s="106"/>
      <c r="G694" s="106"/>
      <c r="H694" s="106"/>
      <c r="I694" s="106"/>
      <c r="J694" s="106"/>
      <c r="K694" s="106"/>
      <c r="L694" s="106"/>
      <c r="M694" s="106"/>
      <c r="N694" s="106"/>
      <c r="O694" s="106"/>
      <c r="P694" s="106"/>
      <c r="Q694" s="106"/>
      <c r="R694" s="106"/>
      <c r="S694" s="106"/>
      <c r="T694" s="106"/>
      <c r="U694" s="106"/>
      <c r="V694" s="106"/>
      <c r="W694" s="106"/>
      <c r="X694" s="106"/>
      <c r="Y694" s="106"/>
      <c r="Z694" s="106"/>
      <c r="AA694" s="106"/>
      <c r="AB694" s="106"/>
      <c r="AC694" s="106"/>
    </row>
    <row r="695" spans="1:29">
      <c r="A695" s="106"/>
      <c r="B695" s="106"/>
      <c r="C695" s="106"/>
      <c r="D695" s="106"/>
      <c r="E695" s="106"/>
      <c r="F695" s="106"/>
      <c r="G695" s="106"/>
      <c r="H695" s="106"/>
      <c r="I695" s="106"/>
      <c r="J695" s="106"/>
      <c r="K695" s="106"/>
      <c r="L695" s="106"/>
      <c r="M695" s="106"/>
      <c r="N695" s="106"/>
      <c r="O695" s="106"/>
      <c r="P695" s="106"/>
      <c r="Q695" s="106"/>
      <c r="R695" s="106"/>
      <c r="S695" s="106"/>
      <c r="T695" s="106"/>
      <c r="U695" s="106"/>
      <c r="V695" s="106"/>
      <c r="W695" s="106"/>
      <c r="X695" s="106"/>
      <c r="Y695" s="106"/>
      <c r="Z695" s="106"/>
      <c r="AA695" s="106"/>
      <c r="AB695" s="106"/>
      <c r="AC695" s="106"/>
    </row>
    <row r="696" spans="1:29">
      <c r="A696" s="106"/>
      <c r="B696" s="106"/>
      <c r="C696" s="106"/>
      <c r="D696" s="106"/>
      <c r="E696" s="106"/>
      <c r="F696" s="106"/>
      <c r="G696" s="106"/>
      <c r="H696" s="106"/>
      <c r="I696" s="106"/>
      <c r="J696" s="106"/>
      <c r="K696" s="106"/>
      <c r="L696" s="106"/>
      <c r="M696" s="106"/>
      <c r="N696" s="106"/>
      <c r="O696" s="106"/>
      <c r="P696" s="106"/>
      <c r="Q696" s="106"/>
      <c r="R696" s="106"/>
      <c r="S696" s="106"/>
      <c r="T696" s="106"/>
      <c r="U696" s="106"/>
      <c r="V696" s="106"/>
      <c r="W696" s="106"/>
      <c r="X696" s="106"/>
      <c r="Y696" s="106"/>
      <c r="Z696" s="106"/>
      <c r="AA696" s="106"/>
      <c r="AB696" s="106"/>
      <c r="AC696" s="106"/>
    </row>
    <row r="697" spans="1:29">
      <c r="A697" s="106"/>
      <c r="B697" s="106"/>
      <c r="C697" s="106"/>
      <c r="D697" s="106"/>
      <c r="E697" s="106"/>
      <c r="F697" s="106"/>
      <c r="G697" s="106"/>
      <c r="H697" s="106"/>
      <c r="I697" s="106"/>
      <c r="J697" s="106"/>
      <c r="K697" s="106"/>
      <c r="L697" s="106"/>
      <c r="M697" s="106"/>
      <c r="N697" s="106"/>
      <c r="O697" s="106"/>
      <c r="P697" s="106"/>
      <c r="Q697" s="106"/>
      <c r="R697" s="106"/>
      <c r="S697" s="106"/>
      <c r="T697" s="106"/>
      <c r="U697" s="106"/>
      <c r="V697" s="106"/>
      <c r="W697" s="106"/>
      <c r="X697" s="106"/>
      <c r="Y697" s="106"/>
      <c r="Z697" s="106"/>
      <c r="AA697" s="106"/>
      <c r="AB697" s="106"/>
      <c r="AC697" s="106"/>
    </row>
    <row r="698" spans="1:29">
      <c r="A698" s="106"/>
      <c r="B698" s="106"/>
      <c r="C698" s="106"/>
      <c r="D698" s="106"/>
      <c r="E698" s="106"/>
      <c r="F698" s="106"/>
      <c r="G698" s="106"/>
      <c r="H698" s="106"/>
      <c r="I698" s="106"/>
      <c r="J698" s="106"/>
      <c r="K698" s="106"/>
      <c r="L698" s="106"/>
      <c r="M698" s="106"/>
      <c r="N698" s="106"/>
      <c r="O698" s="106"/>
      <c r="P698" s="106"/>
      <c r="Q698" s="106"/>
      <c r="R698" s="106"/>
      <c r="S698" s="106"/>
      <c r="T698" s="106"/>
      <c r="U698" s="106"/>
      <c r="V698" s="106"/>
      <c r="W698" s="106"/>
      <c r="X698" s="106"/>
      <c r="Y698" s="106"/>
      <c r="Z698" s="106"/>
      <c r="AA698" s="106"/>
      <c r="AB698" s="106"/>
      <c r="AC698" s="106"/>
    </row>
    <row r="699" spans="1:29">
      <c r="A699" s="106"/>
      <c r="B699" s="106"/>
      <c r="C699" s="106"/>
      <c r="D699" s="106"/>
      <c r="E699" s="106"/>
      <c r="F699" s="106"/>
      <c r="G699" s="106"/>
      <c r="H699" s="106"/>
      <c r="I699" s="106"/>
      <c r="J699" s="106"/>
      <c r="K699" s="106"/>
      <c r="L699" s="106"/>
      <c r="M699" s="106"/>
      <c r="N699" s="106"/>
      <c r="O699" s="106"/>
      <c r="P699" s="106"/>
      <c r="Q699" s="106"/>
      <c r="R699" s="106"/>
      <c r="S699" s="106"/>
      <c r="T699" s="106"/>
      <c r="U699" s="106"/>
      <c r="V699" s="106"/>
      <c r="W699" s="106"/>
      <c r="X699" s="106"/>
      <c r="Y699" s="106"/>
      <c r="Z699" s="106"/>
      <c r="AA699" s="106"/>
      <c r="AB699" s="106"/>
      <c r="AC699" s="106"/>
    </row>
    <row r="700" spans="1:29">
      <c r="A700" s="106"/>
      <c r="B700" s="106"/>
      <c r="C700" s="106"/>
      <c r="D700" s="106"/>
      <c r="E700" s="106"/>
      <c r="F700" s="106"/>
      <c r="G700" s="106"/>
      <c r="H700" s="106"/>
      <c r="I700" s="106"/>
      <c r="J700" s="106"/>
      <c r="K700" s="106"/>
      <c r="L700" s="106"/>
      <c r="M700" s="106"/>
      <c r="N700" s="106"/>
      <c r="O700" s="106"/>
      <c r="P700" s="106"/>
      <c r="Q700" s="106"/>
      <c r="R700" s="106"/>
      <c r="S700" s="106"/>
      <c r="T700" s="106"/>
      <c r="U700" s="106"/>
      <c r="V700" s="106"/>
      <c r="W700" s="106"/>
      <c r="X700" s="106"/>
      <c r="Y700" s="106"/>
      <c r="Z700" s="106"/>
      <c r="AA700" s="106"/>
      <c r="AB700" s="106"/>
      <c r="AC700" s="106"/>
    </row>
    <row r="701" spans="1:29">
      <c r="A701" s="106"/>
      <c r="B701" s="106"/>
      <c r="C701" s="106"/>
      <c r="D701" s="106"/>
      <c r="E701" s="106"/>
      <c r="F701" s="106"/>
      <c r="G701" s="106"/>
      <c r="H701" s="106"/>
      <c r="I701" s="106"/>
      <c r="J701" s="106"/>
      <c r="K701" s="106"/>
      <c r="L701" s="106"/>
      <c r="M701" s="106"/>
      <c r="N701" s="106"/>
      <c r="O701" s="106"/>
      <c r="P701" s="106"/>
      <c r="Q701" s="106"/>
      <c r="R701" s="106"/>
      <c r="S701" s="106"/>
      <c r="T701" s="106"/>
      <c r="U701" s="106"/>
      <c r="V701" s="106"/>
      <c r="W701" s="106"/>
      <c r="X701" s="106"/>
      <c r="Y701" s="106"/>
      <c r="Z701" s="106"/>
      <c r="AA701" s="106"/>
      <c r="AB701" s="106"/>
      <c r="AC701" s="106"/>
    </row>
    <row r="702" spans="1:29">
      <c r="A702" s="106"/>
      <c r="B702" s="106"/>
      <c r="C702" s="106"/>
      <c r="D702" s="106"/>
      <c r="E702" s="106"/>
      <c r="F702" s="106"/>
      <c r="G702" s="106"/>
      <c r="H702" s="106"/>
      <c r="I702" s="106"/>
      <c r="J702" s="106"/>
      <c r="K702" s="106"/>
      <c r="L702" s="106"/>
      <c r="M702" s="106"/>
      <c r="N702" s="106"/>
      <c r="O702" s="106"/>
      <c r="P702" s="106"/>
      <c r="Q702" s="106"/>
      <c r="R702" s="106"/>
      <c r="S702" s="106"/>
      <c r="T702" s="106"/>
      <c r="U702" s="106"/>
      <c r="V702" s="106"/>
      <c r="W702" s="106"/>
      <c r="X702" s="106"/>
      <c r="Y702" s="106"/>
      <c r="Z702" s="106"/>
      <c r="AA702" s="106"/>
      <c r="AB702" s="106"/>
      <c r="AC702" s="106"/>
    </row>
    <row r="703" spans="1:29">
      <c r="A703" s="106"/>
      <c r="B703" s="106"/>
      <c r="C703" s="106"/>
      <c r="D703" s="106"/>
      <c r="E703" s="106"/>
      <c r="F703" s="106"/>
      <c r="G703" s="106"/>
      <c r="H703" s="106"/>
      <c r="I703" s="106"/>
      <c r="J703" s="106"/>
      <c r="K703" s="106"/>
      <c r="L703" s="106"/>
      <c r="M703" s="106"/>
      <c r="N703" s="106"/>
      <c r="O703" s="106"/>
      <c r="P703" s="106"/>
      <c r="Q703" s="106"/>
      <c r="R703" s="106"/>
      <c r="S703" s="106"/>
      <c r="T703" s="106"/>
      <c r="U703" s="106"/>
      <c r="V703" s="106"/>
      <c r="W703" s="106"/>
      <c r="X703" s="106"/>
      <c r="Y703" s="106"/>
      <c r="Z703" s="106"/>
      <c r="AA703" s="106"/>
      <c r="AB703" s="106"/>
      <c r="AC703" s="106"/>
    </row>
    <row r="704" spans="1:29">
      <c r="A704" s="106"/>
      <c r="B704" s="106"/>
      <c r="C704" s="106"/>
      <c r="D704" s="106"/>
      <c r="E704" s="106"/>
      <c r="F704" s="106"/>
      <c r="G704" s="106"/>
      <c r="H704" s="106"/>
      <c r="I704" s="106"/>
      <c r="J704" s="106"/>
      <c r="K704" s="106"/>
      <c r="L704" s="106"/>
      <c r="M704" s="106"/>
      <c r="N704" s="106"/>
      <c r="O704" s="106"/>
      <c r="P704" s="106"/>
      <c r="Q704" s="106"/>
      <c r="R704" s="106"/>
      <c r="S704" s="106"/>
      <c r="T704" s="106"/>
      <c r="U704" s="106"/>
      <c r="V704" s="106"/>
      <c r="W704" s="106"/>
      <c r="X704" s="106"/>
      <c r="Y704" s="106"/>
      <c r="Z704" s="106"/>
      <c r="AA704" s="106"/>
      <c r="AB704" s="106"/>
      <c r="AC704" s="106"/>
    </row>
    <row r="705" spans="1:29">
      <c r="A705" s="106"/>
      <c r="B705" s="106"/>
      <c r="C705" s="106"/>
      <c r="D705" s="106"/>
      <c r="E705" s="106"/>
      <c r="F705" s="106"/>
      <c r="G705" s="106"/>
      <c r="H705" s="106"/>
      <c r="I705" s="106"/>
      <c r="J705" s="106"/>
      <c r="K705" s="106"/>
      <c r="L705" s="106"/>
      <c r="M705" s="106"/>
      <c r="N705" s="106"/>
      <c r="O705" s="106"/>
      <c r="P705" s="106"/>
      <c r="Q705" s="106"/>
      <c r="R705" s="106"/>
      <c r="S705" s="106"/>
      <c r="T705" s="106"/>
      <c r="U705" s="106"/>
      <c r="V705" s="106"/>
      <c r="W705" s="106"/>
      <c r="X705" s="106"/>
      <c r="Y705" s="106"/>
      <c r="Z705" s="106"/>
      <c r="AA705" s="106"/>
      <c r="AB705" s="106"/>
      <c r="AC705" s="106"/>
    </row>
    <row r="706" spans="1:29">
      <c r="A706" s="106"/>
      <c r="B706" s="106"/>
      <c r="C706" s="106"/>
      <c r="D706" s="106"/>
      <c r="E706" s="106"/>
      <c r="F706" s="106"/>
      <c r="G706" s="106"/>
      <c r="H706" s="106"/>
      <c r="I706" s="106"/>
      <c r="J706" s="106"/>
      <c r="K706" s="106"/>
      <c r="L706" s="106"/>
      <c r="M706" s="106"/>
      <c r="N706" s="106"/>
      <c r="O706" s="106"/>
      <c r="P706" s="106"/>
      <c r="Q706" s="106"/>
      <c r="R706" s="106"/>
      <c r="S706" s="106"/>
      <c r="T706" s="106"/>
      <c r="U706" s="106"/>
      <c r="V706" s="106"/>
      <c r="W706" s="106"/>
      <c r="X706" s="106"/>
      <c r="Y706" s="106"/>
      <c r="Z706" s="106"/>
      <c r="AA706" s="106"/>
      <c r="AB706" s="106"/>
      <c r="AC706" s="106"/>
    </row>
    <row r="707" spans="1:29">
      <c r="A707" s="106"/>
      <c r="B707" s="106"/>
      <c r="C707" s="106"/>
      <c r="D707" s="106"/>
      <c r="E707" s="106"/>
      <c r="F707" s="106"/>
      <c r="G707" s="106"/>
      <c r="H707" s="106"/>
      <c r="I707" s="106"/>
      <c r="J707" s="106"/>
      <c r="K707" s="106"/>
      <c r="L707" s="106"/>
      <c r="M707" s="106"/>
      <c r="N707" s="106"/>
      <c r="O707" s="106"/>
      <c r="P707" s="106"/>
      <c r="Q707" s="106"/>
      <c r="R707" s="106"/>
      <c r="S707" s="106"/>
      <c r="T707" s="106"/>
      <c r="U707" s="106"/>
      <c r="V707" s="106"/>
      <c r="W707" s="106"/>
      <c r="X707" s="106"/>
      <c r="Y707" s="106"/>
      <c r="Z707" s="106"/>
      <c r="AA707" s="106"/>
      <c r="AB707" s="106"/>
      <c r="AC707" s="106"/>
    </row>
    <row r="708" spans="1:29">
      <c r="A708" s="106"/>
      <c r="B708" s="106"/>
      <c r="C708" s="106"/>
      <c r="D708" s="106"/>
      <c r="E708" s="106"/>
      <c r="F708" s="106"/>
      <c r="G708" s="106"/>
      <c r="H708" s="106"/>
      <c r="I708" s="106"/>
      <c r="J708" s="106"/>
      <c r="K708" s="106"/>
      <c r="L708" s="106"/>
      <c r="M708" s="106"/>
      <c r="N708" s="106"/>
      <c r="O708" s="106"/>
      <c r="P708" s="106"/>
      <c r="Q708" s="106"/>
      <c r="R708" s="106"/>
      <c r="S708" s="106"/>
      <c r="T708" s="106"/>
      <c r="U708" s="106"/>
      <c r="V708" s="106"/>
      <c r="W708" s="106"/>
      <c r="X708" s="106"/>
      <c r="Y708" s="106"/>
      <c r="Z708" s="106"/>
      <c r="AA708" s="106"/>
      <c r="AB708" s="106"/>
      <c r="AC708" s="106"/>
    </row>
    <row r="709" spans="1:29">
      <c r="A709" s="106"/>
      <c r="B709" s="106"/>
      <c r="C709" s="106"/>
      <c r="D709" s="106"/>
      <c r="E709" s="106"/>
      <c r="F709" s="106"/>
      <c r="G709" s="106"/>
      <c r="H709" s="106"/>
      <c r="I709" s="106"/>
      <c r="J709" s="106"/>
      <c r="K709" s="106"/>
      <c r="L709" s="106"/>
      <c r="M709" s="106"/>
      <c r="N709" s="106"/>
      <c r="O709" s="106"/>
      <c r="P709" s="106"/>
      <c r="Q709" s="106"/>
      <c r="R709" s="106"/>
      <c r="S709" s="106"/>
      <c r="T709" s="106"/>
      <c r="U709" s="106"/>
      <c r="V709" s="106"/>
      <c r="W709" s="106"/>
      <c r="X709" s="106"/>
      <c r="Y709" s="106"/>
      <c r="Z709" s="106"/>
      <c r="AA709" s="106"/>
      <c r="AB709" s="106"/>
      <c r="AC709" s="106"/>
    </row>
    <row r="710" spans="1:29">
      <c r="A710" s="106"/>
      <c r="B710" s="106"/>
      <c r="C710" s="106"/>
      <c r="D710" s="106"/>
      <c r="E710" s="106"/>
      <c r="F710" s="106"/>
      <c r="G710" s="106"/>
      <c r="H710" s="106"/>
      <c r="I710" s="106"/>
      <c r="J710" s="106"/>
      <c r="K710" s="106"/>
      <c r="L710" s="106"/>
      <c r="M710" s="106"/>
      <c r="N710" s="106"/>
      <c r="O710" s="106"/>
      <c r="P710" s="106"/>
      <c r="Q710" s="106"/>
      <c r="R710" s="106"/>
      <c r="S710" s="106"/>
      <c r="T710" s="106"/>
      <c r="U710" s="106"/>
      <c r="V710" s="106"/>
      <c r="W710" s="106"/>
      <c r="X710" s="106"/>
      <c r="Y710" s="106"/>
      <c r="Z710" s="106"/>
      <c r="AA710" s="106"/>
      <c r="AB710" s="106"/>
      <c r="AC710" s="106"/>
    </row>
    <row r="711" spans="1:29">
      <c r="A711" s="106"/>
      <c r="B711" s="106"/>
      <c r="C711" s="106"/>
      <c r="D711" s="106"/>
      <c r="E711" s="106"/>
      <c r="F711" s="106"/>
      <c r="G711" s="106"/>
      <c r="H711" s="106"/>
      <c r="I711" s="106"/>
      <c r="J711" s="106"/>
      <c r="K711" s="106"/>
      <c r="L711" s="106"/>
      <c r="M711" s="106"/>
      <c r="N711" s="106"/>
      <c r="O711" s="106"/>
      <c r="P711" s="106"/>
      <c r="Q711" s="106"/>
      <c r="R711" s="106"/>
      <c r="S711" s="106"/>
      <c r="T711" s="106"/>
      <c r="U711" s="106"/>
      <c r="V711" s="106"/>
      <c r="W711" s="106"/>
      <c r="X711" s="106"/>
      <c r="Y711" s="106"/>
      <c r="Z711" s="106"/>
      <c r="AA711" s="106"/>
      <c r="AB711" s="106"/>
      <c r="AC711" s="106"/>
    </row>
    <row r="712" spans="1:29">
      <c r="A712" s="106"/>
      <c r="B712" s="106"/>
      <c r="C712" s="106"/>
      <c r="D712" s="106"/>
      <c r="E712" s="106"/>
      <c r="F712" s="106"/>
      <c r="G712" s="106"/>
      <c r="H712" s="106"/>
      <c r="I712" s="106"/>
      <c r="J712" s="106"/>
      <c r="K712" s="106"/>
      <c r="L712" s="106"/>
      <c r="M712" s="106"/>
      <c r="N712" s="106"/>
      <c r="O712" s="106"/>
      <c r="P712" s="106"/>
      <c r="Q712" s="106"/>
      <c r="R712" s="106"/>
      <c r="S712" s="106"/>
      <c r="T712" s="106"/>
      <c r="U712" s="106"/>
      <c r="V712" s="106"/>
      <c r="W712" s="106"/>
      <c r="X712" s="106"/>
      <c r="Y712" s="106"/>
      <c r="Z712" s="106"/>
      <c r="AA712" s="106"/>
      <c r="AB712" s="106"/>
      <c r="AC712" s="106"/>
    </row>
    <row r="713" spans="1:29">
      <c r="A713" s="106"/>
      <c r="B713" s="106"/>
      <c r="C713" s="106"/>
      <c r="D713" s="106"/>
      <c r="E713" s="106"/>
      <c r="F713" s="106"/>
      <c r="G713" s="106"/>
      <c r="H713" s="106"/>
      <c r="I713" s="106"/>
      <c r="J713" s="106"/>
      <c r="K713" s="106"/>
      <c r="L713" s="106"/>
      <c r="M713" s="106"/>
      <c r="N713" s="106"/>
      <c r="O713" s="106"/>
      <c r="P713" s="106"/>
      <c r="Q713" s="106"/>
      <c r="R713" s="106"/>
      <c r="S713" s="106"/>
      <c r="T713" s="106"/>
      <c r="U713" s="106"/>
      <c r="V713" s="106"/>
      <c r="W713" s="106"/>
      <c r="X713" s="106"/>
      <c r="Y713" s="106"/>
      <c r="Z713" s="106"/>
      <c r="AA713" s="106"/>
      <c r="AB713" s="106"/>
      <c r="AC713" s="106"/>
    </row>
    <row r="714" spans="1:29">
      <c r="A714" s="106"/>
      <c r="B714" s="106"/>
      <c r="C714" s="106"/>
      <c r="D714" s="106"/>
      <c r="E714" s="106"/>
      <c r="F714" s="106"/>
      <c r="G714" s="106"/>
      <c r="H714" s="106"/>
      <c r="I714" s="106"/>
      <c r="J714" s="106"/>
      <c r="K714" s="106"/>
      <c r="L714" s="106"/>
      <c r="M714" s="106"/>
      <c r="N714" s="106"/>
      <c r="O714" s="106"/>
      <c r="P714" s="106"/>
      <c r="Q714" s="106"/>
      <c r="R714" s="106"/>
      <c r="S714" s="106"/>
      <c r="T714" s="106"/>
      <c r="U714" s="106"/>
      <c r="V714" s="106"/>
      <c r="W714" s="106"/>
      <c r="X714" s="106"/>
      <c r="Y714" s="106"/>
      <c r="Z714" s="106"/>
      <c r="AA714" s="106"/>
      <c r="AB714" s="106"/>
      <c r="AC714" s="106"/>
    </row>
  </sheetData>
  <sheetProtection selectLockedCells="1" selectUnlockedCells="1"/>
  <phoneticPr fontId="72" type="noConversion"/>
  <hyperlinks>
    <hyperlink ref="D21" r:id="rId1" display="mailto:twebster@berkeley.edu"/>
  </hyperlinks>
  <pageMargins left="0.75" right="0.75" top="1" bottom="1" header="0.5" footer="0.5"/>
  <pageSetup orientation="portrait" horizontalDpi="0" verticalDpi="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K62"/>
  <sheetViews>
    <sheetView zoomScale="85" zoomScaleNormal="85" workbookViewId="0">
      <selection activeCell="K37" sqref="K37"/>
    </sheetView>
  </sheetViews>
  <sheetFormatPr defaultRowHeight="12.75"/>
  <cols>
    <col min="1" max="1" width="3.7109375" style="138" customWidth="1"/>
    <col min="2" max="2" width="39.5703125" style="129" customWidth="1"/>
    <col min="3" max="3" width="11.140625" style="127" customWidth="1"/>
    <col min="4" max="4" width="26.28515625" style="136" customWidth="1"/>
    <col min="5" max="5" width="17" style="130" bestFit="1" customWidth="1"/>
    <col min="6" max="9" width="9.140625" style="121"/>
    <col min="10" max="10" width="15" style="121" bestFit="1" customWidth="1"/>
    <col min="11" max="11" width="53.42578125" style="121" customWidth="1"/>
    <col min="12" max="12" width="12.5703125" style="121" bestFit="1" customWidth="1"/>
    <col min="13" max="13" width="23.7109375" style="121" bestFit="1" customWidth="1"/>
    <col min="14" max="16384" width="9.140625" style="121"/>
  </cols>
  <sheetData>
    <row r="1" spans="1:11">
      <c r="B1" s="121"/>
      <c r="C1" s="121"/>
      <c r="D1" s="121"/>
      <c r="E1" s="121"/>
    </row>
    <row r="2" spans="1:11">
      <c r="B2" s="123" t="s">
        <v>916</v>
      </c>
      <c r="C2" s="124" t="s">
        <v>765</v>
      </c>
      <c r="D2" s="125" t="s">
        <v>196</v>
      </c>
      <c r="E2" s="126" t="s">
        <v>766</v>
      </c>
    </row>
    <row r="3" spans="1:11">
      <c r="B3" s="657" t="s">
        <v>767</v>
      </c>
      <c r="C3" s="658"/>
      <c r="D3" s="658"/>
      <c r="E3" s="659"/>
      <c r="F3" s="430"/>
      <c r="J3" s="652" t="s">
        <v>964</v>
      </c>
      <c r="K3" s="653"/>
    </row>
    <row r="4" spans="1:11">
      <c r="B4" s="396" t="s">
        <v>247</v>
      </c>
      <c r="C4" s="136" t="s">
        <v>212</v>
      </c>
      <c r="D4" s="139" t="s">
        <v>9</v>
      </c>
      <c r="E4" s="397" t="s">
        <v>768</v>
      </c>
      <c r="J4" s="502" t="s">
        <v>965</v>
      </c>
      <c r="K4" s="504" t="s">
        <v>489</v>
      </c>
    </row>
    <row r="5" spans="1:11">
      <c r="B5" s="398" t="s">
        <v>769</v>
      </c>
      <c r="C5" s="136" t="s">
        <v>683</v>
      </c>
      <c r="D5" s="140">
        <v>0</v>
      </c>
      <c r="E5" s="397">
        <v>0</v>
      </c>
      <c r="J5" s="502" t="s">
        <v>966</v>
      </c>
      <c r="K5" s="503" t="s">
        <v>975</v>
      </c>
    </row>
    <row r="6" spans="1:11">
      <c r="A6" s="131"/>
      <c r="B6" s="396" t="s">
        <v>752</v>
      </c>
      <c r="C6" s="136" t="s">
        <v>212</v>
      </c>
      <c r="D6" s="141" t="s">
        <v>914</v>
      </c>
      <c r="E6" s="399" t="s">
        <v>914</v>
      </c>
      <c r="J6" s="498" t="s">
        <v>967</v>
      </c>
      <c r="K6" s="500" t="s">
        <v>976</v>
      </c>
    </row>
    <row r="7" spans="1:11">
      <c r="B7" s="396" t="s">
        <v>770</v>
      </c>
      <c r="C7" s="136" t="s">
        <v>212</v>
      </c>
      <c r="D7" s="141" t="s">
        <v>842</v>
      </c>
      <c r="E7" s="397" t="s">
        <v>842</v>
      </c>
    </row>
    <row r="8" spans="1:11">
      <c r="B8" s="396" t="s">
        <v>771</v>
      </c>
      <c r="C8" s="136" t="s">
        <v>212</v>
      </c>
      <c r="D8" s="142">
        <v>8</v>
      </c>
      <c r="E8" s="397">
        <v>1</v>
      </c>
    </row>
    <row r="9" spans="1:11">
      <c r="B9" s="396" t="s">
        <v>772</v>
      </c>
      <c r="C9" s="136" t="s">
        <v>212</v>
      </c>
      <c r="D9" s="142">
        <v>1</v>
      </c>
      <c r="E9" s="397">
        <v>1</v>
      </c>
    </row>
    <row r="10" spans="1:11">
      <c r="B10" s="396" t="s">
        <v>773</v>
      </c>
      <c r="C10" s="136" t="s">
        <v>212</v>
      </c>
      <c r="D10" s="142">
        <v>8</v>
      </c>
      <c r="E10" s="397">
        <v>12</v>
      </c>
    </row>
    <row r="11" spans="1:11">
      <c r="B11" s="396" t="s">
        <v>774</v>
      </c>
      <c r="C11" s="136" t="s">
        <v>212</v>
      </c>
      <c r="D11" s="142">
        <v>5</v>
      </c>
      <c r="E11" s="397">
        <v>31</v>
      </c>
    </row>
    <row r="12" spans="1:11">
      <c r="B12" s="400" t="s">
        <v>775</v>
      </c>
      <c r="C12" s="401" t="s">
        <v>212</v>
      </c>
      <c r="D12" s="402">
        <f>'imf input text'!J56</f>
        <v>1.2</v>
      </c>
      <c r="E12" s="403">
        <v>1.2</v>
      </c>
    </row>
    <row r="14" spans="1:11">
      <c r="B14" s="654" t="s">
        <v>776</v>
      </c>
      <c r="C14" s="655"/>
      <c r="D14" s="655"/>
      <c r="E14" s="656"/>
    </row>
    <row r="15" spans="1:11">
      <c r="B15" s="404" t="s">
        <v>912</v>
      </c>
      <c r="C15" s="405" t="s">
        <v>212</v>
      </c>
      <c r="D15" s="143" t="s">
        <v>1120</v>
      </c>
      <c r="E15" s="406" t="s">
        <v>746</v>
      </c>
      <c r="F15" s="430"/>
    </row>
    <row r="16" spans="1:11">
      <c r="B16" s="408" t="s">
        <v>777</v>
      </c>
      <c r="C16" s="136" t="s">
        <v>778</v>
      </c>
      <c r="D16" s="140">
        <v>75</v>
      </c>
      <c r="E16" s="409">
        <v>75</v>
      </c>
    </row>
    <row r="17" spans="2:5">
      <c r="B17" s="408" t="s">
        <v>779</v>
      </c>
      <c r="C17" s="136" t="s">
        <v>778</v>
      </c>
      <c r="D17" s="140">
        <v>90</v>
      </c>
      <c r="E17" s="409">
        <v>90</v>
      </c>
    </row>
    <row r="18" spans="2:5">
      <c r="B18" s="408" t="s">
        <v>780</v>
      </c>
      <c r="C18" s="136" t="s">
        <v>778</v>
      </c>
      <c r="D18" s="140">
        <v>70</v>
      </c>
      <c r="E18" s="409">
        <v>70</v>
      </c>
    </row>
    <row r="19" spans="2:5">
      <c r="B19" s="410" t="s">
        <v>781</v>
      </c>
      <c r="C19" s="401" t="s">
        <v>778</v>
      </c>
      <c r="D19" s="402">
        <v>55</v>
      </c>
      <c r="E19" s="411">
        <v>55</v>
      </c>
    </row>
    <row r="21" spans="2:5">
      <c r="B21" s="654" t="s">
        <v>782</v>
      </c>
      <c r="C21" s="655"/>
      <c r="D21" s="655"/>
      <c r="E21" s="656"/>
    </row>
    <row r="22" spans="2:5">
      <c r="B22" s="398" t="s">
        <v>783</v>
      </c>
      <c r="C22" s="136" t="s">
        <v>627</v>
      </c>
      <c r="D22" s="140">
        <v>20000</v>
      </c>
      <c r="E22" s="409">
        <v>20000</v>
      </c>
    </row>
    <row r="23" spans="2:5">
      <c r="B23" s="421" t="s">
        <v>784</v>
      </c>
      <c r="C23" s="136" t="s">
        <v>212</v>
      </c>
      <c r="D23" s="140">
        <v>1.5</v>
      </c>
      <c r="E23" s="422">
        <v>1.5</v>
      </c>
    </row>
    <row r="24" spans="2:5">
      <c r="B24" s="407" t="s">
        <v>785</v>
      </c>
      <c r="C24" s="136" t="s">
        <v>212</v>
      </c>
      <c r="D24" s="141">
        <v>0.4</v>
      </c>
      <c r="E24" s="422">
        <v>0.4</v>
      </c>
    </row>
    <row r="25" spans="2:5">
      <c r="B25" s="408" t="s">
        <v>786</v>
      </c>
      <c r="C25" s="405" t="s">
        <v>212</v>
      </c>
      <c r="D25" s="141">
        <v>0.28999999999999998</v>
      </c>
      <c r="E25" s="422">
        <v>0.28999999999999998</v>
      </c>
    </row>
    <row r="26" spans="2:5" ht="14.25">
      <c r="B26" s="423" t="s">
        <v>891</v>
      </c>
      <c r="C26" s="437" t="s">
        <v>926</v>
      </c>
      <c r="D26" s="428">
        <f>IF(D25=0.55, 0.291, 0.308)</f>
        <v>0.308</v>
      </c>
      <c r="E26" s="406" t="s">
        <v>913</v>
      </c>
    </row>
    <row r="27" spans="2:5">
      <c r="B27" s="421" t="s">
        <v>787</v>
      </c>
      <c r="C27" s="136" t="s">
        <v>212</v>
      </c>
      <c r="D27" s="143" t="s">
        <v>489</v>
      </c>
      <c r="E27" s="406" t="s">
        <v>489</v>
      </c>
    </row>
    <row r="28" spans="2:5">
      <c r="B28" s="424" t="s">
        <v>788</v>
      </c>
      <c r="C28" s="401" t="s">
        <v>212</v>
      </c>
      <c r="D28" s="425" t="s">
        <v>2</v>
      </c>
      <c r="E28" s="426" t="s">
        <v>2</v>
      </c>
    </row>
    <row r="30" spans="2:5">
      <c r="B30" s="654" t="s">
        <v>789</v>
      </c>
      <c r="C30" s="655"/>
      <c r="D30" s="655"/>
      <c r="E30" s="656"/>
    </row>
    <row r="31" spans="2:5">
      <c r="B31" s="408" t="s">
        <v>665</v>
      </c>
      <c r="C31" s="136" t="s">
        <v>666</v>
      </c>
      <c r="D31" s="140">
        <v>240</v>
      </c>
      <c r="E31" s="409">
        <v>240</v>
      </c>
    </row>
    <row r="32" spans="2:5">
      <c r="B32" s="408" t="s">
        <v>790</v>
      </c>
      <c r="C32" s="137" t="s">
        <v>475</v>
      </c>
      <c r="D32" s="140">
        <v>0.8</v>
      </c>
      <c r="E32" s="409">
        <v>0.8</v>
      </c>
    </row>
    <row r="33" spans="2:6">
      <c r="B33" s="410" t="s">
        <v>791</v>
      </c>
      <c r="C33" s="412" t="s">
        <v>475</v>
      </c>
      <c r="D33" s="402">
        <v>1</v>
      </c>
      <c r="E33" s="411">
        <v>1</v>
      </c>
    </row>
    <row r="35" spans="2:6">
      <c r="B35" s="654" t="s">
        <v>792</v>
      </c>
      <c r="C35" s="655"/>
      <c r="D35" s="655"/>
      <c r="E35" s="656"/>
    </row>
    <row r="36" spans="2:6" hidden="1"/>
    <row r="37" spans="2:6">
      <c r="B37" s="413" t="s">
        <v>793</v>
      </c>
      <c r="C37" s="136" t="s">
        <v>212</v>
      </c>
      <c r="D37" s="141" t="s">
        <v>832</v>
      </c>
      <c r="E37" s="414" t="s">
        <v>832</v>
      </c>
    </row>
    <row r="38" spans="2:6">
      <c r="B38" s="413" t="s">
        <v>794</v>
      </c>
      <c r="C38" s="136" t="s">
        <v>212</v>
      </c>
      <c r="D38" s="143" t="s">
        <v>531</v>
      </c>
      <c r="E38" s="409" t="s">
        <v>531</v>
      </c>
    </row>
    <row r="39" spans="2:6">
      <c r="B39" s="413" t="s">
        <v>795</v>
      </c>
      <c r="C39" s="136" t="s">
        <v>212</v>
      </c>
      <c r="D39" s="435" t="str">
        <f>IF(D6="UFAD_York", "York/JCI MIT1", "Swirl")</f>
        <v>Swirl</v>
      </c>
      <c r="E39" s="406" t="s">
        <v>913</v>
      </c>
      <c r="F39" s="430"/>
    </row>
    <row r="40" spans="2:6">
      <c r="B40" s="413" t="s">
        <v>796</v>
      </c>
      <c r="C40" s="136" t="s">
        <v>212</v>
      </c>
      <c r="D40" s="144" t="s">
        <v>922</v>
      </c>
      <c r="E40" s="432" t="s">
        <v>922</v>
      </c>
    </row>
    <row r="41" spans="2:6">
      <c r="B41" s="398" t="s">
        <v>797</v>
      </c>
      <c r="C41" s="136" t="s">
        <v>798</v>
      </c>
      <c r="D41" s="145">
        <v>2</v>
      </c>
      <c r="E41" s="553">
        <v>2</v>
      </c>
    </row>
    <row r="42" spans="2:6">
      <c r="B42" s="493" t="s">
        <v>799</v>
      </c>
      <c r="C42" s="412" t="s">
        <v>800</v>
      </c>
      <c r="D42" s="402">
        <v>100</v>
      </c>
      <c r="E42" s="411">
        <v>100</v>
      </c>
    </row>
    <row r="43" spans="2:6">
      <c r="B43" s="398" t="s">
        <v>801</v>
      </c>
      <c r="C43" s="136" t="s">
        <v>212</v>
      </c>
      <c r="D43" s="435" t="str">
        <f>IF(D6="UFAD_York", "York/JCI MIT1", "Linear Bar Grille")</f>
        <v>Linear Bar Grille</v>
      </c>
      <c r="E43" s="406" t="s">
        <v>913</v>
      </c>
    </row>
    <row r="44" spans="2:6">
      <c r="B44" s="446" t="s">
        <v>944</v>
      </c>
      <c r="C44" s="429" t="s">
        <v>633</v>
      </c>
      <c r="D44" s="140">
        <v>4</v>
      </c>
      <c r="E44" s="436">
        <v>4</v>
      </c>
    </row>
    <row r="45" spans="2:6">
      <c r="B45" s="446" t="s">
        <v>942</v>
      </c>
      <c r="C45" s="429" t="s">
        <v>633</v>
      </c>
      <c r="D45" s="140">
        <v>3</v>
      </c>
      <c r="E45" s="436">
        <v>3</v>
      </c>
    </row>
    <row r="46" spans="2:6">
      <c r="B46" s="446" t="s">
        <v>943</v>
      </c>
      <c r="C46" s="429" t="s">
        <v>633</v>
      </c>
      <c r="D46" s="140">
        <v>6</v>
      </c>
      <c r="E46" s="436">
        <v>6</v>
      </c>
    </row>
    <row r="47" spans="2:6">
      <c r="B47" s="445" t="s">
        <v>941</v>
      </c>
      <c r="C47" s="491" t="s">
        <v>633</v>
      </c>
      <c r="D47" s="402">
        <v>7</v>
      </c>
      <c r="E47" s="492">
        <v>7</v>
      </c>
    </row>
    <row r="48" spans="2:6">
      <c r="B48" s="497" t="s">
        <v>963</v>
      </c>
      <c r="C48" s="136" t="s">
        <v>212</v>
      </c>
      <c r="D48" s="146" t="s">
        <v>971</v>
      </c>
      <c r="E48" s="409" t="s">
        <v>971</v>
      </c>
    </row>
    <row r="49" spans="2:5">
      <c r="B49" s="396" t="s">
        <v>831</v>
      </c>
      <c r="C49" s="415" t="s">
        <v>29</v>
      </c>
      <c r="D49" s="140">
        <v>0.15</v>
      </c>
      <c r="E49" s="397">
        <v>0.15</v>
      </c>
    </row>
    <row r="50" spans="2:5">
      <c r="B50" s="413" t="s">
        <v>802</v>
      </c>
      <c r="C50" s="136" t="s">
        <v>778</v>
      </c>
      <c r="D50" s="143">
        <v>57</v>
      </c>
      <c r="E50" s="409">
        <v>57</v>
      </c>
    </row>
    <row r="51" spans="2:5">
      <c r="B51" s="413" t="s">
        <v>803</v>
      </c>
      <c r="C51" s="136" t="s">
        <v>212</v>
      </c>
      <c r="D51" s="147" t="s">
        <v>489</v>
      </c>
      <c r="E51" s="506" t="s">
        <v>489</v>
      </c>
    </row>
    <row r="52" spans="2:5">
      <c r="B52" s="416" t="s">
        <v>804</v>
      </c>
      <c r="C52" s="136" t="s">
        <v>14</v>
      </c>
      <c r="D52" s="145">
        <v>3</v>
      </c>
      <c r="E52" s="409">
        <v>3</v>
      </c>
    </row>
    <row r="53" spans="2:5" hidden="1">
      <c r="B53" s="417" t="s">
        <v>805</v>
      </c>
      <c r="C53" s="136" t="s">
        <v>212</v>
      </c>
      <c r="D53" s="147" t="s">
        <v>488</v>
      </c>
      <c r="E53" s="409" t="s">
        <v>488</v>
      </c>
    </row>
    <row r="54" spans="2:5">
      <c r="B54" s="417" t="s">
        <v>806</v>
      </c>
      <c r="C54" s="136" t="s">
        <v>14</v>
      </c>
      <c r="D54" s="148">
        <v>1.5</v>
      </c>
      <c r="E54" s="409">
        <v>1.5</v>
      </c>
    </row>
    <row r="55" spans="2:5">
      <c r="B55" s="445" t="s">
        <v>940</v>
      </c>
      <c r="C55" s="401" t="s">
        <v>212</v>
      </c>
      <c r="D55" s="418" t="s">
        <v>972</v>
      </c>
      <c r="E55" s="552" t="s">
        <v>972</v>
      </c>
    </row>
    <row r="57" spans="2:5">
      <c r="B57" s="654" t="s">
        <v>807</v>
      </c>
      <c r="C57" s="655"/>
      <c r="D57" s="655"/>
      <c r="E57" s="656"/>
    </row>
    <row r="58" spans="2:5">
      <c r="B58" s="396" t="s">
        <v>808</v>
      </c>
      <c r="C58" s="136" t="s">
        <v>212</v>
      </c>
      <c r="D58" s="147" t="str">
        <f>'imf input text'!J51</f>
        <v>No</v>
      </c>
      <c r="E58" s="506" t="s">
        <v>488</v>
      </c>
    </row>
    <row r="59" spans="2:5">
      <c r="B59" s="398" t="s">
        <v>809</v>
      </c>
      <c r="C59" s="136" t="s">
        <v>212</v>
      </c>
      <c r="D59" s="147" t="s">
        <v>488</v>
      </c>
      <c r="E59" s="506" t="s">
        <v>488</v>
      </c>
    </row>
    <row r="60" spans="2:5">
      <c r="B60" s="396" t="s">
        <v>810</v>
      </c>
      <c r="C60" s="136" t="s">
        <v>212</v>
      </c>
      <c r="D60" s="147" t="str">
        <f>'imf input text'!J52</f>
        <v>Yes</v>
      </c>
      <c r="E60" s="506" t="s">
        <v>488</v>
      </c>
    </row>
    <row r="61" spans="2:5">
      <c r="B61" s="398" t="s">
        <v>811</v>
      </c>
      <c r="C61" s="136" t="s">
        <v>212</v>
      </c>
      <c r="D61" s="147" t="s">
        <v>488</v>
      </c>
      <c r="E61" s="506" t="s">
        <v>488</v>
      </c>
    </row>
    <row r="62" spans="2:5">
      <c r="B62" s="419" t="s">
        <v>908</v>
      </c>
      <c r="C62" s="420" t="s">
        <v>212</v>
      </c>
      <c r="D62" s="418" t="s">
        <v>977</v>
      </c>
      <c r="E62" s="552" t="s">
        <v>973</v>
      </c>
    </row>
  </sheetData>
  <mergeCells count="7">
    <mergeCell ref="J3:K3"/>
    <mergeCell ref="B57:E57"/>
    <mergeCell ref="B35:E35"/>
    <mergeCell ref="B30:E30"/>
    <mergeCell ref="B21:E21"/>
    <mergeCell ref="B3:E3"/>
    <mergeCell ref="B14:E14"/>
  </mergeCells>
  <phoneticPr fontId="72" type="noConversion"/>
  <dataValidations count="22">
    <dataValidation type="list" showInputMessage="1" showErrorMessage="1" sqref="D58:D61 D53 D51">
      <formula1>"Yes, No"</formula1>
    </dataValidation>
    <dataValidation type="list" showInputMessage="1" showErrorMessage="1" sqref="D62">
      <formula1>"SingleSpeed, TwoSpeed, VariableSpeed"</formula1>
    </dataValidation>
    <dataValidation type="list" showInputMessage="1" showErrorMessage="1" sqref="D55">
      <formula1>"Return_Fan, Relief_Fan, None"</formula1>
    </dataValidation>
    <dataValidation type="list" allowBlank="1" showInputMessage="1" showErrorMessage="1" sqref="D54">
      <formula1>"1.0, 1.5"</formula1>
    </dataValidation>
    <dataValidation type="list" allowBlank="1" showInputMessage="1" showErrorMessage="1" sqref="D48">
      <formula1>"0.1, 0.2, 0.3, Min_OSA"</formula1>
    </dataValidation>
    <dataValidation type="list" allowBlank="1" showInputMessage="1" showErrorMessage="1" sqref="D50">
      <formula1>"57, 60, 63"</formula1>
    </dataValidation>
    <dataValidation type="list" allowBlank="1" showInputMessage="1" showErrorMessage="1" sqref="D43">
      <formula1>"Linear Bar Grille, York/JCI MIT1"</formula1>
    </dataValidation>
    <dataValidation type="list" allowBlank="1" showInputMessage="1" showErrorMessage="1" sqref="D38">
      <formula1>"Series, Paralell, Ducted"</formula1>
    </dataValidation>
    <dataValidation type="list" allowBlank="1" showInputMessage="1" showErrorMessage="1" sqref="D40">
      <formula1>"Per Person, Per Area"</formula1>
    </dataValidation>
    <dataValidation type="list" allowBlank="1" showInputMessage="1" showErrorMessage="1" sqref="D39">
      <formula1>"Swirl, York/JCI MIT1"</formula1>
    </dataValidation>
    <dataValidation type="list" showInputMessage="1" showErrorMessage="1" sqref="D37">
      <formula1>"Fixed Minimum, VAV Heating"</formula1>
    </dataValidation>
    <dataValidation type="list" allowBlank="1" showInputMessage="1" showErrorMessage="1" sqref="D27 K4">
      <formula1>"Yes, No"</formula1>
    </dataValidation>
    <dataValidation type="list" showInputMessage="1" showErrorMessage="1" sqref="D28">
      <formula1>"Above, Below, None"</formula1>
    </dataValidation>
    <dataValidation type="list" showInputMessage="1" showErrorMessage="1" sqref="D25">
      <formula1>"0.29, 0.37, 0.55"</formula1>
    </dataValidation>
    <dataValidation type="list" showInputMessage="1" showErrorMessage="1" sqref="D24">
      <formula1>"0.2, 0.4, 0.6"</formula1>
    </dataValidation>
    <dataValidation showInputMessage="1" showErrorMessage="1" sqref="D26"/>
    <dataValidation type="list" allowBlank="1" showInputMessage="1" showErrorMessage="1" sqref="D15">
      <formula1>"CBE, LBL"</formula1>
    </dataValidation>
    <dataValidation type="list" showInputMessage="1" showErrorMessage="1" sqref="D8 D10">
      <formula1>"1, 2, 3, 4, 5, 6, 7, 8, 9, 10, 11, 12"</formula1>
    </dataValidation>
    <dataValidation type="list" showInputMessage="1" showErrorMessage="1" sqref="D9 D11">
      <formula1>"1, 2, 3, 4, 5, 6, 7, 8, 9, 10, 11, 12, 13, 14, 15, 16, 17, 18, 19, 20, 21, 22, 23, 24, 25, 26, 27, 28, 29, 30, 31"</formula1>
    </dataValidation>
    <dataValidation type="list" showInputMessage="1" showErrorMessage="1" sqref="D7">
      <formula1>SimulationInput</formula1>
    </dataValidation>
    <dataValidation type="list" showInputMessage="1" showErrorMessage="1" sqref="D6">
      <formula1>SystemType</formula1>
    </dataValidation>
    <dataValidation type="list" allowBlank="1" showInputMessage="1" showErrorMessage="1" sqref="D4">
      <formula1>"FL_Miami, TX_Houston-Intercontinental, AZ_Phoenix, TN_Memphis, TX_El.Paso, CA_San.Francisco, MD_Baltimore, NM_Albuquerque, OR_Salem, IL_Chicago-OHare, ID_Boise, VT_Burlington, MT_Helena, MN_Duluth, AK_Fairbanks, Los_Angeles, Sacramento, San_Francisco"</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3"/>
  </sheetPr>
  <dimension ref="B1:GX380"/>
  <sheetViews>
    <sheetView topLeftCell="B1" zoomScale="90" zoomScaleNormal="90" workbookViewId="0">
      <selection activeCell="B43" sqref="B43"/>
    </sheetView>
  </sheetViews>
  <sheetFormatPr defaultRowHeight="12.75"/>
  <cols>
    <col min="1" max="1" width="3.7109375" style="149" customWidth="1"/>
    <col min="2" max="2" width="12.85546875" style="149" bestFit="1" customWidth="1"/>
    <col min="3" max="3" width="15.7109375" style="150" customWidth="1"/>
    <col min="4" max="4" width="15.7109375" style="149" customWidth="1"/>
    <col min="5" max="5" width="16.140625" style="149" customWidth="1"/>
    <col min="6" max="17" width="9.7109375" style="149" customWidth="1"/>
    <col min="18" max="18" width="12" style="149" bestFit="1" customWidth="1"/>
    <col min="19" max="19" width="9.140625" style="149" customWidth="1"/>
    <col min="20" max="16384" width="9.140625" style="149"/>
  </cols>
  <sheetData>
    <row r="1" spans="2:192" ht="12.95" customHeight="1"/>
    <row r="2" spans="2:192" ht="12.95" customHeight="1">
      <c r="B2" s="667" t="s">
        <v>830</v>
      </c>
      <c r="C2" s="668"/>
      <c r="D2" s="668"/>
      <c r="E2" s="668"/>
      <c r="F2" s="668"/>
      <c r="G2" s="668"/>
      <c r="H2" s="668"/>
      <c r="I2" s="668"/>
      <c r="J2" s="668"/>
      <c r="K2" s="668"/>
      <c r="L2" s="668"/>
      <c r="M2" s="668"/>
      <c r="N2" s="668"/>
      <c r="O2" s="668"/>
      <c r="P2" s="668"/>
      <c r="Q2" s="669"/>
      <c r="R2" s="660"/>
      <c r="S2" s="662" t="s">
        <v>1085</v>
      </c>
      <c r="T2" s="663"/>
      <c r="U2" s="663"/>
      <c r="V2" s="663"/>
      <c r="W2" s="663"/>
      <c r="X2" s="663"/>
      <c r="Y2" s="663"/>
      <c r="Z2" s="663"/>
      <c r="AA2" s="663"/>
      <c r="AB2" s="663"/>
      <c r="AC2" s="606" t="s">
        <v>359</v>
      </c>
      <c r="AD2" s="599" t="s">
        <v>366</v>
      </c>
    </row>
    <row r="3" spans="2:192" ht="12.95" customHeight="1">
      <c r="B3" s="670" t="s">
        <v>815</v>
      </c>
      <c r="C3" s="664" t="s">
        <v>816</v>
      </c>
      <c r="D3" s="665"/>
      <c r="E3" s="666"/>
      <c r="F3" s="664" t="s">
        <v>829</v>
      </c>
      <c r="G3" s="665"/>
      <c r="H3" s="665"/>
      <c r="I3" s="665"/>
      <c r="J3" s="665"/>
      <c r="K3" s="665"/>
      <c r="L3" s="665"/>
      <c r="M3" s="665"/>
      <c r="N3" s="665"/>
      <c r="O3" s="665"/>
      <c r="P3" s="665"/>
      <c r="Q3" s="666"/>
      <c r="R3" s="661"/>
      <c r="S3" s="600" t="s">
        <v>817</v>
      </c>
      <c r="T3" s="601" t="s">
        <v>818</v>
      </c>
      <c r="U3" s="601" t="s">
        <v>819</v>
      </c>
      <c r="V3" s="601" t="s">
        <v>820</v>
      </c>
      <c r="W3" s="601" t="s">
        <v>821</v>
      </c>
      <c r="X3" s="601" t="s">
        <v>822</v>
      </c>
      <c r="Y3" s="601" t="s">
        <v>823</v>
      </c>
      <c r="Z3" s="601" t="s">
        <v>824</v>
      </c>
      <c r="AA3" s="601" t="s">
        <v>825</v>
      </c>
      <c r="AB3" s="601" t="s">
        <v>826</v>
      </c>
      <c r="AC3" s="601" t="s">
        <v>827</v>
      </c>
      <c r="AD3" s="602" t="s">
        <v>828</v>
      </c>
    </row>
    <row r="4" spans="2:192" ht="12.95" customHeight="1">
      <c r="B4" s="671"/>
      <c r="C4" s="173" t="s">
        <v>844</v>
      </c>
      <c r="D4" s="174" t="s">
        <v>845</v>
      </c>
      <c r="E4" s="175" t="s">
        <v>846</v>
      </c>
      <c r="F4" s="173" t="s">
        <v>817</v>
      </c>
      <c r="G4" s="174" t="s">
        <v>818</v>
      </c>
      <c r="H4" s="174" t="s">
        <v>819</v>
      </c>
      <c r="I4" s="174" t="s">
        <v>820</v>
      </c>
      <c r="J4" s="174" t="s">
        <v>821</v>
      </c>
      <c r="K4" s="174" t="s">
        <v>822</v>
      </c>
      <c r="L4" s="174" t="s">
        <v>823</v>
      </c>
      <c r="M4" s="174" t="s">
        <v>824</v>
      </c>
      <c r="N4" s="174" t="s">
        <v>825</v>
      </c>
      <c r="O4" s="174" t="s">
        <v>826</v>
      </c>
      <c r="P4" s="174" t="s">
        <v>827</v>
      </c>
      <c r="Q4" s="175" t="s">
        <v>828</v>
      </c>
      <c r="R4" s="603" t="s">
        <v>1086</v>
      </c>
      <c r="S4" s="604">
        <f>AVERAGEIF('graph data'!$AH$2:$AH$745,"&gt;0")/AVERAGEIF('graph data'!$AB$2:$AB$745,"&gt;0")</f>
        <v>9.1971289415134656</v>
      </c>
      <c r="T4" s="604" t="e">
        <f>AVERAGEIF('graph data'!$AH$746:$AH$1417,"&gt;0")/AVERAGEIF('graph data'!$AB$746:$AB$1417,"&gt;0")</f>
        <v>#DIV/0!</v>
      </c>
      <c r="U4" s="604" t="e">
        <f>AVERAGEIF('graph data'!$AH$1418:$AH$2161,"&gt;0")/AVERAGEIF('graph data'!$AB$1418:$AB$2161,"&gt;0")</f>
        <v>#DIV/0!</v>
      </c>
      <c r="V4" s="604" t="e">
        <f>AVERAGEIF('graph data'!$AH$2162:$AH$2881,"&gt;0")/AVERAGEIF('graph data'!$AB$2162:$AB$2881,"&gt;0")</f>
        <v>#DIV/0!</v>
      </c>
      <c r="W4" s="604" t="e">
        <f>AVERAGEIF('graph data'!$AH$2882:$AH$3625,"&gt;0")/AVERAGEIF('graph data'!$AB$2882:$AB$3625,"&gt;0")</f>
        <v>#DIV/0!</v>
      </c>
      <c r="X4" s="604" t="e">
        <f>AVERAGEIF('graph data'!$AH$3626:$AH$4345,"&gt;0")/AVERAGEIF('graph data'!$AB$3626:$AB$4345,"&gt;0")</f>
        <v>#DIV/0!</v>
      </c>
      <c r="Y4" s="604" t="e">
        <f>AVERAGEIF('graph data'!$AH$4346:$AH$5089,"&gt;0")/AVERAGEIF('graph data'!$AB$4346:$AB$5089,"&gt;0")</f>
        <v>#DIV/0!</v>
      </c>
      <c r="Z4" s="604" t="e">
        <f>AVERAGEIF('graph data'!$AH$5090:$AH$5883,"&gt;0")/AVERAGEIF('graph data'!$AB$5090:$AB$5883,"&gt;0")</f>
        <v>#DIV/0!</v>
      </c>
      <c r="AA4" s="604" t="e">
        <f>AVERAGEIF('graph data'!$AH$5884:$AH$6553,"&gt;0")/AVERAGEIF('graph data'!$AB$5884:$AB$6553,"&gt;0")</f>
        <v>#DIV/0!</v>
      </c>
      <c r="AB4" s="604" t="e">
        <f>AVERAGEIF('graph data'!$AH$6554:$AH$7297,"&gt;0")/AVERAGEIF('graph data'!$AB$6554:$AB$7279,"&gt;0")</f>
        <v>#DIV/0!</v>
      </c>
      <c r="AC4" s="604" t="e">
        <f>AVERAGEIF('graph data'!$AH$7298:$AH$8017,"&gt;0")/AVERAGEIF('graph data'!$AB$7298:$AB$8017,"&gt;0")</f>
        <v>#DIV/0!</v>
      </c>
      <c r="AD4" s="605" t="e">
        <f>AVERAGEIF('graph data'!$AH$8018:$AH$8761,"&gt;0")/AVERAGEIF('graph data'!$AB$8018:$AB$8761,"&gt;0")</f>
        <v>#DIV/0!</v>
      </c>
    </row>
    <row r="5" spans="2:192" ht="12.95" customHeight="1">
      <c r="B5" s="171" t="s">
        <v>354</v>
      </c>
      <c r="C5" s="190">
        <f t="shared" ref="C5:C12" si="0">SUM(F5:Q5)</f>
        <v>0</v>
      </c>
      <c r="D5" s="191" t="e">
        <f t="shared" ref="D5:D12" si="1">C5/$C$12*100</f>
        <v>#DIV/0!</v>
      </c>
      <c r="E5" s="192">
        <f>C5*3.167</f>
        <v>0</v>
      </c>
      <c r="F5" s="193">
        <f>'graph data'!C123</f>
        <v>0</v>
      </c>
      <c r="G5" s="194">
        <f>'graph data'!D123</f>
        <v>0</v>
      </c>
      <c r="H5" s="194">
        <f>'graph data'!E123</f>
        <v>0</v>
      </c>
      <c r="I5" s="194">
        <f>'graph data'!F123</f>
        <v>0</v>
      </c>
      <c r="J5" s="194">
        <f>'graph data'!G123</f>
        <v>0</v>
      </c>
      <c r="K5" s="194">
        <f>'graph data'!H123</f>
        <v>0</v>
      </c>
      <c r="L5" s="194">
        <f>'graph data'!I123</f>
        <v>0</v>
      </c>
      <c r="M5" s="194">
        <f>'graph data'!J123</f>
        <v>0</v>
      </c>
      <c r="N5" s="194">
        <f>'graph data'!K123</f>
        <v>0</v>
      </c>
      <c r="O5" s="194">
        <f>'graph data'!L123</f>
        <v>0</v>
      </c>
      <c r="P5" s="194">
        <f>'graph data'!M123</f>
        <v>0</v>
      </c>
      <c r="Q5" s="195">
        <f>'graph data'!N123</f>
        <v>0</v>
      </c>
      <c r="R5" s="603" t="s">
        <v>1087</v>
      </c>
      <c r="S5" s="604">
        <f>AVERAGEIF('graph data'!$AG$2:$AG$745,"&gt;0")/AVERAGEIF('graph data'!$AB$2:$AB$745,"&gt;0")</f>
        <v>0.64406327460784041</v>
      </c>
      <c r="T5" s="604" t="e">
        <f>AVERAGEIF('graph data'!$AG$746:$AG$1417,"&gt;0")/AVERAGEIF('graph data'!$AB$746:$AB$1417,"&gt;0")</f>
        <v>#DIV/0!</v>
      </c>
      <c r="U5" s="604" t="e">
        <f>AVERAGEIF('graph data'!$AG$1418:$AG$2161,"&gt;0")/AVERAGEIF('graph data'!$AB$1418:$AB$2161,"&gt;0")</f>
        <v>#DIV/0!</v>
      </c>
      <c r="V5" s="604" t="e">
        <f>AVERAGEIF('graph data'!$AG$2162:$AG$2881,"&gt;0")/AVERAGEIF('graph data'!$AB$2162:$AB$2881,"&gt;0")</f>
        <v>#DIV/0!</v>
      </c>
      <c r="W5" s="604" t="e">
        <f>AVERAGEIF('graph data'!$AG$2882:$AG$3625,"&gt;0")/AVERAGEIF('graph data'!$AB$2882:$AB$3625,"&gt;0")</f>
        <v>#DIV/0!</v>
      </c>
      <c r="X5" s="604" t="e">
        <f>AVERAGEIF('graph data'!$AG$3626:$AG$4345,"&gt;0")/AVERAGEIF('graph data'!$AB$3626:$AB$4345,"&gt;0")</f>
        <v>#DIV/0!</v>
      </c>
      <c r="Y5" s="604" t="e">
        <f>AVERAGEIF('graph data'!$AG$4346:$AG$5089,"&gt;0")/AVERAGEIF('graph data'!$AB$4346:$AB$5089,"&gt;0")</f>
        <v>#DIV/0!</v>
      </c>
      <c r="Z5" s="604" t="e">
        <f>AVERAGEIF('graph data'!$AG$5090:$AG$5889,"&gt;0")/AVERAGEIF('graph data'!$AB$5090:$AB$5889,"&gt;0")</f>
        <v>#DIV/0!</v>
      </c>
      <c r="AA5" s="604" t="e">
        <f>AVERAGEIF('graph data'!$AG$5884:$AG$6553,"&gt;0")/AVERAGEIF('graph data'!$AB$5884:$AB$6553,"&gt;0")</f>
        <v>#DIV/0!</v>
      </c>
      <c r="AB5" s="604" t="e">
        <f>AVERAGEIF('graph data'!$AG$6554:$AG$7297,"&gt;0")/AVERAGEIF('graph data'!$AB$6554:$AB$7297,"&gt;0")</f>
        <v>#DIV/0!</v>
      </c>
      <c r="AC5" s="604" t="e">
        <f>AVERAGEIF('graph data'!$AG$7298:$AG$8017,"&gt;0")/AVERAGEIF('graph data'!$AB$7298:$AB$8017,"&gt;0")</f>
        <v>#DIV/0!</v>
      </c>
      <c r="AD5" s="605" t="e">
        <f>AVERAGEIF('graph data'!$AG$8018:$AG$8761,"&gt;0")/AVERAGEIF('graph data'!$AB$8018:$AB$8761,"&gt;0")</f>
        <v>#DIV/0!</v>
      </c>
    </row>
    <row r="6" spans="2:192" ht="12.95" customHeight="1">
      <c r="B6" s="171" t="s">
        <v>355</v>
      </c>
      <c r="C6" s="190">
        <f t="shared" si="0"/>
        <v>0</v>
      </c>
      <c r="D6" s="191" t="e">
        <f t="shared" si="1"/>
        <v>#DIV/0!</v>
      </c>
      <c r="E6" s="192">
        <f>C6*3.167</f>
        <v>0</v>
      </c>
      <c r="F6" s="193">
        <f>'graph data'!C124</f>
        <v>0</v>
      </c>
      <c r="G6" s="194">
        <f>'graph data'!D124</f>
        <v>0</v>
      </c>
      <c r="H6" s="194">
        <f>'graph data'!E124</f>
        <v>0</v>
      </c>
      <c r="I6" s="194">
        <f>'graph data'!F124</f>
        <v>0</v>
      </c>
      <c r="J6" s="194">
        <f>'graph data'!G124</f>
        <v>0</v>
      </c>
      <c r="K6" s="194">
        <f>'graph data'!H124</f>
        <v>0</v>
      </c>
      <c r="L6" s="194">
        <f>'graph data'!I124</f>
        <v>0</v>
      </c>
      <c r="M6" s="194">
        <f>'graph data'!J124</f>
        <v>0</v>
      </c>
      <c r="N6" s="194">
        <f>'graph data'!K124</f>
        <v>0</v>
      </c>
      <c r="O6" s="194">
        <f>'graph data'!L124</f>
        <v>0</v>
      </c>
      <c r="P6" s="194">
        <f>'graph data'!M124</f>
        <v>0</v>
      </c>
      <c r="Q6" s="195">
        <f>'graph data'!N124</f>
        <v>0</v>
      </c>
      <c r="R6" s="580"/>
      <c r="S6" s="580"/>
      <c r="T6" s="580"/>
      <c r="U6" s="580"/>
      <c r="V6" s="580"/>
      <c r="W6" s="580"/>
      <c r="X6" s="580"/>
      <c r="Y6" s="580"/>
      <c r="Z6" s="580"/>
      <c r="AA6" s="580"/>
      <c r="AB6" s="580"/>
      <c r="AC6" s="580"/>
      <c r="AD6" s="580"/>
    </row>
    <row r="7" spans="2:192" ht="12.95" customHeight="1">
      <c r="B7" s="170" t="s">
        <v>412</v>
      </c>
      <c r="C7" s="190">
        <f t="shared" si="0"/>
        <v>0</v>
      </c>
      <c r="D7" s="191" t="e">
        <f t="shared" si="1"/>
        <v>#DIV/0!</v>
      </c>
      <c r="E7" s="192">
        <f>C7*1.084</f>
        <v>0</v>
      </c>
      <c r="F7" s="193">
        <f>'graph data'!C130</f>
        <v>0</v>
      </c>
      <c r="G7" s="194">
        <f>'graph data'!D130</f>
        <v>0</v>
      </c>
      <c r="H7" s="194">
        <f>'graph data'!E130</f>
        <v>0</v>
      </c>
      <c r="I7" s="194">
        <f>'graph data'!F130</f>
        <v>0</v>
      </c>
      <c r="J7" s="194">
        <f>'graph data'!G130</f>
        <v>0</v>
      </c>
      <c r="K7" s="194">
        <f>'graph data'!H130</f>
        <v>0</v>
      </c>
      <c r="L7" s="194">
        <f>'graph data'!I130</f>
        <v>0</v>
      </c>
      <c r="M7" s="194">
        <f>'graph data'!J130</f>
        <v>0</v>
      </c>
      <c r="N7" s="194">
        <f>'graph data'!K130</f>
        <v>0</v>
      </c>
      <c r="O7" s="194">
        <f>'graph data'!L130</f>
        <v>0</v>
      </c>
      <c r="P7" s="194">
        <f>'graph data'!M130</f>
        <v>0</v>
      </c>
      <c r="Q7" s="195">
        <f>'graph data'!N130</f>
        <v>0</v>
      </c>
      <c r="R7" s="580"/>
      <c r="S7" s="580"/>
      <c r="T7" s="580"/>
      <c r="U7" s="580"/>
      <c r="V7" s="580"/>
      <c r="W7" s="580"/>
      <c r="X7" s="580"/>
      <c r="Y7" s="580"/>
      <c r="Z7" s="580"/>
      <c r="AA7" s="580"/>
      <c r="AB7" s="580"/>
      <c r="AC7" s="580"/>
      <c r="AD7" s="580"/>
    </row>
    <row r="8" spans="2:192" ht="12.95" customHeight="1">
      <c r="B8" s="170" t="s">
        <v>411</v>
      </c>
      <c r="C8" s="190">
        <f t="shared" si="0"/>
        <v>0</v>
      </c>
      <c r="D8" s="191" t="e">
        <f t="shared" si="1"/>
        <v>#DIV/0!</v>
      </c>
      <c r="E8" s="192">
        <f>C8*3.167</f>
        <v>0</v>
      </c>
      <c r="F8" s="193">
        <f>'graph data'!C129</f>
        <v>0</v>
      </c>
      <c r="G8" s="194">
        <f>'graph data'!D129</f>
        <v>0</v>
      </c>
      <c r="H8" s="194">
        <f>'graph data'!E129</f>
        <v>0</v>
      </c>
      <c r="I8" s="194">
        <f>'graph data'!F129</f>
        <v>0</v>
      </c>
      <c r="J8" s="194">
        <f>'graph data'!G129</f>
        <v>0</v>
      </c>
      <c r="K8" s="194">
        <f>'graph data'!H129</f>
        <v>0</v>
      </c>
      <c r="L8" s="194">
        <f>'graph data'!I129</f>
        <v>0</v>
      </c>
      <c r="M8" s="194">
        <f>'graph data'!J129</f>
        <v>0</v>
      </c>
      <c r="N8" s="194">
        <f>'graph data'!K129</f>
        <v>0</v>
      </c>
      <c r="O8" s="194">
        <f>'graph data'!L129</f>
        <v>0</v>
      </c>
      <c r="P8" s="194">
        <f>'graph data'!M129</f>
        <v>0</v>
      </c>
      <c r="Q8" s="195">
        <f>'graph data'!N129</f>
        <v>0</v>
      </c>
      <c r="R8" s="580"/>
      <c r="S8" s="580"/>
      <c r="T8" s="580"/>
      <c r="U8" s="580"/>
      <c r="V8" s="580"/>
      <c r="W8" s="580"/>
      <c r="X8" s="580"/>
      <c r="Y8" s="580"/>
      <c r="Z8" s="580"/>
      <c r="AA8" s="580"/>
      <c r="AB8" s="580"/>
      <c r="AC8" s="580"/>
      <c r="AD8" s="580"/>
      <c r="AE8" s="357"/>
      <c r="AF8" s="357"/>
      <c r="AG8" s="357"/>
      <c r="AH8" s="357"/>
      <c r="AI8" s="357"/>
      <c r="AJ8" s="357"/>
      <c r="AK8" s="357"/>
      <c r="AL8" s="357"/>
      <c r="AM8" s="357"/>
      <c r="AN8" s="357"/>
      <c r="AO8" s="357"/>
      <c r="AP8" s="357"/>
      <c r="AQ8" s="357"/>
      <c r="AR8" s="357"/>
      <c r="AS8" s="357"/>
      <c r="AT8" s="357"/>
      <c r="AU8" s="357"/>
      <c r="AV8" s="357"/>
      <c r="AW8" s="357"/>
      <c r="AX8" s="357"/>
      <c r="AY8" s="357"/>
      <c r="AZ8" s="357"/>
      <c r="BA8" s="357"/>
      <c r="BB8" s="357"/>
      <c r="BC8" s="357"/>
      <c r="BD8" s="357"/>
      <c r="BE8" s="357"/>
      <c r="BF8" s="357"/>
      <c r="BG8" s="357"/>
      <c r="BH8" s="357"/>
      <c r="BI8" s="357"/>
      <c r="BJ8" s="357"/>
      <c r="BK8" s="357"/>
      <c r="BL8" s="357"/>
      <c r="BM8" s="357"/>
      <c r="BN8" s="357"/>
      <c r="BO8" s="357"/>
      <c r="BP8" s="357"/>
      <c r="BQ8" s="357"/>
      <c r="BR8" s="357"/>
      <c r="BS8" s="357"/>
      <c r="BT8" s="357"/>
      <c r="BU8" s="357"/>
      <c r="BV8" s="357"/>
      <c r="BW8" s="357"/>
      <c r="BX8" s="357"/>
      <c r="BY8" s="357"/>
      <c r="BZ8" s="357"/>
      <c r="CA8" s="357"/>
      <c r="CB8" s="357"/>
      <c r="CC8" s="357"/>
      <c r="CD8" s="357"/>
      <c r="CE8" s="357"/>
      <c r="CF8" s="357"/>
      <c r="CG8" s="357"/>
      <c r="CH8" s="357"/>
      <c r="CI8" s="357"/>
      <c r="CJ8" s="357"/>
      <c r="CK8" s="357"/>
      <c r="CL8" s="357"/>
      <c r="CM8" s="357"/>
      <c r="CN8" s="357"/>
      <c r="CO8" s="357"/>
      <c r="CP8" s="357"/>
      <c r="CQ8" s="357"/>
      <c r="CR8" s="357"/>
      <c r="CS8" s="357"/>
      <c r="CT8" s="357"/>
      <c r="CU8" s="357"/>
      <c r="CV8" s="357"/>
      <c r="CW8" s="357"/>
      <c r="CX8" s="357"/>
      <c r="CY8" s="357"/>
      <c r="CZ8" s="357"/>
      <c r="DA8" s="357"/>
      <c r="DB8" s="357"/>
      <c r="DC8" s="357"/>
      <c r="DD8" s="357"/>
      <c r="DE8" s="357"/>
      <c r="DF8" s="357"/>
      <c r="DG8" s="357"/>
      <c r="DH8" s="357"/>
      <c r="DI8" s="357"/>
      <c r="DJ8" s="357"/>
      <c r="DK8" s="357"/>
      <c r="DL8" s="357"/>
      <c r="DM8" s="357"/>
      <c r="DN8" s="357"/>
      <c r="DO8" s="357"/>
      <c r="DP8" s="357"/>
      <c r="DQ8" s="357"/>
      <c r="DR8" s="357"/>
      <c r="DS8" s="357"/>
      <c r="DT8" s="357"/>
      <c r="DU8" s="357"/>
      <c r="DV8" s="357"/>
      <c r="DW8" s="357"/>
      <c r="DX8" s="357"/>
      <c r="DY8" s="357"/>
      <c r="DZ8" s="357"/>
      <c r="EA8" s="357"/>
      <c r="EB8" s="357"/>
      <c r="EC8" s="357"/>
      <c r="ED8" s="357"/>
      <c r="EE8" s="357"/>
      <c r="EF8" s="357"/>
      <c r="EG8" s="357"/>
      <c r="EH8" s="357"/>
      <c r="EI8" s="357"/>
      <c r="EJ8" s="357"/>
      <c r="EK8" s="357"/>
      <c r="EL8" s="357"/>
      <c r="EM8" s="357"/>
      <c r="EN8" s="357"/>
      <c r="EO8" s="357"/>
      <c r="EP8" s="357"/>
      <c r="EQ8" s="357"/>
      <c r="ER8" s="357"/>
      <c r="ES8" s="357"/>
      <c r="ET8" s="357"/>
      <c r="EU8" s="357"/>
      <c r="EV8" s="357"/>
      <c r="EW8" s="357"/>
      <c r="EX8" s="357"/>
      <c r="EY8" s="357"/>
      <c r="EZ8" s="357"/>
      <c r="FA8" s="357"/>
      <c r="FB8" s="357"/>
      <c r="FC8" s="357"/>
      <c r="FD8" s="357"/>
      <c r="FE8" s="357"/>
      <c r="FF8" s="357"/>
      <c r="FG8" s="357"/>
      <c r="FH8" s="357"/>
      <c r="FI8" s="357"/>
      <c r="FJ8" s="357"/>
      <c r="FK8" s="357"/>
      <c r="FL8" s="357"/>
      <c r="FM8" s="357"/>
      <c r="FN8" s="357"/>
      <c r="FO8" s="357"/>
      <c r="FP8" s="357"/>
      <c r="FQ8" s="357"/>
      <c r="FR8" s="357"/>
      <c r="FS8" s="357"/>
      <c r="FT8" s="357"/>
      <c r="FU8" s="357"/>
      <c r="FV8" s="357"/>
      <c r="FW8" s="357"/>
      <c r="FX8" s="357"/>
      <c r="FY8" s="357"/>
      <c r="FZ8" s="357"/>
      <c r="GA8" s="357"/>
      <c r="GB8" s="357"/>
      <c r="GC8" s="357"/>
      <c r="GD8" s="357"/>
      <c r="GE8" s="357"/>
      <c r="GF8" s="357"/>
      <c r="GG8" s="357"/>
      <c r="GH8" s="357"/>
      <c r="GI8" s="357"/>
      <c r="GJ8" s="357"/>
    </row>
    <row r="9" spans="2:192" ht="12.95" customHeight="1">
      <c r="B9" s="170" t="s">
        <v>502</v>
      </c>
      <c r="C9" s="190">
        <f t="shared" si="0"/>
        <v>0</v>
      </c>
      <c r="D9" s="196" t="e">
        <f t="shared" si="1"/>
        <v>#DIV/0!</v>
      </c>
      <c r="E9" s="192">
        <f>C9*3.167</f>
        <v>0</v>
      </c>
      <c r="F9" s="193">
        <f>'graph data'!C128</f>
        <v>0</v>
      </c>
      <c r="G9" s="194">
        <f>'graph data'!D128</f>
        <v>0</v>
      </c>
      <c r="H9" s="194">
        <f>'graph data'!E128</f>
        <v>0</v>
      </c>
      <c r="I9" s="194">
        <f>'graph data'!F128</f>
        <v>0</v>
      </c>
      <c r="J9" s="194">
        <f>'graph data'!G128</f>
        <v>0</v>
      </c>
      <c r="K9" s="194">
        <f>'graph data'!H128</f>
        <v>0</v>
      </c>
      <c r="L9" s="194">
        <f>'graph data'!I128</f>
        <v>0</v>
      </c>
      <c r="M9" s="194">
        <f>'graph data'!J128</f>
        <v>0</v>
      </c>
      <c r="N9" s="194">
        <f>'graph data'!K128</f>
        <v>0</v>
      </c>
      <c r="O9" s="194">
        <f>'graph data'!L128</f>
        <v>0</v>
      </c>
      <c r="P9" s="194">
        <f>'graph data'!M128</f>
        <v>0</v>
      </c>
      <c r="Q9" s="195">
        <f>'graph data'!N128</f>
        <v>0</v>
      </c>
      <c r="R9" s="580"/>
      <c r="S9" s="580"/>
      <c r="T9" s="580"/>
      <c r="U9" s="580"/>
      <c r="V9" s="580"/>
      <c r="W9" s="580"/>
      <c r="X9" s="580"/>
      <c r="Y9" s="580"/>
      <c r="Z9" s="580"/>
      <c r="AA9" s="580"/>
      <c r="AB9" s="580"/>
      <c r="AC9" s="580"/>
      <c r="AD9" s="580"/>
      <c r="AE9" s="357"/>
      <c r="AF9" s="357"/>
      <c r="AG9" s="357"/>
      <c r="AH9" s="357"/>
      <c r="AI9" s="357"/>
      <c r="AJ9" s="357"/>
      <c r="AK9" s="357"/>
      <c r="AL9" s="357"/>
      <c r="AM9" s="357"/>
      <c r="AN9" s="357"/>
      <c r="AO9" s="357"/>
      <c r="AP9" s="357"/>
      <c r="AQ9" s="357"/>
      <c r="AR9" s="357"/>
      <c r="AS9" s="357"/>
      <c r="AT9" s="357"/>
      <c r="AU9" s="357"/>
      <c r="AV9" s="357"/>
      <c r="AW9" s="357"/>
      <c r="AX9" s="357"/>
      <c r="AY9" s="357"/>
      <c r="AZ9" s="357"/>
      <c r="BA9" s="357"/>
      <c r="BB9" s="357"/>
      <c r="BC9" s="357"/>
      <c r="BD9" s="357"/>
      <c r="BE9" s="357"/>
      <c r="BF9" s="357"/>
      <c r="BG9" s="357"/>
      <c r="BH9" s="357"/>
      <c r="BI9" s="357"/>
      <c r="BJ9" s="357"/>
      <c r="BK9" s="357"/>
      <c r="BL9" s="357"/>
      <c r="BM9" s="357"/>
      <c r="BN9" s="357"/>
      <c r="BO9" s="357"/>
      <c r="BP9" s="357"/>
      <c r="BQ9" s="357"/>
      <c r="BR9" s="357"/>
      <c r="BS9" s="357"/>
      <c r="BT9" s="357"/>
      <c r="BU9" s="357"/>
      <c r="BV9" s="357"/>
      <c r="BW9" s="357"/>
      <c r="BX9" s="357"/>
      <c r="BY9" s="357"/>
      <c r="BZ9" s="357"/>
      <c r="CA9" s="357"/>
      <c r="CB9" s="357"/>
      <c r="CC9" s="357"/>
      <c r="CD9" s="357"/>
      <c r="CE9" s="357"/>
      <c r="CF9" s="357"/>
      <c r="CG9" s="357"/>
      <c r="CH9" s="357"/>
      <c r="CI9" s="357"/>
      <c r="CJ9" s="357"/>
      <c r="CK9" s="357"/>
      <c r="CL9" s="357"/>
      <c r="CM9" s="357"/>
      <c r="CN9" s="357"/>
      <c r="CO9" s="357"/>
      <c r="CP9" s="357"/>
      <c r="CQ9" s="357"/>
      <c r="CR9" s="357"/>
      <c r="CS9" s="357"/>
      <c r="CT9" s="357"/>
      <c r="CU9" s="357"/>
      <c r="CV9" s="357"/>
      <c r="CW9" s="357"/>
      <c r="CX9" s="357"/>
      <c r="CY9" s="357"/>
      <c r="CZ9" s="357"/>
      <c r="DA9" s="357"/>
      <c r="DB9" s="357"/>
      <c r="DC9" s="357"/>
      <c r="DD9" s="357"/>
      <c r="DE9" s="357"/>
      <c r="DF9" s="357"/>
      <c r="DG9" s="357"/>
      <c r="DH9" s="357"/>
      <c r="DI9" s="357"/>
      <c r="DJ9" s="357"/>
      <c r="DK9" s="357"/>
      <c r="DL9" s="357"/>
      <c r="DM9" s="357"/>
      <c r="DN9" s="357"/>
      <c r="DO9" s="357"/>
      <c r="DP9" s="357"/>
      <c r="DQ9" s="357"/>
      <c r="DR9" s="357"/>
      <c r="DS9" s="357"/>
      <c r="DT9" s="357"/>
      <c r="DU9" s="357"/>
      <c r="DV9" s="357"/>
      <c r="DW9" s="357"/>
      <c r="DX9" s="357"/>
      <c r="DY9" s="357"/>
      <c r="DZ9" s="357"/>
      <c r="EA9" s="357"/>
      <c r="EB9" s="357"/>
      <c r="EC9" s="357"/>
      <c r="ED9" s="357"/>
      <c r="EE9" s="357"/>
      <c r="EF9" s="357"/>
      <c r="EG9" s="357"/>
      <c r="EH9" s="357"/>
      <c r="EI9" s="357"/>
      <c r="EJ9" s="357"/>
      <c r="EK9" s="357"/>
      <c r="EL9" s="357"/>
      <c r="EM9" s="357"/>
      <c r="EN9" s="357"/>
      <c r="EO9" s="357"/>
      <c r="EP9" s="357"/>
      <c r="EQ9" s="357"/>
      <c r="ER9" s="357"/>
      <c r="ES9" s="357"/>
      <c r="ET9" s="357"/>
      <c r="EU9" s="357"/>
      <c r="EV9" s="357"/>
      <c r="EW9" s="357"/>
      <c r="EX9" s="357"/>
      <c r="EY9" s="357"/>
      <c r="EZ9" s="357"/>
      <c r="FA9" s="357"/>
      <c r="FB9" s="357"/>
      <c r="FC9" s="357"/>
      <c r="FD9" s="357"/>
      <c r="FE9" s="357"/>
      <c r="FF9" s="357"/>
      <c r="FG9" s="357"/>
      <c r="FH9" s="357"/>
      <c r="FI9" s="357"/>
      <c r="FJ9" s="357"/>
      <c r="FK9" s="357"/>
      <c r="FL9" s="357"/>
      <c r="FM9" s="357"/>
      <c r="FN9" s="357"/>
      <c r="FO9" s="357"/>
      <c r="FP9" s="357"/>
      <c r="FQ9" s="357"/>
      <c r="FR9" s="357"/>
      <c r="FS9" s="357"/>
      <c r="FT9" s="357"/>
      <c r="FU9" s="357"/>
      <c r="FV9" s="357"/>
      <c r="FW9" s="357"/>
      <c r="FX9" s="357"/>
      <c r="FY9" s="357"/>
      <c r="FZ9" s="357"/>
      <c r="GA9" s="357"/>
      <c r="GB9" s="357"/>
      <c r="GC9" s="357"/>
      <c r="GD9" s="357"/>
      <c r="GE9" s="357"/>
      <c r="GF9" s="357"/>
      <c r="GG9" s="357"/>
      <c r="GH9" s="357"/>
      <c r="GI9" s="357"/>
      <c r="GJ9" s="357"/>
    </row>
    <row r="10" spans="2:192" ht="12.95" customHeight="1">
      <c r="B10" s="170" t="s">
        <v>843</v>
      </c>
      <c r="C10" s="190">
        <f t="shared" si="0"/>
        <v>0</v>
      </c>
      <c r="D10" s="196" t="e">
        <f t="shared" si="1"/>
        <v>#DIV/0!</v>
      </c>
      <c r="E10" s="192">
        <f>C10*3.167</f>
        <v>0</v>
      </c>
      <c r="F10" s="193">
        <f>'graph data'!C127</f>
        <v>0</v>
      </c>
      <c r="G10" s="194">
        <f>'graph data'!D127</f>
        <v>0</v>
      </c>
      <c r="H10" s="194">
        <f>'graph data'!E127</f>
        <v>0</v>
      </c>
      <c r="I10" s="194">
        <f>'graph data'!F127</f>
        <v>0</v>
      </c>
      <c r="J10" s="194">
        <f>'graph data'!G127</f>
        <v>0</v>
      </c>
      <c r="K10" s="194">
        <f>'graph data'!H127</f>
        <v>0</v>
      </c>
      <c r="L10" s="194">
        <f>'graph data'!I127</f>
        <v>0</v>
      </c>
      <c r="M10" s="194">
        <f>'graph data'!J127</f>
        <v>0</v>
      </c>
      <c r="N10" s="194">
        <f>'graph data'!K127</f>
        <v>0</v>
      </c>
      <c r="O10" s="194">
        <f>'graph data'!L127</f>
        <v>0</v>
      </c>
      <c r="P10" s="194">
        <f>'graph data'!M127</f>
        <v>0</v>
      </c>
      <c r="Q10" s="195">
        <f>'graph data'!N127</f>
        <v>0</v>
      </c>
      <c r="R10" s="580"/>
      <c r="S10" s="580"/>
      <c r="T10" s="580"/>
      <c r="U10" s="580"/>
      <c r="V10" s="580"/>
      <c r="W10" s="580"/>
      <c r="X10" s="580"/>
      <c r="Y10" s="580"/>
      <c r="Z10" s="580"/>
      <c r="AA10" s="580"/>
      <c r="AB10" s="580"/>
      <c r="AC10" s="580"/>
      <c r="AD10" s="580"/>
      <c r="AE10" s="357"/>
      <c r="AF10" s="357"/>
      <c r="AG10" s="357"/>
      <c r="AH10" s="357"/>
      <c r="AI10" s="357"/>
      <c r="AJ10" s="357"/>
      <c r="AK10" s="357"/>
      <c r="AL10" s="357"/>
      <c r="AM10" s="357"/>
      <c r="AN10" s="357"/>
      <c r="AO10" s="357"/>
      <c r="AP10" s="357"/>
      <c r="AQ10" s="357"/>
      <c r="AR10" s="357"/>
      <c r="AS10" s="357"/>
      <c r="AT10" s="357"/>
      <c r="AU10" s="357"/>
      <c r="AV10" s="357"/>
      <c r="AW10" s="357"/>
      <c r="AX10" s="357"/>
      <c r="AY10" s="357"/>
      <c r="AZ10" s="357"/>
      <c r="BA10" s="357"/>
      <c r="BB10" s="357"/>
      <c r="BC10" s="357"/>
      <c r="BD10" s="357"/>
      <c r="BE10" s="357"/>
      <c r="BF10" s="357"/>
      <c r="BG10" s="357"/>
      <c r="BH10" s="357"/>
      <c r="BI10" s="357"/>
      <c r="BJ10" s="357"/>
      <c r="BK10" s="357"/>
      <c r="BL10" s="357"/>
      <c r="BM10" s="357"/>
      <c r="BN10" s="357"/>
      <c r="BO10" s="357"/>
      <c r="BP10" s="357"/>
      <c r="BQ10" s="357"/>
      <c r="BR10" s="357"/>
      <c r="BS10" s="357"/>
      <c r="BT10" s="357"/>
      <c r="BU10" s="357"/>
      <c r="BV10" s="357"/>
      <c r="BW10" s="357"/>
      <c r="BX10" s="357"/>
      <c r="BY10" s="357"/>
      <c r="BZ10" s="357"/>
      <c r="CA10" s="357"/>
      <c r="CB10" s="357"/>
      <c r="CC10" s="357"/>
      <c r="CD10" s="357"/>
      <c r="CE10" s="357"/>
      <c r="CF10" s="357"/>
      <c r="CG10" s="357"/>
      <c r="CH10" s="357"/>
      <c r="CI10" s="357"/>
      <c r="CJ10" s="357"/>
      <c r="CK10" s="357"/>
      <c r="CL10" s="357"/>
      <c r="CM10" s="357"/>
      <c r="CN10" s="357"/>
      <c r="CO10" s="357"/>
      <c r="CP10" s="357"/>
      <c r="CQ10" s="357"/>
      <c r="CR10" s="357"/>
      <c r="CS10" s="357"/>
      <c r="CT10" s="357"/>
      <c r="CU10" s="357"/>
      <c r="CV10" s="357"/>
      <c r="CW10" s="357"/>
      <c r="CX10" s="357"/>
      <c r="CY10" s="357"/>
      <c r="CZ10" s="357"/>
      <c r="DA10" s="357"/>
      <c r="DB10" s="357"/>
      <c r="DC10" s="357"/>
      <c r="DD10" s="357"/>
      <c r="DE10" s="357"/>
      <c r="DF10" s="357"/>
      <c r="DG10" s="357"/>
      <c r="DH10" s="357"/>
      <c r="DI10" s="357"/>
      <c r="DJ10" s="357"/>
      <c r="DK10" s="357"/>
      <c r="DL10" s="357"/>
      <c r="DM10" s="357"/>
      <c r="DN10" s="357"/>
      <c r="DO10" s="357"/>
      <c r="DP10" s="357"/>
      <c r="DQ10" s="357"/>
      <c r="DR10" s="357"/>
      <c r="DS10" s="357"/>
      <c r="DT10" s="357"/>
      <c r="DU10" s="357"/>
      <c r="DV10" s="357"/>
      <c r="DW10" s="357"/>
      <c r="DX10" s="357"/>
      <c r="DY10" s="357"/>
      <c r="DZ10" s="357"/>
      <c r="EA10" s="357"/>
      <c r="EB10" s="357"/>
      <c r="EC10" s="357"/>
      <c r="ED10" s="357"/>
      <c r="EE10" s="357"/>
      <c r="EF10" s="357"/>
      <c r="EG10" s="357"/>
      <c r="EH10" s="357"/>
      <c r="EI10" s="357"/>
      <c r="EJ10" s="357"/>
      <c r="EK10" s="357"/>
      <c r="EL10" s="357"/>
      <c r="EM10" s="357"/>
      <c r="EN10" s="357"/>
      <c r="EO10" s="357"/>
      <c r="EP10" s="357"/>
      <c r="EQ10" s="357"/>
      <c r="ER10" s="357"/>
      <c r="ES10" s="357"/>
      <c r="ET10" s="357"/>
      <c r="EU10" s="357"/>
      <c r="EV10" s="357"/>
      <c r="EW10" s="357"/>
      <c r="EX10" s="357"/>
      <c r="EY10" s="357"/>
      <c r="EZ10" s="357"/>
      <c r="FA10" s="357"/>
      <c r="FB10" s="357"/>
      <c r="FC10" s="357"/>
      <c r="FD10" s="357"/>
      <c r="FE10" s="357"/>
      <c r="FF10" s="357"/>
      <c r="FG10" s="357"/>
      <c r="FH10" s="357"/>
      <c r="FI10" s="357"/>
      <c r="FJ10" s="357"/>
      <c r="FK10" s="357"/>
      <c r="FL10" s="357"/>
      <c r="FM10" s="357"/>
      <c r="FN10" s="357"/>
      <c r="FO10" s="357"/>
      <c r="FP10" s="357"/>
      <c r="FQ10" s="357"/>
      <c r="FR10" s="357"/>
      <c r="FS10" s="357"/>
      <c r="FT10" s="357"/>
      <c r="FU10" s="357"/>
      <c r="FV10" s="357"/>
      <c r="FW10" s="357"/>
      <c r="FX10" s="357"/>
      <c r="FY10" s="357"/>
      <c r="FZ10" s="357"/>
      <c r="GA10" s="357"/>
      <c r="GB10" s="357"/>
      <c r="GC10" s="357"/>
      <c r="GD10" s="357"/>
      <c r="GE10" s="357"/>
      <c r="GF10" s="357"/>
      <c r="GG10" s="357"/>
      <c r="GH10" s="357"/>
      <c r="GI10" s="357"/>
      <c r="GJ10" s="357"/>
    </row>
    <row r="11" spans="2:192" ht="12.95" customHeight="1">
      <c r="B11" s="170" t="s">
        <v>154</v>
      </c>
      <c r="C11" s="572">
        <f t="shared" si="0"/>
        <v>0</v>
      </c>
      <c r="D11" s="196" t="e">
        <f t="shared" si="1"/>
        <v>#DIV/0!</v>
      </c>
      <c r="E11" s="197">
        <f>SUM(E7:E10)</f>
        <v>0</v>
      </c>
      <c r="F11" s="193">
        <f>'graph data'!C122</f>
        <v>0</v>
      </c>
      <c r="G11" s="194">
        <f>'graph data'!D122</f>
        <v>0</v>
      </c>
      <c r="H11" s="194">
        <f>'graph data'!E122</f>
        <v>0</v>
      </c>
      <c r="I11" s="194">
        <f>'graph data'!F122</f>
        <v>0</v>
      </c>
      <c r="J11" s="194">
        <f>'graph data'!G122</f>
        <v>0</v>
      </c>
      <c r="K11" s="194">
        <f>'graph data'!H122</f>
        <v>0</v>
      </c>
      <c r="L11" s="194">
        <f>'graph data'!I122</f>
        <v>0</v>
      </c>
      <c r="M11" s="194">
        <f>'graph data'!J122</f>
        <v>0</v>
      </c>
      <c r="N11" s="194">
        <f>'graph data'!K122</f>
        <v>0</v>
      </c>
      <c r="O11" s="194">
        <f>'graph data'!L122</f>
        <v>0</v>
      </c>
      <c r="P11" s="194">
        <f>'graph data'!M122</f>
        <v>0</v>
      </c>
      <c r="Q11" s="195">
        <f>'graph data'!N122</f>
        <v>0</v>
      </c>
      <c r="R11" s="580"/>
      <c r="S11" s="580"/>
      <c r="T11" s="580"/>
      <c r="U11" s="580"/>
      <c r="V11" s="580"/>
      <c r="W11" s="580"/>
      <c r="X11" s="580"/>
      <c r="Y11" s="580"/>
      <c r="Z11" s="580"/>
      <c r="AA11" s="580"/>
      <c r="AB11" s="580"/>
      <c r="AC11" s="580"/>
      <c r="AD11" s="580"/>
      <c r="AE11" s="357"/>
      <c r="AF11" s="357"/>
      <c r="AG11" s="357"/>
      <c r="AH11" s="357"/>
      <c r="AI11" s="357"/>
      <c r="AJ11" s="357"/>
      <c r="AK11" s="357"/>
      <c r="AL11" s="357"/>
      <c r="AM11" s="357"/>
      <c r="AN11" s="357"/>
      <c r="AO11" s="357"/>
      <c r="AP11" s="357"/>
      <c r="AQ11" s="357"/>
      <c r="AR11" s="357"/>
      <c r="AS11" s="357"/>
      <c r="AT11" s="357"/>
      <c r="AU11" s="357"/>
      <c r="AV11" s="357"/>
      <c r="AW11" s="357"/>
      <c r="AX11" s="357"/>
      <c r="AY11" s="357"/>
      <c r="AZ11" s="357"/>
      <c r="BA11" s="357"/>
      <c r="BB11" s="357"/>
      <c r="BC11" s="357"/>
      <c r="BD11" s="357"/>
      <c r="BE11" s="357"/>
      <c r="BF11" s="357"/>
      <c r="BG11" s="357"/>
      <c r="BH11" s="357"/>
      <c r="BI11" s="357"/>
      <c r="BJ11" s="357"/>
      <c r="BK11" s="357"/>
      <c r="BL11" s="357"/>
      <c r="BM11" s="357"/>
      <c r="BN11" s="357"/>
      <c r="BO11" s="357"/>
      <c r="BP11" s="357"/>
      <c r="BQ11" s="357"/>
      <c r="BR11" s="357"/>
      <c r="BS11" s="357"/>
      <c r="BT11" s="357"/>
      <c r="BU11" s="357"/>
      <c r="BV11" s="357"/>
      <c r="BW11" s="357"/>
      <c r="BX11" s="357"/>
      <c r="BY11" s="357"/>
      <c r="BZ11" s="357"/>
      <c r="CA11" s="357"/>
      <c r="CB11" s="357"/>
      <c r="CC11" s="357"/>
      <c r="CD11" s="357"/>
      <c r="CE11" s="357"/>
      <c r="CF11" s="357"/>
      <c r="CG11" s="357"/>
      <c r="CH11" s="357"/>
      <c r="CI11" s="357"/>
      <c r="CJ11" s="357"/>
      <c r="CK11" s="357"/>
      <c r="CL11" s="357"/>
      <c r="CM11" s="357"/>
      <c r="CN11" s="357"/>
      <c r="CO11" s="357"/>
      <c r="CP11" s="357"/>
      <c r="CQ11" s="357"/>
      <c r="CR11" s="357"/>
      <c r="CS11" s="357"/>
      <c r="CT11" s="357"/>
      <c r="CU11" s="357"/>
      <c r="CV11" s="357"/>
      <c r="CW11" s="357"/>
      <c r="CX11" s="357"/>
      <c r="CY11" s="357"/>
      <c r="CZ11" s="357"/>
      <c r="DA11" s="357"/>
      <c r="DB11" s="357"/>
      <c r="DC11" s="357"/>
      <c r="DD11" s="357"/>
      <c r="DE11" s="357"/>
      <c r="DF11" s="357"/>
      <c r="DG11" s="357"/>
      <c r="DH11" s="357"/>
      <c r="DI11" s="357"/>
      <c r="DJ11" s="357"/>
      <c r="DK11" s="357"/>
      <c r="DL11" s="357"/>
      <c r="DM11" s="357"/>
      <c r="DN11" s="357"/>
      <c r="DO11" s="357"/>
      <c r="DP11" s="357"/>
      <c r="DQ11" s="357"/>
      <c r="DR11" s="357"/>
      <c r="DS11" s="357"/>
      <c r="DT11" s="357"/>
      <c r="DU11" s="357"/>
      <c r="DV11" s="357"/>
      <c r="DW11" s="357"/>
      <c r="DX11" s="357"/>
      <c r="DY11" s="357"/>
      <c r="DZ11" s="357"/>
      <c r="EA11" s="357"/>
      <c r="EB11" s="357"/>
      <c r="EC11" s="357"/>
      <c r="ED11" s="357"/>
      <c r="EE11" s="357"/>
      <c r="EF11" s="357"/>
      <c r="EG11" s="357"/>
      <c r="EH11" s="357"/>
      <c r="EI11" s="357"/>
      <c r="EJ11" s="357"/>
      <c r="EK11" s="357"/>
      <c r="EL11" s="357"/>
      <c r="EM11" s="357"/>
      <c r="EN11" s="357"/>
      <c r="EO11" s="357"/>
      <c r="EP11" s="357"/>
      <c r="EQ11" s="357"/>
      <c r="ER11" s="357"/>
      <c r="ES11" s="357"/>
      <c r="ET11" s="357"/>
      <c r="EU11" s="357"/>
      <c r="EV11" s="357"/>
      <c r="EW11" s="357"/>
      <c r="EX11" s="357"/>
      <c r="EY11" s="357"/>
      <c r="EZ11" s="357"/>
      <c r="FA11" s="357"/>
      <c r="FB11" s="357"/>
      <c r="FC11" s="357"/>
      <c r="FD11" s="357"/>
      <c r="FE11" s="357"/>
      <c r="FF11" s="357"/>
      <c r="FG11" s="357"/>
      <c r="FH11" s="357"/>
      <c r="FI11" s="357"/>
      <c r="FJ11" s="357"/>
      <c r="FK11" s="357"/>
      <c r="FL11" s="357"/>
      <c r="FM11" s="357"/>
      <c r="FN11" s="357"/>
      <c r="FO11" s="357"/>
      <c r="FP11" s="357"/>
      <c r="FQ11" s="357"/>
      <c r="FR11" s="357"/>
      <c r="FS11" s="357"/>
      <c r="FT11" s="357"/>
      <c r="FU11" s="357"/>
      <c r="FV11" s="357"/>
      <c r="FW11" s="357"/>
      <c r="FX11" s="357"/>
      <c r="FY11" s="357"/>
      <c r="FZ11" s="357"/>
      <c r="GA11" s="357"/>
      <c r="GB11" s="357"/>
      <c r="GC11" s="357"/>
      <c r="GD11" s="357"/>
      <c r="GE11" s="357"/>
      <c r="GF11" s="357"/>
      <c r="GG11" s="357"/>
      <c r="GH11" s="357"/>
      <c r="GI11" s="357"/>
      <c r="GJ11" s="357"/>
    </row>
    <row r="12" spans="2:192" ht="12.95" customHeight="1">
      <c r="B12" s="172" t="s">
        <v>153</v>
      </c>
      <c r="C12" s="198">
        <f t="shared" si="0"/>
        <v>0</v>
      </c>
      <c r="D12" s="199" t="e">
        <f t="shared" si="1"/>
        <v>#DIV/0!</v>
      </c>
      <c r="E12" s="200">
        <f>SUM(E5:E11)</f>
        <v>0</v>
      </c>
      <c r="F12" s="201">
        <f>'graph data'!C121</f>
        <v>0</v>
      </c>
      <c r="G12" s="202">
        <f>'graph data'!D121</f>
        <v>0</v>
      </c>
      <c r="H12" s="202">
        <f>'graph data'!E121</f>
        <v>0</v>
      </c>
      <c r="I12" s="202">
        <f>'graph data'!F121</f>
        <v>0</v>
      </c>
      <c r="J12" s="202">
        <f>'graph data'!G121</f>
        <v>0</v>
      </c>
      <c r="K12" s="202">
        <f>'graph data'!H121</f>
        <v>0</v>
      </c>
      <c r="L12" s="202">
        <f>'graph data'!I121</f>
        <v>0</v>
      </c>
      <c r="M12" s="202">
        <f>'graph data'!J121</f>
        <v>0</v>
      </c>
      <c r="N12" s="202">
        <f>'graph data'!K121</f>
        <v>0</v>
      </c>
      <c r="O12" s="202">
        <f>'graph data'!L121</f>
        <v>0</v>
      </c>
      <c r="P12" s="202">
        <f>'graph data'!M121</f>
        <v>0</v>
      </c>
      <c r="Q12" s="203">
        <f>'graph data'!N121</f>
        <v>0</v>
      </c>
      <c r="R12" s="580"/>
      <c r="S12" s="580"/>
      <c r="T12" s="580"/>
      <c r="U12" s="580"/>
      <c r="V12" s="580"/>
      <c r="W12" s="580"/>
      <c r="X12" s="580"/>
      <c r="Y12" s="580"/>
      <c r="Z12" s="580"/>
      <c r="AA12" s="580"/>
      <c r="AB12" s="580"/>
      <c r="AC12" s="580"/>
      <c r="AD12" s="580"/>
      <c r="AE12" s="357"/>
      <c r="AF12" s="357"/>
      <c r="AG12" s="357"/>
      <c r="AH12" s="357"/>
      <c r="AI12" s="357"/>
      <c r="AJ12" s="357"/>
      <c r="AK12" s="357"/>
      <c r="AL12" s="357"/>
      <c r="AM12" s="357"/>
      <c r="AN12" s="357"/>
      <c r="AO12" s="357"/>
      <c r="AP12" s="357"/>
      <c r="AQ12" s="357"/>
      <c r="AR12" s="357"/>
      <c r="AS12" s="357"/>
      <c r="AT12" s="357"/>
      <c r="AU12" s="357"/>
      <c r="AV12" s="357"/>
      <c r="AW12" s="357"/>
      <c r="AX12" s="357"/>
      <c r="AY12" s="357"/>
      <c r="AZ12" s="357"/>
      <c r="BA12" s="357"/>
      <c r="BB12" s="357"/>
      <c r="BC12" s="357"/>
      <c r="BD12" s="357"/>
      <c r="BE12" s="357"/>
      <c r="BF12" s="357"/>
      <c r="BG12" s="357"/>
      <c r="BH12" s="357"/>
      <c r="BI12" s="357"/>
      <c r="BJ12" s="357"/>
      <c r="BK12" s="357"/>
      <c r="BL12" s="357"/>
      <c r="BM12" s="357"/>
      <c r="BN12" s="357"/>
      <c r="BO12" s="357"/>
      <c r="BP12" s="357"/>
      <c r="BQ12" s="357"/>
      <c r="BR12" s="357"/>
      <c r="BS12" s="357"/>
      <c r="BT12" s="357"/>
      <c r="BU12" s="357"/>
      <c r="BV12" s="357"/>
      <c r="BW12" s="357"/>
      <c r="BX12" s="357"/>
      <c r="BY12" s="357"/>
      <c r="BZ12" s="357"/>
      <c r="CA12" s="357"/>
      <c r="CB12" s="357"/>
      <c r="CC12" s="357"/>
      <c r="CD12" s="357"/>
      <c r="CE12" s="357"/>
      <c r="CF12" s="357"/>
      <c r="CG12" s="357"/>
      <c r="CH12" s="357"/>
      <c r="CI12" s="357"/>
      <c r="CJ12" s="357"/>
      <c r="CK12" s="357"/>
      <c r="CL12" s="357"/>
      <c r="CM12" s="357"/>
      <c r="CN12" s="357"/>
      <c r="CO12" s="357"/>
      <c r="CP12" s="357"/>
      <c r="CQ12" s="357"/>
      <c r="CR12" s="357"/>
      <c r="CS12" s="357"/>
      <c r="CT12" s="357"/>
      <c r="CU12" s="357"/>
      <c r="CV12" s="357"/>
      <c r="CW12" s="357"/>
      <c r="CX12" s="357"/>
      <c r="CY12" s="357"/>
      <c r="CZ12" s="357"/>
      <c r="DA12" s="357"/>
      <c r="DB12" s="357"/>
      <c r="DC12" s="357"/>
      <c r="DD12" s="357"/>
      <c r="DE12" s="357"/>
      <c r="DF12" s="357"/>
      <c r="DG12" s="357"/>
      <c r="DH12" s="357"/>
      <c r="DI12" s="357"/>
      <c r="DJ12" s="357"/>
      <c r="DK12" s="357"/>
      <c r="DL12" s="357"/>
      <c r="DM12" s="357"/>
      <c r="DN12" s="357"/>
      <c r="DO12" s="357"/>
      <c r="DP12" s="357"/>
      <c r="DQ12" s="357"/>
      <c r="DR12" s="357"/>
      <c r="DS12" s="357"/>
      <c r="DT12" s="357"/>
      <c r="DU12" s="357"/>
      <c r="DV12" s="357"/>
      <c r="DW12" s="357"/>
      <c r="DX12" s="357"/>
      <c r="DY12" s="357"/>
      <c r="DZ12" s="357"/>
      <c r="EA12" s="357"/>
      <c r="EB12" s="357"/>
      <c r="EC12" s="357"/>
      <c r="ED12" s="357"/>
      <c r="EE12" s="357"/>
      <c r="EF12" s="357"/>
      <c r="EG12" s="357"/>
      <c r="EH12" s="357"/>
      <c r="EI12" s="357"/>
      <c r="EJ12" s="357"/>
      <c r="EK12" s="357"/>
      <c r="EL12" s="357"/>
      <c r="EM12" s="357"/>
      <c r="EN12" s="357"/>
      <c r="EO12" s="357"/>
      <c r="EP12" s="357"/>
      <c r="EQ12" s="357"/>
      <c r="ER12" s="357"/>
      <c r="ES12" s="357"/>
      <c r="ET12" s="357"/>
      <c r="EU12" s="357"/>
      <c r="EV12" s="357"/>
      <c r="EW12" s="357"/>
      <c r="EX12" s="357"/>
      <c r="EY12" s="357"/>
      <c r="EZ12" s="357"/>
      <c r="FA12" s="357"/>
      <c r="FB12" s="357"/>
      <c r="FC12" s="357"/>
      <c r="FD12" s="357"/>
      <c r="FE12" s="357"/>
      <c r="FF12" s="357"/>
      <c r="FG12" s="357"/>
      <c r="FH12" s="357"/>
      <c r="FI12" s="357"/>
      <c r="FJ12" s="357"/>
      <c r="FK12" s="357"/>
      <c r="FL12" s="357"/>
      <c r="FM12" s="357"/>
      <c r="FN12" s="357"/>
      <c r="FO12" s="357"/>
      <c r="FP12" s="357"/>
      <c r="FQ12" s="357"/>
      <c r="FR12" s="357"/>
      <c r="FS12" s="357"/>
      <c r="FT12" s="357"/>
      <c r="FU12" s="357"/>
      <c r="FV12" s="357"/>
      <c r="FW12" s="357"/>
      <c r="FX12" s="357"/>
      <c r="FY12" s="357"/>
      <c r="FZ12" s="357"/>
      <c r="GA12" s="357"/>
      <c r="GB12" s="357"/>
      <c r="GC12" s="357"/>
      <c r="GD12" s="357"/>
      <c r="GE12" s="357"/>
      <c r="GF12" s="357"/>
      <c r="GG12" s="357"/>
      <c r="GH12" s="357"/>
      <c r="GI12" s="357"/>
      <c r="GJ12" s="357"/>
    </row>
    <row r="13" spans="2:192" ht="12.95" customHeight="1">
      <c r="C13" s="151"/>
      <c r="D13" s="169"/>
      <c r="E13" s="169"/>
      <c r="F13" s="169"/>
      <c r="G13" s="169"/>
      <c r="H13" s="169"/>
      <c r="I13" s="169"/>
      <c r="J13" s="169"/>
      <c r="K13" s="169"/>
      <c r="L13" s="169"/>
      <c r="M13" s="169"/>
      <c r="N13" s="169"/>
      <c r="O13" s="169"/>
      <c r="P13" s="169"/>
      <c r="Q13" s="169"/>
      <c r="R13" s="580"/>
      <c r="S13" s="580"/>
      <c r="T13" s="580"/>
      <c r="U13" s="580"/>
      <c r="V13" s="580"/>
      <c r="W13" s="580"/>
      <c r="X13" s="580"/>
      <c r="Y13" s="580"/>
      <c r="Z13" s="580"/>
      <c r="AA13" s="580"/>
      <c r="AB13" s="580"/>
      <c r="AC13" s="580"/>
      <c r="AD13" s="580"/>
      <c r="AE13" s="357"/>
      <c r="AF13" s="357"/>
      <c r="AG13" s="357"/>
      <c r="AH13" s="357"/>
      <c r="AI13" s="357"/>
      <c r="AJ13" s="357"/>
      <c r="AK13" s="357"/>
      <c r="AL13" s="357"/>
      <c r="AM13" s="357"/>
      <c r="AN13" s="357"/>
      <c r="AO13" s="357"/>
      <c r="AP13" s="357"/>
      <c r="AQ13" s="357"/>
      <c r="AR13" s="357"/>
      <c r="AS13" s="357"/>
      <c r="AT13" s="357"/>
      <c r="AU13" s="357"/>
      <c r="AV13" s="357"/>
      <c r="AW13" s="357"/>
      <c r="AX13" s="357"/>
      <c r="AY13" s="357"/>
      <c r="AZ13" s="357"/>
      <c r="BA13" s="357"/>
      <c r="BB13" s="357"/>
      <c r="BC13" s="357"/>
      <c r="BD13" s="357"/>
      <c r="BE13" s="357"/>
      <c r="BF13" s="357"/>
      <c r="BG13" s="357"/>
      <c r="BH13" s="357"/>
      <c r="BI13" s="357"/>
      <c r="BJ13" s="357"/>
      <c r="BK13" s="357"/>
      <c r="BL13" s="357"/>
      <c r="BM13" s="357"/>
      <c r="BN13" s="357"/>
      <c r="BO13" s="357"/>
      <c r="BP13" s="357"/>
      <c r="BQ13" s="357"/>
      <c r="BR13" s="357"/>
      <c r="BS13" s="357"/>
      <c r="BT13" s="357"/>
      <c r="BU13" s="357"/>
      <c r="BV13" s="357"/>
      <c r="BW13" s="357"/>
      <c r="BX13" s="357"/>
      <c r="BY13" s="357"/>
      <c r="BZ13" s="357"/>
      <c r="CA13" s="357"/>
      <c r="CB13" s="357"/>
      <c r="CC13" s="357"/>
      <c r="CD13" s="357"/>
      <c r="CE13" s="357"/>
      <c r="CF13" s="357"/>
      <c r="CG13" s="357"/>
      <c r="CH13" s="357"/>
      <c r="CI13" s="357"/>
      <c r="CJ13" s="357"/>
      <c r="CK13" s="357"/>
      <c r="CL13" s="357"/>
      <c r="CM13" s="357"/>
      <c r="CN13" s="357"/>
      <c r="CO13" s="357"/>
      <c r="CP13" s="357"/>
      <c r="CQ13" s="357"/>
      <c r="CR13" s="357"/>
      <c r="CS13" s="357"/>
      <c r="CT13" s="357"/>
      <c r="CU13" s="357"/>
      <c r="CV13" s="357"/>
      <c r="CW13" s="357"/>
      <c r="CX13" s="357"/>
      <c r="CY13" s="357"/>
      <c r="CZ13" s="357"/>
      <c r="DA13" s="357"/>
      <c r="DB13" s="357"/>
      <c r="DC13" s="357"/>
      <c r="DD13" s="357"/>
      <c r="DE13" s="357"/>
      <c r="DF13" s="357"/>
      <c r="DG13" s="357"/>
      <c r="DH13" s="357"/>
      <c r="DI13" s="357"/>
      <c r="DJ13" s="357"/>
      <c r="DK13" s="357"/>
      <c r="DL13" s="357"/>
      <c r="DM13" s="357"/>
      <c r="DN13" s="357"/>
      <c r="DO13" s="357"/>
      <c r="DP13" s="357"/>
      <c r="DQ13" s="357"/>
      <c r="DR13" s="357"/>
      <c r="DS13" s="357"/>
      <c r="DT13" s="357"/>
      <c r="DU13" s="357"/>
      <c r="DV13" s="357"/>
      <c r="DW13" s="357"/>
      <c r="DX13" s="357"/>
      <c r="DY13" s="357"/>
      <c r="DZ13" s="357"/>
      <c r="EA13" s="357"/>
      <c r="EB13" s="357"/>
      <c r="EC13" s="357"/>
      <c r="ED13" s="357"/>
      <c r="EE13" s="357"/>
      <c r="EF13" s="357"/>
      <c r="EG13" s="357"/>
      <c r="EH13" s="357"/>
      <c r="EI13" s="357"/>
      <c r="EJ13" s="357"/>
      <c r="EK13" s="357"/>
      <c r="EL13" s="357"/>
      <c r="EM13" s="357"/>
      <c r="EN13" s="357"/>
      <c r="EO13" s="357"/>
      <c r="EP13" s="357"/>
      <c r="EQ13" s="357"/>
      <c r="ER13" s="357"/>
      <c r="ES13" s="357"/>
      <c r="ET13" s="357"/>
      <c r="EU13" s="357"/>
      <c r="EV13" s="357"/>
      <c r="EW13" s="357"/>
      <c r="EX13" s="357"/>
      <c r="EY13" s="357"/>
      <c r="EZ13" s="357"/>
      <c r="FA13" s="357"/>
      <c r="FB13" s="357"/>
      <c r="FC13" s="357"/>
      <c r="FD13" s="357"/>
      <c r="FE13" s="357"/>
      <c r="FF13" s="357"/>
      <c r="FG13" s="357"/>
      <c r="FH13" s="357"/>
      <c r="FI13" s="357"/>
      <c r="FJ13" s="357"/>
      <c r="FK13" s="357"/>
      <c r="FL13" s="357"/>
      <c r="FM13" s="357"/>
      <c r="FN13" s="357"/>
      <c r="FO13" s="357"/>
      <c r="FP13" s="357"/>
      <c r="FQ13" s="357"/>
      <c r="FR13" s="357"/>
      <c r="FS13" s="357"/>
      <c r="FT13" s="357"/>
      <c r="FU13" s="357"/>
      <c r="FV13" s="357"/>
      <c r="FW13" s="357"/>
      <c r="FX13" s="357"/>
      <c r="FY13" s="357"/>
      <c r="FZ13" s="357"/>
      <c r="GA13" s="357"/>
      <c r="GB13" s="357"/>
      <c r="GC13" s="357"/>
      <c r="GD13" s="357"/>
      <c r="GE13" s="357"/>
      <c r="GF13" s="357"/>
      <c r="GG13" s="357"/>
      <c r="GH13" s="357"/>
      <c r="GI13" s="357"/>
      <c r="GJ13" s="357"/>
    </row>
    <row r="14" spans="2:192" ht="12.95" customHeight="1">
      <c r="R14" s="580"/>
      <c r="S14" s="580"/>
      <c r="T14" s="580"/>
      <c r="U14" s="580"/>
      <c r="V14" s="580"/>
      <c r="W14" s="580"/>
      <c r="X14" s="580"/>
      <c r="Y14" s="580"/>
      <c r="Z14" s="580"/>
      <c r="AA14" s="580"/>
      <c r="AB14" s="580"/>
      <c r="AC14" s="580"/>
      <c r="AD14" s="580"/>
      <c r="AE14" s="357"/>
      <c r="AF14" s="357"/>
      <c r="AG14" s="357"/>
      <c r="AH14" s="357"/>
      <c r="AI14" s="357"/>
      <c r="AJ14" s="357"/>
      <c r="AK14" s="357"/>
      <c r="AL14" s="357"/>
      <c r="AM14" s="357"/>
      <c r="AN14" s="357"/>
      <c r="AO14" s="357"/>
      <c r="AP14" s="357"/>
      <c r="AQ14" s="357"/>
      <c r="AR14" s="357"/>
      <c r="AS14" s="357"/>
      <c r="AT14" s="357"/>
      <c r="AU14" s="357"/>
      <c r="AV14" s="357"/>
      <c r="AW14" s="357"/>
      <c r="AX14" s="357"/>
      <c r="AY14" s="357"/>
      <c r="AZ14" s="357"/>
      <c r="BA14" s="357"/>
      <c r="BB14" s="357"/>
      <c r="BC14" s="357"/>
      <c r="BD14" s="357"/>
      <c r="BE14" s="357"/>
      <c r="BF14" s="357"/>
      <c r="BG14" s="357"/>
      <c r="BH14" s="357"/>
      <c r="BI14" s="357"/>
      <c r="BJ14" s="357"/>
      <c r="BK14" s="357"/>
      <c r="BL14" s="357"/>
      <c r="BM14" s="357"/>
      <c r="BN14" s="357"/>
      <c r="BO14" s="357"/>
      <c r="BP14" s="357"/>
      <c r="BQ14" s="357"/>
      <c r="BR14" s="357"/>
      <c r="BS14" s="357"/>
      <c r="BT14" s="357"/>
      <c r="BU14" s="357"/>
      <c r="BV14" s="357"/>
      <c r="BW14" s="357"/>
      <c r="BX14" s="357"/>
      <c r="BY14" s="357"/>
      <c r="BZ14" s="357"/>
      <c r="CA14" s="357"/>
      <c r="CB14" s="357"/>
      <c r="CC14" s="357"/>
      <c r="CD14" s="357"/>
      <c r="CE14" s="357"/>
      <c r="CF14" s="357"/>
      <c r="CG14" s="357"/>
      <c r="CH14" s="357"/>
      <c r="CI14" s="357"/>
      <c r="CJ14" s="357"/>
      <c r="CK14" s="357"/>
      <c r="CL14" s="357"/>
      <c r="CM14" s="357"/>
      <c r="CN14" s="357"/>
      <c r="CO14" s="357"/>
      <c r="CP14" s="357"/>
      <c r="CQ14" s="357"/>
      <c r="CR14" s="357"/>
      <c r="CS14" s="357"/>
      <c r="CT14" s="357"/>
      <c r="CU14" s="357"/>
      <c r="CV14" s="357"/>
      <c r="CW14" s="357"/>
      <c r="CX14" s="357"/>
      <c r="CY14" s="357"/>
      <c r="CZ14" s="357"/>
      <c r="DA14" s="357"/>
      <c r="DB14" s="357"/>
      <c r="DC14" s="357"/>
      <c r="DD14" s="357"/>
      <c r="DE14" s="357"/>
      <c r="DF14" s="357"/>
      <c r="DG14" s="357"/>
      <c r="DH14" s="357"/>
      <c r="DI14" s="357"/>
      <c r="DJ14" s="357"/>
      <c r="DK14" s="357"/>
      <c r="DL14" s="357"/>
      <c r="DM14" s="357"/>
      <c r="DN14" s="357"/>
      <c r="DO14" s="357"/>
      <c r="DP14" s="357"/>
      <c r="DQ14" s="357"/>
      <c r="DR14" s="357"/>
      <c r="DS14" s="357"/>
      <c r="DT14" s="357"/>
      <c r="DU14" s="357"/>
      <c r="DV14" s="357"/>
      <c r="DW14" s="357"/>
      <c r="DX14" s="357"/>
      <c r="DY14" s="357"/>
      <c r="DZ14" s="357"/>
      <c r="EA14" s="357"/>
      <c r="EB14" s="357"/>
      <c r="EC14" s="357"/>
      <c r="ED14" s="357"/>
      <c r="EE14" s="357"/>
      <c r="EF14" s="357"/>
      <c r="EG14" s="357"/>
      <c r="EH14" s="357"/>
      <c r="EI14" s="357"/>
      <c r="EJ14" s="357"/>
      <c r="EK14" s="357"/>
      <c r="EL14" s="357"/>
      <c r="EM14" s="357"/>
      <c r="EN14" s="357"/>
      <c r="EO14" s="357"/>
      <c r="EP14" s="357"/>
      <c r="EQ14" s="357"/>
      <c r="ER14" s="357"/>
      <c r="ES14" s="357"/>
      <c r="ET14" s="357"/>
      <c r="EU14" s="357"/>
      <c r="EV14" s="357"/>
      <c r="EW14" s="357"/>
      <c r="EX14" s="357"/>
      <c r="EY14" s="357"/>
      <c r="EZ14" s="357"/>
      <c r="FA14" s="357"/>
      <c r="FB14" s="357"/>
      <c r="FC14" s="357"/>
      <c r="FD14" s="357"/>
      <c r="FE14" s="357"/>
      <c r="FF14" s="357"/>
      <c r="FG14" s="357"/>
      <c r="FH14" s="357"/>
      <c r="FI14" s="357"/>
      <c r="FJ14" s="357"/>
      <c r="FK14" s="357"/>
      <c r="FL14" s="357"/>
      <c r="FM14" s="357"/>
      <c r="FN14" s="357"/>
      <c r="FO14" s="357"/>
      <c r="FP14" s="357"/>
      <c r="FQ14" s="357"/>
      <c r="FR14" s="357"/>
      <c r="FS14" s="357"/>
      <c r="FT14" s="357"/>
      <c r="FU14" s="357"/>
      <c r="FV14" s="357"/>
      <c r="FW14" s="357"/>
      <c r="FX14" s="357"/>
      <c r="FY14" s="357"/>
      <c r="FZ14" s="357"/>
      <c r="GA14" s="357"/>
      <c r="GB14" s="357"/>
      <c r="GC14" s="357"/>
      <c r="GD14" s="357"/>
      <c r="GE14" s="357"/>
      <c r="GF14" s="357"/>
      <c r="GG14" s="357"/>
      <c r="GH14" s="357"/>
      <c r="GI14" s="357"/>
      <c r="GJ14" s="357"/>
    </row>
    <row r="15" spans="2:192" ht="12.95" customHeight="1">
      <c r="R15" s="580"/>
      <c r="S15" s="580"/>
      <c r="T15" s="580"/>
      <c r="U15" s="580"/>
      <c r="V15" s="580"/>
      <c r="W15" s="580"/>
      <c r="X15" s="580"/>
      <c r="Y15" s="580"/>
      <c r="Z15" s="580"/>
      <c r="AA15" s="580"/>
      <c r="AB15" s="580"/>
      <c r="AC15" s="580"/>
      <c r="AD15" s="580"/>
      <c r="AE15" s="357"/>
      <c r="AF15" s="357"/>
      <c r="AG15" s="357"/>
      <c r="AH15" s="357"/>
      <c r="AI15" s="357"/>
      <c r="AJ15" s="357"/>
      <c r="AK15" s="357"/>
      <c r="AL15" s="357"/>
      <c r="AM15" s="357"/>
      <c r="AN15" s="357"/>
      <c r="AO15" s="357"/>
      <c r="AP15" s="357"/>
      <c r="AQ15" s="357"/>
      <c r="AR15" s="357"/>
      <c r="AS15" s="357"/>
      <c r="AT15" s="357"/>
      <c r="AU15" s="357"/>
      <c r="AV15" s="357"/>
      <c r="AW15" s="357"/>
      <c r="AX15" s="357"/>
      <c r="AY15" s="357"/>
      <c r="AZ15" s="357"/>
      <c r="BA15" s="357"/>
      <c r="BB15" s="357"/>
      <c r="BC15" s="357"/>
      <c r="BD15" s="357"/>
      <c r="BE15" s="357"/>
      <c r="BF15" s="357"/>
      <c r="BG15" s="357"/>
      <c r="BH15" s="357"/>
      <c r="BI15" s="357"/>
      <c r="BJ15" s="357"/>
      <c r="BK15" s="357"/>
      <c r="BL15" s="357"/>
      <c r="BM15" s="357"/>
      <c r="BN15" s="357"/>
      <c r="BO15" s="357"/>
      <c r="BP15" s="357"/>
      <c r="BQ15" s="357"/>
      <c r="BR15" s="357"/>
      <c r="BS15" s="357"/>
      <c r="BT15" s="357"/>
      <c r="BU15" s="357"/>
      <c r="BV15" s="357"/>
      <c r="BW15" s="357"/>
      <c r="BX15" s="357"/>
      <c r="BY15" s="357"/>
      <c r="BZ15" s="357"/>
      <c r="CA15" s="357"/>
      <c r="CB15" s="357"/>
      <c r="CC15" s="357"/>
      <c r="CD15" s="357"/>
      <c r="CE15" s="357"/>
      <c r="CF15" s="357"/>
      <c r="CG15" s="357"/>
      <c r="CH15" s="357"/>
      <c r="CI15" s="357"/>
      <c r="CJ15" s="357"/>
      <c r="CK15" s="357"/>
      <c r="CL15" s="357"/>
      <c r="CM15" s="357"/>
      <c r="CN15" s="357"/>
      <c r="CO15" s="357"/>
      <c r="CP15" s="357"/>
      <c r="CQ15" s="357"/>
      <c r="CR15" s="357"/>
      <c r="CS15" s="357"/>
      <c r="CT15" s="357"/>
      <c r="CU15" s="357"/>
      <c r="CV15" s="357"/>
      <c r="CW15" s="357"/>
      <c r="CX15" s="357"/>
      <c r="CY15" s="357"/>
      <c r="CZ15" s="357"/>
      <c r="DA15" s="357"/>
      <c r="DB15" s="357"/>
      <c r="DC15" s="357"/>
      <c r="DD15" s="357"/>
      <c r="DE15" s="357"/>
      <c r="DF15" s="357"/>
      <c r="DG15" s="357"/>
      <c r="DH15" s="357"/>
      <c r="DI15" s="357"/>
      <c r="DJ15" s="357"/>
      <c r="DK15" s="357"/>
      <c r="DL15" s="357"/>
      <c r="DM15" s="357"/>
      <c r="DN15" s="357"/>
      <c r="DO15" s="357"/>
      <c r="DP15" s="357"/>
      <c r="DQ15" s="357"/>
      <c r="DR15" s="357"/>
      <c r="DS15" s="357"/>
      <c r="DT15" s="357"/>
      <c r="DU15" s="357"/>
      <c r="DV15" s="357"/>
      <c r="DW15" s="357"/>
      <c r="DX15" s="357"/>
      <c r="DY15" s="357"/>
      <c r="DZ15" s="357"/>
      <c r="EA15" s="357"/>
      <c r="EB15" s="357"/>
      <c r="EC15" s="357"/>
      <c r="ED15" s="357"/>
      <c r="EE15" s="357"/>
      <c r="EF15" s="357"/>
      <c r="EG15" s="357"/>
      <c r="EH15" s="357"/>
      <c r="EI15" s="357"/>
      <c r="EJ15" s="357"/>
      <c r="EK15" s="357"/>
      <c r="EL15" s="357"/>
      <c r="EM15" s="357"/>
      <c r="EN15" s="357"/>
      <c r="EO15" s="357"/>
      <c r="EP15" s="357"/>
      <c r="EQ15" s="357"/>
      <c r="ER15" s="357"/>
      <c r="ES15" s="357"/>
      <c r="ET15" s="357"/>
      <c r="EU15" s="357"/>
      <c r="EV15" s="357"/>
      <c r="EW15" s="357"/>
      <c r="EX15" s="357"/>
      <c r="EY15" s="357"/>
      <c r="EZ15" s="357"/>
      <c r="FA15" s="357"/>
      <c r="FB15" s="357"/>
      <c r="FC15" s="357"/>
      <c r="FD15" s="357"/>
      <c r="FE15" s="357"/>
      <c r="FF15" s="357"/>
      <c r="FG15" s="357"/>
      <c r="FH15" s="357"/>
      <c r="FI15" s="357"/>
      <c r="FJ15" s="357"/>
      <c r="FK15" s="357"/>
      <c r="FL15" s="357"/>
      <c r="FM15" s="357"/>
      <c r="FN15" s="357"/>
      <c r="FO15" s="357"/>
      <c r="FP15" s="357"/>
      <c r="FQ15" s="357"/>
      <c r="FR15" s="357"/>
      <c r="FS15" s="357"/>
      <c r="FT15" s="357"/>
      <c r="FU15" s="357"/>
      <c r="FV15" s="357"/>
      <c r="FW15" s="357"/>
      <c r="FX15" s="357"/>
      <c r="FY15" s="357"/>
      <c r="FZ15" s="357"/>
      <c r="GA15" s="357"/>
      <c r="GB15" s="357"/>
      <c r="GC15" s="357"/>
      <c r="GD15" s="357"/>
      <c r="GE15" s="357"/>
      <c r="GF15" s="357"/>
      <c r="GG15" s="357"/>
      <c r="GH15" s="357"/>
      <c r="GI15" s="357"/>
      <c r="GJ15" s="357"/>
    </row>
    <row r="16" spans="2:192" ht="12.95" customHeight="1">
      <c r="R16" s="580"/>
      <c r="S16" s="580"/>
      <c r="T16" s="580"/>
      <c r="U16" s="580"/>
      <c r="V16" s="580"/>
      <c r="W16" s="580"/>
      <c r="X16" s="580"/>
      <c r="Y16" s="580"/>
      <c r="Z16" s="580"/>
      <c r="AA16" s="580"/>
      <c r="AB16" s="580"/>
      <c r="AC16" s="580"/>
      <c r="AD16" s="580"/>
      <c r="AE16" s="357"/>
      <c r="AF16" s="357"/>
      <c r="AG16" s="357"/>
      <c r="AH16" s="357"/>
      <c r="AI16" s="357"/>
      <c r="AJ16" s="357"/>
      <c r="AK16" s="357"/>
      <c r="AL16" s="357"/>
      <c r="AM16" s="357"/>
      <c r="AN16" s="357"/>
      <c r="AO16" s="357"/>
      <c r="AP16" s="357"/>
      <c r="AQ16" s="357"/>
      <c r="AR16" s="357"/>
      <c r="AS16" s="357"/>
      <c r="AT16" s="357"/>
      <c r="AU16" s="357"/>
      <c r="AV16" s="357"/>
      <c r="AW16" s="357"/>
      <c r="AX16" s="357"/>
      <c r="AY16" s="357"/>
      <c r="AZ16" s="357"/>
      <c r="BA16" s="357"/>
      <c r="BB16" s="357"/>
      <c r="BC16" s="357"/>
      <c r="BD16" s="357"/>
      <c r="BE16" s="357"/>
      <c r="BF16" s="357"/>
      <c r="BG16" s="357"/>
      <c r="BH16" s="357"/>
      <c r="BI16" s="357"/>
      <c r="BJ16" s="357"/>
      <c r="BK16" s="357"/>
      <c r="BL16" s="357"/>
      <c r="BM16" s="357"/>
      <c r="BN16" s="357"/>
      <c r="BO16" s="357"/>
      <c r="BP16" s="357"/>
      <c r="BQ16" s="357"/>
      <c r="BR16" s="357"/>
      <c r="BS16" s="357"/>
      <c r="BT16" s="357"/>
      <c r="BU16" s="357"/>
      <c r="BV16" s="357"/>
      <c r="BW16" s="357"/>
      <c r="BX16" s="357"/>
      <c r="BY16" s="357"/>
      <c r="BZ16" s="357"/>
      <c r="CA16" s="357"/>
      <c r="CB16" s="357"/>
      <c r="CC16" s="357"/>
      <c r="CD16" s="357"/>
      <c r="CE16" s="357"/>
      <c r="CF16" s="357"/>
      <c r="CG16" s="357"/>
      <c r="CH16" s="357"/>
      <c r="CI16" s="357"/>
      <c r="CJ16" s="357"/>
      <c r="CK16" s="357"/>
      <c r="CL16" s="357"/>
      <c r="CM16" s="357"/>
      <c r="CN16" s="357"/>
      <c r="CO16" s="357"/>
      <c r="CP16" s="357"/>
      <c r="CQ16" s="357"/>
      <c r="CR16" s="357"/>
      <c r="CS16" s="357"/>
      <c r="CT16" s="357"/>
      <c r="CU16" s="357"/>
      <c r="CV16" s="357"/>
      <c r="CW16" s="357"/>
      <c r="CX16" s="357"/>
      <c r="CY16" s="357"/>
      <c r="CZ16" s="357"/>
      <c r="DA16" s="357"/>
      <c r="DB16" s="357"/>
      <c r="DC16" s="357"/>
      <c r="DD16" s="357"/>
      <c r="DE16" s="357"/>
      <c r="DF16" s="357"/>
      <c r="DG16" s="357"/>
      <c r="DH16" s="357"/>
      <c r="DI16" s="357"/>
      <c r="DJ16" s="357"/>
      <c r="DK16" s="357"/>
      <c r="DL16" s="357"/>
      <c r="DM16" s="357"/>
      <c r="DN16" s="357"/>
      <c r="DO16" s="357"/>
      <c r="DP16" s="357"/>
      <c r="DQ16" s="357"/>
      <c r="DR16" s="357"/>
      <c r="DS16" s="357"/>
      <c r="DT16" s="357"/>
      <c r="DU16" s="357"/>
      <c r="DV16" s="357"/>
      <c r="DW16" s="357"/>
      <c r="DX16" s="357"/>
      <c r="DY16" s="357"/>
      <c r="DZ16" s="357"/>
      <c r="EA16" s="357"/>
      <c r="EB16" s="357"/>
      <c r="EC16" s="357"/>
      <c r="ED16" s="357"/>
      <c r="EE16" s="357"/>
      <c r="EF16" s="357"/>
      <c r="EG16" s="357"/>
      <c r="EH16" s="357"/>
      <c r="EI16" s="357"/>
      <c r="EJ16" s="357"/>
      <c r="EK16" s="357"/>
      <c r="EL16" s="357"/>
      <c r="EM16" s="357"/>
      <c r="EN16" s="357"/>
      <c r="EO16" s="357"/>
      <c r="EP16" s="357"/>
      <c r="EQ16" s="357"/>
      <c r="ER16" s="357"/>
      <c r="ES16" s="357"/>
      <c r="ET16" s="357"/>
      <c r="EU16" s="357"/>
      <c r="EV16" s="357"/>
      <c r="EW16" s="357"/>
      <c r="EX16" s="357"/>
      <c r="EY16" s="357"/>
      <c r="EZ16" s="357"/>
      <c r="FA16" s="357"/>
      <c r="FB16" s="357"/>
      <c r="FC16" s="357"/>
      <c r="FD16" s="357"/>
      <c r="FE16" s="357"/>
      <c r="FF16" s="357"/>
      <c r="FG16" s="357"/>
      <c r="FH16" s="357"/>
      <c r="FI16" s="357"/>
      <c r="FJ16" s="357"/>
      <c r="FK16" s="357"/>
      <c r="FL16" s="357"/>
      <c r="FM16" s="357"/>
      <c r="FN16" s="357"/>
      <c r="FO16" s="357"/>
      <c r="FP16" s="357"/>
      <c r="FQ16" s="357"/>
      <c r="FR16" s="357"/>
      <c r="FS16" s="357"/>
      <c r="FT16" s="357"/>
      <c r="FU16" s="357"/>
      <c r="FV16" s="357"/>
      <c r="FW16" s="357"/>
      <c r="FX16" s="357"/>
      <c r="FY16" s="357"/>
      <c r="FZ16" s="357"/>
      <c r="GA16" s="357"/>
      <c r="GB16" s="357"/>
      <c r="GC16" s="357"/>
      <c r="GD16" s="357"/>
      <c r="GE16" s="357"/>
      <c r="GF16" s="357"/>
      <c r="GG16" s="357"/>
      <c r="GH16" s="357"/>
      <c r="GI16" s="357"/>
      <c r="GJ16" s="357"/>
    </row>
    <row r="17" spans="2:192" ht="12.95" customHeight="1">
      <c r="D17" s="156"/>
      <c r="E17" s="156"/>
      <c r="F17" s="157"/>
      <c r="G17" s="158"/>
      <c r="R17" s="580"/>
      <c r="S17" s="580"/>
      <c r="T17" s="580"/>
      <c r="U17" s="580"/>
      <c r="V17" s="580"/>
      <c r="W17" s="580"/>
      <c r="X17" s="580"/>
      <c r="Y17" s="580"/>
      <c r="Z17" s="580"/>
      <c r="AA17" s="580"/>
      <c r="AB17" s="580"/>
      <c r="AC17" s="580"/>
      <c r="AD17" s="580"/>
      <c r="AE17" s="357"/>
      <c r="AF17" s="357"/>
      <c r="AG17" s="357"/>
      <c r="AH17" s="357"/>
      <c r="AI17" s="357"/>
      <c r="AJ17" s="357"/>
      <c r="AK17" s="357"/>
      <c r="AL17" s="357"/>
      <c r="AM17" s="357"/>
      <c r="AN17" s="357"/>
      <c r="AO17" s="357"/>
      <c r="AP17" s="357"/>
      <c r="AQ17" s="357"/>
      <c r="AR17" s="357"/>
      <c r="AS17" s="357"/>
      <c r="AT17" s="357"/>
      <c r="AU17" s="357"/>
      <c r="AV17" s="357"/>
      <c r="AW17" s="357"/>
      <c r="AX17" s="357"/>
      <c r="AY17" s="357"/>
      <c r="AZ17" s="357"/>
      <c r="BA17" s="357"/>
      <c r="BB17" s="357"/>
      <c r="BC17" s="357"/>
      <c r="BD17" s="357"/>
      <c r="BE17" s="357"/>
      <c r="BF17" s="357"/>
      <c r="BG17" s="357"/>
      <c r="BH17" s="357"/>
      <c r="BI17" s="357"/>
      <c r="BJ17" s="357"/>
      <c r="BK17" s="357"/>
      <c r="BL17" s="357"/>
      <c r="BM17" s="357"/>
      <c r="BN17" s="357"/>
      <c r="BO17" s="357"/>
      <c r="BP17" s="357"/>
      <c r="BQ17" s="357"/>
      <c r="BR17" s="357"/>
      <c r="BS17" s="357"/>
      <c r="BT17" s="357"/>
      <c r="BU17" s="357"/>
      <c r="BV17" s="357"/>
      <c r="BW17" s="357"/>
      <c r="BX17" s="357"/>
      <c r="BY17" s="357"/>
      <c r="BZ17" s="357"/>
      <c r="CA17" s="357"/>
      <c r="CB17" s="357"/>
      <c r="CC17" s="357"/>
      <c r="CD17" s="357"/>
      <c r="CE17" s="357"/>
      <c r="CF17" s="357"/>
      <c r="CG17" s="357"/>
      <c r="CH17" s="357"/>
      <c r="CI17" s="357"/>
      <c r="CJ17" s="357"/>
      <c r="CK17" s="357"/>
      <c r="CL17" s="357"/>
      <c r="CM17" s="357"/>
      <c r="CN17" s="357"/>
      <c r="CO17" s="357"/>
      <c r="CP17" s="357"/>
      <c r="CQ17" s="357"/>
      <c r="CR17" s="357"/>
      <c r="CS17" s="357"/>
      <c r="CT17" s="357"/>
      <c r="CU17" s="357"/>
      <c r="CV17" s="357"/>
      <c r="CW17" s="357"/>
      <c r="CX17" s="357"/>
      <c r="CY17" s="357"/>
      <c r="CZ17" s="357"/>
      <c r="DA17" s="357"/>
      <c r="DB17" s="357"/>
      <c r="DC17" s="357"/>
      <c r="DD17" s="357"/>
      <c r="DE17" s="357"/>
      <c r="DF17" s="357"/>
      <c r="DG17" s="357"/>
      <c r="DH17" s="357"/>
      <c r="DI17" s="357"/>
      <c r="DJ17" s="357"/>
      <c r="DK17" s="357"/>
      <c r="DL17" s="357"/>
      <c r="DM17" s="357"/>
      <c r="DN17" s="357"/>
      <c r="DO17" s="357"/>
      <c r="DP17" s="357"/>
      <c r="DQ17" s="357"/>
      <c r="DR17" s="357"/>
      <c r="DS17" s="357"/>
      <c r="DT17" s="357"/>
      <c r="DU17" s="357"/>
      <c r="DV17" s="357"/>
      <c r="DW17" s="357"/>
      <c r="DX17" s="357"/>
      <c r="DY17" s="357"/>
      <c r="DZ17" s="357"/>
      <c r="EA17" s="357"/>
      <c r="EB17" s="357"/>
      <c r="EC17" s="357"/>
      <c r="ED17" s="357"/>
      <c r="EE17" s="357"/>
      <c r="EF17" s="357"/>
      <c r="EG17" s="357"/>
      <c r="EH17" s="357"/>
      <c r="EI17" s="357"/>
      <c r="EJ17" s="357"/>
      <c r="EK17" s="357"/>
      <c r="EL17" s="357"/>
      <c r="EM17" s="357"/>
      <c r="EN17" s="357"/>
      <c r="EO17" s="357"/>
      <c r="EP17" s="357"/>
      <c r="EQ17" s="357"/>
      <c r="ER17" s="357"/>
      <c r="ES17" s="357"/>
      <c r="ET17" s="357"/>
      <c r="EU17" s="357"/>
      <c r="EV17" s="357"/>
      <c r="EW17" s="357"/>
      <c r="EX17" s="357"/>
      <c r="EY17" s="357"/>
      <c r="EZ17" s="357"/>
      <c r="FA17" s="357"/>
      <c r="FB17" s="357"/>
      <c r="FC17" s="357"/>
      <c r="FD17" s="357"/>
      <c r="FE17" s="357"/>
      <c r="FF17" s="357"/>
      <c r="FG17" s="357"/>
      <c r="FH17" s="357"/>
      <c r="FI17" s="357"/>
      <c r="FJ17" s="357"/>
      <c r="FK17" s="357"/>
      <c r="FL17" s="357"/>
      <c r="FM17" s="357"/>
      <c r="FN17" s="357"/>
      <c r="FO17" s="357"/>
      <c r="FP17" s="357"/>
      <c r="FQ17" s="357"/>
      <c r="FR17" s="357"/>
      <c r="FS17" s="357"/>
      <c r="FT17" s="357"/>
      <c r="FU17" s="357"/>
      <c r="FV17" s="357"/>
      <c r="FW17" s="357"/>
      <c r="FX17" s="357"/>
      <c r="FY17" s="357"/>
      <c r="FZ17" s="357"/>
      <c r="GA17" s="357"/>
      <c r="GB17" s="357"/>
      <c r="GC17" s="357"/>
      <c r="GD17" s="357"/>
      <c r="GE17" s="357"/>
      <c r="GF17" s="357"/>
      <c r="GG17" s="357"/>
      <c r="GH17" s="357"/>
      <c r="GI17" s="357"/>
      <c r="GJ17" s="357"/>
    </row>
    <row r="18" spans="2:192" ht="12.95" customHeight="1">
      <c r="B18" s="159"/>
      <c r="R18" s="580"/>
      <c r="S18" s="580"/>
      <c r="T18" s="580"/>
      <c r="U18" s="580"/>
      <c r="V18" s="580"/>
      <c r="W18" s="580"/>
      <c r="X18" s="580"/>
      <c r="Y18" s="580"/>
      <c r="Z18" s="580"/>
      <c r="AA18" s="580"/>
      <c r="AB18" s="580"/>
      <c r="AC18" s="580"/>
      <c r="AD18" s="580"/>
      <c r="AE18" s="357"/>
      <c r="AF18" s="357"/>
      <c r="AG18" s="357"/>
      <c r="AH18" s="357"/>
      <c r="AI18" s="357"/>
      <c r="AJ18" s="357"/>
      <c r="AK18" s="357"/>
      <c r="AL18" s="357"/>
      <c r="AM18" s="357"/>
      <c r="AN18" s="357"/>
      <c r="AO18" s="357"/>
      <c r="AP18" s="357"/>
      <c r="AQ18" s="357"/>
      <c r="AR18" s="357"/>
      <c r="AS18" s="357"/>
      <c r="AT18" s="357"/>
      <c r="AU18" s="357"/>
      <c r="AV18" s="357"/>
      <c r="AW18" s="357"/>
      <c r="AX18" s="357"/>
      <c r="AY18" s="357"/>
      <c r="AZ18" s="357"/>
      <c r="BA18" s="357"/>
      <c r="BB18" s="357"/>
      <c r="BC18" s="357"/>
      <c r="BD18" s="357"/>
      <c r="BE18" s="357"/>
      <c r="BF18" s="357"/>
      <c r="BG18" s="357"/>
      <c r="BH18" s="357"/>
      <c r="BI18" s="357"/>
      <c r="BJ18" s="357"/>
      <c r="BK18" s="357"/>
      <c r="BL18" s="357"/>
      <c r="BM18" s="357"/>
      <c r="BN18" s="357"/>
      <c r="BO18" s="357"/>
      <c r="BP18" s="357"/>
      <c r="BQ18" s="357"/>
      <c r="BR18" s="357"/>
      <c r="BS18" s="357"/>
      <c r="BT18" s="357"/>
      <c r="BU18" s="357"/>
      <c r="BV18" s="357"/>
      <c r="BW18" s="357"/>
      <c r="BX18" s="357"/>
      <c r="BY18" s="357"/>
      <c r="BZ18" s="357"/>
      <c r="CA18" s="357"/>
      <c r="CB18" s="357"/>
      <c r="CC18" s="357"/>
      <c r="CD18" s="357"/>
      <c r="CE18" s="357"/>
      <c r="CF18" s="357"/>
      <c r="CG18" s="357"/>
      <c r="CH18" s="357"/>
      <c r="CI18" s="357"/>
      <c r="CJ18" s="357"/>
      <c r="CK18" s="357"/>
      <c r="CL18" s="357"/>
      <c r="CM18" s="357"/>
      <c r="CN18" s="357"/>
      <c r="CO18" s="357"/>
      <c r="CP18" s="357"/>
      <c r="CQ18" s="357"/>
      <c r="CR18" s="357"/>
      <c r="CS18" s="357"/>
      <c r="CT18" s="357"/>
      <c r="CU18" s="357"/>
      <c r="CV18" s="357"/>
      <c r="CW18" s="357"/>
      <c r="CX18" s="357"/>
      <c r="CY18" s="357"/>
      <c r="CZ18" s="357"/>
      <c r="DA18" s="357"/>
      <c r="DB18" s="357"/>
      <c r="DC18" s="357"/>
      <c r="DD18" s="357"/>
      <c r="DE18" s="357"/>
      <c r="DF18" s="357"/>
      <c r="DG18" s="357"/>
      <c r="DH18" s="357"/>
      <c r="DI18" s="357"/>
      <c r="DJ18" s="357"/>
      <c r="DK18" s="357"/>
      <c r="DL18" s="357"/>
      <c r="DM18" s="357"/>
      <c r="DN18" s="357"/>
      <c r="DO18" s="357"/>
      <c r="DP18" s="357"/>
      <c r="DQ18" s="357"/>
      <c r="DR18" s="357"/>
      <c r="DS18" s="357"/>
      <c r="DT18" s="357"/>
      <c r="DU18" s="357"/>
      <c r="DV18" s="357"/>
      <c r="DW18" s="357"/>
      <c r="DX18" s="357"/>
      <c r="DY18" s="357"/>
      <c r="DZ18" s="357"/>
      <c r="EA18" s="357"/>
      <c r="EB18" s="357"/>
      <c r="EC18" s="357"/>
      <c r="ED18" s="357"/>
      <c r="EE18" s="357"/>
      <c r="EF18" s="357"/>
      <c r="EG18" s="357"/>
      <c r="EH18" s="357"/>
      <c r="EI18" s="357"/>
      <c r="EJ18" s="357"/>
      <c r="EK18" s="357"/>
      <c r="EL18" s="357"/>
      <c r="EM18" s="357"/>
      <c r="EN18" s="357"/>
      <c r="EO18" s="357"/>
      <c r="EP18" s="357"/>
      <c r="EQ18" s="357"/>
      <c r="ER18" s="357"/>
      <c r="ES18" s="357"/>
      <c r="ET18" s="357"/>
      <c r="EU18" s="357"/>
      <c r="EV18" s="357"/>
      <c r="EW18" s="357"/>
      <c r="EX18" s="357"/>
      <c r="EY18" s="357"/>
      <c r="EZ18" s="357"/>
      <c r="FA18" s="357"/>
      <c r="FB18" s="357"/>
      <c r="FC18" s="357"/>
      <c r="FD18" s="357"/>
      <c r="FE18" s="357"/>
      <c r="FF18" s="357"/>
      <c r="FG18" s="357"/>
      <c r="FH18" s="357"/>
      <c r="FI18" s="357"/>
      <c r="FJ18" s="357"/>
      <c r="FK18" s="357"/>
      <c r="FL18" s="357"/>
      <c r="FM18" s="357"/>
      <c r="FN18" s="357"/>
      <c r="FO18" s="357"/>
      <c r="FP18" s="357"/>
      <c r="FQ18" s="357"/>
      <c r="FR18" s="357"/>
      <c r="FS18" s="357"/>
      <c r="FT18" s="357"/>
      <c r="FU18" s="357"/>
      <c r="FV18" s="357"/>
      <c r="FW18" s="357"/>
      <c r="FX18" s="357"/>
      <c r="FY18" s="357"/>
      <c r="FZ18" s="357"/>
      <c r="GA18" s="357"/>
      <c r="GB18" s="357"/>
      <c r="GC18" s="357"/>
      <c r="GD18" s="357"/>
      <c r="GE18" s="357"/>
      <c r="GF18" s="357"/>
      <c r="GG18" s="357"/>
      <c r="GH18" s="357"/>
      <c r="GI18" s="357"/>
      <c r="GJ18" s="357"/>
    </row>
    <row r="19" spans="2:192" ht="12.95" customHeight="1">
      <c r="F19" s="155"/>
      <c r="R19" s="580"/>
      <c r="S19" s="580"/>
      <c r="T19" s="580"/>
      <c r="U19" s="580"/>
      <c r="V19" s="580"/>
      <c r="W19" s="580"/>
      <c r="X19" s="580"/>
      <c r="Y19" s="580"/>
      <c r="Z19" s="580"/>
      <c r="AA19" s="580"/>
      <c r="AB19" s="580"/>
      <c r="AC19" s="580"/>
      <c r="AD19" s="580"/>
      <c r="AE19" s="357"/>
      <c r="AF19" s="357"/>
      <c r="AG19" s="357"/>
      <c r="AH19" s="357"/>
      <c r="AI19" s="357"/>
      <c r="AJ19" s="357"/>
      <c r="AK19" s="357"/>
      <c r="AL19" s="357"/>
      <c r="AM19" s="357"/>
      <c r="AN19" s="357"/>
      <c r="AO19" s="357"/>
      <c r="AP19" s="357"/>
      <c r="AQ19" s="357"/>
      <c r="AR19" s="357"/>
      <c r="AS19" s="357"/>
      <c r="AT19" s="357"/>
      <c r="AU19" s="357"/>
      <c r="AV19" s="357"/>
      <c r="AW19" s="357"/>
      <c r="AX19" s="357"/>
      <c r="AY19" s="357"/>
      <c r="AZ19" s="357"/>
      <c r="BA19" s="357"/>
      <c r="BB19" s="357"/>
      <c r="BC19" s="357"/>
      <c r="BD19" s="357"/>
      <c r="BE19" s="357"/>
      <c r="BF19" s="357"/>
      <c r="BG19" s="357"/>
      <c r="BH19" s="357"/>
      <c r="BI19" s="357"/>
      <c r="BJ19" s="357"/>
      <c r="BK19" s="357"/>
      <c r="BL19" s="357"/>
      <c r="BM19" s="357"/>
      <c r="BN19" s="357"/>
      <c r="BO19" s="357"/>
      <c r="BP19" s="357"/>
      <c r="BQ19" s="357"/>
      <c r="BR19" s="357"/>
      <c r="BS19" s="357"/>
      <c r="BT19" s="357"/>
      <c r="BU19" s="357"/>
      <c r="BV19" s="357"/>
      <c r="BW19" s="357"/>
      <c r="BX19" s="357"/>
      <c r="BY19" s="357"/>
      <c r="BZ19" s="357"/>
      <c r="CA19" s="357"/>
      <c r="CB19" s="357"/>
      <c r="CC19" s="357"/>
      <c r="CD19" s="357"/>
      <c r="CE19" s="357"/>
      <c r="CF19" s="357"/>
      <c r="CG19" s="357"/>
      <c r="CH19" s="357"/>
      <c r="CI19" s="357"/>
      <c r="CJ19" s="357"/>
      <c r="CK19" s="357"/>
      <c r="CL19" s="357"/>
      <c r="CM19" s="357"/>
      <c r="CN19" s="357"/>
      <c r="CO19" s="357"/>
      <c r="CP19" s="357"/>
      <c r="CQ19" s="357"/>
      <c r="CR19" s="357"/>
      <c r="CS19" s="357"/>
      <c r="CT19" s="357"/>
      <c r="CU19" s="357"/>
      <c r="CV19" s="357"/>
      <c r="CW19" s="357"/>
      <c r="CX19" s="357"/>
      <c r="CY19" s="357"/>
      <c r="CZ19" s="357"/>
      <c r="DA19" s="357"/>
      <c r="DB19" s="357"/>
      <c r="DC19" s="357"/>
      <c r="DD19" s="357"/>
      <c r="DE19" s="357"/>
      <c r="DF19" s="357"/>
      <c r="DG19" s="357"/>
      <c r="DH19" s="357"/>
      <c r="DI19" s="357"/>
      <c r="DJ19" s="357"/>
      <c r="DK19" s="357"/>
      <c r="DL19" s="357"/>
      <c r="DM19" s="357"/>
      <c r="DN19" s="357"/>
      <c r="DO19" s="357"/>
      <c r="DP19" s="357"/>
      <c r="DQ19" s="357"/>
      <c r="DR19" s="357"/>
      <c r="DS19" s="357"/>
      <c r="DT19" s="357"/>
      <c r="DU19" s="357"/>
      <c r="DV19" s="357"/>
      <c r="DW19" s="357"/>
      <c r="DX19" s="357"/>
      <c r="DY19" s="357"/>
      <c r="DZ19" s="357"/>
      <c r="EA19" s="357"/>
      <c r="EB19" s="357"/>
      <c r="EC19" s="357"/>
      <c r="ED19" s="357"/>
      <c r="EE19" s="357"/>
      <c r="EF19" s="357"/>
      <c r="EG19" s="357"/>
      <c r="EH19" s="357"/>
      <c r="EI19" s="357"/>
      <c r="EJ19" s="357"/>
      <c r="EK19" s="357"/>
      <c r="EL19" s="357"/>
      <c r="EM19" s="357"/>
      <c r="EN19" s="357"/>
      <c r="EO19" s="357"/>
      <c r="EP19" s="357"/>
      <c r="EQ19" s="357"/>
      <c r="ER19" s="357"/>
      <c r="ES19" s="357"/>
      <c r="ET19" s="357"/>
      <c r="EU19" s="357"/>
      <c r="EV19" s="357"/>
      <c r="EW19" s="357"/>
      <c r="EX19" s="357"/>
      <c r="EY19" s="357"/>
      <c r="EZ19" s="357"/>
      <c r="FA19" s="357"/>
      <c r="FB19" s="357"/>
      <c r="FC19" s="357"/>
      <c r="FD19" s="357"/>
      <c r="FE19" s="357"/>
      <c r="FF19" s="357"/>
      <c r="FG19" s="357"/>
      <c r="FH19" s="357"/>
      <c r="FI19" s="357"/>
      <c r="FJ19" s="357"/>
      <c r="FK19" s="357"/>
      <c r="FL19" s="357"/>
      <c r="FM19" s="357"/>
      <c r="FN19" s="357"/>
      <c r="FO19" s="357"/>
      <c r="FP19" s="357"/>
      <c r="FQ19" s="357"/>
      <c r="FR19" s="357"/>
      <c r="FS19" s="357"/>
      <c r="FT19" s="357"/>
      <c r="FU19" s="357"/>
      <c r="FV19" s="357"/>
      <c r="FW19" s="357"/>
      <c r="FX19" s="357"/>
      <c r="FY19" s="357"/>
      <c r="FZ19" s="357"/>
      <c r="GA19" s="357"/>
      <c r="GB19" s="357"/>
      <c r="GC19" s="357"/>
      <c r="GD19" s="357"/>
      <c r="GE19" s="357"/>
      <c r="GF19" s="357"/>
      <c r="GG19" s="357"/>
      <c r="GH19" s="357"/>
      <c r="GI19" s="357"/>
      <c r="GJ19" s="357"/>
    </row>
    <row r="20" spans="2:192" ht="12.95" customHeight="1">
      <c r="F20" s="155"/>
      <c r="R20" s="580"/>
      <c r="S20" s="580"/>
      <c r="T20" s="580"/>
      <c r="U20" s="580"/>
      <c r="V20" s="580"/>
      <c r="W20" s="580"/>
      <c r="X20" s="580"/>
      <c r="Y20" s="580"/>
      <c r="Z20" s="580"/>
      <c r="AA20" s="580"/>
      <c r="AB20" s="580"/>
      <c r="AC20" s="580"/>
      <c r="AD20" s="580"/>
      <c r="AE20" s="357"/>
      <c r="AF20" s="357"/>
      <c r="AG20" s="357"/>
      <c r="AH20" s="357"/>
      <c r="AI20" s="427"/>
      <c r="AJ20" s="427"/>
      <c r="AK20" s="357"/>
      <c r="AL20" s="357"/>
      <c r="AM20" s="357"/>
      <c r="AN20" s="427"/>
      <c r="AO20" s="427"/>
      <c r="AP20" s="357"/>
      <c r="AQ20" s="357"/>
      <c r="AR20" s="357"/>
      <c r="AS20" s="357"/>
      <c r="AT20" s="357"/>
      <c r="AU20" s="357"/>
      <c r="AV20" s="357"/>
      <c r="AW20" s="357"/>
      <c r="AX20" s="357"/>
      <c r="AY20" s="357"/>
      <c r="AZ20" s="357"/>
      <c r="BA20" s="357"/>
      <c r="BB20" s="357"/>
      <c r="BC20" s="357"/>
      <c r="BD20" s="357"/>
      <c r="BE20" s="357"/>
      <c r="BF20" s="357"/>
      <c r="BG20" s="357"/>
      <c r="BH20" s="357"/>
      <c r="BI20" s="357"/>
      <c r="BJ20" s="357"/>
      <c r="BK20" s="357"/>
      <c r="BL20" s="357"/>
      <c r="BM20" s="357"/>
      <c r="BN20" s="357"/>
      <c r="BO20" s="357"/>
      <c r="BP20" s="357"/>
      <c r="BQ20" s="357"/>
      <c r="BR20" s="357"/>
      <c r="BS20" s="357"/>
      <c r="BT20" s="357"/>
      <c r="BU20" s="357"/>
      <c r="BV20" s="357"/>
      <c r="BW20" s="357"/>
      <c r="BX20" s="357"/>
      <c r="BY20" s="357"/>
      <c r="BZ20" s="357"/>
      <c r="CA20" s="357"/>
      <c r="CB20" s="357"/>
      <c r="CC20" s="357"/>
      <c r="CD20" s="357"/>
      <c r="CE20" s="357"/>
      <c r="CF20" s="357"/>
      <c r="CG20" s="357"/>
      <c r="CH20" s="357"/>
      <c r="CI20" s="357"/>
      <c r="CJ20" s="357"/>
      <c r="CK20" s="357"/>
      <c r="CL20" s="357"/>
      <c r="CM20" s="357"/>
      <c r="CN20" s="357"/>
      <c r="CO20" s="357"/>
      <c r="CP20" s="357"/>
      <c r="CQ20" s="357"/>
      <c r="CR20" s="357"/>
      <c r="CS20" s="357"/>
      <c r="CT20" s="357"/>
      <c r="CU20" s="357"/>
      <c r="CV20" s="357"/>
      <c r="CW20" s="357"/>
      <c r="CX20" s="357"/>
      <c r="CY20" s="357"/>
      <c r="CZ20" s="357"/>
      <c r="DA20" s="357"/>
      <c r="DB20" s="357"/>
      <c r="DC20" s="357"/>
      <c r="DD20" s="357"/>
      <c r="DE20" s="357"/>
      <c r="DF20" s="357"/>
      <c r="DG20" s="357"/>
      <c r="DH20" s="357"/>
      <c r="DI20" s="357"/>
      <c r="DJ20" s="357"/>
      <c r="DK20" s="357"/>
      <c r="DL20" s="357"/>
      <c r="DM20" s="357"/>
      <c r="DN20" s="357"/>
      <c r="DO20" s="357"/>
      <c r="DP20" s="357"/>
      <c r="DQ20" s="357"/>
      <c r="DR20" s="357"/>
      <c r="DS20" s="357"/>
      <c r="DT20" s="357"/>
      <c r="DU20" s="357"/>
      <c r="DV20" s="357"/>
      <c r="DW20" s="357"/>
      <c r="DX20" s="357"/>
      <c r="DY20" s="357"/>
      <c r="DZ20" s="357"/>
      <c r="EA20" s="357"/>
      <c r="EB20" s="357"/>
      <c r="EC20" s="357"/>
      <c r="ED20" s="357"/>
      <c r="EE20" s="357"/>
      <c r="EF20" s="357"/>
      <c r="EG20" s="357"/>
      <c r="EH20" s="357"/>
      <c r="EI20" s="357"/>
      <c r="EJ20" s="357"/>
      <c r="EK20" s="357"/>
      <c r="EL20" s="357"/>
      <c r="EM20" s="357"/>
      <c r="EN20" s="357"/>
      <c r="EO20" s="357"/>
      <c r="EP20" s="357"/>
      <c r="EQ20" s="357"/>
      <c r="ER20" s="357"/>
      <c r="ES20" s="357"/>
      <c r="ET20" s="357"/>
      <c r="EU20" s="357"/>
      <c r="EV20" s="357"/>
      <c r="EW20" s="357"/>
      <c r="EX20" s="357"/>
      <c r="EY20" s="357"/>
      <c r="EZ20" s="357"/>
      <c r="FA20" s="357"/>
      <c r="FB20" s="357"/>
      <c r="FC20" s="357"/>
      <c r="FD20" s="357"/>
      <c r="FE20" s="357"/>
      <c r="FF20" s="357"/>
      <c r="FG20" s="357"/>
      <c r="FH20" s="357"/>
      <c r="FI20" s="357"/>
      <c r="FJ20" s="357"/>
      <c r="FK20" s="357"/>
      <c r="FL20" s="357"/>
      <c r="FM20" s="357"/>
      <c r="FN20" s="357"/>
      <c r="FO20" s="357"/>
      <c r="FP20" s="357"/>
      <c r="FQ20" s="357"/>
      <c r="FR20" s="357"/>
      <c r="FS20" s="357"/>
      <c r="FT20" s="357"/>
      <c r="FU20" s="357"/>
      <c r="FV20" s="357"/>
      <c r="FW20" s="357"/>
      <c r="FX20" s="357"/>
      <c r="FY20" s="357"/>
      <c r="FZ20" s="357"/>
      <c r="GA20" s="357"/>
      <c r="GB20" s="357"/>
      <c r="GC20" s="357"/>
      <c r="GD20" s="357"/>
      <c r="GE20" s="357"/>
      <c r="GF20" s="357"/>
      <c r="GG20" s="357"/>
      <c r="GH20" s="357"/>
      <c r="GI20" s="357"/>
      <c r="GJ20" s="357"/>
    </row>
    <row r="21" spans="2:192" ht="12.95" customHeight="1">
      <c r="F21" s="155"/>
      <c r="J21" s="158"/>
      <c r="K21" s="160"/>
      <c r="L21" s="160"/>
      <c r="M21" s="158"/>
      <c r="R21" s="580"/>
      <c r="S21" s="580"/>
      <c r="T21" s="580"/>
      <c r="U21" s="580"/>
      <c r="V21" s="580"/>
      <c r="W21" s="580"/>
      <c r="X21" s="580"/>
      <c r="Y21" s="580"/>
      <c r="Z21" s="580"/>
      <c r="AA21" s="580"/>
      <c r="AB21" s="580"/>
      <c r="AC21" s="580"/>
      <c r="AD21" s="580"/>
      <c r="AE21" s="357"/>
      <c r="AF21" s="357"/>
      <c r="AG21" s="357"/>
      <c r="AH21" s="357"/>
      <c r="AI21" s="357"/>
      <c r="AJ21" s="357"/>
      <c r="AK21" s="357"/>
      <c r="AL21" s="357"/>
      <c r="AM21" s="357"/>
      <c r="AN21" s="357"/>
      <c r="AO21" s="357"/>
      <c r="AP21" s="357"/>
      <c r="AQ21" s="357"/>
      <c r="AR21" s="357"/>
      <c r="AS21" s="357"/>
      <c r="AT21" s="357"/>
      <c r="AU21" s="357"/>
      <c r="AV21" s="357"/>
      <c r="AW21" s="357"/>
      <c r="AX21" s="357"/>
      <c r="AY21" s="357"/>
      <c r="AZ21" s="357"/>
      <c r="BA21" s="357"/>
      <c r="BB21" s="357"/>
      <c r="BC21" s="357"/>
      <c r="BD21" s="357"/>
      <c r="BE21" s="357"/>
      <c r="BF21" s="357"/>
      <c r="BG21" s="357"/>
      <c r="BH21" s="357"/>
      <c r="BI21" s="357"/>
      <c r="BJ21" s="357"/>
      <c r="BK21" s="357"/>
      <c r="BL21" s="357"/>
      <c r="BM21" s="357"/>
      <c r="BN21" s="357"/>
      <c r="BO21" s="357"/>
      <c r="BP21" s="357"/>
      <c r="BQ21" s="357"/>
      <c r="BR21" s="357"/>
      <c r="BS21" s="357"/>
      <c r="BT21" s="357"/>
      <c r="BU21" s="357"/>
      <c r="BV21" s="357"/>
      <c r="BW21" s="357"/>
      <c r="BX21" s="357"/>
      <c r="BY21" s="357"/>
      <c r="BZ21" s="357"/>
      <c r="CA21" s="357"/>
      <c r="CB21" s="357"/>
      <c r="CC21" s="357"/>
      <c r="CD21" s="357"/>
      <c r="CE21" s="357"/>
      <c r="CF21" s="357"/>
      <c r="CG21" s="357"/>
      <c r="CH21" s="357"/>
      <c r="CI21" s="357"/>
      <c r="CJ21" s="357"/>
      <c r="CK21" s="357"/>
      <c r="CL21" s="357"/>
      <c r="CM21" s="357"/>
      <c r="CN21" s="357"/>
      <c r="CO21" s="357"/>
      <c r="CP21" s="357"/>
      <c r="CQ21" s="357"/>
      <c r="CR21" s="357"/>
      <c r="CS21" s="357"/>
      <c r="CT21" s="357"/>
      <c r="CU21" s="357"/>
      <c r="CV21" s="357"/>
      <c r="CW21" s="357"/>
      <c r="CX21" s="357"/>
      <c r="CY21" s="357"/>
      <c r="CZ21" s="357"/>
      <c r="DA21" s="357"/>
      <c r="DB21" s="357"/>
      <c r="DC21" s="357"/>
      <c r="DD21" s="357"/>
      <c r="DE21" s="357"/>
      <c r="DF21" s="357"/>
      <c r="DG21" s="357"/>
      <c r="DH21" s="357"/>
      <c r="DI21" s="357"/>
      <c r="DJ21" s="357"/>
      <c r="DK21" s="357"/>
      <c r="DL21" s="357"/>
      <c r="DM21" s="357"/>
      <c r="DN21" s="357"/>
      <c r="DO21" s="357"/>
      <c r="DP21" s="357"/>
      <c r="DQ21" s="357"/>
      <c r="DR21" s="357"/>
      <c r="DS21" s="357"/>
      <c r="DT21" s="357"/>
      <c r="DU21" s="357"/>
      <c r="DV21" s="357"/>
      <c r="DW21" s="357"/>
      <c r="DX21" s="357"/>
      <c r="DY21" s="357"/>
      <c r="DZ21" s="357"/>
      <c r="EA21" s="357"/>
      <c r="EB21" s="357"/>
      <c r="EC21" s="357"/>
      <c r="ED21" s="357"/>
      <c r="EE21" s="357"/>
      <c r="EF21" s="357"/>
      <c r="EG21" s="357"/>
      <c r="EH21" s="357"/>
      <c r="EI21" s="357"/>
      <c r="EJ21" s="357"/>
      <c r="EK21" s="357"/>
      <c r="EL21" s="357"/>
      <c r="EM21" s="357"/>
      <c r="EN21" s="357"/>
      <c r="EO21" s="357"/>
      <c r="EP21" s="357"/>
      <c r="EQ21" s="357"/>
      <c r="ER21" s="357"/>
      <c r="ES21" s="357"/>
      <c r="ET21" s="357"/>
      <c r="EU21" s="357"/>
      <c r="EV21" s="357"/>
      <c r="EW21" s="357"/>
      <c r="EX21" s="357"/>
      <c r="EY21" s="357"/>
      <c r="EZ21" s="357"/>
      <c r="FA21" s="357"/>
      <c r="FB21" s="357"/>
      <c r="FC21" s="357"/>
      <c r="FD21" s="357"/>
      <c r="FE21" s="357"/>
      <c r="FF21" s="357"/>
      <c r="FG21" s="357"/>
      <c r="FH21" s="357"/>
      <c r="FI21" s="357"/>
      <c r="FJ21" s="357"/>
      <c r="FK21" s="357"/>
      <c r="FL21" s="357"/>
      <c r="FM21" s="357"/>
      <c r="FN21" s="357"/>
      <c r="FO21" s="357"/>
      <c r="FP21" s="357"/>
      <c r="FQ21" s="357"/>
      <c r="FR21" s="357"/>
      <c r="FS21" s="357"/>
      <c r="FT21" s="357"/>
      <c r="FU21" s="357"/>
      <c r="FV21" s="357"/>
      <c r="FW21" s="357"/>
      <c r="FX21" s="357"/>
      <c r="FY21" s="357"/>
      <c r="FZ21" s="357"/>
      <c r="GA21" s="357"/>
      <c r="GB21" s="357"/>
      <c r="GC21" s="357"/>
      <c r="GD21" s="357"/>
      <c r="GE21" s="357"/>
      <c r="GF21" s="357"/>
      <c r="GG21" s="357"/>
      <c r="GH21" s="357"/>
      <c r="GI21" s="357"/>
      <c r="GJ21" s="357"/>
    </row>
    <row r="22" spans="2:192" ht="12.95" customHeight="1">
      <c r="F22" s="155"/>
      <c r="R22" s="580"/>
      <c r="S22" s="580"/>
      <c r="T22" s="580"/>
      <c r="U22" s="580"/>
      <c r="V22" s="580"/>
      <c r="W22" s="580"/>
      <c r="X22" s="580"/>
      <c r="Y22" s="580"/>
      <c r="Z22" s="580"/>
      <c r="AA22" s="580"/>
      <c r="AB22" s="580"/>
      <c r="AC22" s="580"/>
      <c r="AD22" s="580"/>
      <c r="AE22" s="357"/>
      <c r="AF22" s="357"/>
      <c r="AG22" s="357"/>
      <c r="AH22" s="357"/>
      <c r="AI22" s="357"/>
      <c r="AJ22" s="357"/>
      <c r="AK22" s="357"/>
      <c r="AL22" s="357"/>
      <c r="AM22" s="357"/>
      <c r="AN22" s="357"/>
      <c r="AO22" s="357"/>
      <c r="AP22" s="357"/>
      <c r="AQ22" s="357"/>
      <c r="AR22" s="357"/>
      <c r="AS22" s="357"/>
      <c r="AT22" s="357"/>
      <c r="AU22" s="357"/>
      <c r="AV22" s="357"/>
      <c r="AW22" s="357"/>
      <c r="AX22" s="357"/>
      <c r="AY22" s="357"/>
      <c r="AZ22" s="357"/>
      <c r="BA22" s="357"/>
      <c r="BB22" s="357"/>
      <c r="BC22" s="357"/>
      <c r="BD22" s="357"/>
      <c r="BE22" s="357"/>
      <c r="BF22" s="357"/>
      <c r="BG22" s="357"/>
      <c r="BH22" s="357"/>
      <c r="BI22" s="357"/>
      <c r="BJ22" s="357"/>
      <c r="BK22" s="357"/>
      <c r="BL22" s="357"/>
      <c r="BM22" s="357"/>
      <c r="BN22" s="357"/>
      <c r="BO22" s="357"/>
      <c r="BP22" s="357"/>
      <c r="BQ22" s="357"/>
      <c r="BR22" s="357"/>
      <c r="BS22" s="357"/>
      <c r="BT22" s="357"/>
      <c r="BU22" s="357"/>
      <c r="BV22" s="357"/>
      <c r="BW22" s="357"/>
      <c r="BX22" s="357"/>
      <c r="BY22" s="357"/>
      <c r="BZ22" s="357"/>
      <c r="CA22" s="357"/>
      <c r="CB22" s="357"/>
      <c r="CC22" s="357"/>
      <c r="CD22" s="357"/>
      <c r="CE22" s="357"/>
      <c r="CF22" s="357"/>
      <c r="CG22" s="357"/>
      <c r="CH22" s="357"/>
      <c r="CI22" s="357"/>
      <c r="CJ22" s="357"/>
      <c r="CK22" s="357"/>
      <c r="CL22" s="357"/>
      <c r="CM22" s="357"/>
      <c r="CN22" s="357"/>
      <c r="CO22" s="357"/>
      <c r="CP22" s="357"/>
      <c r="CQ22" s="357"/>
      <c r="CR22" s="357"/>
      <c r="CS22" s="357"/>
      <c r="CT22" s="357"/>
      <c r="CU22" s="357"/>
      <c r="CV22" s="357"/>
      <c r="CW22" s="357"/>
      <c r="CX22" s="357"/>
      <c r="CY22" s="357"/>
      <c r="CZ22" s="357"/>
      <c r="DA22" s="357"/>
      <c r="DB22" s="357"/>
      <c r="DC22" s="357"/>
      <c r="DD22" s="357"/>
      <c r="DE22" s="357"/>
      <c r="DF22" s="357"/>
      <c r="DG22" s="357"/>
      <c r="DH22" s="357"/>
      <c r="DI22" s="357"/>
      <c r="DJ22" s="357"/>
      <c r="DK22" s="357"/>
      <c r="DL22" s="357"/>
      <c r="DM22" s="357"/>
      <c r="DN22" s="357"/>
      <c r="DO22" s="357"/>
      <c r="DP22" s="357"/>
      <c r="DQ22" s="357"/>
      <c r="DR22" s="357"/>
      <c r="DS22" s="357"/>
      <c r="DT22" s="357"/>
      <c r="DU22" s="357"/>
      <c r="DV22" s="357"/>
      <c r="DW22" s="357"/>
      <c r="DX22" s="357"/>
      <c r="DY22" s="357"/>
      <c r="DZ22" s="357"/>
      <c r="EA22" s="357"/>
      <c r="EB22" s="357"/>
      <c r="EC22" s="357"/>
      <c r="ED22" s="357"/>
      <c r="EE22" s="357"/>
      <c r="EF22" s="357"/>
      <c r="EG22" s="357"/>
      <c r="EH22" s="357"/>
      <c r="EI22" s="357"/>
      <c r="EJ22" s="357"/>
      <c r="EK22" s="357"/>
      <c r="EL22" s="357"/>
      <c r="EM22" s="357"/>
      <c r="EN22" s="357"/>
      <c r="EO22" s="357"/>
      <c r="EP22" s="357"/>
      <c r="EQ22" s="357"/>
      <c r="ER22" s="357"/>
      <c r="ES22" s="357"/>
      <c r="ET22" s="357"/>
      <c r="EU22" s="357"/>
      <c r="EV22" s="357"/>
      <c r="EW22" s="357"/>
      <c r="EX22" s="357"/>
      <c r="EY22" s="357"/>
      <c r="EZ22" s="357"/>
      <c r="FA22" s="357"/>
      <c r="FB22" s="357"/>
      <c r="FC22" s="357"/>
      <c r="FD22" s="357"/>
      <c r="FE22" s="357"/>
      <c r="FF22" s="357"/>
      <c r="FG22" s="357"/>
      <c r="FH22" s="357"/>
      <c r="FI22" s="357"/>
      <c r="FJ22" s="357"/>
      <c r="FK22" s="357"/>
      <c r="FL22" s="357"/>
      <c r="FM22" s="357"/>
      <c r="FN22" s="357"/>
      <c r="FO22" s="357"/>
      <c r="FP22" s="357"/>
      <c r="FQ22" s="357"/>
      <c r="FR22" s="357"/>
      <c r="FS22" s="357"/>
      <c r="FT22" s="357"/>
      <c r="FU22" s="357"/>
      <c r="FV22" s="357"/>
      <c r="FW22" s="357"/>
      <c r="FX22" s="357"/>
      <c r="FY22" s="357"/>
      <c r="FZ22" s="357"/>
      <c r="GA22" s="357"/>
      <c r="GB22" s="357"/>
      <c r="GC22" s="357"/>
      <c r="GD22" s="357"/>
      <c r="GE22" s="357"/>
      <c r="GF22" s="357"/>
      <c r="GG22" s="357"/>
      <c r="GH22" s="357"/>
      <c r="GI22" s="357"/>
      <c r="GJ22" s="357"/>
    </row>
    <row r="23" spans="2:192" ht="12.95" customHeight="1">
      <c r="F23" s="155"/>
      <c r="R23" s="580"/>
      <c r="S23" s="580"/>
      <c r="T23" s="580"/>
      <c r="U23" s="580"/>
      <c r="V23" s="580"/>
      <c r="W23" s="580"/>
      <c r="X23" s="580"/>
      <c r="Y23" s="580"/>
      <c r="Z23" s="580"/>
      <c r="AA23" s="580"/>
      <c r="AB23" s="580"/>
      <c r="AC23" s="580"/>
      <c r="AD23" s="580"/>
      <c r="AE23" s="357"/>
      <c r="AF23" s="357"/>
      <c r="AG23" s="357"/>
      <c r="AH23" s="357"/>
      <c r="AI23" s="357"/>
      <c r="AJ23" s="357"/>
      <c r="AK23" s="357"/>
      <c r="AL23" s="357"/>
      <c r="AM23" s="357"/>
      <c r="AN23" s="357"/>
      <c r="AO23" s="357"/>
      <c r="AP23" s="357"/>
      <c r="AQ23" s="357"/>
      <c r="AR23" s="357"/>
      <c r="AS23" s="357"/>
      <c r="AT23" s="357"/>
      <c r="AU23" s="357"/>
      <c r="AV23" s="357"/>
      <c r="AW23" s="357"/>
      <c r="AX23" s="357"/>
      <c r="AY23" s="357"/>
      <c r="AZ23" s="357"/>
      <c r="BA23" s="357"/>
      <c r="BB23" s="357"/>
      <c r="BC23" s="357"/>
      <c r="BD23" s="357"/>
      <c r="BE23" s="357"/>
      <c r="BF23" s="357"/>
      <c r="BG23" s="357"/>
      <c r="BH23" s="357"/>
      <c r="BI23" s="357"/>
      <c r="BJ23" s="357"/>
      <c r="BK23" s="357"/>
      <c r="BL23" s="357"/>
      <c r="BM23" s="357"/>
      <c r="BN23" s="357"/>
      <c r="BO23" s="357"/>
      <c r="BP23" s="357"/>
      <c r="BQ23" s="357"/>
      <c r="BR23" s="357"/>
      <c r="BS23" s="357"/>
      <c r="BT23" s="357"/>
      <c r="BU23" s="357"/>
      <c r="BV23" s="357"/>
      <c r="BW23" s="357"/>
      <c r="BX23" s="357"/>
      <c r="BY23" s="357"/>
      <c r="BZ23" s="357"/>
      <c r="CA23" s="357"/>
      <c r="CB23" s="357"/>
      <c r="CC23" s="357"/>
      <c r="CD23" s="357"/>
      <c r="CE23" s="357"/>
      <c r="CF23" s="357"/>
      <c r="CG23" s="357"/>
      <c r="CH23" s="357"/>
      <c r="CI23" s="357"/>
      <c r="CJ23" s="357"/>
      <c r="CK23" s="357"/>
      <c r="CL23" s="357"/>
      <c r="CM23" s="357"/>
      <c r="CN23" s="357"/>
      <c r="CO23" s="357"/>
      <c r="CP23" s="357"/>
      <c r="CQ23" s="357"/>
      <c r="CR23" s="357"/>
      <c r="CS23" s="357"/>
      <c r="CT23" s="357"/>
      <c r="CU23" s="357"/>
      <c r="CV23" s="357"/>
      <c r="CW23" s="357"/>
      <c r="CX23" s="357"/>
      <c r="CY23" s="357"/>
      <c r="CZ23" s="357"/>
      <c r="DA23" s="357"/>
      <c r="DB23" s="357"/>
      <c r="DC23" s="357"/>
      <c r="DD23" s="357"/>
      <c r="DE23" s="357"/>
      <c r="DF23" s="357"/>
      <c r="DG23" s="357"/>
      <c r="DH23" s="357"/>
      <c r="DI23" s="357"/>
      <c r="DJ23" s="357"/>
      <c r="DK23" s="357"/>
      <c r="DL23" s="357"/>
      <c r="DM23" s="357"/>
      <c r="DN23" s="357"/>
      <c r="DO23" s="357"/>
      <c r="DP23" s="357"/>
      <c r="DQ23" s="357"/>
      <c r="DR23" s="357"/>
      <c r="DS23" s="357"/>
      <c r="DT23" s="357"/>
      <c r="DU23" s="357"/>
      <c r="DV23" s="357"/>
      <c r="DW23" s="357"/>
      <c r="DX23" s="357"/>
      <c r="DY23" s="357"/>
      <c r="DZ23" s="357"/>
      <c r="EA23" s="357"/>
      <c r="EB23" s="357"/>
      <c r="EC23" s="357"/>
      <c r="ED23" s="357"/>
      <c r="EE23" s="357"/>
      <c r="EF23" s="357"/>
      <c r="EG23" s="357"/>
      <c r="EH23" s="357"/>
      <c r="EI23" s="357"/>
      <c r="EJ23" s="357"/>
      <c r="EK23" s="357"/>
      <c r="EL23" s="357"/>
      <c r="EM23" s="357"/>
      <c r="EN23" s="357"/>
      <c r="EO23" s="357"/>
      <c r="EP23" s="357"/>
      <c r="EQ23" s="357"/>
      <c r="ER23" s="357"/>
      <c r="ES23" s="357"/>
      <c r="ET23" s="357"/>
      <c r="EU23" s="357"/>
      <c r="EV23" s="357"/>
      <c r="EW23" s="357"/>
      <c r="EX23" s="357"/>
      <c r="EY23" s="357"/>
      <c r="EZ23" s="357"/>
      <c r="FA23" s="357"/>
      <c r="FB23" s="357"/>
      <c r="FC23" s="357"/>
      <c r="FD23" s="357"/>
      <c r="FE23" s="357"/>
      <c r="FF23" s="357"/>
      <c r="FG23" s="357"/>
      <c r="FH23" s="357"/>
      <c r="FI23" s="357"/>
      <c r="FJ23" s="357"/>
      <c r="FK23" s="357"/>
      <c r="FL23" s="357"/>
      <c r="FM23" s="357"/>
      <c r="FN23" s="357"/>
      <c r="FO23" s="357"/>
      <c r="FP23" s="357"/>
      <c r="FQ23" s="357"/>
      <c r="FR23" s="357"/>
      <c r="FS23" s="357"/>
      <c r="FT23" s="357"/>
      <c r="FU23" s="357"/>
      <c r="FV23" s="357"/>
      <c r="FW23" s="357"/>
      <c r="FX23" s="357"/>
      <c r="FY23" s="357"/>
      <c r="FZ23" s="357"/>
      <c r="GA23" s="357"/>
      <c r="GB23" s="357"/>
      <c r="GC23" s="357"/>
      <c r="GD23" s="357"/>
      <c r="GE23" s="357"/>
      <c r="GF23" s="357"/>
      <c r="GG23" s="357"/>
      <c r="GH23" s="357"/>
      <c r="GI23" s="357"/>
      <c r="GJ23" s="357"/>
    </row>
    <row r="24" spans="2:192" ht="12.95" customHeight="1">
      <c r="F24" s="155"/>
      <c r="Z24" s="357"/>
      <c r="AA24" s="357"/>
      <c r="AB24" s="357"/>
      <c r="AC24" s="357"/>
      <c r="AD24" s="357"/>
      <c r="AE24" s="357"/>
      <c r="AF24" s="357"/>
      <c r="AG24" s="357"/>
      <c r="AH24" s="357"/>
      <c r="AI24" s="357"/>
      <c r="AJ24" s="357"/>
      <c r="AK24" s="357"/>
      <c r="AL24" s="357"/>
      <c r="AM24" s="357"/>
      <c r="AN24" s="357"/>
      <c r="AO24" s="357"/>
      <c r="AP24" s="357"/>
      <c r="AQ24" s="357"/>
      <c r="AR24" s="357"/>
      <c r="AS24" s="357"/>
      <c r="AT24" s="357"/>
      <c r="AU24" s="357"/>
      <c r="AV24" s="357"/>
      <c r="AW24" s="357"/>
      <c r="AX24" s="357"/>
      <c r="AY24" s="357"/>
      <c r="AZ24" s="357"/>
      <c r="BA24" s="357"/>
      <c r="BB24" s="357"/>
      <c r="BC24" s="357"/>
      <c r="BD24" s="357"/>
      <c r="BE24" s="357"/>
      <c r="BF24" s="357"/>
      <c r="BG24" s="357"/>
      <c r="BH24" s="357"/>
      <c r="BI24" s="357"/>
      <c r="BJ24" s="357"/>
      <c r="BK24" s="357"/>
      <c r="BL24" s="357"/>
      <c r="BM24" s="357"/>
      <c r="BN24" s="357"/>
      <c r="BO24" s="357"/>
      <c r="BP24" s="357"/>
      <c r="BQ24" s="357"/>
      <c r="BR24" s="357"/>
      <c r="BS24" s="357"/>
      <c r="BT24" s="357"/>
      <c r="BU24" s="357"/>
      <c r="BV24" s="357"/>
      <c r="BW24" s="357"/>
      <c r="BX24" s="357"/>
      <c r="BY24" s="357"/>
      <c r="BZ24" s="357"/>
      <c r="CA24" s="357"/>
      <c r="CB24" s="357"/>
      <c r="CC24" s="357"/>
      <c r="CD24" s="357"/>
      <c r="CE24" s="357"/>
      <c r="CF24" s="357"/>
      <c r="CG24" s="357"/>
      <c r="CH24" s="357"/>
      <c r="CI24" s="357"/>
      <c r="CJ24" s="357"/>
      <c r="CK24" s="357"/>
      <c r="CL24" s="357"/>
      <c r="CM24" s="357"/>
      <c r="CN24" s="357"/>
      <c r="CO24" s="357"/>
      <c r="CP24" s="357"/>
      <c r="CQ24" s="357"/>
      <c r="CR24" s="357"/>
      <c r="CS24" s="357"/>
      <c r="CT24" s="357"/>
      <c r="CU24" s="357"/>
      <c r="CV24" s="357"/>
      <c r="CW24" s="357"/>
      <c r="CX24" s="357"/>
      <c r="CY24" s="357"/>
      <c r="CZ24" s="357"/>
      <c r="DA24" s="357"/>
      <c r="DB24" s="357"/>
      <c r="DC24" s="357"/>
      <c r="DD24" s="357"/>
      <c r="DE24" s="357"/>
      <c r="DF24" s="357"/>
      <c r="DG24" s="357"/>
      <c r="DH24" s="357"/>
      <c r="DI24" s="357"/>
      <c r="DJ24" s="357"/>
      <c r="DK24" s="357"/>
      <c r="DL24" s="357"/>
      <c r="DM24" s="357"/>
      <c r="DN24" s="357"/>
      <c r="DO24" s="357"/>
      <c r="DP24" s="357"/>
      <c r="DQ24" s="357"/>
      <c r="DR24" s="357"/>
      <c r="DS24" s="357"/>
      <c r="DT24" s="357"/>
      <c r="DU24" s="357"/>
      <c r="DV24" s="357"/>
      <c r="DW24" s="357"/>
      <c r="DX24" s="357"/>
      <c r="DY24" s="357"/>
      <c r="DZ24" s="357"/>
      <c r="EA24" s="357"/>
      <c r="EB24" s="357"/>
      <c r="EC24" s="357"/>
      <c r="ED24" s="357"/>
      <c r="EE24" s="357"/>
      <c r="EF24" s="357"/>
      <c r="EG24" s="357"/>
      <c r="EH24" s="357"/>
      <c r="EI24" s="357"/>
      <c r="EJ24" s="357"/>
      <c r="EK24" s="357"/>
      <c r="EL24" s="357"/>
      <c r="EM24" s="357"/>
      <c r="EN24" s="357"/>
      <c r="EO24" s="357"/>
      <c r="EP24" s="357"/>
      <c r="EQ24" s="357"/>
      <c r="ER24" s="357"/>
      <c r="ES24" s="357"/>
      <c r="ET24" s="357"/>
      <c r="EU24" s="357"/>
      <c r="EV24" s="357"/>
      <c r="EW24" s="357"/>
      <c r="EX24" s="357"/>
      <c r="EY24" s="357"/>
      <c r="EZ24" s="357"/>
      <c r="FA24" s="357"/>
      <c r="FB24" s="357"/>
      <c r="FC24" s="357"/>
      <c r="FD24" s="357"/>
      <c r="FE24" s="357"/>
      <c r="FF24" s="357"/>
      <c r="FG24" s="357"/>
      <c r="FH24" s="357"/>
      <c r="FI24" s="357"/>
      <c r="FJ24" s="357"/>
      <c r="FK24" s="357"/>
      <c r="FL24" s="357"/>
      <c r="FM24" s="357"/>
      <c r="FN24" s="357"/>
      <c r="FO24" s="357"/>
      <c r="FP24" s="357"/>
      <c r="FQ24" s="357"/>
      <c r="FR24" s="357"/>
      <c r="FS24" s="357"/>
      <c r="FT24" s="357"/>
      <c r="FU24" s="357"/>
      <c r="FV24" s="357"/>
      <c r="FW24" s="357"/>
      <c r="FX24" s="357"/>
      <c r="FY24" s="357"/>
      <c r="FZ24" s="357"/>
      <c r="GA24" s="357"/>
      <c r="GB24" s="357"/>
      <c r="GC24" s="357"/>
      <c r="GD24" s="357"/>
      <c r="GE24" s="357"/>
      <c r="GF24" s="357"/>
      <c r="GG24" s="357"/>
      <c r="GH24" s="357"/>
      <c r="GI24" s="357"/>
      <c r="GJ24" s="357"/>
    </row>
    <row r="25" spans="2:192" ht="12.95" customHeight="1">
      <c r="F25" s="155"/>
      <c r="Z25" s="357"/>
      <c r="AA25" s="357"/>
      <c r="AB25" s="357"/>
      <c r="AC25" s="357"/>
      <c r="AD25" s="357"/>
      <c r="AE25" s="357"/>
      <c r="AF25" s="357"/>
      <c r="AG25" s="357"/>
      <c r="AH25" s="357"/>
      <c r="AI25" s="357"/>
      <c r="AJ25" s="357"/>
      <c r="AK25" s="357"/>
      <c r="AL25" s="357"/>
      <c r="AM25" s="357"/>
      <c r="AN25" s="357"/>
      <c r="AO25" s="357"/>
      <c r="AP25" s="357"/>
      <c r="AQ25" s="357"/>
      <c r="AR25" s="357"/>
      <c r="AS25" s="357"/>
      <c r="AT25" s="357"/>
      <c r="AU25" s="357"/>
      <c r="AV25" s="357"/>
      <c r="AW25" s="357"/>
      <c r="AX25" s="357"/>
      <c r="AY25" s="357"/>
      <c r="AZ25" s="357"/>
      <c r="BA25" s="357"/>
      <c r="BB25" s="357"/>
      <c r="BC25" s="357"/>
      <c r="BD25" s="357"/>
      <c r="BE25" s="357"/>
      <c r="BF25" s="357"/>
      <c r="BG25" s="357"/>
      <c r="BH25" s="357"/>
      <c r="BI25" s="357"/>
      <c r="BJ25" s="357"/>
      <c r="BK25" s="357"/>
      <c r="BL25" s="357"/>
      <c r="BM25" s="357"/>
      <c r="BN25" s="357"/>
      <c r="BO25" s="357"/>
      <c r="BP25" s="357"/>
      <c r="BQ25" s="357"/>
      <c r="BR25" s="357"/>
      <c r="BS25" s="357"/>
      <c r="BT25" s="357"/>
      <c r="BU25" s="357"/>
      <c r="BV25" s="357"/>
      <c r="BW25" s="357"/>
      <c r="BX25" s="357"/>
      <c r="BY25" s="357"/>
      <c r="BZ25" s="357"/>
      <c r="CA25" s="357"/>
      <c r="CB25" s="357"/>
      <c r="CC25" s="357"/>
      <c r="CD25" s="357"/>
      <c r="CE25" s="357"/>
      <c r="CF25" s="357"/>
      <c r="CG25" s="357"/>
      <c r="CH25" s="357"/>
      <c r="CI25" s="357"/>
      <c r="CJ25" s="357"/>
      <c r="CK25" s="357"/>
      <c r="CL25" s="357"/>
      <c r="CM25" s="357"/>
      <c r="CN25" s="357"/>
      <c r="CO25" s="357"/>
      <c r="CP25" s="357"/>
      <c r="CQ25" s="357"/>
      <c r="CR25" s="357"/>
      <c r="CS25" s="357"/>
      <c r="CT25" s="357"/>
      <c r="CU25" s="357"/>
      <c r="CV25" s="357"/>
      <c r="CW25" s="357"/>
      <c r="CX25" s="357"/>
      <c r="CY25" s="357"/>
      <c r="CZ25" s="357"/>
      <c r="DA25" s="357"/>
      <c r="DB25" s="357"/>
      <c r="DC25" s="357"/>
      <c r="DD25" s="357"/>
      <c r="DE25" s="357"/>
      <c r="DF25" s="357"/>
      <c r="DG25" s="357"/>
      <c r="DH25" s="357"/>
      <c r="DI25" s="357"/>
      <c r="DJ25" s="357"/>
      <c r="DK25" s="357"/>
      <c r="DL25" s="357"/>
      <c r="DM25" s="357"/>
      <c r="DN25" s="357"/>
      <c r="DO25" s="357"/>
      <c r="DP25" s="357"/>
      <c r="DQ25" s="357"/>
      <c r="DR25" s="357"/>
      <c r="DS25" s="357"/>
      <c r="DT25" s="357"/>
      <c r="DU25" s="357"/>
      <c r="DV25" s="357"/>
      <c r="DW25" s="357"/>
      <c r="DX25" s="357"/>
      <c r="DY25" s="357"/>
      <c r="DZ25" s="357"/>
      <c r="EA25" s="357"/>
      <c r="EB25" s="357"/>
      <c r="EC25" s="357"/>
      <c r="ED25" s="357"/>
      <c r="EE25" s="357"/>
      <c r="EF25" s="357"/>
      <c r="EG25" s="357"/>
      <c r="EH25" s="357"/>
      <c r="EI25" s="357"/>
      <c r="EJ25" s="357"/>
      <c r="EK25" s="357"/>
      <c r="EL25" s="357"/>
      <c r="EM25" s="357"/>
      <c r="EN25" s="357"/>
      <c r="EO25" s="357"/>
      <c r="EP25" s="357"/>
      <c r="EQ25" s="357"/>
      <c r="ER25" s="357"/>
      <c r="ES25" s="357"/>
      <c r="ET25" s="357"/>
      <c r="EU25" s="357"/>
      <c r="EV25" s="357"/>
      <c r="EW25" s="357"/>
      <c r="EX25" s="357"/>
      <c r="EY25" s="357"/>
      <c r="EZ25" s="357"/>
      <c r="FA25" s="357"/>
      <c r="FB25" s="357"/>
      <c r="FC25" s="357"/>
      <c r="FD25" s="357"/>
      <c r="FE25" s="357"/>
      <c r="FF25" s="357"/>
      <c r="FG25" s="357"/>
      <c r="FH25" s="357"/>
      <c r="FI25" s="357"/>
      <c r="FJ25" s="357"/>
      <c r="FK25" s="357"/>
      <c r="FL25" s="357"/>
      <c r="FM25" s="357"/>
      <c r="FN25" s="357"/>
      <c r="FO25" s="357"/>
      <c r="FP25" s="357"/>
      <c r="FQ25" s="357"/>
      <c r="FR25" s="357"/>
      <c r="FS25" s="357"/>
      <c r="FT25" s="357"/>
      <c r="FU25" s="357"/>
      <c r="FV25" s="357"/>
      <c r="FW25" s="357"/>
      <c r="FX25" s="357"/>
      <c r="FY25" s="357"/>
      <c r="FZ25" s="357"/>
      <c r="GA25" s="357"/>
      <c r="GB25" s="357"/>
      <c r="GC25" s="357"/>
      <c r="GD25" s="357"/>
      <c r="GE25" s="357"/>
      <c r="GF25" s="357"/>
      <c r="GG25" s="357"/>
      <c r="GH25" s="357"/>
      <c r="GI25" s="357"/>
      <c r="GJ25" s="357"/>
    </row>
    <row r="26" spans="2:192" ht="12.95" customHeight="1">
      <c r="D26" s="161"/>
      <c r="E26" s="161"/>
      <c r="F26" s="162"/>
      <c r="G26" s="161"/>
      <c r="Z26" s="357"/>
      <c r="AA26" s="357"/>
      <c r="AB26" s="357"/>
      <c r="AC26" s="357"/>
      <c r="AD26" s="357"/>
      <c r="AE26" s="357"/>
      <c r="AF26" s="357"/>
      <c r="AG26" s="357"/>
      <c r="AH26" s="357"/>
      <c r="AI26" s="357"/>
      <c r="AJ26" s="357"/>
      <c r="AK26" s="357"/>
      <c r="AL26" s="357"/>
      <c r="AM26" s="357"/>
      <c r="AN26" s="357"/>
      <c r="AO26" s="357"/>
      <c r="AP26" s="357"/>
      <c r="AQ26" s="357"/>
      <c r="AR26" s="357"/>
      <c r="AS26" s="357"/>
      <c r="AT26" s="357"/>
      <c r="AU26" s="357"/>
      <c r="AV26" s="357"/>
      <c r="AW26" s="357"/>
      <c r="AX26" s="357"/>
      <c r="AY26" s="357"/>
      <c r="AZ26" s="357"/>
      <c r="BA26" s="357"/>
      <c r="BB26" s="357"/>
      <c r="BC26" s="357"/>
      <c r="BD26" s="357"/>
      <c r="BE26" s="357"/>
      <c r="BF26" s="357"/>
      <c r="BG26" s="357"/>
      <c r="BH26" s="357"/>
      <c r="BI26" s="357"/>
      <c r="BJ26" s="357"/>
      <c r="BK26" s="357"/>
      <c r="BL26" s="357"/>
      <c r="BM26" s="357"/>
      <c r="BN26" s="357"/>
      <c r="BO26" s="357"/>
      <c r="BP26" s="357"/>
      <c r="BQ26" s="357"/>
      <c r="BR26" s="357"/>
      <c r="BS26" s="357"/>
      <c r="BT26" s="357"/>
      <c r="BU26" s="357"/>
      <c r="BV26" s="357"/>
      <c r="BW26" s="357"/>
      <c r="BX26" s="357"/>
      <c r="BY26" s="357"/>
      <c r="BZ26" s="357"/>
      <c r="CA26" s="357"/>
      <c r="CB26" s="357"/>
      <c r="CC26" s="357"/>
      <c r="CD26" s="357"/>
      <c r="CE26" s="357"/>
      <c r="CF26" s="357"/>
      <c r="CG26" s="357"/>
      <c r="CH26" s="357"/>
      <c r="CI26" s="357"/>
      <c r="CJ26" s="357"/>
      <c r="CK26" s="357"/>
      <c r="CL26" s="357"/>
      <c r="CM26" s="357"/>
      <c r="CN26" s="357"/>
      <c r="CO26" s="357"/>
      <c r="CP26" s="357"/>
      <c r="CQ26" s="357"/>
      <c r="CR26" s="357"/>
      <c r="CS26" s="357"/>
      <c r="CT26" s="357"/>
      <c r="CU26" s="357"/>
      <c r="CV26" s="357"/>
      <c r="CW26" s="357"/>
      <c r="CX26" s="357"/>
      <c r="CY26" s="357"/>
      <c r="CZ26" s="357"/>
      <c r="DA26" s="357"/>
      <c r="DB26" s="357"/>
      <c r="DC26" s="357"/>
      <c r="DD26" s="357"/>
      <c r="DE26" s="357"/>
      <c r="DF26" s="357"/>
      <c r="DG26" s="357"/>
      <c r="DH26" s="357"/>
      <c r="DI26" s="357"/>
      <c r="DJ26" s="357"/>
      <c r="DK26" s="357"/>
      <c r="DL26" s="357"/>
      <c r="DM26" s="357"/>
      <c r="DN26" s="357"/>
      <c r="DO26" s="357"/>
      <c r="DP26" s="357"/>
      <c r="DQ26" s="357"/>
      <c r="DR26" s="357"/>
      <c r="DS26" s="357"/>
      <c r="DT26" s="357"/>
      <c r="DU26" s="357"/>
      <c r="DV26" s="357"/>
      <c r="DW26" s="357"/>
      <c r="DX26" s="357"/>
      <c r="DY26" s="357"/>
      <c r="DZ26" s="357"/>
      <c r="EA26" s="357"/>
      <c r="EB26" s="357"/>
      <c r="EC26" s="357"/>
      <c r="ED26" s="357"/>
      <c r="EE26" s="357"/>
      <c r="EF26" s="357"/>
      <c r="EG26" s="357"/>
      <c r="EH26" s="357"/>
      <c r="EI26" s="357"/>
      <c r="EJ26" s="357"/>
      <c r="EK26" s="357"/>
      <c r="EL26" s="357"/>
      <c r="EM26" s="357"/>
      <c r="EN26" s="357"/>
      <c r="EO26" s="357"/>
      <c r="EP26" s="357"/>
      <c r="EQ26" s="357"/>
      <c r="ER26" s="357"/>
      <c r="ES26" s="357"/>
      <c r="ET26" s="357"/>
      <c r="EU26" s="357"/>
      <c r="EV26" s="357"/>
      <c r="EW26" s="357"/>
      <c r="EX26" s="357"/>
      <c r="EY26" s="357"/>
      <c r="EZ26" s="357"/>
      <c r="FA26" s="357"/>
      <c r="FB26" s="357"/>
      <c r="FC26" s="357"/>
      <c r="FD26" s="357"/>
      <c r="FE26" s="357"/>
      <c r="FF26" s="357"/>
      <c r="FG26" s="357"/>
      <c r="FH26" s="357"/>
      <c r="FI26" s="357"/>
      <c r="FJ26" s="357"/>
      <c r="FK26" s="357"/>
      <c r="FL26" s="357"/>
      <c r="FM26" s="357"/>
      <c r="FN26" s="357"/>
      <c r="FO26" s="357"/>
      <c r="FP26" s="357"/>
      <c r="FQ26" s="357"/>
      <c r="FR26" s="357"/>
      <c r="FS26" s="357"/>
      <c r="FT26" s="357"/>
      <c r="FU26" s="357"/>
      <c r="FV26" s="357"/>
      <c r="FW26" s="357"/>
      <c r="FX26" s="357"/>
      <c r="FY26" s="357"/>
      <c r="FZ26" s="357"/>
      <c r="GA26" s="357"/>
      <c r="GB26" s="357"/>
      <c r="GC26" s="357"/>
      <c r="GD26" s="357"/>
      <c r="GE26" s="357"/>
      <c r="GF26" s="357"/>
      <c r="GG26" s="357"/>
      <c r="GH26" s="357"/>
      <c r="GI26" s="357"/>
      <c r="GJ26" s="357"/>
    </row>
    <row r="27" spans="2:192" ht="12.95" customHeight="1">
      <c r="D27" s="161"/>
      <c r="E27" s="161"/>
      <c r="F27" s="163"/>
      <c r="G27" s="161"/>
      <c r="Z27" s="357"/>
      <c r="AA27" s="357"/>
      <c r="AB27" s="357"/>
      <c r="AC27" s="357"/>
      <c r="AD27" s="357"/>
      <c r="AE27" s="357"/>
      <c r="AF27" s="357"/>
      <c r="AG27" s="357"/>
      <c r="AH27" s="357"/>
      <c r="AI27" s="427"/>
      <c r="AJ27" s="427"/>
      <c r="AK27" s="357"/>
      <c r="AL27" s="357"/>
      <c r="AM27" s="357"/>
      <c r="AN27" s="427"/>
      <c r="AO27" s="357"/>
      <c r="AP27" s="357"/>
      <c r="AQ27" s="357"/>
      <c r="AR27" s="357"/>
      <c r="AS27" s="357"/>
      <c r="AT27" s="357"/>
      <c r="AU27" s="357"/>
      <c r="AV27" s="357"/>
      <c r="AW27" s="357"/>
      <c r="AX27" s="357"/>
      <c r="AY27" s="357"/>
      <c r="AZ27" s="357"/>
      <c r="BA27" s="357"/>
      <c r="BB27" s="357"/>
      <c r="BC27" s="357"/>
      <c r="BD27" s="357"/>
      <c r="BE27" s="357"/>
      <c r="BF27" s="357"/>
      <c r="BG27" s="357"/>
      <c r="BH27" s="357"/>
      <c r="BI27" s="357"/>
      <c r="BJ27" s="357"/>
      <c r="BK27" s="357"/>
      <c r="BL27" s="357"/>
      <c r="BM27" s="357"/>
      <c r="BN27" s="357"/>
      <c r="BO27" s="357"/>
      <c r="BP27" s="357"/>
      <c r="BQ27" s="357"/>
      <c r="BR27" s="357"/>
      <c r="BS27" s="357"/>
      <c r="BT27" s="357"/>
      <c r="BU27" s="357"/>
      <c r="BV27" s="357"/>
      <c r="BW27" s="357"/>
      <c r="BX27" s="357"/>
      <c r="BY27" s="357"/>
      <c r="BZ27" s="357"/>
      <c r="CA27" s="357"/>
      <c r="CB27" s="357"/>
      <c r="CC27" s="357"/>
      <c r="CD27" s="357"/>
      <c r="CE27" s="357"/>
      <c r="CF27" s="357"/>
      <c r="CG27" s="357"/>
      <c r="CH27" s="357"/>
      <c r="CI27" s="357"/>
      <c r="CJ27" s="357"/>
      <c r="CK27" s="357"/>
      <c r="CL27" s="357"/>
      <c r="CM27" s="357"/>
      <c r="CN27" s="357"/>
      <c r="CO27" s="357"/>
      <c r="CP27" s="357"/>
      <c r="CQ27" s="357"/>
      <c r="CR27" s="357"/>
      <c r="CS27" s="357"/>
      <c r="CT27" s="357"/>
      <c r="CU27" s="357"/>
      <c r="CV27" s="357"/>
      <c r="CW27" s="357"/>
      <c r="CX27" s="357"/>
      <c r="CY27" s="357"/>
      <c r="CZ27" s="357"/>
      <c r="DA27" s="357"/>
      <c r="DB27" s="357"/>
      <c r="DC27" s="357"/>
      <c r="DD27" s="357"/>
      <c r="DE27" s="357"/>
      <c r="DF27" s="357"/>
      <c r="DG27" s="357"/>
      <c r="DH27" s="357"/>
      <c r="DI27" s="357"/>
      <c r="DJ27" s="357"/>
      <c r="DK27" s="357"/>
      <c r="DL27" s="357"/>
      <c r="DM27" s="357"/>
      <c r="DN27" s="357"/>
      <c r="DO27" s="357"/>
      <c r="DP27" s="357"/>
      <c r="DQ27" s="357"/>
      <c r="DR27" s="357"/>
      <c r="DS27" s="357"/>
      <c r="DT27" s="357"/>
      <c r="DU27" s="357"/>
      <c r="DV27" s="357"/>
      <c r="DW27" s="357"/>
      <c r="DX27" s="357"/>
      <c r="DY27" s="357"/>
      <c r="DZ27" s="357"/>
      <c r="EA27" s="357"/>
      <c r="EB27" s="357"/>
      <c r="EC27" s="357"/>
      <c r="ED27" s="357"/>
      <c r="EE27" s="357"/>
      <c r="EF27" s="357"/>
      <c r="EG27" s="357"/>
      <c r="EH27" s="357"/>
      <c r="EI27" s="357"/>
      <c r="EJ27" s="357"/>
      <c r="EK27" s="357"/>
      <c r="EL27" s="357"/>
      <c r="EM27" s="357"/>
      <c r="EN27" s="357"/>
      <c r="EO27" s="357"/>
      <c r="EP27" s="357"/>
      <c r="EQ27" s="357"/>
      <c r="ER27" s="357"/>
      <c r="ES27" s="357"/>
      <c r="ET27" s="357"/>
      <c r="EU27" s="357"/>
      <c r="EV27" s="357"/>
      <c r="EW27" s="357"/>
      <c r="EX27" s="357"/>
      <c r="EY27" s="357"/>
      <c r="EZ27" s="357"/>
      <c r="FA27" s="357"/>
      <c r="FB27" s="357"/>
      <c r="FC27" s="357"/>
      <c r="FD27" s="357"/>
      <c r="FE27" s="357"/>
      <c r="FF27" s="357"/>
      <c r="FG27" s="357"/>
      <c r="FH27" s="357"/>
      <c r="FI27" s="357"/>
      <c r="FJ27" s="357"/>
      <c r="FK27" s="357"/>
      <c r="FL27" s="357"/>
      <c r="FM27" s="357"/>
      <c r="FN27" s="357"/>
      <c r="FO27" s="357"/>
      <c r="FP27" s="357"/>
      <c r="FQ27" s="357"/>
      <c r="FR27" s="357"/>
      <c r="FS27" s="357"/>
      <c r="FT27" s="357"/>
      <c r="FU27" s="357"/>
      <c r="FV27" s="357"/>
      <c r="FW27" s="357"/>
      <c r="FX27" s="357"/>
      <c r="FY27" s="357"/>
      <c r="FZ27" s="357"/>
      <c r="GA27" s="357"/>
      <c r="GB27" s="357"/>
      <c r="GC27" s="357"/>
      <c r="GD27" s="357"/>
      <c r="GE27" s="357"/>
      <c r="GF27" s="357"/>
      <c r="GG27" s="357"/>
      <c r="GH27" s="357"/>
      <c r="GI27" s="357"/>
      <c r="GJ27" s="357"/>
    </row>
    <row r="28" spans="2:192" ht="12.95" customHeight="1">
      <c r="Z28" s="357"/>
      <c r="AA28" s="357"/>
      <c r="AB28" s="357"/>
      <c r="AC28" s="357"/>
      <c r="AD28" s="357"/>
      <c r="AE28" s="357"/>
      <c r="AF28" s="357"/>
      <c r="AG28" s="357"/>
      <c r="AH28" s="357"/>
      <c r="AI28" s="357"/>
      <c r="AJ28" s="357"/>
      <c r="AK28" s="357"/>
      <c r="AL28" s="357"/>
      <c r="AM28" s="357"/>
      <c r="AN28" s="357"/>
      <c r="AO28" s="427"/>
      <c r="AP28" s="357"/>
      <c r="AQ28" s="357"/>
      <c r="AR28" s="357"/>
      <c r="AS28" s="357"/>
      <c r="AT28" s="357"/>
      <c r="AU28" s="357"/>
      <c r="AV28" s="357"/>
      <c r="AW28" s="357"/>
      <c r="AX28" s="357"/>
      <c r="AY28" s="357"/>
      <c r="AZ28" s="357"/>
      <c r="BA28" s="357"/>
      <c r="BB28" s="357"/>
      <c r="BC28" s="357"/>
      <c r="BD28" s="357"/>
      <c r="BE28" s="357"/>
      <c r="BF28" s="357"/>
      <c r="BG28" s="357"/>
      <c r="BH28" s="357"/>
      <c r="BI28" s="357"/>
      <c r="BJ28" s="357"/>
      <c r="BK28" s="357"/>
      <c r="BL28" s="357"/>
      <c r="BM28" s="357"/>
      <c r="BN28" s="357"/>
      <c r="BO28" s="357"/>
      <c r="BP28" s="357"/>
      <c r="BQ28" s="357"/>
      <c r="BR28" s="357"/>
      <c r="BS28" s="357"/>
      <c r="BT28" s="357"/>
      <c r="BU28" s="357"/>
      <c r="BV28" s="357"/>
      <c r="BW28" s="357"/>
      <c r="BX28" s="357"/>
      <c r="BY28" s="357"/>
      <c r="BZ28" s="357"/>
      <c r="CA28" s="357"/>
      <c r="CB28" s="357"/>
      <c r="CC28" s="357"/>
      <c r="CD28" s="357"/>
      <c r="CE28" s="357"/>
      <c r="CF28" s="357"/>
      <c r="CG28" s="357"/>
      <c r="CH28" s="357"/>
      <c r="CI28" s="357"/>
      <c r="CJ28" s="357"/>
      <c r="CK28" s="357"/>
      <c r="CL28" s="357"/>
      <c r="CM28" s="357"/>
      <c r="CN28" s="357"/>
      <c r="CO28" s="357"/>
      <c r="CP28" s="357"/>
      <c r="CQ28" s="357"/>
      <c r="CR28" s="357"/>
      <c r="CS28" s="357"/>
      <c r="CT28" s="357"/>
      <c r="CU28" s="357"/>
      <c r="CV28" s="357"/>
      <c r="CW28" s="357"/>
      <c r="CX28" s="357"/>
      <c r="CY28" s="357"/>
      <c r="CZ28" s="357"/>
      <c r="DA28" s="357"/>
      <c r="DB28" s="357"/>
      <c r="DC28" s="357"/>
      <c r="DD28" s="357"/>
      <c r="DE28" s="357"/>
      <c r="DF28" s="357"/>
      <c r="DG28" s="357"/>
      <c r="DH28" s="357"/>
      <c r="DI28" s="357"/>
      <c r="DJ28" s="357"/>
      <c r="DK28" s="357"/>
      <c r="DL28" s="357"/>
      <c r="DM28" s="357"/>
      <c r="DN28" s="357"/>
      <c r="DO28" s="357"/>
      <c r="DP28" s="357"/>
      <c r="DQ28" s="357"/>
      <c r="DR28" s="357"/>
      <c r="DS28" s="357"/>
      <c r="DT28" s="357"/>
      <c r="DU28" s="357"/>
      <c r="DV28" s="357"/>
      <c r="DW28" s="357"/>
      <c r="DX28" s="357"/>
      <c r="DY28" s="357"/>
      <c r="DZ28" s="357"/>
      <c r="EA28" s="357"/>
      <c r="EB28" s="357"/>
      <c r="EC28" s="357"/>
      <c r="ED28" s="357"/>
      <c r="EE28" s="357"/>
      <c r="EF28" s="357"/>
      <c r="EG28" s="357"/>
      <c r="EH28" s="357"/>
      <c r="EI28" s="357"/>
      <c r="EJ28" s="357"/>
      <c r="EK28" s="357"/>
      <c r="EL28" s="357"/>
      <c r="EM28" s="357"/>
      <c r="EN28" s="357"/>
      <c r="EO28" s="357"/>
      <c r="EP28" s="357"/>
      <c r="EQ28" s="357"/>
      <c r="ER28" s="357"/>
      <c r="ES28" s="357"/>
      <c r="ET28" s="357"/>
      <c r="EU28" s="357"/>
      <c r="EV28" s="357"/>
      <c r="EW28" s="357"/>
      <c r="EX28" s="357"/>
      <c r="EY28" s="357"/>
      <c r="EZ28" s="357"/>
      <c r="FA28" s="357"/>
      <c r="FB28" s="357"/>
      <c r="FC28" s="357"/>
      <c r="FD28" s="357"/>
      <c r="FE28" s="357"/>
      <c r="FF28" s="357"/>
      <c r="FG28" s="357"/>
      <c r="FH28" s="357"/>
      <c r="FI28" s="357"/>
      <c r="FJ28" s="357"/>
      <c r="FK28" s="357"/>
      <c r="FL28" s="357"/>
      <c r="FM28" s="357"/>
      <c r="FN28" s="357"/>
      <c r="FO28" s="357"/>
      <c r="FP28" s="357"/>
      <c r="FQ28" s="357"/>
      <c r="FR28" s="357"/>
      <c r="FS28" s="357"/>
      <c r="FT28" s="357"/>
      <c r="FU28" s="357"/>
      <c r="FV28" s="357"/>
      <c r="FW28" s="357"/>
      <c r="FX28" s="357"/>
      <c r="FY28" s="357"/>
      <c r="FZ28" s="357"/>
      <c r="GA28" s="357"/>
      <c r="GB28" s="357"/>
      <c r="GC28" s="357"/>
      <c r="GD28" s="357"/>
      <c r="GE28" s="357"/>
      <c r="GF28" s="357"/>
      <c r="GG28" s="357"/>
      <c r="GH28" s="357"/>
      <c r="GI28" s="357"/>
      <c r="GJ28" s="357"/>
    </row>
    <row r="29" spans="2:192" ht="12.95" customHeight="1">
      <c r="J29" s="158"/>
      <c r="Z29" s="357"/>
      <c r="AA29" s="357"/>
      <c r="AB29" s="357"/>
      <c r="AC29" s="357"/>
      <c r="AD29" s="357"/>
      <c r="AE29" s="357"/>
      <c r="AF29" s="357"/>
      <c r="AG29" s="357"/>
      <c r="AH29" s="357"/>
      <c r="AI29" s="357"/>
      <c r="AJ29" s="357"/>
      <c r="AK29" s="357"/>
      <c r="AL29" s="357"/>
      <c r="AM29" s="357"/>
      <c r="AN29" s="357"/>
      <c r="AO29" s="357"/>
      <c r="AP29" s="357"/>
      <c r="AQ29" s="357"/>
      <c r="AR29" s="357"/>
      <c r="AS29" s="357"/>
      <c r="AT29" s="357"/>
      <c r="AU29" s="357"/>
      <c r="AV29" s="357"/>
      <c r="AW29" s="357"/>
      <c r="AX29" s="357"/>
      <c r="AY29" s="357"/>
      <c r="AZ29" s="357"/>
      <c r="BA29" s="357"/>
      <c r="BB29" s="357"/>
      <c r="BC29" s="357"/>
      <c r="BD29" s="357"/>
      <c r="BE29" s="357"/>
      <c r="BF29" s="357"/>
      <c r="BG29" s="357"/>
      <c r="BH29" s="357"/>
      <c r="BI29" s="357"/>
      <c r="BJ29" s="357"/>
      <c r="BK29" s="357"/>
      <c r="BL29" s="357"/>
      <c r="BM29" s="357"/>
      <c r="BN29" s="357"/>
      <c r="BO29" s="357"/>
      <c r="BP29" s="357"/>
      <c r="BQ29" s="357"/>
      <c r="BR29" s="357"/>
      <c r="BS29" s="357"/>
      <c r="BT29" s="357"/>
      <c r="BU29" s="357"/>
      <c r="BV29" s="357"/>
      <c r="BW29" s="357"/>
      <c r="BX29" s="357"/>
      <c r="BY29" s="357"/>
      <c r="BZ29" s="357"/>
      <c r="CA29" s="357"/>
      <c r="CB29" s="357"/>
      <c r="CC29" s="357"/>
      <c r="CD29" s="357"/>
      <c r="CE29" s="357"/>
      <c r="CF29" s="357"/>
      <c r="CG29" s="357"/>
      <c r="CH29" s="357"/>
      <c r="CI29" s="357"/>
      <c r="CJ29" s="357"/>
      <c r="CK29" s="357"/>
      <c r="CL29" s="357"/>
      <c r="CM29" s="357"/>
      <c r="CN29" s="357"/>
      <c r="CO29" s="357"/>
      <c r="CP29" s="357"/>
      <c r="CQ29" s="357"/>
      <c r="CR29" s="357"/>
      <c r="CS29" s="357"/>
      <c r="CT29" s="357"/>
      <c r="CU29" s="357"/>
      <c r="CV29" s="357"/>
      <c r="CW29" s="357"/>
      <c r="CX29" s="357"/>
      <c r="CY29" s="357"/>
      <c r="CZ29" s="357"/>
      <c r="DA29" s="357"/>
      <c r="DB29" s="357"/>
      <c r="DC29" s="357"/>
      <c r="DD29" s="357"/>
      <c r="DE29" s="357"/>
      <c r="DF29" s="357"/>
      <c r="DG29" s="357"/>
      <c r="DH29" s="357"/>
      <c r="DI29" s="357"/>
      <c r="DJ29" s="357"/>
      <c r="DK29" s="357"/>
      <c r="DL29" s="357"/>
      <c r="DM29" s="357"/>
      <c r="DN29" s="357"/>
      <c r="DO29" s="357"/>
      <c r="DP29" s="357"/>
      <c r="DQ29" s="357"/>
      <c r="DR29" s="357"/>
      <c r="DS29" s="357"/>
      <c r="DT29" s="357"/>
      <c r="DU29" s="357"/>
      <c r="DV29" s="357"/>
      <c r="DW29" s="357"/>
      <c r="DX29" s="357"/>
      <c r="DY29" s="357"/>
      <c r="DZ29" s="357"/>
      <c r="EA29" s="357"/>
      <c r="EB29" s="357"/>
      <c r="EC29" s="357"/>
      <c r="ED29" s="357"/>
      <c r="EE29" s="357"/>
      <c r="EF29" s="357"/>
      <c r="EG29" s="357"/>
      <c r="EH29" s="357"/>
      <c r="EI29" s="357"/>
      <c r="EJ29" s="357"/>
      <c r="EK29" s="357"/>
      <c r="EL29" s="357"/>
      <c r="EM29" s="357"/>
      <c r="EN29" s="357"/>
      <c r="EO29" s="357"/>
      <c r="EP29" s="357"/>
      <c r="EQ29" s="357"/>
      <c r="ER29" s="357"/>
      <c r="ES29" s="357"/>
      <c r="ET29" s="357"/>
      <c r="EU29" s="357"/>
      <c r="EV29" s="357"/>
      <c r="EW29" s="357"/>
      <c r="EX29" s="357"/>
      <c r="EY29" s="357"/>
      <c r="EZ29" s="357"/>
      <c r="FA29" s="357"/>
      <c r="FB29" s="357"/>
      <c r="FC29" s="357"/>
      <c r="FD29" s="357"/>
      <c r="FE29" s="357"/>
      <c r="FF29" s="357"/>
      <c r="FG29" s="357"/>
      <c r="FH29" s="357"/>
      <c r="FI29" s="357"/>
      <c r="FJ29" s="357"/>
      <c r="FK29" s="357"/>
      <c r="FL29" s="357"/>
      <c r="FM29" s="357"/>
      <c r="FN29" s="357"/>
      <c r="FO29" s="357"/>
      <c r="FP29" s="357"/>
      <c r="FQ29" s="357"/>
      <c r="FR29" s="357"/>
      <c r="FS29" s="357"/>
      <c r="FT29" s="357"/>
      <c r="FU29" s="357"/>
      <c r="FV29" s="357"/>
      <c r="FW29" s="357"/>
      <c r="FX29" s="357"/>
      <c r="FY29" s="357"/>
      <c r="FZ29" s="357"/>
      <c r="GA29" s="357"/>
      <c r="GB29" s="357"/>
      <c r="GC29" s="357"/>
      <c r="GD29" s="357"/>
      <c r="GE29" s="357"/>
      <c r="GF29" s="357"/>
      <c r="GG29" s="357"/>
      <c r="GH29" s="357"/>
      <c r="GI29" s="357"/>
      <c r="GJ29" s="357"/>
    </row>
    <row r="30" spans="2:192" ht="12.95" customHeight="1">
      <c r="Z30" s="357"/>
      <c r="AA30" s="357"/>
      <c r="AB30" s="357"/>
      <c r="AC30" s="357"/>
      <c r="AD30" s="357"/>
      <c r="AE30" s="357"/>
      <c r="AF30" s="357"/>
      <c r="AG30" s="357"/>
      <c r="AH30" s="357"/>
      <c r="AI30" s="357"/>
      <c r="AJ30" s="357"/>
      <c r="AK30" s="357"/>
      <c r="AL30" s="357"/>
      <c r="AM30" s="357"/>
      <c r="AN30" s="357"/>
      <c r="AO30" s="357"/>
      <c r="AP30" s="357"/>
      <c r="AQ30" s="357"/>
      <c r="AR30" s="357"/>
      <c r="AS30" s="357"/>
      <c r="AT30" s="357"/>
      <c r="AU30" s="357"/>
      <c r="AV30" s="357"/>
      <c r="AW30" s="357"/>
      <c r="AX30" s="357"/>
      <c r="AY30" s="357"/>
      <c r="AZ30" s="357"/>
      <c r="BA30" s="357"/>
      <c r="BB30" s="357"/>
      <c r="BC30" s="357"/>
      <c r="BD30" s="357"/>
      <c r="BE30" s="357"/>
      <c r="BF30" s="357"/>
      <c r="BG30" s="357"/>
      <c r="BH30" s="357"/>
      <c r="BI30" s="357"/>
      <c r="BJ30" s="357"/>
      <c r="BK30" s="357"/>
      <c r="BL30" s="357"/>
      <c r="BM30" s="357"/>
      <c r="BN30" s="357"/>
      <c r="BO30" s="357"/>
      <c r="BP30" s="357"/>
      <c r="BQ30" s="357"/>
      <c r="BR30" s="357"/>
      <c r="BS30" s="357"/>
      <c r="BT30" s="357"/>
      <c r="BU30" s="357"/>
      <c r="BV30" s="357"/>
      <c r="BW30" s="357"/>
      <c r="BX30" s="357"/>
      <c r="BY30" s="357"/>
      <c r="BZ30" s="357"/>
      <c r="CA30" s="357"/>
      <c r="CB30" s="357"/>
      <c r="CC30" s="357"/>
      <c r="CD30" s="357"/>
      <c r="CE30" s="357"/>
      <c r="CF30" s="357"/>
      <c r="CG30" s="357"/>
      <c r="CH30" s="357"/>
      <c r="CI30" s="357"/>
      <c r="CJ30" s="357"/>
      <c r="CK30" s="357"/>
      <c r="CL30" s="357"/>
      <c r="CM30" s="357"/>
      <c r="CN30" s="357"/>
      <c r="CO30" s="357"/>
      <c r="CP30" s="357"/>
      <c r="CQ30" s="357"/>
      <c r="CR30" s="357"/>
      <c r="CS30" s="357"/>
      <c r="CT30" s="357"/>
      <c r="CU30" s="357"/>
      <c r="CV30" s="357"/>
      <c r="CW30" s="357"/>
      <c r="CX30" s="357"/>
      <c r="CY30" s="357"/>
      <c r="CZ30" s="357"/>
      <c r="DA30" s="357"/>
      <c r="DB30" s="357"/>
      <c r="DC30" s="357"/>
      <c r="DD30" s="357"/>
      <c r="DE30" s="357"/>
      <c r="DF30" s="357"/>
      <c r="DG30" s="357"/>
      <c r="DH30" s="357"/>
      <c r="DI30" s="357"/>
      <c r="DJ30" s="357"/>
      <c r="DK30" s="357"/>
      <c r="DL30" s="357"/>
      <c r="DM30" s="357"/>
      <c r="DN30" s="357"/>
      <c r="DO30" s="357"/>
      <c r="DP30" s="357"/>
      <c r="DQ30" s="357"/>
      <c r="DR30" s="357"/>
      <c r="DS30" s="357"/>
      <c r="DT30" s="357"/>
      <c r="DU30" s="357"/>
      <c r="DV30" s="357"/>
      <c r="DW30" s="357"/>
      <c r="DX30" s="357"/>
      <c r="DY30" s="357"/>
      <c r="DZ30" s="357"/>
      <c r="EA30" s="357"/>
      <c r="EB30" s="357"/>
      <c r="EC30" s="357"/>
      <c r="ED30" s="357"/>
      <c r="EE30" s="357"/>
      <c r="EF30" s="357"/>
      <c r="EG30" s="357"/>
      <c r="EH30" s="357"/>
      <c r="EI30" s="357"/>
      <c r="EJ30" s="357"/>
      <c r="EK30" s="357"/>
      <c r="EL30" s="357"/>
      <c r="EM30" s="357"/>
      <c r="EN30" s="357"/>
      <c r="EO30" s="357"/>
      <c r="EP30" s="357"/>
      <c r="EQ30" s="357"/>
      <c r="ER30" s="357"/>
      <c r="ES30" s="357"/>
      <c r="ET30" s="357"/>
      <c r="EU30" s="357"/>
      <c r="EV30" s="357"/>
      <c r="EW30" s="357"/>
      <c r="EX30" s="357"/>
      <c r="EY30" s="357"/>
      <c r="EZ30" s="357"/>
      <c r="FA30" s="357"/>
      <c r="FB30" s="357"/>
      <c r="FC30" s="357"/>
      <c r="FD30" s="357"/>
      <c r="FE30" s="357"/>
      <c r="FF30" s="357"/>
      <c r="FG30" s="357"/>
      <c r="FH30" s="357"/>
      <c r="FI30" s="357"/>
      <c r="FJ30" s="357"/>
      <c r="FK30" s="357"/>
      <c r="FL30" s="357"/>
      <c r="FM30" s="357"/>
      <c r="FN30" s="357"/>
      <c r="FO30" s="357"/>
      <c r="FP30" s="357"/>
      <c r="FQ30" s="357"/>
      <c r="FR30" s="357"/>
      <c r="FS30" s="357"/>
      <c r="FT30" s="357"/>
      <c r="FU30" s="357"/>
      <c r="FV30" s="357"/>
      <c r="FW30" s="357"/>
      <c r="FX30" s="357"/>
      <c r="FY30" s="357"/>
      <c r="FZ30" s="357"/>
      <c r="GA30" s="357"/>
      <c r="GB30" s="357"/>
      <c r="GC30" s="357"/>
      <c r="GD30" s="357"/>
      <c r="GE30" s="357"/>
      <c r="GF30" s="357"/>
      <c r="GG30" s="357"/>
      <c r="GH30" s="357"/>
      <c r="GI30" s="357"/>
      <c r="GJ30" s="357"/>
    </row>
    <row r="31" spans="2:192" ht="12.95" customHeight="1">
      <c r="Z31" s="357"/>
      <c r="AA31" s="357"/>
      <c r="AB31" s="357"/>
      <c r="AC31" s="357"/>
      <c r="AD31" s="357"/>
      <c r="AE31" s="357"/>
      <c r="AF31" s="357"/>
      <c r="AG31" s="357"/>
      <c r="AH31" s="357"/>
      <c r="AI31" s="357"/>
      <c r="AJ31" s="357"/>
      <c r="AK31" s="357"/>
      <c r="AL31" s="357"/>
      <c r="AM31" s="357"/>
      <c r="AN31" s="357"/>
      <c r="AO31" s="357"/>
      <c r="AP31" s="357"/>
      <c r="AQ31" s="357"/>
      <c r="AR31" s="357"/>
      <c r="AS31" s="357"/>
      <c r="AT31" s="357"/>
      <c r="AU31" s="357"/>
      <c r="AV31" s="357"/>
      <c r="AW31" s="357"/>
      <c r="AX31" s="357"/>
      <c r="AY31" s="357"/>
      <c r="AZ31" s="357"/>
      <c r="BA31" s="357"/>
      <c r="BB31" s="357"/>
      <c r="BC31" s="357"/>
      <c r="BD31" s="357"/>
      <c r="BE31" s="357"/>
      <c r="BF31" s="357"/>
      <c r="BG31" s="357"/>
      <c r="BH31" s="357"/>
      <c r="BI31" s="357"/>
      <c r="BJ31" s="357"/>
      <c r="BK31" s="357"/>
      <c r="BL31" s="357"/>
      <c r="BM31" s="357"/>
      <c r="BN31" s="357"/>
      <c r="BO31" s="357"/>
      <c r="BP31" s="357"/>
      <c r="BQ31" s="357"/>
      <c r="BR31" s="357"/>
      <c r="BS31" s="357"/>
      <c r="BT31" s="357"/>
      <c r="BU31" s="357"/>
      <c r="BV31" s="357"/>
      <c r="BW31" s="357"/>
      <c r="BX31" s="357"/>
      <c r="BY31" s="357"/>
      <c r="BZ31" s="357"/>
      <c r="CA31" s="357"/>
      <c r="CB31" s="357"/>
      <c r="CC31" s="357"/>
      <c r="CD31" s="357"/>
      <c r="CE31" s="357"/>
      <c r="CF31" s="357"/>
      <c r="CG31" s="357"/>
      <c r="CH31" s="357"/>
      <c r="CI31" s="357"/>
      <c r="CJ31" s="357"/>
      <c r="CK31" s="357"/>
      <c r="CL31" s="357"/>
      <c r="CM31" s="357"/>
      <c r="CN31" s="357"/>
      <c r="CO31" s="357"/>
      <c r="CP31" s="357"/>
      <c r="CQ31" s="357"/>
      <c r="CR31" s="357"/>
      <c r="CS31" s="357"/>
      <c r="CT31" s="357"/>
      <c r="CU31" s="357"/>
      <c r="CV31" s="357"/>
      <c r="CW31" s="357"/>
      <c r="CX31" s="357"/>
      <c r="CY31" s="357"/>
      <c r="CZ31" s="357"/>
      <c r="DA31" s="357"/>
      <c r="DB31" s="357"/>
      <c r="DC31" s="357"/>
      <c r="DD31" s="357"/>
      <c r="DE31" s="357"/>
      <c r="DF31" s="357"/>
      <c r="DG31" s="357"/>
      <c r="DH31" s="357"/>
      <c r="DI31" s="357"/>
      <c r="DJ31" s="357"/>
      <c r="DK31" s="357"/>
      <c r="DL31" s="357"/>
      <c r="DM31" s="357"/>
      <c r="DN31" s="357"/>
      <c r="DO31" s="357"/>
      <c r="DP31" s="357"/>
      <c r="DQ31" s="357"/>
      <c r="DR31" s="357"/>
      <c r="DS31" s="357"/>
      <c r="DT31" s="357"/>
      <c r="DU31" s="357"/>
      <c r="DV31" s="357"/>
      <c r="DW31" s="357"/>
      <c r="DX31" s="357"/>
      <c r="DY31" s="357"/>
      <c r="DZ31" s="357"/>
      <c r="EA31" s="357"/>
      <c r="EB31" s="357"/>
      <c r="EC31" s="357"/>
      <c r="ED31" s="357"/>
      <c r="EE31" s="357"/>
      <c r="EF31" s="357"/>
      <c r="EG31" s="357"/>
      <c r="EH31" s="357"/>
      <c r="EI31" s="357"/>
      <c r="EJ31" s="357"/>
      <c r="EK31" s="357"/>
      <c r="EL31" s="357"/>
      <c r="EM31" s="357"/>
      <c r="EN31" s="357"/>
      <c r="EO31" s="357"/>
      <c r="EP31" s="357"/>
      <c r="EQ31" s="357"/>
      <c r="ER31" s="357"/>
      <c r="ES31" s="357"/>
      <c r="ET31" s="357"/>
      <c r="EU31" s="357"/>
      <c r="EV31" s="357"/>
      <c r="EW31" s="357"/>
      <c r="EX31" s="357"/>
      <c r="EY31" s="357"/>
      <c r="EZ31" s="357"/>
      <c r="FA31" s="357"/>
      <c r="FB31" s="357"/>
      <c r="FC31" s="357"/>
      <c r="FD31" s="357"/>
      <c r="FE31" s="357"/>
      <c r="FF31" s="357"/>
      <c r="FG31" s="357"/>
      <c r="FH31" s="357"/>
      <c r="FI31" s="357"/>
      <c r="FJ31" s="357"/>
      <c r="FK31" s="357"/>
      <c r="FL31" s="357"/>
      <c r="FM31" s="357"/>
      <c r="FN31" s="357"/>
      <c r="FO31" s="357"/>
      <c r="FP31" s="357"/>
      <c r="FQ31" s="357"/>
      <c r="FR31" s="357"/>
      <c r="FS31" s="357"/>
      <c r="FT31" s="357"/>
      <c r="FU31" s="357"/>
      <c r="FV31" s="357"/>
      <c r="FW31" s="357"/>
      <c r="FX31" s="357"/>
      <c r="FY31" s="357"/>
      <c r="FZ31" s="357"/>
      <c r="GA31" s="357"/>
      <c r="GB31" s="357"/>
      <c r="GC31" s="357"/>
      <c r="GD31" s="357"/>
      <c r="GE31" s="357"/>
      <c r="GF31" s="357"/>
      <c r="GG31" s="357"/>
      <c r="GH31" s="357"/>
      <c r="GI31" s="357"/>
      <c r="GJ31" s="357"/>
    </row>
    <row r="32" spans="2:192" ht="12.95" customHeight="1">
      <c r="J32" s="158"/>
      <c r="Z32" s="357"/>
      <c r="AA32" s="357"/>
      <c r="AB32" s="357"/>
      <c r="AC32" s="357"/>
      <c r="AD32" s="357"/>
      <c r="AE32" s="357"/>
      <c r="AF32" s="357"/>
      <c r="AG32" s="357"/>
      <c r="AH32" s="357"/>
      <c r="AI32" s="357"/>
      <c r="AJ32" s="357"/>
      <c r="AK32" s="357"/>
      <c r="AL32" s="357"/>
      <c r="AM32" s="357"/>
      <c r="AN32" s="357"/>
      <c r="AO32" s="357"/>
      <c r="AP32" s="357"/>
      <c r="AQ32" s="357"/>
      <c r="AR32" s="357"/>
      <c r="AS32" s="357"/>
      <c r="AT32" s="357"/>
      <c r="AU32" s="357"/>
      <c r="AV32" s="357"/>
      <c r="AW32" s="357"/>
      <c r="AX32" s="357"/>
      <c r="AY32" s="357"/>
      <c r="AZ32" s="357"/>
      <c r="BA32" s="357"/>
      <c r="BB32" s="357"/>
      <c r="BC32" s="357"/>
      <c r="BD32" s="357"/>
      <c r="BE32" s="357"/>
      <c r="BF32" s="357"/>
      <c r="BG32" s="357"/>
      <c r="BH32" s="357"/>
      <c r="BI32" s="357"/>
      <c r="BJ32" s="357"/>
      <c r="BK32" s="357"/>
      <c r="BL32" s="357"/>
      <c r="BM32" s="357"/>
      <c r="BN32" s="357"/>
      <c r="BO32" s="357"/>
      <c r="BP32" s="357"/>
      <c r="BQ32" s="357"/>
      <c r="BR32" s="357"/>
      <c r="BS32" s="357"/>
      <c r="BT32" s="357"/>
      <c r="BU32" s="357"/>
      <c r="BV32" s="357"/>
      <c r="BW32" s="357"/>
      <c r="BX32" s="357"/>
      <c r="BY32" s="357"/>
      <c r="BZ32" s="357"/>
      <c r="CA32" s="357"/>
      <c r="CB32" s="357"/>
      <c r="CC32" s="357"/>
      <c r="CD32" s="357"/>
      <c r="CE32" s="357"/>
      <c r="CF32" s="357"/>
      <c r="CG32" s="357"/>
      <c r="CH32" s="357"/>
      <c r="CI32" s="357"/>
      <c r="CJ32" s="357"/>
      <c r="CK32" s="357"/>
      <c r="CL32" s="357"/>
      <c r="CM32" s="357"/>
      <c r="CN32" s="357"/>
      <c r="CO32" s="357"/>
      <c r="CP32" s="357"/>
      <c r="CQ32" s="357"/>
      <c r="CR32" s="357"/>
      <c r="CS32" s="357"/>
      <c r="CT32" s="357"/>
      <c r="CU32" s="357"/>
      <c r="CV32" s="357"/>
      <c r="CW32" s="357"/>
      <c r="CX32" s="357"/>
      <c r="CY32" s="357"/>
      <c r="CZ32" s="357"/>
      <c r="DA32" s="357"/>
      <c r="DB32" s="357"/>
      <c r="DC32" s="357"/>
      <c r="DD32" s="357"/>
      <c r="DE32" s="357"/>
      <c r="DF32" s="357"/>
      <c r="DG32" s="357"/>
      <c r="DH32" s="357"/>
      <c r="DI32" s="357"/>
      <c r="DJ32" s="357"/>
      <c r="DK32" s="357"/>
      <c r="DL32" s="357"/>
      <c r="DM32" s="357"/>
      <c r="DN32" s="357"/>
      <c r="DO32" s="357"/>
      <c r="DP32" s="357"/>
      <c r="DQ32" s="357"/>
      <c r="DR32" s="357"/>
      <c r="DS32" s="357"/>
      <c r="DT32" s="357"/>
      <c r="DU32" s="357"/>
      <c r="DV32" s="357"/>
      <c r="DW32" s="357"/>
      <c r="DX32" s="357"/>
      <c r="DY32" s="357"/>
      <c r="DZ32" s="357"/>
      <c r="EA32" s="357"/>
      <c r="EB32" s="357"/>
      <c r="EC32" s="357"/>
      <c r="ED32" s="357"/>
      <c r="EE32" s="357"/>
      <c r="EF32" s="357"/>
      <c r="EG32" s="357"/>
      <c r="EH32" s="357"/>
      <c r="EI32" s="357"/>
      <c r="EJ32" s="357"/>
      <c r="EK32" s="357"/>
      <c r="EL32" s="357"/>
      <c r="EM32" s="357"/>
      <c r="EN32" s="357"/>
      <c r="EO32" s="357"/>
      <c r="EP32" s="357"/>
      <c r="EQ32" s="357"/>
      <c r="ER32" s="357"/>
      <c r="ES32" s="357"/>
      <c r="ET32" s="357"/>
      <c r="EU32" s="357"/>
      <c r="EV32" s="357"/>
      <c r="EW32" s="357"/>
      <c r="EX32" s="357"/>
      <c r="EY32" s="357"/>
      <c r="EZ32" s="357"/>
      <c r="FA32" s="357"/>
      <c r="FB32" s="357"/>
      <c r="FC32" s="357"/>
      <c r="FD32" s="357"/>
      <c r="FE32" s="357"/>
      <c r="FF32" s="357"/>
      <c r="FG32" s="357"/>
      <c r="FH32" s="357"/>
      <c r="FI32" s="357"/>
      <c r="FJ32" s="357"/>
      <c r="FK32" s="357"/>
      <c r="FL32" s="357"/>
      <c r="FM32" s="357"/>
      <c r="FN32" s="357"/>
      <c r="FO32" s="357"/>
      <c r="FP32" s="357"/>
      <c r="FQ32" s="357"/>
      <c r="FR32" s="357"/>
      <c r="FS32" s="357"/>
      <c r="FT32" s="357"/>
      <c r="FU32" s="357"/>
      <c r="FV32" s="357"/>
      <c r="FW32" s="357"/>
      <c r="FX32" s="357"/>
      <c r="FY32" s="357"/>
      <c r="FZ32" s="357"/>
      <c r="GA32" s="357"/>
      <c r="GB32" s="357"/>
      <c r="GC32" s="357"/>
      <c r="GD32" s="357"/>
      <c r="GE32" s="357"/>
      <c r="GF32" s="357"/>
      <c r="GG32" s="357"/>
      <c r="GH32" s="357"/>
      <c r="GI32" s="357"/>
      <c r="GJ32" s="357"/>
    </row>
    <row r="33" spans="3:192" ht="12.95" customHeight="1">
      <c r="Z33" s="357"/>
      <c r="AA33" s="357"/>
      <c r="AB33" s="357"/>
      <c r="AC33" s="357"/>
      <c r="AD33" s="357"/>
      <c r="AE33" s="357"/>
      <c r="AF33" s="357"/>
      <c r="AG33" s="357"/>
      <c r="AH33" s="357"/>
      <c r="AI33" s="357"/>
      <c r="AJ33" s="357"/>
      <c r="AK33" s="357"/>
      <c r="AL33" s="357"/>
      <c r="AM33" s="357"/>
      <c r="AN33" s="357"/>
      <c r="AO33" s="357"/>
      <c r="AP33" s="357"/>
      <c r="AQ33" s="357"/>
      <c r="AR33" s="357"/>
      <c r="AS33" s="357"/>
      <c r="AT33" s="357"/>
      <c r="AU33" s="357"/>
      <c r="AV33" s="357"/>
      <c r="AW33" s="357"/>
      <c r="AX33" s="357"/>
      <c r="AY33" s="357"/>
      <c r="AZ33" s="357"/>
      <c r="BA33" s="357"/>
      <c r="BB33" s="357"/>
      <c r="BC33" s="357"/>
      <c r="BD33" s="357"/>
      <c r="BE33" s="357"/>
      <c r="BF33" s="357"/>
      <c r="BG33" s="357"/>
      <c r="BH33" s="357"/>
      <c r="BI33" s="357"/>
      <c r="BJ33" s="357"/>
      <c r="BK33" s="357"/>
      <c r="BL33" s="357"/>
      <c r="BM33" s="357"/>
      <c r="BN33" s="357"/>
      <c r="BO33" s="357"/>
      <c r="BP33" s="357"/>
      <c r="BQ33" s="357"/>
      <c r="BR33" s="357"/>
      <c r="BS33" s="357"/>
      <c r="BT33" s="357"/>
      <c r="BU33" s="357"/>
      <c r="BV33" s="357"/>
      <c r="BW33" s="357"/>
      <c r="BX33" s="357"/>
      <c r="BY33" s="357"/>
      <c r="BZ33" s="357"/>
      <c r="CA33" s="357"/>
      <c r="CB33" s="357"/>
      <c r="CC33" s="357"/>
      <c r="CD33" s="357"/>
      <c r="CE33" s="357"/>
      <c r="CF33" s="357"/>
      <c r="CG33" s="357"/>
      <c r="CH33" s="357"/>
      <c r="CI33" s="357"/>
      <c r="CJ33" s="357"/>
      <c r="CK33" s="357"/>
      <c r="CL33" s="357"/>
      <c r="CM33" s="357"/>
      <c r="CN33" s="357"/>
      <c r="CO33" s="357"/>
      <c r="CP33" s="357"/>
      <c r="CQ33" s="357"/>
      <c r="CR33" s="357"/>
      <c r="CS33" s="357"/>
      <c r="CT33" s="357"/>
      <c r="CU33" s="357"/>
      <c r="CV33" s="357"/>
      <c r="CW33" s="357"/>
      <c r="CX33" s="357"/>
      <c r="CY33" s="357"/>
      <c r="CZ33" s="357"/>
      <c r="DA33" s="357"/>
      <c r="DB33" s="357"/>
      <c r="DC33" s="357"/>
      <c r="DD33" s="357"/>
      <c r="DE33" s="357"/>
      <c r="DF33" s="357"/>
      <c r="DG33" s="357"/>
      <c r="DH33" s="357"/>
      <c r="DI33" s="357"/>
      <c r="DJ33" s="357"/>
      <c r="DK33" s="357"/>
      <c r="DL33" s="357"/>
      <c r="DM33" s="357"/>
      <c r="DN33" s="357"/>
      <c r="DO33" s="357"/>
      <c r="DP33" s="357"/>
      <c r="DQ33" s="357"/>
      <c r="DR33" s="357"/>
      <c r="DS33" s="357"/>
      <c r="DT33" s="357"/>
      <c r="DU33" s="357"/>
      <c r="DV33" s="357"/>
      <c r="DW33" s="357"/>
      <c r="DX33" s="357"/>
      <c r="DY33" s="357"/>
      <c r="DZ33" s="357"/>
      <c r="EA33" s="357"/>
      <c r="EB33" s="357"/>
      <c r="EC33" s="357"/>
      <c r="ED33" s="357"/>
      <c r="EE33" s="357"/>
      <c r="EF33" s="357"/>
      <c r="EG33" s="357"/>
      <c r="EH33" s="357"/>
      <c r="EI33" s="357"/>
      <c r="EJ33" s="357"/>
      <c r="EK33" s="357"/>
      <c r="EL33" s="357"/>
      <c r="EM33" s="357"/>
      <c r="EN33" s="357"/>
      <c r="EO33" s="357"/>
      <c r="EP33" s="357"/>
      <c r="EQ33" s="357"/>
      <c r="ER33" s="357"/>
      <c r="ES33" s="357"/>
      <c r="ET33" s="357"/>
      <c r="EU33" s="357"/>
      <c r="EV33" s="357"/>
      <c r="EW33" s="357"/>
      <c r="EX33" s="357"/>
      <c r="EY33" s="357"/>
      <c r="EZ33" s="357"/>
      <c r="FA33" s="357"/>
      <c r="FB33" s="357"/>
      <c r="FC33" s="357"/>
      <c r="FD33" s="357"/>
      <c r="FE33" s="357"/>
      <c r="FF33" s="357"/>
      <c r="FG33" s="357"/>
      <c r="FH33" s="357"/>
      <c r="FI33" s="357"/>
      <c r="FJ33" s="357"/>
      <c r="FK33" s="357"/>
      <c r="FL33" s="357"/>
      <c r="FM33" s="357"/>
      <c r="FN33" s="357"/>
      <c r="FO33" s="357"/>
      <c r="FP33" s="357"/>
      <c r="FQ33" s="357"/>
      <c r="FR33" s="357"/>
      <c r="FS33" s="357"/>
      <c r="FT33" s="357"/>
      <c r="FU33" s="357"/>
      <c r="FV33" s="357"/>
      <c r="FW33" s="357"/>
      <c r="FX33" s="357"/>
      <c r="FY33" s="357"/>
      <c r="FZ33" s="357"/>
      <c r="GA33" s="357"/>
      <c r="GB33" s="357"/>
      <c r="GC33" s="357"/>
      <c r="GD33" s="357"/>
      <c r="GE33" s="357"/>
      <c r="GF33" s="357"/>
      <c r="GG33" s="357"/>
      <c r="GH33" s="357"/>
      <c r="GI33" s="357"/>
      <c r="GJ33" s="357"/>
    </row>
    <row r="34" spans="3:192" ht="12.95" customHeight="1">
      <c r="K34" s="165"/>
      <c r="L34" s="166"/>
      <c r="M34" s="167"/>
      <c r="N34" s="167"/>
      <c r="Z34" s="357"/>
      <c r="AA34" s="357"/>
      <c r="AB34" s="357"/>
      <c r="AC34" s="357"/>
      <c r="AD34" s="357"/>
      <c r="AE34" s="357"/>
      <c r="AF34" s="357"/>
      <c r="AG34" s="357"/>
      <c r="AH34" s="357"/>
      <c r="AI34" s="357"/>
      <c r="AJ34" s="357"/>
      <c r="AK34" s="357"/>
      <c r="AL34" s="357"/>
      <c r="AM34" s="357"/>
      <c r="AN34" s="357"/>
      <c r="AO34" s="357"/>
      <c r="AP34" s="357"/>
      <c r="AQ34" s="357"/>
      <c r="AR34" s="357"/>
      <c r="AS34" s="357"/>
      <c r="AT34" s="357"/>
      <c r="AU34" s="357"/>
      <c r="AV34" s="357"/>
      <c r="AW34" s="357"/>
      <c r="AX34" s="357"/>
      <c r="AY34" s="357"/>
      <c r="AZ34" s="357"/>
      <c r="BA34" s="357"/>
      <c r="BB34" s="357"/>
      <c r="BC34" s="357"/>
      <c r="BD34" s="357"/>
      <c r="BE34" s="357"/>
      <c r="BF34" s="357"/>
      <c r="BG34" s="357"/>
      <c r="BH34" s="357"/>
      <c r="BI34" s="357"/>
      <c r="BJ34" s="357"/>
      <c r="BK34" s="357"/>
      <c r="BL34" s="357"/>
      <c r="BM34" s="357"/>
      <c r="BN34" s="357"/>
      <c r="BO34" s="357"/>
      <c r="BP34" s="357"/>
      <c r="BQ34" s="357"/>
      <c r="BR34" s="357"/>
      <c r="BS34" s="357"/>
      <c r="BT34" s="357"/>
      <c r="BU34" s="357"/>
      <c r="BV34" s="357"/>
      <c r="BW34" s="357"/>
      <c r="BX34" s="357"/>
      <c r="BY34" s="357"/>
      <c r="BZ34" s="357"/>
      <c r="CA34" s="357"/>
      <c r="CB34" s="357"/>
      <c r="CC34" s="357"/>
      <c r="CD34" s="357"/>
      <c r="CE34" s="357"/>
      <c r="CF34" s="357"/>
      <c r="CG34" s="357"/>
      <c r="CH34" s="357"/>
      <c r="CI34" s="357"/>
      <c r="CJ34" s="357"/>
      <c r="CK34" s="357"/>
      <c r="CL34" s="357"/>
      <c r="CM34" s="357"/>
      <c r="CN34" s="357"/>
      <c r="CO34" s="357"/>
      <c r="CP34" s="357"/>
      <c r="CQ34" s="357"/>
      <c r="CR34" s="357"/>
      <c r="CS34" s="357"/>
      <c r="CT34" s="357"/>
      <c r="CU34" s="357"/>
      <c r="CV34" s="357"/>
      <c r="CW34" s="357"/>
      <c r="CX34" s="357"/>
      <c r="CY34" s="357"/>
      <c r="CZ34" s="357"/>
      <c r="DA34" s="357"/>
      <c r="DB34" s="357"/>
      <c r="DC34" s="357"/>
      <c r="DD34" s="357"/>
      <c r="DE34" s="357"/>
      <c r="DF34" s="357"/>
      <c r="DG34" s="357"/>
      <c r="DH34" s="357"/>
      <c r="DI34" s="357"/>
      <c r="DJ34" s="357"/>
      <c r="DK34" s="357"/>
      <c r="DL34" s="357"/>
      <c r="DM34" s="357"/>
      <c r="DN34" s="357"/>
      <c r="DO34" s="357"/>
      <c r="DP34" s="357"/>
      <c r="DQ34" s="357"/>
      <c r="DR34" s="357"/>
      <c r="DS34" s="357"/>
      <c r="DT34" s="357"/>
      <c r="DU34" s="357"/>
      <c r="DV34" s="357"/>
      <c r="DW34" s="357"/>
      <c r="DX34" s="357"/>
      <c r="DY34" s="357"/>
      <c r="DZ34" s="357"/>
      <c r="EA34" s="357"/>
      <c r="EB34" s="357"/>
      <c r="EC34" s="357"/>
      <c r="ED34" s="357"/>
      <c r="EE34" s="357"/>
      <c r="EF34" s="357"/>
      <c r="EG34" s="357"/>
      <c r="EH34" s="357"/>
      <c r="EI34" s="357"/>
      <c r="EJ34" s="357"/>
      <c r="EK34" s="357"/>
      <c r="EL34" s="357"/>
      <c r="EM34" s="357"/>
      <c r="EN34" s="357"/>
      <c r="EO34" s="357"/>
      <c r="EP34" s="357"/>
      <c r="EQ34" s="357"/>
      <c r="ER34" s="357"/>
      <c r="ES34" s="357"/>
      <c r="ET34" s="357"/>
      <c r="EU34" s="357"/>
      <c r="EV34" s="357"/>
      <c r="EW34" s="357"/>
      <c r="EX34" s="357"/>
      <c r="EY34" s="357"/>
      <c r="EZ34" s="357"/>
      <c r="FA34" s="357"/>
      <c r="FB34" s="357"/>
      <c r="FC34" s="357"/>
      <c r="FD34" s="357"/>
      <c r="FE34" s="357"/>
      <c r="FF34" s="357"/>
      <c r="FG34" s="357"/>
      <c r="FH34" s="357"/>
      <c r="FI34" s="357"/>
      <c r="FJ34" s="357"/>
      <c r="FK34" s="357"/>
      <c r="FL34" s="357"/>
      <c r="FM34" s="357"/>
      <c r="FN34" s="357"/>
      <c r="FO34" s="357"/>
      <c r="FP34" s="357"/>
      <c r="FQ34" s="357"/>
      <c r="FR34" s="357"/>
      <c r="FS34" s="357"/>
      <c r="FT34" s="357"/>
      <c r="FU34" s="357"/>
      <c r="FV34" s="357"/>
      <c r="FW34" s="357"/>
      <c r="FX34" s="357"/>
      <c r="FY34" s="357"/>
      <c r="FZ34" s="357"/>
      <c r="GA34" s="357"/>
      <c r="GB34" s="357"/>
      <c r="GC34" s="357"/>
      <c r="GD34" s="357"/>
      <c r="GE34" s="357"/>
      <c r="GF34" s="357"/>
      <c r="GG34" s="357"/>
      <c r="GH34" s="357"/>
      <c r="GI34" s="357"/>
      <c r="GJ34" s="357"/>
    </row>
    <row r="35" spans="3:192" ht="12.95" customHeight="1">
      <c r="Z35" s="357"/>
      <c r="AA35" s="357"/>
      <c r="AB35" s="357"/>
      <c r="AC35" s="357"/>
      <c r="AD35" s="357"/>
      <c r="AE35" s="357"/>
      <c r="AF35" s="357"/>
      <c r="AG35" s="357"/>
      <c r="AH35" s="357"/>
      <c r="AI35" s="357"/>
      <c r="AJ35" s="357"/>
      <c r="AK35" s="357"/>
      <c r="AL35" s="357"/>
      <c r="AM35" s="357"/>
      <c r="AN35" s="357"/>
      <c r="AO35" s="357"/>
      <c r="AP35" s="357"/>
      <c r="AQ35" s="357"/>
      <c r="AR35" s="357"/>
      <c r="AS35" s="357"/>
      <c r="AT35" s="357"/>
      <c r="AU35" s="357"/>
      <c r="AV35" s="357"/>
      <c r="AW35" s="357"/>
      <c r="AX35" s="357"/>
      <c r="AY35" s="357"/>
      <c r="AZ35" s="357"/>
      <c r="BA35" s="357"/>
      <c r="BB35" s="357"/>
      <c r="BC35" s="357"/>
      <c r="BD35" s="357"/>
      <c r="BE35" s="357"/>
      <c r="BF35" s="357"/>
      <c r="BG35" s="357"/>
      <c r="BH35" s="357"/>
      <c r="BI35" s="357"/>
      <c r="BJ35" s="357"/>
      <c r="BK35" s="357"/>
      <c r="BL35" s="357"/>
      <c r="BM35" s="357"/>
      <c r="BN35" s="357"/>
      <c r="BO35" s="357"/>
      <c r="BP35" s="357"/>
      <c r="BQ35" s="357"/>
      <c r="BR35" s="357"/>
      <c r="BS35" s="357"/>
      <c r="BT35" s="357"/>
      <c r="BU35" s="357"/>
      <c r="BV35" s="357"/>
      <c r="BW35" s="357"/>
      <c r="BX35" s="357"/>
      <c r="BY35" s="357"/>
      <c r="BZ35" s="357"/>
      <c r="CA35" s="357"/>
      <c r="CB35" s="357"/>
      <c r="CC35" s="357"/>
      <c r="CD35" s="357"/>
      <c r="CE35" s="357"/>
      <c r="CF35" s="357"/>
      <c r="CG35" s="357"/>
      <c r="CH35" s="357"/>
      <c r="CI35" s="357"/>
      <c r="CJ35" s="357"/>
      <c r="CK35" s="357"/>
      <c r="CL35" s="357"/>
      <c r="CM35" s="357"/>
      <c r="CN35" s="357"/>
      <c r="CO35" s="357"/>
      <c r="CP35" s="357"/>
      <c r="CQ35" s="357"/>
      <c r="CR35" s="357"/>
      <c r="CS35" s="357"/>
      <c r="CT35" s="357"/>
      <c r="CU35" s="357"/>
      <c r="CV35" s="357"/>
      <c r="CW35" s="357"/>
      <c r="CX35" s="357"/>
      <c r="CY35" s="357"/>
      <c r="CZ35" s="357"/>
      <c r="DA35" s="357"/>
      <c r="DB35" s="357"/>
      <c r="DC35" s="357"/>
      <c r="DD35" s="357"/>
      <c r="DE35" s="357"/>
      <c r="DF35" s="357"/>
      <c r="DG35" s="357"/>
      <c r="DH35" s="357"/>
      <c r="DI35" s="357"/>
      <c r="DJ35" s="357"/>
      <c r="DK35" s="357"/>
      <c r="DL35" s="357"/>
      <c r="DM35" s="357"/>
      <c r="DN35" s="357"/>
      <c r="DO35" s="357"/>
      <c r="DP35" s="357"/>
      <c r="DQ35" s="357"/>
      <c r="DR35" s="357"/>
      <c r="DS35" s="357"/>
      <c r="DT35" s="357"/>
      <c r="DU35" s="357"/>
      <c r="DV35" s="357"/>
      <c r="DW35" s="357"/>
      <c r="DX35" s="357"/>
      <c r="DY35" s="357"/>
      <c r="DZ35" s="357"/>
      <c r="EA35" s="357"/>
      <c r="EB35" s="357"/>
      <c r="EC35" s="357"/>
      <c r="ED35" s="357"/>
      <c r="EE35" s="357"/>
      <c r="EF35" s="357"/>
      <c r="EG35" s="357"/>
      <c r="EH35" s="357"/>
      <c r="EI35" s="357"/>
      <c r="EJ35" s="357"/>
      <c r="EK35" s="357"/>
      <c r="EL35" s="357"/>
      <c r="EM35" s="357"/>
      <c r="EN35" s="357"/>
      <c r="EO35" s="357"/>
      <c r="EP35" s="357"/>
      <c r="EQ35" s="357"/>
      <c r="ER35" s="357"/>
      <c r="ES35" s="357"/>
      <c r="ET35" s="357"/>
      <c r="EU35" s="357"/>
      <c r="EV35" s="357"/>
      <c r="EW35" s="357"/>
      <c r="EX35" s="357"/>
      <c r="EY35" s="357"/>
      <c r="EZ35" s="357"/>
      <c r="FA35" s="357"/>
      <c r="FB35" s="357"/>
      <c r="FC35" s="357"/>
      <c r="FD35" s="357"/>
      <c r="FE35" s="357"/>
      <c r="FF35" s="357"/>
      <c r="FG35" s="357"/>
      <c r="FH35" s="357"/>
      <c r="FI35" s="357"/>
      <c r="FJ35" s="357"/>
      <c r="FK35" s="357"/>
      <c r="FL35" s="357"/>
      <c r="FM35" s="357"/>
      <c r="FN35" s="357"/>
      <c r="FO35" s="357"/>
      <c r="FP35" s="357"/>
      <c r="FQ35" s="357"/>
      <c r="FR35" s="357"/>
      <c r="FS35" s="357"/>
      <c r="FT35" s="357"/>
      <c r="FU35" s="357"/>
      <c r="FV35" s="357"/>
      <c r="FW35" s="357"/>
      <c r="FX35" s="357"/>
      <c r="FY35" s="357"/>
      <c r="FZ35" s="357"/>
      <c r="GA35" s="357"/>
      <c r="GB35" s="357"/>
      <c r="GC35" s="357"/>
      <c r="GD35" s="357"/>
      <c r="GE35" s="357"/>
      <c r="GF35" s="357"/>
      <c r="GG35" s="357"/>
      <c r="GH35" s="357"/>
      <c r="GI35" s="357"/>
      <c r="GJ35" s="357"/>
    </row>
    <row r="36" spans="3:192" ht="12.95" customHeight="1">
      <c r="C36" s="149"/>
      <c r="Z36" s="357"/>
      <c r="AA36" s="357"/>
      <c r="AB36" s="357"/>
      <c r="AC36" s="357"/>
      <c r="AD36" s="357"/>
      <c r="AE36" s="357"/>
      <c r="AF36" s="357"/>
      <c r="AG36" s="357"/>
      <c r="AH36" s="357"/>
      <c r="AI36" s="357"/>
      <c r="AJ36" s="357"/>
      <c r="AK36" s="357"/>
      <c r="AL36" s="357"/>
      <c r="AM36" s="357"/>
      <c r="AN36" s="357"/>
      <c r="AO36" s="357"/>
      <c r="AP36" s="357"/>
      <c r="AQ36" s="357"/>
      <c r="AR36" s="357"/>
      <c r="AS36" s="357"/>
      <c r="AT36" s="357"/>
      <c r="AU36" s="357"/>
      <c r="AV36" s="357"/>
      <c r="AW36" s="357"/>
      <c r="AX36" s="357"/>
      <c r="AY36" s="357"/>
      <c r="AZ36" s="357"/>
      <c r="BA36" s="357"/>
      <c r="BB36" s="357"/>
      <c r="BC36" s="357"/>
      <c r="BD36" s="357"/>
      <c r="BE36" s="357"/>
      <c r="BF36" s="357"/>
      <c r="BG36" s="357"/>
      <c r="BH36" s="357"/>
      <c r="BI36" s="357"/>
      <c r="BJ36" s="357"/>
      <c r="BK36" s="357"/>
      <c r="BL36" s="357"/>
      <c r="BM36" s="357"/>
      <c r="BN36" s="357"/>
      <c r="BO36" s="357"/>
      <c r="BP36" s="357"/>
      <c r="BQ36" s="357"/>
      <c r="BR36" s="357"/>
      <c r="BS36" s="357"/>
      <c r="BT36" s="357"/>
      <c r="BU36" s="357"/>
      <c r="BV36" s="357"/>
      <c r="BW36" s="357"/>
      <c r="BX36" s="357"/>
      <c r="BY36" s="357"/>
      <c r="BZ36" s="357"/>
      <c r="CA36" s="357"/>
      <c r="CB36" s="357"/>
      <c r="CC36" s="357"/>
      <c r="CD36" s="357"/>
      <c r="CE36" s="357"/>
      <c r="CF36" s="357"/>
      <c r="CG36" s="357"/>
      <c r="CH36" s="357"/>
      <c r="CI36" s="357"/>
      <c r="CJ36" s="357"/>
      <c r="CK36" s="357"/>
      <c r="CL36" s="357"/>
      <c r="CM36" s="357"/>
      <c r="CN36" s="357"/>
      <c r="CO36" s="357"/>
      <c r="CP36" s="357"/>
      <c r="CQ36" s="357"/>
      <c r="CR36" s="357"/>
      <c r="CS36" s="357"/>
      <c r="CT36" s="357"/>
      <c r="CU36" s="357"/>
      <c r="CV36" s="357"/>
      <c r="CW36" s="357"/>
      <c r="CX36" s="357"/>
      <c r="CY36" s="357"/>
      <c r="CZ36" s="357"/>
      <c r="DA36" s="357"/>
      <c r="DB36" s="357"/>
      <c r="DC36" s="357"/>
      <c r="DD36" s="357"/>
      <c r="DE36" s="357"/>
      <c r="DF36" s="357"/>
      <c r="DG36" s="357"/>
      <c r="DH36" s="357"/>
      <c r="DI36" s="357"/>
      <c r="DJ36" s="357"/>
      <c r="DK36" s="357"/>
      <c r="DL36" s="357"/>
      <c r="DM36" s="357"/>
      <c r="DN36" s="357"/>
      <c r="DO36" s="357"/>
      <c r="DP36" s="357"/>
      <c r="DQ36" s="357"/>
      <c r="DR36" s="357"/>
      <c r="DS36" s="357"/>
      <c r="DT36" s="357"/>
      <c r="DU36" s="357"/>
      <c r="DV36" s="357"/>
      <c r="DW36" s="357"/>
      <c r="DX36" s="357"/>
      <c r="DY36" s="357"/>
      <c r="DZ36" s="357"/>
      <c r="EA36" s="357"/>
      <c r="EB36" s="357"/>
      <c r="EC36" s="357"/>
      <c r="ED36" s="357"/>
      <c r="EE36" s="357"/>
      <c r="EF36" s="357"/>
      <c r="EG36" s="357"/>
      <c r="EH36" s="357"/>
      <c r="EI36" s="357"/>
      <c r="EJ36" s="357"/>
      <c r="EK36" s="357"/>
      <c r="EL36" s="357"/>
      <c r="EM36" s="357"/>
      <c r="EN36" s="357"/>
      <c r="EO36" s="357"/>
      <c r="EP36" s="357"/>
      <c r="EQ36" s="357"/>
      <c r="ER36" s="357"/>
      <c r="ES36" s="357"/>
      <c r="ET36" s="357"/>
      <c r="EU36" s="357"/>
      <c r="EV36" s="357"/>
      <c r="EW36" s="357"/>
      <c r="EX36" s="357"/>
      <c r="EY36" s="357"/>
      <c r="EZ36" s="357"/>
      <c r="FA36" s="357"/>
      <c r="FB36" s="357"/>
      <c r="FC36" s="357"/>
      <c r="FD36" s="357"/>
      <c r="FE36" s="357"/>
      <c r="FF36" s="357"/>
      <c r="FG36" s="357"/>
      <c r="FH36" s="357"/>
      <c r="FI36" s="357"/>
      <c r="FJ36" s="357"/>
      <c r="FK36" s="357"/>
      <c r="FL36" s="357"/>
      <c r="FM36" s="357"/>
      <c r="FN36" s="357"/>
      <c r="FO36" s="357"/>
      <c r="FP36" s="357"/>
      <c r="FQ36" s="357"/>
      <c r="FR36" s="357"/>
      <c r="FS36" s="357"/>
      <c r="FT36" s="357"/>
      <c r="FU36" s="357"/>
      <c r="FV36" s="357"/>
      <c r="FW36" s="357"/>
      <c r="FX36" s="357"/>
      <c r="FY36" s="357"/>
      <c r="FZ36" s="357"/>
      <c r="GA36" s="357"/>
      <c r="GB36" s="357"/>
      <c r="GC36" s="357"/>
      <c r="GD36" s="357"/>
      <c r="GE36" s="357"/>
      <c r="GF36" s="357"/>
      <c r="GG36" s="357"/>
      <c r="GH36" s="357"/>
      <c r="GI36" s="357"/>
      <c r="GJ36" s="357"/>
    </row>
    <row r="37" spans="3:192" ht="12.95" customHeight="1">
      <c r="C37" s="149"/>
      <c r="Z37" s="357"/>
      <c r="AA37" s="357"/>
      <c r="AB37" s="357"/>
      <c r="AC37" s="357"/>
      <c r="AD37" s="357"/>
      <c r="AE37" s="357"/>
      <c r="AF37" s="357"/>
      <c r="AG37" s="357"/>
      <c r="AH37" s="357"/>
      <c r="AI37" s="357"/>
      <c r="AJ37" s="357"/>
      <c r="AK37" s="357"/>
      <c r="AL37" s="357"/>
      <c r="AM37" s="357"/>
      <c r="AN37" s="357"/>
      <c r="AO37" s="357"/>
      <c r="AP37" s="357"/>
      <c r="AQ37" s="357"/>
      <c r="AR37" s="357"/>
      <c r="AS37" s="357"/>
      <c r="AT37" s="357"/>
      <c r="AU37" s="357"/>
      <c r="AV37" s="357"/>
      <c r="AW37" s="357"/>
      <c r="AX37" s="357"/>
      <c r="AY37" s="357"/>
      <c r="AZ37" s="357"/>
      <c r="BA37" s="357"/>
      <c r="BB37" s="357"/>
      <c r="BC37" s="357"/>
      <c r="BD37" s="357"/>
      <c r="BE37" s="357"/>
      <c r="BF37" s="357"/>
      <c r="BG37" s="357"/>
      <c r="BH37" s="357"/>
      <c r="BI37" s="357"/>
      <c r="BJ37" s="357"/>
      <c r="BK37" s="357"/>
      <c r="BL37" s="357"/>
      <c r="BM37" s="357"/>
      <c r="BN37" s="357"/>
      <c r="BO37" s="357"/>
      <c r="BP37" s="357"/>
      <c r="BQ37" s="357"/>
      <c r="BR37" s="357"/>
      <c r="BS37" s="357"/>
      <c r="BT37" s="357"/>
      <c r="BU37" s="357"/>
      <c r="BV37" s="357"/>
      <c r="BW37" s="357"/>
      <c r="BX37" s="357"/>
      <c r="BY37" s="357"/>
      <c r="BZ37" s="357"/>
      <c r="CA37" s="357"/>
      <c r="CB37" s="357"/>
      <c r="CC37" s="357"/>
      <c r="CD37" s="357"/>
      <c r="CE37" s="357"/>
      <c r="CF37" s="357"/>
      <c r="CG37" s="357"/>
      <c r="CH37" s="357"/>
      <c r="CI37" s="357"/>
      <c r="CJ37" s="357"/>
      <c r="CK37" s="357"/>
      <c r="CL37" s="357"/>
      <c r="CM37" s="357"/>
      <c r="CN37" s="357"/>
      <c r="CO37" s="357"/>
      <c r="CP37" s="357"/>
      <c r="CQ37" s="357"/>
      <c r="CR37" s="357"/>
      <c r="CS37" s="357"/>
      <c r="CT37" s="357"/>
      <c r="CU37" s="357"/>
      <c r="CV37" s="357"/>
      <c r="CW37" s="357"/>
      <c r="CX37" s="357"/>
      <c r="CY37" s="357"/>
      <c r="CZ37" s="357"/>
      <c r="DA37" s="357"/>
      <c r="DB37" s="357"/>
      <c r="DC37" s="357"/>
      <c r="DD37" s="357"/>
      <c r="DE37" s="357"/>
      <c r="DF37" s="357"/>
      <c r="DG37" s="357"/>
      <c r="DH37" s="357"/>
      <c r="DI37" s="357"/>
      <c r="DJ37" s="357"/>
      <c r="DK37" s="357"/>
      <c r="DL37" s="357"/>
      <c r="DM37" s="357"/>
      <c r="DN37" s="357"/>
      <c r="DO37" s="357"/>
      <c r="DP37" s="357"/>
      <c r="DQ37" s="357"/>
      <c r="DR37" s="357"/>
      <c r="DS37" s="357"/>
      <c r="DT37" s="357"/>
      <c r="DU37" s="357"/>
      <c r="DV37" s="357"/>
      <c r="DW37" s="357"/>
      <c r="DX37" s="357"/>
      <c r="DY37" s="357"/>
      <c r="DZ37" s="357"/>
      <c r="EA37" s="357"/>
      <c r="EB37" s="357"/>
      <c r="EC37" s="357"/>
      <c r="ED37" s="357"/>
      <c r="EE37" s="357"/>
      <c r="EF37" s="357"/>
      <c r="EG37" s="357"/>
      <c r="EH37" s="357"/>
      <c r="EI37" s="357"/>
      <c r="EJ37" s="357"/>
      <c r="EK37" s="357"/>
      <c r="EL37" s="357"/>
      <c r="EM37" s="357"/>
      <c r="EN37" s="357"/>
      <c r="EO37" s="357"/>
      <c r="EP37" s="357"/>
      <c r="EQ37" s="357"/>
      <c r="ER37" s="357"/>
      <c r="ES37" s="357"/>
      <c r="ET37" s="357"/>
      <c r="EU37" s="357"/>
      <c r="EV37" s="357"/>
      <c r="EW37" s="357"/>
      <c r="EX37" s="357"/>
      <c r="EY37" s="357"/>
      <c r="EZ37" s="357"/>
      <c r="FA37" s="357"/>
      <c r="FB37" s="357"/>
      <c r="FC37" s="357"/>
      <c r="FD37" s="357"/>
      <c r="FE37" s="357"/>
      <c r="FF37" s="357"/>
      <c r="FG37" s="357"/>
      <c r="FH37" s="357"/>
      <c r="FI37" s="357"/>
      <c r="FJ37" s="357"/>
      <c r="FK37" s="357"/>
      <c r="FL37" s="357"/>
      <c r="FM37" s="357"/>
      <c r="FN37" s="357"/>
      <c r="FO37" s="357"/>
      <c r="FP37" s="357"/>
      <c r="FQ37" s="357"/>
      <c r="FR37" s="357"/>
      <c r="FS37" s="357"/>
      <c r="FT37" s="357"/>
      <c r="FU37" s="357"/>
      <c r="FV37" s="357"/>
      <c r="FW37" s="357"/>
      <c r="FX37" s="357"/>
      <c r="FY37" s="357"/>
      <c r="FZ37" s="357"/>
      <c r="GA37" s="357"/>
      <c r="GB37" s="357"/>
      <c r="GC37" s="357"/>
      <c r="GD37" s="357"/>
      <c r="GE37" s="357"/>
      <c r="GF37" s="357"/>
      <c r="GG37" s="357"/>
      <c r="GH37" s="357"/>
      <c r="GI37" s="357"/>
      <c r="GJ37" s="357"/>
    </row>
    <row r="38" spans="3:192" ht="12.95" customHeight="1">
      <c r="C38" s="159"/>
      <c r="Z38" s="357"/>
      <c r="AA38" s="357"/>
      <c r="AB38" s="357"/>
      <c r="AC38" s="357"/>
      <c r="AD38" s="357"/>
      <c r="AE38" s="357"/>
      <c r="AF38" s="357"/>
      <c r="AG38" s="357"/>
      <c r="AH38" s="357"/>
      <c r="AI38" s="357"/>
      <c r="AJ38" s="357"/>
      <c r="AK38" s="357"/>
      <c r="AL38" s="357"/>
      <c r="AM38" s="357"/>
      <c r="AN38" s="357"/>
      <c r="AO38" s="357"/>
      <c r="AP38" s="357"/>
      <c r="AQ38" s="357"/>
      <c r="AR38" s="357"/>
      <c r="AS38" s="357"/>
      <c r="AT38" s="357"/>
      <c r="AU38" s="357"/>
      <c r="AV38" s="357"/>
      <c r="AW38" s="357"/>
      <c r="AX38" s="357"/>
      <c r="AY38" s="357"/>
      <c r="AZ38" s="357"/>
      <c r="BA38" s="357"/>
      <c r="BB38" s="357"/>
      <c r="BC38" s="357"/>
      <c r="BD38" s="357"/>
      <c r="BE38" s="357"/>
      <c r="BF38" s="357"/>
      <c r="BG38" s="357"/>
      <c r="BH38" s="357"/>
      <c r="BI38" s="357"/>
      <c r="BJ38" s="357"/>
      <c r="BK38" s="357"/>
      <c r="BL38" s="357"/>
      <c r="BM38" s="357"/>
      <c r="BN38" s="357"/>
      <c r="BO38" s="357"/>
      <c r="BP38" s="357"/>
      <c r="BQ38" s="357"/>
      <c r="BR38" s="357"/>
      <c r="BS38" s="357"/>
      <c r="BT38" s="357"/>
      <c r="BU38" s="357"/>
      <c r="BV38" s="357"/>
      <c r="BW38" s="357"/>
      <c r="BX38" s="357"/>
      <c r="BY38" s="357"/>
      <c r="BZ38" s="357"/>
      <c r="CA38" s="357"/>
      <c r="CB38" s="357"/>
      <c r="CC38" s="357"/>
      <c r="CD38" s="357"/>
      <c r="CE38" s="357"/>
      <c r="CF38" s="357"/>
      <c r="CG38" s="357"/>
      <c r="CH38" s="357"/>
      <c r="CI38" s="357"/>
      <c r="CJ38" s="357"/>
      <c r="CK38" s="357"/>
      <c r="CL38" s="357"/>
      <c r="CM38" s="357"/>
      <c r="CN38" s="357"/>
      <c r="CO38" s="357"/>
      <c r="CP38" s="357"/>
      <c r="CQ38" s="357"/>
      <c r="CR38" s="357"/>
      <c r="CS38" s="357"/>
      <c r="CT38" s="357"/>
      <c r="CU38" s="357"/>
      <c r="CV38" s="357"/>
      <c r="CW38" s="357"/>
      <c r="CX38" s="357"/>
      <c r="CY38" s="357"/>
      <c r="CZ38" s="357"/>
      <c r="DA38" s="357"/>
      <c r="DB38" s="357"/>
      <c r="DC38" s="357"/>
      <c r="DD38" s="357"/>
      <c r="DE38" s="357"/>
      <c r="DF38" s="357"/>
      <c r="DG38" s="357"/>
      <c r="DH38" s="357"/>
      <c r="DI38" s="357"/>
      <c r="DJ38" s="357"/>
      <c r="DK38" s="357"/>
      <c r="DL38" s="357"/>
      <c r="DM38" s="357"/>
      <c r="DN38" s="357"/>
      <c r="DO38" s="357"/>
      <c r="DP38" s="357"/>
      <c r="DQ38" s="357"/>
      <c r="DR38" s="357"/>
      <c r="DS38" s="357"/>
      <c r="DT38" s="357"/>
      <c r="DU38" s="357"/>
      <c r="DV38" s="357"/>
      <c r="DW38" s="357"/>
      <c r="DX38" s="357"/>
      <c r="DY38" s="357"/>
      <c r="DZ38" s="357"/>
      <c r="EA38" s="357"/>
      <c r="EB38" s="357"/>
      <c r="EC38" s="357"/>
      <c r="ED38" s="357"/>
      <c r="EE38" s="357"/>
      <c r="EF38" s="357"/>
      <c r="EG38" s="357"/>
      <c r="EH38" s="357"/>
      <c r="EI38" s="357"/>
      <c r="EJ38" s="357"/>
      <c r="EK38" s="357"/>
      <c r="EL38" s="357"/>
      <c r="EM38" s="357"/>
      <c r="EN38" s="357"/>
      <c r="EO38" s="357"/>
      <c r="EP38" s="357"/>
      <c r="EQ38" s="357"/>
      <c r="ER38" s="357"/>
      <c r="ES38" s="357"/>
      <c r="ET38" s="357"/>
      <c r="EU38" s="357"/>
      <c r="EV38" s="357"/>
      <c r="EW38" s="357"/>
      <c r="EX38" s="357"/>
      <c r="EY38" s="357"/>
      <c r="EZ38" s="357"/>
      <c r="FA38" s="357"/>
      <c r="FB38" s="357"/>
      <c r="FC38" s="357"/>
      <c r="FD38" s="357"/>
      <c r="FE38" s="357"/>
      <c r="FF38" s="357"/>
      <c r="FG38" s="357"/>
      <c r="FH38" s="357"/>
      <c r="FI38" s="357"/>
      <c r="FJ38" s="357"/>
      <c r="FK38" s="357"/>
      <c r="FL38" s="357"/>
      <c r="FM38" s="357"/>
      <c r="FN38" s="357"/>
      <c r="FO38" s="357"/>
      <c r="FP38" s="357"/>
      <c r="FQ38" s="357"/>
      <c r="FR38" s="357"/>
      <c r="FS38" s="357"/>
      <c r="FT38" s="357"/>
      <c r="FU38" s="357"/>
      <c r="FV38" s="357"/>
      <c r="FW38" s="357"/>
      <c r="FX38" s="357"/>
      <c r="FY38" s="357"/>
      <c r="FZ38" s="357"/>
      <c r="GA38" s="357"/>
      <c r="GB38" s="357"/>
      <c r="GC38" s="357"/>
      <c r="GD38" s="357"/>
      <c r="GE38" s="357"/>
      <c r="GF38" s="357"/>
      <c r="GG38" s="357"/>
      <c r="GH38" s="357"/>
      <c r="GI38" s="357"/>
      <c r="GJ38" s="357"/>
    </row>
    <row r="39" spans="3:192" ht="12.95" customHeight="1">
      <c r="C39" s="149"/>
      <c r="Z39" s="357"/>
      <c r="AA39" s="357"/>
      <c r="AB39" s="357"/>
      <c r="AC39" s="357"/>
      <c r="AD39" s="357"/>
      <c r="AE39" s="357"/>
      <c r="AF39" s="357"/>
      <c r="AG39" s="357"/>
      <c r="AH39" s="357"/>
      <c r="AI39" s="357"/>
      <c r="AJ39" s="357"/>
      <c r="AK39" s="357"/>
      <c r="AL39" s="357"/>
      <c r="AM39" s="357"/>
      <c r="AN39" s="357"/>
      <c r="AO39" s="357"/>
      <c r="AP39" s="357"/>
      <c r="AQ39" s="357"/>
      <c r="AR39" s="357"/>
      <c r="AS39" s="357"/>
      <c r="AT39" s="357"/>
      <c r="AU39" s="357"/>
      <c r="AV39" s="357"/>
      <c r="AW39" s="357"/>
      <c r="AX39" s="357"/>
      <c r="AY39" s="357"/>
      <c r="AZ39" s="357"/>
      <c r="BA39" s="357"/>
      <c r="BB39" s="357"/>
      <c r="BC39" s="357"/>
      <c r="BD39" s="357"/>
      <c r="BE39" s="357"/>
      <c r="BF39" s="357"/>
      <c r="BG39" s="357"/>
      <c r="BH39" s="357"/>
      <c r="BI39" s="357"/>
      <c r="BJ39" s="357"/>
      <c r="BK39" s="357"/>
      <c r="BL39" s="357"/>
      <c r="BM39" s="357"/>
      <c r="BN39" s="357"/>
      <c r="BO39" s="357"/>
      <c r="BP39" s="357"/>
      <c r="BQ39" s="357"/>
      <c r="BR39" s="357"/>
      <c r="BS39" s="357"/>
      <c r="BT39" s="357"/>
      <c r="BU39" s="357"/>
      <c r="BV39" s="357"/>
      <c r="BW39" s="357"/>
      <c r="BX39" s="357"/>
      <c r="BY39" s="357"/>
      <c r="BZ39" s="357"/>
      <c r="CA39" s="357"/>
      <c r="CB39" s="357"/>
      <c r="CC39" s="357"/>
      <c r="CD39" s="357"/>
      <c r="CE39" s="357"/>
      <c r="CF39" s="357"/>
      <c r="CG39" s="357"/>
      <c r="CH39" s="357"/>
      <c r="CI39" s="357"/>
      <c r="CJ39" s="357"/>
      <c r="CK39" s="357"/>
      <c r="CL39" s="357"/>
      <c r="CM39" s="357"/>
      <c r="CN39" s="357"/>
      <c r="CO39" s="357"/>
      <c r="CP39" s="357"/>
      <c r="CQ39" s="357"/>
      <c r="CR39" s="357"/>
      <c r="CS39" s="357"/>
      <c r="CT39" s="357"/>
      <c r="CU39" s="357"/>
      <c r="CV39" s="357"/>
      <c r="CW39" s="357"/>
      <c r="CX39" s="357"/>
      <c r="CY39" s="357"/>
      <c r="CZ39" s="357"/>
      <c r="DA39" s="357"/>
      <c r="DB39" s="357"/>
      <c r="DC39" s="357"/>
      <c r="DD39" s="357"/>
      <c r="DE39" s="357"/>
      <c r="DF39" s="357"/>
      <c r="DG39" s="357"/>
      <c r="DH39" s="357"/>
      <c r="DI39" s="357"/>
      <c r="DJ39" s="357"/>
      <c r="DK39" s="357"/>
      <c r="DL39" s="357"/>
      <c r="DM39" s="357"/>
      <c r="DN39" s="357"/>
      <c r="DO39" s="357"/>
      <c r="DP39" s="357"/>
      <c r="DQ39" s="357"/>
      <c r="DR39" s="357"/>
      <c r="DS39" s="357"/>
      <c r="DT39" s="357"/>
      <c r="DU39" s="357"/>
      <c r="DV39" s="357"/>
      <c r="DW39" s="357"/>
      <c r="DX39" s="357"/>
      <c r="DY39" s="357"/>
      <c r="DZ39" s="357"/>
      <c r="EA39" s="357"/>
      <c r="EB39" s="357"/>
      <c r="EC39" s="357"/>
      <c r="ED39" s="357"/>
      <c r="EE39" s="357"/>
      <c r="EF39" s="357"/>
      <c r="EG39" s="357"/>
      <c r="EH39" s="357"/>
      <c r="EI39" s="357"/>
      <c r="EJ39" s="357"/>
      <c r="EK39" s="357"/>
      <c r="EL39" s="357"/>
      <c r="EM39" s="357"/>
      <c r="EN39" s="357"/>
      <c r="EO39" s="357"/>
      <c r="EP39" s="357"/>
      <c r="EQ39" s="357"/>
      <c r="ER39" s="357"/>
      <c r="ES39" s="357"/>
      <c r="ET39" s="357"/>
      <c r="EU39" s="357"/>
      <c r="EV39" s="357"/>
      <c r="EW39" s="357"/>
      <c r="EX39" s="357"/>
      <c r="EY39" s="357"/>
      <c r="EZ39" s="357"/>
      <c r="FA39" s="357"/>
      <c r="FB39" s="357"/>
      <c r="FC39" s="357"/>
      <c r="FD39" s="357"/>
      <c r="FE39" s="357"/>
      <c r="FF39" s="357"/>
      <c r="FG39" s="357"/>
      <c r="FH39" s="357"/>
      <c r="FI39" s="357"/>
      <c r="FJ39" s="357"/>
      <c r="FK39" s="357"/>
      <c r="FL39" s="357"/>
      <c r="FM39" s="357"/>
      <c r="FN39" s="357"/>
      <c r="FO39" s="357"/>
      <c r="FP39" s="357"/>
      <c r="FQ39" s="357"/>
      <c r="FR39" s="357"/>
      <c r="FS39" s="357"/>
      <c r="FT39" s="357"/>
      <c r="FU39" s="357"/>
      <c r="FV39" s="357"/>
      <c r="FW39" s="357"/>
      <c r="FX39" s="357"/>
      <c r="FY39" s="357"/>
      <c r="FZ39" s="357"/>
      <c r="GA39" s="357"/>
      <c r="GB39" s="357"/>
      <c r="GC39" s="357"/>
      <c r="GD39" s="357"/>
      <c r="GE39" s="357"/>
      <c r="GF39" s="357"/>
      <c r="GG39" s="357"/>
      <c r="GH39" s="357"/>
      <c r="GI39" s="357"/>
      <c r="GJ39" s="357"/>
    </row>
    <row r="40" spans="3:192" ht="12.95" customHeight="1">
      <c r="Z40" s="357"/>
      <c r="AA40" s="357"/>
      <c r="AB40" s="357"/>
      <c r="AC40" s="357"/>
      <c r="AD40" s="357"/>
      <c r="AE40" s="357"/>
      <c r="AO40" s="357"/>
      <c r="AP40" s="357"/>
      <c r="AQ40" s="357"/>
      <c r="AR40" s="357"/>
      <c r="AS40" s="357"/>
      <c r="AT40" s="357"/>
      <c r="AU40" s="357"/>
      <c r="AV40" s="357"/>
      <c r="AW40" s="357"/>
      <c r="AX40" s="357"/>
      <c r="AY40" s="357"/>
      <c r="AZ40" s="357"/>
      <c r="BA40" s="357"/>
      <c r="BB40" s="357"/>
      <c r="BC40" s="357"/>
      <c r="BD40" s="357"/>
      <c r="BE40" s="357"/>
      <c r="BF40" s="357"/>
      <c r="BG40" s="357"/>
      <c r="BH40" s="357"/>
      <c r="BI40" s="357"/>
      <c r="BJ40" s="357"/>
      <c r="BK40" s="357"/>
      <c r="BL40" s="357"/>
      <c r="BM40" s="357"/>
      <c r="BN40" s="357"/>
      <c r="BO40" s="357"/>
      <c r="BP40" s="357"/>
      <c r="BQ40" s="357"/>
      <c r="BR40" s="357"/>
      <c r="BS40" s="357"/>
      <c r="BT40" s="357"/>
      <c r="BU40" s="357"/>
      <c r="BV40" s="357"/>
      <c r="BW40" s="357"/>
      <c r="BX40" s="357"/>
      <c r="BY40" s="357"/>
      <c r="BZ40" s="357"/>
      <c r="CA40" s="357"/>
      <c r="CB40" s="357"/>
      <c r="CC40" s="357"/>
      <c r="CD40" s="357"/>
      <c r="CE40" s="357"/>
      <c r="CF40" s="357"/>
      <c r="CG40" s="357"/>
      <c r="CH40" s="357"/>
      <c r="CI40" s="357"/>
      <c r="CJ40" s="357"/>
      <c r="CK40" s="357"/>
      <c r="CL40" s="357"/>
      <c r="CM40" s="357"/>
      <c r="CN40" s="357"/>
      <c r="CO40" s="357"/>
      <c r="CP40" s="357"/>
      <c r="CQ40" s="357"/>
      <c r="CR40" s="357"/>
      <c r="CS40" s="357"/>
      <c r="CT40" s="357"/>
      <c r="CU40" s="357"/>
      <c r="CV40" s="357"/>
      <c r="CW40" s="357"/>
      <c r="CX40" s="357"/>
      <c r="CY40" s="357"/>
      <c r="CZ40" s="357"/>
      <c r="DA40" s="357"/>
      <c r="DB40" s="357"/>
      <c r="DC40" s="357"/>
      <c r="DD40" s="357"/>
      <c r="DE40" s="357"/>
      <c r="DF40" s="357"/>
      <c r="DG40" s="357"/>
      <c r="DH40" s="357"/>
      <c r="DI40" s="357"/>
      <c r="DJ40" s="357"/>
      <c r="DK40" s="357"/>
      <c r="DL40" s="357"/>
      <c r="DM40" s="357"/>
      <c r="DN40" s="357"/>
      <c r="DO40" s="357"/>
      <c r="DP40" s="357"/>
      <c r="DQ40" s="357"/>
      <c r="DR40" s="357"/>
      <c r="DS40" s="357"/>
      <c r="DT40" s="357"/>
      <c r="DU40" s="357"/>
      <c r="DV40" s="357"/>
      <c r="DW40" s="357"/>
      <c r="DX40" s="357"/>
      <c r="DY40" s="357"/>
      <c r="DZ40" s="357"/>
      <c r="EA40" s="357"/>
      <c r="EB40" s="357"/>
      <c r="EC40" s="357"/>
      <c r="ED40" s="357"/>
      <c r="EE40" s="357"/>
      <c r="EF40" s="357"/>
      <c r="EG40" s="357"/>
      <c r="EH40" s="357"/>
      <c r="EI40" s="357"/>
      <c r="EJ40" s="357"/>
      <c r="EK40" s="357"/>
      <c r="EL40" s="357"/>
      <c r="EM40" s="357"/>
      <c r="EN40" s="357"/>
      <c r="EO40" s="357"/>
      <c r="EP40" s="357"/>
      <c r="EQ40" s="357"/>
      <c r="ER40" s="357"/>
      <c r="ES40" s="357"/>
      <c r="ET40" s="357"/>
      <c r="EU40" s="357"/>
      <c r="EV40" s="357"/>
      <c r="EW40" s="357"/>
      <c r="EX40" s="357"/>
      <c r="EY40" s="357"/>
      <c r="EZ40" s="357"/>
      <c r="FA40" s="357"/>
      <c r="FB40" s="357"/>
      <c r="FC40" s="357"/>
      <c r="FD40" s="357"/>
      <c r="FE40" s="357"/>
      <c r="FF40" s="357"/>
      <c r="FG40" s="357"/>
      <c r="FH40" s="357"/>
      <c r="FI40" s="357"/>
      <c r="FJ40" s="357"/>
      <c r="FK40" s="357"/>
      <c r="FL40" s="357"/>
      <c r="FM40" s="357"/>
      <c r="FN40" s="357"/>
      <c r="FO40" s="357"/>
      <c r="FP40" s="357"/>
      <c r="FQ40" s="357"/>
      <c r="FR40" s="357"/>
      <c r="FS40" s="357"/>
      <c r="FT40" s="357"/>
      <c r="FU40" s="357"/>
      <c r="FV40" s="357"/>
      <c r="FW40" s="357"/>
      <c r="FX40" s="357"/>
      <c r="FY40" s="357"/>
      <c r="FZ40" s="357"/>
      <c r="GA40" s="357"/>
      <c r="GB40" s="357"/>
      <c r="GC40" s="357"/>
      <c r="GD40" s="357"/>
      <c r="GE40" s="357"/>
      <c r="GF40" s="357"/>
      <c r="GG40" s="357"/>
      <c r="GH40" s="357"/>
      <c r="GI40" s="357"/>
      <c r="GJ40" s="357"/>
    </row>
    <row r="41" spans="3:192" ht="12.95" customHeight="1">
      <c r="Z41" s="357"/>
      <c r="AA41" s="357"/>
      <c r="AB41" s="357"/>
      <c r="AC41" s="357"/>
      <c r="AD41" s="357"/>
      <c r="AE41" s="357"/>
      <c r="AF41" s="357"/>
      <c r="AG41" s="357"/>
      <c r="AH41" s="357"/>
      <c r="AI41" s="357"/>
      <c r="AJ41" s="357"/>
      <c r="AK41" s="357"/>
      <c r="AL41" s="357"/>
      <c r="AM41" s="357"/>
      <c r="AN41" s="357"/>
      <c r="AO41" s="357"/>
      <c r="AP41" s="357"/>
      <c r="AQ41" s="357"/>
      <c r="AR41" s="357"/>
      <c r="AS41" s="357"/>
      <c r="AT41" s="357"/>
      <c r="AU41" s="357"/>
      <c r="AV41" s="357"/>
      <c r="AW41" s="357"/>
      <c r="AX41" s="357"/>
      <c r="AY41" s="357"/>
      <c r="AZ41" s="357"/>
      <c r="BA41" s="357"/>
      <c r="BB41" s="357"/>
      <c r="BC41" s="357"/>
      <c r="BD41" s="357"/>
      <c r="BE41" s="357"/>
      <c r="BF41" s="357"/>
      <c r="BG41" s="357"/>
      <c r="BH41" s="357"/>
      <c r="BI41" s="357"/>
      <c r="BJ41" s="357"/>
      <c r="BK41" s="357"/>
      <c r="BL41" s="357"/>
      <c r="BM41" s="357"/>
      <c r="BN41" s="357"/>
      <c r="BO41" s="357"/>
      <c r="BP41" s="357"/>
      <c r="BQ41" s="357"/>
      <c r="BR41" s="357"/>
      <c r="BS41" s="357"/>
      <c r="BT41" s="357"/>
      <c r="BU41" s="357"/>
      <c r="BV41" s="357"/>
      <c r="BW41" s="357"/>
      <c r="BX41" s="357"/>
      <c r="BY41" s="357"/>
      <c r="BZ41" s="357"/>
      <c r="CA41" s="357"/>
      <c r="CB41" s="357"/>
      <c r="CC41" s="357"/>
      <c r="CD41" s="357"/>
      <c r="CE41" s="357"/>
      <c r="CF41" s="357"/>
      <c r="CG41" s="357"/>
      <c r="CH41" s="357"/>
      <c r="CI41" s="357"/>
      <c r="CJ41" s="357"/>
      <c r="CK41" s="357"/>
      <c r="CL41" s="357"/>
      <c r="CM41" s="357"/>
      <c r="CN41" s="357"/>
      <c r="CO41" s="357"/>
      <c r="CP41" s="357"/>
      <c r="CQ41" s="357"/>
      <c r="CR41" s="357"/>
      <c r="CS41" s="357"/>
      <c r="CT41" s="357"/>
      <c r="CU41" s="357"/>
      <c r="CV41" s="357"/>
      <c r="CW41" s="357"/>
      <c r="CX41" s="357"/>
      <c r="CY41" s="357"/>
      <c r="CZ41" s="357"/>
      <c r="DA41" s="357"/>
      <c r="DB41" s="357"/>
      <c r="DC41" s="357"/>
      <c r="DD41" s="357"/>
      <c r="DE41" s="357"/>
      <c r="DF41" s="357"/>
      <c r="DG41" s="357"/>
      <c r="DH41" s="357"/>
      <c r="DI41" s="357"/>
      <c r="DJ41" s="357"/>
      <c r="DK41" s="357"/>
      <c r="DL41" s="357"/>
      <c r="DM41" s="357"/>
      <c r="DN41" s="357"/>
      <c r="DO41" s="357"/>
      <c r="DP41" s="357"/>
      <c r="DQ41" s="357"/>
      <c r="DR41" s="357"/>
      <c r="DS41" s="357"/>
      <c r="DT41" s="357"/>
      <c r="DU41" s="357"/>
      <c r="DV41" s="357"/>
      <c r="DW41" s="357"/>
      <c r="DX41" s="357"/>
      <c r="DY41" s="357"/>
      <c r="DZ41" s="357"/>
      <c r="EA41" s="357"/>
      <c r="EB41" s="357"/>
      <c r="EC41" s="357"/>
      <c r="ED41" s="357"/>
      <c r="EE41" s="357"/>
      <c r="EF41" s="357"/>
      <c r="EG41" s="357"/>
      <c r="EH41" s="357"/>
      <c r="EI41" s="357"/>
      <c r="EJ41" s="357"/>
      <c r="EK41" s="357"/>
      <c r="EL41" s="357"/>
      <c r="EM41" s="357"/>
      <c r="EN41" s="357"/>
      <c r="EO41" s="357"/>
      <c r="EP41" s="357"/>
      <c r="EQ41" s="357"/>
      <c r="ER41" s="357"/>
      <c r="ES41" s="357"/>
      <c r="ET41" s="357"/>
      <c r="EU41" s="357"/>
      <c r="EV41" s="357"/>
      <c r="EW41" s="357"/>
      <c r="EX41" s="357"/>
      <c r="EY41" s="357"/>
      <c r="EZ41" s="357"/>
      <c r="FA41" s="357"/>
      <c r="FB41" s="357"/>
      <c r="FC41" s="357"/>
      <c r="FD41" s="357"/>
      <c r="FE41" s="357"/>
      <c r="FF41" s="357"/>
      <c r="FG41" s="357"/>
      <c r="FH41" s="357"/>
      <c r="FI41" s="357"/>
      <c r="FJ41" s="357"/>
      <c r="FK41" s="357"/>
      <c r="FL41" s="357"/>
      <c r="FM41" s="357"/>
      <c r="FN41" s="357"/>
      <c r="FO41" s="357"/>
      <c r="FP41" s="357"/>
      <c r="FQ41" s="357"/>
      <c r="FR41" s="357"/>
      <c r="FS41" s="357"/>
      <c r="FT41" s="357"/>
      <c r="FU41" s="357"/>
      <c r="FV41" s="357"/>
      <c r="FW41" s="357"/>
      <c r="FX41" s="357"/>
      <c r="FY41" s="357"/>
      <c r="FZ41" s="357"/>
      <c r="GA41" s="357"/>
      <c r="GB41" s="357"/>
      <c r="GC41" s="357"/>
      <c r="GD41" s="357"/>
      <c r="GE41" s="357"/>
      <c r="GF41" s="357"/>
      <c r="GG41" s="357"/>
      <c r="GH41" s="357"/>
      <c r="GI41" s="357"/>
      <c r="GJ41" s="357"/>
    </row>
    <row r="42" spans="3:192" ht="12.95" customHeight="1">
      <c r="Z42" s="357"/>
      <c r="AA42" s="357"/>
      <c r="AB42" s="357"/>
      <c r="AC42" s="357"/>
      <c r="AD42" s="357"/>
      <c r="AE42" s="357"/>
      <c r="AF42" s="357"/>
      <c r="AG42" s="357"/>
      <c r="AH42" s="357"/>
      <c r="AI42" s="357"/>
      <c r="AJ42" s="357"/>
      <c r="AK42" s="357"/>
      <c r="AL42" s="357"/>
      <c r="AM42" s="357"/>
      <c r="AN42" s="357"/>
      <c r="AO42" s="357"/>
      <c r="AP42" s="357"/>
      <c r="AQ42" s="357"/>
      <c r="AR42" s="357"/>
      <c r="AS42" s="357"/>
      <c r="AT42" s="357"/>
      <c r="AU42" s="357"/>
      <c r="AV42" s="357"/>
      <c r="AW42" s="357"/>
      <c r="AX42" s="357"/>
      <c r="AY42" s="357"/>
      <c r="AZ42" s="357"/>
      <c r="BA42" s="357"/>
      <c r="BB42" s="357"/>
      <c r="BC42" s="357"/>
      <c r="BD42" s="357"/>
      <c r="BE42" s="357"/>
      <c r="BF42" s="357"/>
      <c r="BG42" s="357"/>
      <c r="BH42" s="357"/>
      <c r="BI42" s="357"/>
      <c r="BJ42" s="357"/>
      <c r="BK42" s="357"/>
      <c r="BL42" s="357"/>
      <c r="BM42" s="357"/>
      <c r="BN42" s="357"/>
      <c r="BO42" s="357"/>
      <c r="BP42" s="357"/>
      <c r="BQ42" s="357"/>
      <c r="BR42" s="357"/>
      <c r="BS42" s="357"/>
      <c r="BT42" s="357"/>
      <c r="BU42" s="357"/>
      <c r="BV42" s="357"/>
      <c r="BW42" s="357"/>
      <c r="BX42" s="357"/>
      <c r="BY42" s="357"/>
      <c r="BZ42" s="357"/>
      <c r="CA42" s="357"/>
      <c r="CB42" s="357"/>
      <c r="CC42" s="357"/>
      <c r="CD42" s="357"/>
      <c r="CE42" s="357"/>
      <c r="CF42" s="357"/>
      <c r="CG42" s="357"/>
      <c r="CH42" s="357"/>
      <c r="CI42" s="357"/>
      <c r="CJ42" s="357"/>
      <c r="CK42" s="357"/>
      <c r="CL42" s="357"/>
      <c r="CM42" s="357"/>
      <c r="CN42" s="357"/>
      <c r="CO42" s="357"/>
      <c r="CP42" s="357"/>
      <c r="CQ42" s="357"/>
      <c r="CR42" s="357"/>
      <c r="CS42" s="357"/>
      <c r="CT42" s="357"/>
      <c r="CU42" s="357"/>
      <c r="CV42" s="357"/>
      <c r="CW42" s="357"/>
      <c r="CX42" s="357"/>
      <c r="CY42" s="357"/>
      <c r="CZ42" s="357"/>
      <c r="DA42" s="357"/>
      <c r="DB42" s="357"/>
      <c r="DC42" s="357"/>
      <c r="DD42" s="357"/>
      <c r="DE42" s="357"/>
      <c r="DF42" s="357"/>
      <c r="DG42" s="357"/>
      <c r="DH42" s="357"/>
      <c r="DI42" s="357"/>
      <c r="DJ42" s="357"/>
      <c r="DK42" s="357"/>
      <c r="DL42" s="357"/>
      <c r="DM42" s="357"/>
      <c r="DN42" s="357"/>
      <c r="DO42" s="357"/>
      <c r="DP42" s="357"/>
      <c r="DQ42" s="357"/>
      <c r="DR42" s="357"/>
      <c r="DS42" s="357"/>
      <c r="DT42" s="357"/>
      <c r="DU42" s="357"/>
      <c r="DV42" s="357"/>
      <c r="DW42" s="357"/>
      <c r="DX42" s="357"/>
      <c r="DY42" s="357"/>
      <c r="DZ42" s="357"/>
      <c r="EA42" s="357"/>
      <c r="EB42" s="357"/>
      <c r="EC42" s="357"/>
      <c r="ED42" s="357"/>
      <c r="EE42" s="357"/>
      <c r="EF42" s="357"/>
      <c r="EG42" s="357"/>
      <c r="EH42" s="357"/>
      <c r="EI42" s="357"/>
      <c r="EJ42" s="357"/>
      <c r="EK42" s="357"/>
      <c r="EL42" s="357"/>
      <c r="EM42" s="357"/>
      <c r="EN42" s="357"/>
      <c r="EO42" s="357"/>
      <c r="EP42" s="357"/>
      <c r="EQ42" s="357"/>
      <c r="ER42" s="357"/>
      <c r="ES42" s="357"/>
      <c r="ET42" s="357"/>
      <c r="EU42" s="357"/>
      <c r="EV42" s="357"/>
      <c r="EW42" s="357"/>
      <c r="EX42" s="357"/>
      <c r="EY42" s="357"/>
      <c r="EZ42" s="357"/>
      <c r="FA42" s="357"/>
      <c r="FB42" s="357"/>
      <c r="FC42" s="357"/>
      <c r="FD42" s="357"/>
      <c r="FE42" s="357"/>
      <c r="FF42" s="357"/>
      <c r="FG42" s="357"/>
      <c r="FH42" s="357"/>
      <c r="FI42" s="357"/>
      <c r="FJ42" s="357"/>
      <c r="FK42" s="357"/>
      <c r="FL42" s="357"/>
      <c r="FM42" s="357"/>
      <c r="FN42" s="357"/>
      <c r="FO42" s="357"/>
      <c r="FP42" s="357"/>
      <c r="FQ42" s="357"/>
      <c r="FR42" s="357"/>
      <c r="FS42" s="357"/>
      <c r="FT42" s="357"/>
      <c r="FU42" s="357"/>
      <c r="FV42" s="357"/>
      <c r="FW42" s="357"/>
      <c r="FX42" s="357"/>
      <c r="FY42" s="357"/>
      <c r="FZ42" s="357"/>
      <c r="GA42" s="357"/>
      <c r="GB42" s="357"/>
      <c r="GC42" s="357"/>
      <c r="GD42" s="357"/>
      <c r="GE42" s="357"/>
      <c r="GF42" s="357"/>
      <c r="GG42" s="357"/>
      <c r="GH42" s="357"/>
      <c r="GI42" s="357"/>
      <c r="GJ42" s="357"/>
    </row>
    <row r="43" spans="3:192" ht="12.95" customHeight="1">
      <c r="Z43" s="357"/>
      <c r="AA43" s="357"/>
      <c r="AB43" s="357"/>
      <c r="AC43" s="357"/>
      <c r="AD43" s="357"/>
      <c r="AE43" s="357"/>
      <c r="AF43" s="357"/>
      <c r="AG43" s="357"/>
      <c r="AH43" s="357"/>
      <c r="AI43" s="357"/>
      <c r="AJ43" s="357"/>
      <c r="AK43" s="357"/>
      <c r="AL43" s="357"/>
      <c r="AM43" s="357"/>
      <c r="AN43" s="357"/>
      <c r="AO43" s="357"/>
      <c r="AP43" s="357"/>
      <c r="AQ43" s="357"/>
      <c r="AR43" s="357"/>
      <c r="AS43" s="357"/>
      <c r="AT43" s="357"/>
      <c r="AU43" s="357"/>
      <c r="AV43" s="357"/>
      <c r="AW43" s="357"/>
      <c r="AX43" s="357"/>
      <c r="AY43" s="357"/>
      <c r="AZ43" s="357"/>
      <c r="BA43" s="357"/>
      <c r="BB43" s="357"/>
      <c r="BC43" s="357"/>
      <c r="BD43" s="357"/>
      <c r="BE43" s="357"/>
      <c r="BF43" s="357"/>
      <c r="BG43" s="357"/>
      <c r="BH43" s="357"/>
      <c r="BI43" s="357"/>
      <c r="BJ43" s="357"/>
      <c r="BK43" s="357"/>
      <c r="BL43" s="357"/>
      <c r="BM43" s="357"/>
      <c r="BN43" s="357"/>
      <c r="BO43" s="357"/>
      <c r="BP43" s="357"/>
      <c r="BQ43" s="357"/>
      <c r="BR43" s="357"/>
      <c r="BS43" s="357"/>
      <c r="BT43" s="357"/>
      <c r="BU43" s="357"/>
      <c r="BV43" s="357"/>
      <c r="BW43" s="357"/>
      <c r="BX43" s="357"/>
      <c r="BY43" s="357"/>
      <c r="BZ43" s="357"/>
      <c r="CA43" s="357"/>
      <c r="CB43" s="357"/>
      <c r="CC43" s="357"/>
      <c r="CD43" s="357"/>
      <c r="CE43" s="357"/>
      <c r="CF43" s="357"/>
      <c r="CG43" s="357"/>
      <c r="CH43" s="357"/>
      <c r="CI43" s="357"/>
      <c r="CJ43" s="357"/>
      <c r="CK43" s="357"/>
      <c r="CL43" s="357"/>
      <c r="CM43" s="357"/>
      <c r="CN43" s="357"/>
      <c r="CO43" s="357"/>
      <c r="CP43" s="357"/>
      <c r="CQ43" s="357"/>
      <c r="CR43" s="357"/>
      <c r="CS43" s="357"/>
      <c r="CT43" s="357"/>
      <c r="CU43" s="357"/>
      <c r="CV43" s="357"/>
      <c r="CW43" s="357"/>
      <c r="CX43" s="357"/>
      <c r="CY43" s="357"/>
      <c r="CZ43" s="357"/>
      <c r="DA43" s="357"/>
      <c r="DB43" s="357"/>
      <c r="DC43" s="357"/>
      <c r="DD43" s="357"/>
      <c r="DE43" s="357"/>
      <c r="DF43" s="357"/>
      <c r="DG43" s="357"/>
      <c r="DH43" s="357"/>
      <c r="DI43" s="357"/>
      <c r="DJ43" s="357"/>
      <c r="DK43" s="357"/>
      <c r="DL43" s="357"/>
      <c r="DM43" s="357"/>
      <c r="DN43" s="357"/>
      <c r="DO43" s="357"/>
      <c r="DP43" s="357"/>
      <c r="DQ43" s="357"/>
      <c r="DR43" s="357"/>
      <c r="DS43" s="357"/>
      <c r="DT43" s="357"/>
      <c r="DU43" s="357"/>
      <c r="DV43" s="357"/>
      <c r="DW43" s="357"/>
      <c r="DX43" s="357"/>
      <c r="DY43" s="357"/>
      <c r="DZ43" s="357"/>
      <c r="EA43" s="357"/>
      <c r="EB43" s="357"/>
      <c r="EC43" s="357"/>
      <c r="ED43" s="357"/>
      <c r="EE43" s="357"/>
      <c r="EF43" s="357"/>
      <c r="EG43" s="357"/>
      <c r="EH43" s="357"/>
      <c r="EI43" s="357"/>
      <c r="EJ43" s="357"/>
      <c r="EK43" s="357"/>
      <c r="EL43" s="357"/>
      <c r="EM43" s="357"/>
      <c r="EN43" s="357"/>
      <c r="EO43" s="357"/>
      <c r="EP43" s="357"/>
      <c r="EQ43" s="357"/>
      <c r="ER43" s="357"/>
      <c r="ES43" s="357"/>
      <c r="ET43" s="357"/>
      <c r="EU43" s="357"/>
      <c r="EV43" s="357"/>
      <c r="EW43" s="357"/>
      <c r="EX43" s="357"/>
      <c r="EY43" s="357"/>
      <c r="EZ43" s="357"/>
      <c r="FA43" s="357"/>
      <c r="FB43" s="357"/>
      <c r="FC43" s="357"/>
      <c r="FD43" s="357"/>
      <c r="FE43" s="357"/>
      <c r="FF43" s="357"/>
      <c r="FG43" s="357"/>
      <c r="FH43" s="357"/>
      <c r="FI43" s="357"/>
      <c r="FJ43" s="357"/>
      <c r="FK43" s="357"/>
      <c r="FL43" s="357"/>
      <c r="FM43" s="357"/>
      <c r="FN43" s="357"/>
      <c r="FO43" s="357"/>
      <c r="FP43" s="357"/>
      <c r="FQ43" s="357"/>
      <c r="FR43" s="357"/>
      <c r="FS43" s="357"/>
      <c r="FT43" s="357"/>
      <c r="FU43" s="357"/>
      <c r="FV43" s="357"/>
      <c r="FW43" s="357"/>
      <c r="FX43" s="357"/>
      <c r="FY43" s="357"/>
      <c r="FZ43" s="357"/>
      <c r="GA43" s="357"/>
      <c r="GB43" s="357"/>
      <c r="GC43" s="357"/>
      <c r="GD43" s="357"/>
      <c r="GE43" s="357"/>
      <c r="GF43" s="357"/>
      <c r="GG43" s="357"/>
      <c r="GH43" s="357"/>
      <c r="GI43" s="357"/>
      <c r="GJ43" s="357"/>
    </row>
    <row r="44" spans="3:192" ht="12.95" customHeight="1">
      <c r="Z44" s="357"/>
      <c r="AA44" s="357"/>
      <c r="AB44" s="357"/>
      <c r="AC44" s="357"/>
      <c r="AD44" s="357"/>
      <c r="AE44" s="357"/>
      <c r="AF44" s="357"/>
      <c r="AG44" s="357"/>
      <c r="AH44" s="357"/>
      <c r="AI44" s="357"/>
      <c r="AJ44" s="357"/>
      <c r="AK44" s="357"/>
      <c r="AL44" s="357"/>
      <c r="AM44" s="357"/>
      <c r="AN44" s="357"/>
      <c r="AO44" s="357"/>
      <c r="AP44" s="357"/>
      <c r="AQ44" s="357"/>
      <c r="AR44" s="357"/>
      <c r="AS44" s="357"/>
      <c r="AT44" s="357"/>
      <c r="AU44" s="357"/>
      <c r="AV44" s="357"/>
      <c r="AW44" s="357"/>
      <c r="AX44" s="357"/>
      <c r="AY44" s="357"/>
      <c r="AZ44" s="357"/>
      <c r="BA44" s="357"/>
      <c r="BB44" s="357"/>
      <c r="BC44" s="357"/>
      <c r="BD44" s="357"/>
      <c r="BE44" s="357"/>
      <c r="BF44" s="357"/>
      <c r="BG44" s="357"/>
      <c r="BH44" s="357"/>
      <c r="BI44" s="357"/>
      <c r="BJ44" s="357"/>
      <c r="BK44" s="357"/>
      <c r="BL44" s="357"/>
      <c r="BM44" s="357"/>
      <c r="BN44" s="357"/>
      <c r="BO44" s="357"/>
      <c r="BP44" s="357"/>
      <c r="BQ44" s="357"/>
      <c r="BR44" s="357"/>
      <c r="BS44" s="357"/>
      <c r="BT44" s="357"/>
      <c r="BU44" s="357"/>
      <c r="BV44" s="357"/>
      <c r="BW44" s="357"/>
      <c r="BX44" s="357"/>
      <c r="BY44" s="357"/>
      <c r="BZ44" s="357"/>
      <c r="CA44" s="357"/>
      <c r="CB44" s="357"/>
      <c r="CC44" s="357"/>
      <c r="CD44" s="357"/>
      <c r="CE44" s="357"/>
      <c r="CF44" s="357"/>
      <c r="CG44" s="357"/>
      <c r="CH44" s="357"/>
      <c r="CI44" s="357"/>
      <c r="CJ44" s="357"/>
      <c r="CK44" s="357"/>
      <c r="CL44" s="357"/>
      <c r="CM44" s="357"/>
      <c r="CN44" s="357"/>
      <c r="CO44" s="357"/>
      <c r="CP44" s="357"/>
      <c r="CQ44" s="357"/>
      <c r="CR44" s="357"/>
      <c r="CS44" s="357"/>
      <c r="CT44" s="357"/>
      <c r="CU44" s="357"/>
      <c r="CV44" s="357"/>
      <c r="CW44" s="357"/>
      <c r="CX44" s="357"/>
      <c r="CY44" s="357"/>
      <c r="CZ44" s="357"/>
      <c r="DA44" s="357"/>
      <c r="DB44" s="357"/>
      <c r="DC44" s="357"/>
      <c r="DD44" s="357"/>
      <c r="DE44" s="357"/>
      <c r="DF44" s="357"/>
      <c r="DG44" s="357"/>
      <c r="DH44" s="357"/>
      <c r="DI44" s="357"/>
      <c r="DJ44" s="357"/>
      <c r="DK44" s="357"/>
      <c r="DL44" s="357"/>
      <c r="DM44" s="357"/>
      <c r="DN44" s="357"/>
      <c r="DO44" s="357"/>
      <c r="DP44" s="357"/>
      <c r="DQ44" s="357"/>
      <c r="DR44" s="357"/>
      <c r="DS44" s="357"/>
      <c r="DT44" s="357"/>
      <c r="DU44" s="357"/>
      <c r="DV44" s="357"/>
      <c r="DW44" s="357"/>
      <c r="DX44" s="357"/>
      <c r="DY44" s="357"/>
      <c r="DZ44" s="357"/>
      <c r="EA44" s="357"/>
      <c r="EB44" s="357"/>
      <c r="EC44" s="357"/>
      <c r="ED44" s="357"/>
      <c r="EE44" s="357"/>
      <c r="EF44" s="357"/>
      <c r="EG44" s="357"/>
      <c r="EH44" s="357"/>
      <c r="EI44" s="357"/>
      <c r="EJ44" s="357"/>
      <c r="EK44" s="357"/>
      <c r="EL44" s="357"/>
      <c r="EM44" s="357"/>
      <c r="EN44" s="357"/>
      <c r="EO44" s="357"/>
      <c r="EP44" s="357"/>
      <c r="EQ44" s="357"/>
      <c r="ER44" s="357"/>
      <c r="ES44" s="357"/>
      <c r="ET44" s="357"/>
      <c r="EU44" s="357"/>
      <c r="EV44" s="357"/>
      <c r="EW44" s="357"/>
      <c r="EX44" s="357"/>
      <c r="EY44" s="357"/>
      <c r="EZ44" s="357"/>
      <c r="FA44" s="357"/>
      <c r="FB44" s="357"/>
      <c r="FC44" s="357"/>
      <c r="FD44" s="357"/>
      <c r="FE44" s="357"/>
      <c r="FF44" s="357"/>
      <c r="FG44" s="357"/>
      <c r="FH44" s="357"/>
      <c r="FI44" s="357"/>
      <c r="FJ44" s="357"/>
      <c r="FK44" s="357"/>
      <c r="FL44" s="357"/>
      <c r="FM44" s="357"/>
      <c r="FN44" s="357"/>
      <c r="FO44" s="357"/>
      <c r="FP44" s="357"/>
      <c r="FQ44" s="357"/>
      <c r="FR44" s="357"/>
      <c r="FS44" s="357"/>
      <c r="FT44" s="357"/>
      <c r="FU44" s="357"/>
      <c r="FV44" s="357"/>
      <c r="FW44" s="357"/>
      <c r="FX44" s="357"/>
      <c r="FY44" s="357"/>
      <c r="FZ44" s="357"/>
      <c r="GA44" s="357"/>
      <c r="GB44" s="357"/>
      <c r="GC44" s="357"/>
      <c r="GD44" s="357"/>
      <c r="GE44" s="357"/>
      <c r="GF44" s="357"/>
      <c r="GG44" s="357"/>
      <c r="GH44" s="357"/>
      <c r="GI44" s="357"/>
      <c r="GJ44" s="357"/>
    </row>
    <row r="45" spans="3:192" ht="12.95" customHeight="1">
      <c r="Z45" s="357"/>
      <c r="AA45" s="357"/>
      <c r="AB45" s="357"/>
      <c r="AC45" s="357"/>
      <c r="AD45" s="357"/>
      <c r="AE45" s="357"/>
      <c r="AF45" s="357"/>
      <c r="AG45" s="357"/>
      <c r="AH45" s="357"/>
      <c r="AI45" s="357"/>
      <c r="AJ45" s="357"/>
      <c r="AK45" s="357"/>
      <c r="AL45" s="357"/>
      <c r="AM45" s="357"/>
      <c r="AN45" s="357"/>
      <c r="AO45" s="357"/>
      <c r="AP45" s="357"/>
      <c r="AQ45" s="357"/>
      <c r="AR45" s="357"/>
      <c r="AS45" s="357"/>
      <c r="AT45" s="357"/>
      <c r="AU45" s="357"/>
      <c r="AV45" s="357"/>
      <c r="AW45" s="357"/>
      <c r="AX45" s="357"/>
      <c r="AY45" s="357"/>
      <c r="AZ45" s="357"/>
      <c r="BA45" s="357"/>
      <c r="BB45" s="357"/>
      <c r="BC45" s="357"/>
      <c r="BD45" s="357"/>
      <c r="BE45" s="357"/>
      <c r="BF45" s="357"/>
      <c r="BG45" s="357"/>
      <c r="BH45" s="357"/>
      <c r="BI45" s="357"/>
      <c r="BJ45" s="357"/>
      <c r="BK45" s="357"/>
      <c r="BL45" s="357"/>
      <c r="BM45" s="357"/>
      <c r="BN45" s="357"/>
      <c r="BO45" s="357"/>
      <c r="BP45" s="357"/>
      <c r="BQ45" s="357"/>
      <c r="BR45" s="357"/>
      <c r="BS45" s="357"/>
      <c r="BT45" s="357"/>
      <c r="BU45" s="357"/>
      <c r="BV45" s="357"/>
      <c r="BW45" s="357"/>
      <c r="BX45" s="357"/>
      <c r="BY45" s="357"/>
      <c r="BZ45" s="357"/>
      <c r="CA45" s="357"/>
      <c r="CB45" s="357"/>
      <c r="CC45" s="357"/>
      <c r="CD45" s="357"/>
      <c r="CE45" s="357"/>
      <c r="CF45" s="357"/>
      <c r="CG45" s="357"/>
      <c r="CH45" s="357"/>
      <c r="CI45" s="357"/>
      <c r="CJ45" s="357"/>
      <c r="CK45" s="357"/>
      <c r="CL45" s="357"/>
      <c r="CM45" s="357"/>
      <c r="CN45" s="357"/>
      <c r="CO45" s="357"/>
      <c r="CP45" s="357"/>
      <c r="CQ45" s="357"/>
      <c r="CR45" s="357"/>
      <c r="CS45" s="357"/>
      <c r="CT45" s="357"/>
      <c r="CU45" s="357"/>
      <c r="CV45" s="357"/>
      <c r="CW45" s="357"/>
      <c r="CX45" s="357"/>
      <c r="CY45" s="357"/>
      <c r="CZ45" s="357"/>
      <c r="DA45" s="357"/>
      <c r="DB45" s="357"/>
      <c r="DC45" s="357"/>
      <c r="DD45" s="357"/>
      <c r="DE45" s="357"/>
      <c r="DF45" s="357"/>
      <c r="DG45" s="357"/>
      <c r="DH45" s="357"/>
      <c r="DI45" s="357"/>
      <c r="DJ45" s="357"/>
      <c r="DK45" s="357"/>
      <c r="DL45" s="357"/>
      <c r="DM45" s="357"/>
      <c r="DN45" s="357"/>
      <c r="DO45" s="357"/>
      <c r="DP45" s="357"/>
      <c r="DQ45" s="357"/>
      <c r="DR45" s="357"/>
      <c r="DS45" s="357"/>
      <c r="DT45" s="357"/>
      <c r="DU45" s="357"/>
      <c r="DV45" s="357"/>
      <c r="DW45" s="357"/>
      <c r="DX45" s="357"/>
      <c r="DY45" s="357"/>
      <c r="DZ45" s="357"/>
      <c r="EA45" s="357"/>
      <c r="EB45" s="357"/>
      <c r="EC45" s="357"/>
      <c r="ED45" s="357"/>
      <c r="EE45" s="357"/>
      <c r="EF45" s="357"/>
      <c r="EG45" s="357"/>
      <c r="EH45" s="357"/>
      <c r="EI45" s="357"/>
      <c r="EJ45" s="357"/>
      <c r="EK45" s="357"/>
      <c r="EL45" s="357"/>
      <c r="EM45" s="357"/>
      <c r="EN45" s="357"/>
      <c r="EO45" s="357"/>
      <c r="EP45" s="357"/>
      <c r="EQ45" s="357"/>
      <c r="ER45" s="357"/>
      <c r="ES45" s="357"/>
      <c r="ET45" s="357"/>
      <c r="EU45" s="357"/>
      <c r="EV45" s="357"/>
      <c r="EW45" s="357"/>
      <c r="EX45" s="357"/>
      <c r="EY45" s="357"/>
      <c r="EZ45" s="357"/>
      <c r="FA45" s="357"/>
      <c r="FB45" s="357"/>
      <c r="FC45" s="357"/>
      <c r="FD45" s="357"/>
      <c r="FE45" s="357"/>
      <c r="FF45" s="357"/>
      <c r="FG45" s="357"/>
      <c r="FH45" s="357"/>
      <c r="FI45" s="357"/>
      <c r="FJ45" s="357"/>
      <c r="FK45" s="357"/>
      <c r="FL45" s="357"/>
      <c r="FM45" s="357"/>
      <c r="FN45" s="357"/>
      <c r="FO45" s="357"/>
      <c r="FP45" s="357"/>
      <c r="FQ45" s="357"/>
      <c r="FR45" s="357"/>
      <c r="FS45" s="357"/>
      <c r="FT45" s="357"/>
      <c r="FU45" s="357"/>
      <c r="FV45" s="357"/>
      <c r="FW45" s="357"/>
      <c r="FX45" s="357"/>
      <c r="FY45" s="357"/>
      <c r="FZ45" s="357"/>
      <c r="GA45" s="357"/>
      <c r="GB45" s="357"/>
      <c r="GC45" s="357"/>
      <c r="GD45" s="357"/>
      <c r="GE45" s="357"/>
      <c r="GF45" s="357"/>
      <c r="GG45" s="357"/>
      <c r="GH45" s="357"/>
      <c r="GI45" s="357"/>
      <c r="GJ45" s="357"/>
    </row>
    <row r="46" spans="3:192" ht="12.95" customHeight="1">
      <c r="Z46" s="357"/>
      <c r="AA46" s="357"/>
      <c r="AB46" s="357"/>
      <c r="AC46" s="357"/>
      <c r="AD46" s="357"/>
      <c r="AE46" s="357"/>
      <c r="AF46" s="357"/>
      <c r="AG46" s="357"/>
      <c r="AH46" s="357"/>
      <c r="AI46" s="357"/>
      <c r="AJ46" s="357"/>
      <c r="AK46" s="357"/>
      <c r="AL46" s="357"/>
      <c r="AM46" s="357"/>
      <c r="AN46" s="357"/>
      <c r="AO46" s="357"/>
      <c r="AP46" s="357"/>
      <c r="AQ46" s="357"/>
      <c r="AR46" s="357"/>
      <c r="AS46" s="357"/>
      <c r="AT46" s="357"/>
      <c r="AU46" s="357"/>
      <c r="AV46" s="357"/>
      <c r="AW46" s="357"/>
      <c r="AX46" s="357"/>
      <c r="AY46" s="357"/>
      <c r="AZ46" s="357"/>
      <c r="BA46" s="357"/>
      <c r="BB46" s="357"/>
      <c r="BC46" s="357"/>
      <c r="BD46" s="357"/>
      <c r="BE46" s="357"/>
      <c r="BF46" s="357"/>
      <c r="BG46" s="357"/>
      <c r="BH46" s="357"/>
      <c r="BI46" s="357"/>
      <c r="BJ46" s="357"/>
      <c r="BK46" s="357"/>
      <c r="BL46" s="357"/>
      <c r="BM46" s="357"/>
      <c r="BN46" s="357"/>
      <c r="BO46" s="357"/>
      <c r="BP46" s="357"/>
      <c r="BQ46" s="357"/>
      <c r="BR46" s="357"/>
      <c r="BS46" s="357"/>
      <c r="BT46" s="357"/>
      <c r="BU46" s="357"/>
      <c r="BV46" s="357"/>
      <c r="BW46" s="357"/>
      <c r="BX46" s="357"/>
      <c r="BY46" s="357"/>
      <c r="BZ46" s="357"/>
      <c r="CA46" s="357"/>
      <c r="CB46" s="357"/>
      <c r="CC46" s="357"/>
      <c r="CD46" s="357"/>
      <c r="CE46" s="357"/>
      <c r="CF46" s="357"/>
      <c r="CG46" s="357"/>
      <c r="CH46" s="357"/>
      <c r="CI46" s="357"/>
      <c r="CJ46" s="357"/>
      <c r="CK46" s="357"/>
      <c r="CL46" s="357"/>
      <c r="CM46" s="357"/>
      <c r="CN46" s="357"/>
      <c r="CO46" s="357"/>
      <c r="CP46" s="357"/>
      <c r="CQ46" s="357"/>
      <c r="CR46" s="357"/>
      <c r="CS46" s="357"/>
      <c r="CT46" s="357"/>
      <c r="CU46" s="357"/>
      <c r="CV46" s="357"/>
      <c r="CW46" s="357"/>
      <c r="CX46" s="357"/>
      <c r="CY46" s="357"/>
      <c r="CZ46" s="357"/>
      <c r="DA46" s="357"/>
      <c r="DB46" s="357"/>
      <c r="DC46" s="357"/>
      <c r="DD46" s="357"/>
      <c r="DE46" s="357"/>
      <c r="DF46" s="357"/>
      <c r="DG46" s="357"/>
      <c r="DH46" s="357"/>
      <c r="DI46" s="357"/>
      <c r="DJ46" s="357"/>
      <c r="DK46" s="357"/>
      <c r="DL46" s="357"/>
      <c r="DM46" s="357"/>
      <c r="DN46" s="357"/>
      <c r="DO46" s="357"/>
      <c r="DP46" s="357"/>
      <c r="DQ46" s="357"/>
      <c r="DR46" s="357"/>
      <c r="DS46" s="357"/>
      <c r="DT46" s="357"/>
      <c r="DU46" s="357"/>
      <c r="DV46" s="357"/>
      <c r="DW46" s="357"/>
      <c r="DX46" s="357"/>
      <c r="DY46" s="357"/>
      <c r="DZ46" s="357"/>
      <c r="EA46" s="357"/>
      <c r="EB46" s="357"/>
      <c r="EC46" s="357"/>
      <c r="ED46" s="357"/>
      <c r="EE46" s="357"/>
      <c r="EF46" s="357"/>
      <c r="EG46" s="357"/>
      <c r="EH46" s="357"/>
      <c r="EI46" s="357"/>
      <c r="EJ46" s="357"/>
      <c r="EK46" s="357"/>
      <c r="EL46" s="357"/>
      <c r="EM46" s="357"/>
      <c r="EN46" s="357"/>
      <c r="EO46" s="357"/>
      <c r="EP46" s="357"/>
      <c r="EQ46" s="357"/>
      <c r="ER46" s="357"/>
      <c r="ES46" s="357"/>
      <c r="ET46" s="357"/>
      <c r="EU46" s="357"/>
      <c r="EV46" s="357"/>
      <c r="EW46" s="357"/>
      <c r="EX46" s="357"/>
      <c r="EY46" s="357"/>
      <c r="EZ46" s="357"/>
      <c r="FA46" s="357"/>
      <c r="FB46" s="357"/>
      <c r="FC46" s="357"/>
      <c r="FD46" s="357"/>
      <c r="FE46" s="357"/>
      <c r="FF46" s="357"/>
      <c r="FG46" s="357"/>
      <c r="FH46" s="357"/>
      <c r="FI46" s="357"/>
      <c r="FJ46" s="357"/>
      <c r="FK46" s="357"/>
      <c r="FL46" s="357"/>
      <c r="FM46" s="357"/>
      <c r="FN46" s="357"/>
      <c r="FO46" s="357"/>
      <c r="FP46" s="357"/>
      <c r="FQ46" s="357"/>
      <c r="FR46" s="357"/>
      <c r="FS46" s="357"/>
      <c r="FT46" s="357"/>
      <c r="FU46" s="357"/>
      <c r="FV46" s="357"/>
      <c r="FW46" s="357"/>
      <c r="FX46" s="357"/>
      <c r="FY46" s="357"/>
      <c r="FZ46" s="357"/>
      <c r="GA46" s="357"/>
      <c r="GB46" s="357"/>
      <c r="GC46" s="357"/>
      <c r="GD46" s="357"/>
      <c r="GE46" s="357"/>
      <c r="GF46" s="357"/>
      <c r="GG46" s="357"/>
      <c r="GH46" s="357"/>
      <c r="GI46" s="357"/>
      <c r="GJ46" s="357"/>
    </row>
    <row r="47" spans="3:192" ht="12.95" customHeight="1">
      <c r="Z47" s="357"/>
      <c r="AA47" s="357"/>
      <c r="AB47" s="357"/>
      <c r="AC47" s="357"/>
      <c r="AD47" s="357"/>
      <c r="AE47" s="357"/>
      <c r="AF47" s="357"/>
      <c r="AG47" s="357"/>
      <c r="AH47" s="357"/>
      <c r="AI47" s="357"/>
      <c r="AJ47" s="357"/>
      <c r="AK47" s="357"/>
      <c r="AL47" s="357"/>
      <c r="AM47" s="357"/>
      <c r="AN47" s="357"/>
      <c r="AO47" s="357"/>
      <c r="AP47" s="357"/>
      <c r="AQ47" s="357"/>
      <c r="AR47" s="357"/>
      <c r="AS47" s="357"/>
      <c r="AT47" s="357"/>
      <c r="AU47" s="357"/>
      <c r="AV47" s="357"/>
      <c r="AW47" s="357"/>
      <c r="AX47" s="357"/>
      <c r="AY47" s="357"/>
      <c r="AZ47" s="357"/>
      <c r="BA47" s="357"/>
      <c r="BB47" s="357"/>
      <c r="BC47" s="357"/>
      <c r="BD47" s="357"/>
      <c r="BE47" s="357"/>
      <c r="BF47" s="357"/>
      <c r="BG47" s="357"/>
      <c r="BH47" s="357"/>
      <c r="BI47" s="357"/>
      <c r="BJ47" s="357"/>
      <c r="BK47" s="357"/>
      <c r="BL47" s="357"/>
      <c r="BM47" s="357"/>
      <c r="BN47" s="357"/>
      <c r="BO47" s="357"/>
      <c r="BP47" s="357"/>
      <c r="BQ47" s="357"/>
      <c r="BR47" s="357"/>
      <c r="BS47" s="357"/>
      <c r="BT47" s="357"/>
      <c r="BU47" s="357"/>
      <c r="BV47" s="357"/>
      <c r="BW47" s="357"/>
      <c r="BX47" s="357"/>
      <c r="BY47" s="357"/>
      <c r="BZ47" s="357"/>
      <c r="CA47" s="357"/>
      <c r="CB47" s="357"/>
      <c r="CC47" s="357"/>
      <c r="CD47" s="357"/>
      <c r="CE47" s="357"/>
      <c r="CF47" s="357"/>
      <c r="CG47" s="357"/>
      <c r="CH47" s="357"/>
      <c r="CI47" s="357"/>
      <c r="CJ47" s="357"/>
      <c r="CK47" s="357"/>
      <c r="CL47" s="357"/>
      <c r="CM47" s="357"/>
      <c r="CN47" s="357"/>
      <c r="CO47" s="357"/>
      <c r="CP47" s="357"/>
      <c r="CQ47" s="357"/>
      <c r="CR47" s="357"/>
      <c r="CS47" s="357"/>
      <c r="CT47" s="357"/>
      <c r="CU47" s="357"/>
      <c r="CV47" s="357"/>
      <c r="CW47" s="357"/>
      <c r="CX47" s="357"/>
      <c r="CY47" s="357"/>
      <c r="CZ47" s="357"/>
      <c r="DA47" s="357"/>
      <c r="DB47" s="357"/>
      <c r="DC47" s="357"/>
      <c r="DD47" s="357"/>
      <c r="DE47" s="357"/>
      <c r="DF47" s="357"/>
      <c r="DG47" s="357"/>
      <c r="DH47" s="357"/>
      <c r="DI47" s="357"/>
      <c r="DJ47" s="357"/>
      <c r="DK47" s="357"/>
      <c r="DL47" s="357"/>
      <c r="DM47" s="357"/>
      <c r="DN47" s="357"/>
      <c r="DO47" s="357"/>
      <c r="DP47" s="357"/>
      <c r="DQ47" s="357"/>
      <c r="DR47" s="357"/>
      <c r="DS47" s="357"/>
      <c r="DT47" s="357"/>
      <c r="DU47" s="357"/>
      <c r="DV47" s="357"/>
      <c r="DW47" s="357"/>
      <c r="DX47" s="357"/>
      <c r="DY47" s="357"/>
      <c r="DZ47" s="357"/>
      <c r="EA47" s="357"/>
      <c r="EB47" s="357"/>
      <c r="EC47" s="357"/>
      <c r="ED47" s="357"/>
      <c r="EE47" s="357"/>
      <c r="EF47" s="357"/>
      <c r="EG47" s="357"/>
      <c r="EH47" s="357"/>
      <c r="EI47" s="357"/>
      <c r="EJ47" s="357"/>
      <c r="EK47" s="357"/>
      <c r="EL47" s="357"/>
      <c r="EM47" s="357"/>
      <c r="EN47" s="357"/>
      <c r="EO47" s="357"/>
      <c r="EP47" s="357"/>
      <c r="EQ47" s="357"/>
      <c r="ER47" s="357"/>
      <c r="ES47" s="357"/>
      <c r="ET47" s="357"/>
      <c r="EU47" s="357"/>
      <c r="EV47" s="357"/>
      <c r="EW47" s="357"/>
      <c r="EX47" s="357"/>
      <c r="EY47" s="357"/>
      <c r="EZ47" s="357"/>
      <c r="FA47" s="357"/>
      <c r="FB47" s="357"/>
      <c r="FC47" s="357"/>
      <c r="FD47" s="357"/>
      <c r="FE47" s="357"/>
      <c r="FF47" s="357"/>
      <c r="FG47" s="357"/>
      <c r="FH47" s="357"/>
      <c r="FI47" s="357"/>
      <c r="FJ47" s="357"/>
      <c r="FK47" s="357"/>
      <c r="FL47" s="357"/>
      <c r="FM47" s="357"/>
      <c r="FN47" s="357"/>
      <c r="FO47" s="357"/>
      <c r="FP47" s="357"/>
      <c r="FQ47" s="357"/>
      <c r="FR47" s="357"/>
      <c r="FS47" s="357"/>
      <c r="FT47" s="357"/>
      <c r="FU47" s="357"/>
      <c r="FV47" s="357"/>
      <c r="FW47" s="357"/>
      <c r="FX47" s="357"/>
      <c r="FY47" s="357"/>
      <c r="FZ47" s="357"/>
      <c r="GA47" s="357"/>
      <c r="GB47" s="357"/>
      <c r="GC47" s="357"/>
      <c r="GD47" s="357"/>
      <c r="GE47" s="357"/>
      <c r="GF47" s="357"/>
      <c r="GG47" s="357"/>
      <c r="GH47" s="357"/>
      <c r="GI47" s="357"/>
      <c r="GJ47" s="357"/>
    </row>
    <row r="48" spans="3:192" ht="12.95" customHeight="1">
      <c r="Z48" s="357"/>
      <c r="AA48" s="357"/>
      <c r="AB48" s="357"/>
      <c r="AC48" s="357"/>
      <c r="AD48" s="357"/>
      <c r="AE48" s="357"/>
      <c r="AF48" s="357"/>
      <c r="AG48" s="357"/>
      <c r="AH48" s="357"/>
      <c r="AI48" s="357"/>
      <c r="AJ48" s="357"/>
      <c r="AK48" s="357"/>
      <c r="AL48" s="357"/>
      <c r="AM48" s="357"/>
      <c r="AN48" s="357"/>
      <c r="AO48" s="357"/>
      <c r="AP48" s="357"/>
      <c r="AQ48" s="357"/>
      <c r="AR48" s="357"/>
      <c r="AS48" s="357"/>
      <c r="AT48" s="357"/>
      <c r="AU48" s="357"/>
      <c r="AV48" s="357"/>
      <c r="AW48" s="357"/>
      <c r="AX48" s="357"/>
      <c r="AY48" s="357"/>
      <c r="AZ48" s="357"/>
      <c r="BA48" s="357"/>
      <c r="BB48" s="357"/>
      <c r="BC48" s="357"/>
      <c r="BD48" s="357"/>
      <c r="BE48" s="357"/>
      <c r="BF48" s="357"/>
      <c r="BG48" s="357"/>
      <c r="BH48" s="357"/>
      <c r="BI48" s="357"/>
      <c r="BJ48" s="357"/>
      <c r="BK48" s="357"/>
      <c r="BL48" s="357"/>
      <c r="BM48" s="357"/>
      <c r="BN48" s="357"/>
      <c r="BO48" s="357"/>
      <c r="BP48" s="357"/>
      <c r="BQ48" s="357"/>
      <c r="BR48" s="357"/>
      <c r="BS48" s="357"/>
      <c r="BT48" s="357"/>
      <c r="BU48" s="357"/>
      <c r="BV48" s="357"/>
      <c r="BW48" s="357"/>
      <c r="BX48" s="357"/>
      <c r="BY48" s="357"/>
      <c r="BZ48" s="357"/>
      <c r="CA48" s="357"/>
      <c r="CB48" s="357"/>
      <c r="CC48" s="357"/>
      <c r="CD48" s="357"/>
      <c r="CE48" s="357"/>
      <c r="CF48" s="357"/>
      <c r="CG48" s="357"/>
      <c r="CH48" s="357"/>
      <c r="CI48" s="357"/>
      <c r="CJ48" s="357"/>
      <c r="CK48" s="357"/>
      <c r="CL48" s="357"/>
      <c r="CM48" s="357"/>
      <c r="CN48" s="357"/>
      <c r="CO48" s="357"/>
      <c r="CP48" s="357"/>
      <c r="CQ48" s="357"/>
      <c r="CR48" s="357"/>
      <c r="CS48" s="357"/>
      <c r="CT48" s="357"/>
      <c r="CU48" s="357"/>
      <c r="CV48" s="357"/>
      <c r="CW48" s="357"/>
      <c r="CX48" s="357"/>
      <c r="CY48" s="357"/>
      <c r="CZ48" s="357"/>
      <c r="DA48" s="357"/>
      <c r="DB48" s="357"/>
      <c r="DC48" s="357"/>
      <c r="DD48" s="357"/>
      <c r="DE48" s="357"/>
      <c r="DF48" s="357"/>
      <c r="DG48" s="357"/>
      <c r="DH48" s="357"/>
      <c r="DI48" s="357"/>
      <c r="DJ48" s="357"/>
      <c r="DK48" s="357"/>
      <c r="DL48" s="357"/>
      <c r="DM48" s="357"/>
      <c r="DN48" s="357"/>
      <c r="DO48" s="357"/>
      <c r="DP48" s="357"/>
      <c r="DQ48" s="357"/>
      <c r="DR48" s="357"/>
      <c r="DS48" s="357"/>
      <c r="DT48" s="357"/>
      <c r="DU48" s="357"/>
      <c r="DV48" s="357"/>
      <c r="DW48" s="357"/>
      <c r="DX48" s="357"/>
      <c r="DY48" s="357"/>
      <c r="DZ48" s="357"/>
      <c r="EA48" s="357"/>
      <c r="EB48" s="357"/>
      <c r="EC48" s="357"/>
      <c r="ED48" s="357"/>
      <c r="EE48" s="357"/>
      <c r="EF48" s="357"/>
      <c r="EG48" s="357"/>
      <c r="EH48" s="357"/>
      <c r="EI48" s="357"/>
      <c r="EJ48" s="357"/>
      <c r="EK48" s="357"/>
      <c r="EL48" s="357"/>
      <c r="EM48" s="357"/>
      <c r="EN48" s="357"/>
      <c r="EO48" s="357"/>
      <c r="EP48" s="357"/>
      <c r="EQ48" s="357"/>
      <c r="ER48" s="357"/>
      <c r="ES48" s="357"/>
      <c r="ET48" s="357"/>
      <c r="EU48" s="357"/>
      <c r="EV48" s="357"/>
      <c r="EW48" s="357"/>
      <c r="EX48" s="357"/>
      <c r="EY48" s="357"/>
      <c r="EZ48" s="357"/>
      <c r="FA48" s="357"/>
      <c r="FB48" s="357"/>
      <c r="FC48" s="357"/>
      <c r="FD48" s="357"/>
      <c r="FE48" s="357"/>
      <c r="FF48" s="357"/>
      <c r="FG48" s="357"/>
      <c r="FH48" s="357"/>
      <c r="FI48" s="357"/>
      <c r="FJ48" s="357"/>
      <c r="FK48" s="357"/>
      <c r="FL48" s="357"/>
      <c r="FM48" s="357"/>
      <c r="FN48" s="357"/>
      <c r="FO48" s="357"/>
      <c r="FP48" s="357"/>
      <c r="FQ48" s="357"/>
      <c r="FR48" s="357"/>
      <c r="FS48" s="357"/>
      <c r="FT48" s="357"/>
      <c r="FU48" s="357"/>
      <c r="FV48" s="357"/>
      <c r="FW48" s="357"/>
      <c r="FX48" s="357"/>
      <c r="FY48" s="357"/>
      <c r="FZ48" s="357"/>
      <c r="GA48" s="357"/>
      <c r="GB48" s="357"/>
      <c r="GC48" s="357"/>
      <c r="GD48" s="357"/>
      <c r="GE48" s="357"/>
      <c r="GF48" s="357"/>
      <c r="GG48" s="357"/>
      <c r="GH48" s="357"/>
      <c r="GI48" s="357"/>
      <c r="GJ48" s="357"/>
    </row>
    <row r="49" spans="3:192" ht="12.95" customHeight="1">
      <c r="Z49" s="357"/>
      <c r="AA49" s="357"/>
      <c r="AB49" s="357"/>
      <c r="AC49" s="357"/>
      <c r="AD49" s="357"/>
      <c r="AE49" s="357"/>
      <c r="AF49" s="357"/>
      <c r="AG49" s="357"/>
      <c r="AH49" s="357"/>
      <c r="AI49" s="357"/>
      <c r="AJ49" s="357"/>
      <c r="AK49" s="357"/>
      <c r="AL49" s="357"/>
      <c r="AM49" s="357"/>
      <c r="AN49" s="357"/>
      <c r="AO49" s="357"/>
      <c r="AP49" s="357"/>
      <c r="AQ49" s="357"/>
      <c r="AR49" s="357"/>
      <c r="AS49" s="357"/>
      <c r="AT49" s="357"/>
      <c r="AU49" s="357"/>
      <c r="AV49" s="357"/>
      <c r="AW49" s="357"/>
      <c r="AX49" s="357"/>
      <c r="AY49" s="357"/>
      <c r="AZ49" s="357"/>
      <c r="BA49" s="357"/>
      <c r="BB49" s="357"/>
      <c r="BC49" s="357"/>
      <c r="BD49" s="357"/>
      <c r="BE49" s="357"/>
      <c r="BF49" s="357"/>
      <c r="BG49" s="357"/>
      <c r="BH49" s="357"/>
      <c r="BI49" s="357"/>
      <c r="BJ49" s="357"/>
      <c r="BK49" s="357"/>
      <c r="BL49" s="357"/>
      <c r="BM49" s="357"/>
      <c r="BN49" s="357"/>
      <c r="BO49" s="357"/>
      <c r="BP49" s="357"/>
      <c r="BQ49" s="357"/>
      <c r="BR49" s="357"/>
      <c r="BS49" s="357"/>
      <c r="BT49" s="357"/>
      <c r="BU49" s="357"/>
      <c r="BV49" s="357"/>
      <c r="BW49" s="357"/>
      <c r="BX49" s="357"/>
      <c r="BY49" s="357"/>
      <c r="BZ49" s="357"/>
      <c r="CA49" s="357"/>
      <c r="CB49" s="357"/>
      <c r="CC49" s="357"/>
      <c r="CD49" s="357"/>
      <c r="CE49" s="357"/>
      <c r="CF49" s="357"/>
      <c r="CG49" s="357"/>
      <c r="CH49" s="357"/>
      <c r="CI49" s="357"/>
      <c r="CJ49" s="357"/>
      <c r="CK49" s="357"/>
      <c r="CL49" s="357"/>
      <c r="CM49" s="357"/>
      <c r="CN49" s="357"/>
      <c r="CO49" s="357"/>
      <c r="CP49" s="357"/>
      <c r="CQ49" s="357"/>
      <c r="CR49" s="357"/>
      <c r="CS49" s="357"/>
      <c r="CT49" s="357"/>
      <c r="CU49" s="357"/>
      <c r="CV49" s="357"/>
      <c r="CW49" s="357"/>
      <c r="CX49" s="357"/>
      <c r="CY49" s="357"/>
      <c r="CZ49" s="357"/>
      <c r="DA49" s="357"/>
      <c r="DB49" s="357"/>
      <c r="DC49" s="357"/>
      <c r="DD49" s="357"/>
      <c r="DE49" s="357"/>
      <c r="DF49" s="357"/>
      <c r="DG49" s="357"/>
      <c r="DH49" s="357"/>
      <c r="DI49" s="357"/>
      <c r="DJ49" s="357"/>
      <c r="DK49" s="357"/>
      <c r="DL49" s="357"/>
      <c r="DM49" s="357"/>
      <c r="DN49" s="357"/>
      <c r="DO49" s="357"/>
      <c r="DP49" s="357"/>
      <c r="DQ49" s="357"/>
      <c r="DR49" s="357"/>
      <c r="DS49" s="357"/>
      <c r="DT49" s="357"/>
      <c r="DU49" s="357"/>
      <c r="DV49" s="357"/>
      <c r="DW49" s="357"/>
      <c r="DX49" s="357"/>
      <c r="DY49" s="357"/>
      <c r="DZ49" s="357"/>
      <c r="EA49" s="357"/>
      <c r="EB49" s="357"/>
      <c r="EC49" s="357"/>
      <c r="ED49" s="357"/>
      <c r="EE49" s="357"/>
      <c r="EF49" s="357"/>
      <c r="EG49" s="357"/>
      <c r="EH49" s="357"/>
      <c r="EI49" s="357"/>
      <c r="EJ49" s="357"/>
      <c r="EK49" s="357"/>
      <c r="EL49" s="357"/>
      <c r="EM49" s="357"/>
      <c r="EN49" s="357"/>
      <c r="EO49" s="357"/>
      <c r="EP49" s="357"/>
      <c r="EQ49" s="357"/>
      <c r="ER49" s="357"/>
      <c r="ES49" s="357"/>
      <c r="ET49" s="357"/>
      <c r="EU49" s="357"/>
      <c r="EV49" s="357"/>
      <c r="EW49" s="357"/>
      <c r="EX49" s="357"/>
      <c r="EY49" s="357"/>
      <c r="EZ49" s="357"/>
      <c r="FA49" s="357"/>
      <c r="FB49" s="357"/>
      <c r="FC49" s="357"/>
      <c r="FD49" s="357"/>
      <c r="FE49" s="357"/>
      <c r="FF49" s="357"/>
      <c r="FG49" s="357"/>
      <c r="FH49" s="357"/>
      <c r="FI49" s="357"/>
      <c r="FJ49" s="357"/>
      <c r="FK49" s="357"/>
      <c r="FL49" s="357"/>
      <c r="FM49" s="357"/>
      <c r="FN49" s="357"/>
      <c r="FO49" s="357"/>
      <c r="FP49" s="357"/>
      <c r="FQ49" s="357"/>
      <c r="FR49" s="357"/>
      <c r="FS49" s="357"/>
      <c r="FT49" s="357"/>
      <c r="FU49" s="357"/>
      <c r="FV49" s="357"/>
      <c r="FW49" s="357"/>
      <c r="FX49" s="357"/>
      <c r="FY49" s="357"/>
      <c r="FZ49" s="357"/>
      <c r="GA49" s="357"/>
      <c r="GB49" s="357"/>
      <c r="GC49" s="357"/>
      <c r="GD49" s="357"/>
      <c r="GE49" s="357"/>
      <c r="GF49" s="357"/>
      <c r="GG49" s="357"/>
      <c r="GH49" s="357"/>
      <c r="GI49" s="357"/>
      <c r="GJ49" s="357"/>
    </row>
    <row r="50" spans="3:192" ht="12.95" customHeight="1">
      <c r="Z50" s="357"/>
      <c r="AA50" s="357"/>
      <c r="AB50" s="357"/>
      <c r="AC50" s="357"/>
      <c r="AD50" s="357"/>
      <c r="AE50" s="357"/>
      <c r="AF50" s="357"/>
      <c r="AG50" s="357"/>
      <c r="AH50" s="357"/>
      <c r="AI50" s="357"/>
      <c r="AJ50" s="357"/>
      <c r="AK50" s="357"/>
      <c r="AL50" s="357"/>
      <c r="AM50" s="357"/>
      <c r="AN50" s="357"/>
      <c r="AO50" s="357"/>
      <c r="AP50" s="357"/>
      <c r="AQ50" s="357"/>
      <c r="AR50" s="357"/>
      <c r="AS50" s="357"/>
      <c r="AT50" s="357"/>
      <c r="AU50" s="357"/>
      <c r="AV50" s="357"/>
      <c r="AW50" s="357"/>
      <c r="AX50" s="357"/>
      <c r="AY50" s="357"/>
      <c r="AZ50" s="357"/>
      <c r="BA50" s="357"/>
      <c r="BB50" s="357"/>
      <c r="BC50" s="357"/>
      <c r="BD50" s="357"/>
      <c r="BE50" s="357"/>
      <c r="BF50" s="357"/>
      <c r="BG50" s="357"/>
      <c r="BH50" s="357"/>
      <c r="BI50" s="357"/>
      <c r="BJ50" s="357"/>
      <c r="BK50" s="357"/>
      <c r="BL50" s="357"/>
      <c r="BM50" s="357"/>
      <c r="BN50" s="357"/>
      <c r="BO50" s="357"/>
      <c r="BP50" s="357"/>
      <c r="BQ50" s="357"/>
      <c r="BR50" s="357"/>
      <c r="BS50" s="357"/>
      <c r="BT50" s="357"/>
      <c r="BU50" s="357"/>
      <c r="BV50" s="357"/>
      <c r="BW50" s="357"/>
      <c r="BX50" s="357"/>
      <c r="BY50" s="357"/>
      <c r="BZ50" s="357"/>
      <c r="CA50" s="357"/>
      <c r="CB50" s="357"/>
      <c r="CC50" s="357"/>
      <c r="CD50" s="357"/>
      <c r="CE50" s="357"/>
      <c r="CF50" s="357"/>
      <c r="CG50" s="357"/>
      <c r="CH50" s="357"/>
      <c r="CI50" s="357"/>
      <c r="CJ50" s="357"/>
      <c r="CK50" s="357"/>
      <c r="CL50" s="357"/>
      <c r="CM50" s="357"/>
      <c r="CN50" s="357"/>
      <c r="CO50" s="357"/>
      <c r="CP50" s="357"/>
      <c r="CQ50" s="357"/>
      <c r="CR50" s="357"/>
      <c r="CS50" s="357"/>
      <c r="CT50" s="357"/>
      <c r="CU50" s="357"/>
      <c r="CV50" s="357"/>
      <c r="CW50" s="357"/>
      <c r="CX50" s="357"/>
      <c r="CY50" s="357"/>
      <c r="CZ50" s="357"/>
      <c r="DA50" s="357"/>
      <c r="DB50" s="357"/>
      <c r="DC50" s="357"/>
      <c r="DD50" s="357"/>
      <c r="DE50" s="357"/>
      <c r="DF50" s="357"/>
      <c r="DG50" s="357"/>
      <c r="DH50" s="357"/>
      <c r="DI50" s="357"/>
      <c r="DJ50" s="357"/>
      <c r="DK50" s="357"/>
      <c r="DL50" s="357"/>
      <c r="DM50" s="357"/>
      <c r="DN50" s="357"/>
      <c r="DO50" s="357"/>
      <c r="DP50" s="357"/>
      <c r="DQ50" s="357"/>
      <c r="DR50" s="357"/>
      <c r="DS50" s="357"/>
      <c r="DT50" s="357"/>
      <c r="DU50" s="357"/>
      <c r="DV50" s="357"/>
      <c r="DW50" s="357"/>
      <c r="DX50" s="357"/>
      <c r="DY50" s="357"/>
      <c r="DZ50" s="357"/>
      <c r="EA50" s="357"/>
      <c r="EB50" s="357"/>
      <c r="EC50" s="357"/>
      <c r="ED50" s="357"/>
      <c r="EE50" s="357"/>
      <c r="EF50" s="357"/>
      <c r="EG50" s="357"/>
      <c r="EH50" s="357"/>
      <c r="EI50" s="357"/>
      <c r="EJ50" s="357"/>
      <c r="EK50" s="357"/>
      <c r="EL50" s="357"/>
      <c r="EM50" s="357"/>
      <c r="EN50" s="357"/>
      <c r="EO50" s="357"/>
      <c r="EP50" s="357"/>
      <c r="EQ50" s="357"/>
      <c r="ER50" s="357"/>
      <c r="ES50" s="357"/>
      <c r="ET50" s="357"/>
      <c r="EU50" s="357"/>
      <c r="EV50" s="357"/>
      <c r="EW50" s="357"/>
      <c r="EX50" s="357"/>
      <c r="EY50" s="357"/>
      <c r="EZ50" s="357"/>
      <c r="FA50" s="357"/>
      <c r="FB50" s="357"/>
      <c r="FC50" s="357"/>
      <c r="FD50" s="357"/>
      <c r="FE50" s="357"/>
      <c r="FF50" s="357"/>
      <c r="FG50" s="357"/>
      <c r="FH50" s="357"/>
      <c r="FI50" s="357"/>
      <c r="FJ50" s="357"/>
      <c r="FK50" s="357"/>
      <c r="FL50" s="357"/>
      <c r="FM50" s="357"/>
      <c r="FN50" s="357"/>
      <c r="FO50" s="357"/>
      <c r="FP50" s="357"/>
      <c r="FQ50" s="357"/>
      <c r="FR50" s="357"/>
      <c r="FS50" s="357"/>
      <c r="FT50" s="357"/>
      <c r="FU50" s="357"/>
      <c r="FV50" s="357"/>
      <c r="FW50" s="357"/>
      <c r="FX50" s="357"/>
      <c r="FY50" s="357"/>
      <c r="FZ50" s="357"/>
      <c r="GA50" s="357"/>
      <c r="GB50" s="357"/>
      <c r="GC50" s="357"/>
      <c r="GD50" s="357"/>
      <c r="GE50" s="357"/>
      <c r="GF50" s="357"/>
      <c r="GG50" s="357"/>
      <c r="GH50" s="357"/>
      <c r="GI50" s="357"/>
      <c r="GJ50" s="357"/>
    </row>
    <row r="51" spans="3:192" ht="12.95" customHeight="1">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357"/>
      <c r="BC51" s="357"/>
      <c r="BD51" s="357"/>
      <c r="BE51" s="357"/>
      <c r="BF51" s="357"/>
      <c r="BG51" s="357"/>
      <c r="BH51" s="357"/>
      <c r="BI51" s="357"/>
      <c r="BJ51" s="357"/>
      <c r="BK51" s="357"/>
      <c r="BL51" s="357"/>
      <c r="BM51" s="357"/>
      <c r="BN51" s="357"/>
      <c r="BO51" s="357"/>
      <c r="BP51" s="357"/>
      <c r="BQ51" s="357"/>
      <c r="BR51" s="357"/>
      <c r="BS51" s="357"/>
      <c r="BT51" s="357"/>
      <c r="BU51" s="357"/>
      <c r="BV51" s="357"/>
      <c r="BW51" s="357"/>
      <c r="BX51" s="357"/>
      <c r="BY51" s="357"/>
      <c r="BZ51" s="357"/>
      <c r="CA51" s="357"/>
      <c r="CB51" s="357"/>
      <c r="CC51" s="357"/>
      <c r="CD51" s="357"/>
      <c r="CE51" s="357"/>
      <c r="CF51" s="357"/>
      <c r="CG51" s="357"/>
      <c r="CH51" s="357"/>
      <c r="CI51" s="357"/>
      <c r="CJ51" s="357"/>
      <c r="CK51" s="357"/>
      <c r="CL51" s="357"/>
      <c r="CM51" s="357"/>
      <c r="CN51" s="357"/>
      <c r="CO51" s="357"/>
      <c r="CP51" s="357"/>
      <c r="CQ51" s="357"/>
      <c r="CR51" s="357"/>
      <c r="CS51" s="357"/>
      <c r="CT51" s="357"/>
      <c r="CU51" s="357"/>
      <c r="CV51" s="357"/>
      <c r="CW51" s="357"/>
      <c r="CX51" s="357"/>
      <c r="CY51" s="357"/>
      <c r="CZ51" s="357"/>
      <c r="DA51" s="357"/>
      <c r="DB51" s="357"/>
      <c r="DC51" s="357"/>
      <c r="DD51" s="357"/>
      <c r="DE51" s="357"/>
      <c r="DF51" s="357"/>
      <c r="DG51" s="357"/>
      <c r="DH51" s="357"/>
      <c r="DI51" s="357"/>
      <c r="DJ51" s="357"/>
      <c r="DK51" s="357"/>
      <c r="DL51" s="357"/>
      <c r="DM51" s="357"/>
      <c r="DN51" s="357"/>
      <c r="DO51" s="357"/>
      <c r="DP51" s="357"/>
      <c r="DQ51" s="357"/>
      <c r="DR51" s="357"/>
      <c r="DS51" s="357"/>
      <c r="DT51" s="357"/>
      <c r="DU51" s="357"/>
      <c r="DV51" s="357"/>
      <c r="DW51" s="357"/>
      <c r="DX51" s="357"/>
      <c r="DY51" s="357"/>
      <c r="DZ51" s="357"/>
      <c r="EA51" s="357"/>
      <c r="EB51" s="357"/>
      <c r="EC51" s="357"/>
      <c r="ED51" s="357"/>
      <c r="EE51" s="357"/>
      <c r="EF51" s="357"/>
      <c r="EG51" s="357"/>
      <c r="EH51" s="357"/>
      <c r="EI51" s="357"/>
      <c r="EJ51" s="357"/>
      <c r="EK51" s="357"/>
      <c r="EL51" s="357"/>
      <c r="EM51" s="357"/>
      <c r="EN51" s="357"/>
      <c r="EO51" s="357"/>
      <c r="EP51" s="357"/>
      <c r="EQ51" s="357"/>
      <c r="ER51" s="357"/>
      <c r="ES51" s="357"/>
      <c r="ET51" s="357"/>
      <c r="EU51" s="357"/>
      <c r="EV51" s="357"/>
      <c r="EW51" s="357"/>
      <c r="EX51" s="357"/>
      <c r="EY51" s="357"/>
      <c r="EZ51" s="357"/>
      <c r="FA51" s="357"/>
      <c r="FB51" s="357"/>
      <c r="FC51" s="357"/>
      <c r="FD51" s="357"/>
      <c r="FE51" s="357"/>
      <c r="FF51" s="357"/>
      <c r="FG51" s="357"/>
      <c r="FH51" s="357"/>
      <c r="FI51" s="357"/>
      <c r="FJ51" s="357"/>
      <c r="FK51" s="357"/>
      <c r="FL51" s="357"/>
      <c r="FM51" s="357"/>
      <c r="FN51" s="357"/>
      <c r="FO51" s="357"/>
      <c r="FP51" s="357"/>
      <c r="FQ51" s="357"/>
      <c r="FR51" s="357"/>
      <c r="FS51" s="357"/>
      <c r="FT51" s="357"/>
      <c r="FU51" s="357"/>
      <c r="FV51" s="357"/>
      <c r="FW51" s="357"/>
      <c r="FX51" s="357"/>
      <c r="FY51" s="357"/>
      <c r="FZ51" s="357"/>
      <c r="GA51" s="357"/>
      <c r="GB51" s="357"/>
      <c r="GC51" s="357"/>
      <c r="GD51" s="357"/>
      <c r="GE51" s="357"/>
      <c r="GF51" s="357"/>
      <c r="GG51" s="357"/>
      <c r="GH51" s="357"/>
      <c r="GI51" s="357"/>
      <c r="GJ51" s="357"/>
    </row>
    <row r="52" spans="3:192" ht="12.95" customHeight="1">
      <c r="Z52" s="357"/>
      <c r="AA52" s="357"/>
      <c r="AB52" s="357"/>
      <c r="AC52" s="357"/>
      <c r="AD52" s="357"/>
      <c r="AE52" s="357"/>
      <c r="AF52" s="357"/>
      <c r="AG52" s="357"/>
      <c r="AH52" s="357"/>
      <c r="AI52" s="357"/>
      <c r="AJ52" s="357"/>
      <c r="AK52" s="357"/>
      <c r="AL52" s="357"/>
      <c r="AM52" s="357"/>
      <c r="AN52" s="357"/>
      <c r="AO52" s="357"/>
      <c r="AP52" s="357"/>
      <c r="AQ52" s="357"/>
      <c r="AR52" s="357"/>
      <c r="AS52" s="357"/>
      <c r="AT52" s="357"/>
      <c r="AU52" s="357"/>
      <c r="AV52" s="357"/>
      <c r="AW52" s="357"/>
      <c r="AX52" s="357"/>
      <c r="AY52" s="357"/>
      <c r="AZ52" s="357"/>
      <c r="BA52" s="357"/>
      <c r="BB52" s="357"/>
      <c r="BC52" s="357"/>
      <c r="BD52" s="357"/>
      <c r="BE52" s="357"/>
      <c r="BF52" s="357"/>
      <c r="BG52" s="357"/>
      <c r="BH52" s="357"/>
      <c r="BI52" s="357"/>
      <c r="BJ52" s="357"/>
      <c r="BK52" s="357"/>
      <c r="BL52" s="357"/>
      <c r="BM52" s="357"/>
      <c r="BN52" s="357"/>
      <c r="BO52" s="357"/>
      <c r="BP52" s="357"/>
      <c r="BQ52" s="357"/>
      <c r="BR52" s="357"/>
      <c r="BS52" s="357"/>
      <c r="BT52" s="357"/>
      <c r="BU52" s="357"/>
      <c r="BV52" s="357"/>
      <c r="BW52" s="357"/>
      <c r="BX52" s="357"/>
      <c r="BY52" s="357"/>
      <c r="BZ52" s="357"/>
      <c r="CA52" s="357"/>
      <c r="CB52" s="357"/>
      <c r="CC52" s="357"/>
      <c r="CD52" s="357"/>
      <c r="CE52" s="357"/>
      <c r="CF52" s="357"/>
      <c r="CG52" s="357"/>
      <c r="CH52" s="357"/>
      <c r="CI52" s="357"/>
      <c r="CJ52" s="357"/>
      <c r="CK52" s="357"/>
      <c r="CL52" s="357"/>
      <c r="CM52" s="357"/>
      <c r="CN52" s="357"/>
      <c r="CO52" s="357"/>
      <c r="CP52" s="357"/>
      <c r="CQ52" s="357"/>
      <c r="CR52" s="357"/>
      <c r="CS52" s="357"/>
      <c r="CT52" s="357"/>
      <c r="CU52" s="357"/>
      <c r="CV52" s="357"/>
      <c r="CW52" s="357"/>
      <c r="CX52" s="357"/>
      <c r="CY52" s="357"/>
      <c r="CZ52" s="357"/>
      <c r="DA52" s="357"/>
      <c r="DB52" s="357"/>
      <c r="DC52" s="357"/>
      <c r="DD52" s="357"/>
      <c r="DE52" s="357"/>
      <c r="DF52" s="357"/>
      <c r="DG52" s="357"/>
      <c r="DH52" s="357"/>
      <c r="DI52" s="357"/>
      <c r="DJ52" s="357"/>
      <c r="DK52" s="357"/>
      <c r="DL52" s="357"/>
      <c r="DM52" s="357"/>
      <c r="DN52" s="357"/>
      <c r="DO52" s="357"/>
      <c r="DP52" s="357"/>
      <c r="DQ52" s="357"/>
      <c r="DR52" s="357"/>
      <c r="DS52" s="357"/>
      <c r="DT52" s="357"/>
      <c r="DU52" s="357"/>
      <c r="DV52" s="357"/>
      <c r="DW52" s="357"/>
      <c r="DX52" s="357"/>
      <c r="DY52" s="357"/>
      <c r="DZ52" s="357"/>
      <c r="EA52" s="357"/>
      <c r="EB52" s="357"/>
      <c r="EC52" s="357"/>
      <c r="ED52" s="357"/>
      <c r="EE52" s="357"/>
      <c r="EF52" s="357"/>
      <c r="EG52" s="357"/>
      <c r="EH52" s="357"/>
      <c r="EI52" s="357"/>
      <c r="EJ52" s="357"/>
      <c r="EK52" s="357"/>
      <c r="EL52" s="357"/>
      <c r="EM52" s="357"/>
      <c r="EN52" s="357"/>
      <c r="EO52" s="357"/>
      <c r="EP52" s="357"/>
      <c r="EQ52" s="357"/>
      <c r="ER52" s="357"/>
      <c r="ES52" s="357"/>
      <c r="ET52" s="357"/>
      <c r="EU52" s="357"/>
      <c r="EV52" s="357"/>
      <c r="EW52" s="357"/>
      <c r="EX52" s="357"/>
      <c r="EY52" s="357"/>
      <c r="EZ52" s="357"/>
      <c r="FA52" s="357"/>
      <c r="FB52" s="357"/>
      <c r="FC52" s="357"/>
      <c r="FD52" s="357"/>
      <c r="FE52" s="357"/>
      <c r="FF52" s="357"/>
      <c r="FG52" s="357"/>
      <c r="FH52" s="357"/>
      <c r="FI52" s="357"/>
      <c r="FJ52" s="357"/>
      <c r="FK52" s="357"/>
      <c r="FL52" s="357"/>
      <c r="FM52" s="357"/>
      <c r="FN52" s="357"/>
      <c r="FO52" s="357"/>
      <c r="FP52" s="357"/>
      <c r="FQ52" s="357"/>
      <c r="FR52" s="357"/>
      <c r="FS52" s="357"/>
      <c r="FT52" s="357"/>
      <c r="FU52" s="357"/>
      <c r="FV52" s="357"/>
      <c r="FW52" s="357"/>
      <c r="FX52" s="357"/>
      <c r="FY52" s="357"/>
      <c r="FZ52" s="357"/>
      <c r="GA52" s="357"/>
      <c r="GB52" s="357"/>
      <c r="GC52" s="357"/>
      <c r="GD52" s="357"/>
      <c r="GE52" s="357"/>
      <c r="GF52" s="357"/>
      <c r="GG52" s="357"/>
      <c r="GH52" s="357"/>
      <c r="GI52" s="357"/>
      <c r="GJ52" s="357"/>
    </row>
    <row r="53" spans="3:192" ht="12.95" customHeight="1">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357"/>
      <c r="BC53" s="357"/>
      <c r="BD53" s="357"/>
      <c r="BE53" s="357"/>
      <c r="BF53" s="357"/>
      <c r="BG53" s="357"/>
      <c r="BH53" s="357"/>
      <c r="BI53" s="357"/>
      <c r="BJ53" s="357"/>
      <c r="BK53" s="357"/>
      <c r="BL53" s="357"/>
      <c r="BM53" s="357"/>
      <c r="BN53" s="357"/>
      <c r="BO53" s="357"/>
      <c r="BP53" s="357"/>
      <c r="BQ53" s="357"/>
      <c r="BR53" s="357"/>
      <c r="BS53" s="357"/>
      <c r="BT53" s="357"/>
      <c r="BU53" s="357"/>
      <c r="BV53" s="357"/>
      <c r="BW53" s="357"/>
      <c r="BX53" s="357"/>
      <c r="BY53" s="357"/>
      <c r="BZ53" s="357"/>
      <c r="CA53" s="357"/>
      <c r="CB53" s="357"/>
      <c r="CC53" s="357"/>
      <c r="CD53" s="357"/>
      <c r="CE53" s="357"/>
      <c r="CF53" s="357"/>
      <c r="CG53" s="357"/>
      <c r="CH53" s="357"/>
      <c r="CI53" s="357"/>
      <c r="CJ53" s="357"/>
      <c r="CK53" s="357"/>
      <c r="CL53" s="357"/>
      <c r="CM53" s="357"/>
      <c r="CN53" s="357"/>
      <c r="CO53" s="357"/>
      <c r="CP53" s="357"/>
      <c r="CQ53" s="357"/>
      <c r="CR53" s="357"/>
      <c r="CS53" s="357"/>
      <c r="CT53" s="357"/>
      <c r="CU53" s="357"/>
      <c r="CV53" s="357"/>
      <c r="CW53" s="357"/>
      <c r="CX53" s="357"/>
      <c r="CY53" s="357"/>
      <c r="CZ53" s="357"/>
      <c r="DA53" s="357"/>
      <c r="DB53" s="357"/>
      <c r="DC53" s="357"/>
      <c r="DD53" s="357"/>
      <c r="DE53" s="357"/>
      <c r="DF53" s="357"/>
      <c r="DG53" s="357"/>
      <c r="DH53" s="357"/>
      <c r="DI53" s="357"/>
      <c r="DJ53" s="357"/>
      <c r="DK53" s="357"/>
      <c r="DL53" s="357"/>
      <c r="DM53" s="357"/>
      <c r="DN53" s="357"/>
      <c r="DO53" s="357"/>
      <c r="DP53" s="357"/>
      <c r="DQ53" s="357"/>
      <c r="DR53" s="357"/>
      <c r="DS53" s="357"/>
      <c r="DT53" s="357"/>
      <c r="DU53" s="357"/>
      <c r="DV53" s="357"/>
      <c r="DW53" s="357"/>
      <c r="DX53" s="357"/>
      <c r="DY53" s="357"/>
      <c r="DZ53" s="357"/>
      <c r="EA53" s="357"/>
      <c r="EB53" s="357"/>
      <c r="EC53" s="357"/>
      <c r="ED53" s="357"/>
      <c r="EE53" s="357"/>
      <c r="EF53" s="357"/>
      <c r="EG53" s="357"/>
      <c r="EH53" s="357"/>
      <c r="EI53" s="357"/>
      <c r="EJ53" s="357"/>
      <c r="EK53" s="357"/>
      <c r="EL53" s="357"/>
      <c r="EM53" s="357"/>
      <c r="EN53" s="357"/>
      <c r="EO53" s="357"/>
      <c r="EP53" s="357"/>
      <c r="EQ53" s="357"/>
      <c r="ER53" s="357"/>
      <c r="ES53" s="357"/>
      <c r="ET53" s="357"/>
      <c r="EU53" s="357"/>
      <c r="EV53" s="357"/>
      <c r="EW53" s="357"/>
      <c r="EX53" s="357"/>
      <c r="EY53" s="357"/>
      <c r="EZ53" s="357"/>
      <c r="FA53" s="357"/>
      <c r="FB53" s="357"/>
      <c r="FC53" s="357"/>
      <c r="FD53" s="357"/>
      <c r="FE53" s="357"/>
      <c r="FF53" s="357"/>
      <c r="FG53" s="357"/>
      <c r="FH53" s="357"/>
      <c r="FI53" s="357"/>
      <c r="FJ53" s="357"/>
      <c r="FK53" s="357"/>
      <c r="FL53" s="357"/>
      <c r="FM53" s="357"/>
      <c r="FN53" s="357"/>
      <c r="FO53" s="357"/>
      <c r="FP53" s="357"/>
      <c r="FQ53" s="357"/>
      <c r="FR53" s="357"/>
      <c r="FS53" s="357"/>
      <c r="FT53" s="357"/>
      <c r="FU53" s="357"/>
      <c r="FV53" s="357"/>
      <c r="FW53" s="357"/>
      <c r="FX53" s="357"/>
      <c r="FY53" s="357"/>
      <c r="FZ53" s="357"/>
      <c r="GA53" s="357"/>
      <c r="GB53" s="357"/>
      <c r="GC53" s="357"/>
      <c r="GD53" s="357"/>
      <c r="GE53" s="357"/>
      <c r="GF53" s="357"/>
      <c r="GG53" s="357"/>
      <c r="GH53" s="357"/>
      <c r="GI53" s="357"/>
      <c r="GJ53" s="357"/>
    </row>
    <row r="54" spans="3:192" ht="12.95" customHeight="1">
      <c r="Z54" s="357"/>
      <c r="AA54" s="357"/>
      <c r="AB54" s="357"/>
      <c r="AC54" s="357"/>
      <c r="AD54" s="357"/>
      <c r="AE54" s="357"/>
      <c r="AF54" s="357"/>
      <c r="AG54" s="357"/>
      <c r="AH54" s="357"/>
      <c r="AI54" s="357"/>
      <c r="AJ54" s="357"/>
      <c r="AK54" s="357"/>
      <c r="AL54" s="357"/>
      <c r="AM54" s="357"/>
      <c r="AN54" s="357"/>
      <c r="AO54" s="357"/>
      <c r="AP54" s="357"/>
      <c r="AQ54" s="357"/>
      <c r="AR54" s="357"/>
      <c r="AS54" s="357"/>
      <c r="AT54" s="357"/>
      <c r="AU54" s="357"/>
      <c r="AV54" s="357"/>
      <c r="AW54" s="357"/>
      <c r="AX54" s="357"/>
      <c r="AY54" s="357"/>
      <c r="AZ54" s="357"/>
      <c r="BA54" s="357"/>
      <c r="BB54" s="357"/>
      <c r="BC54" s="357"/>
      <c r="BD54" s="357"/>
      <c r="BE54" s="357"/>
      <c r="BF54" s="357"/>
      <c r="BG54" s="357"/>
      <c r="BH54" s="357"/>
      <c r="BI54" s="357"/>
      <c r="BJ54" s="357"/>
      <c r="BK54" s="357"/>
      <c r="BL54" s="357"/>
      <c r="BM54" s="357"/>
      <c r="BN54" s="357"/>
      <c r="BO54" s="357"/>
      <c r="BP54" s="357"/>
      <c r="BQ54" s="357"/>
      <c r="BR54" s="357"/>
      <c r="BS54" s="357"/>
      <c r="BT54" s="357"/>
      <c r="BU54" s="357"/>
      <c r="BV54" s="357"/>
      <c r="BW54" s="357"/>
      <c r="BX54" s="357"/>
      <c r="BY54" s="357"/>
      <c r="BZ54" s="357"/>
      <c r="CA54" s="357"/>
      <c r="CB54" s="357"/>
      <c r="CC54" s="357"/>
      <c r="CD54" s="357"/>
      <c r="CE54" s="357"/>
      <c r="CF54" s="357"/>
      <c r="CG54" s="357"/>
      <c r="CH54" s="357"/>
      <c r="CI54" s="357"/>
      <c r="CJ54" s="357"/>
      <c r="CK54" s="357"/>
      <c r="CL54" s="357"/>
      <c r="CM54" s="357"/>
      <c r="CN54" s="357"/>
      <c r="CO54" s="357"/>
      <c r="CP54" s="357"/>
      <c r="CQ54" s="357"/>
      <c r="CR54" s="357"/>
      <c r="CS54" s="357"/>
      <c r="CT54" s="357"/>
      <c r="CU54" s="357"/>
      <c r="CV54" s="357"/>
      <c r="CW54" s="357"/>
      <c r="CX54" s="357"/>
      <c r="CY54" s="357"/>
      <c r="CZ54" s="357"/>
      <c r="DA54" s="357"/>
      <c r="DB54" s="357"/>
      <c r="DC54" s="357"/>
      <c r="DD54" s="357"/>
      <c r="DE54" s="357"/>
      <c r="DF54" s="357"/>
      <c r="DG54" s="357"/>
      <c r="DH54" s="357"/>
      <c r="DI54" s="357"/>
      <c r="DJ54" s="357"/>
      <c r="DK54" s="357"/>
      <c r="DL54" s="357"/>
      <c r="DM54" s="357"/>
      <c r="DN54" s="357"/>
      <c r="DO54" s="357"/>
      <c r="DP54" s="357"/>
      <c r="DQ54" s="357"/>
      <c r="DR54" s="357"/>
      <c r="DS54" s="357"/>
      <c r="DT54" s="357"/>
      <c r="DU54" s="357"/>
      <c r="DV54" s="357"/>
      <c r="DW54" s="357"/>
      <c r="DX54" s="357"/>
      <c r="DY54" s="357"/>
      <c r="DZ54" s="357"/>
      <c r="EA54" s="357"/>
      <c r="EB54" s="357"/>
      <c r="EC54" s="357"/>
      <c r="ED54" s="357"/>
      <c r="EE54" s="357"/>
      <c r="EF54" s="357"/>
      <c r="EG54" s="357"/>
      <c r="EH54" s="357"/>
      <c r="EI54" s="357"/>
      <c r="EJ54" s="357"/>
      <c r="EK54" s="357"/>
      <c r="EL54" s="357"/>
      <c r="EM54" s="357"/>
      <c r="EN54" s="357"/>
      <c r="EO54" s="357"/>
      <c r="EP54" s="357"/>
      <c r="EQ54" s="357"/>
      <c r="ER54" s="357"/>
      <c r="ES54" s="357"/>
      <c r="ET54" s="357"/>
      <c r="EU54" s="357"/>
      <c r="EV54" s="357"/>
      <c r="EW54" s="357"/>
      <c r="EX54" s="357"/>
      <c r="EY54" s="357"/>
      <c r="EZ54" s="357"/>
      <c r="FA54" s="357"/>
      <c r="FB54" s="357"/>
      <c r="FC54" s="357"/>
      <c r="FD54" s="357"/>
      <c r="FE54" s="357"/>
      <c r="FF54" s="357"/>
      <c r="FG54" s="357"/>
      <c r="FH54" s="357"/>
      <c r="FI54" s="357"/>
      <c r="FJ54" s="357"/>
      <c r="FK54" s="357"/>
      <c r="FL54" s="357"/>
      <c r="FM54" s="357"/>
      <c r="FN54" s="357"/>
      <c r="FO54" s="357"/>
      <c r="FP54" s="357"/>
      <c r="FQ54" s="357"/>
      <c r="FR54" s="357"/>
      <c r="FS54" s="357"/>
      <c r="FT54" s="357"/>
      <c r="FU54" s="357"/>
      <c r="FV54" s="357"/>
      <c r="FW54" s="357"/>
      <c r="FX54" s="357"/>
      <c r="FY54" s="357"/>
      <c r="FZ54" s="357"/>
      <c r="GA54" s="357"/>
      <c r="GB54" s="357"/>
      <c r="GC54" s="357"/>
      <c r="GD54" s="357"/>
      <c r="GE54" s="357"/>
      <c r="GF54" s="357"/>
      <c r="GG54" s="357"/>
      <c r="GH54" s="357"/>
      <c r="GI54" s="357"/>
      <c r="GJ54" s="357"/>
    </row>
    <row r="55" spans="3:192" ht="12.95" customHeight="1">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357"/>
      <c r="BC55" s="357"/>
      <c r="BD55" s="357"/>
      <c r="BE55" s="357"/>
      <c r="BF55" s="357"/>
      <c r="BG55" s="357"/>
      <c r="BH55" s="357"/>
      <c r="BI55" s="357"/>
      <c r="BJ55" s="357"/>
      <c r="BK55" s="357"/>
      <c r="BL55" s="357"/>
      <c r="BM55" s="357"/>
      <c r="BN55" s="357"/>
      <c r="BO55" s="357"/>
      <c r="BP55" s="357"/>
      <c r="BQ55" s="357"/>
      <c r="BR55" s="357"/>
      <c r="BS55" s="357"/>
      <c r="BT55" s="357"/>
      <c r="BU55" s="357"/>
      <c r="BV55" s="357"/>
      <c r="BW55" s="357"/>
      <c r="BX55" s="357"/>
      <c r="BY55" s="357"/>
      <c r="BZ55" s="357"/>
      <c r="CA55" s="357"/>
      <c r="CB55" s="357"/>
      <c r="CC55" s="357"/>
      <c r="CD55" s="357"/>
      <c r="CE55" s="357"/>
      <c r="CF55" s="357"/>
      <c r="CG55" s="357"/>
      <c r="CH55" s="357"/>
      <c r="CI55" s="357"/>
      <c r="CJ55" s="357"/>
      <c r="CK55" s="357"/>
      <c r="CL55" s="357"/>
      <c r="CM55" s="357"/>
      <c r="CN55" s="357"/>
      <c r="CO55" s="357"/>
      <c r="CP55" s="357"/>
      <c r="CQ55" s="357"/>
      <c r="CR55" s="357"/>
      <c r="CS55" s="357"/>
      <c r="CT55" s="357"/>
      <c r="CU55" s="357"/>
      <c r="CV55" s="357"/>
      <c r="CW55" s="357"/>
      <c r="CX55" s="357"/>
      <c r="CY55" s="357"/>
      <c r="CZ55" s="357"/>
      <c r="DA55" s="357"/>
      <c r="DB55" s="357"/>
      <c r="DC55" s="357"/>
      <c r="DD55" s="357"/>
      <c r="DE55" s="357"/>
      <c r="DF55" s="357"/>
      <c r="DG55" s="357"/>
      <c r="DH55" s="357"/>
      <c r="DI55" s="357"/>
      <c r="DJ55" s="357"/>
      <c r="DK55" s="357"/>
      <c r="DL55" s="357"/>
      <c r="DM55" s="357"/>
      <c r="DN55" s="357"/>
      <c r="DO55" s="357"/>
      <c r="DP55" s="357"/>
      <c r="DQ55" s="357"/>
      <c r="DR55" s="357"/>
      <c r="DS55" s="357"/>
      <c r="DT55" s="357"/>
      <c r="DU55" s="357"/>
      <c r="DV55" s="357"/>
      <c r="DW55" s="357"/>
      <c r="DX55" s="357"/>
      <c r="DY55" s="357"/>
      <c r="DZ55" s="357"/>
      <c r="EA55" s="357"/>
      <c r="EB55" s="357"/>
      <c r="EC55" s="357"/>
      <c r="ED55" s="357"/>
      <c r="EE55" s="357"/>
      <c r="EF55" s="357"/>
      <c r="EG55" s="357"/>
      <c r="EH55" s="357"/>
      <c r="EI55" s="357"/>
      <c r="EJ55" s="357"/>
      <c r="EK55" s="357"/>
      <c r="EL55" s="357"/>
      <c r="EM55" s="357"/>
      <c r="EN55" s="357"/>
      <c r="EO55" s="357"/>
      <c r="EP55" s="357"/>
      <c r="EQ55" s="357"/>
      <c r="ER55" s="357"/>
      <c r="ES55" s="357"/>
      <c r="ET55" s="357"/>
      <c r="EU55" s="357"/>
      <c r="EV55" s="357"/>
      <c r="EW55" s="357"/>
      <c r="EX55" s="357"/>
      <c r="EY55" s="357"/>
      <c r="EZ55" s="357"/>
      <c r="FA55" s="357"/>
      <c r="FB55" s="357"/>
      <c r="FC55" s="357"/>
      <c r="FD55" s="357"/>
      <c r="FE55" s="357"/>
      <c r="FF55" s="357"/>
      <c r="FG55" s="357"/>
      <c r="FH55" s="357"/>
      <c r="FI55" s="357"/>
      <c r="FJ55" s="357"/>
      <c r="FK55" s="357"/>
      <c r="FL55" s="357"/>
      <c r="FM55" s="357"/>
      <c r="FN55" s="357"/>
      <c r="FO55" s="357"/>
      <c r="FP55" s="357"/>
      <c r="FQ55" s="357"/>
      <c r="FR55" s="357"/>
      <c r="FS55" s="357"/>
      <c r="FT55" s="357"/>
      <c r="FU55" s="357"/>
      <c r="FV55" s="357"/>
      <c r="FW55" s="357"/>
      <c r="FX55" s="357"/>
      <c r="FY55" s="357"/>
      <c r="FZ55" s="357"/>
      <c r="GA55" s="357"/>
      <c r="GB55" s="357"/>
      <c r="GC55" s="357"/>
      <c r="GD55" s="357"/>
      <c r="GE55" s="357"/>
      <c r="GF55" s="357"/>
      <c r="GG55" s="357"/>
      <c r="GH55" s="357"/>
      <c r="GI55" s="357"/>
      <c r="GJ55" s="357"/>
    </row>
    <row r="56" spans="3:192" ht="12.95" customHeight="1">
      <c r="Z56" s="357"/>
      <c r="AA56" s="357"/>
      <c r="AB56" s="357"/>
      <c r="AC56" s="357"/>
      <c r="AD56" s="357"/>
      <c r="AE56" s="357"/>
      <c r="AF56" s="357"/>
      <c r="AG56" s="357"/>
      <c r="AH56" s="357"/>
      <c r="AI56" s="357"/>
      <c r="AJ56" s="357"/>
      <c r="AK56" s="357"/>
      <c r="AL56" s="357"/>
      <c r="AM56" s="357"/>
      <c r="AN56" s="357"/>
      <c r="AO56" s="357"/>
      <c r="AP56" s="357"/>
      <c r="AQ56" s="357"/>
      <c r="AR56" s="357"/>
      <c r="AS56" s="357"/>
      <c r="AT56" s="357"/>
      <c r="AU56" s="357"/>
      <c r="AV56" s="357"/>
      <c r="AW56" s="357"/>
      <c r="AX56" s="357"/>
      <c r="AY56" s="357"/>
      <c r="AZ56" s="357"/>
      <c r="BA56" s="357"/>
      <c r="BB56" s="357"/>
      <c r="BC56" s="357"/>
      <c r="BD56" s="357"/>
      <c r="BE56" s="357"/>
      <c r="BF56" s="357"/>
      <c r="BG56" s="357"/>
      <c r="BH56" s="357"/>
      <c r="BI56" s="357"/>
      <c r="BJ56" s="357"/>
      <c r="BK56" s="357"/>
      <c r="BL56" s="357"/>
      <c r="BM56" s="357"/>
      <c r="BN56" s="357"/>
      <c r="BO56" s="357"/>
      <c r="BP56" s="357"/>
      <c r="BQ56" s="357"/>
      <c r="BR56" s="357"/>
      <c r="BS56" s="357"/>
      <c r="BT56" s="357"/>
      <c r="BU56" s="357"/>
      <c r="BV56" s="357"/>
      <c r="BW56" s="357"/>
      <c r="BX56" s="357"/>
      <c r="BY56" s="357"/>
      <c r="BZ56" s="357"/>
      <c r="CA56" s="357"/>
      <c r="CB56" s="357"/>
      <c r="CC56" s="357"/>
      <c r="CD56" s="357"/>
      <c r="CE56" s="357"/>
      <c r="CF56" s="357"/>
      <c r="CG56" s="357"/>
      <c r="CH56" s="357"/>
      <c r="CI56" s="357"/>
      <c r="CJ56" s="357"/>
      <c r="CK56" s="357"/>
      <c r="CL56" s="357"/>
      <c r="CM56" s="357"/>
      <c r="CN56" s="357"/>
      <c r="CO56" s="357"/>
      <c r="CP56" s="357"/>
      <c r="CQ56" s="357"/>
      <c r="CR56" s="357"/>
      <c r="CS56" s="357"/>
      <c r="CT56" s="357"/>
      <c r="CU56" s="357"/>
      <c r="CV56" s="357"/>
      <c r="CW56" s="357"/>
      <c r="CX56" s="357"/>
      <c r="CY56" s="357"/>
      <c r="CZ56" s="357"/>
      <c r="DA56" s="357"/>
      <c r="DB56" s="357"/>
      <c r="DC56" s="357"/>
      <c r="DD56" s="357"/>
      <c r="DE56" s="357"/>
      <c r="DF56" s="357"/>
      <c r="DG56" s="357"/>
      <c r="DH56" s="357"/>
      <c r="DI56" s="357"/>
      <c r="DJ56" s="357"/>
      <c r="DK56" s="357"/>
      <c r="DL56" s="357"/>
      <c r="DM56" s="357"/>
      <c r="DN56" s="357"/>
      <c r="DO56" s="357"/>
      <c r="DP56" s="357"/>
      <c r="DQ56" s="357"/>
      <c r="DR56" s="357"/>
      <c r="DS56" s="357"/>
      <c r="DT56" s="357"/>
      <c r="DU56" s="357"/>
      <c r="DV56" s="357"/>
      <c r="DW56" s="357"/>
      <c r="DX56" s="357"/>
      <c r="DY56" s="357"/>
      <c r="DZ56" s="357"/>
      <c r="EA56" s="357"/>
      <c r="EB56" s="357"/>
      <c r="EC56" s="357"/>
      <c r="ED56" s="357"/>
      <c r="EE56" s="357"/>
      <c r="EF56" s="357"/>
      <c r="EG56" s="357"/>
      <c r="EH56" s="357"/>
      <c r="EI56" s="357"/>
      <c r="EJ56" s="357"/>
      <c r="EK56" s="357"/>
      <c r="EL56" s="357"/>
      <c r="EM56" s="357"/>
      <c r="EN56" s="357"/>
      <c r="EO56" s="357"/>
      <c r="EP56" s="357"/>
      <c r="EQ56" s="357"/>
      <c r="ER56" s="357"/>
      <c r="ES56" s="357"/>
      <c r="ET56" s="357"/>
      <c r="EU56" s="357"/>
      <c r="EV56" s="357"/>
      <c r="EW56" s="357"/>
      <c r="EX56" s="357"/>
      <c r="EY56" s="357"/>
      <c r="EZ56" s="357"/>
      <c r="FA56" s="357"/>
      <c r="FB56" s="357"/>
      <c r="FC56" s="357"/>
      <c r="FD56" s="357"/>
      <c r="FE56" s="357"/>
      <c r="FF56" s="357"/>
      <c r="FG56" s="357"/>
      <c r="FH56" s="357"/>
      <c r="FI56" s="357"/>
      <c r="FJ56" s="357"/>
      <c r="FK56" s="357"/>
      <c r="FL56" s="357"/>
      <c r="FM56" s="357"/>
      <c r="FN56" s="357"/>
      <c r="FO56" s="357"/>
      <c r="FP56" s="357"/>
      <c r="FQ56" s="357"/>
      <c r="FR56" s="357"/>
      <c r="FS56" s="357"/>
      <c r="FT56" s="357"/>
      <c r="FU56" s="357"/>
      <c r="FV56" s="357"/>
      <c r="FW56" s="357"/>
      <c r="FX56" s="357"/>
      <c r="FY56" s="357"/>
      <c r="FZ56" s="357"/>
      <c r="GA56" s="357"/>
      <c r="GB56" s="357"/>
      <c r="GC56" s="357"/>
      <c r="GD56" s="357"/>
      <c r="GE56" s="357"/>
      <c r="GF56" s="357"/>
      <c r="GG56" s="357"/>
      <c r="GH56" s="357"/>
      <c r="GI56" s="357"/>
      <c r="GJ56" s="357"/>
    </row>
    <row r="57" spans="3:192" ht="12.95" customHeight="1">
      <c r="C57" s="431"/>
      <c r="Z57" s="357"/>
      <c r="AA57" s="357"/>
      <c r="AB57" s="357"/>
      <c r="AC57" s="357"/>
      <c r="AD57" s="357"/>
      <c r="AE57" s="357"/>
      <c r="AF57" s="357"/>
      <c r="AG57" s="357"/>
      <c r="AH57" s="357"/>
      <c r="AI57" s="357"/>
      <c r="AJ57" s="357"/>
      <c r="AK57" s="357"/>
      <c r="AL57" s="357"/>
      <c r="AM57" s="357"/>
      <c r="AN57" s="357"/>
      <c r="AO57" s="357"/>
      <c r="AP57" s="357"/>
      <c r="AQ57" s="357"/>
      <c r="AR57" s="357"/>
      <c r="AS57" s="357"/>
      <c r="AT57" s="357"/>
      <c r="AU57" s="357"/>
      <c r="AV57" s="357"/>
      <c r="AW57" s="357"/>
      <c r="AX57" s="357"/>
      <c r="AY57" s="357"/>
      <c r="AZ57" s="357"/>
      <c r="BA57" s="357"/>
      <c r="BB57" s="357"/>
      <c r="BC57" s="357"/>
      <c r="BD57" s="357"/>
      <c r="BE57" s="357"/>
      <c r="BF57" s="357"/>
      <c r="BG57" s="357"/>
      <c r="BH57" s="357"/>
      <c r="BI57" s="357"/>
      <c r="BJ57" s="357"/>
      <c r="BK57" s="357"/>
      <c r="BL57" s="357"/>
      <c r="BM57" s="357"/>
      <c r="BN57" s="357"/>
      <c r="BO57" s="357"/>
      <c r="BP57" s="357"/>
      <c r="BQ57" s="357"/>
      <c r="BR57" s="357"/>
      <c r="BS57" s="357"/>
      <c r="BT57" s="357"/>
      <c r="BU57" s="357"/>
      <c r="BV57" s="357"/>
      <c r="BW57" s="357"/>
      <c r="BX57" s="357"/>
      <c r="BY57" s="357"/>
      <c r="BZ57" s="357"/>
      <c r="CA57" s="357"/>
      <c r="CB57" s="357"/>
      <c r="CC57" s="357"/>
      <c r="CD57" s="357"/>
      <c r="CE57" s="357"/>
      <c r="CF57" s="357"/>
      <c r="CG57" s="357"/>
      <c r="CH57" s="357"/>
      <c r="CI57" s="357"/>
      <c r="CJ57" s="357"/>
      <c r="CK57" s="357"/>
      <c r="CL57" s="357"/>
      <c r="CM57" s="357"/>
      <c r="CN57" s="357"/>
      <c r="CO57" s="357"/>
      <c r="CP57" s="357"/>
      <c r="CQ57" s="357"/>
      <c r="CR57" s="357"/>
      <c r="CS57" s="357"/>
      <c r="CT57" s="357"/>
      <c r="CU57" s="357"/>
      <c r="CV57" s="357"/>
      <c r="CW57" s="357"/>
      <c r="CX57" s="357"/>
      <c r="CY57" s="357"/>
      <c r="CZ57" s="357"/>
      <c r="DA57" s="357"/>
      <c r="DB57" s="357"/>
      <c r="DC57" s="357"/>
      <c r="DD57" s="357"/>
      <c r="DE57" s="357"/>
      <c r="DF57" s="357"/>
      <c r="DG57" s="357"/>
      <c r="DH57" s="357"/>
      <c r="DI57" s="357"/>
      <c r="DJ57" s="357"/>
      <c r="DK57" s="357"/>
      <c r="DL57" s="357"/>
      <c r="DM57" s="357"/>
      <c r="DN57" s="357"/>
      <c r="DO57" s="357"/>
      <c r="DP57" s="357"/>
      <c r="DQ57" s="357"/>
      <c r="DR57" s="357"/>
      <c r="DS57" s="357"/>
      <c r="DT57" s="357"/>
      <c r="DU57" s="357"/>
      <c r="DV57" s="357"/>
      <c r="DW57" s="357"/>
      <c r="DX57" s="357"/>
      <c r="DY57" s="357"/>
      <c r="DZ57" s="357"/>
      <c r="EA57" s="357"/>
      <c r="EB57" s="357"/>
      <c r="EC57" s="357"/>
      <c r="ED57" s="357"/>
      <c r="EE57" s="357"/>
      <c r="EF57" s="357"/>
      <c r="EG57" s="357"/>
      <c r="EH57" s="357"/>
      <c r="EI57" s="357"/>
      <c r="EJ57" s="357"/>
      <c r="EK57" s="357"/>
      <c r="EL57" s="357"/>
      <c r="EM57" s="357"/>
      <c r="EN57" s="357"/>
      <c r="EO57" s="357"/>
      <c r="EP57" s="357"/>
      <c r="EQ57" s="357"/>
      <c r="ER57" s="357"/>
      <c r="ES57" s="357"/>
      <c r="ET57" s="357"/>
      <c r="EU57" s="357"/>
      <c r="EV57" s="357"/>
      <c r="EW57" s="357"/>
      <c r="EX57" s="357"/>
      <c r="EY57" s="357"/>
      <c r="EZ57" s="357"/>
      <c r="FA57" s="357"/>
      <c r="FB57" s="357"/>
      <c r="FC57" s="357"/>
      <c r="FD57" s="357"/>
      <c r="FE57" s="357"/>
      <c r="FF57" s="357"/>
      <c r="FG57" s="357"/>
      <c r="FH57" s="357"/>
      <c r="FI57" s="357"/>
      <c r="FJ57" s="357"/>
      <c r="FK57" s="357"/>
      <c r="FL57" s="357"/>
      <c r="FM57" s="357"/>
      <c r="FN57" s="357"/>
      <c r="FO57" s="357"/>
      <c r="FP57" s="357"/>
      <c r="FQ57" s="357"/>
      <c r="FR57" s="357"/>
      <c r="FS57" s="357"/>
      <c r="FT57" s="357"/>
      <c r="FU57" s="357"/>
      <c r="FV57" s="357"/>
      <c r="FW57" s="357"/>
      <c r="FX57" s="357"/>
      <c r="FY57" s="357"/>
      <c r="FZ57" s="357"/>
      <c r="GA57" s="357"/>
      <c r="GB57" s="357"/>
      <c r="GC57" s="357"/>
      <c r="GD57" s="357"/>
      <c r="GE57" s="357"/>
      <c r="GF57" s="357"/>
      <c r="GG57" s="357"/>
      <c r="GH57" s="357"/>
      <c r="GI57" s="357"/>
      <c r="GJ57" s="357"/>
    </row>
    <row r="58" spans="3:192" ht="12.95" customHeight="1">
      <c r="Z58" s="357"/>
      <c r="AA58" s="357"/>
      <c r="AB58" s="357"/>
      <c r="AC58" s="357"/>
      <c r="AD58" s="357"/>
      <c r="AE58" s="357"/>
      <c r="AF58" s="357"/>
      <c r="AG58" s="357"/>
      <c r="AH58" s="357"/>
      <c r="AI58" s="427"/>
      <c r="AJ58" s="427"/>
      <c r="AK58" s="357"/>
      <c r="AL58" s="357"/>
      <c r="AM58" s="357"/>
      <c r="AN58" s="427"/>
      <c r="AO58" s="427"/>
      <c r="AP58" s="357"/>
      <c r="AQ58" s="357"/>
      <c r="AR58" s="357"/>
      <c r="AS58" s="427"/>
      <c r="AT58" s="427"/>
      <c r="AU58" s="357"/>
      <c r="AV58" s="357"/>
      <c r="AW58" s="357"/>
      <c r="AX58" s="357"/>
      <c r="AY58" s="357"/>
      <c r="AZ58" s="357"/>
      <c r="BA58" s="357"/>
      <c r="BB58" s="357"/>
      <c r="BC58" s="357"/>
      <c r="BD58" s="357"/>
      <c r="BE58" s="357"/>
      <c r="BF58" s="357"/>
      <c r="BG58" s="357"/>
      <c r="BH58" s="357"/>
      <c r="BI58" s="357"/>
      <c r="BJ58" s="357"/>
      <c r="BK58" s="357"/>
      <c r="BL58" s="357"/>
      <c r="BM58" s="357"/>
      <c r="BN58" s="357"/>
      <c r="BO58" s="357"/>
      <c r="BP58" s="357"/>
      <c r="BQ58" s="357"/>
      <c r="BR58" s="357"/>
      <c r="BS58" s="357"/>
      <c r="BT58" s="357"/>
      <c r="BU58" s="357"/>
      <c r="BV58" s="357"/>
      <c r="BW58" s="357"/>
      <c r="BX58" s="357"/>
      <c r="BY58" s="357"/>
      <c r="BZ58" s="357"/>
      <c r="CA58" s="357"/>
      <c r="CB58" s="357"/>
      <c r="CC58" s="357"/>
      <c r="CD58" s="357"/>
      <c r="CE58" s="357"/>
      <c r="CF58" s="357"/>
      <c r="CG58" s="357"/>
      <c r="CH58" s="357"/>
      <c r="CI58" s="357"/>
      <c r="CJ58" s="357"/>
      <c r="CK58" s="357"/>
      <c r="CL58" s="357"/>
      <c r="CM58" s="357"/>
      <c r="CN58" s="357"/>
      <c r="CO58" s="357"/>
      <c r="CP58" s="357"/>
      <c r="CQ58" s="357"/>
      <c r="CR58" s="357"/>
      <c r="CS58" s="357"/>
      <c r="CT58" s="357"/>
      <c r="CU58" s="357"/>
      <c r="CV58" s="357"/>
      <c r="CW58" s="357"/>
      <c r="CX58" s="357"/>
      <c r="CY58" s="357"/>
      <c r="CZ58" s="357"/>
      <c r="DA58" s="357"/>
      <c r="DB58" s="357"/>
      <c r="DC58" s="357"/>
      <c r="DD58" s="357"/>
      <c r="DE58" s="357"/>
      <c r="DF58" s="357"/>
      <c r="DG58" s="357"/>
      <c r="DH58" s="357"/>
      <c r="DI58" s="357"/>
      <c r="DJ58" s="357"/>
      <c r="DK58" s="357"/>
      <c r="DL58" s="357"/>
      <c r="DM58" s="357"/>
      <c r="DN58" s="357"/>
      <c r="DO58" s="357"/>
      <c r="DP58" s="357"/>
      <c r="DQ58" s="357"/>
      <c r="DR58" s="357"/>
      <c r="DS58" s="357"/>
      <c r="DT58" s="357"/>
      <c r="DU58" s="357"/>
      <c r="DV58" s="357"/>
      <c r="DW58" s="357"/>
      <c r="DX58" s="357"/>
      <c r="DY58" s="357"/>
      <c r="DZ58" s="357"/>
      <c r="EA58" s="357"/>
      <c r="EB58" s="357"/>
      <c r="EC58" s="357"/>
      <c r="ED58" s="357"/>
      <c r="EE58" s="357"/>
      <c r="EF58" s="357"/>
      <c r="EG58" s="357"/>
      <c r="EH58" s="357"/>
      <c r="EI58" s="357"/>
      <c r="EJ58" s="357"/>
      <c r="EK58" s="357"/>
      <c r="EL58" s="357"/>
      <c r="EM58" s="357"/>
      <c r="EN58" s="357"/>
      <c r="EO58" s="357"/>
      <c r="EP58" s="357"/>
      <c r="EQ58" s="357"/>
      <c r="ER58" s="357"/>
      <c r="ES58" s="357"/>
      <c r="ET58" s="357"/>
      <c r="EU58" s="357"/>
      <c r="EV58" s="357"/>
      <c r="EW58" s="357"/>
      <c r="EX58" s="357"/>
      <c r="EY58" s="357"/>
      <c r="EZ58" s="357"/>
      <c r="FA58" s="357"/>
      <c r="FB58" s="357"/>
      <c r="FC58" s="357"/>
      <c r="FD58" s="357"/>
      <c r="FE58" s="357"/>
      <c r="FF58" s="357"/>
      <c r="FG58" s="357"/>
      <c r="FH58" s="357"/>
      <c r="FI58" s="357"/>
      <c r="FJ58" s="357"/>
      <c r="FK58" s="357"/>
      <c r="FL58" s="357"/>
      <c r="FM58" s="357"/>
      <c r="FN58" s="357"/>
      <c r="FO58" s="357"/>
      <c r="FP58" s="357"/>
      <c r="FQ58" s="357"/>
      <c r="FR58" s="357"/>
      <c r="FS58" s="357"/>
      <c r="FT58" s="357"/>
      <c r="FU58" s="357"/>
      <c r="FV58" s="357"/>
      <c r="FW58" s="357"/>
      <c r="FX58" s="357"/>
      <c r="FY58" s="357"/>
      <c r="FZ58" s="357"/>
      <c r="GA58" s="357"/>
      <c r="GB58" s="357"/>
      <c r="GC58" s="357"/>
      <c r="GD58" s="357"/>
      <c r="GE58" s="357"/>
      <c r="GF58" s="357"/>
      <c r="GG58" s="357"/>
      <c r="GH58" s="357"/>
      <c r="GI58" s="357"/>
      <c r="GJ58" s="357"/>
    </row>
    <row r="59" spans="3:192" ht="12.95" customHeight="1">
      <c r="Z59" s="357"/>
      <c r="AA59" s="357"/>
      <c r="AB59" s="357"/>
      <c r="AC59" s="357"/>
      <c r="AD59" s="357"/>
      <c r="AE59" s="357"/>
      <c r="AF59" s="357"/>
      <c r="AG59" s="357"/>
      <c r="AH59" s="357"/>
      <c r="AI59" s="357"/>
      <c r="AJ59" s="357"/>
      <c r="AK59" s="357"/>
      <c r="AL59" s="357"/>
      <c r="AM59" s="357"/>
      <c r="AN59" s="357"/>
      <c r="AO59" s="357"/>
      <c r="AP59" s="357"/>
      <c r="AQ59" s="357"/>
      <c r="AR59" s="357"/>
      <c r="AS59" s="357"/>
      <c r="AT59" s="357"/>
      <c r="AU59" s="357"/>
      <c r="AV59" s="357"/>
      <c r="AW59" s="357"/>
      <c r="AX59" s="357"/>
      <c r="AY59" s="357"/>
      <c r="AZ59" s="357"/>
      <c r="BA59" s="357"/>
      <c r="BB59" s="357"/>
      <c r="BC59" s="357"/>
      <c r="BD59" s="357"/>
      <c r="BE59" s="357"/>
      <c r="BF59" s="357"/>
      <c r="BG59" s="357"/>
      <c r="BH59" s="357"/>
      <c r="BI59" s="357"/>
      <c r="BJ59" s="357"/>
      <c r="BK59" s="357"/>
      <c r="BL59" s="357"/>
      <c r="BM59" s="357"/>
      <c r="BN59" s="357"/>
      <c r="BO59" s="357"/>
      <c r="BP59" s="357"/>
      <c r="BQ59" s="357"/>
      <c r="BR59" s="357"/>
      <c r="BS59" s="357"/>
      <c r="BT59" s="357"/>
      <c r="BU59" s="357"/>
      <c r="BV59" s="357"/>
      <c r="BW59" s="357"/>
      <c r="BX59" s="357"/>
      <c r="BY59" s="357"/>
      <c r="BZ59" s="357"/>
      <c r="CA59" s="357"/>
      <c r="CB59" s="357"/>
      <c r="CC59" s="357"/>
      <c r="CD59" s="357"/>
      <c r="CE59" s="357"/>
      <c r="CF59" s="357"/>
      <c r="CG59" s="357"/>
      <c r="CH59" s="357"/>
      <c r="CI59" s="357"/>
      <c r="CJ59" s="357"/>
      <c r="CK59" s="357"/>
      <c r="CL59" s="357"/>
      <c r="CM59" s="357"/>
      <c r="CN59" s="357"/>
      <c r="CO59" s="357"/>
      <c r="CP59" s="357"/>
      <c r="CQ59" s="357"/>
      <c r="CR59" s="357"/>
      <c r="CS59" s="357"/>
      <c r="CT59" s="357"/>
      <c r="CU59" s="357"/>
      <c r="CV59" s="357"/>
      <c r="CW59" s="357"/>
      <c r="CX59" s="357"/>
      <c r="CY59" s="357"/>
      <c r="CZ59" s="357"/>
      <c r="DA59" s="357"/>
      <c r="DB59" s="357"/>
      <c r="DC59" s="357"/>
      <c r="DD59" s="357"/>
      <c r="DE59" s="357"/>
      <c r="DF59" s="357"/>
      <c r="DG59" s="357"/>
      <c r="DH59" s="357"/>
      <c r="DI59" s="357"/>
      <c r="DJ59" s="357"/>
      <c r="DK59" s="357"/>
      <c r="DL59" s="357"/>
      <c r="DM59" s="357"/>
      <c r="DN59" s="357"/>
      <c r="DO59" s="357"/>
      <c r="DP59" s="357"/>
      <c r="DQ59" s="357"/>
      <c r="DR59" s="357"/>
      <c r="DS59" s="357"/>
      <c r="DT59" s="357"/>
      <c r="DU59" s="357"/>
      <c r="DV59" s="357"/>
      <c r="DW59" s="357"/>
      <c r="DX59" s="357"/>
      <c r="DY59" s="357"/>
      <c r="DZ59" s="357"/>
      <c r="EA59" s="357"/>
      <c r="EB59" s="357"/>
      <c r="EC59" s="357"/>
      <c r="ED59" s="357"/>
      <c r="EE59" s="357"/>
      <c r="EF59" s="357"/>
      <c r="EG59" s="357"/>
      <c r="EH59" s="357"/>
      <c r="EI59" s="357"/>
      <c r="EJ59" s="357"/>
      <c r="EK59" s="357"/>
      <c r="EL59" s="357"/>
      <c r="EM59" s="357"/>
      <c r="EN59" s="357"/>
      <c r="EO59" s="357"/>
      <c r="EP59" s="357"/>
      <c r="EQ59" s="357"/>
      <c r="ER59" s="357"/>
      <c r="ES59" s="357"/>
      <c r="ET59" s="357"/>
      <c r="EU59" s="357"/>
      <c r="EV59" s="357"/>
      <c r="EW59" s="357"/>
      <c r="EX59" s="357"/>
      <c r="EY59" s="357"/>
      <c r="EZ59" s="357"/>
      <c r="FA59" s="357"/>
      <c r="FB59" s="357"/>
      <c r="FC59" s="357"/>
      <c r="FD59" s="357"/>
      <c r="FE59" s="357"/>
      <c r="FF59" s="357"/>
      <c r="FG59" s="357"/>
      <c r="FH59" s="357"/>
      <c r="FI59" s="357"/>
      <c r="FJ59" s="357"/>
      <c r="FK59" s="357"/>
      <c r="FL59" s="357"/>
      <c r="FM59" s="357"/>
      <c r="FN59" s="357"/>
      <c r="FO59" s="357"/>
      <c r="FP59" s="357"/>
      <c r="FQ59" s="357"/>
      <c r="FR59" s="357"/>
      <c r="FS59" s="357"/>
      <c r="FT59" s="357"/>
      <c r="FU59" s="357"/>
      <c r="FV59" s="357"/>
      <c r="FW59" s="357"/>
      <c r="FX59" s="357"/>
      <c r="FY59" s="357"/>
      <c r="FZ59" s="357"/>
      <c r="GA59" s="357"/>
      <c r="GB59" s="357"/>
      <c r="GC59" s="357"/>
      <c r="GD59" s="357"/>
      <c r="GE59" s="357"/>
      <c r="GF59" s="357"/>
      <c r="GG59" s="357"/>
      <c r="GH59" s="357"/>
      <c r="GI59" s="357"/>
      <c r="GJ59" s="357"/>
    </row>
    <row r="60" spans="3:192" ht="12.95" customHeight="1">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L60" s="357"/>
      <c r="BM60" s="357"/>
      <c r="BN60" s="357"/>
      <c r="BO60" s="357"/>
      <c r="BP60" s="357"/>
      <c r="BQ60" s="357"/>
      <c r="BR60" s="357"/>
      <c r="BS60" s="357"/>
      <c r="BT60" s="357"/>
      <c r="BU60" s="357"/>
      <c r="BV60" s="357"/>
      <c r="BW60" s="357"/>
      <c r="BX60" s="357"/>
      <c r="BY60" s="357"/>
      <c r="BZ60" s="357"/>
      <c r="CA60" s="357"/>
      <c r="CB60" s="357"/>
      <c r="CC60" s="357"/>
      <c r="CD60" s="357"/>
      <c r="CE60" s="357"/>
      <c r="CF60" s="357"/>
      <c r="CG60" s="357"/>
      <c r="CH60" s="357"/>
      <c r="CI60" s="357"/>
      <c r="CJ60" s="357"/>
      <c r="CK60" s="357"/>
      <c r="CL60" s="357"/>
      <c r="CM60" s="357"/>
      <c r="CN60" s="357"/>
      <c r="CO60" s="357"/>
      <c r="CP60" s="357"/>
      <c r="CQ60" s="357"/>
      <c r="CR60" s="357"/>
      <c r="CS60" s="357"/>
      <c r="CT60" s="357"/>
      <c r="CU60" s="357"/>
      <c r="CV60" s="357"/>
      <c r="CW60" s="357"/>
      <c r="CX60" s="357"/>
      <c r="CY60" s="357"/>
      <c r="CZ60" s="357"/>
      <c r="DA60" s="357"/>
      <c r="DB60" s="357"/>
      <c r="DC60" s="357"/>
      <c r="DD60" s="357"/>
      <c r="DE60" s="357"/>
      <c r="DF60" s="357"/>
      <c r="DG60" s="357"/>
      <c r="DH60" s="357"/>
      <c r="DI60" s="357"/>
      <c r="DJ60" s="357"/>
      <c r="DK60" s="357"/>
      <c r="DL60" s="357"/>
      <c r="DM60" s="357"/>
      <c r="DN60" s="357"/>
      <c r="DO60" s="357"/>
      <c r="DP60" s="357"/>
      <c r="DQ60" s="357"/>
      <c r="DR60" s="357"/>
      <c r="DS60" s="357"/>
      <c r="DT60" s="357"/>
      <c r="DU60" s="357"/>
      <c r="DV60" s="357"/>
      <c r="DW60" s="357"/>
      <c r="DX60" s="357"/>
      <c r="DY60" s="357"/>
      <c r="DZ60" s="357"/>
      <c r="EA60" s="357"/>
      <c r="EB60" s="357"/>
      <c r="EC60" s="357"/>
      <c r="ED60" s="357"/>
      <c r="EE60" s="357"/>
      <c r="EF60" s="357"/>
      <c r="EG60" s="357"/>
      <c r="EH60" s="357"/>
      <c r="EI60" s="357"/>
      <c r="EJ60" s="357"/>
      <c r="EK60" s="357"/>
      <c r="EL60" s="357"/>
      <c r="EM60" s="357"/>
      <c r="EN60" s="357"/>
      <c r="EO60" s="357"/>
      <c r="EP60" s="357"/>
      <c r="EQ60" s="357"/>
      <c r="ER60" s="357"/>
      <c r="ES60" s="357"/>
      <c r="ET60" s="357"/>
      <c r="EU60" s="357"/>
      <c r="EV60" s="357"/>
      <c r="EW60" s="357"/>
      <c r="EX60" s="357"/>
      <c r="EY60" s="357"/>
      <c r="EZ60" s="357"/>
      <c r="FA60" s="357"/>
      <c r="FB60" s="357"/>
      <c r="FC60" s="357"/>
      <c r="FD60" s="357"/>
      <c r="FE60" s="357"/>
      <c r="FF60" s="357"/>
      <c r="FG60" s="357"/>
      <c r="FH60" s="357"/>
      <c r="FI60" s="357"/>
      <c r="FJ60" s="357"/>
      <c r="FK60" s="357"/>
      <c r="FL60" s="357"/>
      <c r="FM60" s="357"/>
      <c r="FN60" s="357"/>
      <c r="FO60" s="357"/>
      <c r="FP60" s="357"/>
      <c r="FQ60" s="357"/>
      <c r="FR60" s="357"/>
      <c r="FS60" s="357"/>
      <c r="FT60" s="357"/>
      <c r="FU60" s="357"/>
      <c r="FV60" s="357"/>
      <c r="FW60" s="357"/>
      <c r="FX60" s="357"/>
      <c r="FY60" s="357"/>
      <c r="FZ60" s="357"/>
      <c r="GA60" s="357"/>
      <c r="GB60" s="357"/>
      <c r="GC60" s="357"/>
      <c r="GD60" s="357"/>
      <c r="GE60" s="357"/>
      <c r="GF60" s="357"/>
      <c r="GG60" s="357"/>
      <c r="GH60" s="357"/>
      <c r="GI60" s="357"/>
      <c r="GJ60" s="357"/>
    </row>
    <row r="61" spans="3:192" ht="12.95" customHeight="1">
      <c r="Z61" s="357"/>
      <c r="AA61" s="357"/>
      <c r="AB61" s="357"/>
      <c r="AC61" s="357"/>
      <c r="AD61" s="357"/>
      <c r="AE61" s="357"/>
      <c r="AF61" s="357"/>
      <c r="AG61" s="357"/>
      <c r="AH61" s="357"/>
      <c r="AI61" s="357"/>
      <c r="AJ61" s="357"/>
      <c r="AK61" s="357"/>
      <c r="AL61" s="357"/>
      <c r="AM61" s="357"/>
      <c r="AN61" s="357"/>
      <c r="AO61" s="357"/>
      <c r="AP61" s="357"/>
      <c r="AQ61" s="357"/>
      <c r="AR61" s="357"/>
      <c r="AS61" s="357"/>
      <c r="AT61" s="357"/>
      <c r="AU61" s="357"/>
      <c r="AV61" s="357"/>
      <c r="AW61" s="357"/>
      <c r="AX61" s="357"/>
      <c r="AY61" s="357"/>
      <c r="AZ61" s="357"/>
      <c r="BA61" s="357"/>
      <c r="BB61" s="357"/>
      <c r="BC61" s="357"/>
      <c r="BD61" s="357"/>
      <c r="BE61" s="357"/>
      <c r="BF61" s="357"/>
      <c r="BG61" s="357"/>
      <c r="BH61" s="357"/>
      <c r="BI61" s="357"/>
      <c r="BJ61" s="357"/>
      <c r="BK61" s="357"/>
      <c r="BL61" s="357"/>
      <c r="BM61" s="357"/>
      <c r="BN61" s="357"/>
      <c r="BO61" s="357"/>
      <c r="BP61" s="357"/>
      <c r="BQ61" s="357"/>
      <c r="BR61" s="357"/>
      <c r="BS61" s="357"/>
      <c r="BT61" s="357"/>
      <c r="BU61" s="357"/>
      <c r="BV61" s="357"/>
      <c r="BW61" s="357"/>
      <c r="BX61" s="357"/>
      <c r="BY61" s="357"/>
      <c r="BZ61" s="357"/>
      <c r="CA61" s="357"/>
      <c r="CB61" s="357"/>
      <c r="CC61" s="357"/>
      <c r="CD61" s="357"/>
      <c r="CE61" s="357"/>
      <c r="CF61" s="357"/>
      <c r="CG61" s="357"/>
      <c r="CH61" s="357"/>
      <c r="CI61" s="357"/>
      <c r="CJ61" s="357"/>
      <c r="CK61" s="357"/>
      <c r="CL61" s="357"/>
      <c r="CM61" s="357"/>
      <c r="CN61" s="357"/>
      <c r="CO61" s="357"/>
      <c r="CP61" s="357"/>
      <c r="CQ61" s="357"/>
      <c r="CR61" s="357"/>
      <c r="CS61" s="357"/>
      <c r="CT61" s="357"/>
      <c r="CU61" s="357"/>
      <c r="CV61" s="357"/>
      <c r="CW61" s="357"/>
      <c r="CX61" s="357"/>
      <c r="CY61" s="357"/>
      <c r="CZ61" s="357"/>
      <c r="DA61" s="357"/>
      <c r="DB61" s="357"/>
      <c r="DC61" s="357"/>
      <c r="DD61" s="357"/>
      <c r="DE61" s="357"/>
      <c r="DF61" s="357"/>
      <c r="DG61" s="357"/>
      <c r="DH61" s="357"/>
      <c r="DI61" s="357"/>
      <c r="DJ61" s="357"/>
      <c r="DK61" s="357"/>
      <c r="DL61" s="357"/>
      <c r="DM61" s="357"/>
      <c r="DN61" s="357"/>
      <c r="DO61" s="357"/>
      <c r="DP61" s="357"/>
      <c r="DQ61" s="357"/>
      <c r="DR61" s="357"/>
      <c r="DS61" s="357"/>
      <c r="DT61" s="357"/>
      <c r="DU61" s="357"/>
      <c r="DV61" s="357"/>
      <c r="DW61" s="357"/>
      <c r="DX61" s="357"/>
      <c r="DY61" s="357"/>
      <c r="DZ61" s="357"/>
      <c r="EA61" s="357"/>
      <c r="EB61" s="357"/>
      <c r="EC61" s="357"/>
      <c r="ED61" s="357"/>
      <c r="EE61" s="357"/>
      <c r="EF61" s="357"/>
      <c r="EG61" s="357"/>
      <c r="EH61" s="357"/>
      <c r="EI61" s="357"/>
      <c r="EJ61" s="357"/>
      <c r="EK61" s="357"/>
      <c r="EL61" s="357"/>
      <c r="EM61" s="357"/>
      <c r="EN61" s="357"/>
      <c r="EO61" s="357"/>
      <c r="EP61" s="357"/>
      <c r="EQ61" s="357"/>
      <c r="ER61" s="357"/>
      <c r="ES61" s="357"/>
      <c r="ET61" s="357"/>
      <c r="EU61" s="357"/>
      <c r="EV61" s="357"/>
      <c r="EW61" s="357"/>
      <c r="EX61" s="357"/>
      <c r="EY61" s="357"/>
      <c r="EZ61" s="357"/>
      <c r="FA61" s="357"/>
      <c r="FB61" s="357"/>
      <c r="FC61" s="357"/>
      <c r="FD61" s="357"/>
      <c r="FE61" s="357"/>
      <c r="FF61" s="357"/>
      <c r="FG61" s="357"/>
      <c r="FH61" s="357"/>
      <c r="FI61" s="357"/>
      <c r="FJ61" s="357"/>
      <c r="FK61" s="357"/>
      <c r="FL61" s="357"/>
      <c r="FM61" s="357"/>
      <c r="FN61" s="357"/>
      <c r="FO61" s="357"/>
      <c r="FP61" s="357"/>
      <c r="FQ61" s="357"/>
      <c r="FR61" s="357"/>
      <c r="FS61" s="357"/>
      <c r="FT61" s="357"/>
      <c r="FU61" s="357"/>
      <c r="FV61" s="357"/>
      <c r="FW61" s="357"/>
      <c r="FX61" s="357"/>
      <c r="FY61" s="357"/>
      <c r="FZ61" s="357"/>
      <c r="GA61" s="357"/>
      <c r="GB61" s="357"/>
      <c r="GC61" s="357"/>
      <c r="GD61" s="357"/>
      <c r="GE61" s="357"/>
      <c r="GF61" s="357"/>
      <c r="GG61" s="357"/>
      <c r="GH61" s="357"/>
      <c r="GI61" s="357"/>
      <c r="GJ61" s="357"/>
    </row>
    <row r="62" spans="3:192" ht="12.95" customHeight="1">
      <c r="Z62" s="357"/>
      <c r="AA62" s="357"/>
      <c r="AB62" s="357"/>
      <c r="AC62" s="357"/>
      <c r="AD62" s="357"/>
      <c r="AE62" s="357"/>
      <c r="AF62" s="357"/>
      <c r="AG62" s="357"/>
      <c r="AH62" s="357"/>
      <c r="AI62" s="357"/>
      <c r="AJ62" s="357"/>
      <c r="AK62" s="357"/>
      <c r="AL62" s="357"/>
      <c r="AM62" s="357"/>
      <c r="AN62" s="357"/>
      <c r="AO62" s="357"/>
      <c r="AP62" s="357"/>
      <c r="AQ62" s="357"/>
      <c r="AR62" s="357"/>
      <c r="AS62" s="357"/>
      <c r="AT62" s="357"/>
      <c r="AU62" s="357"/>
      <c r="AV62" s="357"/>
      <c r="AW62" s="357"/>
      <c r="AX62" s="357"/>
      <c r="AY62" s="357"/>
      <c r="AZ62" s="357"/>
      <c r="BA62" s="357"/>
      <c r="BB62" s="357"/>
      <c r="BC62" s="357"/>
      <c r="BD62" s="357"/>
      <c r="BE62" s="357"/>
      <c r="BF62" s="357"/>
      <c r="BG62" s="357"/>
      <c r="BH62" s="357"/>
      <c r="BI62" s="357"/>
      <c r="BJ62" s="357"/>
      <c r="BK62" s="357"/>
      <c r="BL62" s="357"/>
      <c r="BM62" s="357"/>
      <c r="BN62" s="357"/>
      <c r="BO62" s="357"/>
      <c r="BP62" s="357"/>
      <c r="BQ62" s="357"/>
      <c r="BR62" s="357"/>
      <c r="BS62" s="357"/>
      <c r="BT62" s="357"/>
      <c r="BU62" s="357"/>
      <c r="BV62" s="357"/>
      <c r="BW62" s="357"/>
      <c r="BX62" s="357"/>
      <c r="BY62" s="357"/>
      <c r="BZ62" s="357"/>
      <c r="CA62" s="357"/>
      <c r="CB62" s="357"/>
      <c r="CC62" s="357"/>
      <c r="CD62" s="357"/>
      <c r="CE62" s="357"/>
      <c r="CF62" s="357"/>
      <c r="CG62" s="357"/>
      <c r="CH62" s="357"/>
      <c r="CI62" s="357"/>
      <c r="CJ62" s="357"/>
      <c r="CK62" s="357"/>
      <c r="CL62" s="357"/>
      <c r="CM62" s="357"/>
      <c r="CN62" s="357"/>
      <c r="CO62" s="357"/>
      <c r="CP62" s="357"/>
      <c r="CQ62" s="357"/>
      <c r="CR62" s="357"/>
      <c r="CS62" s="357"/>
      <c r="CT62" s="357"/>
      <c r="CU62" s="357"/>
      <c r="CV62" s="357"/>
      <c r="CW62" s="357"/>
      <c r="CX62" s="357"/>
      <c r="CY62" s="357"/>
      <c r="CZ62" s="357"/>
      <c r="DA62" s="357"/>
      <c r="DB62" s="357"/>
      <c r="DC62" s="357"/>
      <c r="DD62" s="357"/>
      <c r="DE62" s="357"/>
      <c r="DF62" s="357"/>
      <c r="DG62" s="357"/>
      <c r="DH62" s="357"/>
      <c r="DI62" s="357"/>
      <c r="DJ62" s="357"/>
      <c r="DK62" s="357"/>
      <c r="DL62" s="357"/>
      <c r="DM62" s="357"/>
      <c r="DN62" s="357"/>
      <c r="DO62" s="357"/>
      <c r="DP62" s="357"/>
      <c r="DQ62" s="357"/>
      <c r="DR62" s="357"/>
      <c r="DS62" s="357"/>
      <c r="DT62" s="357"/>
      <c r="DU62" s="357"/>
      <c r="DV62" s="357"/>
      <c r="DW62" s="357"/>
      <c r="DX62" s="357"/>
      <c r="DY62" s="357"/>
      <c r="DZ62" s="357"/>
      <c r="EA62" s="357"/>
      <c r="EB62" s="357"/>
      <c r="EC62" s="357"/>
      <c r="ED62" s="357"/>
      <c r="EE62" s="357"/>
      <c r="EF62" s="357"/>
      <c r="EG62" s="357"/>
      <c r="EH62" s="357"/>
      <c r="EI62" s="357"/>
      <c r="EJ62" s="357"/>
      <c r="EK62" s="357"/>
      <c r="EL62" s="357"/>
      <c r="EM62" s="357"/>
      <c r="EN62" s="357"/>
      <c r="EO62" s="357"/>
      <c r="EP62" s="357"/>
      <c r="EQ62" s="357"/>
      <c r="ER62" s="357"/>
      <c r="ES62" s="357"/>
      <c r="ET62" s="357"/>
      <c r="EU62" s="357"/>
      <c r="EV62" s="357"/>
      <c r="EW62" s="357"/>
      <c r="EX62" s="357"/>
      <c r="EY62" s="357"/>
      <c r="EZ62" s="357"/>
      <c r="FA62" s="357"/>
      <c r="FB62" s="357"/>
      <c r="FC62" s="357"/>
      <c r="FD62" s="357"/>
      <c r="FE62" s="357"/>
      <c r="FF62" s="357"/>
      <c r="FG62" s="357"/>
      <c r="FH62" s="357"/>
      <c r="FI62" s="357"/>
      <c r="FJ62" s="357"/>
      <c r="FK62" s="357"/>
      <c r="FL62" s="357"/>
      <c r="FM62" s="357"/>
      <c r="FN62" s="357"/>
      <c r="FO62" s="357"/>
      <c r="FP62" s="357"/>
      <c r="FQ62" s="357"/>
      <c r="FR62" s="357"/>
      <c r="FS62" s="357"/>
      <c r="FT62" s="357"/>
      <c r="FU62" s="357"/>
      <c r="FV62" s="357"/>
      <c r="FW62" s="357"/>
      <c r="FX62" s="357"/>
      <c r="FY62" s="357"/>
      <c r="FZ62" s="357"/>
      <c r="GA62" s="357"/>
      <c r="GB62" s="357"/>
      <c r="GC62" s="357"/>
      <c r="GD62" s="357"/>
      <c r="GE62" s="357"/>
      <c r="GF62" s="357"/>
      <c r="GG62" s="357"/>
      <c r="GH62" s="357"/>
      <c r="GI62" s="357"/>
      <c r="GJ62" s="357"/>
    </row>
    <row r="63" spans="3:192" ht="12.95" customHeight="1">
      <c r="Z63" s="357"/>
      <c r="AA63" s="357"/>
      <c r="AB63" s="357"/>
      <c r="AC63" s="357"/>
      <c r="AD63" s="357"/>
      <c r="AE63" s="357"/>
      <c r="AF63" s="357"/>
      <c r="AG63" s="357"/>
      <c r="AH63" s="357"/>
      <c r="AI63" s="357"/>
      <c r="AJ63" s="357"/>
      <c r="AK63" s="357"/>
      <c r="AL63" s="357"/>
      <c r="AM63" s="357"/>
      <c r="AN63" s="357"/>
      <c r="AO63" s="357"/>
      <c r="AP63" s="357"/>
      <c r="AQ63" s="357"/>
      <c r="AR63" s="357"/>
      <c r="AS63" s="357"/>
      <c r="AT63" s="357"/>
      <c r="AU63" s="357"/>
      <c r="AV63" s="357"/>
      <c r="AW63" s="357"/>
      <c r="AX63" s="357"/>
      <c r="AY63" s="357"/>
      <c r="AZ63" s="357"/>
      <c r="BA63" s="357"/>
      <c r="BB63" s="357"/>
      <c r="BC63" s="357"/>
      <c r="BD63" s="357"/>
      <c r="BE63" s="357"/>
      <c r="BF63" s="357"/>
      <c r="BG63" s="357"/>
      <c r="BH63" s="357"/>
      <c r="BI63" s="357"/>
      <c r="BJ63" s="357"/>
      <c r="BK63" s="357"/>
      <c r="BL63" s="357"/>
      <c r="BM63" s="357"/>
      <c r="BN63" s="357"/>
      <c r="BO63" s="357"/>
      <c r="BP63" s="357"/>
      <c r="BQ63" s="357"/>
      <c r="BR63" s="357"/>
      <c r="BS63" s="357"/>
      <c r="BT63" s="357"/>
      <c r="BU63" s="357"/>
      <c r="BV63" s="357"/>
      <c r="BW63" s="357"/>
      <c r="BX63" s="357"/>
      <c r="BY63" s="357"/>
      <c r="BZ63" s="357"/>
      <c r="CA63" s="357"/>
      <c r="CB63" s="357"/>
      <c r="CC63" s="357"/>
      <c r="CD63" s="357"/>
      <c r="CE63" s="357"/>
      <c r="CF63" s="357"/>
      <c r="CG63" s="357"/>
      <c r="CH63" s="357"/>
      <c r="CI63" s="357"/>
      <c r="CJ63" s="357"/>
      <c r="CK63" s="357"/>
      <c r="CL63" s="357"/>
      <c r="CM63" s="357"/>
      <c r="CN63" s="357"/>
      <c r="CO63" s="357"/>
      <c r="CP63" s="357"/>
      <c r="CQ63" s="357"/>
      <c r="CR63" s="357"/>
      <c r="CS63" s="357"/>
      <c r="CT63" s="357"/>
      <c r="CU63" s="357"/>
      <c r="CV63" s="357"/>
      <c r="CW63" s="357"/>
      <c r="CX63" s="357"/>
      <c r="CY63" s="357"/>
      <c r="CZ63" s="357"/>
      <c r="DA63" s="357"/>
      <c r="DB63" s="357"/>
      <c r="DC63" s="357"/>
      <c r="DD63" s="357"/>
      <c r="DE63" s="357"/>
      <c r="DF63" s="357"/>
      <c r="DG63" s="357"/>
      <c r="DH63" s="357"/>
      <c r="DI63" s="357"/>
      <c r="DJ63" s="357"/>
      <c r="DK63" s="357"/>
      <c r="DL63" s="357"/>
      <c r="DM63" s="357"/>
      <c r="DN63" s="357"/>
      <c r="DO63" s="357"/>
      <c r="DP63" s="357"/>
      <c r="DQ63" s="357"/>
      <c r="DR63" s="357"/>
      <c r="DS63" s="357"/>
      <c r="DT63" s="357"/>
      <c r="DU63" s="357"/>
      <c r="DV63" s="357"/>
      <c r="DW63" s="357"/>
      <c r="DX63" s="357"/>
      <c r="DY63" s="357"/>
      <c r="DZ63" s="357"/>
      <c r="EA63" s="357"/>
      <c r="EB63" s="357"/>
      <c r="EC63" s="357"/>
      <c r="ED63" s="357"/>
      <c r="EE63" s="357"/>
      <c r="EF63" s="357"/>
      <c r="EG63" s="357"/>
      <c r="EH63" s="357"/>
      <c r="EI63" s="357"/>
      <c r="EJ63" s="357"/>
      <c r="EK63" s="357"/>
      <c r="EL63" s="357"/>
      <c r="EM63" s="357"/>
      <c r="EN63" s="357"/>
      <c r="EO63" s="357"/>
      <c r="EP63" s="357"/>
      <c r="EQ63" s="357"/>
      <c r="ER63" s="357"/>
      <c r="ES63" s="357"/>
      <c r="ET63" s="357"/>
      <c r="EU63" s="357"/>
      <c r="EV63" s="357"/>
      <c r="EW63" s="357"/>
      <c r="EX63" s="357"/>
      <c r="EY63" s="357"/>
      <c r="EZ63" s="357"/>
      <c r="FA63" s="357"/>
      <c r="FB63" s="357"/>
      <c r="FC63" s="357"/>
      <c r="FD63" s="357"/>
      <c r="FE63" s="357"/>
      <c r="FF63" s="357"/>
      <c r="FG63" s="357"/>
      <c r="FH63" s="357"/>
      <c r="FI63" s="357"/>
      <c r="FJ63" s="357"/>
      <c r="FK63" s="357"/>
      <c r="FL63" s="357"/>
      <c r="FM63" s="357"/>
      <c r="FN63" s="357"/>
      <c r="FO63" s="357"/>
      <c r="FP63" s="357"/>
      <c r="FQ63" s="357"/>
      <c r="FR63" s="357"/>
      <c r="FS63" s="357"/>
      <c r="FT63" s="357"/>
      <c r="FU63" s="357"/>
      <c r="FV63" s="357"/>
      <c r="FW63" s="357"/>
      <c r="FX63" s="357"/>
      <c r="FY63" s="357"/>
      <c r="FZ63" s="357"/>
      <c r="GA63" s="357"/>
      <c r="GB63" s="357"/>
      <c r="GC63" s="357"/>
      <c r="GD63" s="357"/>
      <c r="GE63" s="357"/>
      <c r="GF63" s="357"/>
      <c r="GG63" s="357"/>
      <c r="GH63" s="357"/>
      <c r="GI63" s="357"/>
      <c r="GJ63" s="357"/>
    </row>
    <row r="64" spans="3:192" ht="12.95" customHeight="1">
      <c r="Z64" s="357"/>
      <c r="AA64" s="357"/>
      <c r="AB64" s="357"/>
      <c r="AC64" s="357"/>
      <c r="AD64" s="357"/>
      <c r="AE64" s="357"/>
      <c r="AF64" s="357"/>
      <c r="AG64" s="357"/>
      <c r="AH64" s="357"/>
      <c r="AI64" s="357"/>
      <c r="AJ64" s="357"/>
      <c r="AK64" s="357"/>
      <c r="AL64" s="357"/>
      <c r="AM64" s="357"/>
      <c r="AN64" s="357"/>
      <c r="AO64" s="357"/>
      <c r="AP64" s="357"/>
      <c r="AQ64" s="357"/>
      <c r="AR64" s="357"/>
      <c r="AS64" s="357"/>
      <c r="AT64" s="357"/>
      <c r="AU64" s="357"/>
      <c r="AV64" s="357"/>
      <c r="AW64" s="357"/>
      <c r="AX64" s="357"/>
      <c r="AY64" s="357"/>
      <c r="AZ64" s="357"/>
      <c r="BA64" s="357"/>
      <c r="BB64" s="357"/>
      <c r="BC64" s="357"/>
      <c r="BD64" s="357"/>
      <c r="BE64" s="357"/>
      <c r="BF64" s="357"/>
      <c r="BG64" s="357"/>
      <c r="BH64" s="357"/>
      <c r="BI64" s="357"/>
      <c r="BJ64" s="357"/>
      <c r="BK64" s="357"/>
      <c r="BL64" s="357"/>
      <c r="BM64" s="357"/>
      <c r="BN64" s="357"/>
      <c r="BO64" s="357"/>
      <c r="BP64" s="357"/>
      <c r="BQ64" s="357"/>
      <c r="BR64" s="357"/>
      <c r="BS64" s="357"/>
      <c r="BT64" s="357"/>
      <c r="BU64" s="357"/>
      <c r="BV64" s="357"/>
      <c r="BW64" s="357"/>
      <c r="BX64" s="357"/>
      <c r="BY64" s="357"/>
      <c r="BZ64" s="357"/>
      <c r="CA64" s="357"/>
      <c r="CB64" s="357"/>
      <c r="CC64" s="357"/>
      <c r="CD64" s="357"/>
      <c r="CE64" s="357"/>
      <c r="CF64" s="357"/>
      <c r="CG64" s="357"/>
      <c r="CH64" s="357"/>
      <c r="CI64" s="357"/>
      <c r="CJ64" s="357"/>
      <c r="CK64" s="357"/>
      <c r="CL64" s="357"/>
      <c r="CM64" s="357"/>
      <c r="CN64" s="357"/>
      <c r="CO64" s="357"/>
      <c r="CP64" s="357"/>
      <c r="CQ64" s="357"/>
      <c r="CR64" s="357"/>
      <c r="CS64" s="357"/>
      <c r="CT64" s="357"/>
      <c r="CU64" s="357"/>
      <c r="CV64" s="357"/>
      <c r="CW64" s="357"/>
      <c r="CX64" s="357"/>
      <c r="CY64" s="357"/>
      <c r="CZ64" s="357"/>
      <c r="DA64" s="357"/>
      <c r="DB64" s="357"/>
      <c r="DC64" s="357"/>
      <c r="DD64" s="357"/>
      <c r="DE64" s="357"/>
      <c r="DF64" s="357"/>
      <c r="DG64" s="357"/>
      <c r="DH64" s="357"/>
      <c r="DI64" s="357"/>
      <c r="DJ64" s="357"/>
      <c r="DK64" s="357"/>
      <c r="DL64" s="357"/>
      <c r="DM64" s="357"/>
      <c r="DN64" s="357"/>
      <c r="DO64" s="357"/>
      <c r="DP64" s="357"/>
      <c r="DQ64" s="357"/>
      <c r="DR64" s="357"/>
      <c r="DS64" s="357"/>
      <c r="DT64" s="357"/>
      <c r="DU64" s="357"/>
      <c r="DV64" s="357"/>
      <c r="DW64" s="357"/>
      <c r="DX64" s="357"/>
      <c r="DY64" s="357"/>
      <c r="DZ64" s="357"/>
      <c r="EA64" s="357"/>
      <c r="EB64" s="357"/>
      <c r="EC64" s="357"/>
      <c r="ED64" s="357"/>
      <c r="EE64" s="357"/>
      <c r="EF64" s="357"/>
      <c r="EG64" s="357"/>
      <c r="EH64" s="357"/>
      <c r="EI64" s="357"/>
      <c r="EJ64" s="357"/>
      <c r="EK64" s="357"/>
      <c r="EL64" s="357"/>
      <c r="EM64" s="357"/>
      <c r="EN64" s="357"/>
      <c r="EO64" s="357"/>
      <c r="EP64" s="357"/>
      <c r="EQ64" s="357"/>
      <c r="ER64" s="357"/>
      <c r="ES64" s="357"/>
      <c r="ET64" s="357"/>
      <c r="EU64" s="357"/>
      <c r="EV64" s="357"/>
      <c r="EW64" s="357"/>
      <c r="EX64" s="357"/>
      <c r="EY64" s="357"/>
      <c r="EZ64" s="357"/>
      <c r="FA64" s="357"/>
      <c r="FB64" s="357"/>
      <c r="FC64" s="357"/>
      <c r="FD64" s="357"/>
      <c r="FE64" s="357"/>
      <c r="FF64" s="357"/>
      <c r="FG64" s="357"/>
      <c r="FH64" s="357"/>
      <c r="FI64" s="357"/>
      <c r="FJ64" s="357"/>
      <c r="FK64" s="357"/>
      <c r="FL64" s="357"/>
      <c r="FM64" s="357"/>
      <c r="FN64" s="357"/>
      <c r="FO64" s="357"/>
      <c r="FP64" s="357"/>
      <c r="FQ64" s="357"/>
      <c r="FR64" s="357"/>
      <c r="FS64" s="357"/>
      <c r="FT64" s="357"/>
      <c r="FU64" s="357"/>
      <c r="FV64" s="357"/>
      <c r="FW64" s="357"/>
      <c r="FX64" s="357"/>
      <c r="FY64" s="357"/>
      <c r="FZ64" s="357"/>
      <c r="GA64" s="357"/>
      <c r="GB64" s="357"/>
      <c r="GC64" s="357"/>
      <c r="GD64" s="357"/>
      <c r="GE64" s="357"/>
      <c r="GF64" s="357"/>
      <c r="GG64" s="357"/>
      <c r="GH64" s="357"/>
      <c r="GI64" s="357"/>
      <c r="GJ64" s="357"/>
    </row>
    <row r="65" spans="26:192" ht="12.95" customHeight="1">
      <c r="Z65" s="357"/>
      <c r="AA65" s="357"/>
      <c r="AB65" s="357"/>
      <c r="AC65" s="357"/>
      <c r="AD65" s="357"/>
      <c r="AE65" s="357"/>
      <c r="AF65" s="357"/>
      <c r="AG65" s="357"/>
      <c r="AH65" s="357"/>
      <c r="AI65" s="357"/>
      <c r="AJ65" s="357"/>
      <c r="AK65" s="357"/>
      <c r="AL65" s="357"/>
      <c r="AM65" s="357"/>
      <c r="AN65" s="357"/>
      <c r="AO65" s="357"/>
      <c r="AP65" s="357"/>
      <c r="AQ65" s="357"/>
      <c r="AR65" s="357"/>
      <c r="AS65" s="357"/>
      <c r="AT65" s="357"/>
      <c r="AU65" s="357"/>
      <c r="AV65" s="357"/>
      <c r="AW65" s="357"/>
      <c r="AX65" s="357"/>
      <c r="AY65" s="357"/>
      <c r="AZ65" s="357"/>
      <c r="BA65" s="357"/>
      <c r="BB65" s="357"/>
      <c r="BC65" s="357"/>
      <c r="BD65" s="357"/>
      <c r="BE65" s="357"/>
      <c r="BF65" s="357"/>
      <c r="BG65" s="357"/>
      <c r="BH65" s="357"/>
      <c r="BI65" s="357"/>
      <c r="BJ65" s="357"/>
      <c r="BK65" s="357"/>
      <c r="BL65" s="357"/>
      <c r="BM65" s="357"/>
      <c r="BN65" s="357"/>
      <c r="BO65" s="357"/>
      <c r="BP65" s="357"/>
      <c r="BQ65" s="357"/>
      <c r="BR65" s="357"/>
      <c r="BS65" s="357"/>
      <c r="BT65" s="357"/>
      <c r="BU65" s="357"/>
      <c r="BV65" s="357"/>
      <c r="BW65" s="357"/>
      <c r="BX65" s="357"/>
      <c r="BY65" s="357"/>
      <c r="BZ65" s="357"/>
      <c r="CA65" s="357"/>
      <c r="CB65" s="357"/>
      <c r="CC65" s="357"/>
      <c r="CD65" s="357"/>
      <c r="CE65" s="357"/>
      <c r="CF65" s="357"/>
      <c r="CG65" s="357"/>
      <c r="CH65" s="357"/>
      <c r="CI65" s="357"/>
      <c r="CJ65" s="357"/>
      <c r="CK65" s="357"/>
      <c r="CL65" s="357"/>
      <c r="CM65" s="357"/>
      <c r="CN65" s="357"/>
      <c r="CO65" s="357"/>
      <c r="CP65" s="357"/>
      <c r="CQ65" s="357"/>
      <c r="CR65" s="357"/>
      <c r="CS65" s="357"/>
      <c r="CT65" s="357"/>
      <c r="CU65" s="357"/>
      <c r="CV65" s="357"/>
      <c r="CW65" s="357"/>
      <c r="CX65" s="357"/>
      <c r="CY65" s="357"/>
      <c r="CZ65" s="357"/>
      <c r="DA65" s="357"/>
      <c r="DB65" s="357"/>
      <c r="DC65" s="357"/>
      <c r="DD65" s="357"/>
      <c r="DE65" s="357"/>
      <c r="DF65" s="357"/>
      <c r="DG65" s="357"/>
      <c r="DH65" s="357"/>
      <c r="DI65" s="357"/>
      <c r="DJ65" s="357"/>
      <c r="DK65" s="357"/>
      <c r="DL65" s="357"/>
      <c r="DM65" s="357"/>
      <c r="DN65" s="357"/>
      <c r="DO65" s="357"/>
      <c r="DP65" s="357"/>
      <c r="DQ65" s="357"/>
      <c r="DR65" s="357"/>
      <c r="DS65" s="357"/>
      <c r="DT65" s="357"/>
      <c r="DU65" s="357"/>
      <c r="DV65" s="357"/>
      <c r="DW65" s="357"/>
      <c r="DX65" s="357"/>
      <c r="DY65" s="357"/>
      <c r="DZ65" s="357"/>
      <c r="EA65" s="357"/>
      <c r="EB65" s="357"/>
      <c r="EC65" s="357"/>
      <c r="ED65" s="357"/>
      <c r="EE65" s="357"/>
      <c r="EF65" s="357"/>
      <c r="EG65" s="357"/>
      <c r="EH65" s="357"/>
      <c r="EI65" s="357"/>
      <c r="EJ65" s="357"/>
      <c r="EK65" s="357"/>
      <c r="EL65" s="357"/>
      <c r="EM65" s="357"/>
      <c r="EN65" s="357"/>
      <c r="EO65" s="357"/>
      <c r="EP65" s="357"/>
      <c r="EQ65" s="357"/>
      <c r="ER65" s="357"/>
      <c r="ES65" s="357"/>
      <c r="ET65" s="357"/>
      <c r="EU65" s="357"/>
      <c r="EV65" s="357"/>
      <c r="EW65" s="357"/>
      <c r="EX65" s="357"/>
      <c r="EY65" s="357"/>
      <c r="EZ65" s="357"/>
      <c r="FA65" s="357"/>
      <c r="FB65" s="357"/>
      <c r="FC65" s="357"/>
      <c r="FD65" s="357"/>
      <c r="FE65" s="357"/>
      <c r="FF65" s="357"/>
      <c r="FG65" s="357"/>
      <c r="FH65" s="357"/>
      <c r="FI65" s="357"/>
      <c r="FJ65" s="357"/>
      <c r="FK65" s="357"/>
      <c r="FL65" s="357"/>
      <c r="FM65" s="357"/>
      <c r="FN65" s="357"/>
      <c r="FO65" s="357"/>
      <c r="FP65" s="357"/>
      <c r="FQ65" s="357"/>
      <c r="FR65" s="357"/>
      <c r="FS65" s="357"/>
      <c r="FT65" s="357"/>
      <c r="FU65" s="357"/>
      <c r="FV65" s="357"/>
      <c r="FW65" s="357"/>
      <c r="FX65" s="357"/>
      <c r="FY65" s="357"/>
      <c r="FZ65" s="357"/>
      <c r="GA65" s="357"/>
      <c r="GB65" s="357"/>
      <c r="GC65" s="357"/>
      <c r="GD65" s="357"/>
      <c r="GE65" s="357"/>
      <c r="GF65" s="357"/>
      <c r="GG65" s="357"/>
      <c r="GH65" s="357"/>
      <c r="GI65" s="357"/>
      <c r="GJ65" s="357"/>
    </row>
    <row r="66" spans="26:192" ht="12.95" customHeight="1">
      <c r="Z66" s="357"/>
      <c r="AA66" s="357"/>
      <c r="AB66" s="357"/>
      <c r="AC66" s="357"/>
      <c r="AD66" s="357"/>
      <c r="AE66" s="357"/>
      <c r="AF66" s="357"/>
      <c r="AG66" s="357"/>
      <c r="AH66" s="357"/>
      <c r="AI66" s="427"/>
      <c r="AJ66" s="427"/>
      <c r="AK66" s="357"/>
      <c r="AL66" s="357"/>
      <c r="AM66" s="357"/>
      <c r="AN66" s="427"/>
      <c r="AO66" s="427"/>
      <c r="AP66" s="357"/>
      <c r="AQ66" s="357"/>
      <c r="AR66" s="357"/>
      <c r="AS66" s="427"/>
      <c r="AT66" s="427"/>
      <c r="AU66" s="357"/>
      <c r="AV66" s="357"/>
      <c r="AW66" s="357"/>
      <c r="AX66" s="357"/>
      <c r="AY66" s="357"/>
      <c r="AZ66" s="357"/>
      <c r="BA66" s="357"/>
      <c r="BB66" s="357"/>
      <c r="BC66" s="357"/>
      <c r="BD66" s="357"/>
      <c r="BE66" s="357"/>
      <c r="BF66" s="357"/>
      <c r="BG66" s="357"/>
      <c r="BH66" s="357"/>
      <c r="BI66" s="357"/>
      <c r="BJ66" s="357"/>
      <c r="BK66" s="357"/>
      <c r="BL66" s="357"/>
      <c r="BM66" s="357"/>
      <c r="BN66" s="357"/>
      <c r="BO66" s="357"/>
      <c r="BP66" s="357"/>
      <c r="BQ66" s="357"/>
      <c r="BR66" s="357"/>
      <c r="BS66" s="357"/>
      <c r="BT66" s="357"/>
      <c r="BU66" s="357"/>
      <c r="BV66" s="357"/>
      <c r="BW66" s="357"/>
      <c r="BX66" s="357"/>
      <c r="BY66" s="357"/>
      <c r="BZ66" s="357"/>
      <c r="CA66" s="357"/>
      <c r="CB66" s="357"/>
      <c r="CC66" s="357"/>
      <c r="CD66" s="357"/>
      <c r="CE66" s="357"/>
      <c r="CF66" s="357"/>
      <c r="CG66" s="357"/>
      <c r="CH66" s="357"/>
      <c r="CI66" s="357"/>
      <c r="CJ66" s="357"/>
      <c r="CK66" s="357"/>
      <c r="CL66" s="357"/>
      <c r="CM66" s="357"/>
      <c r="CN66" s="357"/>
      <c r="CO66" s="357"/>
      <c r="CP66" s="357"/>
      <c r="CQ66" s="357"/>
      <c r="CR66" s="357"/>
      <c r="CS66" s="357"/>
      <c r="CT66" s="357"/>
      <c r="CU66" s="357"/>
      <c r="CV66" s="357"/>
      <c r="CW66" s="357"/>
      <c r="CX66" s="357"/>
      <c r="CY66" s="357"/>
      <c r="CZ66" s="357"/>
      <c r="DA66" s="357"/>
      <c r="DB66" s="357"/>
      <c r="DC66" s="357"/>
      <c r="DD66" s="357"/>
      <c r="DE66" s="357"/>
      <c r="DF66" s="357"/>
      <c r="DG66" s="357"/>
      <c r="DH66" s="357"/>
      <c r="DI66" s="357"/>
      <c r="DJ66" s="357"/>
      <c r="DK66" s="357"/>
      <c r="DL66" s="357"/>
      <c r="DM66" s="357"/>
      <c r="DN66" s="357"/>
      <c r="DO66" s="357"/>
      <c r="DP66" s="357"/>
      <c r="DQ66" s="357"/>
      <c r="DR66" s="357"/>
      <c r="DS66" s="357"/>
      <c r="DT66" s="357"/>
      <c r="DU66" s="357"/>
      <c r="DV66" s="357"/>
      <c r="DW66" s="357"/>
      <c r="DX66" s="357"/>
      <c r="DY66" s="357"/>
      <c r="DZ66" s="357"/>
      <c r="EA66" s="357"/>
      <c r="EB66" s="357"/>
      <c r="EC66" s="357"/>
      <c r="ED66" s="357"/>
      <c r="EE66" s="357"/>
      <c r="EF66" s="357"/>
      <c r="EG66" s="357"/>
      <c r="EH66" s="357"/>
      <c r="EI66" s="357"/>
      <c r="EJ66" s="357"/>
      <c r="EK66" s="357"/>
      <c r="EL66" s="357"/>
      <c r="EM66" s="357"/>
      <c r="EN66" s="357"/>
      <c r="EO66" s="357"/>
      <c r="EP66" s="357"/>
      <c r="EQ66" s="357"/>
      <c r="ER66" s="357"/>
      <c r="ES66" s="357"/>
      <c r="ET66" s="357"/>
      <c r="EU66" s="357"/>
      <c r="EV66" s="357"/>
      <c r="EW66" s="357"/>
      <c r="EX66" s="357"/>
      <c r="EY66" s="357"/>
      <c r="EZ66" s="357"/>
      <c r="FA66" s="357"/>
      <c r="FB66" s="357"/>
      <c r="FC66" s="357"/>
      <c r="FD66" s="357"/>
      <c r="FE66" s="357"/>
      <c r="FF66" s="357"/>
      <c r="FG66" s="357"/>
      <c r="FH66" s="357"/>
      <c r="FI66" s="357"/>
      <c r="FJ66" s="357"/>
      <c r="FK66" s="357"/>
      <c r="FL66" s="357"/>
      <c r="FM66" s="357"/>
      <c r="FN66" s="357"/>
      <c r="FO66" s="357"/>
      <c r="FP66" s="357"/>
      <c r="FQ66" s="357"/>
      <c r="FR66" s="357"/>
      <c r="FS66" s="357"/>
      <c r="FT66" s="357"/>
      <c r="FU66" s="357"/>
      <c r="FV66" s="357"/>
      <c r="FW66" s="357"/>
      <c r="FX66" s="357"/>
      <c r="FY66" s="357"/>
      <c r="FZ66" s="357"/>
      <c r="GA66" s="357"/>
      <c r="GB66" s="357"/>
      <c r="GC66" s="357"/>
      <c r="GD66" s="357"/>
      <c r="GE66" s="357"/>
      <c r="GF66" s="357"/>
      <c r="GG66" s="357"/>
      <c r="GH66" s="357"/>
      <c r="GI66" s="357"/>
      <c r="GJ66" s="357"/>
    </row>
    <row r="67" spans="26:192" ht="12.95" customHeight="1">
      <c r="Z67" s="357"/>
      <c r="AA67" s="357"/>
      <c r="AB67" s="357"/>
      <c r="AC67" s="357"/>
      <c r="AD67" s="357"/>
      <c r="AE67" s="357"/>
      <c r="AF67" s="357"/>
      <c r="AG67" s="357"/>
      <c r="AH67" s="357"/>
      <c r="AI67" s="357"/>
      <c r="AJ67" s="357"/>
      <c r="AK67" s="357"/>
      <c r="AL67" s="357"/>
      <c r="AM67" s="357"/>
      <c r="AN67" s="357"/>
      <c r="AO67" s="357"/>
      <c r="AP67" s="357"/>
      <c r="AQ67" s="357"/>
      <c r="AR67" s="357"/>
      <c r="AS67" s="357"/>
      <c r="AT67" s="357"/>
      <c r="AU67" s="357"/>
      <c r="AV67" s="357"/>
      <c r="AW67" s="357"/>
      <c r="AX67" s="357"/>
      <c r="AY67" s="357"/>
      <c r="AZ67" s="357"/>
      <c r="BA67" s="357"/>
      <c r="BB67" s="357"/>
      <c r="BC67" s="357"/>
      <c r="BD67" s="357"/>
      <c r="BE67" s="357"/>
      <c r="BF67" s="357"/>
      <c r="BG67" s="357"/>
      <c r="BH67" s="357"/>
      <c r="BI67" s="357"/>
      <c r="BJ67" s="357"/>
      <c r="BK67" s="357"/>
      <c r="BL67" s="357"/>
      <c r="BM67" s="357"/>
      <c r="BN67" s="357"/>
      <c r="BO67" s="357"/>
      <c r="BP67" s="357"/>
      <c r="BQ67" s="357"/>
      <c r="BR67" s="357"/>
      <c r="BS67" s="357"/>
      <c r="BT67" s="357"/>
      <c r="BU67" s="357"/>
      <c r="BV67" s="357"/>
      <c r="BW67" s="357"/>
      <c r="BX67" s="357"/>
      <c r="BY67" s="357"/>
      <c r="BZ67" s="357"/>
      <c r="CA67" s="357"/>
      <c r="CB67" s="357"/>
      <c r="CC67" s="357"/>
      <c r="CD67" s="357"/>
      <c r="CE67" s="357"/>
      <c r="CF67" s="357"/>
      <c r="CG67" s="357"/>
      <c r="CH67" s="357"/>
      <c r="CI67" s="357"/>
      <c r="CJ67" s="357"/>
      <c r="CK67" s="357"/>
      <c r="CL67" s="357"/>
      <c r="CM67" s="357"/>
      <c r="CN67" s="357"/>
      <c r="CO67" s="357"/>
      <c r="CP67" s="357"/>
      <c r="CQ67" s="357"/>
      <c r="CR67" s="357"/>
      <c r="CS67" s="357"/>
      <c r="CT67" s="357"/>
      <c r="CU67" s="357"/>
      <c r="CV67" s="357"/>
      <c r="CW67" s="357"/>
      <c r="CX67" s="357"/>
      <c r="CY67" s="357"/>
      <c r="CZ67" s="357"/>
      <c r="DA67" s="357"/>
      <c r="DB67" s="357"/>
      <c r="DC67" s="357"/>
      <c r="DD67" s="357"/>
      <c r="DE67" s="357"/>
      <c r="DF67" s="357"/>
      <c r="DG67" s="357"/>
      <c r="DH67" s="357"/>
      <c r="DI67" s="357"/>
      <c r="DJ67" s="357"/>
      <c r="DK67" s="357"/>
      <c r="DL67" s="357"/>
      <c r="DM67" s="357"/>
      <c r="DN67" s="357"/>
      <c r="DO67" s="357"/>
      <c r="DP67" s="357"/>
      <c r="DQ67" s="357"/>
      <c r="DR67" s="357"/>
      <c r="DS67" s="357"/>
      <c r="DT67" s="357"/>
      <c r="DU67" s="357"/>
      <c r="DV67" s="357"/>
      <c r="DW67" s="357"/>
      <c r="DX67" s="357"/>
      <c r="DY67" s="357"/>
      <c r="DZ67" s="357"/>
      <c r="EA67" s="357"/>
      <c r="EB67" s="357"/>
      <c r="EC67" s="357"/>
      <c r="ED67" s="357"/>
      <c r="EE67" s="357"/>
      <c r="EF67" s="357"/>
      <c r="EG67" s="357"/>
      <c r="EH67" s="357"/>
      <c r="EI67" s="357"/>
      <c r="EJ67" s="357"/>
      <c r="EK67" s="357"/>
      <c r="EL67" s="357"/>
      <c r="EM67" s="357"/>
      <c r="EN67" s="357"/>
      <c r="EO67" s="357"/>
      <c r="EP67" s="357"/>
      <c r="EQ67" s="357"/>
      <c r="ER67" s="357"/>
      <c r="ES67" s="357"/>
      <c r="ET67" s="357"/>
      <c r="EU67" s="357"/>
      <c r="EV67" s="357"/>
      <c r="EW67" s="357"/>
      <c r="EX67" s="357"/>
      <c r="EY67" s="357"/>
      <c r="EZ67" s="357"/>
      <c r="FA67" s="357"/>
      <c r="FB67" s="357"/>
      <c r="FC67" s="357"/>
      <c r="FD67" s="357"/>
      <c r="FE67" s="357"/>
      <c r="FF67" s="357"/>
      <c r="FG67" s="357"/>
      <c r="FH67" s="357"/>
      <c r="FI67" s="357"/>
      <c r="FJ67" s="357"/>
      <c r="FK67" s="357"/>
      <c r="FL67" s="357"/>
      <c r="FM67" s="357"/>
      <c r="FN67" s="357"/>
      <c r="FO67" s="357"/>
      <c r="FP67" s="357"/>
      <c r="FQ67" s="357"/>
      <c r="FR67" s="357"/>
      <c r="FS67" s="357"/>
      <c r="FT67" s="357"/>
      <c r="FU67" s="357"/>
      <c r="FV67" s="357"/>
      <c r="FW67" s="357"/>
      <c r="FX67" s="357"/>
      <c r="FY67" s="357"/>
      <c r="FZ67" s="357"/>
      <c r="GA67" s="357"/>
      <c r="GB67" s="357"/>
      <c r="GC67" s="357"/>
      <c r="GD67" s="357"/>
      <c r="GE67" s="357"/>
      <c r="GF67" s="357"/>
      <c r="GG67" s="357"/>
      <c r="GH67" s="357"/>
      <c r="GI67" s="357"/>
      <c r="GJ67" s="357"/>
    </row>
    <row r="68" spans="26:192" ht="12.95" customHeight="1">
      <c r="Z68" s="357"/>
      <c r="AA68" s="357"/>
      <c r="AB68" s="357"/>
      <c r="AC68" s="357"/>
      <c r="AD68" s="357"/>
      <c r="AE68" s="357"/>
      <c r="AF68" s="357"/>
      <c r="AG68" s="357"/>
      <c r="AH68" s="357"/>
      <c r="AI68" s="357"/>
      <c r="AJ68" s="357"/>
      <c r="AK68" s="357"/>
      <c r="AL68" s="357"/>
      <c r="AM68" s="357"/>
      <c r="AN68" s="357"/>
      <c r="AO68" s="357"/>
      <c r="AP68" s="357"/>
      <c r="AQ68" s="357"/>
      <c r="AR68" s="357"/>
      <c r="AS68" s="357"/>
      <c r="AT68" s="357"/>
      <c r="AU68" s="357"/>
      <c r="AV68" s="357"/>
      <c r="AW68" s="357"/>
      <c r="AX68" s="357"/>
      <c r="AY68" s="357"/>
      <c r="AZ68" s="357"/>
      <c r="BA68" s="357"/>
      <c r="BB68" s="357"/>
      <c r="BC68" s="357"/>
      <c r="BD68" s="357"/>
      <c r="BE68" s="357"/>
      <c r="BF68" s="357"/>
      <c r="BG68" s="357"/>
      <c r="BH68" s="357"/>
      <c r="BI68" s="357"/>
      <c r="BJ68" s="357"/>
      <c r="BK68" s="357"/>
      <c r="BL68" s="357"/>
      <c r="BM68" s="357"/>
      <c r="BN68" s="357"/>
      <c r="BO68" s="357"/>
      <c r="BP68" s="357"/>
      <c r="BQ68" s="357"/>
      <c r="BR68" s="357"/>
      <c r="BS68" s="357"/>
      <c r="BT68" s="357"/>
      <c r="BU68" s="357"/>
      <c r="BV68" s="357"/>
      <c r="BW68" s="357"/>
      <c r="BX68" s="357"/>
      <c r="BY68" s="357"/>
      <c r="BZ68" s="357"/>
      <c r="CA68" s="357"/>
      <c r="CB68" s="357"/>
      <c r="CC68" s="357"/>
      <c r="CD68" s="357"/>
      <c r="CE68" s="357"/>
      <c r="CF68" s="357"/>
      <c r="CG68" s="357"/>
      <c r="CH68" s="357"/>
      <c r="CI68" s="357"/>
      <c r="CJ68" s="357"/>
      <c r="CK68" s="357"/>
      <c r="CL68" s="357"/>
      <c r="CM68" s="357"/>
      <c r="CN68" s="357"/>
      <c r="CO68" s="357"/>
      <c r="CP68" s="357"/>
      <c r="CQ68" s="357"/>
      <c r="CR68" s="357"/>
      <c r="CS68" s="357"/>
      <c r="CT68" s="357"/>
      <c r="CU68" s="357"/>
      <c r="CV68" s="357"/>
      <c r="CW68" s="357"/>
      <c r="CX68" s="357"/>
      <c r="CY68" s="357"/>
      <c r="CZ68" s="357"/>
      <c r="DA68" s="357"/>
      <c r="DB68" s="357"/>
      <c r="DC68" s="357"/>
      <c r="DD68" s="357"/>
      <c r="DE68" s="357"/>
      <c r="DF68" s="357"/>
      <c r="DG68" s="357"/>
      <c r="DH68" s="357"/>
      <c r="DI68" s="357"/>
      <c r="DJ68" s="357"/>
      <c r="DK68" s="357"/>
      <c r="DL68" s="357"/>
      <c r="DM68" s="357"/>
      <c r="DN68" s="357"/>
      <c r="DO68" s="357"/>
      <c r="DP68" s="357"/>
      <c r="DQ68" s="357"/>
      <c r="DR68" s="357"/>
      <c r="DS68" s="357"/>
      <c r="DT68" s="357"/>
      <c r="DU68" s="357"/>
      <c r="DV68" s="357"/>
      <c r="DW68" s="357"/>
      <c r="DX68" s="357"/>
      <c r="DY68" s="357"/>
      <c r="DZ68" s="357"/>
      <c r="EA68" s="357"/>
      <c r="EB68" s="357"/>
      <c r="EC68" s="357"/>
      <c r="ED68" s="357"/>
      <c r="EE68" s="357"/>
      <c r="EF68" s="357"/>
      <c r="EG68" s="357"/>
      <c r="EH68" s="357"/>
      <c r="EI68" s="357"/>
      <c r="EJ68" s="357"/>
      <c r="EK68" s="357"/>
      <c r="EL68" s="357"/>
      <c r="EM68" s="357"/>
      <c r="EN68" s="357"/>
      <c r="EO68" s="357"/>
      <c r="EP68" s="357"/>
      <c r="EQ68" s="357"/>
      <c r="ER68" s="357"/>
      <c r="ES68" s="357"/>
      <c r="ET68" s="357"/>
      <c r="EU68" s="357"/>
      <c r="EV68" s="357"/>
      <c r="EW68" s="357"/>
      <c r="EX68" s="357"/>
      <c r="EY68" s="357"/>
      <c r="EZ68" s="357"/>
      <c r="FA68" s="357"/>
      <c r="FB68" s="357"/>
      <c r="FC68" s="357"/>
      <c r="FD68" s="357"/>
      <c r="FE68" s="357"/>
      <c r="FF68" s="357"/>
      <c r="FG68" s="357"/>
      <c r="FH68" s="357"/>
      <c r="FI68" s="357"/>
      <c r="FJ68" s="357"/>
      <c r="FK68" s="357"/>
      <c r="FL68" s="357"/>
      <c r="FM68" s="357"/>
      <c r="FN68" s="357"/>
      <c r="FO68" s="357"/>
      <c r="FP68" s="357"/>
      <c r="FQ68" s="357"/>
      <c r="FR68" s="357"/>
      <c r="FS68" s="357"/>
      <c r="FT68" s="357"/>
      <c r="FU68" s="357"/>
      <c r="FV68" s="357"/>
      <c r="FW68" s="357"/>
      <c r="FX68" s="357"/>
      <c r="FY68" s="357"/>
      <c r="FZ68" s="357"/>
      <c r="GA68" s="357"/>
      <c r="GB68" s="357"/>
      <c r="GC68" s="357"/>
      <c r="GD68" s="357"/>
      <c r="GE68" s="357"/>
      <c r="GF68" s="357"/>
      <c r="GG68" s="357"/>
      <c r="GH68" s="357"/>
      <c r="GI68" s="357"/>
      <c r="GJ68" s="357"/>
    </row>
    <row r="69" spans="26:192" ht="12.95" customHeight="1">
      <c r="Z69" s="357"/>
      <c r="AA69" s="357"/>
      <c r="AB69" s="357"/>
      <c r="AC69" s="357"/>
      <c r="AD69" s="357"/>
      <c r="AE69" s="357"/>
      <c r="AF69" s="357"/>
      <c r="AG69" s="357"/>
      <c r="AH69" s="357"/>
      <c r="AI69" s="357"/>
      <c r="AJ69" s="357"/>
      <c r="AK69" s="357"/>
      <c r="AL69" s="357"/>
      <c r="AM69" s="357"/>
      <c r="AN69" s="357"/>
      <c r="AO69" s="357"/>
      <c r="AP69" s="357"/>
      <c r="AQ69" s="357"/>
      <c r="AR69" s="357"/>
      <c r="AS69" s="357"/>
      <c r="AT69" s="357"/>
      <c r="AU69" s="357"/>
      <c r="AV69" s="357"/>
      <c r="AW69" s="357"/>
      <c r="AX69" s="357"/>
      <c r="AY69" s="357"/>
      <c r="AZ69" s="357"/>
      <c r="BA69" s="357"/>
      <c r="BB69" s="357"/>
      <c r="BC69" s="357"/>
      <c r="BD69" s="357"/>
      <c r="BE69" s="357"/>
      <c r="BF69" s="357"/>
      <c r="BG69" s="357"/>
      <c r="BH69" s="357"/>
      <c r="BI69" s="357"/>
      <c r="BJ69" s="357"/>
      <c r="BK69" s="357"/>
      <c r="BL69" s="357"/>
      <c r="BM69" s="357"/>
      <c r="BN69" s="357"/>
      <c r="BO69" s="357"/>
      <c r="BP69" s="357"/>
      <c r="BQ69" s="357"/>
      <c r="BR69" s="357"/>
      <c r="BS69" s="357"/>
      <c r="BT69" s="357"/>
      <c r="BU69" s="357"/>
      <c r="BV69" s="357"/>
      <c r="BW69" s="357"/>
      <c r="BX69" s="357"/>
      <c r="BY69" s="357"/>
      <c r="BZ69" s="357"/>
      <c r="CA69" s="357"/>
      <c r="CB69" s="357"/>
      <c r="CC69" s="357"/>
      <c r="CD69" s="357"/>
      <c r="CE69" s="357"/>
      <c r="CF69" s="357"/>
      <c r="CG69" s="357"/>
      <c r="CH69" s="357"/>
      <c r="CI69" s="357"/>
      <c r="CJ69" s="357"/>
      <c r="CK69" s="357"/>
      <c r="CL69" s="357"/>
      <c r="CM69" s="357"/>
      <c r="CN69" s="357"/>
      <c r="CO69" s="357"/>
      <c r="CP69" s="357"/>
      <c r="CQ69" s="357"/>
      <c r="CR69" s="357"/>
      <c r="CS69" s="357"/>
      <c r="CT69" s="357"/>
      <c r="CU69" s="357"/>
      <c r="CV69" s="357"/>
      <c r="CW69" s="357"/>
      <c r="CX69" s="357"/>
      <c r="CY69" s="357"/>
      <c r="CZ69" s="357"/>
      <c r="DA69" s="357"/>
      <c r="DB69" s="357"/>
      <c r="DC69" s="357"/>
      <c r="DD69" s="357"/>
      <c r="DE69" s="357"/>
      <c r="DF69" s="357"/>
      <c r="DG69" s="357"/>
      <c r="DH69" s="357"/>
      <c r="DI69" s="357"/>
      <c r="DJ69" s="357"/>
      <c r="DK69" s="357"/>
      <c r="DL69" s="357"/>
      <c r="DM69" s="357"/>
      <c r="DN69" s="357"/>
      <c r="DO69" s="357"/>
      <c r="DP69" s="357"/>
      <c r="DQ69" s="357"/>
      <c r="DR69" s="357"/>
      <c r="DS69" s="357"/>
      <c r="DT69" s="357"/>
      <c r="DU69" s="357"/>
      <c r="DV69" s="357"/>
      <c r="DW69" s="357"/>
      <c r="DX69" s="357"/>
      <c r="DY69" s="357"/>
      <c r="DZ69" s="357"/>
      <c r="EA69" s="357"/>
      <c r="EB69" s="357"/>
      <c r="EC69" s="357"/>
      <c r="ED69" s="357"/>
      <c r="EE69" s="357"/>
      <c r="EF69" s="357"/>
      <c r="EG69" s="357"/>
      <c r="EH69" s="357"/>
      <c r="EI69" s="357"/>
      <c r="EJ69" s="357"/>
      <c r="EK69" s="357"/>
      <c r="EL69" s="357"/>
      <c r="EM69" s="357"/>
      <c r="EN69" s="357"/>
      <c r="EO69" s="357"/>
      <c r="EP69" s="357"/>
      <c r="EQ69" s="357"/>
      <c r="ER69" s="357"/>
      <c r="ES69" s="357"/>
      <c r="ET69" s="357"/>
      <c r="EU69" s="357"/>
      <c r="EV69" s="357"/>
      <c r="EW69" s="357"/>
      <c r="EX69" s="357"/>
      <c r="EY69" s="357"/>
      <c r="EZ69" s="357"/>
      <c r="FA69" s="357"/>
      <c r="FB69" s="357"/>
      <c r="FC69" s="357"/>
      <c r="FD69" s="357"/>
      <c r="FE69" s="357"/>
      <c r="FF69" s="357"/>
      <c r="FG69" s="357"/>
      <c r="FH69" s="357"/>
      <c r="FI69" s="357"/>
      <c r="FJ69" s="357"/>
      <c r="FK69" s="357"/>
      <c r="FL69" s="357"/>
      <c r="FM69" s="357"/>
      <c r="FN69" s="357"/>
      <c r="FO69" s="357"/>
      <c r="FP69" s="357"/>
      <c r="FQ69" s="357"/>
      <c r="FR69" s="357"/>
      <c r="FS69" s="357"/>
      <c r="FT69" s="357"/>
      <c r="FU69" s="357"/>
      <c r="FV69" s="357"/>
      <c r="FW69" s="357"/>
      <c r="FX69" s="357"/>
      <c r="FY69" s="357"/>
      <c r="FZ69" s="357"/>
      <c r="GA69" s="357"/>
      <c r="GB69" s="357"/>
      <c r="GC69" s="357"/>
      <c r="GD69" s="357"/>
      <c r="GE69" s="357"/>
      <c r="GF69" s="357"/>
      <c r="GG69" s="357"/>
      <c r="GH69" s="357"/>
      <c r="GI69" s="357"/>
      <c r="GJ69" s="357"/>
    </row>
    <row r="70" spans="26:192" ht="12.95" customHeight="1">
      <c r="Z70" s="357"/>
      <c r="AA70" s="357"/>
      <c r="AB70" s="357"/>
      <c r="AC70" s="357"/>
      <c r="AD70" s="357"/>
      <c r="AE70" s="357"/>
      <c r="AF70" s="357"/>
      <c r="AG70" s="357"/>
      <c r="AH70" s="357"/>
      <c r="AI70" s="357"/>
      <c r="AJ70" s="357"/>
      <c r="AK70" s="357"/>
      <c r="AL70" s="357"/>
      <c r="AM70" s="357"/>
      <c r="AN70" s="357"/>
      <c r="AO70" s="357"/>
      <c r="AP70" s="357"/>
      <c r="AQ70" s="357"/>
      <c r="AR70" s="357"/>
      <c r="AS70" s="357"/>
      <c r="AT70" s="357"/>
      <c r="AU70" s="357"/>
      <c r="AV70" s="357"/>
      <c r="AW70" s="357"/>
      <c r="AX70" s="357"/>
      <c r="AY70" s="357"/>
      <c r="AZ70" s="357"/>
      <c r="BA70" s="357"/>
      <c r="BB70" s="357"/>
      <c r="BC70" s="357"/>
      <c r="BD70" s="357"/>
      <c r="BE70" s="357"/>
      <c r="BF70" s="357"/>
      <c r="BG70" s="357"/>
      <c r="BH70" s="357"/>
      <c r="BI70" s="357"/>
      <c r="BJ70" s="357"/>
      <c r="BK70" s="357"/>
      <c r="BL70" s="357"/>
      <c r="BM70" s="357"/>
      <c r="BN70" s="357"/>
      <c r="BO70" s="357"/>
      <c r="BP70" s="357"/>
      <c r="BQ70" s="357"/>
      <c r="BR70" s="357"/>
      <c r="BS70" s="357"/>
      <c r="BT70" s="357"/>
      <c r="BU70" s="357"/>
      <c r="BV70" s="357"/>
      <c r="BW70" s="357"/>
      <c r="BX70" s="357"/>
      <c r="BY70" s="357"/>
      <c r="BZ70" s="357"/>
      <c r="CA70" s="357"/>
      <c r="CB70" s="357"/>
      <c r="CC70" s="357"/>
      <c r="CD70" s="357"/>
      <c r="CE70" s="357"/>
      <c r="CF70" s="357"/>
      <c r="CG70" s="357"/>
      <c r="CH70" s="357"/>
      <c r="CI70" s="357"/>
      <c r="CJ70" s="357"/>
      <c r="CK70" s="357"/>
      <c r="CL70" s="357"/>
      <c r="CM70" s="357"/>
      <c r="CN70" s="357"/>
      <c r="CO70" s="357"/>
      <c r="CP70" s="357"/>
      <c r="CQ70" s="357"/>
      <c r="CR70" s="357"/>
      <c r="CS70" s="357"/>
      <c r="CT70" s="357"/>
      <c r="CU70" s="357"/>
      <c r="CV70" s="357"/>
      <c r="CW70" s="357"/>
      <c r="CX70" s="357"/>
      <c r="CY70" s="357"/>
      <c r="CZ70" s="357"/>
      <c r="DA70" s="357"/>
      <c r="DB70" s="357"/>
      <c r="DC70" s="357"/>
      <c r="DD70" s="357"/>
      <c r="DE70" s="357"/>
      <c r="DF70" s="357"/>
      <c r="DG70" s="357"/>
      <c r="DH70" s="357"/>
      <c r="DI70" s="357"/>
      <c r="DJ70" s="357"/>
      <c r="DK70" s="357"/>
      <c r="DL70" s="357"/>
      <c r="DM70" s="357"/>
      <c r="DN70" s="357"/>
      <c r="DO70" s="357"/>
      <c r="DP70" s="357"/>
      <c r="DQ70" s="357"/>
      <c r="DR70" s="357"/>
      <c r="DS70" s="357"/>
      <c r="DT70" s="357"/>
      <c r="DU70" s="357"/>
      <c r="DV70" s="357"/>
      <c r="DW70" s="357"/>
      <c r="DX70" s="357"/>
      <c r="DY70" s="357"/>
      <c r="DZ70" s="357"/>
      <c r="EA70" s="357"/>
      <c r="EB70" s="357"/>
      <c r="EC70" s="357"/>
      <c r="ED70" s="357"/>
      <c r="EE70" s="357"/>
      <c r="EF70" s="357"/>
      <c r="EG70" s="357"/>
      <c r="EH70" s="357"/>
      <c r="EI70" s="357"/>
      <c r="EJ70" s="357"/>
      <c r="EK70" s="357"/>
      <c r="EL70" s="357"/>
      <c r="EM70" s="357"/>
      <c r="EN70" s="357"/>
      <c r="EO70" s="357"/>
      <c r="EP70" s="357"/>
      <c r="EQ70" s="357"/>
      <c r="ER70" s="357"/>
      <c r="ES70" s="357"/>
      <c r="ET70" s="357"/>
      <c r="EU70" s="357"/>
      <c r="EV70" s="357"/>
      <c r="EW70" s="357"/>
      <c r="EX70" s="357"/>
      <c r="EY70" s="357"/>
      <c r="EZ70" s="357"/>
      <c r="FA70" s="357"/>
      <c r="FB70" s="357"/>
      <c r="FC70" s="357"/>
      <c r="FD70" s="357"/>
      <c r="FE70" s="357"/>
      <c r="FF70" s="357"/>
      <c r="FG70" s="357"/>
      <c r="FH70" s="357"/>
      <c r="FI70" s="357"/>
      <c r="FJ70" s="357"/>
      <c r="FK70" s="357"/>
      <c r="FL70" s="357"/>
      <c r="FM70" s="357"/>
      <c r="FN70" s="357"/>
      <c r="FO70" s="357"/>
      <c r="FP70" s="357"/>
      <c r="FQ70" s="357"/>
      <c r="FR70" s="357"/>
      <c r="FS70" s="357"/>
      <c r="FT70" s="357"/>
      <c r="FU70" s="357"/>
      <c r="FV70" s="357"/>
      <c r="FW70" s="357"/>
      <c r="FX70" s="357"/>
      <c r="FY70" s="357"/>
      <c r="FZ70" s="357"/>
      <c r="GA70" s="357"/>
      <c r="GB70" s="357"/>
      <c r="GC70" s="357"/>
      <c r="GD70" s="357"/>
      <c r="GE70" s="357"/>
      <c r="GF70" s="357"/>
      <c r="GG70" s="357"/>
      <c r="GH70" s="357"/>
      <c r="GI70" s="357"/>
      <c r="GJ70" s="357"/>
    </row>
    <row r="71" spans="26:192" ht="12.95" customHeight="1">
      <c r="Z71" s="357"/>
      <c r="AA71" s="357"/>
      <c r="AB71" s="357"/>
      <c r="AC71" s="357"/>
      <c r="AD71" s="357"/>
      <c r="AE71" s="357"/>
      <c r="AF71" s="357"/>
      <c r="AG71" s="357"/>
      <c r="AH71" s="357"/>
      <c r="AI71" s="357"/>
      <c r="AJ71" s="357"/>
      <c r="AK71" s="357"/>
      <c r="AL71" s="357"/>
      <c r="AM71" s="357"/>
      <c r="AN71" s="357"/>
      <c r="AO71" s="357"/>
      <c r="AP71" s="357"/>
      <c r="AQ71" s="357"/>
      <c r="AR71" s="357"/>
      <c r="AS71" s="357"/>
      <c r="AT71" s="357"/>
      <c r="AU71" s="357"/>
      <c r="AV71" s="357"/>
      <c r="AW71" s="357"/>
      <c r="AX71" s="357"/>
      <c r="AY71" s="357"/>
      <c r="AZ71" s="357"/>
      <c r="BA71" s="357"/>
      <c r="BB71" s="357"/>
      <c r="BC71" s="357"/>
      <c r="BD71" s="357"/>
      <c r="BE71" s="357"/>
      <c r="BF71" s="357"/>
      <c r="BG71" s="357"/>
      <c r="BH71" s="357"/>
      <c r="BI71" s="357"/>
      <c r="BJ71" s="357"/>
      <c r="BK71" s="357"/>
      <c r="BL71" s="357"/>
      <c r="BM71" s="357"/>
      <c r="BN71" s="357"/>
      <c r="BO71" s="357"/>
      <c r="BP71" s="357"/>
      <c r="BQ71" s="357"/>
      <c r="BR71" s="357"/>
      <c r="BS71" s="357"/>
      <c r="BT71" s="357"/>
      <c r="BU71" s="357"/>
      <c r="BV71" s="357"/>
      <c r="BW71" s="357"/>
      <c r="BX71" s="357"/>
      <c r="BY71" s="357"/>
      <c r="BZ71" s="357"/>
      <c r="CA71" s="357"/>
      <c r="CB71" s="357"/>
      <c r="CC71" s="357"/>
      <c r="CD71" s="357"/>
      <c r="CE71" s="357"/>
      <c r="CF71" s="357"/>
      <c r="CG71" s="357"/>
      <c r="CH71" s="357"/>
      <c r="CI71" s="357"/>
      <c r="CJ71" s="357"/>
      <c r="CK71" s="357"/>
      <c r="CL71" s="357"/>
      <c r="CM71" s="357"/>
      <c r="CN71" s="357"/>
      <c r="CO71" s="357"/>
      <c r="CP71" s="357"/>
      <c r="CQ71" s="357"/>
      <c r="CR71" s="357"/>
      <c r="CS71" s="357"/>
      <c r="CT71" s="357"/>
      <c r="CU71" s="357"/>
      <c r="CV71" s="357"/>
      <c r="CW71" s="357"/>
      <c r="CX71" s="357"/>
      <c r="CY71" s="357"/>
      <c r="CZ71" s="357"/>
      <c r="DA71" s="357"/>
      <c r="DB71" s="357"/>
      <c r="DC71" s="357"/>
      <c r="DD71" s="357"/>
      <c r="DE71" s="357"/>
      <c r="DF71" s="357"/>
      <c r="DG71" s="357"/>
      <c r="DH71" s="357"/>
      <c r="DI71" s="357"/>
      <c r="DJ71" s="357"/>
      <c r="DK71" s="357"/>
      <c r="DL71" s="357"/>
      <c r="DM71" s="357"/>
      <c r="DN71" s="357"/>
      <c r="DO71" s="357"/>
      <c r="DP71" s="357"/>
      <c r="DQ71" s="357"/>
      <c r="DR71" s="357"/>
      <c r="DS71" s="357"/>
      <c r="DT71" s="357"/>
      <c r="DU71" s="357"/>
      <c r="DV71" s="357"/>
      <c r="DW71" s="357"/>
      <c r="DX71" s="357"/>
      <c r="DY71" s="357"/>
      <c r="DZ71" s="357"/>
      <c r="EA71" s="357"/>
      <c r="EB71" s="357"/>
      <c r="EC71" s="357"/>
      <c r="ED71" s="357"/>
      <c r="EE71" s="357"/>
      <c r="EF71" s="357"/>
      <c r="EG71" s="357"/>
      <c r="EH71" s="357"/>
      <c r="EI71" s="357"/>
      <c r="EJ71" s="357"/>
      <c r="EK71" s="357"/>
      <c r="EL71" s="357"/>
      <c r="EM71" s="357"/>
      <c r="EN71" s="357"/>
      <c r="EO71" s="357"/>
      <c r="EP71" s="357"/>
      <c r="EQ71" s="357"/>
      <c r="ER71" s="357"/>
      <c r="ES71" s="357"/>
      <c r="ET71" s="357"/>
      <c r="EU71" s="357"/>
      <c r="EV71" s="357"/>
      <c r="EW71" s="357"/>
      <c r="EX71" s="357"/>
      <c r="EY71" s="357"/>
      <c r="EZ71" s="357"/>
      <c r="FA71" s="357"/>
      <c r="FB71" s="357"/>
      <c r="FC71" s="357"/>
      <c r="FD71" s="357"/>
      <c r="FE71" s="357"/>
      <c r="FF71" s="357"/>
      <c r="FG71" s="357"/>
      <c r="FH71" s="357"/>
      <c r="FI71" s="357"/>
      <c r="FJ71" s="357"/>
      <c r="FK71" s="357"/>
      <c r="FL71" s="357"/>
      <c r="FM71" s="357"/>
      <c r="FN71" s="357"/>
      <c r="FO71" s="357"/>
      <c r="FP71" s="357"/>
      <c r="FQ71" s="357"/>
      <c r="FR71" s="357"/>
      <c r="FS71" s="357"/>
      <c r="FT71" s="357"/>
      <c r="FU71" s="357"/>
      <c r="FV71" s="357"/>
      <c r="FW71" s="357"/>
      <c r="FX71" s="357"/>
      <c r="FY71" s="357"/>
      <c r="FZ71" s="357"/>
      <c r="GA71" s="357"/>
      <c r="GB71" s="357"/>
      <c r="GC71" s="357"/>
      <c r="GD71" s="357"/>
      <c r="GE71" s="357"/>
      <c r="GF71" s="357"/>
      <c r="GG71" s="357"/>
      <c r="GH71" s="357"/>
      <c r="GI71" s="357"/>
      <c r="GJ71" s="357"/>
    </row>
    <row r="72" spans="26:192" ht="12.95" customHeight="1">
      <c r="Z72" s="357"/>
      <c r="AA72" s="357"/>
      <c r="AB72" s="357"/>
      <c r="AC72" s="357"/>
      <c r="AD72" s="357"/>
      <c r="AE72" s="357"/>
      <c r="AF72" s="357"/>
      <c r="AG72" s="357"/>
      <c r="AH72" s="357"/>
      <c r="AI72" s="357"/>
      <c r="AJ72" s="357"/>
      <c r="AK72" s="357"/>
      <c r="AL72" s="357"/>
      <c r="AM72" s="357"/>
      <c r="AN72" s="357"/>
      <c r="AO72" s="357"/>
      <c r="AP72" s="357"/>
      <c r="AQ72" s="357"/>
      <c r="AR72" s="357"/>
      <c r="AS72" s="357"/>
      <c r="AT72" s="357"/>
      <c r="AU72" s="357"/>
      <c r="AV72" s="357"/>
      <c r="AW72" s="357"/>
      <c r="AX72" s="357"/>
      <c r="AY72" s="357"/>
      <c r="AZ72" s="357"/>
      <c r="BA72" s="357"/>
      <c r="BB72" s="357"/>
      <c r="BC72" s="357"/>
      <c r="BD72" s="357"/>
      <c r="BE72" s="357"/>
      <c r="BF72" s="357"/>
      <c r="BG72" s="357"/>
      <c r="BH72" s="357"/>
      <c r="BI72" s="357"/>
      <c r="BJ72" s="357"/>
      <c r="BK72" s="357"/>
      <c r="BL72" s="357"/>
      <c r="BM72" s="357"/>
      <c r="BN72" s="357"/>
      <c r="BO72" s="357"/>
      <c r="BP72" s="357"/>
      <c r="BQ72" s="357"/>
      <c r="BR72" s="357"/>
      <c r="BS72" s="357"/>
      <c r="BT72" s="357"/>
      <c r="BU72" s="357"/>
      <c r="BV72" s="357"/>
      <c r="BW72" s="357"/>
      <c r="BX72" s="357"/>
      <c r="BY72" s="357"/>
      <c r="BZ72" s="357"/>
      <c r="CA72" s="357"/>
      <c r="CB72" s="357"/>
      <c r="CC72" s="357"/>
      <c r="CD72" s="357"/>
      <c r="CE72" s="357"/>
      <c r="CF72" s="357"/>
      <c r="CG72" s="357"/>
      <c r="CH72" s="357"/>
      <c r="CI72" s="357"/>
      <c r="CJ72" s="357"/>
      <c r="CK72" s="357"/>
      <c r="CL72" s="357"/>
      <c r="CM72" s="357"/>
      <c r="CN72" s="357"/>
      <c r="CO72" s="357"/>
      <c r="CP72" s="357"/>
      <c r="CQ72" s="357"/>
      <c r="CR72" s="357"/>
      <c r="CS72" s="357"/>
      <c r="CT72" s="357"/>
      <c r="CU72" s="357"/>
      <c r="CV72" s="357"/>
      <c r="CW72" s="357"/>
      <c r="CX72" s="357"/>
      <c r="CY72" s="357"/>
      <c r="CZ72" s="357"/>
      <c r="DA72" s="357"/>
      <c r="DB72" s="357"/>
      <c r="DC72" s="357"/>
      <c r="DD72" s="357"/>
      <c r="DE72" s="357"/>
      <c r="DF72" s="357"/>
      <c r="DG72" s="357"/>
      <c r="DH72" s="357"/>
      <c r="DI72" s="357"/>
      <c r="DJ72" s="357"/>
      <c r="DK72" s="357"/>
      <c r="DL72" s="357"/>
      <c r="DM72" s="357"/>
      <c r="DN72" s="357"/>
      <c r="DO72" s="357"/>
      <c r="DP72" s="357"/>
      <c r="DQ72" s="357"/>
      <c r="DR72" s="357"/>
      <c r="DS72" s="357"/>
      <c r="DT72" s="357"/>
      <c r="DU72" s="357"/>
      <c r="DV72" s="357"/>
      <c r="DW72" s="357"/>
      <c r="DX72" s="357"/>
      <c r="DY72" s="357"/>
      <c r="DZ72" s="357"/>
      <c r="EA72" s="357"/>
      <c r="EB72" s="357"/>
      <c r="EC72" s="357"/>
      <c r="ED72" s="357"/>
      <c r="EE72" s="357"/>
      <c r="EF72" s="357"/>
      <c r="EG72" s="357"/>
      <c r="EH72" s="357"/>
      <c r="EI72" s="357"/>
      <c r="EJ72" s="357"/>
      <c r="EK72" s="357"/>
      <c r="EL72" s="357"/>
      <c r="EM72" s="357"/>
      <c r="EN72" s="357"/>
      <c r="EO72" s="357"/>
      <c r="EP72" s="357"/>
      <c r="EQ72" s="357"/>
      <c r="ER72" s="357"/>
      <c r="ES72" s="357"/>
      <c r="ET72" s="357"/>
      <c r="EU72" s="357"/>
      <c r="EV72" s="357"/>
      <c r="EW72" s="357"/>
      <c r="EX72" s="357"/>
      <c r="EY72" s="357"/>
      <c r="EZ72" s="357"/>
      <c r="FA72" s="357"/>
      <c r="FB72" s="357"/>
      <c r="FC72" s="357"/>
      <c r="FD72" s="357"/>
      <c r="FE72" s="357"/>
      <c r="FF72" s="357"/>
      <c r="FG72" s="357"/>
      <c r="FH72" s="357"/>
      <c r="FI72" s="357"/>
      <c r="FJ72" s="357"/>
      <c r="FK72" s="357"/>
      <c r="FL72" s="357"/>
      <c r="FM72" s="357"/>
      <c r="FN72" s="357"/>
      <c r="FO72" s="357"/>
      <c r="FP72" s="357"/>
      <c r="FQ72" s="357"/>
      <c r="FR72" s="357"/>
      <c r="FS72" s="357"/>
      <c r="FT72" s="357"/>
      <c r="FU72" s="357"/>
      <c r="FV72" s="357"/>
      <c r="FW72" s="357"/>
      <c r="FX72" s="357"/>
      <c r="FY72" s="357"/>
      <c r="FZ72" s="357"/>
      <c r="GA72" s="357"/>
      <c r="GB72" s="357"/>
      <c r="GC72" s="357"/>
      <c r="GD72" s="357"/>
      <c r="GE72" s="357"/>
      <c r="GF72" s="357"/>
      <c r="GG72" s="357"/>
      <c r="GH72" s="357"/>
      <c r="GI72" s="357"/>
      <c r="GJ72" s="357"/>
    </row>
    <row r="73" spans="26:192" ht="12.95" customHeight="1">
      <c r="Z73" s="357"/>
      <c r="AA73" s="357"/>
      <c r="AB73" s="357"/>
      <c r="AC73" s="357"/>
      <c r="AD73" s="357"/>
      <c r="AE73" s="357"/>
      <c r="AF73" s="357"/>
      <c r="AG73" s="357"/>
      <c r="AH73" s="357"/>
      <c r="AI73" s="357"/>
      <c r="AJ73" s="357"/>
      <c r="AK73" s="357"/>
      <c r="AL73" s="357"/>
      <c r="AM73" s="357"/>
      <c r="AN73" s="357"/>
      <c r="AO73" s="357"/>
      <c r="AP73" s="357"/>
      <c r="AQ73" s="357"/>
      <c r="AR73" s="357"/>
      <c r="AS73" s="357"/>
      <c r="AT73" s="357"/>
      <c r="AU73" s="357"/>
      <c r="AV73" s="357"/>
      <c r="AW73" s="357"/>
      <c r="AX73" s="357"/>
      <c r="AY73" s="357"/>
      <c r="AZ73" s="357"/>
      <c r="BA73" s="357"/>
      <c r="BB73" s="357"/>
      <c r="BC73" s="357"/>
      <c r="BD73" s="357"/>
      <c r="BE73" s="357"/>
      <c r="BF73" s="357"/>
      <c r="BG73" s="357"/>
      <c r="BH73" s="357"/>
      <c r="BI73" s="357"/>
      <c r="BJ73" s="357"/>
      <c r="BK73" s="357"/>
      <c r="BL73" s="357"/>
      <c r="BM73" s="357"/>
      <c r="BN73" s="357"/>
      <c r="BO73" s="357"/>
      <c r="BP73" s="357"/>
      <c r="BQ73" s="357"/>
      <c r="BR73" s="357"/>
      <c r="BS73" s="357"/>
      <c r="BT73" s="357"/>
      <c r="BU73" s="357"/>
      <c r="BV73" s="357"/>
      <c r="BW73" s="357"/>
      <c r="BX73" s="357"/>
      <c r="BY73" s="357"/>
      <c r="BZ73" s="357"/>
      <c r="CA73" s="357"/>
      <c r="CB73" s="357"/>
      <c r="CC73" s="357"/>
      <c r="CD73" s="357"/>
      <c r="CE73" s="357"/>
      <c r="CF73" s="357"/>
      <c r="CG73" s="357"/>
      <c r="CH73" s="357"/>
      <c r="CI73" s="357"/>
      <c r="CJ73" s="357"/>
      <c r="CK73" s="357"/>
      <c r="CL73" s="357"/>
      <c r="CM73" s="357"/>
      <c r="CN73" s="357"/>
      <c r="CO73" s="357"/>
      <c r="CP73" s="357"/>
      <c r="CQ73" s="357"/>
      <c r="CR73" s="357"/>
      <c r="CS73" s="357"/>
      <c r="CT73" s="357"/>
      <c r="CU73" s="357"/>
      <c r="CV73" s="357"/>
      <c r="CW73" s="357"/>
      <c r="CX73" s="357"/>
      <c r="CY73" s="357"/>
      <c r="CZ73" s="357"/>
      <c r="DA73" s="357"/>
      <c r="DB73" s="357"/>
      <c r="DC73" s="357"/>
      <c r="DD73" s="357"/>
      <c r="DE73" s="357"/>
      <c r="DF73" s="357"/>
      <c r="DG73" s="357"/>
      <c r="DH73" s="357"/>
      <c r="DI73" s="357"/>
      <c r="DJ73" s="357"/>
      <c r="DK73" s="357"/>
      <c r="DL73" s="357"/>
      <c r="DM73" s="357"/>
      <c r="DN73" s="357"/>
      <c r="DO73" s="357"/>
      <c r="DP73" s="357"/>
      <c r="DQ73" s="357"/>
      <c r="DR73" s="357"/>
      <c r="DS73" s="357"/>
      <c r="DT73" s="357"/>
      <c r="DU73" s="357"/>
      <c r="DV73" s="357"/>
      <c r="DW73" s="357"/>
      <c r="DX73" s="357"/>
      <c r="DY73" s="357"/>
      <c r="DZ73" s="357"/>
      <c r="EA73" s="357"/>
      <c r="EB73" s="357"/>
      <c r="EC73" s="357"/>
      <c r="ED73" s="357"/>
      <c r="EE73" s="357"/>
      <c r="EF73" s="357"/>
      <c r="EG73" s="357"/>
      <c r="EH73" s="357"/>
      <c r="EI73" s="357"/>
      <c r="EJ73" s="357"/>
      <c r="EK73" s="357"/>
      <c r="EL73" s="357"/>
      <c r="EM73" s="357"/>
      <c r="EN73" s="357"/>
      <c r="EO73" s="357"/>
      <c r="EP73" s="357"/>
      <c r="EQ73" s="357"/>
      <c r="ER73" s="357"/>
      <c r="ES73" s="357"/>
      <c r="ET73" s="357"/>
      <c r="EU73" s="357"/>
      <c r="EV73" s="357"/>
      <c r="EW73" s="357"/>
      <c r="EX73" s="357"/>
      <c r="EY73" s="357"/>
      <c r="EZ73" s="357"/>
      <c r="FA73" s="357"/>
      <c r="FB73" s="357"/>
      <c r="FC73" s="357"/>
      <c r="FD73" s="357"/>
      <c r="FE73" s="357"/>
      <c r="FF73" s="357"/>
      <c r="FG73" s="357"/>
      <c r="FH73" s="357"/>
      <c r="FI73" s="357"/>
      <c r="FJ73" s="357"/>
      <c r="FK73" s="357"/>
      <c r="FL73" s="357"/>
      <c r="FM73" s="357"/>
      <c r="FN73" s="357"/>
      <c r="FO73" s="357"/>
      <c r="FP73" s="357"/>
      <c r="FQ73" s="357"/>
      <c r="FR73" s="357"/>
      <c r="FS73" s="357"/>
      <c r="FT73" s="357"/>
      <c r="FU73" s="357"/>
      <c r="FV73" s="357"/>
      <c r="FW73" s="357"/>
      <c r="FX73" s="357"/>
      <c r="FY73" s="357"/>
      <c r="FZ73" s="357"/>
      <c r="GA73" s="357"/>
      <c r="GB73" s="357"/>
      <c r="GC73" s="357"/>
      <c r="GD73" s="357"/>
      <c r="GE73" s="357"/>
      <c r="GF73" s="357"/>
      <c r="GG73" s="357"/>
      <c r="GH73" s="357"/>
      <c r="GI73" s="357"/>
      <c r="GJ73" s="357"/>
    </row>
    <row r="74" spans="26:192" ht="12.95" customHeight="1">
      <c r="Z74" s="357"/>
      <c r="AA74" s="357"/>
      <c r="AB74" s="357"/>
      <c r="AC74" s="357"/>
      <c r="AD74" s="357"/>
      <c r="AE74" s="357"/>
      <c r="AF74" s="357"/>
      <c r="AG74" s="357"/>
      <c r="AH74" s="357"/>
      <c r="AI74" s="357"/>
      <c r="AJ74" s="357"/>
      <c r="AK74" s="357"/>
      <c r="AL74" s="357"/>
      <c r="AM74" s="357"/>
      <c r="AN74" s="357"/>
      <c r="AO74" s="357"/>
      <c r="AP74" s="357"/>
      <c r="AQ74" s="357"/>
      <c r="AR74" s="357"/>
      <c r="AS74" s="357"/>
      <c r="AT74" s="357"/>
      <c r="AU74" s="357"/>
      <c r="AV74" s="357"/>
      <c r="AW74" s="357"/>
      <c r="AX74" s="357"/>
      <c r="AY74" s="357"/>
      <c r="AZ74" s="357"/>
      <c r="BA74" s="357"/>
      <c r="BB74" s="357"/>
      <c r="BC74" s="357"/>
      <c r="BD74" s="357"/>
      <c r="BE74" s="357"/>
      <c r="BF74" s="357"/>
      <c r="BG74" s="357"/>
      <c r="BH74" s="357"/>
      <c r="BI74" s="357"/>
      <c r="BJ74" s="357"/>
      <c r="BK74" s="357"/>
      <c r="BL74" s="357"/>
      <c r="BM74" s="357"/>
      <c r="BN74" s="357"/>
      <c r="BO74" s="357"/>
      <c r="BP74" s="357"/>
      <c r="BQ74" s="357"/>
      <c r="BR74" s="357"/>
      <c r="BS74" s="357"/>
      <c r="BT74" s="357"/>
      <c r="BU74" s="357"/>
      <c r="BV74" s="357"/>
      <c r="BW74" s="357"/>
      <c r="BX74" s="357"/>
      <c r="BY74" s="357"/>
      <c r="BZ74" s="357"/>
      <c r="CA74" s="357"/>
      <c r="CB74" s="357"/>
      <c r="CC74" s="357"/>
      <c r="CD74" s="357"/>
      <c r="CE74" s="357"/>
      <c r="CF74" s="357"/>
      <c r="CG74" s="357"/>
      <c r="CH74" s="357"/>
      <c r="CI74" s="357"/>
      <c r="CJ74" s="357"/>
      <c r="CK74" s="357"/>
      <c r="CL74" s="357"/>
      <c r="CM74" s="357"/>
      <c r="CN74" s="357"/>
      <c r="CO74" s="357"/>
      <c r="CP74" s="357"/>
      <c r="CQ74" s="357"/>
      <c r="CR74" s="357"/>
      <c r="CS74" s="357"/>
      <c r="CT74" s="357"/>
      <c r="CU74" s="357"/>
      <c r="CV74" s="357"/>
      <c r="CW74" s="357"/>
      <c r="CX74" s="357"/>
      <c r="CY74" s="357"/>
      <c r="CZ74" s="357"/>
      <c r="DA74" s="357"/>
      <c r="DB74" s="357"/>
      <c r="DC74" s="357"/>
      <c r="DD74" s="357"/>
      <c r="DE74" s="357"/>
      <c r="DF74" s="357"/>
      <c r="DG74" s="357"/>
      <c r="DH74" s="357"/>
      <c r="DI74" s="357"/>
      <c r="DJ74" s="357"/>
      <c r="DK74" s="357"/>
      <c r="DL74" s="357"/>
      <c r="DM74" s="357"/>
      <c r="DN74" s="357"/>
      <c r="DO74" s="357"/>
      <c r="DP74" s="357"/>
      <c r="DQ74" s="357"/>
      <c r="DR74" s="357"/>
      <c r="DS74" s="357"/>
      <c r="DT74" s="357"/>
      <c r="DU74" s="357"/>
      <c r="DV74" s="357"/>
      <c r="DW74" s="357"/>
      <c r="DX74" s="357"/>
      <c r="DY74" s="357"/>
      <c r="DZ74" s="357"/>
      <c r="EA74" s="357"/>
      <c r="EB74" s="357"/>
      <c r="EC74" s="357"/>
      <c r="ED74" s="357"/>
      <c r="EE74" s="357"/>
      <c r="EF74" s="357"/>
      <c r="EG74" s="357"/>
      <c r="EH74" s="357"/>
      <c r="EI74" s="357"/>
      <c r="EJ74" s="357"/>
      <c r="EK74" s="357"/>
      <c r="EL74" s="357"/>
      <c r="EM74" s="357"/>
      <c r="EN74" s="357"/>
      <c r="EO74" s="357"/>
      <c r="EP74" s="357"/>
      <c r="EQ74" s="357"/>
      <c r="ER74" s="357"/>
      <c r="ES74" s="357"/>
      <c r="ET74" s="357"/>
      <c r="EU74" s="357"/>
      <c r="EV74" s="357"/>
      <c r="EW74" s="357"/>
      <c r="EX74" s="357"/>
      <c r="EY74" s="357"/>
      <c r="EZ74" s="357"/>
      <c r="FA74" s="357"/>
      <c r="FB74" s="357"/>
      <c r="FC74" s="357"/>
      <c r="FD74" s="357"/>
      <c r="FE74" s="357"/>
      <c r="FF74" s="357"/>
      <c r="FG74" s="357"/>
      <c r="FH74" s="357"/>
      <c r="FI74" s="357"/>
      <c r="FJ74" s="357"/>
      <c r="FK74" s="357"/>
      <c r="FL74" s="357"/>
      <c r="FM74" s="357"/>
      <c r="FN74" s="357"/>
      <c r="FO74" s="357"/>
      <c r="FP74" s="357"/>
      <c r="FQ74" s="357"/>
      <c r="FR74" s="357"/>
      <c r="FS74" s="357"/>
      <c r="FT74" s="357"/>
      <c r="FU74" s="357"/>
      <c r="FV74" s="357"/>
      <c r="FW74" s="357"/>
      <c r="FX74" s="357"/>
      <c r="FY74" s="357"/>
      <c r="FZ74" s="357"/>
      <c r="GA74" s="357"/>
      <c r="GB74" s="357"/>
      <c r="GC74" s="357"/>
      <c r="GD74" s="357"/>
      <c r="GE74" s="357"/>
      <c r="GF74" s="357"/>
      <c r="GG74" s="357"/>
      <c r="GH74" s="357"/>
      <c r="GI74" s="357"/>
      <c r="GJ74" s="357"/>
    </row>
    <row r="75" spans="26:192" ht="12.95" customHeight="1">
      <c r="Z75" s="357"/>
      <c r="AA75" s="357"/>
      <c r="AB75" s="357"/>
      <c r="AC75" s="357"/>
      <c r="AD75" s="357"/>
      <c r="AE75" s="357"/>
      <c r="AF75" s="357"/>
      <c r="AG75" s="357"/>
      <c r="AH75" s="357"/>
      <c r="AI75" s="357"/>
      <c r="AJ75" s="357"/>
      <c r="AK75" s="357"/>
      <c r="AL75" s="357"/>
      <c r="AM75" s="357"/>
      <c r="AN75" s="357"/>
      <c r="AO75" s="357"/>
      <c r="AP75" s="357"/>
      <c r="AQ75" s="357"/>
      <c r="AR75" s="357"/>
      <c r="AS75" s="357"/>
      <c r="AT75" s="357"/>
      <c r="AU75" s="357"/>
      <c r="AV75" s="357"/>
      <c r="AW75" s="357"/>
      <c r="AX75" s="357"/>
      <c r="AY75" s="357"/>
      <c r="AZ75" s="357"/>
      <c r="BA75" s="357"/>
      <c r="BB75" s="357"/>
      <c r="BC75" s="357"/>
      <c r="BD75" s="357"/>
      <c r="BE75" s="357"/>
      <c r="BF75" s="357"/>
      <c r="BG75" s="357"/>
      <c r="BH75" s="357"/>
      <c r="BI75" s="357"/>
      <c r="BJ75" s="357"/>
      <c r="BK75" s="357"/>
      <c r="BL75" s="357"/>
      <c r="BM75" s="357"/>
      <c r="BN75" s="357"/>
      <c r="BO75" s="357"/>
      <c r="BP75" s="357"/>
      <c r="BQ75" s="357"/>
      <c r="BR75" s="357"/>
      <c r="BS75" s="357"/>
      <c r="BT75" s="357"/>
      <c r="BU75" s="357"/>
      <c r="BV75" s="357"/>
      <c r="BW75" s="357"/>
      <c r="BX75" s="357"/>
      <c r="BY75" s="357"/>
      <c r="BZ75" s="357"/>
      <c r="CA75" s="357"/>
      <c r="CB75" s="357"/>
      <c r="CC75" s="357"/>
      <c r="CD75" s="357"/>
      <c r="CE75" s="357"/>
      <c r="CF75" s="357"/>
      <c r="CG75" s="357"/>
      <c r="CH75" s="357"/>
      <c r="CI75" s="357"/>
      <c r="CJ75" s="357"/>
      <c r="CK75" s="357"/>
      <c r="CL75" s="357"/>
      <c r="CM75" s="357"/>
      <c r="CN75" s="357"/>
      <c r="CO75" s="357"/>
      <c r="CP75" s="357"/>
      <c r="CQ75" s="357"/>
      <c r="CR75" s="357"/>
      <c r="CS75" s="357"/>
      <c r="CT75" s="357"/>
      <c r="CU75" s="357"/>
      <c r="CV75" s="357"/>
      <c r="CW75" s="357"/>
      <c r="CX75" s="357"/>
      <c r="CY75" s="357"/>
      <c r="CZ75" s="357"/>
      <c r="DA75" s="357"/>
      <c r="DB75" s="357"/>
      <c r="DC75" s="357"/>
      <c r="DD75" s="357"/>
      <c r="DE75" s="357"/>
      <c r="DF75" s="357"/>
      <c r="DG75" s="357"/>
      <c r="DH75" s="357"/>
      <c r="DI75" s="357"/>
      <c r="DJ75" s="357"/>
      <c r="DK75" s="357"/>
      <c r="DL75" s="357"/>
      <c r="DM75" s="357"/>
      <c r="DN75" s="357"/>
      <c r="DO75" s="357"/>
      <c r="DP75" s="357"/>
      <c r="DQ75" s="357"/>
      <c r="DR75" s="357"/>
      <c r="DS75" s="357"/>
      <c r="DT75" s="357"/>
      <c r="DU75" s="357"/>
      <c r="DV75" s="357"/>
      <c r="DW75" s="357"/>
      <c r="DX75" s="357"/>
      <c r="DY75" s="357"/>
      <c r="DZ75" s="357"/>
      <c r="EA75" s="357"/>
      <c r="EB75" s="357"/>
      <c r="EC75" s="357"/>
      <c r="ED75" s="357"/>
      <c r="EE75" s="357"/>
      <c r="EF75" s="357"/>
      <c r="EG75" s="357"/>
      <c r="EH75" s="357"/>
      <c r="EI75" s="357"/>
      <c r="EJ75" s="357"/>
      <c r="EK75" s="357"/>
      <c r="EL75" s="357"/>
      <c r="EM75" s="357"/>
      <c r="EN75" s="357"/>
      <c r="EO75" s="357"/>
      <c r="EP75" s="357"/>
      <c r="EQ75" s="357"/>
      <c r="ER75" s="357"/>
      <c r="ES75" s="357"/>
      <c r="ET75" s="357"/>
      <c r="EU75" s="357"/>
      <c r="EV75" s="357"/>
      <c r="EW75" s="357"/>
      <c r="EX75" s="357"/>
      <c r="EY75" s="357"/>
      <c r="EZ75" s="357"/>
      <c r="FA75" s="357"/>
      <c r="FB75" s="357"/>
      <c r="FC75" s="357"/>
      <c r="FD75" s="357"/>
      <c r="FE75" s="357"/>
      <c r="FF75" s="357"/>
      <c r="FG75" s="357"/>
      <c r="FH75" s="357"/>
      <c r="FI75" s="357"/>
      <c r="FJ75" s="357"/>
      <c r="FK75" s="357"/>
      <c r="FL75" s="357"/>
      <c r="FM75" s="357"/>
      <c r="FN75" s="357"/>
      <c r="FO75" s="357"/>
      <c r="FP75" s="357"/>
      <c r="FQ75" s="357"/>
      <c r="FR75" s="357"/>
      <c r="FS75" s="357"/>
      <c r="FT75" s="357"/>
      <c r="FU75" s="357"/>
      <c r="FV75" s="357"/>
      <c r="FW75" s="357"/>
      <c r="FX75" s="357"/>
      <c r="FY75" s="357"/>
      <c r="FZ75" s="357"/>
      <c r="GA75" s="357"/>
      <c r="GB75" s="357"/>
      <c r="GC75" s="357"/>
      <c r="GD75" s="357"/>
      <c r="GE75" s="357"/>
      <c r="GF75" s="357"/>
      <c r="GG75" s="357"/>
      <c r="GH75" s="357"/>
      <c r="GI75" s="357"/>
      <c r="GJ75" s="357"/>
    </row>
    <row r="76" spans="26:192" ht="12.95" customHeight="1">
      <c r="Z76" s="357"/>
      <c r="AA76" s="357"/>
      <c r="AB76" s="357"/>
      <c r="AC76" s="357"/>
      <c r="AD76" s="357"/>
      <c r="AE76" s="357"/>
      <c r="AF76" s="357"/>
      <c r="AG76" s="357"/>
      <c r="AH76" s="357"/>
      <c r="AI76" s="357"/>
      <c r="AJ76" s="357"/>
      <c r="AK76" s="357"/>
      <c r="AL76" s="357"/>
      <c r="AM76" s="357"/>
      <c r="AN76" s="357"/>
      <c r="AO76" s="357"/>
      <c r="AP76" s="357"/>
      <c r="AQ76" s="357"/>
      <c r="AR76" s="357"/>
      <c r="AS76" s="357"/>
      <c r="AT76" s="357"/>
      <c r="AU76" s="357"/>
      <c r="AV76" s="357"/>
      <c r="AW76" s="357"/>
      <c r="AX76" s="357"/>
      <c r="AY76" s="357"/>
      <c r="AZ76" s="357"/>
      <c r="BA76" s="357"/>
      <c r="BB76" s="357"/>
      <c r="BC76" s="357"/>
      <c r="BD76" s="357"/>
      <c r="BE76" s="357"/>
      <c r="BF76" s="357"/>
      <c r="BG76" s="357"/>
      <c r="BH76" s="357"/>
      <c r="BI76" s="357"/>
      <c r="BJ76" s="357"/>
      <c r="BK76" s="357"/>
      <c r="BL76" s="357"/>
      <c r="BM76" s="357"/>
      <c r="BN76" s="357"/>
      <c r="BO76" s="357"/>
      <c r="BP76" s="357"/>
      <c r="BQ76" s="357"/>
      <c r="BR76" s="357"/>
      <c r="BS76" s="357"/>
      <c r="BT76" s="357"/>
      <c r="BU76" s="357"/>
      <c r="BV76" s="357"/>
      <c r="BW76" s="357"/>
      <c r="BX76" s="357"/>
      <c r="BY76" s="357"/>
      <c r="BZ76" s="357"/>
      <c r="CA76" s="357"/>
      <c r="CB76" s="357"/>
      <c r="CC76" s="357"/>
      <c r="CD76" s="357"/>
      <c r="CE76" s="357"/>
      <c r="CF76" s="357"/>
      <c r="CG76" s="357"/>
      <c r="CH76" s="357"/>
      <c r="CI76" s="357"/>
      <c r="CJ76" s="357"/>
      <c r="CK76" s="357"/>
      <c r="CL76" s="357"/>
      <c r="CM76" s="357"/>
      <c r="CN76" s="357"/>
      <c r="CO76" s="357"/>
      <c r="CP76" s="357"/>
      <c r="CQ76" s="357"/>
      <c r="CR76" s="357"/>
      <c r="CS76" s="357"/>
      <c r="CT76" s="357"/>
      <c r="CU76" s="357"/>
      <c r="CV76" s="357"/>
      <c r="CW76" s="357"/>
      <c r="CX76" s="357"/>
      <c r="CY76" s="357"/>
      <c r="CZ76" s="357"/>
      <c r="DA76" s="357"/>
      <c r="DB76" s="357"/>
      <c r="DC76" s="357"/>
      <c r="DD76" s="357"/>
      <c r="DE76" s="357"/>
      <c r="DF76" s="357"/>
      <c r="DG76" s="357"/>
      <c r="DH76" s="357"/>
      <c r="DI76" s="357"/>
      <c r="DJ76" s="357"/>
      <c r="DK76" s="357"/>
      <c r="DL76" s="357"/>
      <c r="DM76" s="357"/>
      <c r="DN76" s="357"/>
      <c r="DO76" s="357"/>
      <c r="DP76" s="357"/>
      <c r="DQ76" s="357"/>
      <c r="DR76" s="357"/>
      <c r="DS76" s="357"/>
      <c r="DT76" s="357"/>
      <c r="DU76" s="357"/>
      <c r="DV76" s="357"/>
      <c r="DW76" s="357"/>
      <c r="DX76" s="357"/>
      <c r="DY76" s="357"/>
      <c r="DZ76" s="357"/>
      <c r="EA76" s="357"/>
      <c r="EB76" s="357"/>
      <c r="EC76" s="357"/>
      <c r="ED76" s="357"/>
      <c r="EE76" s="357"/>
      <c r="EF76" s="357"/>
      <c r="EG76" s="357"/>
      <c r="EH76" s="357"/>
      <c r="EI76" s="357"/>
      <c r="EJ76" s="357"/>
      <c r="EK76" s="357"/>
      <c r="EL76" s="357"/>
      <c r="EM76" s="357"/>
      <c r="EN76" s="357"/>
      <c r="EO76" s="357"/>
      <c r="EP76" s="357"/>
      <c r="EQ76" s="357"/>
      <c r="ER76" s="357"/>
      <c r="ES76" s="357"/>
      <c r="ET76" s="357"/>
      <c r="EU76" s="357"/>
      <c r="EV76" s="357"/>
      <c r="EW76" s="357"/>
      <c r="EX76" s="357"/>
      <c r="EY76" s="357"/>
      <c r="EZ76" s="357"/>
      <c r="FA76" s="357"/>
      <c r="FB76" s="357"/>
      <c r="FC76" s="357"/>
      <c r="FD76" s="357"/>
      <c r="FE76" s="357"/>
      <c r="FF76" s="357"/>
      <c r="FG76" s="357"/>
      <c r="FH76" s="357"/>
      <c r="FI76" s="357"/>
      <c r="FJ76" s="357"/>
      <c r="FK76" s="357"/>
      <c r="FL76" s="357"/>
      <c r="FM76" s="357"/>
      <c r="FN76" s="357"/>
      <c r="FO76" s="357"/>
      <c r="FP76" s="357"/>
      <c r="FQ76" s="357"/>
      <c r="FR76" s="357"/>
      <c r="FS76" s="357"/>
      <c r="FT76" s="357"/>
      <c r="FU76" s="357"/>
      <c r="FV76" s="357"/>
      <c r="FW76" s="357"/>
      <c r="FX76" s="357"/>
      <c r="FY76" s="357"/>
      <c r="FZ76" s="357"/>
      <c r="GA76" s="357"/>
      <c r="GB76" s="357"/>
      <c r="GC76" s="357"/>
      <c r="GD76" s="357"/>
      <c r="GE76" s="357"/>
      <c r="GF76" s="357"/>
      <c r="GG76" s="357"/>
      <c r="GH76" s="357"/>
      <c r="GI76" s="357"/>
      <c r="GJ76" s="357"/>
    </row>
    <row r="77" spans="26:192" ht="12.95" customHeight="1">
      <c r="Z77" s="357"/>
      <c r="AA77" s="357"/>
      <c r="AB77" s="357"/>
      <c r="AC77" s="357"/>
      <c r="AD77" s="357"/>
      <c r="AE77" s="357"/>
      <c r="AF77" s="357"/>
      <c r="AG77" s="357"/>
      <c r="AH77" s="357"/>
      <c r="AI77" s="357"/>
      <c r="AJ77" s="357"/>
      <c r="AK77" s="357"/>
      <c r="AL77" s="357"/>
      <c r="AM77" s="357"/>
      <c r="AN77" s="357"/>
      <c r="AO77" s="357"/>
      <c r="AP77" s="357"/>
      <c r="AQ77" s="357"/>
      <c r="AR77" s="357"/>
      <c r="AS77" s="357"/>
      <c r="AT77" s="357"/>
      <c r="AU77" s="357"/>
      <c r="AV77" s="357"/>
      <c r="AW77" s="357"/>
      <c r="AX77" s="357"/>
      <c r="AY77" s="357"/>
      <c r="AZ77" s="357"/>
      <c r="BA77" s="357"/>
      <c r="BB77" s="357"/>
      <c r="BC77" s="357"/>
      <c r="BD77" s="357"/>
      <c r="BE77" s="357"/>
      <c r="BF77" s="357"/>
      <c r="BG77" s="357"/>
      <c r="BH77" s="357"/>
      <c r="BI77" s="357"/>
      <c r="BJ77" s="357"/>
      <c r="BK77" s="357"/>
      <c r="BL77" s="357"/>
      <c r="BM77" s="357"/>
      <c r="BN77" s="357"/>
      <c r="BO77" s="357"/>
      <c r="BP77" s="357"/>
      <c r="BQ77" s="357"/>
      <c r="BR77" s="357"/>
      <c r="BS77" s="357"/>
      <c r="BT77" s="357"/>
      <c r="BU77" s="357"/>
      <c r="BV77" s="357"/>
      <c r="BW77" s="357"/>
      <c r="BX77" s="357"/>
      <c r="BY77" s="357"/>
      <c r="BZ77" s="357"/>
      <c r="CA77" s="357"/>
      <c r="CB77" s="357"/>
      <c r="CC77" s="357"/>
      <c r="CD77" s="357"/>
      <c r="CE77" s="357"/>
      <c r="CF77" s="357"/>
      <c r="CG77" s="357"/>
      <c r="CH77" s="357"/>
      <c r="CI77" s="357"/>
      <c r="CJ77" s="357"/>
      <c r="CK77" s="357"/>
      <c r="CL77" s="357"/>
      <c r="CM77" s="357"/>
      <c r="CN77" s="357"/>
      <c r="CO77" s="357"/>
      <c r="CP77" s="357"/>
      <c r="CQ77" s="357"/>
      <c r="CR77" s="357"/>
      <c r="CS77" s="357"/>
      <c r="CT77" s="357"/>
      <c r="CU77" s="357"/>
      <c r="CV77" s="357"/>
      <c r="CW77" s="357"/>
      <c r="CX77" s="357"/>
      <c r="CY77" s="357"/>
      <c r="CZ77" s="357"/>
      <c r="DA77" s="357"/>
      <c r="DB77" s="357"/>
      <c r="DC77" s="357"/>
      <c r="DD77" s="357"/>
      <c r="DE77" s="357"/>
      <c r="DF77" s="357"/>
      <c r="DG77" s="357"/>
      <c r="DH77" s="357"/>
      <c r="DI77" s="357"/>
      <c r="DJ77" s="357"/>
      <c r="DK77" s="357"/>
      <c r="DL77" s="357"/>
      <c r="DM77" s="357"/>
      <c r="DN77" s="357"/>
      <c r="DO77" s="357"/>
      <c r="DP77" s="357"/>
      <c r="DQ77" s="357"/>
      <c r="DR77" s="357"/>
      <c r="DS77" s="357"/>
      <c r="DT77" s="357"/>
      <c r="DU77" s="357"/>
      <c r="DV77" s="357"/>
      <c r="DW77" s="357"/>
      <c r="DX77" s="357"/>
      <c r="DY77" s="357"/>
      <c r="DZ77" s="357"/>
      <c r="EA77" s="357"/>
      <c r="EB77" s="357"/>
      <c r="EC77" s="357"/>
      <c r="ED77" s="357"/>
      <c r="EE77" s="357"/>
      <c r="EF77" s="357"/>
      <c r="EG77" s="357"/>
      <c r="EH77" s="357"/>
      <c r="EI77" s="357"/>
      <c r="EJ77" s="357"/>
      <c r="EK77" s="357"/>
      <c r="EL77" s="357"/>
      <c r="EM77" s="357"/>
      <c r="EN77" s="357"/>
      <c r="EO77" s="357"/>
      <c r="EP77" s="357"/>
      <c r="EQ77" s="357"/>
      <c r="ER77" s="357"/>
      <c r="ES77" s="357"/>
      <c r="ET77" s="357"/>
      <c r="EU77" s="357"/>
      <c r="EV77" s="357"/>
      <c r="EW77" s="357"/>
      <c r="EX77" s="357"/>
      <c r="EY77" s="357"/>
      <c r="EZ77" s="357"/>
      <c r="FA77" s="357"/>
      <c r="FB77" s="357"/>
      <c r="FC77" s="357"/>
      <c r="FD77" s="357"/>
      <c r="FE77" s="357"/>
      <c r="FF77" s="357"/>
      <c r="FG77" s="357"/>
      <c r="FH77" s="357"/>
      <c r="FI77" s="357"/>
      <c r="FJ77" s="357"/>
      <c r="FK77" s="357"/>
      <c r="FL77" s="357"/>
      <c r="FM77" s="357"/>
      <c r="FN77" s="357"/>
      <c r="FO77" s="357"/>
      <c r="FP77" s="357"/>
      <c r="FQ77" s="357"/>
      <c r="FR77" s="357"/>
      <c r="FS77" s="357"/>
      <c r="FT77" s="357"/>
      <c r="FU77" s="357"/>
      <c r="FV77" s="357"/>
      <c r="FW77" s="357"/>
      <c r="FX77" s="357"/>
      <c r="FY77" s="357"/>
      <c r="FZ77" s="357"/>
      <c r="GA77" s="357"/>
      <c r="GB77" s="357"/>
      <c r="GC77" s="357"/>
      <c r="GD77" s="357"/>
      <c r="GE77" s="357"/>
      <c r="GF77" s="357"/>
      <c r="GG77" s="357"/>
      <c r="GH77" s="357"/>
      <c r="GI77" s="357"/>
      <c r="GJ77" s="357"/>
    </row>
    <row r="78" spans="26:192" ht="12.95" customHeight="1">
      <c r="Z78" s="357"/>
      <c r="AA78" s="357"/>
      <c r="AB78" s="357"/>
      <c r="AC78" s="357"/>
      <c r="AD78" s="357"/>
      <c r="AE78" s="357"/>
      <c r="AF78" s="357"/>
      <c r="AG78" s="357"/>
      <c r="AH78" s="357"/>
      <c r="AI78" s="357"/>
      <c r="AJ78" s="357"/>
      <c r="AK78" s="357"/>
      <c r="AL78" s="357"/>
      <c r="AM78" s="357"/>
      <c r="AN78" s="357"/>
      <c r="AO78" s="357"/>
      <c r="AP78" s="357"/>
      <c r="AQ78" s="357"/>
      <c r="AR78" s="357"/>
      <c r="AS78" s="357"/>
      <c r="AT78" s="357"/>
      <c r="AU78" s="357"/>
      <c r="AV78" s="357"/>
      <c r="AW78" s="357"/>
      <c r="AX78" s="357"/>
      <c r="AY78" s="357"/>
      <c r="AZ78" s="357"/>
      <c r="BA78" s="357"/>
      <c r="BB78" s="357"/>
      <c r="BC78" s="357"/>
      <c r="BD78" s="357"/>
      <c r="BE78" s="357"/>
      <c r="BF78" s="357"/>
      <c r="BG78" s="357"/>
      <c r="BH78" s="357"/>
      <c r="BI78" s="357"/>
      <c r="BJ78" s="357"/>
      <c r="BK78" s="357"/>
      <c r="BL78" s="357"/>
      <c r="BM78" s="357"/>
      <c r="BN78" s="357"/>
      <c r="BO78" s="357"/>
      <c r="BP78" s="357"/>
      <c r="BQ78" s="357"/>
      <c r="BR78" s="357"/>
      <c r="BS78" s="357"/>
      <c r="BT78" s="357"/>
      <c r="BU78" s="357"/>
      <c r="BV78" s="357"/>
      <c r="BW78" s="357"/>
      <c r="BX78" s="357"/>
      <c r="BY78" s="357"/>
      <c r="BZ78" s="357"/>
      <c r="CA78" s="357"/>
      <c r="CB78" s="357"/>
      <c r="CC78" s="357"/>
      <c r="CD78" s="357"/>
      <c r="CE78" s="357"/>
      <c r="CF78" s="357"/>
      <c r="CG78" s="357"/>
      <c r="CH78" s="357"/>
      <c r="CI78" s="357"/>
      <c r="CJ78" s="357"/>
      <c r="CK78" s="357"/>
      <c r="CL78" s="357"/>
      <c r="CM78" s="357"/>
      <c r="CN78" s="357"/>
      <c r="CO78" s="357"/>
      <c r="CP78" s="357"/>
      <c r="CQ78" s="357"/>
      <c r="CR78" s="357"/>
      <c r="CS78" s="357"/>
      <c r="CT78" s="357"/>
      <c r="CU78" s="357"/>
      <c r="CV78" s="357"/>
      <c r="CW78" s="357"/>
      <c r="CX78" s="357"/>
      <c r="CY78" s="357"/>
      <c r="CZ78" s="357"/>
      <c r="DA78" s="357"/>
      <c r="DB78" s="357"/>
      <c r="DC78" s="357"/>
      <c r="DD78" s="357"/>
      <c r="DE78" s="357"/>
      <c r="DF78" s="357"/>
      <c r="DG78" s="357"/>
      <c r="DH78" s="357"/>
      <c r="DI78" s="357"/>
      <c r="DJ78" s="357"/>
      <c r="DK78" s="357"/>
      <c r="DL78" s="357"/>
      <c r="DM78" s="357"/>
      <c r="DN78" s="357"/>
      <c r="DO78" s="357"/>
      <c r="DP78" s="357"/>
      <c r="DQ78" s="357"/>
      <c r="DR78" s="357"/>
      <c r="DS78" s="357"/>
      <c r="DT78" s="357"/>
      <c r="DU78" s="357"/>
      <c r="DV78" s="357"/>
      <c r="DW78" s="357"/>
      <c r="DX78" s="357"/>
      <c r="DY78" s="357"/>
      <c r="DZ78" s="357"/>
      <c r="EA78" s="357"/>
      <c r="EB78" s="357"/>
      <c r="EC78" s="357"/>
      <c r="ED78" s="357"/>
      <c r="EE78" s="357"/>
      <c r="EF78" s="357"/>
      <c r="EG78" s="357"/>
      <c r="EH78" s="357"/>
      <c r="EI78" s="357"/>
      <c r="EJ78" s="357"/>
      <c r="EK78" s="357"/>
      <c r="EL78" s="357"/>
      <c r="EM78" s="357"/>
      <c r="EN78" s="357"/>
      <c r="EO78" s="357"/>
      <c r="EP78" s="357"/>
      <c r="EQ78" s="357"/>
      <c r="ER78" s="357"/>
      <c r="ES78" s="357"/>
      <c r="ET78" s="357"/>
      <c r="EU78" s="357"/>
      <c r="EV78" s="357"/>
      <c r="EW78" s="357"/>
      <c r="EX78" s="357"/>
      <c r="EY78" s="357"/>
      <c r="EZ78" s="357"/>
      <c r="FA78" s="357"/>
      <c r="FB78" s="357"/>
      <c r="FC78" s="357"/>
      <c r="FD78" s="357"/>
      <c r="FE78" s="357"/>
      <c r="FF78" s="357"/>
      <c r="FG78" s="357"/>
      <c r="FH78" s="357"/>
      <c r="FI78" s="357"/>
      <c r="FJ78" s="357"/>
      <c r="FK78" s="357"/>
      <c r="FL78" s="357"/>
      <c r="FM78" s="357"/>
      <c r="FN78" s="357"/>
      <c r="FO78" s="357"/>
      <c r="FP78" s="357"/>
      <c r="FQ78" s="357"/>
      <c r="FR78" s="357"/>
      <c r="FS78" s="357"/>
      <c r="FT78" s="357"/>
      <c r="FU78" s="357"/>
      <c r="FV78" s="357"/>
      <c r="FW78" s="357"/>
      <c r="FX78" s="357"/>
      <c r="FY78" s="357"/>
      <c r="FZ78" s="357"/>
      <c r="GA78" s="357"/>
      <c r="GB78" s="357"/>
      <c r="GC78" s="357"/>
      <c r="GD78" s="357"/>
      <c r="GE78" s="357"/>
      <c r="GF78" s="357"/>
      <c r="GG78" s="357"/>
      <c r="GH78" s="357"/>
      <c r="GI78" s="357"/>
      <c r="GJ78" s="357"/>
    </row>
    <row r="79" spans="26:192" ht="12.95" customHeight="1">
      <c r="Z79" s="357"/>
      <c r="AA79" s="357"/>
      <c r="AB79" s="357"/>
      <c r="AC79" s="357"/>
      <c r="AD79" s="357"/>
      <c r="AE79" s="357"/>
      <c r="AF79" s="357"/>
      <c r="AG79" s="357"/>
      <c r="AH79" s="357"/>
      <c r="AI79" s="357"/>
      <c r="AJ79" s="357"/>
      <c r="AK79" s="357"/>
      <c r="AL79" s="357"/>
      <c r="AM79" s="357"/>
      <c r="AN79" s="357"/>
      <c r="AO79" s="357"/>
      <c r="AP79" s="357"/>
      <c r="AQ79" s="357"/>
      <c r="AR79" s="357"/>
      <c r="AS79" s="357"/>
      <c r="AT79" s="357"/>
      <c r="AU79" s="357"/>
      <c r="AV79" s="357"/>
      <c r="AW79" s="357"/>
      <c r="AX79" s="357"/>
      <c r="AY79" s="357"/>
      <c r="AZ79" s="357"/>
      <c r="BA79" s="357"/>
      <c r="BB79" s="357"/>
      <c r="BC79" s="357"/>
      <c r="BD79" s="357"/>
      <c r="BE79" s="357"/>
      <c r="BF79" s="357"/>
      <c r="BG79" s="357"/>
      <c r="BH79" s="357"/>
      <c r="BI79" s="357"/>
      <c r="BJ79" s="357"/>
      <c r="BK79" s="357"/>
      <c r="BL79" s="357"/>
      <c r="BM79" s="357"/>
      <c r="BN79" s="357"/>
      <c r="BO79" s="357"/>
      <c r="BP79" s="357"/>
      <c r="BQ79" s="357"/>
      <c r="BR79" s="357"/>
      <c r="BS79" s="357"/>
      <c r="BT79" s="357"/>
      <c r="BU79" s="357"/>
      <c r="BV79" s="357"/>
      <c r="BW79" s="357"/>
      <c r="BX79" s="357"/>
      <c r="BY79" s="357"/>
      <c r="BZ79" s="357"/>
      <c r="CA79" s="357"/>
      <c r="CB79" s="357"/>
      <c r="CC79" s="357"/>
      <c r="CD79" s="357"/>
      <c r="CE79" s="357"/>
      <c r="CF79" s="357"/>
      <c r="CG79" s="357"/>
      <c r="CH79" s="357"/>
      <c r="CI79" s="357"/>
      <c r="CJ79" s="357"/>
      <c r="CK79" s="357"/>
      <c r="CL79" s="357"/>
      <c r="CM79" s="357"/>
      <c r="CN79" s="357"/>
      <c r="CO79" s="357"/>
      <c r="CP79" s="357"/>
      <c r="CQ79" s="357"/>
      <c r="CR79" s="357"/>
      <c r="CS79" s="357"/>
      <c r="CT79" s="357"/>
      <c r="CU79" s="357"/>
      <c r="CV79" s="357"/>
      <c r="CW79" s="357"/>
      <c r="CX79" s="357"/>
      <c r="CY79" s="357"/>
      <c r="CZ79" s="357"/>
      <c r="DA79" s="357"/>
      <c r="DB79" s="357"/>
      <c r="DC79" s="357"/>
      <c r="DD79" s="357"/>
      <c r="DE79" s="357"/>
      <c r="DF79" s="357"/>
      <c r="DG79" s="357"/>
      <c r="DH79" s="357"/>
      <c r="DI79" s="357"/>
      <c r="DJ79" s="357"/>
      <c r="DK79" s="357"/>
      <c r="DL79" s="357"/>
      <c r="DM79" s="357"/>
      <c r="DN79" s="357"/>
      <c r="DO79" s="357"/>
      <c r="DP79" s="357"/>
      <c r="DQ79" s="357"/>
      <c r="DR79" s="357"/>
      <c r="DS79" s="357"/>
      <c r="DT79" s="357"/>
      <c r="DU79" s="357"/>
      <c r="DV79" s="357"/>
      <c r="DW79" s="357"/>
      <c r="DX79" s="357"/>
      <c r="DY79" s="357"/>
      <c r="DZ79" s="357"/>
      <c r="EA79" s="357"/>
      <c r="EB79" s="357"/>
      <c r="EC79" s="357"/>
      <c r="ED79" s="357"/>
      <c r="EE79" s="357"/>
      <c r="EF79" s="357"/>
      <c r="EG79" s="357"/>
      <c r="EH79" s="357"/>
      <c r="EI79" s="357"/>
      <c r="EJ79" s="357"/>
      <c r="EK79" s="357"/>
      <c r="EL79" s="357"/>
      <c r="EM79" s="357"/>
      <c r="EN79" s="357"/>
      <c r="EO79" s="357"/>
      <c r="EP79" s="357"/>
      <c r="EQ79" s="357"/>
      <c r="ER79" s="357"/>
      <c r="ES79" s="357"/>
      <c r="ET79" s="357"/>
      <c r="EU79" s="357"/>
      <c r="EV79" s="357"/>
      <c r="EW79" s="357"/>
      <c r="EX79" s="357"/>
      <c r="EY79" s="357"/>
      <c r="EZ79" s="357"/>
      <c r="FA79" s="357"/>
      <c r="FB79" s="357"/>
      <c r="FC79" s="357"/>
      <c r="FD79" s="357"/>
      <c r="FE79" s="357"/>
      <c r="FF79" s="357"/>
      <c r="FG79" s="357"/>
      <c r="FH79" s="357"/>
      <c r="FI79" s="357"/>
      <c r="FJ79" s="357"/>
      <c r="FK79" s="357"/>
      <c r="FL79" s="357"/>
      <c r="FM79" s="357"/>
      <c r="FN79" s="357"/>
      <c r="FO79" s="357"/>
      <c r="FP79" s="357"/>
      <c r="FQ79" s="357"/>
      <c r="FR79" s="357"/>
      <c r="FS79" s="357"/>
      <c r="FT79" s="357"/>
      <c r="FU79" s="357"/>
      <c r="FV79" s="357"/>
      <c r="FW79" s="357"/>
      <c r="FX79" s="357"/>
      <c r="FY79" s="357"/>
      <c r="FZ79" s="357"/>
      <c r="GA79" s="357"/>
      <c r="GB79" s="357"/>
      <c r="GC79" s="357"/>
      <c r="GD79" s="357"/>
      <c r="GE79" s="357"/>
      <c r="GF79" s="357"/>
      <c r="GG79" s="357"/>
      <c r="GH79" s="357"/>
      <c r="GI79" s="357"/>
      <c r="GJ79" s="357"/>
    </row>
    <row r="80" spans="26:192" ht="12.95" customHeight="1">
      <c r="Z80" s="357"/>
      <c r="AA80" s="357"/>
      <c r="AB80" s="357"/>
      <c r="AC80" s="357"/>
      <c r="AD80" s="357"/>
      <c r="AE80" s="357"/>
      <c r="AF80" s="357"/>
      <c r="AG80" s="357"/>
      <c r="AH80" s="357"/>
      <c r="AI80" s="357"/>
      <c r="AJ80" s="357"/>
      <c r="AK80" s="357"/>
      <c r="AL80" s="357"/>
      <c r="AM80" s="357"/>
      <c r="AN80" s="357"/>
      <c r="AO80" s="357"/>
      <c r="AP80" s="357"/>
      <c r="AQ80" s="357"/>
      <c r="AR80" s="357"/>
      <c r="AS80" s="357"/>
      <c r="AT80" s="357"/>
      <c r="AU80" s="357"/>
      <c r="AV80" s="357"/>
      <c r="AW80" s="357"/>
      <c r="AX80" s="357"/>
      <c r="AY80" s="357"/>
      <c r="AZ80" s="357"/>
      <c r="BA80" s="357"/>
      <c r="BB80" s="357"/>
      <c r="BC80" s="357"/>
      <c r="BD80" s="357"/>
      <c r="BE80" s="357"/>
      <c r="BF80" s="357"/>
      <c r="BG80" s="357"/>
      <c r="BH80" s="357"/>
      <c r="BI80" s="357"/>
      <c r="BJ80" s="357"/>
      <c r="BK80" s="357"/>
      <c r="BL80" s="357"/>
      <c r="BM80" s="357"/>
      <c r="BN80" s="357"/>
      <c r="BO80" s="357"/>
      <c r="BP80" s="357"/>
      <c r="BQ80" s="357"/>
      <c r="BR80" s="357"/>
      <c r="BS80" s="357"/>
      <c r="BT80" s="357"/>
      <c r="BU80" s="357"/>
      <c r="BV80" s="357"/>
      <c r="BW80" s="357"/>
      <c r="BX80" s="357"/>
      <c r="BY80" s="357"/>
      <c r="BZ80" s="357"/>
      <c r="CA80" s="357"/>
      <c r="CB80" s="357"/>
      <c r="CC80" s="357"/>
      <c r="CD80" s="357"/>
      <c r="CE80" s="357"/>
      <c r="CF80" s="357"/>
      <c r="CG80" s="357"/>
      <c r="CH80" s="357"/>
      <c r="CI80" s="357"/>
      <c r="CJ80" s="357"/>
      <c r="CK80" s="357"/>
      <c r="CL80" s="357"/>
      <c r="CM80" s="357"/>
      <c r="CN80" s="357"/>
      <c r="CO80" s="357"/>
      <c r="CP80" s="357"/>
      <c r="CQ80" s="357"/>
      <c r="CR80" s="357"/>
      <c r="CS80" s="357"/>
      <c r="CT80" s="357"/>
      <c r="CU80" s="357"/>
      <c r="CV80" s="357"/>
      <c r="CW80" s="357"/>
      <c r="CX80" s="357"/>
      <c r="CY80" s="357"/>
      <c r="CZ80" s="357"/>
      <c r="DA80" s="357"/>
      <c r="DB80" s="357"/>
      <c r="DC80" s="357"/>
      <c r="DD80" s="357"/>
      <c r="DE80" s="357"/>
      <c r="DF80" s="357"/>
      <c r="DG80" s="357"/>
      <c r="DH80" s="357"/>
      <c r="DI80" s="357"/>
      <c r="DJ80" s="357"/>
      <c r="DK80" s="357"/>
      <c r="DL80" s="357"/>
      <c r="DM80" s="357"/>
      <c r="DN80" s="357"/>
      <c r="DO80" s="357"/>
      <c r="DP80" s="357"/>
      <c r="DQ80" s="357"/>
      <c r="DR80" s="357"/>
      <c r="DS80" s="357"/>
      <c r="DT80" s="357"/>
      <c r="DU80" s="357"/>
      <c r="DV80" s="357"/>
      <c r="DW80" s="357"/>
      <c r="DX80" s="357"/>
      <c r="DY80" s="357"/>
      <c r="DZ80" s="357"/>
      <c r="EA80" s="357"/>
      <c r="EB80" s="357"/>
      <c r="EC80" s="357"/>
      <c r="ED80" s="357"/>
      <c r="EE80" s="357"/>
      <c r="EF80" s="357"/>
      <c r="EG80" s="357"/>
      <c r="EH80" s="357"/>
      <c r="EI80" s="357"/>
      <c r="EJ80" s="357"/>
      <c r="EK80" s="357"/>
      <c r="EL80" s="357"/>
      <c r="EM80" s="357"/>
      <c r="EN80" s="357"/>
      <c r="EO80" s="357"/>
      <c r="EP80" s="357"/>
      <c r="EQ80" s="357"/>
      <c r="ER80" s="357"/>
      <c r="ES80" s="357"/>
      <c r="ET80" s="357"/>
      <c r="EU80" s="357"/>
      <c r="EV80" s="357"/>
      <c r="EW80" s="357"/>
      <c r="EX80" s="357"/>
      <c r="EY80" s="357"/>
      <c r="EZ80" s="357"/>
      <c r="FA80" s="357"/>
      <c r="FB80" s="357"/>
      <c r="FC80" s="357"/>
      <c r="FD80" s="357"/>
      <c r="FE80" s="357"/>
      <c r="FF80" s="357"/>
      <c r="FG80" s="357"/>
      <c r="FH80" s="357"/>
      <c r="FI80" s="357"/>
      <c r="FJ80" s="357"/>
      <c r="FK80" s="357"/>
      <c r="FL80" s="357"/>
      <c r="FM80" s="357"/>
      <c r="FN80" s="357"/>
      <c r="FO80" s="357"/>
      <c r="FP80" s="357"/>
      <c r="FQ80" s="357"/>
      <c r="FR80" s="357"/>
      <c r="FS80" s="357"/>
      <c r="FT80" s="357"/>
      <c r="FU80" s="357"/>
      <c r="FV80" s="357"/>
      <c r="FW80" s="357"/>
      <c r="FX80" s="357"/>
      <c r="FY80" s="357"/>
      <c r="FZ80" s="357"/>
      <c r="GA80" s="357"/>
      <c r="GB80" s="357"/>
      <c r="GC80" s="357"/>
      <c r="GD80" s="357"/>
      <c r="GE80" s="357"/>
      <c r="GF80" s="357"/>
      <c r="GG80" s="357"/>
      <c r="GH80" s="357"/>
      <c r="GI80" s="357"/>
      <c r="GJ80" s="357"/>
    </row>
    <row r="81" spans="7:206">
      <c r="R81" s="154"/>
      <c r="S81" s="154"/>
      <c r="T81" s="154"/>
      <c r="U81" s="154"/>
      <c r="V81" s="154"/>
      <c r="W81" s="154"/>
      <c r="X81" s="154"/>
      <c r="Y81" s="154"/>
      <c r="Z81" s="357"/>
      <c r="AA81" s="357"/>
      <c r="AB81" s="357"/>
      <c r="AC81" s="357"/>
      <c r="AD81" s="357"/>
      <c r="AE81" s="357"/>
      <c r="AF81" s="357"/>
      <c r="AG81" s="357"/>
      <c r="AH81" s="357"/>
      <c r="AI81" s="357"/>
      <c r="AJ81" s="357"/>
      <c r="AK81" s="357"/>
      <c r="AL81" s="357"/>
      <c r="AM81" s="357"/>
      <c r="AN81" s="357"/>
      <c r="AO81" s="357"/>
      <c r="AP81" s="357"/>
      <c r="AQ81" s="357"/>
      <c r="AR81" s="357"/>
      <c r="AS81" s="357"/>
      <c r="AT81" s="357"/>
      <c r="AU81" s="357"/>
      <c r="AV81" s="357"/>
      <c r="AW81" s="357"/>
      <c r="AX81" s="357"/>
      <c r="AY81" s="357"/>
      <c r="AZ81" s="357"/>
      <c r="BA81" s="357"/>
      <c r="BB81" s="357"/>
      <c r="BC81" s="357"/>
      <c r="BD81" s="357"/>
      <c r="BE81" s="357"/>
      <c r="BF81" s="357"/>
      <c r="BG81" s="357"/>
      <c r="BH81" s="357"/>
      <c r="BI81" s="357"/>
      <c r="BJ81" s="357"/>
      <c r="BK81" s="357"/>
      <c r="BL81" s="357"/>
      <c r="BM81" s="357"/>
      <c r="BN81" s="357"/>
      <c r="BO81" s="357"/>
      <c r="BP81" s="357"/>
      <c r="BQ81" s="357"/>
      <c r="BR81" s="357"/>
      <c r="BS81" s="357"/>
      <c r="BT81" s="357"/>
      <c r="BU81" s="357"/>
      <c r="BV81" s="357"/>
      <c r="BW81" s="357"/>
      <c r="BX81" s="357"/>
      <c r="BY81" s="357"/>
      <c r="BZ81" s="357"/>
      <c r="CA81" s="357"/>
      <c r="CB81" s="357"/>
      <c r="CC81" s="357"/>
      <c r="CD81" s="357"/>
      <c r="CE81" s="357"/>
      <c r="CF81" s="357"/>
      <c r="CG81" s="357"/>
      <c r="CH81" s="357"/>
      <c r="CI81" s="357"/>
      <c r="CJ81" s="357"/>
      <c r="CK81" s="357"/>
      <c r="CL81" s="357"/>
      <c r="CM81" s="357"/>
      <c r="CN81" s="357"/>
      <c r="CO81" s="357"/>
      <c r="CP81" s="357"/>
      <c r="CQ81" s="357"/>
      <c r="CR81" s="357"/>
      <c r="CS81" s="357"/>
      <c r="CT81" s="357"/>
      <c r="CU81" s="357"/>
      <c r="CV81" s="357"/>
      <c r="CW81" s="357"/>
      <c r="CX81" s="357"/>
      <c r="CY81" s="357"/>
      <c r="CZ81" s="357"/>
      <c r="DA81" s="357"/>
      <c r="DB81" s="357"/>
      <c r="DC81" s="357"/>
      <c r="DD81" s="357"/>
      <c r="DE81" s="357"/>
      <c r="DF81" s="357"/>
      <c r="DG81" s="357"/>
      <c r="DH81" s="357"/>
      <c r="DI81" s="357"/>
      <c r="DJ81" s="357"/>
      <c r="DK81" s="357"/>
      <c r="DL81" s="357"/>
      <c r="DM81" s="357"/>
      <c r="DN81" s="357"/>
      <c r="DO81" s="357"/>
      <c r="DP81" s="357"/>
      <c r="DQ81" s="357"/>
      <c r="DR81" s="357"/>
      <c r="DS81" s="357"/>
      <c r="DT81" s="357"/>
      <c r="DU81" s="357"/>
      <c r="DV81" s="357"/>
      <c r="DW81" s="357"/>
      <c r="DX81" s="357"/>
      <c r="DY81" s="357"/>
      <c r="DZ81" s="357"/>
      <c r="EA81" s="357"/>
      <c r="EB81" s="357"/>
      <c r="EC81" s="357"/>
      <c r="ED81" s="357"/>
      <c r="EE81" s="357"/>
      <c r="EF81" s="357"/>
      <c r="EG81" s="357"/>
      <c r="EH81" s="357"/>
      <c r="EI81" s="357"/>
      <c r="EJ81" s="357"/>
      <c r="EK81" s="357"/>
      <c r="EL81" s="357"/>
      <c r="EM81" s="357"/>
      <c r="EN81" s="357"/>
      <c r="EO81" s="357"/>
      <c r="EP81" s="357"/>
      <c r="EQ81" s="357"/>
      <c r="ER81" s="357"/>
      <c r="ES81" s="357"/>
      <c r="ET81" s="357"/>
      <c r="EU81" s="357"/>
      <c r="EV81" s="357"/>
      <c r="EW81" s="357"/>
      <c r="EX81" s="357"/>
      <c r="EY81" s="357"/>
      <c r="EZ81" s="357"/>
      <c r="FA81" s="357"/>
      <c r="FB81" s="357"/>
      <c r="FC81" s="357"/>
      <c r="FD81" s="357"/>
      <c r="FE81" s="357"/>
      <c r="FF81" s="357"/>
      <c r="FG81" s="357"/>
      <c r="FH81" s="357"/>
      <c r="FI81" s="357"/>
      <c r="FJ81" s="357"/>
      <c r="FK81" s="357"/>
      <c r="FL81" s="357"/>
      <c r="FM81" s="357"/>
      <c r="FN81" s="357"/>
      <c r="FO81" s="357"/>
      <c r="FP81" s="357"/>
      <c r="FQ81" s="357"/>
      <c r="FR81" s="357"/>
      <c r="FS81" s="357"/>
      <c r="FT81" s="357"/>
      <c r="FU81" s="357"/>
      <c r="FV81" s="357"/>
      <c r="FW81" s="357"/>
      <c r="FX81" s="357"/>
      <c r="FY81" s="357"/>
      <c r="FZ81" s="357"/>
      <c r="GA81" s="357"/>
      <c r="GB81" s="357"/>
      <c r="GC81" s="357"/>
      <c r="GD81" s="357"/>
      <c r="GE81" s="357"/>
      <c r="GF81" s="357"/>
      <c r="GG81" s="357"/>
      <c r="GH81" s="357"/>
      <c r="GI81" s="357"/>
      <c r="GJ81" s="357"/>
    </row>
    <row r="82" spans="7:206">
      <c r="R82" s="154"/>
      <c r="S82" s="154"/>
      <c r="T82" s="154"/>
      <c r="U82" s="154"/>
      <c r="V82" s="154"/>
      <c r="W82" s="154"/>
      <c r="X82" s="154"/>
      <c r="Y82" s="154"/>
      <c r="Z82" s="357"/>
      <c r="AA82" s="357"/>
      <c r="AB82" s="357"/>
      <c r="AC82" s="357"/>
      <c r="AD82" s="357"/>
      <c r="AE82" s="357"/>
      <c r="AF82" s="357"/>
      <c r="AG82" s="357"/>
      <c r="AH82" s="357"/>
      <c r="AI82" s="357"/>
      <c r="AJ82" s="357"/>
      <c r="AK82" s="357"/>
      <c r="AL82" s="357"/>
      <c r="AM82" s="357"/>
      <c r="AN82" s="357"/>
      <c r="AO82" s="357"/>
      <c r="AP82" s="357"/>
      <c r="AQ82" s="357"/>
      <c r="AR82" s="357"/>
      <c r="AS82" s="357"/>
      <c r="AT82" s="357"/>
      <c r="AU82" s="357"/>
      <c r="AV82" s="357"/>
      <c r="AW82" s="357"/>
      <c r="AX82" s="357"/>
      <c r="AY82" s="357"/>
      <c r="AZ82" s="357"/>
      <c r="BA82" s="357"/>
      <c r="BB82" s="357"/>
      <c r="BC82" s="357"/>
      <c r="BD82" s="357"/>
      <c r="BE82" s="357"/>
      <c r="BF82" s="357"/>
      <c r="BG82" s="357"/>
      <c r="BH82" s="357"/>
      <c r="BI82" s="357"/>
      <c r="BJ82" s="357"/>
      <c r="BK82" s="357"/>
      <c r="BL82" s="357"/>
      <c r="BM82" s="357"/>
      <c r="BN82" s="357"/>
      <c r="BO82" s="357"/>
      <c r="BP82" s="357"/>
      <c r="BQ82" s="357"/>
      <c r="BR82" s="357"/>
      <c r="BS82" s="357"/>
      <c r="BT82" s="357"/>
      <c r="BU82" s="357"/>
      <c r="BV82" s="357"/>
      <c r="BW82" s="357"/>
      <c r="BX82" s="357"/>
      <c r="BY82" s="357"/>
      <c r="BZ82" s="357"/>
      <c r="CA82" s="357"/>
      <c r="CB82" s="357"/>
      <c r="CC82" s="357"/>
      <c r="CD82" s="357"/>
      <c r="CE82" s="357"/>
      <c r="CF82" s="357"/>
      <c r="CG82" s="357"/>
      <c r="CH82" s="357"/>
      <c r="CI82" s="357"/>
      <c r="CJ82" s="357"/>
      <c r="CK82" s="357"/>
      <c r="CL82" s="357"/>
      <c r="CM82" s="357"/>
      <c r="CN82" s="357"/>
      <c r="CO82" s="357"/>
      <c r="CP82" s="357"/>
      <c r="CQ82" s="357"/>
      <c r="CR82" s="357"/>
      <c r="CS82" s="357"/>
      <c r="CT82" s="357"/>
      <c r="CU82" s="357"/>
      <c r="CV82" s="357"/>
      <c r="CW82" s="357"/>
      <c r="CX82" s="357"/>
      <c r="CY82" s="357"/>
      <c r="CZ82" s="357"/>
      <c r="DA82" s="357"/>
      <c r="DB82" s="357"/>
      <c r="DC82" s="357"/>
      <c r="DD82" s="357"/>
      <c r="DE82" s="357"/>
      <c r="DF82" s="357"/>
      <c r="DG82" s="357"/>
      <c r="DH82" s="357"/>
      <c r="DI82" s="357"/>
      <c r="DJ82" s="357"/>
      <c r="DK82" s="357"/>
      <c r="DL82" s="357"/>
      <c r="DM82" s="357"/>
      <c r="DN82" s="357"/>
      <c r="DO82" s="357"/>
      <c r="DP82" s="357"/>
      <c r="DQ82" s="357"/>
      <c r="DR82" s="357"/>
      <c r="DS82" s="357"/>
      <c r="DT82" s="357"/>
      <c r="DU82" s="357"/>
      <c r="DV82" s="357"/>
      <c r="DW82" s="357"/>
      <c r="DX82" s="357"/>
      <c r="DY82" s="357"/>
      <c r="DZ82" s="357"/>
      <c r="EA82" s="357"/>
      <c r="EB82" s="357"/>
      <c r="EC82" s="357"/>
      <c r="ED82" s="357"/>
      <c r="EE82" s="357"/>
      <c r="EF82" s="357"/>
      <c r="EG82" s="357"/>
      <c r="EH82" s="357"/>
      <c r="EI82" s="357"/>
      <c r="EJ82" s="357"/>
      <c r="EK82" s="357"/>
      <c r="EL82" s="357"/>
      <c r="EM82" s="357"/>
      <c r="EN82" s="357"/>
      <c r="EO82" s="357"/>
      <c r="EP82" s="357"/>
      <c r="EQ82" s="357"/>
      <c r="ER82" s="357"/>
      <c r="ES82" s="357"/>
      <c r="ET82" s="357"/>
      <c r="EU82" s="357"/>
      <c r="EV82" s="357"/>
      <c r="EW82" s="357"/>
      <c r="EX82" s="357"/>
      <c r="EY82" s="357"/>
      <c r="EZ82" s="357"/>
      <c r="FA82" s="357"/>
      <c r="FB82" s="357"/>
      <c r="FC82" s="357"/>
      <c r="FD82" s="357"/>
      <c r="FE82" s="357"/>
      <c r="FF82" s="357"/>
      <c r="FG82" s="357"/>
      <c r="FH82" s="357"/>
      <c r="FI82" s="357"/>
      <c r="FJ82" s="357"/>
      <c r="FK82" s="357"/>
      <c r="FL82" s="357"/>
      <c r="FM82" s="357"/>
      <c r="FN82" s="357"/>
      <c r="FO82" s="357"/>
      <c r="FP82" s="357"/>
      <c r="FQ82" s="357"/>
      <c r="FR82" s="357"/>
      <c r="FS82" s="357"/>
      <c r="FT82" s="357"/>
      <c r="FU82" s="357"/>
      <c r="FV82" s="357"/>
      <c r="FW82" s="357"/>
      <c r="FX82" s="357"/>
      <c r="FY82" s="357"/>
      <c r="FZ82" s="357"/>
      <c r="GA82" s="357"/>
      <c r="GB82" s="357"/>
      <c r="GC82" s="357"/>
      <c r="GD82" s="357"/>
      <c r="GE82" s="357"/>
      <c r="GF82" s="357"/>
      <c r="GG82" s="357"/>
      <c r="GH82" s="357"/>
      <c r="GI82" s="357"/>
      <c r="GJ82" s="357"/>
    </row>
    <row r="83" spans="7:206">
      <c r="R83" s="154"/>
      <c r="S83" s="154"/>
      <c r="T83" s="154"/>
      <c r="U83" s="154"/>
      <c r="V83" s="154"/>
      <c r="W83" s="154"/>
      <c r="X83" s="154"/>
      <c r="Y83" s="154"/>
      <c r="Z83" s="357"/>
      <c r="AA83" s="357"/>
      <c r="AB83" s="357"/>
      <c r="AC83" s="357"/>
      <c r="AD83" s="357"/>
      <c r="AE83" s="357"/>
      <c r="AF83" s="357"/>
      <c r="AG83" s="357"/>
      <c r="AH83" s="357"/>
      <c r="AI83" s="357"/>
      <c r="AJ83" s="357"/>
      <c r="AK83" s="357"/>
      <c r="AL83" s="357"/>
      <c r="AM83" s="357"/>
      <c r="AN83" s="357"/>
      <c r="AO83" s="357"/>
      <c r="AP83" s="357"/>
      <c r="AQ83" s="357"/>
      <c r="AR83" s="357"/>
      <c r="AS83" s="357"/>
      <c r="AT83" s="357"/>
      <c r="AU83" s="357"/>
      <c r="AV83" s="357"/>
      <c r="AW83" s="357"/>
      <c r="AX83" s="357"/>
      <c r="AY83" s="357"/>
      <c r="AZ83" s="357"/>
      <c r="BA83" s="357"/>
      <c r="BB83" s="357"/>
      <c r="BC83" s="357"/>
      <c r="BD83" s="357"/>
      <c r="BE83" s="357"/>
      <c r="BF83" s="357"/>
      <c r="BG83" s="357"/>
      <c r="BH83" s="357"/>
      <c r="BI83" s="357"/>
      <c r="BJ83" s="357"/>
      <c r="BK83" s="357"/>
      <c r="BL83" s="357"/>
      <c r="BM83" s="357"/>
      <c r="BN83" s="357"/>
      <c r="BO83" s="357"/>
      <c r="BP83" s="357"/>
      <c r="BQ83" s="357"/>
      <c r="BR83" s="357"/>
      <c r="BS83" s="357"/>
      <c r="BT83" s="357"/>
      <c r="BU83" s="357"/>
      <c r="BV83" s="357"/>
      <c r="BW83" s="357"/>
      <c r="BX83" s="357"/>
      <c r="BY83" s="357"/>
      <c r="BZ83" s="357"/>
      <c r="CA83" s="357"/>
      <c r="CB83" s="357"/>
      <c r="CC83" s="357"/>
      <c r="CD83" s="357"/>
      <c r="CE83" s="357"/>
      <c r="CF83" s="357"/>
      <c r="CG83" s="357"/>
      <c r="CH83" s="357"/>
      <c r="CI83" s="357"/>
      <c r="CJ83" s="357"/>
      <c r="CK83" s="357"/>
      <c r="CL83" s="357"/>
      <c r="CM83" s="357"/>
      <c r="CN83" s="357"/>
      <c r="CO83" s="357"/>
      <c r="CP83" s="357"/>
      <c r="CQ83" s="357"/>
      <c r="CR83" s="357"/>
      <c r="CS83" s="357"/>
      <c r="CT83" s="357"/>
      <c r="CU83" s="357"/>
      <c r="CV83" s="357"/>
      <c r="CW83" s="357"/>
      <c r="CX83" s="357"/>
      <c r="CY83" s="357"/>
      <c r="CZ83" s="357"/>
      <c r="DA83" s="357"/>
      <c r="DB83" s="357"/>
      <c r="DC83" s="357"/>
      <c r="DD83" s="357"/>
      <c r="DE83" s="357"/>
      <c r="DF83" s="357"/>
      <c r="DG83" s="357"/>
      <c r="DH83" s="357"/>
      <c r="DI83" s="357"/>
      <c r="DJ83" s="357"/>
      <c r="DK83" s="357"/>
      <c r="DL83" s="357"/>
      <c r="DM83" s="357"/>
      <c r="DN83" s="357"/>
      <c r="DO83" s="357"/>
      <c r="DP83" s="357"/>
      <c r="DQ83" s="357"/>
      <c r="DR83" s="357"/>
      <c r="DS83" s="357"/>
      <c r="DT83" s="357"/>
      <c r="DU83" s="357"/>
      <c r="DV83" s="357"/>
      <c r="DW83" s="357"/>
      <c r="DX83" s="357"/>
      <c r="DY83" s="357"/>
      <c r="DZ83" s="357"/>
      <c r="EA83" s="357"/>
      <c r="EB83" s="357"/>
      <c r="EC83" s="357"/>
      <c r="ED83" s="357"/>
      <c r="EE83" s="357"/>
      <c r="EF83" s="357"/>
      <c r="EG83" s="357"/>
      <c r="EH83" s="357"/>
      <c r="EI83" s="357"/>
      <c r="EJ83" s="357"/>
      <c r="EK83" s="357"/>
      <c r="EL83" s="357"/>
      <c r="EM83" s="357"/>
      <c r="EN83" s="357"/>
      <c r="EO83" s="357"/>
      <c r="EP83" s="357"/>
      <c r="EQ83" s="357"/>
      <c r="ER83" s="357"/>
      <c r="ES83" s="357"/>
      <c r="ET83" s="357"/>
      <c r="EU83" s="357"/>
      <c r="EV83" s="357"/>
      <c r="EW83" s="357"/>
      <c r="EX83" s="357"/>
      <c r="EY83" s="357"/>
      <c r="EZ83" s="357"/>
      <c r="FA83" s="357"/>
      <c r="FB83" s="357"/>
      <c r="FC83" s="357"/>
      <c r="FD83" s="357"/>
      <c r="FE83" s="357"/>
      <c r="FF83" s="357"/>
      <c r="FG83" s="357"/>
      <c r="FH83" s="357"/>
      <c r="FI83" s="357"/>
      <c r="FJ83" s="357"/>
      <c r="FK83" s="357"/>
      <c r="FL83" s="357"/>
      <c r="FM83" s="357"/>
      <c r="FN83" s="357"/>
      <c r="FO83" s="357"/>
      <c r="FP83" s="357"/>
      <c r="FQ83" s="357"/>
      <c r="FR83" s="357"/>
      <c r="FS83" s="357"/>
      <c r="FT83" s="357"/>
      <c r="FU83" s="357"/>
      <c r="FV83" s="357"/>
      <c r="FW83" s="357"/>
      <c r="FX83" s="357"/>
      <c r="FY83" s="357"/>
      <c r="FZ83" s="357"/>
      <c r="GA83" s="357"/>
      <c r="GB83" s="357"/>
      <c r="GC83" s="357"/>
      <c r="GD83" s="357"/>
      <c r="GE83" s="357"/>
      <c r="GF83" s="357"/>
      <c r="GG83" s="357"/>
      <c r="GH83" s="357"/>
      <c r="GI83" s="357"/>
      <c r="GJ83" s="357"/>
    </row>
    <row r="84" spans="7:206">
      <c r="R84" s="154"/>
      <c r="S84" s="154"/>
      <c r="T84" s="154"/>
      <c r="U84" s="154"/>
      <c r="V84" s="154"/>
      <c r="W84" s="154"/>
      <c r="X84" s="154"/>
      <c r="Y84" s="154"/>
      <c r="Z84" s="357"/>
      <c r="AA84" s="357"/>
      <c r="AB84" s="357"/>
      <c r="AC84" s="357"/>
      <c r="AD84" s="357"/>
      <c r="AE84" s="357"/>
      <c r="AF84" s="357"/>
      <c r="AG84" s="357"/>
      <c r="AH84" s="357"/>
      <c r="AI84" s="357"/>
      <c r="AJ84" s="357"/>
      <c r="AK84" s="357"/>
      <c r="AL84" s="357"/>
      <c r="AM84" s="357"/>
      <c r="AN84" s="357"/>
      <c r="AO84" s="357"/>
      <c r="AP84" s="357"/>
      <c r="AQ84" s="357"/>
      <c r="AR84" s="357"/>
      <c r="AS84" s="357"/>
      <c r="AT84" s="357"/>
      <c r="AU84" s="357"/>
      <c r="AV84" s="357"/>
      <c r="AW84" s="357"/>
      <c r="AX84" s="357"/>
      <c r="AY84" s="357"/>
      <c r="AZ84" s="357"/>
      <c r="BA84" s="357"/>
      <c r="BB84" s="357"/>
      <c r="BC84" s="357"/>
      <c r="BD84" s="357"/>
      <c r="BE84" s="357"/>
      <c r="BF84" s="357"/>
      <c r="BG84" s="357"/>
      <c r="BH84" s="357"/>
      <c r="BI84" s="357"/>
      <c r="BJ84" s="357"/>
      <c r="BK84" s="357"/>
      <c r="BL84" s="357"/>
      <c r="BM84" s="357"/>
      <c r="BN84" s="357"/>
      <c r="BO84" s="357"/>
      <c r="BP84" s="357"/>
      <c r="BQ84" s="357"/>
      <c r="BR84" s="357"/>
      <c r="BS84" s="357"/>
      <c r="BT84" s="357"/>
      <c r="BU84" s="357"/>
      <c r="BV84" s="357"/>
      <c r="BW84" s="357"/>
      <c r="BX84" s="357"/>
      <c r="BY84" s="357"/>
      <c r="BZ84" s="357"/>
      <c r="CA84" s="357"/>
      <c r="CB84" s="357"/>
      <c r="CC84" s="357"/>
      <c r="CD84" s="357"/>
      <c r="CE84" s="357"/>
      <c r="CF84" s="357"/>
      <c r="CG84" s="357"/>
      <c r="CH84" s="357"/>
      <c r="CI84" s="357"/>
      <c r="CJ84" s="357"/>
      <c r="CK84" s="357"/>
      <c r="CL84" s="357"/>
      <c r="CM84" s="357"/>
      <c r="CN84" s="357"/>
      <c r="CO84" s="357"/>
      <c r="CP84" s="357"/>
      <c r="CQ84" s="357"/>
      <c r="CR84" s="357"/>
      <c r="CS84" s="357"/>
      <c r="CT84" s="357"/>
      <c r="CU84" s="357"/>
      <c r="CV84" s="357"/>
      <c r="CW84" s="357"/>
      <c r="CX84" s="357"/>
      <c r="CY84" s="357"/>
      <c r="CZ84" s="357"/>
      <c r="DA84" s="357"/>
      <c r="DB84" s="357"/>
      <c r="DC84" s="357"/>
      <c r="DD84" s="357"/>
      <c r="DE84" s="357"/>
      <c r="DF84" s="357"/>
      <c r="DG84" s="357"/>
      <c r="DH84" s="357"/>
      <c r="DI84" s="357"/>
      <c r="DJ84" s="357"/>
      <c r="DK84" s="357"/>
      <c r="DL84" s="357"/>
      <c r="DM84" s="357"/>
      <c r="DN84" s="357"/>
      <c r="DO84" s="357"/>
      <c r="DP84" s="357"/>
      <c r="DQ84" s="357"/>
      <c r="DR84" s="357"/>
      <c r="DS84" s="357"/>
      <c r="DT84" s="357"/>
      <c r="DU84" s="357"/>
      <c r="DV84" s="357"/>
      <c r="DW84" s="357"/>
      <c r="DX84" s="357"/>
      <c r="DY84" s="357"/>
      <c r="DZ84" s="357"/>
      <c r="EA84" s="357"/>
      <c r="EB84" s="357"/>
      <c r="EC84" s="357"/>
      <c r="ED84" s="357"/>
      <c r="EE84" s="357"/>
      <c r="EF84" s="357"/>
      <c r="EG84" s="357"/>
      <c r="EH84" s="357"/>
      <c r="EI84" s="357"/>
      <c r="EJ84" s="357"/>
      <c r="EK84" s="357"/>
      <c r="EL84" s="357"/>
      <c r="EM84" s="357"/>
      <c r="EN84" s="357"/>
      <c r="EO84" s="357"/>
      <c r="EP84" s="357"/>
      <c r="EQ84" s="357"/>
      <c r="ER84" s="357"/>
      <c r="ES84" s="357"/>
      <c r="ET84" s="357"/>
      <c r="EU84" s="357"/>
      <c r="EV84" s="357"/>
      <c r="EW84" s="357"/>
      <c r="EX84" s="357"/>
      <c r="EY84" s="357"/>
      <c r="EZ84" s="357"/>
      <c r="FA84" s="357"/>
      <c r="FB84" s="357"/>
      <c r="FC84" s="357"/>
      <c r="FD84" s="357"/>
      <c r="FE84" s="357"/>
      <c r="FF84" s="357"/>
      <c r="FG84" s="357"/>
      <c r="FH84" s="357"/>
      <c r="FI84" s="357"/>
      <c r="FJ84" s="357"/>
      <c r="FK84" s="357"/>
      <c r="FL84" s="357"/>
      <c r="FM84" s="357"/>
      <c r="FN84" s="357"/>
      <c r="FO84" s="357"/>
      <c r="FP84" s="357"/>
      <c r="FQ84" s="357"/>
      <c r="FR84" s="357"/>
      <c r="FS84" s="357"/>
      <c r="FT84" s="357"/>
      <c r="FU84" s="357"/>
      <c r="FV84" s="357"/>
      <c r="FW84" s="357"/>
      <c r="FX84" s="357"/>
      <c r="FY84" s="357"/>
      <c r="FZ84" s="357"/>
      <c r="GA84" s="357"/>
      <c r="GB84" s="357"/>
      <c r="GC84" s="357"/>
      <c r="GD84" s="357"/>
      <c r="GE84" s="357"/>
      <c r="GF84" s="357"/>
      <c r="GG84" s="357"/>
      <c r="GH84" s="357"/>
      <c r="GI84" s="357"/>
      <c r="GJ84" s="357"/>
    </row>
    <row r="85" spans="7:206">
      <c r="G85" s="154"/>
      <c r="H85" s="154"/>
      <c r="I85" s="154"/>
      <c r="J85" s="154"/>
      <c r="K85" s="154"/>
      <c r="L85" s="154"/>
      <c r="M85" s="154"/>
      <c r="N85" s="154"/>
      <c r="O85" s="154"/>
      <c r="P85" s="154"/>
      <c r="Q85" s="154"/>
      <c r="R85" s="154"/>
      <c r="S85" s="154"/>
      <c r="T85" s="154"/>
      <c r="U85" s="154"/>
      <c r="V85" s="154"/>
      <c r="W85" s="154"/>
      <c r="X85" s="154"/>
      <c r="Y85" s="154"/>
      <c r="Z85" s="357"/>
      <c r="AA85" s="357"/>
      <c r="AB85" s="357"/>
      <c r="AC85" s="357"/>
      <c r="AD85" s="357"/>
      <c r="AE85" s="357"/>
      <c r="AF85" s="357"/>
      <c r="AG85" s="357"/>
      <c r="AH85" s="357"/>
      <c r="AI85" s="357"/>
      <c r="AJ85" s="357"/>
      <c r="AK85" s="357"/>
      <c r="AL85" s="357"/>
      <c r="AM85" s="357"/>
      <c r="AN85" s="357"/>
      <c r="AO85" s="357"/>
      <c r="AP85" s="357"/>
      <c r="AQ85" s="357"/>
      <c r="AR85" s="357"/>
      <c r="AS85" s="357"/>
      <c r="AT85" s="357"/>
      <c r="AU85" s="357"/>
      <c r="AV85" s="357"/>
      <c r="AW85" s="357"/>
      <c r="AX85" s="357"/>
      <c r="AY85" s="357"/>
      <c r="AZ85" s="357"/>
      <c r="BA85" s="357"/>
      <c r="BB85" s="357"/>
      <c r="BC85" s="357"/>
      <c r="BD85" s="357"/>
      <c r="BE85" s="357"/>
      <c r="BF85" s="357"/>
      <c r="BG85" s="357"/>
      <c r="BH85" s="357"/>
      <c r="BI85" s="357"/>
      <c r="BJ85" s="357"/>
      <c r="BK85" s="357"/>
      <c r="BL85" s="357"/>
      <c r="BM85" s="357"/>
      <c r="BN85" s="357"/>
      <c r="BO85" s="357"/>
      <c r="BP85" s="357"/>
      <c r="BQ85" s="357"/>
      <c r="BR85" s="357"/>
      <c r="BS85" s="357"/>
      <c r="BT85" s="357"/>
      <c r="BU85" s="357"/>
      <c r="BV85" s="357"/>
      <c r="BW85" s="357"/>
      <c r="BX85" s="357"/>
      <c r="BY85" s="357"/>
      <c r="BZ85" s="357"/>
      <c r="CA85" s="357"/>
      <c r="CB85" s="357"/>
      <c r="CC85" s="357"/>
      <c r="CD85" s="357"/>
      <c r="CE85" s="357"/>
      <c r="CF85" s="357"/>
      <c r="CG85" s="357"/>
      <c r="CH85" s="357"/>
      <c r="CI85" s="357"/>
      <c r="CJ85" s="357"/>
      <c r="CK85" s="357"/>
      <c r="CL85" s="357"/>
      <c r="CM85" s="357"/>
      <c r="CN85" s="357"/>
      <c r="CO85" s="357"/>
      <c r="CP85" s="357"/>
      <c r="CQ85" s="357"/>
      <c r="CR85" s="357"/>
      <c r="CS85" s="357"/>
      <c r="CT85" s="357"/>
      <c r="CU85" s="357"/>
      <c r="CV85" s="357"/>
      <c r="CW85" s="357"/>
      <c r="CX85" s="357"/>
      <c r="CY85" s="357"/>
      <c r="CZ85" s="357"/>
      <c r="DA85" s="357"/>
      <c r="DB85" s="357"/>
      <c r="DC85" s="357"/>
      <c r="DD85" s="357"/>
      <c r="DE85" s="357"/>
      <c r="DF85" s="357"/>
      <c r="DG85" s="357"/>
      <c r="DH85" s="357"/>
      <c r="DI85" s="357"/>
      <c r="DJ85" s="357"/>
      <c r="DK85" s="357"/>
      <c r="DL85" s="357"/>
      <c r="DM85" s="357"/>
      <c r="DN85" s="357"/>
      <c r="DO85" s="357"/>
      <c r="DP85" s="357"/>
      <c r="DQ85" s="357"/>
      <c r="DR85" s="357"/>
      <c r="DS85" s="357"/>
      <c r="DT85" s="357"/>
      <c r="DU85" s="357"/>
      <c r="DV85" s="357"/>
      <c r="DW85" s="357"/>
      <c r="DX85" s="357"/>
      <c r="DY85" s="357"/>
      <c r="DZ85" s="357"/>
      <c r="EA85" s="357"/>
      <c r="EB85" s="357"/>
      <c r="EC85" s="357"/>
      <c r="ED85" s="357"/>
      <c r="EE85" s="357"/>
      <c r="EF85" s="357"/>
      <c r="EG85" s="357"/>
      <c r="EH85" s="357"/>
      <c r="EI85" s="357"/>
      <c r="EJ85" s="357"/>
      <c r="EK85" s="357"/>
      <c r="EL85" s="357"/>
      <c r="EM85" s="357"/>
      <c r="EN85" s="357"/>
      <c r="EO85" s="357"/>
      <c r="EP85" s="357"/>
      <c r="EQ85" s="357"/>
      <c r="ER85" s="357"/>
      <c r="ES85" s="357"/>
      <c r="ET85" s="357"/>
      <c r="EU85" s="357"/>
      <c r="EV85" s="357"/>
      <c r="EW85" s="357"/>
      <c r="EX85" s="357"/>
      <c r="EY85" s="357"/>
      <c r="EZ85" s="357"/>
      <c r="FA85" s="357"/>
      <c r="FB85" s="357"/>
      <c r="FC85" s="357"/>
      <c r="FD85" s="357"/>
      <c r="FE85" s="357"/>
      <c r="FF85" s="357"/>
      <c r="FG85" s="357"/>
      <c r="FH85" s="357"/>
      <c r="FI85" s="357"/>
      <c r="FJ85" s="357"/>
      <c r="FK85" s="357"/>
      <c r="FL85" s="357"/>
      <c r="FM85" s="357"/>
      <c r="FN85" s="357"/>
      <c r="FO85" s="357"/>
      <c r="FP85" s="357"/>
      <c r="FQ85" s="357"/>
      <c r="FR85" s="357"/>
      <c r="FS85" s="357"/>
      <c r="FT85" s="357"/>
      <c r="FU85" s="357"/>
      <c r="FV85" s="357"/>
      <c r="FW85" s="357"/>
      <c r="FX85" s="357"/>
      <c r="FY85" s="357"/>
      <c r="FZ85" s="357"/>
      <c r="GA85" s="357"/>
      <c r="GB85" s="357"/>
      <c r="GC85" s="357"/>
      <c r="GD85" s="357"/>
      <c r="GE85" s="357"/>
      <c r="GF85" s="357"/>
      <c r="GG85" s="357"/>
      <c r="GH85" s="357"/>
      <c r="GI85" s="357"/>
      <c r="GJ85" s="357"/>
      <c r="GK85" s="154"/>
      <c r="GL85" s="154"/>
      <c r="GM85" s="154"/>
      <c r="GN85" s="154"/>
      <c r="GO85" s="154"/>
      <c r="GP85" s="154"/>
      <c r="GQ85" s="154"/>
      <c r="GR85" s="154"/>
      <c r="GS85" s="154"/>
      <c r="GT85" s="154"/>
      <c r="GU85" s="154"/>
      <c r="GV85" s="154"/>
      <c r="GW85" s="154"/>
      <c r="GX85" s="154"/>
    </row>
    <row r="86" spans="7:206">
      <c r="G86" s="154"/>
      <c r="H86" s="154"/>
      <c r="I86" s="154"/>
      <c r="J86" s="154"/>
      <c r="K86" s="154"/>
      <c r="L86" s="154"/>
      <c r="M86" s="154"/>
      <c r="N86" s="154"/>
      <c r="O86" s="154"/>
      <c r="P86" s="154"/>
      <c r="Q86" s="154"/>
      <c r="R86" s="154"/>
      <c r="S86" s="154"/>
      <c r="T86" s="154"/>
      <c r="U86" s="154"/>
      <c r="V86" s="154"/>
      <c r="W86" s="154"/>
      <c r="X86" s="154"/>
      <c r="Y86" s="154"/>
      <c r="Z86" s="357"/>
      <c r="AA86" s="357"/>
      <c r="AB86" s="357"/>
      <c r="AC86" s="357"/>
      <c r="AD86" s="357"/>
      <c r="AE86" s="357"/>
      <c r="AF86" s="357"/>
      <c r="AG86" s="357"/>
      <c r="AH86" s="357"/>
      <c r="AI86" s="357"/>
      <c r="AJ86" s="357"/>
      <c r="AK86" s="357"/>
      <c r="AL86" s="357"/>
      <c r="AM86" s="357"/>
      <c r="AN86" s="357"/>
      <c r="AO86" s="357"/>
      <c r="AP86" s="357"/>
      <c r="AQ86" s="357"/>
      <c r="AR86" s="357"/>
      <c r="AS86" s="357"/>
      <c r="AT86" s="357"/>
      <c r="AU86" s="357"/>
      <c r="AV86" s="357"/>
      <c r="AW86" s="357"/>
      <c r="AX86" s="357"/>
      <c r="AY86" s="357"/>
      <c r="AZ86" s="357"/>
      <c r="BA86" s="357"/>
      <c r="BB86" s="357"/>
      <c r="BC86" s="357"/>
      <c r="BD86" s="357"/>
      <c r="BE86" s="357"/>
      <c r="BF86" s="357"/>
      <c r="BG86" s="357"/>
      <c r="BH86" s="357"/>
      <c r="BI86" s="357"/>
      <c r="BJ86" s="357"/>
      <c r="BK86" s="357"/>
      <c r="BL86" s="357"/>
      <c r="BM86" s="357"/>
      <c r="BN86" s="357"/>
      <c r="BO86" s="357"/>
      <c r="BP86" s="357"/>
      <c r="BQ86" s="357"/>
      <c r="BR86" s="357"/>
      <c r="BS86" s="357"/>
      <c r="BT86" s="357"/>
      <c r="BU86" s="357"/>
      <c r="BV86" s="357"/>
      <c r="BW86" s="357"/>
      <c r="BX86" s="357"/>
      <c r="BY86" s="357"/>
      <c r="BZ86" s="357"/>
      <c r="CA86" s="357"/>
      <c r="CB86" s="357"/>
      <c r="CC86" s="357"/>
      <c r="CD86" s="357"/>
      <c r="CE86" s="357"/>
      <c r="CF86" s="357"/>
      <c r="CG86" s="357"/>
      <c r="CH86" s="357"/>
      <c r="CI86" s="357"/>
      <c r="CJ86" s="357"/>
      <c r="CK86" s="357"/>
      <c r="CL86" s="357"/>
      <c r="CM86" s="357"/>
      <c r="CN86" s="357"/>
      <c r="CO86" s="357"/>
      <c r="CP86" s="357"/>
      <c r="CQ86" s="357"/>
      <c r="CR86" s="357"/>
      <c r="CS86" s="357"/>
      <c r="CT86" s="357"/>
      <c r="CU86" s="357"/>
      <c r="CV86" s="357"/>
      <c r="CW86" s="357"/>
      <c r="CX86" s="357"/>
      <c r="CY86" s="357"/>
      <c r="CZ86" s="357"/>
      <c r="DA86" s="357"/>
      <c r="DB86" s="357"/>
      <c r="DC86" s="357"/>
      <c r="DD86" s="357"/>
      <c r="DE86" s="357"/>
      <c r="DF86" s="357"/>
      <c r="DG86" s="357"/>
      <c r="DH86" s="357"/>
      <c r="DI86" s="357"/>
      <c r="DJ86" s="357"/>
      <c r="DK86" s="357"/>
      <c r="DL86" s="357"/>
      <c r="DM86" s="357"/>
      <c r="DN86" s="357"/>
      <c r="DO86" s="357"/>
      <c r="DP86" s="357"/>
      <c r="DQ86" s="357"/>
      <c r="DR86" s="357"/>
      <c r="DS86" s="357"/>
      <c r="DT86" s="357"/>
      <c r="DU86" s="357"/>
      <c r="DV86" s="357"/>
      <c r="DW86" s="357"/>
      <c r="DX86" s="357"/>
      <c r="DY86" s="357"/>
      <c r="DZ86" s="357"/>
      <c r="EA86" s="357"/>
      <c r="EB86" s="357"/>
      <c r="EC86" s="357"/>
      <c r="ED86" s="357"/>
      <c r="EE86" s="357"/>
      <c r="EF86" s="357"/>
      <c r="EG86" s="357"/>
      <c r="EH86" s="357"/>
      <c r="EI86" s="357"/>
      <c r="EJ86" s="357"/>
      <c r="EK86" s="357"/>
      <c r="EL86" s="357"/>
      <c r="EM86" s="357"/>
      <c r="EN86" s="357"/>
      <c r="EO86" s="357"/>
      <c r="EP86" s="357"/>
      <c r="EQ86" s="357"/>
      <c r="ER86" s="357"/>
      <c r="ES86" s="357"/>
      <c r="ET86" s="357"/>
      <c r="EU86" s="357"/>
      <c r="EV86" s="357"/>
      <c r="EW86" s="357"/>
      <c r="EX86" s="357"/>
      <c r="EY86" s="357"/>
      <c r="EZ86" s="357"/>
      <c r="FA86" s="357"/>
      <c r="FB86" s="357"/>
      <c r="FC86" s="357"/>
      <c r="FD86" s="357"/>
      <c r="FE86" s="357"/>
      <c r="FF86" s="357"/>
      <c r="FG86" s="357"/>
      <c r="FH86" s="357"/>
      <c r="FI86" s="357"/>
      <c r="FJ86" s="357"/>
      <c r="FK86" s="357"/>
      <c r="FL86" s="357"/>
      <c r="FM86" s="357"/>
      <c r="FN86" s="357"/>
      <c r="FO86" s="357"/>
      <c r="FP86" s="357"/>
      <c r="FQ86" s="357"/>
      <c r="FR86" s="357"/>
      <c r="FS86" s="357"/>
      <c r="FT86" s="357"/>
      <c r="FU86" s="357"/>
      <c r="FV86" s="357"/>
      <c r="FW86" s="357"/>
      <c r="FX86" s="357"/>
      <c r="FY86" s="357"/>
      <c r="FZ86" s="357"/>
      <c r="GA86" s="357"/>
      <c r="GB86" s="357"/>
      <c r="GC86" s="357"/>
      <c r="GD86" s="357"/>
      <c r="GE86" s="357"/>
      <c r="GF86" s="357"/>
      <c r="GG86" s="357"/>
      <c r="GH86" s="357"/>
      <c r="GI86" s="357"/>
      <c r="GJ86" s="357"/>
      <c r="GK86" s="154"/>
      <c r="GL86" s="154"/>
      <c r="GM86" s="154"/>
      <c r="GN86" s="154"/>
      <c r="GO86" s="154"/>
      <c r="GP86" s="154"/>
      <c r="GQ86" s="154"/>
      <c r="GR86" s="154"/>
      <c r="GS86" s="154"/>
      <c r="GT86" s="154"/>
      <c r="GU86" s="154"/>
      <c r="GV86" s="154"/>
      <c r="GW86" s="154"/>
      <c r="GX86" s="154"/>
    </row>
    <row r="87" spans="7:206">
      <c r="G87" s="154"/>
      <c r="H87" s="154"/>
      <c r="I87" s="154"/>
      <c r="J87" s="154"/>
      <c r="K87" s="154"/>
      <c r="L87" s="154"/>
      <c r="M87" s="154"/>
      <c r="N87" s="154"/>
      <c r="O87" s="154"/>
      <c r="P87" s="154"/>
      <c r="Q87" s="154"/>
      <c r="R87" s="154"/>
      <c r="S87" s="154"/>
      <c r="T87" s="154"/>
      <c r="U87" s="154"/>
      <c r="V87" s="154"/>
      <c r="W87" s="154"/>
      <c r="X87" s="154"/>
      <c r="Y87" s="154"/>
      <c r="Z87" s="357"/>
      <c r="AA87" s="357"/>
      <c r="AB87" s="357"/>
      <c r="AC87" s="357"/>
      <c r="AD87" s="357"/>
      <c r="AE87" s="357"/>
      <c r="AF87" s="357"/>
      <c r="AG87" s="357"/>
      <c r="AH87" s="357"/>
      <c r="AI87" s="357"/>
      <c r="AJ87" s="357"/>
      <c r="AK87" s="357"/>
      <c r="AL87" s="357"/>
      <c r="AM87" s="357"/>
      <c r="AN87" s="357"/>
      <c r="AO87" s="357"/>
      <c r="AP87" s="357"/>
      <c r="AQ87" s="357"/>
      <c r="AR87" s="357"/>
      <c r="AS87" s="357"/>
      <c r="AT87" s="357"/>
      <c r="AU87" s="357"/>
      <c r="AV87" s="357"/>
      <c r="AW87" s="357"/>
      <c r="AX87" s="357"/>
      <c r="AY87" s="357"/>
      <c r="AZ87" s="357"/>
      <c r="BA87" s="357"/>
      <c r="BB87" s="357"/>
      <c r="BC87" s="357"/>
      <c r="BD87" s="357"/>
      <c r="BE87" s="357"/>
      <c r="BF87" s="357"/>
      <c r="BG87" s="357"/>
      <c r="BH87" s="357"/>
      <c r="BI87" s="357"/>
      <c r="BJ87" s="357"/>
      <c r="BK87" s="357"/>
      <c r="BL87" s="357"/>
      <c r="BM87" s="357"/>
      <c r="BN87" s="357"/>
      <c r="BO87" s="357"/>
      <c r="BP87" s="357"/>
      <c r="BQ87" s="357"/>
      <c r="BR87" s="357"/>
      <c r="BS87" s="357"/>
      <c r="BT87" s="357"/>
      <c r="BU87" s="357"/>
      <c r="BV87" s="357"/>
      <c r="BW87" s="357"/>
      <c r="BX87" s="357"/>
      <c r="BY87" s="357"/>
      <c r="BZ87" s="357"/>
      <c r="CA87" s="357"/>
      <c r="CB87" s="357"/>
      <c r="CC87" s="357"/>
      <c r="CD87" s="357"/>
      <c r="CE87" s="357"/>
      <c r="CF87" s="357"/>
      <c r="CG87" s="357"/>
      <c r="CH87" s="357"/>
      <c r="CI87" s="357"/>
      <c r="CJ87" s="357"/>
      <c r="CK87" s="357"/>
      <c r="CL87" s="357"/>
      <c r="CM87" s="357"/>
      <c r="CN87" s="357"/>
      <c r="CO87" s="357"/>
      <c r="CP87" s="357"/>
      <c r="CQ87" s="357"/>
      <c r="CR87" s="357"/>
      <c r="CS87" s="357"/>
      <c r="CT87" s="357"/>
      <c r="CU87" s="357"/>
      <c r="CV87" s="357"/>
      <c r="CW87" s="357"/>
      <c r="CX87" s="357"/>
      <c r="CY87" s="357"/>
      <c r="CZ87" s="357"/>
      <c r="DA87" s="357"/>
      <c r="DB87" s="357"/>
      <c r="DC87" s="357"/>
      <c r="DD87" s="357"/>
      <c r="DE87" s="357"/>
      <c r="DF87" s="357"/>
      <c r="DG87" s="357"/>
      <c r="DH87" s="357"/>
      <c r="DI87" s="357"/>
      <c r="DJ87" s="357"/>
      <c r="DK87" s="357"/>
      <c r="DL87" s="357"/>
      <c r="DM87" s="357"/>
      <c r="DN87" s="357"/>
      <c r="DO87" s="357"/>
      <c r="DP87" s="357"/>
      <c r="DQ87" s="357"/>
      <c r="DR87" s="357"/>
      <c r="DS87" s="357"/>
      <c r="DT87" s="357"/>
      <c r="DU87" s="357"/>
      <c r="DV87" s="357"/>
      <c r="DW87" s="357"/>
      <c r="DX87" s="357"/>
      <c r="DY87" s="357"/>
      <c r="DZ87" s="357"/>
      <c r="EA87" s="357"/>
      <c r="EB87" s="357"/>
      <c r="EC87" s="357"/>
      <c r="ED87" s="357"/>
      <c r="EE87" s="357"/>
      <c r="EF87" s="357"/>
      <c r="EG87" s="357"/>
      <c r="EH87" s="357"/>
      <c r="EI87" s="357"/>
      <c r="EJ87" s="357"/>
      <c r="EK87" s="357"/>
      <c r="EL87" s="357"/>
      <c r="EM87" s="357"/>
      <c r="EN87" s="357"/>
      <c r="EO87" s="357"/>
      <c r="EP87" s="357"/>
      <c r="EQ87" s="357"/>
      <c r="ER87" s="357"/>
      <c r="ES87" s="357"/>
      <c r="ET87" s="357"/>
      <c r="EU87" s="357"/>
      <c r="EV87" s="357"/>
      <c r="EW87" s="357"/>
      <c r="EX87" s="357"/>
      <c r="EY87" s="357"/>
      <c r="EZ87" s="357"/>
      <c r="FA87" s="357"/>
      <c r="FB87" s="357"/>
      <c r="FC87" s="357"/>
      <c r="FD87" s="357"/>
      <c r="FE87" s="357"/>
      <c r="FF87" s="357"/>
      <c r="FG87" s="357"/>
      <c r="FH87" s="357"/>
      <c r="FI87" s="357"/>
      <c r="FJ87" s="357"/>
      <c r="FK87" s="357"/>
      <c r="FL87" s="357"/>
      <c r="FM87" s="357"/>
      <c r="FN87" s="357"/>
      <c r="FO87" s="357"/>
      <c r="FP87" s="357"/>
      <c r="FQ87" s="357"/>
      <c r="FR87" s="357"/>
      <c r="FS87" s="357"/>
      <c r="FT87" s="357"/>
      <c r="FU87" s="357"/>
      <c r="FV87" s="357"/>
      <c r="FW87" s="357"/>
      <c r="FX87" s="357"/>
      <c r="FY87" s="357"/>
      <c r="FZ87" s="357"/>
      <c r="GA87" s="357"/>
      <c r="GB87" s="357"/>
      <c r="GC87" s="357"/>
      <c r="GD87" s="357"/>
      <c r="GE87" s="357"/>
      <c r="GF87" s="357"/>
      <c r="GG87" s="357"/>
      <c r="GH87" s="357"/>
      <c r="GI87" s="357"/>
      <c r="GJ87" s="357"/>
      <c r="GK87" s="154"/>
      <c r="GL87" s="154"/>
      <c r="GM87" s="154"/>
      <c r="GN87" s="154"/>
      <c r="GO87" s="154"/>
      <c r="GP87" s="154"/>
      <c r="GQ87" s="154"/>
      <c r="GR87" s="154"/>
      <c r="GS87" s="154"/>
      <c r="GT87" s="154"/>
      <c r="GU87" s="154"/>
      <c r="GV87" s="154"/>
      <c r="GW87" s="154"/>
      <c r="GX87" s="154"/>
    </row>
    <row r="88" spans="7:206">
      <c r="G88" s="154"/>
      <c r="H88" s="154"/>
      <c r="I88" s="154"/>
      <c r="J88" s="154"/>
      <c r="K88" s="154"/>
      <c r="L88" s="154"/>
      <c r="M88" s="154"/>
      <c r="N88" s="154"/>
      <c r="O88" s="154"/>
      <c r="P88" s="154"/>
      <c r="Q88" s="154"/>
      <c r="R88" s="154"/>
      <c r="S88" s="154"/>
      <c r="T88" s="154"/>
      <c r="U88" s="154"/>
      <c r="V88" s="154"/>
      <c r="W88" s="154"/>
      <c r="X88" s="154"/>
      <c r="Y88" s="154"/>
      <c r="Z88" s="357"/>
      <c r="AA88" s="357"/>
      <c r="AB88" s="357"/>
      <c r="AC88" s="357"/>
      <c r="AD88" s="357"/>
      <c r="AE88" s="357"/>
      <c r="AF88" s="357"/>
      <c r="AG88" s="357"/>
      <c r="AH88" s="357"/>
      <c r="AI88" s="357"/>
      <c r="AJ88" s="357"/>
      <c r="AK88" s="357"/>
      <c r="AL88" s="357"/>
      <c r="AM88" s="357"/>
      <c r="AN88" s="357"/>
      <c r="AO88" s="357"/>
      <c r="AP88" s="357"/>
      <c r="AQ88" s="357"/>
      <c r="AR88" s="357"/>
      <c r="AS88" s="357"/>
      <c r="AT88" s="357"/>
      <c r="AU88" s="357"/>
      <c r="AV88" s="357"/>
      <c r="AW88" s="357"/>
      <c r="AX88" s="357"/>
      <c r="AY88" s="357"/>
      <c r="AZ88" s="357"/>
      <c r="BA88" s="357"/>
      <c r="BB88" s="357"/>
      <c r="BC88" s="357"/>
      <c r="BD88" s="357"/>
      <c r="BE88" s="357"/>
      <c r="BF88" s="357"/>
      <c r="BG88" s="357"/>
      <c r="BH88" s="357"/>
      <c r="BI88" s="357"/>
      <c r="BJ88" s="357"/>
      <c r="BK88" s="357"/>
      <c r="BL88" s="357"/>
      <c r="BM88" s="357"/>
      <c r="BN88" s="357"/>
      <c r="BO88" s="357"/>
      <c r="BP88" s="357"/>
      <c r="BQ88" s="357"/>
      <c r="BR88" s="357"/>
      <c r="BS88" s="357"/>
      <c r="BT88" s="357"/>
      <c r="BU88" s="357"/>
      <c r="BV88" s="357"/>
      <c r="BW88" s="357"/>
      <c r="BX88" s="357"/>
      <c r="BY88" s="357"/>
      <c r="BZ88" s="357"/>
      <c r="CA88" s="357"/>
      <c r="CB88" s="357"/>
      <c r="CC88" s="357"/>
      <c r="CD88" s="357"/>
      <c r="CE88" s="357"/>
      <c r="CF88" s="357"/>
      <c r="CG88" s="357"/>
      <c r="CH88" s="357"/>
      <c r="CI88" s="357"/>
      <c r="CJ88" s="357"/>
      <c r="CK88" s="357"/>
      <c r="CL88" s="357"/>
      <c r="CM88" s="357"/>
      <c r="CN88" s="357"/>
      <c r="CO88" s="357"/>
      <c r="CP88" s="357"/>
      <c r="CQ88" s="357"/>
      <c r="CR88" s="357"/>
      <c r="CS88" s="357"/>
      <c r="CT88" s="357"/>
      <c r="CU88" s="357"/>
      <c r="CV88" s="357"/>
      <c r="CW88" s="357"/>
      <c r="CX88" s="357"/>
      <c r="CY88" s="357"/>
      <c r="CZ88" s="357"/>
      <c r="DA88" s="357"/>
      <c r="DB88" s="357"/>
      <c r="DC88" s="357"/>
      <c r="DD88" s="357"/>
      <c r="DE88" s="357"/>
      <c r="DF88" s="357"/>
      <c r="DG88" s="357"/>
      <c r="DH88" s="357"/>
      <c r="DI88" s="357"/>
      <c r="DJ88" s="357"/>
      <c r="DK88" s="357"/>
      <c r="DL88" s="357"/>
      <c r="DM88" s="357"/>
      <c r="DN88" s="357"/>
      <c r="DO88" s="357"/>
      <c r="DP88" s="357"/>
      <c r="DQ88" s="357"/>
      <c r="DR88" s="357"/>
      <c r="DS88" s="357"/>
      <c r="DT88" s="357"/>
      <c r="DU88" s="357"/>
      <c r="DV88" s="357"/>
      <c r="DW88" s="357"/>
      <c r="DX88" s="357"/>
      <c r="DY88" s="357"/>
      <c r="DZ88" s="357"/>
      <c r="EA88" s="357"/>
      <c r="EB88" s="357"/>
      <c r="EC88" s="357"/>
      <c r="ED88" s="357"/>
      <c r="EE88" s="357"/>
      <c r="EF88" s="357"/>
      <c r="EG88" s="357"/>
      <c r="EH88" s="357"/>
      <c r="EI88" s="357"/>
      <c r="EJ88" s="357"/>
      <c r="EK88" s="357"/>
      <c r="EL88" s="357"/>
      <c r="EM88" s="357"/>
      <c r="EN88" s="357"/>
      <c r="EO88" s="357"/>
      <c r="EP88" s="357"/>
      <c r="EQ88" s="357"/>
      <c r="ER88" s="357"/>
      <c r="ES88" s="357"/>
      <c r="ET88" s="357"/>
      <c r="EU88" s="357"/>
      <c r="EV88" s="357"/>
      <c r="EW88" s="357"/>
      <c r="EX88" s="357"/>
      <c r="EY88" s="357"/>
      <c r="EZ88" s="357"/>
      <c r="FA88" s="357"/>
      <c r="FB88" s="357"/>
      <c r="FC88" s="357"/>
      <c r="FD88" s="357"/>
      <c r="FE88" s="357"/>
      <c r="FF88" s="357"/>
      <c r="FG88" s="357"/>
      <c r="FH88" s="357"/>
      <c r="FI88" s="357"/>
      <c r="FJ88" s="357"/>
      <c r="FK88" s="357"/>
      <c r="FL88" s="357"/>
      <c r="FM88" s="357"/>
      <c r="FN88" s="357"/>
      <c r="FO88" s="357"/>
      <c r="FP88" s="357"/>
      <c r="FQ88" s="357"/>
      <c r="FR88" s="357"/>
      <c r="FS88" s="357"/>
      <c r="FT88" s="357"/>
      <c r="FU88" s="357"/>
      <c r="FV88" s="357"/>
      <c r="FW88" s="357"/>
      <c r="FX88" s="357"/>
      <c r="FY88" s="357"/>
      <c r="FZ88" s="357"/>
      <c r="GA88" s="357"/>
      <c r="GB88" s="357"/>
      <c r="GC88" s="357"/>
      <c r="GD88" s="357"/>
      <c r="GE88" s="357"/>
      <c r="GF88" s="357"/>
      <c r="GG88" s="357"/>
      <c r="GH88" s="357"/>
      <c r="GI88" s="357"/>
      <c r="GJ88" s="357"/>
      <c r="GK88" s="154"/>
      <c r="GL88" s="154"/>
      <c r="GM88" s="154"/>
      <c r="GN88" s="154"/>
      <c r="GO88" s="154"/>
      <c r="GP88" s="154"/>
      <c r="GQ88" s="154"/>
      <c r="GR88" s="154"/>
      <c r="GS88" s="154"/>
      <c r="GT88" s="154"/>
      <c r="GU88" s="154"/>
      <c r="GV88" s="154"/>
      <c r="GW88" s="154"/>
      <c r="GX88" s="154"/>
    </row>
    <row r="89" spans="7:206">
      <c r="G89" s="154"/>
      <c r="H89" s="154"/>
      <c r="I89" s="154"/>
      <c r="J89" s="154"/>
      <c r="K89" s="154"/>
      <c r="L89" s="154"/>
      <c r="M89" s="154"/>
      <c r="N89" s="154"/>
      <c r="O89" s="154"/>
      <c r="P89" s="154"/>
      <c r="Q89" s="154"/>
      <c r="R89" s="154"/>
      <c r="S89" s="154"/>
      <c r="T89" s="154"/>
      <c r="U89" s="154"/>
      <c r="V89" s="154"/>
      <c r="W89" s="154"/>
      <c r="X89" s="154"/>
      <c r="Y89" s="154"/>
      <c r="Z89" s="357"/>
      <c r="AA89" s="357"/>
      <c r="AB89" s="357"/>
      <c r="AC89" s="357"/>
      <c r="AD89" s="357"/>
      <c r="AE89" s="357"/>
      <c r="AF89" s="357"/>
      <c r="AG89" s="357"/>
      <c r="AH89" s="357"/>
      <c r="AI89" s="357"/>
      <c r="AJ89" s="357"/>
      <c r="AK89" s="357"/>
      <c r="AL89" s="357"/>
      <c r="AM89" s="357"/>
      <c r="AN89" s="357"/>
      <c r="AO89" s="357"/>
      <c r="AP89" s="357"/>
      <c r="AQ89" s="357"/>
      <c r="AR89" s="357"/>
      <c r="AS89" s="357"/>
      <c r="AT89" s="357"/>
      <c r="AU89" s="357"/>
      <c r="AV89" s="357"/>
      <c r="AW89" s="357"/>
      <c r="AX89" s="357"/>
      <c r="AY89" s="357"/>
      <c r="AZ89" s="357"/>
      <c r="BA89" s="357"/>
      <c r="BB89" s="357"/>
      <c r="BC89" s="357"/>
      <c r="BD89" s="357"/>
      <c r="BE89" s="357"/>
      <c r="BF89" s="357"/>
      <c r="BG89" s="357"/>
      <c r="BH89" s="357"/>
      <c r="BI89" s="357"/>
      <c r="BJ89" s="357"/>
      <c r="BK89" s="357"/>
      <c r="BL89" s="357"/>
      <c r="BM89" s="357"/>
      <c r="BN89" s="357"/>
      <c r="BO89" s="357"/>
      <c r="BP89" s="357"/>
      <c r="BQ89" s="357"/>
      <c r="BR89" s="357"/>
      <c r="BS89" s="357"/>
      <c r="BT89" s="357"/>
      <c r="BU89" s="357"/>
      <c r="BV89" s="357"/>
      <c r="BW89" s="357"/>
      <c r="BX89" s="357"/>
      <c r="BY89" s="357"/>
      <c r="BZ89" s="357"/>
      <c r="CA89" s="357"/>
      <c r="CB89" s="357"/>
      <c r="CC89" s="357"/>
      <c r="CD89" s="357"/>
      <c r="CE89" s="357"/>
      <c r="CF89" s="357"/>
      <c r="CG89" s="357"/>
      <c r="CH89" s="357"/>
      <c r="CI89" s="357"/>
      <c r="CJ89" s="357"/>
      <c r="CK89" s="357"/>
      <c r="CL89" s="357"/>
      <c r="CM89" s="357"/>
      <c r="CN89" s="357"/>
      <c r="CO89" s="357"/>
      <c r="CP89" s="357"/>
      <c r="CQ89" s="357"/>
      <c r="CR89" s="357"/>
      <c r="CS89" s="357"/>
      <c r="CT89" s="357"/>
      <c r="CU89" s="357"/>
      <c r="CV89" s="357"/>
      <c r="CW89" s="357"/>
      <c r="CX89" s="357"/>
      <c r="CY89" s="357"/>
      <c r="CZ89" s="357"/>
      <c r="DA89" s="357"/>
      <c r="DB89" s="357"/>
      <c r="DC89" s="357"/>
      <c r="DD89" s="357"/>
      <c r="DE89" s="357"/>
      <c r="DF89" s="357"/>
      <c r="DG89" s="357"/>
      <c r="DH89" s="357"/>
      <c r="DI89" s="357"/>
      <c r="DJ89" s="357"/>
      <c r="DK89" s="357"/>
      <c r="DL89" s="357"/>
      <c r="DM89" s="357"/>
      <c r="DN89" s="357"/>
      <c r="DO89" s="357"/>
      <c r="DP89" s="357"/>
      <c r="DQ89" s="357"/>
      <c r="DR89" s="357"/>
      <c r="DS89" s="357"/>
      <c r="DT89" s="357"/>
      <c r="DU89" s="357"/>
      <c r="DV89" s="357"/>
      <c r="DW89" s="357"/>
      <c r="DX89" s="357"/>
      <c r="DY89" s="357"/>
      <c r="DZ89" s="357"/>
      <c r="EA89" s="357"/>
      <c r="EB89" s="357"/>
      <c r="EC89" s="357"/>
      <c r="ED89" s="357"/>
      <c r="EE89" s="357"/>
      <c r="EF89" s="357"/>
      <c r="EG89" s="357"/>
      <c r="EH89" s="357"/>
      <c r="EI89" s="357"/>
      <c r="EJ89" s="357"/>
      <c r="EK89" s="357"/>
      <c r="EL89" s="357"/>
      <c r="EM89" s="357"/>
      <c r="EN89" s="357"/>
      <c r="EO89" s="357"/>
      <c r="EP89" s="357"/>
      <c r="EQ89" s="357"/>
      <c r="ER89" s="357"/>
      <c r="ES89" s="357"/>
      <c r="ET89" s="357"/>
      <c r="EU89" s="357"/>
      <c r="EV89" s="357"/>
      <c r="EW89" s="357"/>
      <c r="EX89" s="357"/>
      <c r="EY89" s="357"/>
      <c r="EZ89" s="357"/>
      <c r="FA89" s="357"/>
      <c r="FB89" s="357"/>
      <c r="FC89" s="357"/>
      <c r="FD89" s="357"/>
      <c r="FE89" s="357"/>
      <c r="FF89" s="357"/>
      <c r="FG89" s="357"/>
      <c r="FH89" s="357"/>
      <c r="FI89" s="357"/>
      <c r="FJ89" s="357"/>
      <c r="FK89" s="357"/>
      <c r="FL89" s="357"/>
      <c r="FM89" s="357"/>
      <c r="FN89" s="357"/>
      <c r="FO89" s="357"/>
      <c r="FP89" s="357"/>
      <c r="FQ89" s="357"/>
      <c r="FR89" s="357"/>
      <c r="FS89" s="357"/>
      <c r="FT89" s="357"/>
      <c r="FU89" s="357"/>
      <c r="FV89" s="357"/>
      <c r="FW89" s="357"/>
      <c r="FX89" s="357"/>
      <c r="FY89" s="357"/>
      <c r="FZ89" s="357"/>
      <c r="GA89" s="357"/>
      <c r="GB89" s="357"/>
      <c r="GC89" s="357"/>
      <c r="GD89" s="357"/>
      <c r="GE89" s="357"/>
      <c r="GF89" s="357"/>
      <c r="GG89" s="357"/>
      <c r="GH89" s="357"/>
      <c r="GI89" s="357"/>
      <c r="GJ89" s="357"/>
      <c r="GK89" s="154"/>
      <c r="GL89" s="154"/>
      <c r="GM89" s="154"/>
      <c r="GN89" s="154"/>
      <c r="GO89" s="154"/>
      <c r="GP89" s="154"/>
      <c r="GQ89" s="154"/>
      <c r="GR89" s="154"/>
      <c r="GS89" s="154"/>
      <c r="GT89" s="154"/>
      <c r="GU89" s="154"/>
      <c r="GV89" s="154"/>
      <c r="GW89" s="154"/>
      <c r="GX89" s="154"/>
    </row>
    <row r="90" spans="7:206">
      <c r="G90" s="154"/>
      <c r="H90" s="154"/>
      <c r="I90" s="154"/>
      <c r="J90" s="154"/>
      <c r="K90" s="154"/>
      <c r="L90" s="154"/>
      <c r="M90" s="154"/>
      <c r="N90" s="154"/>
      <c r="O90" s="154"/>
      <c r="P90" s="154"/>
      <c r="Q90" s="154"/>
      <c r="R90" s="154"/>
      <c r="S90" s="154"/>
      <c r="T90" s="154"/>
      <c r="U90" s="154"/>
      <c r="V90" s="154"/>
      <c r="W90" s="154"/>
      <c r="X90" s="154"/>
      <c r="Y90" s="154"/>
      <c r="Z90" s="357"/>
      <c r="AA90" s="357"/>
      <c r="AB90" s="357"/>
      <c r="AC90" s="357"/>
      <c r="AD90" s="357"/>
      <c r="AE90" s="357"/>
      <c r="AF90" s="357"/>
      <c r="AG90" s="357"/>
      <c r="AH90" s="357"/>
      <c r="AI90" s="357"/>
      <c r="AJ90" s="357"/>
      <c r="AK90" s="357"/>
      <c r="AL90" s="357"/>
      <c r="AM90" s="357"/>
      <c r="AN90" s="357"/>
      <c r="AO90" s="357"/>
      <c r="AP90" s="357"/>
      <c r="AQ90" s="357"/>
      <c r="AR90" s="357"/>
      <c r="AS90" s="357"/>
      <c r="AT90" s="357"/>
      <c r="AU90" s="357"/>
      <c r="AV90" s="357"/>
      <c r="AW90" s="357"/>
      <c r="AX90" s="357"/>
      <c r="AY90" s="357"/>
      <c r="AZ90" s="357"/>
      <c r="BA90" s="357"/>
      <c r="BB90" s="357"/>
      <c r="BC90" s="357"/>
      <c r="BD90" s="357"/>
      <c r="BE90" s="357"/>
      <c r="BF90" s="357"/>
      <c r="BG90" s="357"/>
      <c r="BH90" s="357"/>
      <c r="BI90" s="357"/>
      <c r="BJ90" s="357"/>
      <c r="BK90" s="357"/>
      <c r="BL90" s="357"/>
      <c r="BM90" s="357"/>
      <c r="BN90" s="357"/>
      <c r="BO90" s="357"/>
      <c r="BP90" s="357"/>
      <c r="BQ90" s="357"/>
      <c r="BR90" s="357"/>
      <c r="BS90" s="357"/>
      <c r="BT90" s="357"/>
      <c r="BU90" s="357"/>
      <c r="BV90" s="357"/>
      <c r="BW90" s="357"/>
      <c r="BX90" s="357"/>
      <c r="BY90" s="357"/>
      <c r="BZ90" s="357"/>
      <c r="CA90" s="357"/>
      <c r="CB90" s="357"/>
      <c r="CC90" s="357"/>
      <c r="CD90" s="357"/>
      <c r="CE90" s="357"/>
      <c r="CF90" s="357"/>
      <c r="CG90" s="357"/>
      <c r="CH90" s="357"/>
      <c r="CI90" s="357"/>
      <c r="CJ90" s="357"/>
      <c r="CK90" s="357"/>
      <c r="CL90" s="357"/>
      <c r="CM90" s="357"/>
      <c r="CN90" s="357"/>
      <c r="CO90" s="357"/>
      <c r="CP90" s="357"/>
      <c r="CQ90" s="357"/>
      <c r="CR90" s="357"/>
      <c r="CS90" s="357"/>
      <c r="CT90" s="357"/>
      <c r="CU90" s="357"/>
      <c r="CV90" s="357"/>
      <c r="CW90" s="357"/>
      <c r="CX90" s="357"/>
      <c r="CY90" s="357"/>
      <c r="CZ90" s="357"/>
      <c r="DA90" s="357"/>
      <c r="DB90" s="357"/>
      <c r="DC90" s="357"/>
      <c r="DD90" s="357"/>
      <c r="DE90" s="357"/>
      <c r="DF90" s="357"/>
      <c r="DG90" s="357"/>
      <c r="DH90" s="357"/>
      <c r="DI90" s="357"/>
      <c r="DJ90" s="357"/>
      <c r="DK90" s="357"/>
      <c r="DL90" s="357"/>
      <c r="DM90" s="357"/>
      <c r="DN90" s="357"/>
      <c r="DO90" s="357"/>
      <c r="DP90" s="357"/>
      <c r="DQ90" s="357"/>
      <c r="DR90" s="357"/>
      <c r="DS90" s="357"/>
      <c r="DT90" s="357"/>
      <c r="DU90" s="357"/>
      <c r="DV90" s="357"/>
      <c r="DW90" s="357"/>
      <c r="DX90" s="357"/>
      <c r="DY90" s="357"/>
      <c r="DZ90" s="357"/>
      <c r="EA90" s="357"/>
      <c r="EB90" s="357"/>
      <c r="EC90" s="357"/>
      <c r="ED90" s="357"/>
      <c r="EE90" s="357"/>
      <c r="EF90" s="357"/>
      <c r="EG90" s="357"/>
      <c r="EH90" s="357"/>
      <c r="EI90" s="357"/>
      <c r="EJ90" s="357"/>
      <c r="EK90" s="357"/>
      <c r="EL90" s="357"/>
      <c r="EM90" s="357"/>
      <c r="EN90" s="357"/>
      <c r="EO90" s="357"/>
      <c r="EP90" s="357"/>
      <c r="EQ90" s="357"/>
      <c r="ER90" s="357"/>
      <c r="ES90" s="357"/>
      <c r="ET90" s="357"/>
      <c r="EU90" s="357"/>
      <c r="EV90" s="357"/>
      <c r="EW90" s="357"/>
      <c r="EX90" s="357"/>
      <c r="EY90" s="357"/>
      <c r="EZ90" s="357"/>
      <c r="FA90" s="357"/>
      <c r="FB90" s="357"/>
      <c r="FC90" s="357"/>
      <c r="FD90" s="357"/>
      <c r="FE90" s="357"/>
      <c r="FF90" s="357"/>
      <c r="FG90" s="357"/>
      <c r="FH90" s="357"/>
      <c r="FI90" s="357"/>
      <c r="FJ90" s="357"/>
      <c r="FK90" s="357"/>
      <c r="FL90" s="357"/>
      <c r="FM90" s="357"/>
      <c r="FN90" s="357"/>
      <c r="FO90" s="357"/>
      <c r="FP90" s="357"/>
      <c r="FQ90" s="357"/>
      <c r="FR90" s="357"/>
      <c r="FS90" s="357"/>
      <c r="FT90" s="357"/>
      <c r="FU90" s="357"/>
      <c r="FV90" s="357"/>
      <c r="FW90" s="357"/>
      <c r="FX90" s="357"/>
      <c r="FY90" s="357"/>
      <c r="FZ90" s="357"/>
      <c r="GA90" s="357"/>
      <c r="GB90" s="357"/>
      <c r="GC90" s="357"/>
      <c r="GD90" s="357"/>
      <c r="GE90" s="357"/>
      <c r="GF90" s="357"/>
      <c r="GG90" s="357"/>
      <c r="GH90" s="357"/>
      <c r="GI90" s="357"/>
      <c r="GJ90" s="357"/>
      <c r="GK90" s="154"/>
      <c r="GL90" s="154"/>
      <c r="GM90" s="154"/>
      <c r="GN90" s="154"/>
      <c r="GO90" s="154"/>
      <c r="GP90" s="154"/>
      <c r="GQ90" s="154"/>
      <c r="GR90" s="154"/>
      <c r="GS90" s="154"/>
      <c r="GT90" s="154"/>
      <c r="GU90" s="154"/>
      <c r="GV90" s="154"/>
      <c r="GW90" s="154"/>
      <c r="GX90" s="154"/>
    </row>
    <row r="91" spans="7:206">
      <c r="G91" s="154"/>
      <c r="H91" s="154"/>
      <c r="I91" s="154"/>
      <c r="J91" s="154"/>
      <c r="K91" s="154"/>
      <c r="L91" s="154"/>
      <c r="M91" s="154"/>
      <c r="N91" s="154"/>
      <c r="O91" s="154"/>
      <c r="P91" s="154"/>
      <c r="Q91" s="154"/>
      <c r="R91" s="154"/>
      <c r="S91" s="154"/>
      <c r="T91" s="154"/>
      <c r="U91" s="154"/>
      <c r="V91" s="154"/>
      <c r="W91" s="154"/>
      <c r="X91" s="154"/>
      <c r="Y91" s="154"/>
      <c r="Z91" s="357"/>
      <c r="AA91" s="357"/>
      <c r="AB91" s="357"/>
      <c r="AC91" s="357"/>
      <c r="AD91" s="357"/>
      <c r="AE91" s="357"/>
      <c r="AF91" s="357"/>
      <c r="AG91" s="357"/>
      <c r="AH91" s="357"/>
      <c r="AI91" s="357"/>
      <c r="AJ91" s="357"/>
      <c r="AK91" s="357"/>
      <c r="AL91" s="357"/>
      <c r="AM91" s="357"/>
      <c r="AN91" s="357"/>
      <c r="AO91" s="357"/>
      <c r="AP91" s="357"/>
      <c r="AQ91" s="357"/>
      <c r="AR91" s="357"/>
      <c r="AS91" s="357"/>
      <c r="AT91" s="357"/>
      <c r="AU91" s="357"/>
      <c r="AV91" s="357"/>
      <c r="AW91" s="357"/>
      <c r="AX91" s="357"/>
      <c r="AY91" s="357"/>
      <c r="AZ91" s="357"/>
      <c r="BA91" s="357"/>
      <c r="BB91" s="357"/>
      <c r="BC91" s="357"/>
      <c r="BD91" s="357"/>
      <c r="BE91" s="357"/>
      <c r="BF91" s="357"/>
      <c r="BG91" s="357"/>
      <c r="BH91" s="357"/>
      <c r="BI91" s="357"/>
      <c r="BJ91" s="357"/>
      <c r="BK91" s="357"/>
      <c r="BL91" s="357"/>
      <c r="BM91" s="357"/>
      <c r="BN91" s="357"/>
      <c r="BO91" s="357"/>
      <c r="BP91" s="357"/>
      <c r="BQ91" s="357"/>
      <c r="BR91" s="357"/>
      <c r="BS91" s="357"/>
      <c r="BT91" s="357"/>
      <c r="BU91" s="357"/>
      <c r="BV91" s="357"/>
      <c r="BW91" s="357"/>
      <c r="BX91" s="357"/>
      <c r="BY91" s="357"/>
      <c r="BZ91" s="357"/>
      <c r="CA91" s="357"/>
      <c r="CB91" s="357"/>
      <c r="CC91" s="357"/>
      <c r="CD91" s="357"/>
      <c r="CE91" s="357"/>
      <c r="CF91" s="357"/>
      <c r="CG91" s="357"/>
      <c r="CH91" s="357"/>
      <c r="CI91" s="357"/>
      <c r="CJ91" s="357"/>
      <c r="CK91" s="357"/>
      <c r="CL91" s="357"/>
      <c r="CM91" s="357"/>
      <c r="CN91" s="357"/>
      <c r="CO91" s="357"/>
      <c r="CP91" s="357"/>
      <c r="CQ91" s="357"/>
      <c r="CR91" s="357"/>
      <c r="CS91" s="357"/>
      <c r="CT91" s="357"/>
      <c r="CU91" s="357"/>
      <c r="CV91" s="357"/>
      <c r="CW91" s="357"/>
      <c r="CX91" s="357"/>
      <c r="CY91" s="357"/>
      <c r="CZ91" s="357"/>
      <c r="DA91" s="357"/>
      <c r="DB91" s="357"/>
      <c r="DC91" s="357"/>
      <c r="DD91" s="357"/>
      <c r="DE91" s="357"/>
      <c r="DF91" s="357"/>
      <c r="DG91" s="357"/>
      <c r="DH91" s="357"/>
      <c r="DI91" s="357"/>
      <c r="DJ91" s="357"/>
      <c r="DK91" s="357"/>
      <c r="DL91" s="357"/>
      <c r="DM91" s="357"/>
      <c r="DN91" s="357"/>
      <c r="DO91" s="357"/>
      <c r="DP91" s="357"/>
      <c r="DQ91" s="357"/>
      <c r="DR91" s="357"/>
      <c r="DS91" s="357"/>
      <c r="DT91" s="357"/>
      <c r="DU91" s="357"/>
      <c r="DV91" s="357"/>
      <c r="DW91" s="357"/>
      <c r="DX91" s="357"/>
      <c r="DY91" s="357"/>
      <c r="DZ91" s="357"/>
      <c r="EA91" s="357"/>
      <c r="EB91" s="357"/>
      <c r="EC91" s="357"/>
      <c r="ED91" s="357"/>
      <c r="EE91" s="357"/>
      <c r="EF91" s="357"/>
      <c r="EG91" s="357"/>
      <c r="EH91" s="357"/>
      <c r="EI91" s="357"/>
      <c r="EJ91" s="357"/>
      <c r="EK91" s="357"/>
      <c r="EL91" s="357"/>
      <c r="EM91" s="357"/>
      <c r="EN91" s="357"/>
      <c r="EO91" s="357"/>
      <c r="EP91" s="357"/>
      <c r="EQ91" s="357"/>
      <c r="ER91" s="357"/>
      <c r="ES91" s="357"/>
      <c r="ET91" s="357"/>
      <c r="EU91" s="357"/>
      <c r="EV91" s="357"/>
      <c r="EW91" s="357"/>
      <c r="EX91" s="357"/>
      <c r="EY91" s="357"/>
      <c r="EZ91" s="357"/>
      <c r="FA91" s="357"/>
      <c r="FB91" s="357"/>
      <c r="FC91" s="357"/>
      <c r="FD91" s="357"/>
      <c r="FE91" s="357"/>
      <c r="FF91" s="357"/>
      <c r="FG91" s="357"/>
      <c r="FH91" s="357"/>
      <c r="FI91" s="357"/>
      <c r="FJ91" s="357"/>
      <c r="FK91" s="357"/>
      <c r="FL91" s="357"/>
      <c r="FM91" s="357"/>
      <c r="FN91" s="357"/>
      <c r="FO91" s="357"/>
      <c r="FP91" s="357"/>
      <c r="FQ91" s="357"/>
      <c r="FR91" s="357"/>
      <c r="FS91" s="357"/>
      <c r="FT91" s="357"/>
      <c r="FU91" s="357"/>
      <c r="FV91" s="357"/>
      <c r="FW91" s="357"/>
      <c r="FX91" s="357"/>
      <c r="FY91" s="357"/>
      <c r="FZ91" s="357"/>
      <c r="GA91" s="357"/>
      <c r="GB91" s="357"/>
      <c r="GC91" s="357"/>
      <c r="GD91" s="357"/>
      <c r="GE91" s="357"/>
      <c r="GF91" s="357"/>
      <c r="GG91" s="357"/>
      <c r="GH91" s="357"/>
      <c r="GI91" s="357"/>
      <c r="GJ91" s="357"/>
      <c r="GK91" s="154"/>
      <c r="GL91" s="154"/>
      <c r="GM91" s="154"/>
      <c r="GN91" s="154"/>
      <c r="GO91" s="154"/>
      <c r="GP91" s="154"/>
      <c r="GQ91" s="154"/>
      <c r="GR91" s="154"/>
      <c r="GS91" s="154"/>
      <c r="GT91" s="154"/>
      <c r="GU91" s="154"/>
      <c r="GV91" s="154"/>
      <c r="GW91" s="154"/>
      <c r="GX91" s="154"/>
    </row>
    <row r="92" spans="7:206">
      <c r="G92" s="154"/>
      <c r="H92" s="154"/>
      <c r="I92" s="154"/>
      <c r="J92" s="154"/>
      <c r="K92" s="154"/>
      <c r="L92" s="154"/>
      <c r="M92" s="154"/>
      <c r="N92" s="154"/>
      <c r="O92" s="154"/>
      <c r="P92" s="154"/>
      <c r="Q92" s="154"/>
      <c r="R92" s="154"/>
      <c r="S92" s="154"/>
      <c r="T92" s="154"/>
      <c r="U92" s="154"/>
      <c r="V92" s="154"/>
      <c r="W92" s="154"/>
      <c r="X92" s="154"/>
      <c r="Y92" s="154"/>
      <c r="Z92" s="357"/>
      <c r="AA92" s="357"/>
      <c r="AB92" s="357"/>
      <c r="AC92" s="357"/>
      <c r="AD92" s="357"/>
      <c r="AE92" s="357"/>
      <c r="AF92" s="357"/>
      <c r="AG92" s="357"/>
      <c r="AH92" s="357"/>
      <c r="AI92" s="357"/>
      <c r="AJ92" s="357"/>
      <c r="AK92" s="357"/>
      <c r="AL92" s="357"/>
      <c r="AM92" s="357"/>
      <c r="AN92" s="357"/>
      <c r="AO92" s="357"/>
      <c r="AP92" s="357"/>
      <c r="AQ92" s="357"/>
      <c r="AR92" s="357"/>
      <c r="AS92" s="357"/>
      <c r="AT92" s="357"/>
      <c r="AU92" s="357"/>
      <c r="AV92" s="357"/>
      <c r="AW92" s="357"/>
      <c r="AX92" s="357"/>
      <c r="AY92" s="357"/>
      <c r="AZ92" s="357"/>
      <c r="BA92" s="357"/>
      <c r="BB92" s="357"/>
      <c r="BC92" s="357"/>
      <c r="BD92" s="357"/>
      <c r="BE92" s="357"/>
      <c r="BF92" s="357"/>
      <c r="BG92" s="357"/>
      <c r="BH92" s="357"/>
      <c r="BI92" s="357"/>
      <c r="BJ92" s="357"/>
      <c r="BK92" s="357"/>
      <c r="BL92" s="357"/>
      <c r="BM92" s="357"/>
      <c r="BN92" s="357"/>
      <c r="BO92" s="357"/>
      <c r="BP92" s="357"/>
      <c r="BQ92" s="357"/>
      <c r="BR92" s="357"/>
      <c r="BS92" s="357"/>
      <c r="BT92" s="357"/>
      <c r="BU92" s="357"/>
      <c r="BV92" s="357"/>
      <c r="BW92" s="357"/>
      <c r="BX92" s="357"/>
      <c r="BY92" s="357"/>
      <c r="BZ92" s="357"/>
      <c r="CA92" s="357"/>
      <c r="CB92" s="357"/>
      <c r="CC92" s="357"/>
      <c r="CD92" s="357"/>
      <c r="CE92" s="357"/>
      <c r="CF92" s="357"/>
      <c r="CG92" s="357"/>
      <c r="CH92" s="357"/>
      <c r="CI92" s="357"/>
      <c r="CJ92" s="357"/>
      <c r="CK92" s="357"/>
      <c r="CL92" s="357"/>
      <c r="CM92" s="357"/>
      <c r="CN92" s="357"/>
      <c r="CO92" s="357"/>
      <c r="CP92" s="357"/>
      <c r="CQ92" s="357"/>
      <c r="CR92" s="357"/>
      <c r="CS92" s="357"/>
      <c r="CT92" s="357"/>
      <c r="CU92" s="357"/>
      <c r="CV92" s="357"/>
      <c r="CW92" s="357"/>
      <c r="CX92" s="357"/>
      <c r="CY92" s="357"/>
      <c r="CZ92" s="357"/>
      <c r="DA92" s="357"/>
      <c r="DB92" s="357"/>
      <c r="DC92" s="357"/>
      <c r="DD92" s="357"/>
      <c r="DE92" s="357"/>
      <c r="DF92" s="357"/>
      <c r="DG92" s="357"/>
      <c r="DH92" s="357"/>
      <c r="DI92" s="357"/>
      <c r="DJ92" s="357"/>
      <c r="DK92" s="357"/>
      <c r="DL92" s="357"/>
      <c r="DM92" s="357"/>
      <c r="DN92" s="357"/>
      <c r="DO92" s="357"/>
      <c r="DP92" s="357"/>
      <c r="DQ92" s="357"/>
      <c r="DR92" s="357"/>
      <c r="DS92" s="357"/>
      <c r="DT92" s="357"/>
      <c r="DU92" s="357"/>
      <c r="DV92" s="357"/>
      <c r="DW92" s="357"/>
      <c r="DX92" s="357"/>
      <c r="DY92" s="357"/>
      <c r="DZ92" s="357"/>
      <c r="EA92" s="357"/>
      <c r="EB92" s="357"/>
      <c r="EC92" s="357"/>
      <c r="ED92" s="357"/>
      <c r="EE92" s="357"/>
      <c r="EF92" s="357"/>
      <c r="EG92" s="357"/>
      <c r="EH92" s="357"/>
      <c r="EI92" s="357"/>
      <c r="EJ92" s="357"/>
      <c r="EK92" s="357"/>
      <c r="EL92" s="357"/>
      <c r="EM92" s="357"/>
      <c r="EN92" s="357"/>
      <c r="EO92" s="357"/>
      <c r="EP92" s="357"/>
      <c r="EQ92" s="357"/>
      <c r="ER92" s="357"/>
      <c r="ES92" s="357"/>
      <c r="ET92" s="357"/>
      <c r="EU92" s="357"/>
      <c r="EV92" s="357"/>
      <c r="EW92" s="357"/>
      <c r="EX92" s="357"/>
      <c r="EY92" s="357"/>
      <c r="EZ92" s="357"/>
      <c r="FA92" s="357"/>
      <c r="FB92" s="357"/>
      <c r="FC92" s="357"/>
      <c r="FD92" s="357"/>
      <c r="FE92" s="357"/>
      <c r="FF92" s="357"/>
      <c r="FG92" s="357"/>
      <c r="FH92" s="357"/>
      <c r="FI92" s="357"/>
      <c r="FJ92" s="357"/>
      <c r="FK92" s="357"/>
      <c r="FL92" s="357"/>
      <c r="FM92" s="357"/>
      <c r="FN92" s="357"/>
      <c r="FO92" s="357"/>
      <c r="FP92" s="357"/>
      <c r="FQ92" s="357"/>
      <c r="FR92" s="357"/>
      <c r="FS92" s="357"/>
      <c r="FT92" s="357"/>
      <c r="FU92" s="357"/>
      <c r="FV92" s="357"/>
      <c r="FW92" s="357"/>
      <c r="FX92" s="357"/>
      <c r="FY92" s="357"/>
      <c r="FZ92" s="357"/>
      <c r="GA92" s="357"/>
      <c r="GB92" s="357"/>
      <c r="GC92" s="357"/>
      <c r="GD92" s="357"/>
      <c r="GE92" s="357"/>
      <c r="GF92" s="357"/>
      <c r="GG92" s="357"/>
      <c r="GH92" s="357"/>
      <c r="GI92" s="357"/>
      <c r="GJ92" s="357"/>
      <c r="GK92" s="154"/>
      <c r="GL92" s="154"/>
      <c r="GM92" s="154"/>
      <c r="GN92" s="154"/>
      <c r="GO92" s="154"/>
      <c r="GP92" s="154"/>
      <c r="GQ92" s="154"/>
      <c r="GR92" s="154"/>
      <c r="GS92" s="154"/>
      <c r="GT92" s="154"/>
      <c r="GU92" s="154"/>
      <c r="GV92" s="154"/>
      <c r="GW92" s="154"/>
      <c r="GX92" s="154"/>
    </row>
    <row r="93" spans="7:206">
      <c r="G93" s="154"/>
      <c r="H93" s="154"/>
      <c r="I93" s="154"/>
      <c r="J93" s="154"/>
      <c r="K93" s="154"/>
      <c r="L93" s="154"/>
      <c r="M93" s="154"/>
      <c r="N93" s="154"/>
      <c r="O93" s="154"/>
      <c r="P93" s="154"/>
      <c r="Q93" s="154"/>
      <c r="R93" s="154"/>
      <c r="S93" s="154"/>
      <c r="T93" s="154"/>
      <c r="U93" s="154"/>
      <c r="V93" s="154"/>
      <c r="W93" s="154"/>
      <c r="X93" s="154"/>
      <c r="Y93" s="154"/>
      <c r="Z93" s="357"/>
      <c r="AA93" s="357"/>
      <c r="AB93" s="357"/>
      <c r="AC93" s="357"/>
      <c r="AD93" s="357"/>
      <c r="AE93" s="357"/>
      <c r="AF93" s="357"/>
      <c r="AG93" s="357"/>
      <c r="AH93" s="357"/>
      <c r="AI93" s="357"/>
      <c r="AJ93" s="357"/>
      <c r="AK93" s="357"/>
      <c r="AL93" s="357"/>
      <c r="AM93" s="357"/>
      <c r="AN93" s="357"/>
      <c r="AO93" s="357"/>
      <c r="AP93" s="357"/>
      <c r="AQ93" s="357"/>
      <c r="AR93" s="357"/>
      <c r="AS93" s="357"/>
      <c r="AT93" s="357"/>
      <c r="AU93" s="357"/>
      <c r="AV93" s="357"/>
      <c r="AW93" s="357"/>
      <c r="AX93" s="357"/>
      <c r="AY93" s="357"/>
      <c r="AZ93" s="357"/>
      <c r="BA93" s="357"/>
      <c r="BB93" s="357"/>
      <c r="BC93" s="357"/>
      <c r="BD93" s="357"/>
      <c r="BE93" s="357"/>
      <c r="BF93" s="357"/>
      <c r="BG93" s="357"/>
      <c r="BH93" s="357"/>
      <c r="BI93" s="357"/>
      <c r="BJ93" s="357"/>
      <c r="BK93" s="357"/>
      <c r="BL93" s="357"/>
      <c r="BM93" s="357"/>
      <c r="BN93" s="357"/>
      <c r="BO93" s="357"/>
      <c r="BP93" s="357"/>
      <c r="BQ93" s="357"/>
      <c r="BR93" s="357"/>
      <c r="BS93" s="357"/>
      <c r="BT93" s="357"/>
      <c r="BU93" s="357"/>
      <c r="BV93" s="357"/>
      <c r="BW93" s="357"/>
      <c r="BX93" s="357"/>
      <c r="BY93" s="357"/>
      <c r="BZ93" s="357"/>
      <c r="CA93" s="357"/>
      <c r="CB93" s="357"/>
      <c r="CC93" s="357"/>
      <c r="CD93" s="357"/>
      <c r="CE93" s="357"/>
      <c r="CF93" s="357"/>
      <c r="CG93" s="357"/>
      <c r="CH93" s="357"/>
      <c r="CI93" s="357"/>
      <c r="CJ93" s="357"/>
      <c r="CK93" s="357"/>
      <c r="CL93" s="357"/>
      <c r="CM93" s="357"/>
      <c r="CN93" s="357"/>
      <c r="CO93" s="357"/>
      <c r="CP93" s="357"/>
      <c r="CQ93" s="357"/>
      <c r="CR93" s="357"/>
      <c r="CS93" s="357"/>
      <c r="CT93" s="357"/>
      <c r="CU93" s="357"/>
      <c r="CV93" s="357"/>
      <c r="CW93" s="357"/>
      <c r="CX93" s="357"/>
      <c r="CY93" s="357"/>
      <c r="CZ93" s="357"/>
      <c r="DA93" s="357"/>
      <c r="DB93" s="357"/>
      <c r="DC93" s="357"/>
      <c r="DD93" s="357"/>
      <c r="DE93" s="357"/>
      <c r="DF93" s="357"/>
      <c r="DG93" s="357"/>
      <c r="DH93" s="357"/>
      <c r="DI93" s="357"/>
      <c r="DJ93" s="357"/>
      <c r="DK93" s="357"/>
      <c r="DL93" s="357"/>
      <c r="DM93" s="357"/>
      <c r="DN93" s="357"/>
      <c r="DO93" s="357"/>
      <c r="DP93" s="357"/>
      <c r="DQ93" s="357"/>
      <c r="DR93" s="357"/>
      <c r="DS93" s="357"/>
      <c r="DT93" s="357"/>
      <c r="DU93" s="357"/>
      <c r="DV93" s="357"/>
      <c r="DW93" s="357"/>
      <c r="DX93" s="357"/>
      <c r="DY93" s="357"/>
      <c r="DZ93" s="357"/>
      <c r="EA93" s="357"/>
      <c r="EB93" s="357"/>
      <c r="EC93" s="357"/>
      <c r="ED93" s="357"/>
      <c r="EE93" s="357"/>
      <c r="EF93" s="357"/>
      <c r="EG93" s="357"/>
      <c r="EH93" s="357"/>
      <c r="EI93" s="357"/>
      <c r="EJ93" s="357"/>
      <c r="EK93" s="357"/>
      <c r="EL93" s="357"/>
      <c r="EM93" s="357"/>
      <c r="EN93" s="357"/>
      <c r="EO93" s="357"/>
      <c r="EP93" s="357"/>
      <c r="EQ93" s="357"/>
      <c r="ER93" s="357"/>
      <c r="ES93" s="357"/>
      <c r="ET93" s="357"/>
      <c r="EU93" s="357"/>
      <c r="EV93" s="357"/>
      <c r="EW93" s="357"/>
      <c r="EX93" s="357"/>
      <c r="EY93" s="357"/>
      <c r="EZ93" s="357"/>
      <c r="FA93" s="357"/>
      <c r="FB93" s="357"/>
      <c r="FC93" s="357"/>
      <c r="FD93" s="357"/>
      <c r="FE93" s="357"/>
      <c r="FF93" s="357"/>
      <c r="FG93" s="357"/>
      <c r="FH93" s="357"/>
      <c r="FI93" s="357"/>
      <c r="FJ93" s="357"/>
      <c r="FK93" s="357"/>
      <c r="FL93" s="357"/>
      <c r="FM93" s="357"/>
      <c r="FN93" s="357"/>
      <c r="FO93" s="357"/>
      <c r="FP93" s="357"/>
      <c r="FQ93" s="357"/>
      <c r="FR93" s="357"/>
      <c r="FS93" s="357"/>
      <c r="FT93" s="357"/>
      <c r="FU93" s="357"/>
      <c r="FV93" s="357"/>
      <c r="FW93" s="357"/>
      <c r="FX93" s="357"/>
      <c r="FY93" s="357"/>
      <c r="FZ93" s="357"/>
      <c r="GA93" s="357"/>
      <c r="GB93" s="357"/>
      <c r="GC93" s="357"/>
      <c r="GD93" s="357"/>
      <c r="GE93" s="357"/>
      <c r="GF93" s="357"/>
      <c r="GG93" s="357"/>
      <c r="GH93" s="357"/>
      <c r="GI93" s="357"/>
      <c r="GJ93" s="357"/>
      <c r="GK93" s="154"/>
      <c r="GL93" s="154"/>
      <c r="GM93" s="154"/>
      <c r="GN93" s="154"/>
      <c r="GO93" s="154"/>
      <c r="GP93" s="154"/>
      <c r="GQ93" s="154"/>
      <c r="GR93" s="154"/>
      <c r="GS93" s="154"/>
      <c r="GT93" s="154"/>
      <c r="GU93" s="154"/>
      <c r="GV93" s="154"/>
      <c r="GW93" s="154"/>
      <c r="GX93" s="154"/>
    </row>
    <row r="94" spans="7:206">
      <c r="G94" s="154"/>
      <c r="H94" s="154"/>
      <c r="I94" s="154"/>
      <c r="J94" s="154"/>
      <c r="K94" s="154"/>
      <c r="L94" s="154"/>
      <c r="M94" s="154"/>
      <c r="N94" s="154"/>
      <c r="O94" s="154"/>
      <c r="P94" s="154"/>
      <c r="Q94" s="154"/>
      <c r="R94" s="154"/>
      <c r="S94" s="154"/>
      <c r="T94" s="154"/>
      <c r="U94" s="154"/>
      <c r="V94" s="154"/>
      <c r="W94" s="154"/>
      <c r="X94" s="154"/>
      <c r="Y94" s="154"/>
      <c r="Z94" s="357"/>
      <c r="AA94" s="357"/>
      <c r="AB94" s="357"/>
      <c r="AC94" s="357"/>
      <c r="AD94" s="357"/>
      <c r="AE94" s="357"/>
      <c r="AF94" s="357"/>
      <c r="AG94" s="357"/>
      <c r="AH94" s="357"/>
      <c r="AI94" s="357"/>
      <c r="AJ94" s="357"/>
      <c r="AK94" s="357"/>
      <c r="AL94" s="357"/>
      <c r="AM94" s="357"/>
      <c r="AN94" s="357"/>
      <c r="AO94" s="357"/>
      <c r="AP94" s="357"/>
      <c r="AQ94" s="357"/>
      <c r="AR94" s="357"/>
      <c r="AS94" s="357"/>
      <c r="AT94" s="357"/>
      <c r="AU94" s="357"/>
      <c r="AV94" s="357"/>
      <c r="AW94" s="357"/>
      <c r="AX94" s="357"/>
      <c r="AY94" s="357"/>
      <c r="AZ94" s="357"/>
      <c r="BA94" s="357"/>
      <c r="BB94" s="357"/>
      <c r="BC94" s="357"/>
      <c r="BD94" s="357"/>
      <c r="BE94" s="357"/>
      <c r="BF94" s="357"/>
      <c r="BG94" s="357"/>
      <c r="BH94" s="357"/>
      <c r="BI94" s="357"/>
      <c r="BJ94" s="357"/>
      <c r="BK94" s="357"/>
      <c r="BL94" s="357"/>
      <c r="BM94" s="357"/>
      <c r="BN94" s="357"/>
      <c r="BO94" s="357"/>
      <c r="BP94" s="357"/>
      <c r="BQ94" s="357"/>
      <c r="BR94" s="357"/>
      <c r="BS94" s="357"/>
      <c r="BT94" s="357"/>
      <c r="BU94" s="357"/>
      <c r="BV94" s="357"/>
      <c r="BW94" s="357"/>
      <c r="BX94" s="357"/>
      <c r="BY94" s="357"/>
      <c r="BZ94" s="357"/>
      <c r="CA94" s="357"/>
      <c r="CB94" s="357"/>
      <c r="CC94" s="357"/>
      <c r="CD94" s="357"/>
      <c r="CE94" s="357"/>
      <c r="CF94" s="357"/>
      <c r="CG94" s="357"/>
      <c r="CH94" s="357"/>
      <c r="CI94" s="357"/>
      <c r="CJ94" s="357"/>
      <c r="CK94" s="357"/>
      <c r="CL94" s="357"/>
      <c r="CM94" s="357"/>
      <c r="CN94" s="357"/>
      <c r="CO94" s="357"/>
      <c r="CP94" s="357"/>
      <c r="CQ94" s="357"/>
      <c r="CR94" s="357"/>
      <c r="CS94" s="357"/>
      <c r="CT94" s="357"/>
      <c r="CU94" s="357"/>
      <c r="CV94" s="357"/>
      <c r="CW94" s="357"/>
      <c r="CX94" s="357"/>
      <c r="CY94" s="357"/>
      <c r="CZ94" s="357"/>
      <c r="DA94" s="357"/>
      <c r="DB94" s="357"/>
      <c r="DC94" s="357"/>
      <c r="DD94" s="357"/>
      <c r="DE94" s="357"/>
      <c r="DF94" s="357"/>
      <c r="DG94" s="357"/>
      <c r="DH94" s="357"/>
      <c r="DI94" s="357"/>
      <c r="DJ94" s="357"/>
      <c r="DK94" s="357"/>
      <c r="DL94" s="357"/>
      <c r="DM94" s="357"/>
      <c r="DN94" s="357"/>
      <c r="DO94" s="357"/>
      <c r="DP94" s="357"/>
      <c r="DQ94" s="357"/>
      <c r="DR94" s="357"/>
      <c r="DS94" s="357"/>
      <c r="DT94" s="357"/>
      <c r="DU94" s="357"/>
      <c r="DV94" s="357"/>
      <c r="DW94" s="357"/>
      <c r="DX94" s="357"/>
      <c r="DY94" s="357"/>
      <c r="DZ94" s="357"/>
      <c r="EA94" s="357"/>
      <c r="EB94" s="357"/>
      <c r="EC94" s="357"/>
      <c r="ED94" s="357"/>
      <c r="EE94" s="357"/>
      <c r="EF94" s="357"/>
      <c r="EG94" s="357"/>
      <c r="EH94" s="357"/>
      <c r="EI94" s="357"/>
      <c r="EJ94" s="357"/>
      <c r="EK94" s="357"/>
      <c r="EL94" s="357"/>
      <c r="EM94" s="357"/>
      <c r="EN94" s="357"/>
      <c r="EO94" s="357"/>
      <c r="EP94" s="357"/>
      <c r="EQ94" s="357"/>
      <c r="ER94" s="357"/>
      <c r="ES94" s="357"/>
      <c r="ET94" s="357"/>
      <c r="EU94" s="357"/>
      <c r="EV94" s="357"/>
      <c r="EW94" s="357"/>
      <c r="EX94" s="357"/>
      <c r="EY94" s="357"/>
      <c r="EZ94" s="357"/>
      <c r="FA94" s="357"/>
      <c r="FB94" s="357"/>
      <c r="FC94" s="357"/>
      <c r="FD94" s="357"/>
      <c r="FE94" s="357"/>
      <c r="FF94" s="357"/>
      <c r="FG94" s="357"/>
      <c r="FH94" s="357"/>
      <c r="FI94" s="357"/>
      <c r="FJ94" s="357"/>
      <c r="FK94" s="357"/>
      <c r="FL94" s="357"/>
      <c r="FM94" s="357"/>
      <c r="FN94" s="357"/>
      <c r="FO94" s="357"/>
      <c r="FP94" s="357"/>
      <c r="FQ94" s="357"/>
      <c r="FR94" s="357"/>
      <c r="FS94" s="357"/>
      <c r="FT94" s="357"/>
      <c r="FU94" s="357"/>
      <c r="FV94" s="357"/>
      <c r="FW94" s="357"/>
      <c r="FX94" s="357"/>
      <c r="FY94" s="357"/>
      <c r="FZ94" s="357"/>
      <c r="GA94" s="357"/>
      <c r="GB94" s="357"/>
      <c r="GC94" s="357"/>
      <c r="GD94" s="357"/>
      <c r="GE94" s="357"/>
      <c r="GF94" s="357"/>
      <c r="GG94" s="357"/>
      <c r="GH94" s="357"/>
      <c r="GI94" s="357"/>
      <c r="GJ94" s="357"/>
      <c r="GK94" s="154"/>
      <c r="GL94" s="154"/>
      <c r="GM94" s="154"/>
      <c r="GN94" s="154"/>
      <c r="GO94" s="154"/>
      <c r="GP94" s="154"/>
      <c r="GQ94" s="154"/>
      <c r="GR94" s="154"/>
      <c r="GS94" s="154"/>
      <c r="GT94" s="154"/>
      <c r="GU94" s="154"/>
      <c r="GV94" s="154"/>
      <c r="GW94" s="154"/>
      <c r="GX94" s="154"/>
    </row>
    <row r="95" spans="7:206">
      <c r="G95" s="154"/>
      <c r="H95" s="154"/>
      <c r="I95" s="154"/>
      <c r="J95" s="154"/>
      <c r="K95" s="154"/>
      <c r="L95" s="154"/>
      <c r="M95" s="154"/>
      <c r="N95" s="154"/>
      <c r="O95" s="154"/>
      <c r="P95" s="154"/>
      <c r="Q95" s="154"/>
      <c r="R95" s="154"/>
      <c r="S95" s="154"/>
      <c r="T95" s="154"/>
      <c r="U95" s="154"/>
      <c r="V95" s="154"/>
      <c r="W95" s="154"/>
      <c r="X95" s="154"/>
      <c r="Y95" s="154"/>
      <c r="Z95" s="357"/>
      <c r="AA95" s="357"/>
      <c r="AB95" s="357"/>
      <c r="AC95" s="357"/>
      <c r="AD95" s="357"/>
      <c r="AE95" s="357"/>
      <c r="AF95" s="357"/>
      <c r="AG95" s="357"/>
      <c r="AH95" s="357"/>
      <c r="AI95" s="357"/>
      <c r="AJ95" s="357"/>
      <c r="AK95" s="357"/>
      <c r="AL95" s="357"/>
      <c r="AM95" s="357"/>
      <c r="AN95" s="357"/>
      <c r="AO95" s="357"/>
      <c r="AP95" s="357"/>
      <c r="AQ95" s="357"/>
      <c r="AR95" s="357"/>
      <c r="AS95" s="357"/>
      <c r="AT95" s="357"/>
      <c r="AU95" s="357"/>
      <c r="AV95" s="357"/>
      <c r="AW95" s="357"/>
      <c r="AX95" s="357"/>
      <c r="AY95" s="357"/>
      <c r="AZ95" s="357"/>
      <c r="BA95" s="357"/>
      <c r="BB95" s="357"/>
      <c r="BC95" s="357"/>
      <c r="BD95" s="357"/>
      <c r="BE95" s="357"/>
      <c r="BF95" s="357"/>
      <c r="BG95" s="357"/>
      <c r="BH95" s="357"/>
      <c r="BI95" s="357"/>
      <c r="BJ95" s="357"/>
      <c r="BK95" s="357"/>
      <c r="BL95" s="357"/>
      <c r="BM95" s="357"/>
      <c r="BN95" s="357"/>
      <c r="BO95" s="357"/>
      <c r="BP95" s="357"/>
      <c r="BQ95" s="357"/>
      <c r="BR95" s="357"/>
      <c r="BS95" s="357"/>
      <c r="BT95" s="357"/>
      <c r="BU95" s="357"/>
      <c r="BV95" s="357"/>
      <c r="BW95" s="357"/>
      <c r="BX95" s="357"/>
      <c r="BY95" s="357"/>
      <c r="BZ95" s="357"/>
      <c r="CA95" s="357"/>
      <c r="CB95" s="357"/>
      <c r="CC95" s="357"/>
      <c r="CD95" s="357"/>
      <c r="CE95" s="357"/>
      <c r="CF95" s="357"/>
      <c r="CG95" s="357"/>
      <c r="CH95" s="357"/>
      <c r="CI95" s="357"/>
      <c r="CJ95" s="357"/>
      <c r="CK95" s="357"/>
      <c r="CL95" s="357"/>
      <c r="CM95" s="357"/>
      <c r="CN95" s="357"/>
      <c r="CO95" s="357"/>
      <c r="CP95" s="357"/>
      <c r="CQ95" s="357"/>
      <c r="CR95" s="357"/>
      <c r="CS95" s="357"/>
      <c r="CT95" s="357"/>
      <c r="CU95" s="357"/>
      <c r="CV95" s="357"/>
      <c r="CW95" s="357"/>
      <c r="CX95" s="357"/>
      <c r="CY95" s="357"/>
      <c r="CZ95" s="357"/>
      <c r="DA95" s="357"/>
      <c r="DB95" s="357"/>
      <c r="DC95" s="357"/>
      <c r="DD95" s="357"/>
      <c r="DE95" s="357"/>
      <c r="DF95" s="357"/>
      <c r="DG95" s="357"/>
      <c r="DH95" s="357"/>
      <c r="DI95" s="357"/>
      <c r="DJ95" s="357"/>
      <c r="DK95" s="357"/>
      <c r="DL95" s="357"/>
      <c r="DM95" s="357"/>
      <c r="DN95" s="357"/>
      <c r="DO95" s="357"/>
      <c r="DP95" s="357"/>
      <c r="DQ95" s="357"/>
      <c r="DR95" s="357"/>
      <c r="DS95" s="357"/>
      <c r="DT95" s="357"/>
      <c r="DU95" s="357"/>
      <c r="DV95" s="357"/>
      <c r="DW95" s="357"/>
      <c r="DX95" s="357"/>
      <c r="DY95" s="357"/>
      <c r="DZ95" s="357"/>
      <c r="EA95" s="357"/>
      <c r="EB95" s="357"/>
      <c r="EC95" s="357"/>
      <c r="ED95" s="357"/>
      <c r="EE95" s="357"/>
      <c r="EF95" s="357"/>
      <c r="EG95" s="357"/>
      <c r="EH95" s="357"/>
      <c r="EI95" s="357"/>
      <c r="EJ95" s="357"/>
      <c r="EK95" s="357"/>
      <c r="EL95" s="357"/>
      <c r="EM95" s="357"/>
      <c r="EN95" s="357"/>
      <c r="EO95" s="357"/>
      <c r="EP95" s="357"/>
      <c r="EQ95" s="357"/>
      <c r="ER95" s="357"/>
      <c r="ES95" s="357"/>
      <c r="ET95" s="357"/>
      <c r="EU95" s="357"/>
      <c r="EV95" s="357"/>
      <c r="EW95" s="357"/>
      <c r="EX95" s="357"/>
      <c r="EY95" s="357"/>
      <c r="EZ95" s="357"/>
      <c r="FA95" s="357"/>
      <c r="FB95" s="357"/>
      <c r="FC95" s="357"/>
      <c r="FD95" s="357"/>
      <c r="FE95" s="357"/>
      <c r="FF95" s="357"/>
      <c r="FG95" s="357"/>
      <c r="FH95" s="357"/>
      <c r="FI95" s="357"/>
      <c r="FJ95" s="357"/>
      <c r="FK95" s="357"/>
      <c r="FL95" s="357"/>
      <c r="FM95" s="357"/>
      <c r="FN95" s="357"/>
      <c r="FO95" s="357"/>
      <c r="FP95" s="357"/>
      <c r="FQ95" s="357"/>
      <c r="FR95" s="357"/>
      <c r="FS95" s="357"/>
      <c r="FT95" s="357"/>
      <c r="FU95" s="357"/>
      <c r="FV95" s="357"/>
      <c r="FW95" s="357"/>
      <c r="FX95" s="357"/>
      <c r="FY95" s="357"/>
      <c r="FZ95" s="357"/>
      <c r="GA95" s="357"/>
      <c r="GB95" s="357"/>
      <c r="GC95" s="357"/>
      <c r="GD95" s="357"/>
      <c r="GE95" s="357"/>
      <c r="GF95" s="357"/>
      <c r="GG95" s="357"/>
      <c r="GH95" s="357"/>
      <c r="GI95" s="357"/>
      <c r="GJ95" s="357"/>
      <c r="GK95" s="154"/>
      <c r="GL95" s="154"/>
      <c r="GM95" s="154"/>
      <c r="GN95" s="154"/>
      <c r="GO95" s="154"/>
      <c r="GP95" s="154"/>
      <c r="GQ95" s="154"/>
      <c r="GR95" s="154"/>
      <c r="GS95" s="154"/>
      <c r="GT95" s="154"/>
      <c r="GU95" s="154"/>
      <c r="GV95" s="154"/>
      <c r="GW95" s="154"/>
      <c r="GX95" s="154"/>
    </row>
    <row r="96" spans="7:206">
      <c r="G96" s="154"/>
      <c r="H96" s="154"/>
      <c r="I96" s="154"/>
      <c r="J96" s="154"/>
      <c r="K96" s="154"/>
      <c r="L96" s="154"/>
      <c r="M96" s="154"/>
      <c r="N96" s="154"/>
      <c r="O96" s="154"/>
      <c r="P96" s="154"/>
      <c r="Q96" s="154"/>
      <c r="R96" s="154"/>
      <c r="S96" s="154"/>
      <c r="T96" s="154"/>
      <c r="U96" s="154"/>
      <c r="V96" s="154"/>
      <c r="W96" s="154"/>
      <c r="X96" s="154"/>
      <c r="Y96" s="154"/>
      <c r="Z96" s="357"/>
      <c r="AA96" s="357"/>
      <c r="AB96" s="357"/>
      <c r="AC96" s="357"/>
      <c r="AD96" s="357"/>
      <c r="AE96" s="357"/>
      <c r="AF96" s="357"/>
      <c r="AG96" s="357"/>
      <c r="AH96" s="357"/>
      <c r="AI96" s="357"/>
      <c r="AJ96" s="357"/>
      <c r="AK96" s="357"/>
      <c r="AL96" s="357"/>
      <c r="AM96" s="357"/>
      <c r="AN96" s="357"/>
      <c r="AO96" s="357"/>
      <c r="AP96" s="357"/>
      <c r="AQ96" s="357"/>
      <c r="AR96" s="357"/>
      <c r="AS96" s="357"/>
      <c r="AT96" s="357"/>
      <c r="AU96" s="357"/>
      <c r="AV96" s="357"/>
      <c r="AW96" s="357"/>
      <c r="AX96" s="357"/>
      <c r="AY96" s="357"/>
      <c r="AZ96" s="357"/>
      <c r="BA96" s="357"/>
      <c r="BB96" s="357"/>
      <c r="BC96" s="357"/>
      <c r="BD96" s="357"/>
      <c r="BE96" s="357"/>
      <c r="BF96" s="357"/>
      <c r="BG96" s="357"/>
      <c r="BH96" s="357"/>
      <c r="BI96" s="357"/>
      <c r="BJ96" s="357"/>
      <c r="BK96" s="357"/>
      <c r="BL96" s="357"/>
      <c r="BM96" s="357"/>
      <c r="BN96" s="357"/>
      <c r="BO96" s="357"/>
      <c r="BP96" s="357"/>
      <c r="BQ96" s="357"/>
      <c r="BR96" s="357"/>
      <c r="BS96" s="357"/>
      <c r="BT96" s="357"/>
      <c r="BU96" s="357"/>
      <c r="BV96" s="357"/>
      <c r="BW96" s="357"/>
      <c r="BX96" s="357"/>
      <c r="BY96" s="357"/>
      <c r="BZ96" s="357"/>
      <c r="CA96" s="357"/>
      <c r="CB96" s="357"/>
      <c r="CC96" s="357"/>
      <c r="CD96" s="357"/>
      <c r="CE96" s="357"/>
      <c r="CF96" s="357"/>
      <c r="CG96" s="357"/>
      <c r="CH96" s="357"/>
      <c r="CI96" s="357"/>
      <c r="CJ96" s="357"/>
      <c r="CK96" s="357"/>
      <c r="CL96" s="357"/>
      <c r="CM96" s="357"/>
      <c r="CN96" s="357"/>
      <c r="CO96" s="357"/>
      <c r="CP96" s="357"/>
      <c r="CQ96" s="357"/>
      <c r="CR96" s="357"/>
      <c r="CS96" s="357"/>
      <c r="CT96" s="357"/>
      <c r="CU96" s="357"/>
      <c r="CV96" s="357"/>
      <c r="CW96" s="357"/>
      <c r="CX96" s="357"/>
      <c r="CY96" s="357"/>
      <c r="CZ96" s="357"/>
      <c r="DA96" s="357"/>
      <c r="DB96" s="357"/>
      <c r="DC96" s="357"/>
      <c r="DD96" s="357"/>
      <c r="DE96" s="357"/>
      <c r="DF96" s="357"/>
      <c r="DG96" s="357"/>
      <c r="DH96" s="357"/>
      <c r="DI96" s="357"/>
      <c r="DJ96" s="357"/>
      <c r="DK96" s="357"/>
      <c r="DL96" s="357"/>
      <c r="DM96" s="357"/>
      <c r="DN96" s="357"/>
      <c r="DO96" s="357"/>
      <c r="DP96" s="357"/>
      <c r="DQ96" s="357"/>
      <c r="DR96" s="357"/>
      <c r="DS96" s="357"/>
      <c r="DT96" s="357"/>
      <c r="DU96" s="357"/>
      <c r="DV96" s="357"/>
      <c r="DW96" s="357"/>
      <c r="DX96" s="357"/>
      <c r="DY96" s="357"/>
      <c r="DZ96" s="357"/>
      <c r="EA96" s="357"/>
      <c r="EB96" s="357"/>
      <c r="EC96" s="357"/>
      <c r="ED96" s="357"/>
      <c r="EE96" s="357"/>
      <c r="EF96" s="357"/>
      <c r="EG96" s="357"/>
      <c r="EH96" s="357"/>
      <c r="EI96" s="357"/>
      <c r="EJ96" s="357"/>
      <c r="EK96" s="357"/>
      <c r="EL96" s="357"/>
      <c r="EM96" s="357"/>
      <c r="EN96" s="357"/>
      <c r="EO96" s="357"/>
      <c r="EP96" s="357"/>
      <c r="EQ96" s="357"/>
      <c r="ER96" s="357"/>
      <c r="ES96" s="357"/>
      <c r="ET96" s="357"/>
      <c r="EU96" s="357"/>
      <c r="EV96" s="357"/>
      <c r="EW96" s="357"/>
      <c r="EX96" s="357"/>
      <c r="EY96" s="357"/>
      <c r="EZ96" s="357"/>
      <c r="FA96" s="357"/>
      <c r="FB96" s="357"/>
      <c r="FC96" s="357"/>
      <c r="FD96" s="357"/>
      <c r="FE96" s="357"/>
      <c r="FF96" s="357"/>
      <c r="FG96" s="357"/>
      <c r="FH96" s="357"/>
      <c r="FI96" s="357"/>
      <c r="FJ96" s="357"/>
      <c r="FK96" s="357"/>
      <c r="FL96" s="357"/>
      <c r="FM96" s="357"/>
      <c r="FN96" s="357"/>
      <c r="FO96" s="357"/>
      <c r="FP96" s="357"/>
      <c r="FQ96" s="357"/>
      <c r="FR96" s="357"/>
      <c r="FS96" s="357"/>
      <c r="FT96" s="357"/>
      <c r="FU96" s="357"/>
      <c r="FV96" s="357"/>
      <c r="FW96" s="357"/>
      <c r="FX96" s="357"/>
      <c r="FY96" s="357"/>
      <c r="FZ96" s="357"/>
      <c r="GA96" s="357"/>
      <c r="GB96" s="357"/>
      <c r="GC96" s="357"/>
      <c r="GD96" s="357"/>
      <c r="GE96" s="357"/>
      <c r="GF96" s="357"/>
      <c r="GG96" s="357"/>
      <c r="GH96" s="357"/>
      <c r="GI96" s="357"/>
      <c r="GJ96" s="357"/>
      <c r="GK96" s="154"/>
      <c r="GL96" s="154"/>
      <c r="GM96" s="154"/>
      <c r="GN96" s="154"/>
      <c r="GO96" s="154"/>
      <c r="GP96" s="154"/>
      <c r="GQ96" s="154"/>
      <c r="GR96" s="154"/>
      <c r="GS96" s="154"/>
      <c r="GT96" s="154"/>
      <c r="GU96" s="154"/>
      <c r="GV96" s="154"/>
      <c r="GW96" s="154"/>
      <c r="GX96" s="154"/>
    </row>
    <row r="97" spans="7:206">
      <c r="G97" s="154"/>
      <c r="H97" s="154"/>
      <c r="I97" s="154"/>
      <c r="J97" s="154"/>
      <c r="K97" s="154"/>
      <c r="L97" s="154"/>
      <c r="M97" s="154"/>
      <c r="N97" s="154"/>
      <c r="O97" s="154"/>
      <c r="P97" s="154"/>
      <c r="Q97" s="154"/>
      <c r="R97" s="154"/>
      <c r="S97" s="154"/>
      <c r="T97" s="154"/>
      <c r="U97" s="154"/>
      <c r="V97" s="154"/>
      <c r="W97" s="154"/>
      <c r="X97" s="154"/>
      <c r="Y97" s="154"/>
      <c r="Z97" s="357"/>
      <c r="AA97" s="357"/>
      <c r="AB97" s="357"/>
      <c r="AC97" s="357"/>
      <c r="AD97" s="357"/>
      <c r="AE97" s="357"/>
      <c r="AF97" s="357"/>
      <c r="AG97" s="357"/>
      <c r="AH97" s="357"/>
      <c r="AI97" s="357"/>
      <c r="AJ97" s="357"/>
      <c r="AK97" s="357"/>
      <c r="AL97" s="357"/>
      <c r="AM97" s="357"/>
      <c r="AN97" s="357"/>
      <c r="AO97" s="357"/>
      <c r="AP97" s="357"/>
      <c r="AQ97" s="357"/>
      <c r="AR97" s="357"/>
      <c r="AS97" s="357"/>
      <c r="AT97" s="357"/>
      <c r="AU97" s="357"/>
      <c r="AV97" s="357"/>
      <c r="AW97" s="357"/>
      <c r="AX97" s="357"/>
      <c r="AY97" s="357"/>
      <c r="AZ97" s="357"/>
      <c r="BA97" s="357"/>
      <c r="BB97" s="357"/>
      <c r="BC97" s="357"/>
      <c r="BD97" s="357"/>
      <c r="BE97" s="357"/>
      <c r="BF97" s="357"/>
      <c r="BG97" s="357"/>
      <c r="BH97" s="357"/>
      <c r="BI97" s="357"/>
      <c r="BJ97" s="357"/>
      <c r="BK97" s="357"/>
      <c r="BL97" s="357"/>
      <c r="BM97" s="357"/>
      <c r="BN97" s="357"/>
      <c r="BO97" s="357"/>
      <c r="BP97" s="357"/>
      <c r="BQ97" s="357"/>
      <c r="BR97" s="357"/>
      <c r="BS97" s="357"/>
      <c r="BT97" s="357"/>
      <c r="BU97" s="357"/>
      <c r="BV97" s="357"/>
      <c r="BW97" s="357"/>
      <c r="BX97" s="357"/>
      <c r="BY97" s="357"/>
      <c r="BZ97" s="357"/>
      <c r="CA97" s="357"/>
      <c r="CB97" s="357"/>
      <c r="CC97" s="357"/>
      <c r="CD97" s="357"/>
      <c r="CE97" s="357"/>
      <c r="CF97" s="357"/>
      <c r="CG97" s="357"/>
      <c r="CH97" s="357"/>
      <c r="CI97" s="357"/>
      <c r="CJ97" s="357"/>
      <c r="CK97" s="357"/>
      <c r="CL97" s="357"/>
      <c r="CM97" s="357"/>
      <c r="CN97" s="357"/>
      <c r="CO97" s="357"/>
      <c r="CP97" s="357"/>
      <c r="CQ97" s="357"/>
      <c r="CR97" s="357"/>
      <c r="CS97" s="357"/>
      <c r="CT97" s="357"/>
      <c r="CU97" s="357"/>
      <c r="CV97" s="357"/>
      <c r="CW97" s="357"/>
      <c r="CX97" s="357"/>
      <c r="CY97" s="357"/>
      <c r="CZ97" s="357"/>
      <c r="DA97" s="357"/>
      <c r="DB97" s="357"/>
      <c r="DC97" s="357"/>
      <c r="DD97" s="357"/>
      <c r="DE97" s="357"/>
      <c r="DF97" s="357"/>
      <c r="DG97" s="357"/>
      <c r="DH97" s="357"/>
      <c r="DI97" s="357"/>
      <c r="DJ97" s="357"/>
      <c r="DK97" s="357"/>
      <c r="DL97" s="357"/>
      <c r="DM97" s="357"/>
      <c r="DN97" s="357"/>
      <c r="DO97" s="357"/>
      <c r="DP97" s="357"/>
      <c r="DQ97" s="357"/>
      <c r="DR97" s="357"/>
      <c r="DS97" s="357"/>
      <c r="DT97" s="357"/>
      <c r="DU97" s="357"/>
      <c r="DV97" s="357"/>
      <c r="DW97" s="357"/>
      <c r="DX97" s="357"/>
      <c r="DY97" s="357"/>
      <c r="DZ97" s="357"/>
      <c r="EA97" s="357"/>
      <c r="EB97" s="357"/>
      <c r="EC97" s="357"/>
      <c r="ED97" s="357"/>
      <c r="EE97" s="357"/>
      <c r="EF97" s="357"/>
      <c r="EG97" s="357"/>
      <c r="EH97" s="357"/>
      <c r="EI97" s="357"/>
      <c r="EJ97" s="357"/>
      <c r="EK97" s="357"/>
      <c r="EL97" s="357"/>
      <c r="EM97" s="357"/>
      <c r="EN97" s="357"/>
      <c r="EO97" s="357"/>
      <c r="EP97" s="357"/>
      <c r="EQ97" s="357"/>
      <c r="ER97" s="357"/>
      <c r="ES97" s="357"/>
      <c r="ET97" s="357"/>
      <c r="EU97" s="357"/>
      <c r="EV97" s="357"/>
      <c r="EW97" s="357"/>
      <c r="EX97" s="357"/>
      <c r="EY97" s="357"/>
      <c r="EZ97" s="357"/>
      <c r="FA97" s="357"/>
      <c r="FB97" s="357"/>
      <c r="FC97" s="357"/>
      <c r="FD97" s="357"/>
      <c r="FE97" s="357"/>
      <c r="FF97" s="357"/>
      <c r="FG97" s="357"/>
      <c r="FH97" s="357"/>
      <c r="FI97" s="357"/>
      <c r="FJ97" s="357"/>
      <c r="FK97" s="357"/>
      <c r="FL97" s="357"/>
      <c r="FM97" s="357"/>
      <c r="FN97" s="357"/>
      <c r="FO97" s="357"/>
      <c r="FP97" s="357"/>
      <c r="FQ97" s="357"/>
      <c r="FR97" s="357"/>
      <c r="FS97" s="357"/>
      <c r="FT97" s="357"/>
      <c r="FU97" s="357"/>
      <c r="FV97" s="357"/>
      <c r="FW97" s="357"/>
      <c r="FX97" s="357"/>
      <c r="FY97" s="357"/>
      <c r="FZ97" s="357"/>
      <c r="GA97" s="357"/>
      <c r="GB97" s="357"/>
      <c r="GC97" s="357"/>
      <c r="GD97" s="357"/>
      <c r="GE97" s="357"/>
      <c r="GF97" s="357"/>
      <c r="GG97" s="357"/>
      <c r="GH97" s="357"/>
      <c r="GI97" s="357"/>
      <c r="GJ97" s="357"/>
      <c r="GK97" s="154"/>
      <c r="GL97" s="154"/>
      <c r="GM97" s="154"/>
      <c r="GN97" s="154"/>
      <c r="GO97" s="154"/>
      <c r="GP97" s="154"/>
      <c r="GQ97" s="154"/>
      <c r="GR97" s="154"/>
      <c r="GS97" s="154"/>
      <c r="GT97" s="154"/>
      <c r="GU97" s="154"/>
      <c r="GV97" s="154"/>
      <c r="GW97" s="154"/>
      <c r="GX97" s="154"/>
    </row>
    <row r="98" spans="7:206">
      <c r="G98" s="154"/>
      <c r="H98" s="154"/>
      <c r="I98" s="154"/>
      <c r="J98" s="154"/>
      <c r="K98" s="154"/>
      <c r="L98" s="154"/>
      <c r="M98" s="154"/>
      <c r="N98" s="154"/>
      <c r="O98" s="154"/>
      <c r="P98" s="154"/>
      <c r="Q98" s="154"/>
      <c r="R98" s="154"/>
      <c r="S98" s="154"/>
      <c r="T98" s="154"/>
      <c r="U98" s="154"/>
      <c r="V98" s="154"/>
      <c r="W98" s="154"/>
      <c r="X98" s="154"/>
      <c r="Y98" s="154"/>
      <c r="Z98" s="357"/>
      <c r="AA98" s="357"/>
      <c r="AB98" s="357"/>
      <c r="AC98" s="357"/>
      <c r="AD98" s="357"/>
      <c r="AE98" s="357"/>
      <c r="AF98" s="357"/>
      <c r="AG98" s="357"/>
      <c r="AH98" s="357"/>
      <c r="AI98" s="357"/>
      <c r="AJ98" s="357"/>
      <c r="AK98" s="357"/>
      <c r="AL98" s="357"/>
      <c r="AM98" s="357"/>
      <c r="AN98" s="357"/>
      <c r="AO98" s="357"/>
      <c r="AP98" s="357"/>
      <c r="AQ98" s="357"/>
      <c r="AR98" s="357"/>
      <c r="AS98" s="357"/>
      <c r="AT98" s="357"/>
      <c r="AU98" s="357"/>
      <c r="AV98" s="357"/>
      <c r="AW98" s="357"/>
      <c r="AX98" s="357"/>
      <c r="AY98" s="357"/>
      <c r="AZ98" s="357"/>
      <c r="BA98" s="357"/>
      <c r="BB98" s="357"/>
      <c r="BC98" s="357"/>
      <c r="BD98" s="357"/>
      <c r="BE98" s="357"/>
      <c r="BF98" s="357"/>
      <c r="BG98" s="357"/>
      <c r="BH98" s="357"/>
      <c r="BI98" s="357"/>
      <c r="BJ98" s="357"/>
      <c r="BK98" s="357"/>
      <c r="BL98" s="357"/>
      <c r="BM98" s="357"/>
      <c r="BN98" s="357"/>
      <c r="BO98" s="357"/>
      <c r="BP98" s="357"/>
      <c r="BQ98" s="357"/>
      <c r="BR98" s="357"/>
      <c r="BS98" s="357"/>
      <c r="BT98" s="357"/>
      <c r="BU98" s="357"/>
      <c r="BV98" s="357"/>
      <c r="BW98" s="357"/>
      <c r="BX98" s="357"/>
      <c r="BY98" s="357"/>
      <c r="BZ98" s="357"/>
      <c r="CA98" s="357"/>
      <c r="CB98" s="357"/>
      <c r="CC98" s="357"/>
      <c r="CD98" s="357"/>
      <c r="CE98" s="357"/>
      <c r="CF98" s="357"/>
      <c r="CG98" s="357"/>
      <c r="CH98" s="357"/>
      <c r="CI98" s="357"/>
      <c r="CJ98" s="357"/>
      <c r="CK98" s="357"/>
      <c r="CL98" s="357"/>
      <c r="CM98" s="357"/>
      <c r="CN98" s="357"/>
      <c r="CO98" s="357"/>
      <c r="CP98" s="357"/>
      <c r="CQ98" s="357"/>
      <c r="CR98" s="357"/>
      <c r="CS98" s="357"/>
      <c r="CT98" s="357"/>
      <c r="CU98" s="357"/>
      <c r="CV98" s="357"/>
      <c r="CW98" s="357"/>
      <c r="CX98" s="357"/>
      <c r="CY98" s="357"/>
      <c r="CZ98" s="357"/>
      <c r="DA98" s="357"/>
      <c r="DB98" s="357"/>
      <c r="DC98" s="357"/>
      <c r="DD98" s="357"/>
      <c r="DE98" s="357"/>
      <c r="DF98" s="357"/>
      <c r="DG98" s="357"/>
      <c r="DH98" s="357"/>
      <c r="DI98" s="357"/>
      <c r="DJ98" s="357"/>
      <c r="DK98" s="357"/>
      <c r="DL98" s="357"/>
      <c r="DM98" s="357"/>
      <c r="DN98" s="357"/>
      <c r="DO98" s="357"/>
      <c r="DP98" s="357"/>
      <c r="DQ98" s="357"/>
      <c r="DR98" s="357"/>
      <c r="DS98" s="357"/>
      <c r="DT98" s="357"/>
      <c r="DU98" s="357"/>
      <c r="DV98" s="357"/>
      <c r="DW98" s="357"/>
      <c r="DX98" s="357"/>
      <c r="DY98" s="357"/>
      <c r="DZ98" s="357"/>
      <c r="EA98" s="357"/>
      <c r="EB98" s="357"/>
      <c r="EC98" s="357"/>
      <c r="ED98" s="357"/>
      <c r="EE98" s="357"/>
      <c r="EF98" s="357"/>
      <c r="EG98" s="357"/>
      <c r="EH98" s="357"/>
      <c r="EI98" s="357"/>
      <c r="EJ98" s="357"/>
      <c r="EK98" s="357"/>
      <c r="EL98" s="357"/>
      <c r="EM98" s="357"/>
      <c r="EN98" s="357"/>
      <c r="EO98" s="357"/>
      <c r="EP98" s="357"/>
      <c r="EQ98" s="357"/>
      <c r="ER98" s="357"/>
      <c r="ES98" s="357"/>
      <c r="ET98" s="357"/>
      <c r="EU98" s="357"/>
      <c r="EV98" s="357"/>
      <c r="EW98" s="357"/>
      <c r="EX98" s="357"/>
      <c r="EY98" s="357"/>
      <c r="EZ98" s="357"/>
      <c r="FA98" s="357"/>
      <c r="FB98" s="357"/>
      <c r="FC98" s="357"/>
      <c r="FD98" s="357"/>
      <c r="FE98" s="357"/>
      <c r="FF98" s="357"/>
      <c r="FG98" s="357"/>
      <c r="FH98" s="357"/>
      <c r="FI98" s="357"/>
      <c r="FJ98" s="357"/>
      <c r="FK98" s="357"/>
      <c r="FL98" s="357"/>
      <c r="FM98" s="357"/>
      <c r="FN98" s="357"/>
      <c r="FO98" s="357"/>
      <c r="FP98" s="357"/>
      <c r="FQ98" s="357"/>
      <c r="FR98" s="357"/>
      <c r="FS98" s="357"/>
      <c r="FT98" s="357"/>
      <c r="FU98" s="357"/>
      <c r="FV98" s="357"/>
      <c r="FW98" s="357"/>
      <c r="FX98" s="357"/>
      <c r="FY98" s="357"/>
      <c r="FZ98" s="357"/>
      <c r="GA98" s="357"/>
      <c r="GB98" s="357"/>
      <c r="GC98" s="357"/>
      <c r="GD98" s="357"/>
      <c r="GE98" s="357"/>
      <c r="GF98" s="357"/>
      <c r="GG98" s="357"/>
      <c r="GH98" s="357"/>
      <c r="GI98" s="357"/>
      <c r="GJ98" s="357"/>
      <c r="GK98" s="154"/>
      <c r="GL98" s="154"/>
      <c r="GM98" s="154"/>
      <c r="GN98" s="154"/>
      <c r="GO98" s="154"/>
      <c r="GP98" s="154"/>
      <c r="GQ98" s="154"/>
      <c r="GR98" s="154"/>
      <c r="GS98" s="154"/>
      <c r="GT98" s="154"/>
      <c r="GU98" s="154"/>
      <c r="GV98" s="154"/>
      <c r="GW98" s="154"/>
      <c r="GX98" s="154"/>
    </row>
    <row r="99" spans="7:206">
      <c r="G99" s="154"/>
      <c r="H99" s="154"/>
      <c r="I99" s="154"/>
      <c r="J99" s="154"/>
      <c r="K99" s="154"/>
      <c r="L99" s="154"/>
      <c r="M99" s="154"/>
      <c r="N99" s="154"/>
      <c r="O99" s="154"/>
      <c r="P99" s="154"/>
      <c r="Q99" s="154"/>
      <c r="R99" s="154"/>
      <c r="S99" s="154"/>
      <c r="T99" s="154"/>
      <c r="U99" s="154"/>
      <c r="V99" s="154"/>
      <c r="W99" s="154"/>
      <c r="X99" s="154"/>
      <c r="Y99" s="154"/>
      <c r="Z99" s="357"/>
      <c r="AA99" s="357"/>
      <c r="AB99" s="357"/>
      <c r="AC99" s="357"/>
      <c r="AD99" s="357"/>
      <c r="AE99" s="357"/>
      <c r="AF99" s="357"/>
      <c r="AG99" s="357"/>
      <c r="AH99" s="357"/>
      <c r="AI99" s="357"/>
      <c r="AJ99" s="357"/>
      <c r="AK99" s="357"/>
      <c r="AL99" s="357"/>
      <c r="AM99" s="357"/>
      <c r="AN99" s="357"/>
      <c r="AO99" s="357"/>
      <c r="AP99" s="357"/>
      <c r="AQ99" s="357"/>
      <c r="AR99" s="357"/>
      <c r="AS99" s="357"/>
      <c r="AT99" s="357"/>
      <c r="AU99" s="357"/>
      <c r="AV99" s="357"/>
      <c r="AW99" s="357"/>
      <c r="AX99" s="357"/>
      <c r="AY99" s="357"/>
      <c r="AZ99" s="357"/>
      <c r="BA99" s="357"/>
      <c r="BB99" s="357"/>
      <c r="BC99" s="357"/>
      <c r="BD99" s="357"/>
      <c r="BE99" s="357"/>
      <c r="BF99" s="357"/>
      <c r="BG99" s="357"/>
      <c r="BH99" s="357"/>
      <c r="BI99" s="357"/>
      <c r="BJ99" s="357"/>
      <c r="BK99" s="357"/>
      <c r="BL99" s="357"/>
      <c r="BM99" s="357"/>
      <c r="BN99" s="357"/>
      <c r="BO99" s="357"/>
      <c r="BP99" s="357"/>
      <c r="BQ99" s="357"/>
      <c r="BR99" s="357"/>
      <c r="BS99" s="357"/>
      <c r="BT99" s="357"/>
      <c r="BU99" s="357"/>
      <c r="BV99" s="357"/>
      <c r="BW99" s="357"/>
      <c r="BX99" s="357"/>
      <c r="BY99" s="357"/>
      <c r="BZ99" s="357"/>
      <c r="CA99" s="357"/>
      <c r="CB99" s="357"/>
      <c r="CC99" s="357"/>
      <c r="CD99" s="357"/>
      <c r="CE99" s="357"/>
      <c r="CF99" s="357"/>
      <c r="CG99" s="357"/>
      <c r="CH99" s="357"/>
      <c r="CI99" s="357"/>
      <c r="CJ99" s="357"/>
      <c r="CK99" s="357"/>
      <c r="CL99" s="357"/>
      <c r="CM99" s="357"/>
      <c r="CN99" s="357"/>
      <c r="CO99" s="357"/>
      <c r="CP99" s="357"/>
      <c r="CQ99" s="357"/>
      <c r="CR99" s="357"/>
      <c r="CS99" s="357"/>
      <c r="CT99" s="357"/>
      <c r="CU99" s="357"/>
      <c r="CV99" s="357"/>
      <c r="CW99" s="357"/>
      <c r="CX99" s="357"/>
      <c r="CY99" s="357"/>
      <c r="CZ99" s="357"/>
      <c r="DA99" s="357"/>
      <c r="DB99" s="357"/>
      <c r="DC99" s="357"/>
      <c r="DD99" s="357"/>
      <c r="DE99" s="357"/>
      <c r="DF99" s="357"/>
      <c r="DG99" s="357"/>
      <c r="DH99" s="357"/>
      <c r="DI99" s="357"/>
      <c r="DJ99" s="357"/>
      <c r="DK99" s="357"/>
      <c r="DL99" s="357"/>
      <c r="DM99" s="357"/>
      <c r="DN99" s="357"/>
      <c r="DO99" s="357"/>
      <c r="DP99" s="357"/>
      <c r="DQ99" s="357"/>
      <c r="DR99" s="357"/>
      <c r="DS99" s="357"/>
      <c r="DT99" s="357"/>
      <c r="DU99" s="357"/>
      <c r="DV99" s="357"/>
      <c r="DW99" s="357"/>
      <c r="DX99" s="357"/>
      <c r="DY99" s="357"/>
      <c r="DZ99" s="357"/>
      <c r="EA99" s="357"/>
      <c r="EB99" s="357"/>
      <c r="EC99" s="357"/>
      <c r="ED99" s="357"/>
      <c r="EE99" s="357"/>
      <c r="EF99" s="357"/>
      <c r="EG99" s="357"/>
      <c r="EH99" s="357"/>
      <c r="EI99" s="357"/>
      <c r="EJ99" s="357"/>
      <c r="EK99" s="357"/>
      <c r="EL99" s="357"/>
      <c r="EM99" s="357"/>
      <c r="EN99" s="357"/>
      <c r="EO99" s="357"/>
      <c r="EP99" s="357"/>
      <c r="EQ99" s="357"/>
      <c r="ER99" s="357"/>
      <c r="ES99" s="357"/>
      <c r="ET99" s="357"/>
      <c r="EU99" s="357"/>
      <c r="EV99" s="357"/>
      <c r="EW99" s="357"/>
      <c r="EX99" s="357"/>
      <c r="EY99" s="357"/>
      <c r="EZ99" s="357"/>
      <c r="FA99" s="357"/>
      <c r="FB99" s="357"/>
      <c r="FC99" s="357"/>
      <c r="FD99" s="357"/>
      <c r="FE99" s="357"/>
      <c r="FF99" s="357"/>
      <c r="FG99" s="357"/>
      <c r="FH99" s="357"/>
      <c r="FI99" s="357"/>
      <c r="FJ99" s="357"/>
      <c r="FK99" s="357"/>
      <c r="FL99" s="357"/>
      <c r="FM99" s="357"/>
      <c r="FN99" s="357"/>
      <c r="FO99" s="357"/>
      <c r="FP99" s="357"/>
      <c r="FQ99" s="357"/>
      <c r="FR99" s="357"/>
      <c r="FS99" s="357"/>
      <c r="FT99" s="357"/>
      <c r="FU99" s="357"/>
      <c r="FV99" s="357"/>
      <c r="FW99" s="357"/>
      <c r="FX99" s="357"/>
      <c r="FY99" s="357"/>
      <c r="FZ99" s="357"/>
      <c r="GA99" s="357"/>
      <c r="GB99" s="357"/>
      <c r="GC99" s="357"/>
      <c r="GD99" s="357"/>
      <c r="GE99" s="357"/>
      <c r="GF99" s="357"/>
      <c r="GG99" s="357"/>
      <c r="GH99" s="357"/>
      <c r="GI99" s="357"/>
      <c r="GJ99" s="357"/>
      <c r="GK99" s="154"/>
      <c r="GL99" s="154"/>
      <c r="GM99" s="154"/>
      <c r="GN99" s="154"/>
      <c r="GO99" s="154"/>
      <c r="GP99" s="154"/>
      <c r="GQ99" s="154"/>
      <c r="GR99" s="154"/>
      <c r="GS99" s="154"/>
      <c r="GT99" s="154"/>
      <c r="GU99" s="154"/>
      <c r="GV99" s="154"/>
      <c r="GW99" s="154"/>
      <c r="GX99" s="154"/>
    </row>
    <row r="100" spans="7:206">
      <c r="G100" s="154"/>
      <c r="H100" s="154"/>
      <c r="I100" s="154"/>
      <c r="J100" s="154"/>
      <c r="K100" s="154"/>
      <c r="L100" s="154"/>
      <c r="M100" s="154"/>
      <c r="N100" s="154"/>
      <c r="O100" s="154"/>
      <c r="P100" s="154"/>
      <c r="Q100" s="154"/>
      <c r="R100" s="154"/>
      <c r="S100" s="154"/>
      <c r="T100" s="154"/>
      <c r="U100" s="154"/>
      <c r="V100" s="154"/>
      <c r="W100" s="154"/>
      <c r="X100" s="154"/>
      <c r="Y100" s="154"/>
      <c r="Z100" s="357"/>
      <c r="AA100" s="357"/>
      <c r="AB100" s="357"/>
      <c r="AC100" s="357"/>
      <c r="AD100" s="357"/>
      <c r="AE100" s="357"/>
      <c r="AF100" s="357"/>
      <c r="AG100" s="357"/>
      <c r="AH100" s="357"/>
      <c r="AI100" s="357"/>
      <c r="AJ100" s="357"/>
      <c r="AK100" s="357"/>
      <c r="AL100" s="357"/>
      <c r="AM100" s="357"/>
      <c r="AN100" s="357"/>
      <c r="AO100" s="357"/>
      <c r="AP100" s="357"/>
      <c r="AQ100" s="357"/>
      <c r="AR100" s="357"/>
      <c r="AS100" s="357"/>
      <c r="AT100" s="357"/>
      <c r="AU100" s="357"/>
      <c r="AV100" s="357"/>
      <c r="AW100" s="357"/>
      <c r="AX100" s="357"/>
      <c r="AY100" s="357"/>
      <c r="AZ100" s="357"/>
      <c r="BA100" s="357"/>
      <c r="BB100" s="357"/>
      <c r="BC100" s="357"/>
      <c r="BD100" s="357"/>
      <c r="BE100" s="357"/>
      <c r="BF100" s="357"/>
      <c r="BG100" s="357"/>
      <c r="BH100" s="357"/>
      <c r="BI100" s="357"/>
      <c r="BJ100" s="357"/>
      <c r="BK100" s="357"/>
      <c r="BL100" s="357"/>
      <c r="BM100" s="357"/>
      <c r="BN100" s="357"/>
      <c r="BO100" s="357"/>
      <c r="BP100" s="357"/>
      <c r="BQ100" s="357"/>
      <c r="BR100" s="357"/>
      <c r="BS100" s="357"/>
      <c r="BT100" s="357"/>
      <c r="BU100" s="357"/>
      <c r="BV100" s="357"/>
      <c r="BW100" s="357"/>
      <c r="BX100" s="357"/>
      <c r="BY100" s="357"/>
      <c r="BZ100" s="357"/>
      <c r="CA100" s="357"/>
      <c r="CB100" s="357"/>
      <c r="CC100" s="357"/>
      <c r="CD100" s="357"/>
      <c r="CE100" s="357"/>
      <c r="CF100" s="357"/>
      <c r="CG100" s="357"/>
      <c r="CH100" s="357"/>
      <c r="CI100" s="357"/>
      <c r="CJ100" s="357"/>
      <c r="CK100" s="357"/>
      <c r="CL100" s="357"/>
      <c r="CM100" s="357"/>
      <c r="CN100" s="357"/>
      <c r="CO100" s="357"/>
      <c r="CP100" s="357"/>
      <c r="CQ100" s="357"/>
      <c r="CR100" s="357"/>
      <c r="CS100" s="357"/>
      <c r="CT100" s="357"/>
      <c r="CU100" s="357"/>
      <c r="CV100" s="357"/>
      <c r="CW100" s="357"/>
      <c r="CX100" s="357"/>
      <c r="CY100" s="357"/>
      <c r="CZ100" s="357"/>
      <c r="DA100" s="357"/>
      <c r="DB100" s="357"/>
      <c r="DC100" s="357"/>
      <c r="DD100" s="357"/>
      <c r="DE100" s="357"/>
      <c r="DF100" s="357"/>
      <c r="DG100" s="357"/>
      <c r="DH100" s="357"/>
      <c r="DI100" s="357"/>
      <c r="DJ100" s="357"/>
      <c r="DK100" s="357"/>
      <c r="DL100" s="357"/>
      <c r="DM100" s="357"/>
      <c r="DN100" s="357"/>
      <c r="DO100" s="357"/>
      <c r="DP100" s="357"/>
      <c r="DQ100" s="357"/>
      <c r="DR100" s="357"/>
      <c r="DS100" s="357"/>
      <c r="DT100" s="357"/>
      <c r="DU100" s="357"/>
      <c r="DV100" s="357"/>
      <c r="DW100" s="357"/>
      <c r="DX100" s="357"/>
      <c r="DY100" s="357"/>
      <c r="DZ100" s="357"/>
      <c r="EA100" s="357"/>
      <c r="EB100" s="357"/>
      <c r="EC100" s="357"/>
      <c r="ED100" s="357"/>
      <c r="EE100" s="357"/>
      <c r="EF100" s="357"/>
      <c r="EG100" s="357"/>
      <c r="EH100" s="357"/>
      <c r="EI100" s="357"/>
      <c r="EJ100" s="357"/>
      <c r="EK100" s="357"/>
      <c r="EL100" s="357"/>
      <c r="EM100" s="357"/>
      <c r="EN100" s="357"/>
      <c r="EO100" s="357"/>
      <c r="EP100" s="357"/>
      <c r="EQ100" s="357"/>
      <c r="ER100" s="357"/>
      <c r="ES100" s="357"/>
      <c r="ET100" s="357"/>
      <c r="EU100" s="357"/>
      <c r="EV100" s="357"/>
      <c r="EW100" s="357"/>
      <c r="EX100" s="357"/>
      <c r="EY100" s="357"/>
      <c r="EZ100" s="357"/>
      <c r="FA100" s="357"/>
      <c r="FB100" s="357"/>
      <c r="FC100" s="357"/>
      <c r="FD100" s="357"/>
      <c r="FE100" s="357"/>
      <c r="FF100" s="357"/>
      <c r="FG100" s="357"/>
      <c r="FH100" s="357"/>
      <c r="FI100" s="357"/>
      <c r="FJ100" s="357"/>
      <c r="FK100" s="357"/>
      <c r="FL100" s="357"/>
      <c r="FM100" s="357"/>
      <c r="FN100" s="357"/>
      <c r="FO100" s="357"/>
      <c r="FP100" s="357"/>
      <c r="FQ100" s="357"/>
      <c r="FR100" s="357"/>
      <c r="FS100" s="357"/>
      <c r="FT100" s="357"/>
      <c r="FU100" s="357"/>
      <c r="FV100" s="357"/>
      <c r="FW100" s="357"/>
      <c r="FX100" s="357"/>
      <c r="FY100" s="357"/>
      <c r="FZ100" s="357"/>
      <c r="GA100" s="357"/>
      <c r="GB100" s="357"/>
      <c r="GC100" s="357"/>
      <c r="GD100" s="357"/>
      <c r="GE100" s="357"/>
      <c r="GF100" s="357"/>
      <c r="GG100" s="357"/>
      <c r="GH100" s="357"/>
      <c r="GI100" s="357"/>
      <c r="GJ100" s="357"/>
      <c r="GK100" s="154"/>
      <c r="GL100" s="154"/>
      <c r="GM100" s="154"/>
      <c r="GN100" s="154"/>
      <c r="GO100" s="154"/>
      <c r="GP100" s="154"/>
      <c r="GQ100" s="154"/>
      <c r="GR100" s="154"/>
      <c r="GS100" s="154"/>
      <c r="GT100" s="154"/>
      <c r="GU100" s="154"/>
      <c r="GV100" s="154"/>
      <c r="GW100" s="154"/>
      <c r="GX100" s="154"/>
    </row>
    <row r="101" spans="7:206">
      <c r="G101" s="154"/>
      <c r="H101" s="154"/>
      <c r="I101" s="154"/>
      <c r="J101" s="154"/>
      <c r="K101" s="154"/>
      <c r="L101" s="154"/>
      <c r="M101" s="154"/>
      <c r="N101" s="154"/>
      <c r="O101" s="154"/>
      <c r="P101" s="154"/>
      <c r="Q101" s="154"/>
      <c r="R101" s="154"/>
      <c r="S101" s="154"/>
      <c r="T101" s="154"/>
      <c r="U101" s="154"/>
      <c r="V101" s="154"/>
      <c r="W101" s="154"/>
      <c r="X101" s="154"/>
      <c r="Y101" s="154"/>
      <c r="Z101" s="357"/>
      <c r="AA101" s="357"/>
      <c r="AB101" s="357"/>
      <c r="AC101" s="357"/>
      <c r="AD101" s="357"/>
      <c r="AE101" s="357"/>
      <c r="AF101" s="357"/>
      <c r="AG101" s="357"/>
      <c r="AH101" s="357"/>
      <c r="AI101" s="357"/>
      <c r="AJ101" s="357"/>
      <c r="AK101" s="357"/>
      <c r="AL101" s="357"/>
      <c r="AM101" s="357"/>
      <c r="AN101" s="357"/>
      <c r="AO101" s="357"/>
      <c r="AP101" s="357"/>
      <c r="AQ101" s="357"/>
      <c r="AR101" s="357"/>
      <c r="AS101" s="357"/>
      <c r="AT101" s="357"/>
      <c r="AU101" s="357"/>
      <c r="AV101" s="357"/>
      <c r="AW101" s="357"/>
      <c r="AX101" s="357"/>
      <c r="AY101" s="357"/>
      <c r="AZ101" s="357"/>
      <c r="BA101" s="357"/>
      <c r="BB101" s="357"/>
      <c r="BC101" s="357"/>
      <c r="BD101" s="357"/>
      <c r="BE101" s="357"/>
      <c r="BF101" s="357"/>
      <c r="BG101" s="357"/>
      <c r="BH101" s="357"/>
      <c r="BI101" s="357"/>
      <c r="BJ101" s="357"/>
      <c r="BK101" s="357"/>
      <c r="BL101" s="357"/>
      <c r="BM101" s="357"/>
      <c r="BN101" s="357"/>
      <c r="BO101" s="357"/>
      <c r="BP101" s="357"/>
      <c r="BQ101" s="357"/>
      <c r="BR101" s="357"/>
      <c r="BS101" s="357"/>
      <c r="BT101" s="357"/>
      <c r="BU101" s="357"/>
      <c r="BV101" s="357"/>
      <c r="BW101" s="357"/>
      <c r="BX101" s="357"/>
      <c r="BY101" s="357"/>
      <c r="BZ101" s="357"/>
      <c r="CA101" s="357"/>
      <c r="CB101" s="357"/>
      <c r="CC101" s="357"/>
      <c r="CD101" s="357"/>
      <c r="CE101" s="357"/>
      <c r="CF101" s="357"/>
      <c r="CG101" s="357"/>
      <c r="CH101" s="357"/>
      <c r="CI101" s="357"/>
      <c r="CJ101" s="357"/>
      <c r="CK101" s="357"/>
      <c r="CL101" s="357"/>
      <c r="CM101" s="357"/>
      <c r="CN101" s="357"/>
      <c r="CO101" s="357"/>
      <c r="CP101" s="357"/>
      <c r="CQ101" s="357"/>
      <c r="CR101" s="357"/>
      <c r="CS101" s="357"/>
      <c r="CT101" s="357"/>
      <c r="CU101" s="357"/>
      <c r="CV101" s="357"/>
      <c r="CW101" s="357"/>
      <c r="CX101" s="357"/>
      <c r="CY101" s="357"/>
      <c r="CZ101" s="357"/>
      <c r="DA101" s="357"/>
      <c r="DB101" s="357"/>
      <c r="DC101" s="357"/>
      <c r="DD101" s="357"/>
      <c r="DE101" s="357"/>
      <c r="DF101" s="357"/>
      <c r="DG101" s="357"/>
      <c r="DH101" s="357"/>
      <c r="DI101" s="357"/>
      <c r="DJ101" s="357"/>
      <c r="DK101" s="357"/>
      <c r="DL101" s="357"/>
      <c r="DM101" s="357"/>
      <c r="DN101" s="357"/>
      <c r="DO101" s="357"/>
      <c r="DP101" s="357"/>
      <c r="DQ101" s="357"/>
      <c r="DR101" s="357"/>
      <c r="DS101" s="357"/>
      <c r="DT101" s="357"/>
      <c r="DU101" s="357"/>
      <c r="DV101" s="357"/>
      <c r="DW101" s="357"/>
      <c r="DX101" s="357"/>
      <c r="DY101" s="357"/>
      <c r="DZ101" s="357"/>
      <c r="EA101" s="357"/>
      <c r="EB101" s="357"/>
      <c r="EC101" s="357"/>
      <c r="ED101" s="357"/>
      <c r="EE101" s="357"/>
      <c r="EF101" s="357"/>
      <c r="EG101" s="357"/>
      <c r="EH101" s="357"/>
      <c r="EI101" s="357"/>
      <c r="EJ101" s="357"/>
      <c r="EK101" s="357"/>
      <c r="EL101" s="357"/>
      <c r="EM101" s="357"/>
      <c r="EN101" s="357"/>
      <c r="EO101" s="357"/>
      <c r="EP101" s="357"/>
      <c r="EQ101" s="357"/>
      <c r="ER101" s="357"/>
      <c r="ES101" s="357"/>
      <c r="ET101" s="357"/>
      <c r="EU101" s="357"/>
      <c r="EV101" s="357"/>
      <c r="EW101" s="357"/>
      <c r="EX101" s="357"/>
      <c r="EY101" s="357"/>
      <c r="EZ101" s="357"/>
      <c r="FA101" s="357"/>
      <c r="FB101" s="357"/>
      <c r="FC101" s="357"/>
      <c r="FD101" s="357"/>
      <c r="FE101" s="357"/>
      <c r="FF101" s="357"/>
      <c r="FG101" s="357"/>
      <c r="FH101" s="357"/>
      <c r="FI101" s="357"/>
      <c r="FJ101" s="357"/>
      <c r="FK101" s="357"/>
      <c r="FL101" s="357"/>
      <c r="FM101" s="357"/>
      <c r="FN101" s="357"/>
      <c r="FO101" s="357"/>
      <c r="FP101" s="357"/>
      <c r="FQ101" s="357"/>
      <c r="FR101" s="357"/>
      <c r="FS101" s="357"/>
      <c r="FT101" s="357"/>
      <c r="FU101" s="357"/>
      <c r="FV101" s="357"/>
      <c r="FW101" s="357"/>
      <c r="FX101" s="357"/>
      <c r="FY101" s="357"/>
      <c r="FZ101" s="357"/>
      <c r="GA101" s="357"/>
      <c r="GB101" s="357"/>
      <c r="GC101" s="357"/>
      <c r="GD101" s="357"/>
      <c r="GE101" s="357"/>
      <c r="GF101" s="357"/>
      <c r="GG101" s="357"/>
      <c r="GH101" s="357"/>
      <c r="GI101" s="357"/>
      <c r="GJ101" s="357"/>
      <c r="GK101" s="154"/>
      <c r="GL101" s="154"/>
      <c r="GM101" s="154"/>
      <c r="GN101" s="154"/>
      <c r="GO101" s="154"/>
      <c r="GP101" s="154"/>
      <c r="GQ101" s="154"/>
      <c r="GR101" s="154"/>
      <c r="GS101" s="154"/>
      <c r="GT101" s="154"/>
      <c r="GU101" s="154"/>
      <c r="GV101" s="154"/>
      <c r="GW101" s="154"/>
      <c r="GX101" s="154"/>
    </row>
    <row r="102" spans="7:206">
      <c r="G102" s="154"/>
      <c r="H102" s="154"/>
      <c r="I102" s="154"/>
      <c r="J102" s="154"/>
      <c r="K102" s="154"/>
      <c r="L102" s="154"/>
      <c r="M102" s="154"/>
      <c r="N102" s="154"/>
      <c r="O102" s="154"/>
      <c r="P102" s="154"/>
      <c r="Q102" s="154"/>
      <c r="R102" s="154"/>
      <c r="S102" s="154"/>
      <c r="T102" s="154"/>
      <c r="U102" s="154"/>
      <c r="V102" s="154"/>
      <c r="W102" s="154"/>
      <c r="X102" s="154"/>
      <c r="Y102" s="154"/>
      <c r="Z102" s="357"/>
      <c r="AA102" s="357"/>
      <c r="AB102" s="357"/>
      <c r="AC102" s="357"/>
      <c r="AD102" s="357"/>
      <c r="AE102" s="357"/>
      <c r="AF102" s="357"/>
      <c r="AG102" s="357"/>
      <c r="AH102" s="357"/>
      <c r="AI102" s="357"/>
      <c r="AJ102" s="357"/>
      <c r="AK102" s="357"/>
      <c r="AL102" s="357"/>
      <c r="AM102" s="357"/>
      <c r="AN102" s="357"/>
      <c r="AO102" s="357"/>
      <c r="AP102" s="357"/>
      <c r="AQ102" s="357"/>
      <c r="AR102" s="357"/>
      <c r="AS102" s="357"/>
      <c r="AT102" s="357"/>
      <c r="AU102" s="357"/>
      <c r="AV102" s="357"/>
      <c r="AW102" s="357"/>
      <c r="AX102" s="357"/>
      <c r="AY102" s="357"/>
      <c r="AZ102" s="357"/>
      <c r="BA102" s="357"/>
      <c r="BB102" s="357"/>
      <c r="BC102" s="357"/>
      <c r="BD102" s="357"/>
      <c r="BE102" s="357"/>
      <c r="BF102" s="357"/>
      <c r="BG102" s="357"/>
      <c r="BH102" s="357"/>
      <c r="BI102" s="357"/>
      <c r="BJ102" s="357"/>
      <c r="BK102" s="357"/>
      <c r="BL102" s="357"/>
      <c r="BM102" s="357"/>
      <c r="BN102" s="357"/>
      <c r="BO102" s="357"/>
      <c r="BP102" s="357"/>
      <c r="BQ102" s="357"/>
      <c r="BR102" s="357"/>
      <c r="BS102" s="357"/>
      <c r="BT102" s="357"/>
      <c r="BU102" s="357"/>
      <c r="BV102" s="357"/>
      <c r="BW102" s="357"/>
      <c r="BX102" s="357"/>
      <c r="BY102" s="357"/>
      <c r="BZ102" s="357"/>
      <c r="CA102" s="357"/>
      <c r="CB102" s="357"/>
      <c r="CC102" s="357"/>
      <c r="CD102" s="357"/>
      <c r="CE102" s="357"/>
      <c r="CF102" s="357"/>
      <c r="CG102" s="357"/>
      <c r="CH102" s="357"/>
      <c r="CI102" s="357"/>
      <c r="CJ102" s="357"/>
      <c r="CK102" s="357"/>
      <c r="CL102" s="357"/>
      <c r="CM102" s="357"/>
      <c r="CN102" s="357"/>
      <c r="CO102" s="357"/>
      <c r="CP102" s="357"/>
      <c r="CQ102" s="357"/>
      <c r="CR102" s="357"/>
      <c r="CS102" s="357"/>
      <c r="CT102" s="357"/>
      <c r="CU102" s="357"/>
      <c r="CV102" s="357"/>
      <c r="CW102" s="357"/>
      <c r="CX102" s="357"/>
      <c r="CY102" s="357"/>
      <c r="CZ102" s="357"/>
      <c r="DA102" s="357"/>
      <c r="DB102" s="357"/>
      <c r="DC102" s="357"/>
      <c r="DD102" s="357"/>
      <c r="DE102" s="357"/>
      <c r="DF102" s="357"/>
      <c r="DG102" s="357"/>
      <c r="DH102" s="357"/>
      <c r="DI102" s="357"/>
      <c r="DJ102" s="357"/>
      <c r="DK102" s="357"/>
      <c r="DL102" s="357"/>
      <c r="DM102" s="357"/>
      <c r="DN102" s="357"/>
      <c r="DO102" s="357"/>
      <c r="DP102" s="357"/>
      <c r="DQ102" s="357"/>
      <c r="DR102" s="357"/>
      <c r="DS102" s="357"/>
      <c r="DT102" s="357"/>
      <c r="DU102" s="357"/>
      <c r="DV102" s="357"/>
      <c r="DW102" s="357"/>
      <c r="DX102" s="357"/>
      <c r="DY102" s="357"/>
      <c r="DZ102" s="357"/>
      <c r="EA102" s="357"/>
      <c r="EB102" s="357"/>
      <c r="EC102" s="357"/>
      <c r="ED102" s="357"/>
      <c r="EE102" s="357"/>
      <c r="EF102" s="357"/>
      <c r="EG102" s="357"/>
      <c r="EH102" s="357"/>
      <c r="EI102" s="357"/>
      <c r="EJ102" s="357"/>
      <c r="EK102" s="357"/>
      <c r="EL102" s="357"/>
      <c r="EM102" s="357"/>
      <c r="EN102" s="357"/>
      <c r="EO102" s="357"/>
      <c r="EP102" s="357"/>
      <c r="EQ102" s="357"/>
      <c r="ER102" s="357"/>
      <c r="ES102" s="357"/>
      <c r="ET102" s="357"/>
      <c r="EU102" s="357"/>
      <c r="EV102" s="357"/>
      <c r="EW102" s="357"/>
      <c r="EX102" s="357"/>
      <c r="EY102" s="357"/>
      <c r="EZ102" s="357"/>
      <c r="FA102" s="357"/>
      <c r="FB102" s="357"/>
      <c r="FC102" s="357"/>
      <c r="FD102" s="357"/>
      <c r="FE102" s="357"/>
      <c r="FF102" s="357"/>
      <c r="FG102" s="357"/>
      <c r="FH102" s="357"/>
      <c r="FI102" s="357"/>
      <c r="FJ102" s="357"/>
      <c r="FK102" s="357"/>
      <c r="FL102" s="357"/>
      <c r="FM102" s="357"/>
      <c r="FN102" s="357"/>
      <c r="FO102" s="357"/>
      <c r="FP102" s="357"/>
      <c r="FQ102" s="357"/>
      <c r="FR102" s="357"/>
      <c r="FS102" s="357"/>
      <c r="FT102" s="357"/>
      <c r="FU102" s="357"/>
      <c r="FV102" s="357"/>
      <c r="FW102" s="357"/>
      <c r="FX102" s="357"/>
      <c r="FY102" s="357"/>
      <c r="FZ102" s="357"/>
      <c r="GA102" s="357"/>
      <c r="GB102" s="357"/>
      <c r="GC102" s="357"/>
      <c r="GD102" s="357"/>
      <c r="GE102" s="357"/>
      <c r="GF102" s="357"/>
      <c r="GG102" s="357"/>
      <c r="GH102" s="357"/>
      <c r="GI102" s="357"/>
      <c r="GJ102" s="357"/>
      <c r="GK102" s="154"/>
      <c r="GL102" s="154"/>
      <c r="GM102" s="154"/>
      <c r="GN102" s="154"/>
      <c r="GO102" s="154"/>
      <c r="GP102" s="154"/>
      <c r="GQ102" s="154"/>
      <c r="GR102" s="154"/>
      <c r="GS102" s="154"/>
      <c r="GT102" s="154"/>
      <c r="GU102" s="154"/>
      <c r="GV102" s="154"/>
      <c r="GW102" s="154"/>
      <c r="GX102" s="154"/>
    </row>
    <row r="103" spans="7:206">
      <c r="G103" s="154"/>
      <c r="H103" s="154"/>
      <c r="I103" s="154"/>
      <c r="J103" s="154"/>
      <c r="K103" s="154"/>
      <c r="L103" s="154"/>
      <c r="M103" s="154"/>
      <c r="N103" s="154"/>
      <c r="O103" s="154"/>
      <c r="P103" s="154"/>
      <c r="Q103" s="154"/>
      <c r="R103" s="154"/>
      <c r="S103" s="154"/>
      <c r="T103" s="154"/>
      <c r="U103" s="154"/>
      <c r="V103" s="154"/>
      <c r="W103" s="154"/>
      <c r="X103" s="154"/>
      <c r="Y103" s="154"/>
      <c r="Z103" s="357"/>
      <c r="AA103" s="357"/>
      <c r="AB103" s="357"/>
      <c r="AC103" s="357"/>
      <c r="AD103" s="357"/>
      <c r="AE103" s="357"/>
      <c r="AF103" s="357"/>
      <c r="AG103" s="357"/>
      <c r="AH103" s="357"/>
      <c r="AI103" s="357"/>
      <c r="AJ103" s="357"/>
      <c r="AK103" s="357"/>
      <c r="AL103" s="357"/>
      <c r="AM103" s="357"/>
      <c r="AN103" s="357"/>
      <c r="AO103" s="357"/>
      <c r="AP103" s="357"/>
      <c r="AQ103" s="357"/>
      <c r="AR103" s="357"/>
      <c r="AS103" s="357"/>
      <c r="AT103" s="357"/>
      <c r="AU103" s="357"/>
      <c r="AV103" s="357"/>
      <c r="AW103" s="357"/>
      <c r="AX103" s="357"/>
      <c r="AY103" s="357"/>
      <c r="AZ103" s="357"/>
      <c r="BA103" s="357"/>
      <c r="BB103" s="357"/>
      <c r="BC103" s="357"/>
      <c r="BD103" s="357"/>
      <c r="BE103" s="357"/>
      <c r="BF103" s="357"/>
      <c r="BG103" s="357"/>
      <c r="BH103" s="357"/>
      <c r="BI103" s="357"/>
      <c r="BJ103" s="357"/>
      <c r="BK103" s="357"/>
      <c r="BL103" s="357"/>
      <c r="BM103" s="357"/>
      <c r="BN103" s="357"/>
      <c r="BO103" s="357"/>
      <c r="BP103" s="357"/>
      <c r="BQ103" s="357"/>
      <c r="BR103" s="357"/>
      <c r="BS103" s="357"/>
      <c r="BT103" s="357"/>
      <c r="BU103" s="357"/>
      <c r="BV103" s="357"/>
      <c r="BW103" s="357"/>
      <c r="BX103" s="357"/>
      <c r="BY103" s="357"/>
      <c r="BZ103" s="357"/>
      <c r="CA103" s="357"/>
      <c r="CB103" s="357"/>
      <c r="CC103" s="357"/>
      <c r="CD103" s="357"/>
      <c r="CE103" s="357"/>
      <c r="CF103" s="357"/>
      <c r="CG103" s="357"/>
      <c r="CH103" s="357"/>
      <c r="CI103" s="357"/>
      <c r="CJ103" s="357"/>
      <c r="CK103" s="357"/>
      <c r="CL103" s="357"/>
      <c r="CM103" s="357"/>
      <c r="CN103" s="357"/>
      <c r="CO103" s="357"/>
      <c r="CP103" s="357"/>
      <c r="CQ103" s="357"/>
      <c r="CR103" s="357"/>
      <c r="CS103" s="357"/>
      <c r="CT103" s="357"/>
      <c r="CU103" s="357"/>
      <c r="CV103" s="357"/>
      <c r="CW103" s="357"/>
      <c r="CX103" s="357"/>
      <c r="CY103" s="357"/>
      <c r="CZ103" s="357"/>
      <c r="DA103" s="357"/>
      <c r="DB103" s="357"/>
      <c r="DC103" s="357"/>
      <c r="DD103" s="357"/>
      <c r="DE103" s="357"/>
      <c r="DF103" s="357"/>
      <c r="DG103" s="357"/>
      <c r="DH103" s="357"/>
      <c r="DI103" s="357"/>
      <c r="DJ103" s="357"/>
      <c r="DK103" s="357"/>
      <c r="DL103" s="357"/>
      <c r="DM103" s="357"/>
      <c r="DN103" s="357"/>
      <c r="DO103" s="357"/>
      <c r="DP103" s="357"/>
      <c r="DQ103" s="357"/>
      <c r="DR103" s="357"/>
      <c r="DS103" s="357"/>
      <c r="DT103" s="357"/>
      <c r="DU103" s="357"/>
      <c r="DV103" s="357"/>
      <c r="DW103" s="357"/>
      <c r="DX103" s="357"/>
      <c r="DY103" s="357"/>
      <c r="DZ103" s="357"/>
      <c r="EA103" s="357"/>
      <c r="EB103" s="357"/>
      <c r="EC103" s="357"/>
      <c r="ED103" s="357"/>
      <c r="EE103" s="357"/>
      <c r="EF103" s="357"/>
      <c r="EG103" s="357"/>
      <c r="EH103" s="357"/>
      <c r="EI103" s="357"/>
      <c r="EJ103" s="357"/>
      <c r="EK103" s="357"/>
      <c r="EL103" s="357"/>
      <c r="EM103" s="357"/>
      <c r="EN103" s="357"/>
      <c r="EO103" s="357"/>
      <c r="EP103" s="357"/>
      <c r="EQ103" s="357"/>
      <c r="ER103" s="357"/>
      <c r="ES103" s="357"/>
      <c r="ET103" s="357"/>
      <c r="EU103" s="357"/>
      <c r="EV103" s="357"/>
      <c r="EW103" s="357"/>
      <c r="EX103" s="357"/>
      <c r="EY103" s="357"/>
      <c r="EZ103" s="357"/>
      <c r="FA103" s="357"/>
      <c r="FB103" s="357"/>
      <c r="FC103" s="357"/>
      <c r="FD103" s="357"/>
      <c r="FE103" s="357"/>
      <c r="FF103" s="357"/>
      <c r="FG103" s="357"/>
      <c r="FH103" s="357"/>
      <c r="FI103" s="357"/>
      <c r="FJ103" s="357"/>
      <c r="FK103" s="357"/>
      <c r="FL103" s="357"/>
      <c r="FM103" s="357"/>
      <c r="FN103" s="357"/>
      <c r="FO103" s="357"/>
      <c r="FP103" s="357"/>
      <c r="FQ103" s="357"/>
      <c r="FR103" s="357"/>
      <c r="FS103" s="357"/>
      <c r="FT103" s="357"/>
      <c r="FU103" s="357"/>
      <c r="FV103" s="357"/>
      <c r="FW103" s="357"/>
      <c r="FX103" s="357"/>
      <c r="FY103" s="357"/>
      <c r="FZ103" s="357"/>
      <c r="GA103" s="357"/>
      <c r="GB103" s="357"/>
      <c r="GC103" s="357"/>
      <c r="GD103" s="357"/>
      <c r="GE103" s="357"/>
      <c r="GF103" s="357"/>
      <c r="GG103" s="357"/>
      <c r="GH103" s="357"/>
      <c r="GI103" s="357"/>
      <c r="GJ103" s="357"/>
      <c r="GK103" s="154"/>
      <c r="GL103" s="154"/>
      <c r="GM103" s="154"/>
      <c r="GN103" s="154"/>
      <c r="GO103" s="154"/>
      <c r="GP103" s="154"/>
      <c r="GQ103" s="154"/>
      <c r="GR103" s="154"/>
      <c r="GS103" s="154"/>
      <c r="GT103" s="154"/>
      <c r="GU103" s="154"/>
      <c r="GV103" s="154"/>
      <c r="GW103" s="154"/>
      <c r="GX103" s="154"/>
    </row>
    <row r="104" spans="7:206">
      <c r="G104" s="154"/>
      <c r="H104" s="154"/>
      <c r="I104" s="154"/>
      <c r="J104" s="154"/>
      <c r="K104" s="154"/>
      <c r="L104" s="154"/>
      <c r="M104" s="154"/>
      <c r="N104" s="154"/>
      <c r="O104" s="154"/>
      <c r="P104" s="154"/>
      <c r="Q104" s="154"/>
      <c r="R104" s="154"/>
      <c r="S104" s="154"/>
      <c r="T104" s="154"/>
      <c r="U104" s="154"/>
      <c r="V104" s="154"/>
      <c r="W104" s="154"/>
      <c r="X104" s="154"/>
      <c r="Y104" s="154"/>
      <c r="Z104" s="357"/>
      <c r="AA104" s="357"/>
      <c r="AB104" s="357"/>
      <c r="AC104" s="357"/>
      <c r="AD104" s="357"/>
      <c r="AE104" s="357"/>
      <c r="AF104" s="357"/>
      <c r="AG104" s="357"/>
      <c r="AH104" s="357"/>
      <c r="AI104" s="357"/>
      <c r="AJ104" s="357"/>
      <c r="AK104" s="357"/>
      <c r="AL104" s="357"/>
      <c r="AM104" s="357"/>
      <c r="AN104" s="357"/>
      <c r="AO104" s="357"/>
      <c r="AP104" s="357"/>
      <c r="AQ104" s="357"/>
      <c r="AR104" s="357"/>
      <c r="AS104" s="357"/>
      <c r="AT104" s="357"/>
      <c r="AU104" s="357"/>
      <c r="AV104" s="357"/>
      <c r="AW104" s="357"/>
      <c r="AX104" s="357"/>
      <c r="AY104" s="357"/>
      <c r="AZ104" s="357"/>
      <c r="BA104" s="357"/>
      <c r="BB104" s="357"/>
      <c r="BC104" s="357"/>
      <c r="BD104" s="357"/>
      <c r="BE104" s="357"/>
      <c r="BF104" s="357"/>
      <c r="BG104" s="357"/>
      <c r="BH104" s="357"/>
      <c r="BI104" s="357"/>
      <c r="BJ104" s="357"/>
      <c r="BK104" s="357"/>
      <c r="BL104" s="357"/>
      <c r="BM104" s="357"/>
      <c r="BN104" s="357"/>
      <c r="BO104" s="357"/>
      <c r="BP104" s="357"/>
      <c r="BQ104" s="357"/>
      <c r="BR104" s="357"/>
      <c r="BS104" s="357"/>
      <c r="BT104" s="357"/>
      <c r="BU104" s="357"/>
      <c r="BV104" s="357"/>
      <c r="BW104" s="357"/>
      <c r="BX104" s="357"/>
      <c r="BY104" s="357"/>
      <c r="BZ104" s="357"/>
      <c r="CA104" s="357"/>
      <c r="CB104" s="357"/>
      <c r="CC104" s="357"/>
      <c r="CD104" s="357"/>
      <c r="CE104" s="357"/>
      <c r="CF104" s="357"/>
      <c r="CG104" s="357"/>
      <c r="CH104" s="357"/>
      <c r="CI104" s="357"/>
      <c r="CJ104" s="357"/>
      <c r="CK104" s="357"/>
      <c r="CL104" s="357"/>
      <c r="CM104" s="357"/>
      <c r="CN104" s="357"/>
      <c r="CO104" s="357"/>
      <c r="CP104" s="357"/>
      <c r="CQ104" s="357"/>
      <c r="CR104" s="357"/>
      <c r="CS104" s="357"/>
      <c r="CT104" s="357"/>
      <c r="CU104" s="357"/>
      <c r="CV104" s="357"/>
      <c r="CW104" s="357"/>
      <c r="CX104" s="357"/>
      <c r="CY104" s="357"/>
      <c r="CZ104" s="357"/>
      <c r="DA104" s="357"/>
      <c r="DB104" s="357"/>
      <c r="DC104" s="357"/>
      <c r="DD104" s="357"/>
      <c r="DE104" s="357"/>
      <c r="DF104" s="357"/>
      <c r="DG104" s="357"/>
      <c r="DH104" s="357"/>
      <c r="DI104" s="357"/>
      <c r="DJ104" s="357"/>
      <c r="DK104" s="357"/>
      <c r="DL104" s="357"/>
      <c r="DM104" s="357"/>
      <c r="DN104" s="357"/>
      <c r="DO104" s="357"/>
      <c r="DP104" s="357"/>
      <c r="DQ104" s="357"/>
      <c r="DR104" s="357"/>
      <c r="DS104" s="357"/>
      <c r="DT104" s="357"/>
      <c r="DU104" s="357"/>
      <c r="DV104" s="357"/>
      <c r="DW104" s="357"/>
      <c r="DX104" s="357"/>
      <c r="DY104" s="357"/>
      <c r="DZ104" s="357"/>
      <c r="EA104" s="357"/>
      <c r="EB104" s="357"/>
      <c r="EC104" s="357"/>
      <c r="ED104" s="357"/>
      <c r="EE104" s="357"/>
      <c r="EF104" s="357"/>
      <c r="EG104" s="357"/>
      <c r="EH104" s="357"/>
      <c r="EI104" s="357"/>
      <c r="EJ104" s="357"/>
      <c r="EK104" s="357"/>
      <c r="EL104" s="357"/>
      <c r="EM104" s="357"/>
      <c r="EN104" s="357"/>
      <c r="EO104" s="357"/>
      <c r="EP104" s="357"/>
      <c r="EQ104" s="357"/>
      <c r="ER104" s="357"/>
      <c r="ES104" s="357"/>
      <c r="ET104" s="357"/>
      <c r="EU104" s="357"/>
      <c r="EV104" s="357"/>
      <c r="EW104" s="357"/>
      <c r="EX104" s="357"/>
      <c r="EY104" s="357"/>
      <c r="EZ104" s="357"/>
      <c r="FA104" s="357"/>
      <c r="FB104" s="357"/>
      <c r="FC104" s="357"/>
      <c r="FD104" s="357"/>
      <c r="FE104" s="357"/>
      <c r="FF104" s="357"/>
      <c r="FG104" s="357"/>
      <c r="FH104" s="357"/>
      <c r="FI104" s="357"/>
      <c r="FJ104" s="357"/>
      <c r="FK104" s="357"/>
      <c r="FL104" s="357"/>
      <c r="FM104" s="357"/>
      <c r="FN104" s="357"/>
      <c r="FO104" s="357"/>
      <c r="FP104" s="357"/>
      <c r="FQ104" s="357"/>
      <c r="FR104" s="357"/>
      <c r="FS104" s="357"/>
      <c r="FT104" s="357"/>
      <c r="FU104" s="357"/>
      <c r="FV104" s="357"/>
      <c r="FW104" s="357"/>
      <c r="FX104" s="357"/>
      <c r="FY104" s="357"/>
      <c r="FZ104" s="357"/>
      <c r="GA104" s="357"/>
      <c r="GB104" s="357"/>
      <c r="GC104" s="357"/>
      <c r="GD104" s="357"/>
      <c r="GE104" s="357"/>
      <c r="GF104" s="357"/>
      <c r="GG104" s="357"/>
      <c r="GH104" s="357"/>
      <c r="GI104" s="357"/>
      <c r="GJ104" s="357"/>
      <c r="GK104" s="154"/>
      <c r="GL104" s="154"/>
      <c r="GM104" s="154"/>
      <c r="GN104" s="154"/>
      <c r="GO104" s="154"/>
      <c r="GP104" s="154"/>
      <c r="GQ104" s="154"/>
      <c r="GR104" s="154"/>
      <c r="GS104" s="154"/>
      <c r="GT104" s="154"/>
      <c r="GU104" s="154"/>
      <c r="GV104" s="154"/>
      <c r="GW104" s="154"/>
      <c r="GX104" s="154"/>
    </row>
    <row r="105" spans="7:206">
      <c r="G105" s="154"/>
      <c r="H105" s="154"/>
      <c r="I105" s="154"/>
      <c r="J105" s="154"/>
      <c r="K105" s="154"/>
      <c r="L105" s="154"/>
      <c r="M105" s="154"/>
      <c r="N105" s="154"/>
      <c r="O105" s="154"/>
      <c r="P105" s="154"/>
      <c r="Q105" s="154"/>
      <c r="R105" s="154"/>
      <c r="S105" s="154"/>
      <c r="T105" s="154"/>
      <c r="U105" s="154"/>
      <c r="V105" s="154"/>
      <c r="W105" s="154"/>
      <c r="X105" s="154"/>
      <c r="Y105" s="154"/>
      <c r="Z105" s="357"/>
      <c r="AA105" s="357"/>
      <c r="AB105" s="357"/>
      <c r="AC105" s="357"/>
      <c r="AD105" s="357"/>
      <c r="AE105" s="357"/>
      <c r="AF105" s="357"/>
      <c r="AG105" s="357"/>
      <c r="AH105" s="357"/>
      <c r="AI105" s="357"/>
      <c r="AJ105" s="357"/>
      <c r="AK105" s="357"/>
      <c r="AL105" s="357"/>
      <c r="AM105" s="357"/>
      <c r="AN105" s="357"/>
      <c r="AO105" s="357"/>
      <c r="AP105" s="357"/>
      <c r="AQ105" s="357"/>
      <c r="AR105" s="357"/>
      <c r="AS105" s="357"/>
      <c r="AT105" s="357"/>
      <c r="AU105" s="357"/>
      <c r="AV105" s="357"/>
      <c r="AW105" s="357"/>
      <c r="AX105" s="357"/>
      <c r="AY105" s="357"/>
      <c r="AZ105" s="357"/>
      <c r="BA105" s="357"/>
      <c r="BB105" s="357"/>
      <c r="BC105" s="357"/>
      <c r="BD105" s="357"/>
      <c r="BE105" s="357"/>
      <c r="BF105" s="357"/>
      <c r="BG105" s="357"/>
      <c r="BH105" s="357"/>
      <c r="BI105" s="357"/>
      <c r="BJ105" s="357"/>
      <c r="BK105" s="357"/>
      <c r="BL105" s="357"/>
      <c r="BM105" s="357"/>
      <c r="BN105" s="357"/>
      <c r="BO105" s="357"/>
      <c r="BP105" s="357"/>
      <c r="BQ105" s="357"/>
      <c r="BR105" s="357"/>
      <c r="BS105" s="357"/>
      <c r="BT105" s="357"/>
      <c r="BU105" s="357"/>
      <c r="BV105" s="357"/>
      <c r="BW105" s="357"/>
      <c r="BX105" s="357"/>
      <c r="BY105" s="357"/>
      <c r="BZ105" s="357"/>
      <c r="CA105" s="357"/>
      <c r="CB105" s="357"/>
      <c r="CC105" s="357"/>
      <c r="CD105" s="357"/>
      <c r="CE105" s="357"/>
      <c r="CF105" s="357"/>
      <c r="CG105" s="357"/>
      <c r="CH105" s="357"/>
      <c r="CI105" s="357"/>
      <c r="CJ105" s="357"/>
      <c r="CK105" s="357"/>
      <c r="CL105" s="357"/>
      <c r="CM105" s="357"/>
      <c r="CN105" s="357"/>
      <c r="CO105" s="357"/>
      <c r="CP105" s="357"/>
      <c r="CQ105" s="357"/>
      <c r="CR105" s="357"/>
      <c r="CS105" s="357"/>
      <c r="CT105" s="357"/>
      <c r="CU105" s="357"/>
      <c r="CV105" s="357"/>
      <c r="CW105" s="357"/>
      <c r="CX105" s="357"/>
      <c r="CY105" s="357"/>
      <c r="CZ105" s="357"/>
      <c r="DA105" s="357"/>
      <c r="DB105" s="357"/>
      <c r="DC105" s="357"/>
      <c r="DD105" s="357"/>
      <c r="DE105" s="357"/>
      <c r="DF105" s="357"/>
      <c r="DG105" s="357"/>
      <c r="DH105" s="357"/>
      <c r="DI105" s="357"/>
      <c r="DJ105" s="357"/>
      <c r="DK105" s="357"/>
      <c r="DL105" s="357"/>
      <c r="DM105" s="357"/>
      <c r="DN105" s="357"/>
      <c r="DO105" s="357"/>
      <c r="DP105" s="357"/>
      <c r="DQ105" s="357"/>
      <c r="DR105" s="357"/>
      <c r="DS105" s="357"/>
      <c r="DT105" s="357"/>
      <c r="DU105" s="357"/>
      <c r="DV105" s="357"/>
      <c r="DW105" s="357"/>
      <c r="DX105" s="357"/>
      <c r="DY105" s="357"/>
      <c r="DZ105" s="357"/>
      <c r="EA105" s="357"/>
      <c r="EB105" s="357"/>
      <c r="EC105" s="357"/>
      <c r="ED105" s="357"/>
      <c r="EE105" s="357"/>
      <c r="EF105" s="357"/>
      <c r="EG105" s="357"/>
      <c r="EH105" s="357"/>
      <c r="EI105" s="357"/>
      <c r="EJ105" s="357"/>
      <c r="EK105" s="357"/>
      <c r="EL105" s="357"/>
      <c r="EM105" s="357"/>
      <c r="EN105" s="357"/>
      <c r="EO105" s="357"/>
      <c r="EP105" s="357"/>
      <c r="EQ105" s="357"/>
      <c r="ER105" s="357"/>
      <c r="ES105" s="357"/>
      <c r="ET105" s="357"/>
      <c r="EU105" s="357"/>
      <c r="EV105" s="357"/>
      <c r="EW105" s="357"/>
      <c r="EX105" s="357"/>
      <c r="EY105" s="357"/>
      <c r="EZ105" s="357"/>
      <c r="FA105" s="357"/>
      <c r="FB105" s="357"/>
      <c r="FC105" s="357"/>
      <c r="FD105" s="357"/>
      <c r="FE105" s="357"/>
      <c r="FF105" s="357"/>
      <c r="FG105" s="357"/>
      <c r="FH105" s="357"/>
      <c r="FI105" s="357"/>
      <c r="FJ105" s="357"/>
      <c r="FK105" s="357"/>
      <c r="FL105" s="357"/>
      <c r="FM105" s="357"/>
      <c r="FN105" s="357"/>
      <c r="FO105" s="357"/>
      <c r="FP105" s="357"/>
      <c r="FQ105" s="357"/>
      <c r="FR105" s="357"/>
      <c r="FS105" s="357"/>
      <c r="FT105" s="357"/>
      <c r="FU105" s="357"/>
      <c r="FV105" s="357"/>
      <c r="FW105" s="357"/>
      <c r="FX105" s="357"/>
      <c r="FY105" s="357"/>
      <c r="FZ105" s="357"/>
      <c r="GA105" s="357"/>
      <c r="GB105" s="357"/>
      <c r="GC105" s="357"/>
      <c r="GD105" s="357"/>
      <c r="GE105" s="357"/>
      <c r="GF105" s="357"/>
      <c r="GG105" s="357"/>
      <c r="GH105" s="357"/>
      <c r="GI105" s="357"/>
      <c r="GJ105" s="357"/>
      <c r="GK105" s="154"/>
      <c r="GL105" s="154"/>
      <c r="GM105" s="154"/>
      <c r="GN105" s="154"/>
      <c r="GO105" s="154"/>
      <c r="GP105" s="154"/>
      <c r="GQ105" s="154"/>
      <c r="GR105" s="154"/>
      <c r="GS105" s="154"/>
      <c r="GT105" s="154"/>
      <c r="GU105" s="154"/>
      <c r="GV105" s="154"/>
      <c r="GW105" s="154"/>
      <c r="GX105" s="154"/>
    </row>
    <row r="106" spans="7:206">
      <c r="G106" s="154"/>
      <c r="H106" s="154"/>
      <c r="I106" s="154"/>
      <c r="J106" s="154"/>
      <c r="K106" s="154"/>
      <c r="L106" s="154"/>
      <c r="M106" s="154"/>
      <c r="N106" s="154"/>
      <c r="O106" s="154"/>
      <c r="P106" s="154"/>
      <c r="Q106" s="154"/>
      <c r="R106" s="154"/>
      <c r="S106" s="154"/>
      <c r="T106" s="154"/>
      <c r="U106" s="154"/>
      <c r="V106" s="154"/>
      <c r="W106" s="154"/>
      <c r="X106" s="154"/>
      <c r="Y106" s="154"/>
      <c r="Z106" s="357"/>
      <c r="AA106" s="357"/>
      <c r="AB106" s="357"/>
      <c r="AC106" s="357"/>
      <c r="AD106" s="357"/>
      <c r="AE106" s="357"/>
      <c r="AF106" s="357"/>
      <c r="AG106" s="357"/>
      <c r="AH106" s="357"/>
      <c r="AI106" s="357"/>
      <c r="AJ106" s="357"/>
      <c r="AK106" s="357"/>
      <c r="AL106" s="357"/>
      <c r="AM106" s="357"/>
      <c r="AN106" s="357"/>
      <c r="AO106" s="357"/>
      <c r="AP106" s="357"/>
      <c r="AQ106" s="357"/>
      <c r="AR106" s="357"/>
      <c r="AS106" s="357"/>
      <c r="AT106" s="357"/>
      <c r="AU106" s="357"/>
      <c r="AV106" s="357"/>
      <c r="AW106" s="357"/>
      <c r="AX106" s="357"/>
      <c r="AY106" s="357"/>
      <c r="AZ106" s="357"/>
      <c r="BA106" s="357"/>
      <c r="BB106" s="357"/>
      <c r="BC106" s="357"/>
      <c r="BD106" s="357"/>
      <c r="BE106" s="357"/>
      <c r="BF106" s="357"/>
      <c r="BG106" s="357"/>
      <c r="BH106" s="357"/>
      <c r="BI106" s="357"/>
      <c r="BJ106" s="357"/>
      <c r="BK106" s="357"/>
      <c r="BL106" s="357"/>
      <c r="BM106" s="357"/>
      <c r="BN106" s="357"/>
      <c r="BO106" s="357"/>
      <c r="BP106" s="357"/>
      <c r="BQ106" s="357"/>
      <c r="BR106" s="357"/>
      <c r="BS106" s="357"/>
      <c r="BT106" s="357"/>
      <c r="BU106" s="357"/>
      <c r="BV106" s="357"/>
      <c r="BW106" s="357"/>
      <c r="BX106" s="357"/>
      <c r="BY106" s="357"/>
      <c r="BZ106" s="357"/>
      <c r="CA106" s="357"/>
      <c r="CB106" s="357"/>
      <c r="CC106" s="357"/>
      <c r="CD106" s="357"/>
      <c r="CE106" s="357"/>
      <c r="CF106" s="357"/>
      <c r="CG106" s="357"/>
      <c r="CH106" s="357"/>
      <c r="CI106" s="357"/>
      <c r="CJ106" s="357"/>
      <c r="CK106" s="357"/>
      <c r="CL106" s="357"/>
      <c r="CM106" s="357"/>
      <c r="CN106" s="357"/>
      <c r="CO106" s="357"/>
      <c r="CP106" s="357"/>
      <c r="CQ106" s="357"/>
      <c r="CR106" s="357"/>
      <c r="CS106" s="357"/>
      <c r="CT106" s="357"/>
      <c r="CU106" s="357"/>
      <c r="CV106" s="357"/>
      <c r="CW106" s="357"/>
      <c r="CX106" s="357"/>
      <c r="CY106" s="357"/>
      <c r="CZ106" s="357"/>
      <c r="DA106" s="357"/>
      <c r="DB106" s="357"/>
      <c r="DC106" s="357"/>
      <c r="DD106" s="357"/>
      <c r="DE106" s="357"/>
      <c r="DF106" s="357"/>
      <c r="DG106" s="357"/>
      <c r="DH106" s="357"/>
      <c r="DI106" s="357"/>
      <c r="DJ106" s="357"/>
      <c r="DK106" s="357"/>
      <c r="DL106" s="357"/>
      <c r="DM106" s="357"/>
      <c r="DN106" s="357"/>
      <c r="DO106" s="357"/>
      <c r="DP106" s="357"/>
      <c r="DQ106" s="357"/>
      <c r="DR106" s="357"/>
      <c r="DS106" s="357"/>
      <c r="DT106" s="357"/>
      <c r="DU106" s="357"/>
      <c r="DV106" s="357"/>
      <c r="DW106" s="357"/>
      <c r="DX106" s="357"/>
      <c r="DY106" s="357"/>
      <c r="DZ106" s="357"/>
      <c r="EA106" s="357"/>
      <c r="EB106" s="357"/>
      <c r="EC106" s="357"/>
      <c r="ED106" s="357"/>
      <c r="EE106" s="357"/>
      <c r="EF106" s="357"/>
      <c r="EG106" s="357"/>
      <c r="EH106" s="357"/>
      <c r="EI106" s="357"/>
      <c r="EJ106" s="357"/>
      <c r="EK106" s="357"/>
      <c r="EL106" s="357"/>
      <c r="EM106" s="357"/>
      <c r="EN106" s="357"/>
      <c r="EO106" s="357"/>
      <c r="EP106" s="357"/>
      <c r="EQ106" s="357"/>
      <c r="ER106" s="357"/>
      <c r="ES106" s="357"/>
      <c r="ET106" s="357"/>
      <c r="EU106" s="357"/>
      <c r="EV106" s="357"/>
      <c r="EW106" s="357"/>
      <c r="EX106" s="357"/>
      <c r="EY106" s="357"/>
      <c r="EZ106" s="357"/>
      <c r="FA106" s="357"/>
      <c r="FB106" s="357"/>
      <c r="FC106" s="357"/>
      <c r="FD106" s="357"/>
      <c r="FE106" s="357"/>
      <c r="FF106" s="357"/>
      <c r="FG106" s="357"/>
      <c r="FH106" s="357"/>
      <c r="FI106" s="357"/>
      <c r="FJ106" s="357"/>
      <c r="FK106" s="357"/>
      <c r="FL106" s="357"/>
      <c r="FM106" s="357"/>
      <c r="FN106" s="357"/>
      <c r="FO106" s="357"/>
      <c r="FP106" s="357"/>
      <c r="FQ106" s="357"/>
      <c r="FR106" s="357"/>
      <c r="FS106" s="357"/>
      <c r="FT106" s="357"/>
      <c r="FU106" s="357"/>
      <c r="FV106" s="357"/>
      <c r="FW106" s="357"/>
      <c r="FX106" s="357"/>
      <c r="FY106" s="357"/>
      <c r="FZ106" s="357"/>
      <c r="GA106" s="357"/>
      <c r="GB106" s="357"/>
      <c r="GC106" s="357"/>
      <c r="GD106" s="357"/>
      <c r="GE106" s="357"/>
      <c r="GF106" s="357"/>
      <c r="GG106" s="357"/>
      <c r="GH106" s="357"/>
      <c r="GI106" s="357"/>
      <c r="GJ106" s="357"/>
      <c r="GK106" s="154"/>
      <c r="GL106" s="154"/>
      <c r="GM106" s="154"/>
      <c r="GN106" s="154"/>
      <c r="GO106" s="154"/>
      <c r="GP106" s="154"/>
      <c r="GQ106" s="154"/>
      <c r="GR106" s="154"/>
      <c r="GS106" s="154"/>
      <c r="GT106" s="154"/>
      <c r="GU106" s="154"/>
      <c r="GV106" s="154"/>
      <c r="GW106" s="154"/>
      <c r="GX106" s="154"/>
    </row>
    <row r="107" spans="7:206">
      <c r="G107" s="154"/>
      <c r="H107" s="154"/>
      <c r="I107" s="154"/>
      <c r="J107" s="154"/>
      <c r="K107" s="154"/>
      <c r="L107" s="154"/>
      <c r="M107" s="154"/>
      <c r="N107" s="154"/>
      <c r="O107" s="154"/>
      <c r="P107" s="154"/>
      <c r="Q107" s="154"/>
      <c r="R107" s="154"/>
      <c r="S107" s="154"/>
      <c r="T107" s="154"/>
      <c r="U107" s="154"/>
      <c r="V107" s="154"/>
      <c r="W107" s="154"/>
      <c r="X107" s="154"/>
      <c r="Y107" s="154"/>
      <c r="Z107" s="357"/>
      <c r="AA107" s="357"/>
      <c r="AB107" s="357"/>
      <c r="AC107" s="357"/>
      <c r="AD107" s="357"/>
      <c r="AE107" s="357"/>
      <c r="AF107" s="357"/>
      <c r="AG107" s="357"/>
      <c r="AH107" s="357"/>
      <c r="AI107" s="357"/>
      <c r="AJ107" s="357"/>
      <c r="AK107" s="357"/>
      <c r="AL107" s="357"/>
      <c r="AM107" s="357"/>
      <c r="AN107" s="357"/>
      <c r="AO107" s="357"/>
      <c r="AP107" s="357"/>
      <c r="AQ107" s="357"/>
      <c r="AR107" s="357"/>
      <c r="AS107" s="357"/>
      <c r="AT107" s="357"/>
      <c r="AU107" s="357"/>
      <c r="AV107" s="357"/>
      <c r="AW107" s="357"/>
      <c r="AX107" s="357"/>
      <c r="AY107" s="357"/>
      <c r="AZ107" s="357"/>
      <c r="BA107" s="357"/>
      <c r="BB107" s="357"/>
      <c r="BC107" s="357"/>
      <c r="BD107" s="357"/>
      <c r="BE107" s="357"/>
      <c r="BF107" s="357"/>
      <c r="BG107" s="357"/>
      <c r="BH107" s="357"/>
      <c r="BI107" s="357"/>
      <c r="BJ107" s="357"/>
      <c r="BK107" s="357"/>
      <c r="BL107" s="357"/>
      <c r="BM107" s="357"/>
      <c r="BN107" s="357"/>
      <c r="BO107" s="357"/>
      <c r="BP107" s="357"/>
      <c r="BQ107" s="357"/>
      <c r="BR107" s="357"/>
      <c r="BS107" s="357"/>
      <c r="BT107" s="357"/>
      <c r="BU107" s="357"/>
      <c r="BV107" s="357"/>
      <c r="BW107" s="357"/>
      <c r="BX107" s="357"/>
      <c r="BY107" s="357"/>
      <c r="BZ107" s="357"/>
      <c r="CA107" s="357"/>
      <c r="CB107" s="357"/>
      <c r="CC107" s="357"/>
      <c r="CD107" s="357"/>
      <c r="CE107" s="357"/>
      <c r="CF107" s="357"/>
      <c r="CG107" s="357"/>
      <c r="CH107" s="357"/>
      <c r="CI107" s="357"/>
      <c r="CJ107" s="357"/>
      <c r="CK107" s="357"/>
      <c r="CL107" s="357"/>
      <c r="CM107" s="357"/>
      <c r="CN107" s="357"/>
      <c r="CO107" s="357"/>
      <c r="CP107" s="357"/>
      <c r="CQ107" s="357"/>
      <c r="CR107" s="357"/>
      <c r="CS107" s="357"/>
      <c r="CT107" s="357"/>
      <c r="CU107" s="357"/>
      <c r="CV107" s="357"/>
      <c r="CW107" s="357"/>
      <c r="CX107" s="357"/>
      <c r="CY107" s="357"/>
      <c r="CZ107" s="357"/>
      <c r="DA107" s="357"/>
      <c r="DB107" s="357"/>
      <c r="DC107" s="357"/>
      <c r="DD107" s="357"/>
      <c r="DE107" s="357"/>
      <c r="DF107" s="357"/>
      <c r="DG107" s="357"/>
      <c r="DH107" s="357"/>
      <c r="DI107" s="357"/>
      <c r="DJ107" s="357"/>
      <c r="DK107" s="357"/>
      <c r="DL107" s="357"/>
      <c r="DM107" s="357"/>
      <c r="DN107" s="357"/>
      <c r="DO107" s="357"/>
      <c r="DP107" s="357"/>
      <c r="DQ107" s="357"/>
      <c r="DR107" s="357"/>
      <c r="DS107" s="357"/>
      <c r="DT107" s="357"/>
      <c r="DU107" s="357"/>
      <c r="DV107" s="357"/>
      <c r="DW107" s="357"/>
      <c r="DX107" s="357"/>
      <c r="DY107" s="357"/>
      <c r="DZ107" s="357"/>
      <c r="EA107" s="357"/>
      <c r="EB107" s="357"/>
      <c r="EC107" s="357"/>
      <c r="ED107" s="357"/>
      <c r="EE107" s="357"/>
      <c r="EF107" s="357"/>
      <c r="EG107" s="357"/>
      <c r="EH107" s="357"/>
      <c r="EI107" s="357"/>
      <c r="EJ107" s="357"/>
      <c r="EK107" s="357"/>
      <c r="EL107" s="357"/>
      <c r="EM107" s="357"/>
      <c r="EN107" s="357"/>
      <c r="EO107" s="357"/>
      <c r="EP107" s="357"/>
      <c r="EQ107" s="357"/>
      <c r="ER107" s="357"/>
      <c r="ES107" s="357"/>
      <c r="ET107" s="357"/>
      <c r="EU107" s="357"/>
      <c r="EV107" s="357"/>
      <c r="EW107" s="357"/>
      <c r="EX107" s="357"/>
      <c r="EY107" s="357"/>
      <c r="EZ107" s="357"/>
      <c r="FA107" s="357"/>
      <c r="FB107" s="357"/>
      <c r="FC107" s="357"/>
      <c r="FD107" s="357"/>
      <c r="FE107" s="357"/>
      <c r="FF107" s="357"/>
      <c r="FG107" s="357"/>
      <c r="FH107" s="357"/>
      <c r="FI107" s="357"/>
      <c r="FJ107" s="357"/>
      <c r="FK107" s="357"/>
      <c r="FL107" s="357"/>
      <c r="FM107" s="357"/>
      <c r="FN107" s="357"/>
      <c r="FO107" s="357"/>
      <c r="FP107" s="357"/>
      <c r="FQ107" s="357"/>
      <c r="FR107" s="357"/>
      <c r="FS107" s="357"/>
      <c r="FT107" s="357"/>
      <c r="FU107" s="357"/>
      <c r="FV107" s="357"/>
      <c r="FW107" s="357"/>
      <c r="FX107" s="357"/>
      <c r="FY107" s="357"/>
      <c r="FZ107" s="357"/>
      <c r="GA107" s="357"/>
      <c r="GB107" s="357"/>
      <c r="GC107" s="357"/>
      <c r="GD107" s="357"/>
      <c r="GE107" s="357"/>
      <c r="GF107" s="357"/>
      <c r="GG107" s="357"/>
      <c r="GH107" s="357"/>
      <c r="GI107" s="357"/>
      <c r="GJ107" s="357"/>
      <c r="GK107" s="154"/>
      <c r="GL107" s="154"/>
      <c r="GM107" s="154"/>
      <c r="GN107" s="154"/>
      <c r="GO107" s="154"/>
      <c r="GP107" s="154"/>
      <c r="GQ107" s="154"/>
      <c r="GR107" s="154"/>
      <c r="GS107" s="154"/>
      <c r="GT107" s="154"/>
      <c r="GU107" s="154"/>
      <c r="GV107" s="154"/>
      <c r="GW107" s="154"/>
      <c r="GX107" s="154"/>
    </row>
    <row r="108" spans="7:206">
      <c r="G108" s="154"/>
      <c r="H108" s="154"/>
      <c r="I108" s="154"/>
      <c r="J108" s="154"/>
      <c r="K108" s="154"/>
      <c r="L108" s="154"/>
      <c r="M108" s="154"/>
      <c r="N108" s="154"/>
      <c r="O108" s="154"/>
      <c r="P108" s="154"/>
      <c r="Q108" s="154"/>
      <c r="R108" s="154"/>
      <c r="S108" s="154"/>
      <c r="T108" s="154"/>
      <c r="U108" s="154"/>
      <c r="V108" s="154"/>
      <c r="W108" s="154"/>
      <c r="X108" s="154"/>
      <c r="Y108" s="154"/>
      <c r="Z108" s="357"/>
      <c r="AA108" s="357"/>
      <c r="AB108" s="357"/>
      <c r="AC108" s="357"/>
      <c r="AD108" s="357"/>
      <c r="AE108" s="357"/>
      <c r="AF108" s="357"/>
      <c r="AG108" s="357"/>
      <c r="AH108" s="357"/>
      <c r="AI108" s="357"/>
      <c r="AJ108" s="357"/>
      <c r="AK108" s="357"/>
      <c r="AL108" s="357"/>
      <c r="AM108" s="357"/>
      <c r="AN108" s="357"/>
      <c r="AO108" s="357"/>
      <c r="AP108" s="357"/>
      <c r="AQ108" s="357"/>
      <c r="AR108" s="357"/>
      <c r="AS108" s="357"/>
      <c r="AT108" s="357"/>
      <c r="AU108" s="357"/>
      <c r="AV108" s="357"/>
      <c r="AW108" s="357"/>
      <c r="AX108" s="357"/>
      <c r="AY108" s="357"/>
      <c r="AZ108" s="357"/>
      <c r="BA108" s="357"/>
      <c r="BB108" s="357"/>
      <c r="BC108" s="357"/>
      <c r="BD108" s="357"/>
      <c r="BE108" s="357"/>
      <c r="BF108" s="357"/>
      <c r="BG108" s="357"/>
      <c r="BH108" s="357"/>
      <c r="BI108" s="357"/>
      <c r="BJ108" s="357"/>
      <c r="BK108" s="357"/>
      <c r="BL108" s="357"/>
      <c r="BM108" s="357"/>
      <c r="BN108" s="357"/>
      <c r="BO108" s="357"/>
      <c r="BP108" s="357"/>
      <c r="BQ108" s="357"/>
      <c r="BR108" s="357"/>
      <c r="BS108" s="357"/>
      <c r="BT108" s="357"/>
      <c r="BU108" s="357"/>
      <c r="BV108" s="357"/>
      <c r="BW108" s="357"/>
      <c r="BX108" s="357"/>
      <c r="BY108" s="357"/>
      <c r="BZ108" s="357"/>
      <c r="CA108" s="357"/>
      <c r="CB108" s="357"/>
      <c r="CC108" s="357"/>
      <c r="CD108" s="357"/>
      <c r="CE108" s="357"/>
      <c r="CF108" s="357"/>
      <c r="CG108" s="357"/>
      <c r="CH108" s="357"/>
      <c r="CI108" s="357"/>
      <c r="CJ108" s="357"/>
      <c r="CK108" s="357"/>
      <c r="CL108" s="357"/>
      <c r="CM108" s="357"/>
      <c r="CN108" s="357"/>
      <c r="CO108" s="357"/>
      <c r="CP108" s="357"/>
      <c r="CQ108" s="357"/>
      <c r="CR108" s="357"/>
      <c r="CS108" s="357"/>
      <c r="CT108" s="357"/>
      <c r="CU108" s="357"/>
      <c r="CV108" s="357"/>
      <c r="CW108" s="357"/>
      <c r="CX108" s="357"/>
      <c r="CY108" s="357"/>
      <c r="CZ108" s="357"/>
      <c r="DA108" s="357"/>
      <c r="DB108" s="357"/>
      <c r="DC108" s="357"/>
      <c r="DD108" s="357"/>
      <c r="DE108" s="357"/>
      <c r="DF108" s="357"/>
      <c r="DG108" s="357"/>
      <c r="DH108" s="357"/>
      <c r="DI108" s="357"/>
      <c r="DJ108" s="357"/>
      <c r="DK108" s="357"/>
      <c r="DL108" s="357"/>
      <c r="DM108" s="357"/>
      <c r="DN108" s="357"/>
      <c r="DO108" s="357"/>
      <c r="DP108" s="357"/>
      <c r="DQ108" s="357"/>
      <c r="DR108" s="357"/>
      <c r="DS108" s="357"/>
      <c r="DT108" s="357"/>
      <c r="DU108" s="357"/>
      <c r="DV108" s="357"/>
      <c r="DW108" s="357"/>
      <c r="DX108" s="357"/>
      <c r="DY108" s="357"/>
      <c r="DZ108" s="357"/>
      <c r="EA108" s="357"/>
      <c r="EB108" s="357"/>
      <c r="EC108" s="357"/>
      <c r="ED108" s="357"/>
      <c r="EE108" s="357"/>
      <c r="EF108" s="357"/>
      <c r="EG108" s="357"/>
      <c r="EH108" s="357"/>
      <c r="EI108" s="357"/>
      <c r="EJ108" s="357"/>
      <c r="EK108" s="357"/>
      <c r="EL108" s="357"/>
      <c r="EM108" s="357"/>
      <c r="EN108" s="357"/>
      <c r="EO108" s="357"/>
      <c r="EP108" s="357"/>
      <c r="EQ108" s="357"/>
      <c r="ER108" s="357"/>
      <c r="ES108" s="357"/>
      <c r="ET108" s="357"/>
      <c r="EU108" s="357"/>
      <c r="EV108" s="357"/>
      <c r="EW108" s="357"/>
      <c r="EX108" s="357"/>
      <c r="EY108" s="357"/>
      <c r="EZ108" s="357"/>
      <c r="FA108" s="357"/>
      <c r="FB108" s="357"/>
      <c r="FC108" s="357"/>
      <c r="FD108" s="357"/>
      <c r="FE108" s="357"/>
      <c r="FF108" s="357"/>
      <c r="FG108" s="357"/>
      <c r="FH108" s="357"/>
      <c r="FI108" s="357"/>
      <c r="FJ108" s="357"/>
      <c r="FK108" s="357"/>
      <c r="FL108" s="357"/>
      <c r="FM108" s="357"/>
      <c r="FN108" s="357"/>
      <c r="FO108" s="357"/>
      <c r="FP108" s="357"/>
      <c r="FQ108" s="357"/>
      <c r="FR108" s="357"/>
      <c r="FS108" s="357"/>
      <c r="FT108" s="357"/>
      <c r="FU108" s="357"/>
      <c r="FV108" s="357"/>
      <c r="FW108" s="357"/>
      <c r="FX108" s="357"/>
      <c r="FY108" s="357"/>
      <c r="FZ108" s="357"/>
      <c r="GA108" s="357"/>
      <c r="GB108" s="357"/>
      <c r="GC108" s="357"/>
      <c r="GD108" s="357"/>
      <c r="GE108" s="357"/>
      <c r="GF108" s="357"/>
      <c r="GG108" s="357"/>
      <c r="GH108" s="357"/>
      <c r="GI108" s="357"/>
      <c r="GJ108" s="357"/>
      <c r="GK108" s="154"/>
      <c r="GL108" s="154"/>
      <c r="GM108" s="154"/>
      <c r="GN108" s="154"/>
      <c r="GO108" s="154"/>
      <c r="GP108" s="154"/>
      <c r="GQ108" s="154"/>
      <c r="GR108" s="154"/>
      <c r="GS108" s="154"/>
      <c r="GT108" s="154"/>
      <c r="GU108" s="154"/>
      <c r="GV108" s="154"/>
      <c r="GW108" s="154"/>
      <c r="GX108" s="154"/>
    </row>
    <row r="109" spans="7:206">
      <c r="G109" s="154"/>
      <c r="H109" s="154"/>
      <c r="I109" s="154"/>
      <c r="J109" s="154"/>
      <c r="K109" s="154"/>
      <c r="L109" s="154"/>
      <c r="M109" s="154"/>
      <c r="N109" s="154"/>
      <c r="O109" s="154"/>
      <c r="P109" s="154"/>
      <c r="Q109" s="154"/>
      <c r="R109" s="154"/>
      <c r="S109" s="154"/>
      <c r="T109" s="154"/>
      <c r="U109" s="154"/>
      <c r="V109" s="154"/>
      <c r="W109" s="154"/>
      <c r="X109" s="154"/>
      <c r="Y109" s="154"/>
      <c r="Z109" s="357"/>
      <c r="AA109" s="357"/>
      <c r="AB109" s="357"/>
      <c r="AC109" s="357"/>
      <c r="AD109" s="357"/>
      <c r="AE109" s="357"/>
      <c r="AF109" s="357"/>
      <c r="AG109" s="357"/>
      <c r="AH109" s="357"/>
      <c r="AI109" s="357"/>
      <c r="AJ109" s="357"/>
      <c r="AK109" s="357"/>
      <c r="AL109" s="357"/>
      <c r="AM109" s="357"/>
      <c r="AN109" s="357"/>
      <c r="AO109" s="357"/>
      <c r="AP109" s="357"/>
      <c r="AQ109" s="357"/>
      <c r="AR109" s="357"/>
      <c r="AS109" s="357"/>
      <c r="AT109" s="357"/>
      <c r="AU109" s="357"/>
      <c r="AV109" s="357"/>
      <c r="AW109" s="357"/>
      <c r="AX109" s="357"/>
      <c r="AY109" s="357"/>
      <c r="AZ109" s="357"/>
      <c r="BA109" s="357"/>
      <c r="BB109" s="357"/>
      <c r="BC109" s="357"/>
      <c r="BD109" s="357"/>
      <c r="BE109" s="357"/>
      <c r="BF109" s="357"/>
      <c r="BG109" s="357"/>
      <c r="BH109" s="357"/>
      <c r="BI109" s="357"/>
      <c r="BJ109" s="357"/>
      <c r="BK109" s="357"/>
      <c r="BL109" s="357"/>
      <c r="BM109" s="357"/>
      <c r="BN109" s="357"/>
      <c r="BO109" s="357"/>
      <c r="BP109" s="357"/>
      <c r="BQ109" s="357"/>
      <c r="BR109" s="357"/>
      <c r="BS109" s="357"/>
      <c r="BT109" s="357"/>
      <c r="BU109" s="357"/>
      <c r="BV109" s="357"/>
      <c r="BW109" s="357"/>
      <c r="BX109" s="357"/>
      <c r="BY109" s="357"/>
      <c r="BZ109" s="357"/>
      <c r="CA109" s="357"/>
      <c r="CB109" s="357"/>
      <c r="CC109" s="357"/>
      <c r="CD109" s="357"/>
      <c r="CE109" s="357"/>
      <c r="CF109" s="357"/>
      <c r="CG109" s="357"/>
      <c r="CH109" s="357"/>
      <c r="CI109" s="357"/>
      <c r="CJ109" s="357"/>
      <c r="CK109" s="357"/>
      <c r="CL109" s="357"/>
      <c r="CM109" s="357"/>
      <c r="CN109" s="357"/>
      <c r="CO109" s="357"/>
      <c r="CP109" s="357"/>
      <c r="CQ109" s="357"/>
      <c r="CR109" s="357"/>
      <c r="CS109" s="357"/>
      <c r="CT109" s="357"/>
      <c r="CU109" s="357"/>
      <c r="CV109" s="357"/>
      <c r="CW109" s="357"/>
      <c r="CX109" s="357"/>
      <c r="CY109" s="357"/>
      <c r="CZ109" s="357"/>
      <c r="DA109" s="357"/>
      <c r="DB109" s="357"/>
      <c r="DC109" s="357"/>
      <c r="DD109" s="357"/>
      <c r="DE109" s="357"/>
      <c r="DF109" s="357"/>
      <c r="DG109" s="357"/>
      <c r="DH109" s="357"/>
      <c r="DI109" s="357"/>
      <c r="DJ109" s="357"/>
      <c r="DK109" s="357"/>
      <c r="DL109" s="357"/>
      <c r="DM109" s="357"/>
      <c r="DN109" s="357"/>
      <c r="DO109" s="357"/>
      <c r="DP109" s="357"/>
      <c r="DQ109" s="357"/>
      <c r="DR109" s="357"/>
      <c r="DS109" s="357"/>
      <c r="DT109" s="357"/>
      <c r="DU109" s="357"/>
      <c r="DV109" s="357"/>
      <c r="DW109" s="357"/>
      <c r="DX109" s="357"/>
      <c r="DY109" s="357"/>
      <c r="DZ109" s="357"/>
      <c r="EA109" s="357"/>
      <c r="EB109" s="357"/>
      <c r="EC109" s="357"/>
      <c r="ED109" s="357"/>
      <c r="EE109" s="357"/>
      <c r="EF109" s="357"/>
      <c r="EG109" s="357"/>
      <c r="EH109" s="357"/>
      <c r="EI109" s="357"/>
      <c r="EJ109" s="357"/>
      <c r="EK109" s="357"/>
      <c r="EL109" s="357"/>
      <c r="EM109" s="357"/>
      <c r="EN109" s="357"/>
      <c r="EO109" s="357"/>
      <c r="EP109" s="357"/>
      <c r="EQ109" s="357"/>
      <c r="ER109" s="357"/>
      <c r="ES109" s="357"/>
      <c r="ET109" s="357"/>
      <c r="EU109" s="357"/>
      <c r="EV109" s="357"/>
      <c r="EW109" s="357"/>
      <c r="EX109" s="357"/>
      <c r="EY109" s="357"/>
      <c r="EZ109" s="357"/>
      <c r="FA109" s="357"/>
      <c r="FB109" s="357"/>
      <c r="FC109" s="357"/>
      <c r="FD109" s="357"/>
      <c r="FE109" s="357"/>
      <c r="FF109" s="357"/>
      <c r="FG109" s="357"/>
      <c r="FH109" s="357"/>
      <c r="FI109" s="357"/>
      <c r="FJ109" s="357"/>
      <c r="FK109" s="357"/>
      <c r="FL109" s="357"/>
      <c r="FM109" s="357"/>
      <c r="FN109" s="357"/>
      <c r="FO109" s="357"/>
      <c r="FP109" s="357"/>
      <c r="FQ109" s="357"/>
      <c r="FR109" s="357"/>
      <c r="FS109" s="357"/>
      <c r="FT109" s="357"/>
      <c r="FU109" s="357"/>
      <c r="FV109" s="357"/>
      <c r="FW109" s="357"/>
      <c r="FX109" s="357"/>
      <c r="FY109" s="357"/>
      <c r="FZ109" s="357"/>
      <c r="GA109" s="357"/>
      <c r="GB109" s="357"/>
      <c r="GC109" s="357"/>
      <c r="GD109" s="357"/>
      <c r="GE109" s="357"/>
      <c r="GF109" s="357"/>
      <c r="GG109" s="357"/>
      <c r="GH109" s="357"/>
      <c r="GI109" s="357"/>
      <c r="GJ109" s="357"/>
      <c r="GK109" s="154"/>
      <c r="GL109" s="154"/>
      <c r="GM109" s="154"/>
      <c r="GN109" s="154"/>
      <c r="GO109" s="154"/>
      <c r="GP109" s="154"/>
      <c r="GQ109" s="154"/>
      <c r="GR109" s="154"/>
      <c r="GS109" s="154"/>
      <c r="GT109" s="154"/>
      <c r="GU109" s="154"/>
      <c r="GV109" s="154"/>
      <c r="GW109" s="154"/>
      <c r="GX109" s="154"/>
    </row>
    <row r="110" spans="7:206">
      <c r="G110" s="154"/>
      <c r="H110" s="154"/>
      <c r="I110" s="154"/>
      <c r="J110" s="154"/>
      <c r="K110" s="154"/>
      <c r="L110" s="154"/>
      <c r="M110" s="154"/>
      <c r="N110" s="154"/>
      <c r="O110" s="154"/>
      <c r="P110" s="154"/>
      <c r="Q110" s="154"/>
      <c r="R110" s="154"/>
      <c r="S110" s="154"/>
      <c r="T110" s="154"/>
      <c r="U110" s="154"/>
      <c r="V110" s="154"/>
      <c r="W110" s="154"/>
      <c r="X110" s="154"/>
      <c r="Y110" s="154"/>
      <c r="Z110" s="357"/>
      <c r="AA110" s="357"/>
      <c r="AB110" s="357"/>
      <c r="AC110" s="357"/>
      <c r="AD110" s="357"/>
      <c r="AE110" s="357"/>
      <c r="AF110" s="357"/>
      <c r="AG110" s="357"/>
      <c r="AH110" s="357"/>
      <c r="AI110" s="357"/>
      <c r="AJ110" s="357"/>
      <c r="AK110" s="357"/>
      <c r="AL110" s="357"/>
      <c r="AM110" s="357"/>
      <c r="AN110" s="357"/>
      <c r="AO110" s="357"/>
      <c r="AP110" s="357"/>
      <c r="AQ110" s="357"/>
      <c r="AR110" s="357"/>
      <c r="AS110" s="357"/>
      <c r="AT110" s="357"/>
      <c r="AU110" s="357"/>
      <c r="AV110" s="357"/>
      <c r="AW110" s="357"/>
      <c r="AX110" s="357"/>
      <c r="AY110" s="357"/>
      <c r="AZ110" s="357"/>
      <c r="BA110" s="357"/>
      <c r="BB110" s="357"/>
      <c r="BC110" s="357"/>
      <c r="BD110" s="357"/>
      <c r="BE110" s="357"/>
      <c r="BF110" s="357"/>
      <c r="BG110" s="357"/>
      <c r="BH110" s="357"/>
      <c r="BI110" s="357"/>
      <c r="BJ110" s="357"/>
      <c r="BK110" s="357"/>
      <c r="BL110" s="357"/>
      <c r="BM110" s="357"/>
      <c r="BN110" s="357"/>
      <c r="BO110" s="357"/>
      <c r="BP110" s="357"/>
      <c r="BQ110" s="357"/>
      <c r="BR110" s="357"/>
      <c r="BS110" s="357"/>
      <c r="BT110" s="357"/>
      <c r="BU110" s="357"/>
      <c r="BV110" s="357"/>
      <c r="BW110" s="357"/>
      <c r="BX110" s="357"/>
      <c r="BY110" s="357"/>
      <c r="BZ110" s="357"/>
      <c r="CA110" s="357"/>
      <c r="CB110" s="357"/>
      <c r="CC110" s="357"/>
      <c r="CD110" s="357"/>
      <c r="CE110" s="357"/>
      <c r="CF110" s="357"/>
      <c r="CG110" s="357"/>
      <c r="CH110" s="357"/>
      <c r="CI110" s="357"/>
      <c r="CJ110" s="357"/>
      <c r="CK110" s="357"/>
      <c r="CL110" s="357"/>
      <c r="CM110" s="357"/>
      <c r="CN110" s="357"/>
      <c r="CO110" s="357"/>
      <c r="CP110" s="357"/>
      <c r="CQ110" s="357"/>
      <c r="CR110" s="357"/>
      <c r="CS110" s="357"/>
      <c r="CT110" s="357"/>
      <c r="CU110" s="357"/>
      <c r="CV110" s="357"/>
      <c r="CW110" s="357"/>
      <c r="CX110" s="357"/>
      <c r="CY110" s="357"/>
      <c r="CZ110" s="357"/>
      <c r="DA110" s="357"/>
      <c r="DB110" s="357"/>
      <c r="DC110" s="357"/>
      <c r="DD110" s="357"/>
      <c r="DE110" s="357"/>
      <c r="DF110" s="357"/>
      <c r="DG110" s="357"/>
      <c r="DH110" s="357"/>
      <c r="DI110" s="357"/>
      <c r="DJ110" s="357"/>
      <c r="DK110" s="357"/>
      <c r="DL110" s="357"/>
      <c r="DM110" s="357"/>
      <c r="DN110" s="357"/>
      <c r="DO110" s="357"/>
      <c r="DP110" s="357"/>
      <c r="DQ110" s="357"/>
      <c r="DR110" s="357"/>
      <c r="DS110" s="357"/>
      <c r="DT110" s="357"/>
      <c r="DU110" s="357"/>
      <c r="DV110" s="357"/>
      <c r="DW110" s="357"/>
      <c r="DX110" s="357"/>
      <c r="DY110" s="357"/>
      <c r="DZ110" s="357"/>
      <c r="EA110" s="357"/>
      <c r="EB110" s="357"/>
      <c r="EC110" s="357"/>
      <c r="ED110" s="357"/>
      <c r="EE110" s="357"/>
      <c r="EF110" s="357"/>
      <c r="EG110" s="357"/>
      <c r="EH110" s="357"/>
      <c r="EI110" s="357"/>
      <c r="EJ110" s="357"/>
      <c r="EK110" s="357"/>
      <c r="EL110" s="357"/>
      <c r="EM110" s="357"/>
      <c r="EN110" s="357"/>
      <c r="EO110" s="357"/>
      <c r="EP110" s="357"/>
      <c r="EQ110" s="357"/>
      <c r="ER110" s="357"/>
      <c r="ES110" s="357"/>
      <c r="ET110" s="357"/>
      <c r="EU110" s="357"/>
      <c r="EV110" s="357"/>
      <c r="EW110" s="357"/>
      <c r="EX110" s="357"/>
      <c r="EY110" s="357"/>
      <c r="EZ110" s="357"/>
      <c r="FA110" s="357"/>
      <c r="FB110" s="357"/>
      <c r="FC110" s="357"/>
      <c r="FD110" s="357"/>
      <c r="FE110" s="357"/>
      <c r="FF110" s="357"/>
      <c r="FG110" s="357"/>
      <c r="FH110" s="357"/>
      <c r="FI110" s="357"/>
      <c r="FJ110" s="357"/>
      <c r="FK110" s="357"/>
      <c r="FL110" s="357"/>
      <c r="FM110" s="357"/>
      <c r="FN110" s="357"/>
      <c r="FO110" s="357"/>
      <c r="FP110" s="357"/>
      <c r="FQ110" s="357"/>
      <c r="FR110" s="357"/>
      <c r="FS110" s="357"/>
      <c r="FT110" s="357"/>
      <c r="FU110" s="357"/>
      <c r="FV110" s="357"/>
      <c r="FW110" s="357"/>
      <c r="FX110" s="357"/>
      <c r="FY110" s="357"/>
      <c r="FZ110" s="357"/>
      <c r="GA110" s="357"/>
      <c r="GB110" s="357"/>
      <c r="GC110" s="357"/>
      <c r="GD110" s="357"/>
      <c r="GE110" s="357"/>
      <c r="GF110" s="357"/>
      <c r="GG110" s="357"/>
      <c r="GH110" s="357"/>
      <c r="GI110" s="357"/>
      <c r="GJ110" s="357"/>
      <c r="GK110" s="154"/>
      <c r="GL110" s="154"/>
      <c r="GM110" s="154"/>
      <c r="GN110" s="154"/>
      <c r="GO110" s="154"/>
      <c r="GP110" s="154"/>
      <c r="GQ110" s="154"/>
      <c r="GR110" s="154"/>
      <c r="GS110" s="154"/>
      <c r="GT110" s="154"/>
      <c r="GU110" s="154"/>
      <c r="GV110" s="154"/>
      <c r="GW110" s="154"/>
      <c r="GX110" s="154"/>
    </row>
    <row r="111" spans="7:206">
      <c r="G111" s="154"/>
      <c r="H111" s="154"/>
      <c r="I111" s="154"/>
      <c r="J111" s="154"/>
      <c r="K111" s="154"/>
      <c r="L111" s="154"/>
      <c r="M111" s="154"/>
      <c r="N111" s="154"/>
      <c r="O111" s="154"/>
      <c r="P111" s="154"/>
      <c r="Q111" s="154"/>
      <c r="R111" s="154"/>
      <c r="S111" s="154"/>
      <c r="T111" s="154"/>
      <c r="U111" s="154"/>
      <c r="V111" s="154"/>
      <c r="W111" s="154"/>
      <c r="X111" s="154"/>
      <c r="Y111" s="154"/>
      <c r="Z111" s="357"/>
      <c r="AA111" s="357"/>
      <c r="AB111" s="357"/>
      <c r="AC111" s="357"/>
      <c r="AD111" s="357"/>
      <c r="AE111" s="357"/>
      <c r="AF111" s="357"/>
      <c r="AG111" s="357"/>
      <c r="AH111" s="357"/>
      <c r="AI111" s="357"/>
      <c r="AJ111" s="357"/>
      <c r="AK111" s="357"/>
      <c r="AL111" s="357"/>
      <c r="AM111" s="357"/>
      <c r="AN111" s="357"/>
      <c r="AO111" s="357"/>
      <c r="AP111" s="357"/>
      <c r="AQ111" s="357"/>
      <c r="AR111" s="357"/>
      <c r="AS111" s="357"/>
      <c r="AT111" s="357"/>
      <c r="AU111" s="357"/>
      <c r="AV111" s="357"/>
      <c r="AW111" s="357"/>
      <c r="AX111" s="357"/>
      <c r="AY111" s="357"/>
      <c r="AZ111" s="357"/>
      <c r="BA111" s="357"/>
      <c r="BB111" s="357"/>
      <c r="BC111" s="357"/>
      <c r="BD111" s="357"/>
      <c r="BE111" s="357"/>
      <c r="BF111" s="357"/>
      <c r="BG111" s="357"/>
      <c r="BH111" s="357"/>
      <c r="BI111" s="357"/>
      <c r="BJ111" s="357"/>
      <c r="BK111" s="357"/>
      <c r="BL111" s="357"/>
      <c r="BM111" s="357"/>
      <c r="BN111" s="357"/>
      <c r="BO111" s="357"/>
      <c r="BP111" s="357"/>
      <c r="BQ111" s="357"/>
      <c r="BR111" s="357"/>
      <c r="BS111" s="357"/>
      <c r="BT111" s="357"/>
      <c r="BU111" s="357"/>
      <c r="BV111" s="357"/>
      <c r="BW111" s="357"/>
      <c r="BX111" s="357"/>
      <c r="BY111" s="357"/>
      <c r="BZ111" s="357"/>
      <c r="CA111" s="357"/>
      <c r="CB111" s="357"/>
      <c r="CC111" s="357"/>
      <c r="CD111" s="357"/>
      <c r="CE111" s="357"/>
      <c r="CF111" s="357"/>
      <c r="CG111" s="357"/>
      <c r="CH111" s="357"/>
      <c r="CI111" s="357"/>
      <c r="CJ111" s="357"/>
      <c r="CK111" s="357"/>
      <c r="CL111" s="357"/>
      <c r="CM111" s="357"/>
      <c r="CN111" s="357"/>
      <c r="CO111" s="357"/>
      <c r="CP111" s="357"/>
      <c r="CQ111" s="357"/>
      <c r="CR111" s="357"/>
      <c r="CS111" s="357"/>
      <c r="CT111" s="357"/>
      <c r="CU111" s="357"/>
      <c r="CV111" s="357"/>
      <c r="CW111" s="357"/>
      <c r="CX111" s="357"/>
      <c r="CY111" s="357"/>
      <c r="CZ111" s="357"/>
      <c r="DA111" s="357"/>
      <c r="DB111" s="357"/>
      <c r="DC111" s="357"/>
      <c r="DD111" s="357"/>
      <c r="DE111" s="357"/>
      <c r="DF111" s="357"/>
      <c r="DG111" s="357"/>
      <c r="DH111" s="357"/>
      <c r="DI111" s="357"/>
      <c r="DJ111" s="357"/>
      <c r="DK111" s="357"/>
      <c r="DL111" s="357"/>
      <c r="DM111" s="357"/>
      <c r="DN111" s="357"/>
      <c r="DO111" s="357"/>
      <c r="DP111" s="357"/>
      <c r="DQ111" s="357"/>
      <c r="DR111" s="357"/>
      <c r="DS111" s="357"/>
      <c r="DT111" s="357"/>
      <c r="DU111" s="357"/>
      <c r="DV111" s="357"/>
      <c r="DW111" s="357"/>
      <c r="DX111" s="357"/>
      <c r="DY111" s="357"/>
      <c r="DZ111" s="357"/>
      <c r="EA111" s="357"/>
      <c r="EB111" s="357"/>
      <c r="EC111" s="357"/>
      <c r="ED111" s="357"/>
      <c r="EE111" s="357"/>
      <c r="EF111" s="357"/>
      <c r="EG111" s="357"/>
      <c r="EH111" s="357"/>
      <c r="EI111" s="357"/>
      <c r="EJ111" s="357"/>
      <c r="EK111" s="357"/>
      <c r="EL111" s="357"/>
      <c r="EM111" s="357"/>
      <c r="EN111" s="357"/>
      <c r="EO111" s="357"/>
      <c r="EP111" s="357"/>
      <c r="EQ111" s="357"/>
      <c r="ER111" s="357"/>
      <c r="ES111" s="357"/>
      <c r="ET111" s="357"/>
      <c r="EU111" s="357"/>
      <c r="EV111" s="357"/>
      <c r="EW111" s="357"/>
      <c r="EX111" s="357"/>
      <c r="EY111" s="357"/>
      <c r="EZ111" s="357"/>
      <c r="FA111" s="357"/>
      <c r="FB111" s="357"/>
      <c r="FC111" s="357"/>
      <c r="FD111" s="357"/>
      <c r="FE111" s="357"/>
      <c r="FF111" s="357"/>
      <c r="FG111" s="357"/>
      <c r="FH111" s="357"/>
      <c r="FI111" s="357"/>
      <c r="FJ111" s="357"/>
      <c r="FK111" s="357"/>
      <c r="FL111" s="357"/>
      <c r="FM111" s="357"/>
      <c r="FN111" s="357"/>
      <c r="FO111" s="357"/>
      <c r="FP111" s="357"/>
      <c r="FQ111" s="357"/>
      <c r="FR111" s="357"/>
      <c r="FS111" s="357"/>
      <c r="FT111" s="357"/>
      <c r="FU111" s="357"/>
      <c r="FV111" s="357"/>
      <c r="FW111" s="357"/>
      <c r="FX111" s="357"/>
      <c r="FY111" s="357"/>
      <c r="FZ111" s="357"/>
      <c r="GA111" s="357"/>
      <c r="GB111" s="357"/>
      <c r="GC111" s="357"/>
      <c r="GD111" s="357"/>
      <c r="GE111" s="357"/>
      <c r="GF111" s="357"/>
      <c r="GG111" s="357"/>
      <c r="GH111" s="357"/>
      <c r="GI111" s="357"/>
      <c r="GJ111" s="357"/>
      <c r="GK111" s="154"/>
      <c r="GL111" s="154"/>
      <c r="GM111" s="154"/>
      <c r="GN111" s="154"/>
      <c r="GO111" s="154"/>
      <c r="GP111" s="154"/>
      <c r="GQ111" s="154"/>
      <c r="GR111" s="154"/>
      <c r="GS111" s="154"/>
      <c r="GT111" s="154"/>
      <c r="GU111" s="154"/>
      <c r="GV111" s="154"/>
      <c r="GW111" s="154"/>
      <c r="GX111" s="154"/>
    </row>
    <row r="112" spans="7:206">
      <c r="G112" s="154"/>
      <c r="H112" s="154"/>
      <c r="I112" s="154"/>
      <c r="J112" s="154"/>
      <c r="K112" s="154"/>
      <c r="L112" s="154"/>
      <c r="M112" s="154"/>
      <c r="N112" s="154"/>
      <c r="O112" s="154"/>
      <c r="P112" s="154"/>
      <c r="Q112" s="154"/>
      <c r="R112" s="154"/>
      <c r="S112" s="154"/>
      <c r="T112" s="154"/>
      <c r="U112" s="154"/>
      <c r="V112" s="154"/>
      <c r="W112" s="154"/>
      <c r="X112" s="154"/>
      <c r="Y112" s="154"/>
      <c r="Z112" s="357"/>
      <c r="AA112" s="357"/>
      <c r="AB112" s="357"/>
      <c r="AC112" s="357"/>
      <c r="AD112" s="357"/>
      <c r="AE112" s="357"/>
      <c r="AF112" s="357"/>
      <c r="AG112" s="357"/>
      <c r="AH112" s="357"/>
      <c r="AI112" s="357"/>
      <c r="AJ112" s="357"/>
      <c r="AK112" s="357"/>
      <c r="AL112" s="357"/>
      <c r="AM112" s="357"/>
      <c r="AN112" s="357"/>
      <c r="AO112" s="357"/>
      <c r="AP112" s="357"/>
      <c r="AQ112" s="357"/>
      <c r="AR112" s="357"/>
      <c r="AS112" s="357"/>
      <c r="AT112" s="357"/>
      <c r="AU112" s="357"/>
      <c r="AV112" s="357"/>
      <c r="AW112" s="357"/>
      <c r="AX112" s="357"/>
      <c r="AY112" s="357"/>
      <c r="AZ112" s="357"/>
      <c r="BA112" s="357"/>
      <c r="BB112" s="357"/>
      <c r="BC112" s="357"/>
      <c r="BD112" s="357"/>
      <c r="BE112" s="357"/>
      <c r="BF112" s="357"/>
      <c r="BG112" s="357"/>
      <c r="BH112" s="357"/>
      <c r="BI112" s="357"/>
      <c r="BJ112" s="357"/>
      <c r="BK112" s="357"/>
      <c r="BL112" s="357"/>
      <c r="BM112" s="357"/>
      <c r="BN112" s="357"/>
      <c r="BO112" s="357"/>
      <c r="BP112" s="357"/>
      <c r="BQ112" s="357"/>
      <c r="BR112" s="357"/>
      <c r="BS112" s="357"/>
      <c r="BT112" s="357"/>
      <c r="BU112" s="357"/>
      <c r="BV112" s="357"/>
      <c r="BW112" s="357"/>
      <c r="BX112" s="357"/>
      <c r="BY112" s="357"/>
      <c r="BZ112" s="357"/>
      <c r="CA112" s="357"/>
      <c r="CB112" s="357"/>
      <c r="CC112" s="357"/>
      <c r="CD112" s="357"/>
      <c r="CE112" s="357"/>
      <c r="CF112" s="357"/>
      <c r="CG112" s="357"/>
      <c r="CH112" s="357"/>
      <c r="CI112" s="357"/>
      <c r="CJ112" s="357"/>
      <c r="CK112" s="357"/>
      <c r="CL112" s="357"/>
      <c r="CM112" s="357"/>
      <c r="CN112" s="357"/>
      <c r="CO112" s="357"/>
      <c r="CP112" s="357"/>
      <c r="CQ112" s="357"/>
      <c r="CR112" s="357"/>
      <c r="CS112" s="357"/>
      <c r="CT112" s="357"/>
      <c r="CU112" s="357"/>
      <c r="CV112" s="357"/>
      <c r="CW112" s="357"/>
      <c r="CX112" s="357"/>
      <c r="CY112" s="357"/>
      <c r="CZ112" s="357"/>
      <c r="DA112" s="357"/>
      <c r="DB112" s="357"/>
      <c r="DC112" s="357"/>
      <c r="DD112" s="357"/>
      <c r="DE112" s="357"/>
      <c r="DF112" s="357"/>
      <c r="DG112" s="357"/>
      <c r="DH112" s="357"/>
      <c r="DI112" s="357"/>
      <c r="DJ112" s="357"/>
      <c r="DK112" s="357"/>
      <c r="DL112" s="357"/>
      <c r="DM112" s="357"/>
      <c r="DN112" s="357"/>
      <c r="DO112" s="357"/>
      <c r="DP112" s="357"/>
      <c r="DQ112" s="357"/>
      <c r="DR112" s="357"/>
      <c r="DS112" s="357"/>
      <c r="DT112" s="357"/>
      <c r="DU112" s="357"/>
      <c r="DV112" s="357"/>
      <c r="DW112" s="357"/>
      <c r="DX112" s="357"/>
      <c r="DY112" s="357"/>
      <c r="DZ112" s="357"/>
      <c r="EA112" s="357"/>
      <c r="EB112" s="357"/>
      <c r="EC112" s="357"/>
      <c r="ED112" s="357"/>
      <c r="EE112" s="357"/>
      <c r="EF112" s="357"/>
      <c r="EG112" s="357"/>
      <c r="EH112" s="357"/>
      <c r="EI112" s="357"/>
      <c r="EJ112" s="357"/>
      <c r="EK112" s="357"/>
      <c r="EL112" s="357"/>
      <c r="EM112" s="357"/>
      <c r="EN112" s="357"/>
      <c r="EO112" s="357"/>
      <c r="EP112" s="357"/>
      <c r="EQ112" s="357"/>
      <c r="ER112" s="357"/>
      <c r="ES112" s="357"/>
      <c r="ET112" s="357"/>
      <c r="EU112" s="357"/>
      <c r="EV112" s="357"/>
      <c r="EW112" s="357"/>
      <c r="EX112" s="357"/>
      <c r="EY112" s="357"/>
      <c r="EZ112" s="357"/>
      <c r="FA112" s="357"/>
      <c r="FB112" s="357"/>
      <c r="FC112" s="357"/>
      <c r="FD112" s="357"/>
      <c r="FE112" s="357"/>
      <c r="FF112" s="357"/>
      <c r="FG112" s="357"/>
      <c r="FH112" s="357"/>
      <c r="FI112" s="357"/>
      <c r="FJ112" s="357"/>
      <c r="FK112" s="357"/>
      <c r="FL112" s="357"/>
      <c r="FM112" s="357"/>
      <c r="FN112" s="357"/>
      <c r="FO112" s="357"/>
      <c r="FP112" s="357"/>
      <c r="FQ112" s="357"/>
      <c r="FR112" s="357"/>
      <c r="FS112" s="357"/>
      <c r="FT112" s="357"/>
      <c r="FU112" s="357"/>
      <c r="FV112" s="357"/>
      <c r="FW112" s="357"/>
      <c r="FX112" s="357"/>
      <c r="FY112" s="357"/>
      <c r="FZ112" s="357"/>
      <c r="GA112" s="357"/>
      <c r="GB112" s="357"/>
      <c r="GC112" s="357"/>
      <c r="GD112" s="357"/>
      <c r="GE112" s="357"/>
      <c r="GF112" s="357"/>
      <c r="GG112" s="357"/>
      <c r="GH112" s="357"/>
      <c r="GI112" s="357"/>
      <c r="GJ112" s="357"/>
      <c r="GK112" s="154"/>
      <c r="GL112" s="154"/>
      <c r="GM112" s="154"/>
      <c r="GN112" s="154"/>
      <c r="GO112" s="154"/>
      <c r="GP112" s="154"/>
      <c r="GQ112" s="154"/>
      <c r="GR112" s="154"/>
      <c r="GS112" s="154"/>
      <c r="GT112" s="154"/>
      <c r="GU112" s="154"/>
      <c r="GV112" s="154"/>
      <c r="GW112" s="154"/>
      <c r="GX112" s="154"/>
    </row>
    <row r="113" spans="7:206">
      <c r="G113" s="154"/>
      <c r="H113" s="154"/>
      <c r="I113" s="154"/>
      <c r="J113" s="154"/>
      <c r="K113" s="154"/>
      <c r="L113" s="154"/>
      <c r="M113" s="154"/>
      <c r="N113" s="154"/>
      <c r="O113" s="154"/>
      <c r="P113" s="154"/>
      <c r="Q113" s="154"/>
      <c r="R113" s="154"/>
      <c r="S113" s="154"/>
      <c r="T113" s="154"/>
      <c r="U113" s="154"/>
      <c r="V113" s="154"/>
      <c r="W113" s="154"/>
      <c r="X113" s="154"/>
      <c r="Y113" s="154"/>
      <c r="Z113" s="357"/>
      <c r="AA113" s="357"/>
      <c r="AB113" s="357"/>
      <c r="AC113" s="357"/>
      <c r="AD113" s="357"/>
      <c r="AE113" s="357"/>
      <c r="AF113" s="357"/>
      <c r="AG113" s="357"/>
      <c r="AH113" s="357"/>
      <c r="AI113" s="357"/>
      <c r="AJ113" s="357"/>
      <c r="AK113" s="357"/>
      <c r="AL113" s="357"/>
      <c r="AM113" s="357"/>
      <c r="AN113" s="357"/>
      <c r="AO113" s="357"/>
      <c r="AP113" s="357"/>
      <c r="AQ113" s="357"/>
      <c r="AR113" s="357"/>
      <c r="AS113" s="357"/>
      <c r="AT113" s="357"/>
      <c r="AU113" s="357"/>
      <c r="AV113" s="357"/>
      <c r="AW113" s="357"/>
      <c r="AX113" s="357"/>
      <c r="AY113" s="357"/>
      <c r="AZ113" s="357"/>
      <c r="BA113" s="357"/>
      <c r="BB113" s="357"/>
      <c r="BC113" s="357"/>
      <c r="BD113" s="357"/>
      <c r="BE113" s="357"/>
      <c r="BF113" s="357"/>
      <c r="BG113" s="357"/>
      <c r="BH113" s="357"/>
      <c r="BI113" s="357"/>
      <c r="BJ113" s="357"/>
      <c r="BK113" s="357"/>
      <c r="BL113" s="357"/>
      <c r="BM113" s="357"/>
      <c r="BN113" s="357"/>
      <c r="BO113" s="357"/>
      <c r="BP113" s="357"/>
      <c r="BQ113" s="357"/>
      <c r="BR113" s="357"/>
      <c r="BS113" s="357"/>
      <c r="BT113" s="357"/>
      <c r="BU113" s="357"/>
      <c r="BV113" s="357"/>
      <c r="BW113" s="357"/>
      <c r="BX113" s="357"/>
      <c r="BY113" s="357"/>
      <c r="BZ113" s="357"/>
      <c r="CA113" s="357"/>
      <c r="CB113" s="357"/>
      <c r="CC113" s="357"/>
      <c r="CD113" s="357"/>
      <c r="CE113" s="357"/>
      <c r="CF113" s="357"/>
      <c r="CG113" s="357"/>
      <c r="CH113" s="357"/>
      <c r="CI113" s="357"/>
      <c r="CJ113" s="357"/>
      <c r="CK113" s="357"/>
      <c r="CL113" s="357"/>
      <c r="CM113" s="357"/>
      <c r="CN113" s="357"/>
      <c r="CO113" s="357"/>
      <c r="CP113" s="357"/>
      <c r="CQ113" s="357"/>
      <c r="CR113" s="357"/>
      <c r="CS113" s="357"/>
      <c r="CT113" s="357"/>
      <c r="CU113" s="357"/>
      <c r="CV113" s="357"/>
      <c r="CW113" s="357"/>
      <c r="CX113" s="357"/>
      <c r="CY113" s="357"/>
      <c r="CZ113" s="357"/>
      <c r="DA113" s="357"/>
      <c r="DB113" s="357"/>
      <c r="DC113" s="357"/>
      <c r="DD113" s="357"/>
      <c r="DE113" s="357"/>
      <c r="DF113" s="357"/>
      <c r="DG113" s="357"/>
      <c r="DH113" s="357"/>
      <c r="DI113" s="357"/>
      <c r="DJ113" s="357"/>
      <c r="DK113" s="357"/>
      <c r="DL113" s="357"/>
      <c r="DM113" s="357"/>
      <c r="DN113" s="357"/>
      <c r="DO113" s="357"/>
      <c r="DP113" s="357"/>
      <c r="DQ113" s="357"/>
      <c r="DR113" s="357"/>
      <c r="DS113" s="357"/>
      <c r="DT113" s="357"/>
      <c r="DU113" s="357"/>
      <c r="DV113" s="357"/>
      <c r="DW113" s="357"/>
      <c r="DX113" s="357"/>
      <c r="DY113" s="357"/>
      <c r="DZ113" s="357"/>
      <c r="EA113" s="357"/>
      <c r="EB113" s="357"/>
      <c r="EC113" s="357"/>
      <c r="ED113" s="357"/>
      <c r="EE113" s="357"/>
      <c r="EF113" s="357"/>
      <c r="EG113" s="357"/>
      <c r="EH113" s="357"/>
      <c r="EI113" s="357"/>
      <c r="EJ113" s="357"/>
      <c r="EK113" s="357"/>
      <c r="EL113" s="357"/>
      <c r="EM113" s="357"/>
      <c r="EN113" s="357"/>
      <c r="EO113" s="357"/>
      <c r="EP113" s="357"/>
      <c r="EQ113" s="357"/>
      <c r="ER113" s="357"/>
      <c r="ES113" s="357"/>
      <c r="ET113" s="357"/>
      <c r="EU113" s="357"/>
      <c r="EV113" s="357"/>
      <c r="EW113" s="357"/>
      <c r="EX113" s="357"/>
      <c r="EY113" s="357"/>
      <c r="EZ113" s="357"/>
      <c r="FA113" s="357"/>
      <c r="FB113" s="357"/>
      <c r="FC113" s="357"/>
      <c r="FD113" s="357"/>
      <c r="FE113" s="357"/>
      <c r="FF113" s="357"/>
      <c r="FG113" s="357"/>
      <c r="FH113" s="357"/>
      <c r="FI113" s="357"/>
      <c r="FJ113" s="357"/>
      <c r="FK113" s="357"/>
      <c r="FL113" s="357"/>
      <c r="FM113" s="357"/>
      <c r="FN113" s="357"/>
      <c r="FO113" s="357"/>
      <c r="FP113" s="357"/>
      <c r="FQ113" s="357"/>
      <c r="FR113" s="357"/>
      <c r="FS113" s="357"/>
      <c r="FT113" s="357"/>
      <c r="FU113" s="357"/>
      <c r="FV113" s="357"/>
      <c r="FW113" s="357"/>
      <c r="FX113" s="357"/>
      <c r="FY113" s="357"/>
      <c r="FZ113" s="357"/>
      <c r="GA113" s="357"/>
      <c r="GB113" s="357"/>
      <c r="GC113" s="357"/>
      <c r="GD113" s="357"/>
      <c r="GE113" s="357"/>
      <c r="GF113" s="357"/>
      <c r="GG113" s="357"/>
      <c r="GH113" s="357"/>
      <c r="GI113" s="357"/>
      <c r="GJ113" s="357"/>
      <c r="GK113" s="154"/>
      <c r="GL113" s="154"/>
      <c r="GM113" s="154"/>
      <c r="GN113" s="154"/>
      <c r="GO113" s="154"/>
      <c r="GP113" s="154"/>
      <c r="GQ113" s="154"/>
      <c r="GR113" s="154"/>
      <c r="GS113" s="154"/>
      <c r="GT113" s="154"/>
      <c r="GU113" s="154"/>
      <c r="GV113" s="154"/>
      <c r="GW113" s="154"/>
      <c r="GX113" s="154"/>
    </row>
    <row r="114" spans="7:206">
      <c r="G114" s="154"/>
      <c r="H114" s="154"/>
      <c r="I114" s="154"/>
      <c r="J114" s="154"/>
      <c r="K114" s="154"/>
      <c r="L114" s="154"/>
      <c r="M114" s="154"/>
      <c r="N114" s="154"/>
      <c r="O114" s="154"/>
      <c r="P114" s="154"/>
      <c r="Q114" s="154"/>
      <c r="R114" s="154"/>
      <c r="S114" s="154"/>
      <c r="T114" s="154"/>
      <c r="U114" s="154"/>
      <c r="V114" s="154"/>
      <c r="W114" s="154"/>
      <c r="X114" s="154"/>
      <c r="Y114" s="154"/>
      <c r="Z114" s="357"/>
      <c r="AA114" s="357"/>
      <c r="AB114" s="357"/>
      <c r="AC114" s="357"/>
      <c r="AD114" s="357"/>
      <c r="AE114" s="357"/>
      <c r="AF114" s="357"/>
      <c r="AG114" s="357"/>
      <c r="AH114" s="357"/>
      <c r="AI114" s="357"/>
      <c r="AJ114" s="357"/>
      <c r="AK114" s="357"/>
      <c r="AL114" s="357"/>
      <c r="AM114" s="357"/>
      <c r="AN114" s="357"/>
      <c r="AO114" s="357"/>
      <c r="AP114" s="357"/>
      <c r="AQ114" s="357"/>
      <c r="AR114" s="357"/>
      <c r="AS114" s="357"/>
      <c r="AT114" s="357"/>
      <c r="AU114" s="357"/>
      <c r="AV114" s="357"/>
      <c r="AW114" s="357"/>
      <c r="AX114" s="357"/>
      <c r="AY114" s="357"/>
      <c r="AZ114" s="357"/>
      <c r="BA114" s="357"/>
      <c r="BB114" s="357"/>
      <c r="BC114" s="357"/>
      <c r="BD114" s="357"/>
      <c r="BE114" s="357"/>
      <c r="BF114" s="357"/>
      <c r="BG114" s="357"/>
      <c r="BH114" s="357"/>
      <c r="BI114" s="357"/>
      <c r="BJ114" s="357"/>
      <c r="BK114" s="357"/>
      <c r="BL114" s="357"/>
      <c r="BM114" s="357"/>
      <c r="BN114" s="357"/>
      <c r="BO114" s="357"/>
      <c r="BP114" s="357"/>
      <c r="BQ114" s="357"/>
      <c r="BR114" s="357"/>
      <c r="BS114" s="357"/>
      <c r="BT114" s="357"/>
      <c r="BU114" s="357"/>
      <c r="BV114" s="357"/>
      <c r="BW114" s="357"/>
      <c r="BX114" s="357"/>
      <c r="BY114" s="357"/>
      <c r="BZ114" s="357"/>
      <c r="CA114" s="357"/>
      <c r="CB114" s="357"/>
      <c r="CC114" s="357"/>
      <c r="CD114" s="357"/>
      <c r="CE114" s="357"/>
      <c r="CF114" s="357"/>
      <c r="CG114" s="357"/>
      <c r="CH114" s="357"/>
      <c r="CI114" s="357"/>
      <c r="CJ114" s="357"/>
      <c r="CK114" s="357"/>
      <c r="CL114" s="357"/>
      <c r="CM114" s="357"/>
      <c r="CN114" s="357"/>
      <c r="CO114" s="357"/>
      <c r="CP114" s="357"/>
      <c r="CQ114" s="357"/>
      <c r="CR114" s="357"/>
      <c r="CS114" s="357"/>
      <c r="CT114" s="357"/>
      <c r="CU114" s="357"/>
      <c r="CV114" s="357"/>
      <c r="CW114" s="357"/>
      <c r="CX114" s="357"/>
      <c r="CY114" s="357"/>
      <c r="CZ114" s="357"/>
      <c r="DA114" s="357"/>
      <c r="DB114" s="357"/>
      <c r="DC114" s="357"/>
      <c r="DD114" s="357"/>
      <c r="DE114" s="357"/>
      <c r="DF114" s="357"/>
      <c r="DG114" s="357"/>
      <c r="DH114" s="357"/>
      <c r="DI114" s="357"/>
      <c r="DJ114" s="357"/>
      <c r="DK114" s="357"/>
      <c r="DL114" s="357"/>
      <c r="DM114" s="357"/>
      <c r="DN114" s="357"/>
      <c r="DO114" s="357"/>
      <c r="DP114" s="357"/>
      <c r="DQ114" s="357"/>
      <c r="DR114" s="357"/>
      <c r="DS114" s="357"/>
      <c r="DT114" s="357"/>
      <c r="DU114" s="357"/>
      <c r="DV114" s="357"/>
      <c r="DW114" s="357"/>
      <c r="DX114" s="357"/>
      <c r="DY114" s="357"/>
      <c r="DZ114" s="357"/>
      <c r="EA114" s="357"/>
      <c r="EB114" s="357"/>
      <c r="EC114" s="357"/>
      <c r="ED114" s="357"/>
      <c r="EE114" s="357"/>
      <c r="EF114" s="357"/>
      <c r="EG114" s="357"/>
      <c r="EH114" s="357"/>
      <c r="EI114" s="357"/>
      <c r="EJ114" s="357"/>
      <c r="EK114" s="357"/>
      <c r="EL114" s="357"/>
      <c r="EM114" s="357"/>
      <c r="EN114" s="357"/>
      <c r="EO114" s="357"/>
      <c r="EP114" s="357"/>
      <c r="EQ114" s="357"/>
      <c r="ER114" s="357"/>
      <c r="ES114" s="357"/>
      <c r="ET114" s="357"/>
      <c r="EU114" s="357"/>
      <c r="EV114" s="357"/>
      <c r="EW114" s="357"/>
      <c r="EX114" s="357"/>
      <c r="EY114" s="357"/>
      <c r="EZ114" s="357"/>
      <c r="FA114" s="357"/>
      <c r="FB114" s="357"/>
      <c r="FC114" s="357"/>
      <c r="FD114" s="357"/>
      <c r="FE114" s="357"/>
      <c r="FF114" s="357"/>
      <c r="FG114" s="357"/>
      <c r="FH114" s="357"/>
      <c r="FI114" s="357"/>
      <c r="FJ114" s="357"/>
      <c r="FK114" s="357"/>
      <c r="FL114" s="357"/>
      <c r="FM114" s="357"/>
      <c r="FN114" s="357"/>
      <c r="FO114" s="357"/>
      <c r="FP114" s="357"/>
      <c r="FQ114" s="357"/>
      <c r="FR114" s="357"/>
      <c r="FS114" s="357"/>
      <c r="FT114" s="357"/>
      <c r="FU114" s="357"/>
      <c r="FV114" s="357"/>
      <c r="FW114" s="357"/>
      <c r="FX114" s="357"/>
      <c r="FY114" s="357"/>
      <c r="FZ114" s="357"/>
      <c r="GA114" s="357"/>
      <c r="GB114" s="357"/>
      <c r="GC114" s="357"/>
      <c r="GD114" s="357"/>
      <c r="GE114" s="357"/>
      <c r="GF114" s="357"/>
      <c r="GG114" s="357"/>
      <c r="GH114" s="357"/>
      <c r="GI114" s="357"/>
      <c r="GJ114" s="357"/>
      <c r="GK114" s="154"/>
      <c r="GL114" s="154"/>
      <c r="GM114" s="154"/>
      <c r="GN114" s="154"/>
      <c r="GO114" s="154"/>
      <c r="GP114" s="154"/>
      <c r="GQ114" s="154"/>
      <c r="GR114" s="154"/>
      <c r="GS114" s="154"/>
      <c r="GT114" s="154"/>
      <c r="GU114" s="154"/>
      <c r="GV114" s="154"/>
      <c r="GW114" s="154"/>
      <c r="GX114" s="154"/>
    </row>
    <row r="115" spans="7:206">
      <c r="G115" s="154"/>
      <c r="H115" s="154"/>
      <c r="I115" s="154"/>
      <c r="J115" s="154"/>
      <c r="K115" s="154"/>
      <c r="L115" s="154"/>
      <c r="M115" s="154"/>
      <c r="N115" s="154"/>
      <c r="O115" s="154"/>
      <c r="P115" s="154"/>
      <c r="Q115" s="154"/>
      <c r="R115" s="154"/>
      <c r="S115" s="154"/>
      <c r="T115" s="154"/>
      <c r="U115" s="154"/>
      <c r="V115" s="154"/>
      <c r="W115" s="154"/>
      <c r="X115" s="154"/>
      <c r="Y115" s="154"/>
      <c r="Z115" s="357"/>
      <c r="AA115" s="357"/>
      <c r="AB115" s="357"/>
      <c r="AC115" s="357"/>
      <c r="AD115" s="357"/>
      <c r="AE115" s="357"/>
      <c r="AF115" s="357"/>
      <c r="AG115" s="357"/>
      <c r="AH115" s="357"/>
      <c r="AI115" s="357"/>
      <c r="AJ115" s="357"/>
      <c r="AK115" s="357"/>
      <c r="AL115" s="357"/>
      <c r="AM115" s="357"/>
      <c r="AN115" s="357"/>
      <c r="AO115" s="357"/>
      <c r="AP115" s="357"/>
      <c r="AQ115" s="357"/>
      <c r="AR115" s="357"/>
      <c r="AS115" s="357"/>
      <c r="AT115" s="357"/>
      <c r="AU115" s="357"/>
      <c r="AV115" s="357"/>
      <c r="AW115" s="357"/>
      <c r="AX115" s="357"/>
      <c r="AY115" s="357"/>
      <c r="AZ115" s="357"/>
      <c r="BA115" s="357"/>
      <c r="BB115" s="357"/>
      <c r="BC115" s="357"/>
      <c r="BD115" s="357"/>
      <c r="BE115" s="357"/>
      <c r="BF115" s="357"/>
      <c r="BG115" s="357"/>
      <c r="BH115" s="357"/>
      <c r="BI115" s="357"/>
      <c r="BJ115" s="357"/>
      <c r="BK115" s="357"/>
      <c r="BL115" s="357"/>
      <c r="BM115" s="357"/>
      <c r="BN115" s="357"/>
      <c r="BO115" s="357"/>
      <c r="BP115" s="357"/>
      <c r="BQ115" s="357"/>
      <c r="BR115" s="357"/>
      <c r="BS115" s="357"/>
      <c r="BT115" s="357"/>
      <c r="BU115" s="357"/>
      <c r="BV115" s="357"/>
      <c r="BW115" s="357"/>
      <c r="BX115" s="357"/>
      <c r="BY115" s="357"/>
      <c r="BZ115" s="357"/>
      <c r="CA115" s="357"/>
      <c r="CB115" s="357"/>
      <c r="CC115" s="357"/>
      <c r="CD115" s="357"/>
      <c r="CE115" s="357"/>
      <c r="CF115" s="357"/>
      <c r="CG115" s="357"/>
      <c r="CH115" s="357"/>
      <c r="CI115" s="357"/>
      <c r="CJ115" s="357"/>
      <c r="CK115" s="357"/>
      <c r="CL115" s="357"/>
      <c r="CM115" s="357"/>
      <c r="CN115" s="357"/>
      <c r="CO115" s="357"/>
      <c r="CP115" s="357"/>
      <c r="CQ115" s="357"/>
      <c r="CR115" s="357"/>
      <c r="CS115" s="357"/>
      <c r="CT115" s="357"/>
      <c r="CU115" s="357"/>
      <c r="CV115" s="357"/>
      <c r="CW115" s="357"/>
      <c r="CX115" s="357"/>
      <c r="CY115" s="357"/>
      <c r="CZ115" s="357"/>
      <c r="DA115" s="357"/>
      <c r="DB115" s="357"/>
      <c r="DC115" s="357"/>
      <c r="DD115" s="357"/>
      <c r="DE115" s="357"/>
      <c r="DF115" s="357"/>
      <c r="DG115" s="357"/>
      <c r="DH115" s="357"/>
      <c r="DI115" s="357"/>
      <c r="DJ115" s="357"/>
      <c r="DK115" s="357"/>
      <c r="DL115" s="357"/>
      <c r="DM115" s="357"/>
      <c r="DN115" s="357"/>
      <c r="DO115" s="357"/>
      <c r="DP115" s="357"/>
      <c r="DQ115" s="357"/>
      <c r="DR115" s="357"/>
      <c r="DS115" s="357"/>
      <c r="DT115" s="357"/>
      <c r="DU115" s="357"/>
      <c r="DV115" s="357"/>
      <c r="DW115" s="357"/>
      <c r="DX115" s="357"/>
      <c r="DY115" s="357"/>
      <c r="DZ115" s="357"/>
      <c r="EA115" s="357"/>
      <c r="EB115" s="357"/>
      <c r="EC115" s="357"/>
      <c r="ED115" s="357"/>
      <c r="EE115" s="357"/>
      <c r="EF115" s="357"/>
      <c r="EG115" s="357"/>
      <c r="EH115" s="357"/>
      <c r="EI115" s="357"/>
      <c r="EJ115" s="357"/>
      <c r="EK115" s="357"/>
      <c r="EL115" s="357"/>
      <c r="EM115" s="357"/>
      <c r="EN115" s="357"/>
      <c r="EO115" s="357"/>
      <c r="EP115" s="357"/>
      <c r="EQ115" s="357"/>
      <c r="ER115" s="357"/>
      <c r="ES115" s="357"/>
      <c r="ET115" s="357"/>
      <c r="EU115" s="357"/>
      <c r="EV115" s="357"/>
      <c r="EW115" s="357"/>
      <c r="EX115" s="357"/>
      <c r="EY115" s="357"/>
      <c r="EZ115" s="357"/>
      <c r="FA115" s="357"/>
      <c r="FB115" s="357"/>
      <c r="FC115" s="357"/>
      <c r="FD115" s="357"/>
      <c r="FE115" s="357"/>
      <c r="FF115" s="357"/>
      <c r="FG115" s="357"/>
      <c r="FH115" s="357"/>
      <c r="FI115" s="357"/>
      <c r="FJ115" s="357"/>
      <c r="FK115" s="357"/>
      <c r="FL115" s="357"/>
      <c r="FM115" s="357"/>
      <c r="FN115" s="357"/>
      <c r="FO115" s="357"/>
      <c r="FP115" s="357"/>
      <c r="FQ115" s="357"/>
      <c r="FR115" s="357"/>
      <c r="FS115" s="357"/>
      <c r="FT115" s="357"/>
      <c r="FU115" s="357"/>
      <c r="FV115" s="357"/>
      <c r="FW115" s="357"/>
      <c r="FX115" s="357"/>
      <c r="FY115" s="357"/>
      <c r="FZ115" s="357"/>
      <c r="GA115" s="357"/>
      <c r="GB115" s="357"/>
      <c r="GC115" s="357"/>
      <c r="GD115" s="357"/>
      <c r="GE115" s="357"/>
      <c r="GF115" s="357"/>
      <c r="GG115" s="357"/>
      <c r="GH115" s="357"/>
      <c r="GI115" s="357"/>
      <c r="GJ115" s="357"/>
      <c r="GK115" s="154"/>
      <c r="GL115" s="154"/>
      <c r="GM115" s="154"/>
      <c r="GN115" s="154"/>
      <c r="GO115" s="154"/>
      <c r="GP115" s="154"/>
      <c r="GQ115" s="154"/>
      <c r="GR115" s="154"/>
      <c r="GS115" s="154"/>
      <c r="GT115" s="154"/>
      <c r="GU115" s="154"/>
      <c r="GV115" s="154"/>
      <c r="GW115" s="154"/>
      <c r="GX115" s="154"/>
    </row>
    <row r="116" spans="7:206">
      <c r="G116" s="154"/>
      <c r="H116" s="154"/>
      <c r="I116" s="154"/>
      <c r="J116" s="154"/>
      <c r="K116" s="154"/>
      <c r="L116" s="154"/>
      <c r="M116" s="154"/>
      <c r="N116" s="154"/>
      <c r="O116" s="154"/>
      <c r="P116" s="154"/>
      <c r="Q116" s="154"/>
      <c r="R116" s="154"/>
      <c r="S116" s="154"/>
      <c r="T116" s="154"/>
      <c r="U116" s="154"/>
      <c r="V116" s="154"/>
      <c r="W116" s="154"/>
      <c r="X116" s="154"/>
      <c r="Y116" s="154"/>
      <c r="Z116" s="357"/>
      <c r="AA116" s="357"/>
      <c r="AB116" s="357"/>
      <c r="AC116" s="357"/>
      <c r="AD116" s="357"/>
      <c r="AE116" s="357"/>
      <c r="AF116" s="357"/>
      <c r="AG116" s="357"/>
      <c r="AH116" s="357"/>
      <c r="AI116" s="357"/>
      <c r="AJ116" s="357"/>
      <c r="AK116" s="357"/>
      <c r="AL116" s="357"/>
      <c r="AM116" s="357"/>
      <c r="AN116" s="357"/>
      <c r="AO116" s="357"/>
      <c r="AP116" s="357"/>
      <c r="AQ116" s="357"/>
      <c r="AR116" s="357"/>
      <c r="AS116" s="357"/>
      <c r="AT116" s="357"/>
      <c r="AU116" s="357"/>
      <c r="AV116" s="357"/>
      <c r="AW116" s="357"/>
      <c r="AX116" s="357"/>
      <c r="AY116" s="357"/>
      <c r="AZ116" s="357"/>
      <c r="BA116" s="357"/>
      <c r="BB116" s="357"/>
      <c r="BC116" s="357"/>
      <c r="BD116" s="357"/>
      <c r="BE116" s="357"/>
      <c r="BF116" s="357"/>
      <c r="BG116" s="357"/>
      <c r="BH116" s="357"/>
      <c r="BI116" s="357"/>
      <c r="BJ116" s="357"/>
      <c r="BK116" s="357"/>
      <c r="BL116" s="357"/>
      <c r="BM116" s="357"/>
      <c r="BN116" s="357"/>
      <c r="BO116" s="357"/>
      <c r="BP116" s="357"/>
      <c r="BQ116" s="357"/>
      <c r="BR116" s="357"/>
      <c r="BS116" s="357"/>
      <c r="BT116" s="357"/>
      <c r="BU116" s="357"/>
      <c r="BV116" s="357"/>
      <c r="BW116" s="357"/>
      <c r="BX116" s="357"/>
      <c r="BY116" s="357"/>
      <c r="BZ116" s="357"/>
      <c r="CA116" s="357"/>
      <c r="CB116" s="357"/>
      <c r="CC116" s="357"/>
      <c r="CD116" s="357"/>
      <c r="CE116" s="357"/>
      <c r="CF116" s="357"/>
      <c r="CG116" s="357"/>
      <c r="CH116" s="357"/>
      <c r="CI116" s="357"/>
      <c r="CJ116" s="357"/>
      <c r="CK116" s="357"/>
      <c r="CL116" s="357"/>
      <c r="CM116" s="357"/>
      <c r="CN116" s="357"/>
      <c r="CO116" s="357"/>
      <c r="CP116" s="357"/>
      <c r="CQ116" s="357"/>
      <c r="CR116" s="357"/>
      <c r="CS116" s="357"/>
      <c r="CT116" s="357"/>
      <c r="CU116" s="357"/>
      <c r="CV116" s="357"/>
      <c r="CW116" s="357"/>
      <c r="CX116" s="357"/>
      <c r="CY116" s="357"/>
      <c r="CZ116" s="357"/>
      <c r="DA116" s="357"/>
      <c r="DB116" s="357"/>
      <c r="DC116" s="357"/>
      <c r="DD116" s="357"/>
      <c r="DE116" s="357"/>
      <c r="DF116" s="357"/>
      <c r="DG116" s="357"/>
      <c r="DH116" s="357"/>
      <c r="DI116" s="357"/>
      <c r="DJ116" s="357"/>
      <c r="DK116" s="357"/>
      <c r="DL116" s="357"/>
      <c r="DM116" s="357"/>
      <c r="DN116" s="357"/>
      <c r="DO116" s="357"/>
      <c r="DP116" s="357"/>
      <c r="DQ116" s="357"/>
      <c r="DR116" s="357"/>
      <c r="DS116" s="357"/>
      <c r="DT116" s="357"/>
      <c r="DU116" s="357"/>
      <c r="DV116" s="357"/>
      <c r="DW116" s="357"/>
      <c r="DX116" s="357"/>
      <c r="DY116" s="357"/>
      <c r="DZ116" s="357"/>
      <c r="EA116" s="357"/>
      <c r="EB116" s="357"/>
      <c r="EC116" s="357"/>
      <c r="ED116" s="357"/>
      <c r="EE116" s="357"/>
      <c r="EF116" s="357"/>
      <c r="EG116" s="357"/>
      <c r="EH116" s="357"/>
      <c r="EI116" s="357"/>
      <c r="EJ116" s="357"/>
      <c r="EK116" s="357"/>
      <c r="EL116" s="357"/>
      <c r="EM116" s="357"/>
      <c r="EN116" s="357"/>
      <c r="EO116" s="357"/>
      <c r="EP116" s="357"/>
      <c r="EQ116" s="357"/>
      <c r="ER116" s="357"/>
      <c r="ES116" s="357"/>
      <c r="ET116" s="357"/>
      <c r="EU116" s="357"/>
      <c r="EV116" s="357"/>
      <c r="EW116" s="357"/>
      <c r="EX116" s="357"/>
      <c r="EY116" s="357"/>
      <c r="EZ116" s="357"/>
      <c r="FA116" s="357"/>
      <c r="FB116" s="357"/>
      <c r="FC116" s="357"/>
      <c r="FD116" s="357"/>
      <c r="FE116" s="357"/>
      <c r="FF116" s="357"/>
      <c r="FG116" s="357"/>
      <c r="FH116" s="357"/>
      <c r="FI116" s="357"/>
      <c r="FJ116" s="357"/>
      <c r="FK116" s="357"/>
      <c r="FL116" s="357"/>
      <c r="FM116" s="357"/>
      <c r="FN116" s="357"/>
      <c r="FO116" s="357"/>
      <c r="FP116" s="357"/>
      <c r="FQ116" s="357"/>
      <c r="FR116" s="357"/>
      <c r="FS116" s="357"/>
      <c r="FT116" s="357"/>
      <c r="FU116" s="357"/>
      <c r="FV116" s="357"/>
      <c r="FW116" s="357"/>
      <c r="FX116" s="357"/>
      <c r="FY116" s="357"/>
      <c r="FZ116" s="357"/>
      <c r="GA116" s="357"/>
      <c r="GB116" s="357"/>
      <c r="GC116" s="357"/>
      <c r="GD116" s="357"/>
      <c r="GE116" s="357"/>
      <c r="GF116" s="357"/>
      <c r="GG116" s="357"/>
      <c r="GH116" s="357"/>
      <c r="GI116" s="357"/>
      <c r="GJ116" s="357"/>
      <c r="GK116" s="154"/>
      <c r="GL116" s="154"/>
      <c r="GM116" s="154"/>
      <c r="GN116" s="154"/>
      <c r="GO116" s="154"/>
      <c r="GP116" s="154"/>
      <c r="GQ116" s="154"/>
      <c r="GR116" s="154"/>
      <c r="GS116" s="154"/>
      <c r="GT116" s="154"/>
      <c r="GU116" s="154"/>
      <c r="GV116" s="154"/>
      <c r="GW116" s="154"/>
      <c r="GX116" s="154"/>
    </row>
    <row r="117" spans="7:206">
      <c r="G117" s="154"/>
      <c r="H117" s="154"/>
      <c r="I117" s="154"/>
      <c r="J117" s="154"/>
      <c r="K117" s="154"/>
      <c r="L117" s="154"/>
      <c r="M117" s="154"/>
      <c r="N117" s="154"/>
      <c r="O117" s="154"/>
      <c r="P117" s="154"/>
      <c r="Q117" s="154"/>
      <c r="R117" s="154"/>
      <c r="S117" s="154"/>
      <c r="T117" s="154"/>
      <c r="U117" s="154"/>
      <c r="V117" s="154"/>
      <c r="W117" s="154"/>
      <c r="X117" s="154"/>
      <c r="Y117" s="154"/>
      <c r="Z117" s="357"/>
      <c r="AA117" s="357"/>
      <c r="AB117" s="357"/>
      <c r="AC117" s="357"/>
      <c r="AD117" s="357"/>
      <c r="AE117" s="357"/>
      <c r="AF117" s="357"/>
      <c r="AG117" s="357"/>
      <c r="AH117" s="357"/>
      <c r="AI117" s="357"/>
      <c r="AJ117" s="357"/>
      <c r="AK117" s="357"/>
      <c r="AL117" s="357"/>
      <c r="AM117" s="357"/>
      <c r="AN117" s="357"/>
      <c r="AO117" s="357"/>
      <c r="AP117" s="357"/>
      <c r="AQ117" s="357"/>
      <c r="AR117" s="357"/>
      <c r="AS117" s="357"/>
      <c r="AT117" s="357"/>
      <c r="AU117" s="357"/>
      <c r="AV117" s="357"/>
      <c r="AW117" s="357"/>
      <c r="AX117" s="357"/>
      <c r="AY117" s="357"/>
      <c r="AZ117" s="357"/>
      <c r="BA117" s="357"/>
      <c r="BB117" s="357"/>
      <c r="BC117" s="357"/>
      <c r="BD117" s="357"/>
      <c r="BE117" s="357"/>
      <c r="BF117" s="357"/>
      <c r="BG117" s="357"/>
      <c r="BH117" s="357"/>
      <c r="BI117" s="357"/>
      <c r="BJ117" s="357"/>
      <c r="BK117" s="357"/>
      <c r="BL117" s="357"/>
      <c r="BM117" s="357"/>
      <c r="BN117" s="357"/>
      <c r="BO117" s="357"/>
      <c r="BP117" s="357"/>
      <c r="BQ117" s="357"/>
      <c r="BR117" s="357"/>
      <c r="BS117" s="357"/>
      <c r="BT117" s="357"/>
      <c r="BU117" s="357"/>
      <c r="BV117" s="357"/>
      <c r="BW117" s="357"/>
      <c r="BX117" s="357"/>
      <c r="BY117" s="357"/>
      <c r="BZ117" s="357"/>
      <c r="CA117" s="357"/>
      <c r="CB117" s="357"/>
      <c r="CC117" s="357"/>
      <c r="CD117" s="357"/>
      <c r="CE117" s="357"/>
      <c r="CF117" s="357"/>
      <c r="CG117" s="357"/>
      <c r="CH117" s="357"/>
      <c r="CI117" s="357"/>
      <c r="CJ117" s="357"/>
      <c r="CK117" s="357"/>
      <c r="CL117" s="357"/>
      <c r="CM117" s="357"/>
      <c r="CN117" s="357"/>
      <c r="CO117" s="357"/>
      <c r="CP117" s="357"/>
      <c r="CQ117" s="357"/>
      <c r="CR117" s="357"/>
      <c r="CS117" s="357"/>
      <c r="CT117" s="357"/>
      <c r="CU117" s="357"/>
      <c r="CV117" s="357"/>
      <c r="CW117" s="357"/>
      <c r="CX117" s="357"/>
      <c r="CY117" s="357"/>
      <c r="CZ117" s="357"/>
      <c r="DA117" s="357"/>
      <c r="DB117" s="357"/>
      <c r="DC117" s="357"/>
      <c r="DD117" s="357"/>
      <c r="DE117" s="357"/>
      <c r="DF117" s="357"/>
      <c r="DG117" s="357"/>
      <c r="DH117" s="357"/>
      <c r="DI117" s="357"/>
      <c r="DJ117" s="357"/>
      <c r="DK117" s="357"/>
      <c r="DL117" s="357"/>
      <c r="DM117" s="357"/>
      <c r="DN117" s="357"/>
      <c r="DO117" s="357"/>
      <c r="DP117" s="357"/>
      <c r="DQ117" s="357"/>
      <c r="DR117" s="357"/>
      <c r="DS117" s="357"/>
      <c r="DT117" s="357"/>
      <c r="DU117" s="357"/>
      <c r="DV117" s="357"/>
      <c r="DW117" s="357"/>
      <c r="DX117" s="357"/>
      <c r="DY117" s="357"/>
      <c r="DZ117" s="357"/>
      <c r="EA117" s="357"/>
      <c r="EB117" s="357"/>
      <c r="EC117" s="357"/>
      <c r="ED117" s="357"/>
      <c r="EE117" s="357"/>
      <c r="EF117" s="357"/>
      <c r="EG117" s="357"/>
      <c r="EH117" s="357"/>
      <c r="EI117" s="357"/>
      <c r="EJ117" s="357"/>
      <c r="EK117" s="357"/>
      <c r="EL117" s="357"/>
      <c r="EM117" s="357"/>
      <c r="EN117" s="357"/>
      <c r="EO117" s="357"/>
      <c r="EP117" s="357"/>
      <c r="EQ117" s="357"/>
      <c r="ER117" s="357"/>
      <c r="ES117" s="357"/>
      <c r="ET117" s="357"/>
      <c r="EU117" s="357"/>
      <c r="EV117" s="357"/>
      <c r="EW117" s="357"/>
      <c r="EX117" s="357"/>
      <c r="EY117" s="357"/>
      <c r="EZ117" s="357"/>
      <c r="FA117" s="357"/>
      <c r="FB117" s="357"/>
      <c r="FC117" s="357"/>
      <c r="FD117" s="357"/>
      <c r="FE117" s="357"/>
      <c r="FF117" s="357"/>
      <c r="FG117" s="357"/>
      <c r="FH117" s="357"/>
      <c r="FI117" s="357"/>
      <c r="FJ117" s="357"/>
      <c r="FK117" s="357"/>
      <c r="FL117" s="357"/>
      <c r="FM117" s="357"/>
      <c r="FN117" s="357"/>
      <c r="FO117" s="357"/>
      <c r="FP117" s="357"/>
      <c r="FQ117" s="357"/>
      <c r="FR117" s="357"/>
      <c r="FS117" s="357"/>
      <c r="FT117" s="357"/>
      <c r="FU117" s="357"/>
      <c r="FV117" s="357"/>
      <c r="FW117" s="357"/>
      <c r="FX117" s="357"/>
      <c r="FY117" s="357"/>
      <c r="FZ117" s="357"/>
      <c r="GA117" s="357"/>
      <c r="GB117" s="357"/>
      <c r="GC117" s="357"/>
      <c r="GD117" s="357"/>
      <c r="GE117" s="357"/>
      <c r="GF117" s="357"/>
      <c r="GG117" s="357"/>
      <c r="GH117" s="357"/>
      <c r="GI117" s="357"/>
      <c r="GJ117" s="357"/>
      <c r="GK117" s="154"/>
      <c r="GL117" s="154"/>
      <c r="GM117" s="154"/>
      <c r="GN117" s="154"/>
      <c r="GO117" s="154"/>
      <c r="GP117" s="154"/>
      <c r="GQ117" s="154"/>
      <c r="GR117" s="154"/>
      <c r="GS117" s="154"/>
      <c r="GT117" s="154"/>
      <c r="GU117" s="154"/>
      <c r="GV117" s="154"/>
      <c r="GW117" s="154"/>
      <c r="GX117" s="154"/>
    </row>
    <row r="118" spans="7:206">
      <c r="G118" s="154"/>
      <c r="H118" s="154"/>
      <c r="I118" s="154"/>
      <c r="J118" s="154"/>
      <c r="K118" s="154"/>
      <c r="L118" s="154"/>
      <c r="M118" s="154"/>
      <c r="N118" s="154"/>
      <c r="O118" s="154"/>
      <c r="P118" s="154"/>
      <c r="Q118" s="154"/>
      <c r="R118" s="154"/>
      <c r="S118" s="154"/>
      <c r="T118" s="154"/>
      <c r="U118" s="154"/>
      <c r="V118" s="154"/>
      <c r="W118" s="154"/>
      <c r="X118" s="154"/>
      <c r="Y118" s="154"/>
      <c r="Z118" s="357"/>
      <c r="AA118" s="357"/>
      <c r="AB118" s="357"/>
      <c r="AC118" s="357"/>
      <c r="AD118" s="357"/>
      <c r="AE118" s="357"/>
      <c r="AF118" s="357"/>
      <c r="AG118" s="357"/>
      <c r="AH118" s="357"/>
      <c r="AI118" s="357"/>
      <c r="AJ118" s="357"/>
      <c r="AK118" s="357"/>
      <c r="AL118" s="357"/>
      <c r="AM118" s="357"/>
      <c r="AN118" s="357"/>
      <c r="AO118" s="357"/>
      <c r="AP118" s="357"/>
      <c r="AQ118" s="357"/>
      <c r="AR118" s="357"/>
      <c r="AS118" s="357"/>
      <c r="AT118" s="357"/>
      <c r="AU118" s="357"/>
      <c r="AV118" s="357"/>
      <c r="AW118" s="357"/>
      <c r="AX118" s="357"/>
      <c r="AY118" s="357"/>
      <c r="AZ118" s="357"/>
      <c r="BA118" s="357"/>
      <c r="BB118" s="357"/>
      <c r="BC118" s="357"/>
      <c r="BD118" s="357"/>
      <c r="BE118" s="357"/>
      <c r="BF118" s="357"/>
      <c r="BG118" s="357"/>
      <c r="BH118" s="357"/>
      <c r="BI118" s="357"/>
      <c r="BJ118" s="357"/>
      <c r="BK118" s="357"/>
      <c r="BL118" s="357"/>
      <c r="BM118" s="357"/>
      <c r="BN118" s="357"/>
      <c r="BO118" s="357"/>
      <c r="BP118" s="357"/>
      <c r="BQ118" s="357"/>
      <c r="BR118" s="357"/>
      <c r="BS118" s="357"/>
      <c r="BT118" s="357"/>
      <c r="BU118" s="357"/>
      <c r="BV118" s="357"/>
      <c r="BW118" s="357"/>
      <c r="BX118" s="357"/>
      <c r="BY118" s="357"/>
      <c r="BZ118" s="357"/>
      <c r="CA118" s="357"/>
      <c r="CB118" s="357"/>
      <c r="CC118" s="357"/>
      <c r="CD118" s="357"/>
      <c r="CE118" s="357"/>
      <c r="CF118" s="357"/>
      <c r="CG118" s="357"/>
      <c r="CH118" s="357"/>
      <c r="CI118" s="357"/>
      <c r="CJ118" s="357"/>
      <c r="CK118" s="357"/>
      <c r="CL118" s="357"/>
      <c r="CM118" s="357"/>
      <c r="CN118" s="357"/>
      <c r="CO118" s="357"/>
      <c r="CP118" s="357"/>
      <c r="CQ118" s="357"/>
      <c r="CR118" s="357"/>
      <c r="CS118" s="357"/>
      <c r="CT118" s="357"/>
      <c r="CU118" s="357"/>
      <c r="CV118" s="357"/>
      <c r="CW118" s="357"/>
      <c r="CX118" s="357"/>
      <c r="CY118" s="357"/>
      <c r="CZ118" s="357"/>
      <c r="DA118" s="357"/>
      <c r="DB118" s="357"/>
      <c r="DC118" s="357"/>
      <c r="DD118" s="357"/>
      <c r="DE118" s="357"/>
      <c r="DF118" s="357"/>
      <c r="DG118" s="357"/>
      <c r="DH118" s="357"/>
      <c r="DI118" s="357"/>
      <c r="DJ118" s="357"/>
      <c r="DK118" s="357"/>
      <c r="DL118" s="357"/>
      <c r="DM118" s="357"/>
      <c r="DN118" s="357"/>
      <c r="DO118" s="357"/>
      <c r="DP118" s="357"/>
      <c r="DQ118" s="357"/>
      <c r="DR118" s="357"/>
      <c r="DS118" s="357"/>
      <c r="DT118" s="357"/>
      <c r="DU118" s="357"/>
      <c r="DV118" s="357"/>
      <c r="DW118" s="357"/>
      <c r="DX118" s="357"/>
      <c r="DY118" s="357"/>
      <c r="DZ118" s="357"/>
      <c r="EA118" s="357"/>
      <c r="EB118" s="357"/>
      <c r="EC118" s="357"/>
      <c r="ED118" s="357"/>
      <c r="EE118" s="357"/>
      <c r="EF118" s="357"/>
      <c r="EG118" s="357"/>
      <c r="EH118" s="357"/>
      <c r="EI118" s="357"/>
      <c r="EJ118" s="357"/>
      <c r="EK118" s="357"/>
      <c r="EL118" s="357"/>
      <c r="EM118" s="357"/>
      <c r="EN118" s="357"/>
      <c r="EO118" s="357"/>
      <c r="EP118" s="357"/>
      <c r="EQ118" s="357"/>
      <c r="ER118" s="357"/>
      <c r="ES118" s="357"/>
      <c r="ET118" s="357"/>
      <c r="EU118" s="357"/>
      <c r="EV118" s="357"/>
      <c r="EW118" s="357"/>
      <c r="EX118" s="357"/>
      <c r="EY118" s="357"/>
      <c r="EZ118" s="357"/>
      <c r="FA118" s="357"/>
      <c r="FB118" s="357"/>
      <c r="FC118" s="357"/>
      <c r="FD118" s="357"/>
      <c r="FE118" s="357"/>
      <c r="FF118" s="357"/>
      <c r="FG118" s="357"/>
      <c r="FH118" s="357"/>
      <c r="FI118" s="357"/>
      <c r="FJ118" s="357"/>
      <c r="FK118" s="357"/>
      <c r="FL118" s="357"/>
      <c r="FM118" s="357"/>
      <c r="FN118" s="357"/>
      <c r="FO118" s="357"/>
      <c r="FP118" s="357"/>
      <c r="FQ118" s="357"/>
      <c r="FR118" s="357"/>
      <c r="FS118" s="357"/>
      <c r="FT118" s="357"/>
      <c r="FU118" s="357"/>
      <c r="FV118" s="357"/>
      <c r="FW118" s="357"/>
      <c r="FX118" s="357"/>
      <c r="FY118" s="357"/>
      <c r="FZ118" s="357"/>
      <c r="GA118" s="357"/>
      <c r="GB118" s="357"/>
      <c r="GC118" s="357"/>
      <c r="GD118" s="357"/>
      <c r="GE118" s="357"/>
      <c r="GF118" s="357"/>
      <c r="GG118" s="357"/>
      <c r="GH118" s="357"/>
      <c r="GI118" s="357"/>
      <c r="GJ118" s="357"/>
      <c r="GK118" s="154"/>
      <c r="GL118" s="154"/>
      <c r="GM118" s="154"/>
      <c r="GN118" s="154"/>
      <c r="GO118" s="154"/>
      <c r="GP118" s="154"/>
      <c r="GQ118" s="154"/>
      <c r="GR118" s="154"/>
      <c r="GS118" s="154"/>
      <c r="GT118" s="154"/>
      <c r="GU118" s="154"/>
      <c r="GV118" s="154"/>
      <c r="GW118" s="154"/>
      <c r="GX118" s="154"/>
    </row>
    <row r="119" spans="7:206">
      <c r="G119" s="154"/>
      <c r="H119" s="154"/>
      <c r="I119" s="154"/>
      <c r="J119" s="154"/>
      <c r="K119" s="154"/>
      <c r="L119" s="154"/>
      <c r="M119" s="154"/>
      <c r="N119" s="154"/>
      <c r="O119" s="154"/>
      <c r="P119" s="154"/>
      <c r="Q119" s="154"/>
      <c r="R119" s="154"/>
      <c r="S119" s="154"/>
      <c r="T119" s="154"/>
      <c r="U119" s="154"/>
      <c r="V119" s="154"/>
      <c r="W119" s="154"/>
      <c r="X119" s="154"/>
      <c r="Y119" s="154"/>
      <c r="Z119" s="357"/>
      <c r="AA119" s="357"/>
      <c r="AB119" s="357"/>
      <c r="AC119" s="357"/>
      <c r="AD119" s="357"/>
      <c r="AE119" s="357"/>
      <c r="AF119" s="357"/>
      <c r="AG119" s="357"/>
      <c r="AH119" s="357"/>
      <c r="AI119" s="357"/>
      <c r="AJ119" s="357"/>
      <c r="AK119" s="357"/>
      <c r="AL119" s="357"/>
      <c r="AM119" s="357"/>
      <c r="AN119" s="357"/>
      <c r="AO119" s="357"/>
      <c r="AP119" s="357"/>
      <c r="AQ119" s="357"/>
      <c r="AR119" s="357"/>
      <c r="AS119" s="357"/>
      <c r="AT119" s="357"/>
      <c r="AU119" s="357"/>
      <c r="AV119" s="357"/>
      <c r="AW119" s="357"/>
      <c r="AX119" s="357"/>
      <c r="AY119" s="357"/>
      <c r="AZ119" s="357"/>
      <c r="BA119" s="357"/>
      <c r="BB119" s="357"/>
      <c r="BC119" s="357"/>
      <c r="BD119" s="357"/>
      <c r="BE119" s="357"/>
      <c r="BF119" s="357"/>
      <c r="BG119" s="357"/>
      <c r="BH119" s="357"/>
      <c r="BI119" s="357"/>
      <c r="BJ119" s="357"/>
      <c r="BK119" s="357"/>
      <c r="BL119" s="357"/>
      <c r="BM119" s="357"/>
      <c r="BN119" s="357"/>
      <c r="BO119" s="357"/>
      <c r="BP119" s="357"/>
      <c r="BQ119" s="357"/>
      <c r="BR119" s="357"/>
      <c r="BS119" s="357"/>
      <c r="BT119" s="357"/>
      <c r="BU119" s="357"/>
      <c r="BV119" s="357"/>
      <c r="BW119" s="357"/>
      <c r="BX119" s="357"/>
      <c r="BY119" s="357"/>
      <c r="BZ119" s="357"/>
      <c r="CA119" s="357"/>
      <c r="CB119" s="357"/>
      <c r="CC119" s="357"/>
      <c r="CD119" s="357"/>
      <c r="CE119" s="357"/>
      <c r="CF119" s="357"/>
      <c r="CG119" s="357"/>
      <c r="CH119" s="357"/>
      <c r="CI119" s="357"/>
      <c r="CJ119" s="357"/>
      <c r="CK119" s="357"/>
      <c r="CL119" s="357"/>
      <c r="CM119" s="357"/>
      <c r="CN119" s="357"/>
      <c r="CO119" s="357"/>
      <c r="CP119" s="357"/>
      <c r="CQ119" s="357"/>
      <c r="CR119" s="357"/>
      <c r="CS119" s="357"/>
      <c r="CT119" s="357"/>
      <c r="CU119" s="357"/>
      <c r="CV119" s="357"/>
      <c r="CW119" s="357"/>
      <c r="CX119" s="357"/>
      <c r="CY119" s="357"/>
      <c r="CZ119" s="357"/>
      <c r="DA119" s="357"/>
      <c r="DB119" s="357"/>
      <c r="DC119" s="357"/>
      <c r="DD119" s="357"/>
      <c r="DE119" s="357"/>
      <c r="DF119" s="357"/>
      <c r="DG119" s="357"/>
      <c r="DH119" s="357"/>
      <c r="DI119" s="357"/>
      <c r="DJ119" s="357"/>
      <c r="DK119" s="357"/>
      <c r="DL119" s="357"/>
      <c r="DM119" s="357"/>
      <c r="DN119" s="357"/>
      <c r="DO119" s="357"/>
      <c r="DP119" s="357"/>
      <c r="DQ119" s="357"/>
      <c r="DR119" s="357"/>
      <c r="DS119" s="357"/>
      <c r="DT119" s="357"/>
      <c r="DU119" s="357"/>
      <c r="DV119" s="357"/>
      <c r="DW119" s="357"/>
      <c r="DX119" s="357"/>
      <c r="DY119" s="357"/>
      <c r="DZ119" s="357"/>
      <c r="EA119" s="357"/>
      <c r="EB119" s="357"/>
      <c r="EC119" s="357"/>
      <c r="ED119" s="357"/>
      <c r="EE119" s="357"/>
      <c r="EF119" s="357"/>
      <c r="EG119" s="357"/>
      <c r="EH119" s="357"/>
      <c r="EI119" s="357"/>
      <c r="EJ119" s="357"/>
      <c r="EK119" s="357"/>
      <c r="EL119" s="357"/>
      <c r="EM119" s="357"/>
      <c r="EN119" s="357"/>
      <c r="EO119" s="357"/>
      <c r="EP119" s="357"/>
      <c r="EQ119" s="357"/>
      <c r="ER119" s="357"/>
      <c r="ES119" s="357"/>
      <c r="ET119" s="357"/>
      <c r="EU119" s="357"/>
      <c r="EV119" s="357"/>
      <c r="EW119" s="357"/>
      <c r="EX119" s="357"/>
      <c r="EY119" s="357"/>
      <c r="EZ119" s="357"/>
      <c r="FA119" s="357"/>
      <c r="FB119" s="357"/>
      <c r="FC119" s="357"/>
      <c r="FD119" s="357"/>
      <c r="FE119" s="357"/>
      <c r="FF119" s="357"/>
      <c r="FG119" s="357"/>
      <c r="FH119" s="357"/>
      <c r="FI119" s="357"/>
      <c r="FJ119" s="357"/>
      <c r="FK119" s="357"/>
      <c r="FL119" s="357"/>
      <c r="FM119" s="357"/>
      <c r="FN119" s="357"/>
      <c r="FO119" s="357"/>
      <c r="FP119" s="357"/>
      <c r="FQ119" s="357"/>
      <c r="FR119" s="357"/>
      <c r="FS119" s="357"/>
      <c r="FT119" s="357"/>
      <c r="FU119" s="357"/>
      <c r="FV119" s="357"/>
      <c r="FW119" s="357"/>
      <c r="FX119" s="357"/>
      <c r="FY119" s="357"/>
      <c r="FZ119" s="357"/>
      <c r="GA119" s="357"/>
      <c r="GB119" s="357"/>
      <c r="GC119" s="357"/>
      <c r="GD119" s="357"/>
      <c r="GE119" s="357"/>
      <c r="GF119" s="357"/>
      <c r="GG119" s="357"/>
      <c r="GH119" s="357"/>
      <c r="GI119" s="357"/>
      <c r="GJ119" s="357"/>
      <c r="GK119" s="154"/>
      <c r="GL119" s="154"/>
      <c r="GM119" s="154"/>
      <c r="GN119" s="154"/>
      <c r="GO119" s="154"/>
      <c r="GP119" s="154"/>
      <c r="GQ119" s="154"/>
      <c r="GR119" s="154"/>
      <c r="GS119" s="154"/>
      <c r="GT119" s="154"/>
      <c r="GU119" s="154"/>
      <c r="GV119" s="154"/>
      <c r="GW119" s="154"/>
      <c r="GX119" s="154"/>
    </row>
    <row r="120" spans="7:206">
      <c r="G120" s="154"/>
      <c r="H120" s="154"/>
      <c r="I120" s="154"/>
      <c r="J120" s="154"/>
      <c r="K120" s="154"/>
      <c r="L120" s="154"/>
      <c r="M120" s="154"/>
      <c r="N120" s="154"/>
      <c r="O120" s="154"/>
      <c r="P120" s="154"/>
      <c r="Q120" s="154"/>
      <c r="R120" s="154"/>
      <c r="S120" s="154"/>
      <c r="T120" s="154"/>
      <c r="U120" s="154"/>
      <c r="V120" s="154"/>
      <c r="W120" s="154"/>
      <c r="X120" s="154"/>
      <c r="Y120" s="154"/>
      <c r="Z120" s="357"/>
      <c r="AA120" s="357"/>
      <c r="AB120" s="357"/>
      <c r="AC120" s="357"/>
      <c r="AD120" s="357"/>
      <c r="AE120" s="357"/>
      <c r="AF120" s="357"/>
      <c r="AG120" s="357"/>
      <c r="AH120" s="357"/>
      <c r="AI120" s="357"/>
      <c r="AJ120" s="357"/>
      <c r="AK120" s="357"/>
      <c r="AL120" s="357"/>
      <c r="AM120" s="357"/>
      <c r="AN120" s="357"/>
      <c r="AO120" s="357"/>
      <c r="AP120" s="357"/>
      <c r="AQ120" s="357"/>
      <c r="AR120" s="357"/>
      <c r="AS120" s="357"/>
      <c r="AT120" s="357"/>
      <c r="AU120" s="357"/>
      <c r="AV120" s="357"/>
      <c r="AW120" s="357"/>
      <c r="AX120" s="357"/>
      <c r="AY120" s="357"/>
      <c r="AZ120" s="357"/>
      <c r="BA120" s="357"/>
      <c r="BB120" s="357"/>
      <c r="BC120" s="357"/>
      <c r="BD120" s="357"/>
      <c r="BE120" s="357"/>
      <c r="BF120" s="357"/>
      <c r="BG120" s="357"/>
      <c r="BH120" s="357"/>
      <c r="BI120" s="357"/>
      <c r="BJ120" s="357"/>
      <c r="BK120" s="357"/>
      <c r="BL120" s="357"/>
      <c r="BM120" s="357"/>
      <c r="BN120" s="357"/>
      <c r="BO120" s="357"/>
      <c r="BP120" s="357"/>
      <c r="BQ120" s="357"/>
      <c r="BR120" s="357"/>
      <c r="BS120" s="357"/>
      <c r="BT120" s="357"/>
      <c r="BU120" s="357"/>
      <c r="BV120" s="357"/>
      <c r="BW120" s="357"/>
      <c r="BX120" s="357"/>
      <c r="BY120" s="357"/>
      <c r="BZ120" s="357"/>
      <c r="CA120" s="357"/>
      <c r="CB120" s="357"/>
      <c r="CC120" s="357"/>
      <c r="CD120" s="357"/>
      <c r="CE120" s="357"/>
      <c r="CF120" s="357"/>
      <c r="CG120" s="357"/>
      <c r="CH120" s="357"/>
      <c r="CI120" s="357"/>
      <c r="CJ120" s="357"/>
      <c r="CK120" s="357"/>
      <c r="CL120" s="357"/>
      <c r="CM120" s="357"/>
      <c r="CN120" s="357"/>
      <c r="CO120" s="357"/>
      <c r="CP120" s="357"/>
      <c r="CQ120" s="357"/>
      <c r="CR120" s="357"/>
      <c r="CS120" s="357"/>
      <c r="CT120" s="357"/>
      <c r="CU120" s="357"/>
      <c r="CV120" s="357"/>
      <c r="CW120" s="357"/>
      <c r="CX120" s="357"/>
      <c r="CY120" s="357"/>
      <c r="CZ120" s="357"/>
      <c r="DA120" s="357"/>
      <c r="DB120" s="357"/>
      <c r="DC120" s="357"/>
      <c r="DD120" s="357"/>
      <c r="DE120" s="357"/>
      <c r="DF120" s="357"/>
      <c r="DG120" s="357"/>
      <c r="DH120" s="357"/>
      <c r="DI120" s="357"/>
      <c r="DJ120" s="357"/>
      <c r="DK120" s="357"/>
      <c r="DL120" s="357"/>
      <c r="DM120" s="357"/>
      <c r="DN120" s="357"/>
      <c r="DO120" s="357"/>
      <c r="DP120" s="357"/>
      <c r="DQ120" s="357"/>
      <c r="DR120" s="357"/>
      <c r="DS120" s="357"/>
      <c r="DT120" s="357"/>
      <c r="DU120" s="357"/>
      <c r="DV120" s="357"/>
      <c r="DW120" s="357"/>
      <c r="DX120" s="357"/>
      <c r="DY120" s="357"/>
      <c r="DZ120" s="357"/>
      <c r="EA120" s="357"/>
      <c r="EB120" s="357"/>
      <c r="EC120" s="357"/>
      <c r="ED120" s="357"/>
      <c r="EE120" s="357"/>
      <c r="EF120" s="357"/>
      <c r="EG120" s="357"/>
      <c r="EH120" s="357"/>
      <c r="EI120" s="357"/>
      <c r="EJ120" s="357"/>
      <c r="EK120" s="357"/>
      <c r="EL120" s="357"/>
      <c r="EM120" s="357"/>
      <c r="EN120" s="357"/>
      <c r="EO120" s="357"/>
      <c r="EP120" s="357"/>
      <c r="EQ120" s="357"/>
      <c r="ER120" s="357"/>
      <c r="ES120" s="357"/>
      <c r="ET120" s="357"/>
      <c r="EU120" s="357"/>
      <c r="EV120" s="357"/>
      <c r="EW120" s="357"/>
      <c r="EX120" s="357"/>
      <c r="EY120" s="357"/>
      <c r="EZ120" s="357"/>
      <c r="FA120" s="357"/>
      <c r="FB120" s="357"/>
      <c r="FC120" s="357"/>
      <c r="FD120" s="357"/>
      <c r="FE120" s="357"/>
      <c r="FF120" s="357"/>
      <c r="FG120" s="357"/>
      <c r="FH120" s="357"/>
      <c r="FI120" s="357"/>
      <c r="FJ120" s="357"/>
      <c r="FK120" s="357"/>
      <c r="FL120" s="357"/>
      <c r="FM120" s="357"/>
      <c r="FN120" s="357"/>
      <c r="FO120" s="357"/>
      <c r="FP120" s="357"/>
      <c r="FQ120" s="357"/>
      <c r="FR120" s="357"/>
      <c r="FS120" s="357"/>
      <c r="FT120" s="357"/>
      <c r="FU120" s="357"/>
      <c r="FV120" s="357"/>
      <c r="FW120" s="357"/>
      <c r="FX120" s="357"/>
      <c r="FY120" s="357"/>
      <c r="FZ120" s="357"/>
      <c r="GA120" s="357"/>
      <c r="GB120" s="357"/>
      <c r="GC120" s="357"/>
      <c r="GD120" s="357"/>
      <c r="GE120" s="357"/>
      <c r="GF120" s="357"/>
      <c r="GG120" s="357"/>
      <c r="GH120" s="357"/>
      <c r="GI120" s="357"/>
      <c r="GJ120" s="357"/>
      <c r="GK120" s="154"/>
      <c r="GL120" s="154"/>
      <c r="GM120" s="154"/>
      <c r="GN120" s="154"/>
      <c r="GO120" s="154"/>
      <c r="GP120" s="154"/>
      <c r="GQ120" s="154"/>
      <c r="GR120" s="154"/>
      <c r="GS120" s="154"/>
      <c r="GT120" s="154"/>
      <c r="GU120" s="154"/>
      <c r="GV120" s="154"/>
      <c r="GW120" s="154"/>
      <c r="GX120" s="154"/>
    </row>
    <row r="121" spans="7:206">
      <c r="G121" s="154"/>
      <c r="H121" s="154"/>
      <c r="I121" s="154"/>
      <c r="J121" s="154"/>
      <c r="K121" s="154"/>
      <c r="L121" s="154"/>
      <c r="M121" s="154"/>
      <c r="N121" s="154"/>
      <c r="O121" s="154"/>
      <c r="P121" s="154"/>
      <c r="Q121" s="154"/>
      <c r="R121" s="154"/>
      <c r="S121" s="154"/>
      <c r="T121" s="154"/>
      <c r="U121" s="154"/>
      <c r="V121" s="154"/>
      <c r="W121" s="154"/>
      <c r="X121" s="154"/>
      <c r="Y121" s="154"/>
      <c r="Z121" s="357"/>
      <c r="AA121" s="357"/>
      <c r="AB121" s="357"/>
      <c r="AC121" s="357"/>
      <c r="AD121" s="357"/>
      <c r="AE121" s="357"/>
      <c r="AF121" s="357"/>
      <c r="AG121" s="357"/>
      <c r="AH121" s="357"/>
      <c r="AI121" s="357"/>
      <c r="AJ121" s="357"/>
      <c r="AK121" s="357"/>
      <c r="AL121" s="357"/>
      <c r="AM121" s="357"/>
      <c r="AN121" s="357"/>
      <c r="AO121" s="357"/>
      <c r="AP121" s="357"/>
      <c r="AQ121" s="357"/>
      <c r="AR121" s="357"/>
      <c r="AS121" s="357"/>
      <c r="AT121" s="357"/>
      <c r="AU121" s="357"/>
      <c r="AV121" s="357"/>
      <c r="AW121" s="357"/>
      <c r="AX121" s="357"/>
      <c r="AY121" s="357"/>
      <c r="AZ121" s="357"/>
      <c r="BA121" s="357"/>
      <c r="BB121" s="357"/>
      <c r="BC121" s="357"/>
      <c r="BD121" s="357"/>
      <c r="BE121" s="357"/>
      <c r="BF121" s="357"/>
      <c r="BG121" s="357"/>
      <c r="BH121" s="357"/>
      <c r="BI121" s="357"/>
      <c r="BJ121" s="357"/>
      <c r="BK121" s="357"/>
      <c r="BL121" s="357"/>
      <c r="BM121" s="357"/>
      <c r="BN121" s="357"/>
      <c r="BO121" s="357"/>
      <c r="BP121" s="357"/>
      <c r="BQ121" s="357"/>
      <c r="BR121" s="357"/>
      <c r="BS121" s="357"/>
      <c r="BT121" s="357"/>
      <c r="BU121" s="357"/>
      <c r="BV121" s="357"/>
      <c r="BW121" s="357"/>
      <c r="BX121" s="357"/>
      <c r="BY121" s="357"/>
      <c r="BZ121" s="357"/>
      <c r="CA121" s="357"/>
      <c r="CB121" s="357"/>
      <c r="CC121" s="357"/>
      <c r="CD121" s="357"/>
      <c r="CE121" s="357"/>
      <c r="CF121" s="357"/>
      <c r="CG121" s="357"/>
      <c r="CH121" s="357"/>
      <c r="CI121" s="357"/>
      <c r="CJ121" s="357"/>
      <c r="CK121" s="357"/>
      <c r="CL121" s="357"/>
      <c r="CM121" s="357"/>
      <c r="CN121" s="357"/>
      <c r="CO121" s="357"/>
      <c r="CP121" s="357"/>
      <c r="CQ121" s="357"/>
      <c r="CR121" s="357"/>
      <c r="CS121" s="357"/>
      <c r="CT121" s="357"/>
      <c r="CU121" s="357"/>
      <c r="CV121" s="357"/>
      <c r="CW121" s="357"/>
      <c r="CX121" s="357"/>
      <c r="CY121" s="357"/>
      <c r="CZ121" s="357"/>
      <c r="DA121" s="357"/>
      <c r="DB121" s="357"/>
      <c r="DC121" s="357"/>
      <c r="DD121" s="357"/>
      <c r="DE121" s="357"/>
      <c r="DF121" s="357"/>
      <c r="DG121" s="357"/>
      <c r="DH121" s="357"/>
      <c r="DI121" s="357"/>
      <c r="DJ121" s="357"/>
      <c r="DK121" s="357"/>
      <c r="DL121" s="357"/>
      <c r="DM121" s="357"/>
      <c r="DN121" s="357"/>
      <c r="DO121" s="357"/>
      <c r="DP121" s="357"/>
      <c r="DQ121" s="357"/>
      <c r="DR121" s="357"/>
      <c r="DS121" s="357"/>
      <c r="DT121" s="357"/>
      <c r="DU121" s="357"/>
      <c r="DV121" s="357"/>
      <c r="DW121" s="357"/>
      <c r="DX121" s="357"/>
      <c r="DY121" s="357"/>
      <c r="DZ121" s="357"/>
      <c r="EA121" s="357"/>
      <c r="EB121" s="357"/>
      <c r="EC121" s="357"/>
      <c r="ED121" s="357"/>
      <c r="EE121" s="357"/>
      <c r="EF121" s="357"/>
      <c r="EG121" s="357"/>
      <c r="EH121" s="357"/>
      <c r="EI121" s="357"/>
      <c r="EJ121" s="357"/>
      <c r="EK121" s="357"/>
      <c r="EL121" s="357"/>
      <c r="EM121" s="357"/>
      <c r="EN121" s="357"/>
      <c r="EO121" s="357"/>
      <c r="EP121" s="357"/>
      <c r="EQ121" s="357"/>
      <c r="ER121" s="357"/>
      <c r="ES121" s="357"/>
      <c r="ET121" s="357"/>
      <c r="EU121" s="357"/>
      <c r="EV121" s="357"/>
      <c r="EW121" s="357"/>
      <c r="EX121" s="357"/>
      <c r="EY121" s="357"/>
      <c r="EZ121" s="357"/>
      <c r="FA121" s="357"/>
      <c r="FB121" s="357"/>
      <c r="FC121" s="357"/>
      <c r="FD121" s="357"/>
      <c r="FE121" s="357"/>
      <c r="FF121" s="357"/>
      <c r="FG121" s="357"/>
      <c r="FH121" s="357"/>
      <c r="FI121" s="357"/>
      <c r="FJ121" s="357"/>
      <c r="FK121" s="357"/>
      <c r="FL121" s="357"/>
      <c r="FM121" s="357"/>
      <c r="FN121" s="357"/>
      <c r="FO121" s="357"/>
      <c r="FP121" s="357"/>
      <c r="FQ121" s="357"/>
      <c r="FR121" s="357"/>
      <c r="FS121" s="357"/>
      <c r="FT121" s="357"/>
      <c r="FU121" s="357"/>
      <c r="FV121" s="357"/>
      <c r="FW121" s="357"/>
      <c r="FX121" s="357"/>
      <c r="FY121" s="357"/>
      <c r="FZ121" s="357"/>
      <c r="GA121" s="357"/>
      <c r="GB121" s="357"/>
      <c r="GC121" s="357"/>
      <c r="GD121" s="357"/>
      <c r="GE121" s="357"/>
      <c r="GF121" s="357"/>
      <c r="GG121" s="357"/>
      <c r="GH121" s="357"/>
      <c r="GI121" s="357"/>
      <c r="GJ121" s="357"/>
      <c r="GK121" s="154"/>
      <c r="GL121" s="154"/>
      <c r="GM121" s="154"/>
      <c r="GN121" s="154"/>
      <c r="GO121" s="154"/>
      <c r="GP121" s="154"/>
      <c r="GQ121" s="154"/>
      <c r="GR121" s="154"/>
      <c r="GS121" s="154"/>
      <c r="GT121" s="154"/>
      <c r="GU121" s="154"/>
      <c r="GV121" s="154"/>
      <c r="GW121" s="154"/>
      <c r="GX121" s="154"/>
    </row>
    <row r="122" spans="7:206">
      <c r="G122" s="154"/>
      <c r="H122" s="154"/>
      <c r="I122" s="154"/>
      <c r="J122" s="154"/>
      <c r="K122" s="154"/>
      <c r="L122" s="154"/>
      <c r="M122" s="154"/>
      <c r="N122" s="154"/>
      <c r="O122" s="154"/>
      <c r="P122" s="154"/>
      <c r="Q122" s="154"/>
      <c r="R122" s="154"/>
      <c r="S122" s="154"/>
      <c r="T122" s="154"/>
      <c r="U122" s="154"/>
      <c r="V122" s="154"/>
      <c r="W122" s="154"/>
      <c r="X122" s="154"/>
      <c r="Y122" s="154"/>
      <c r="Z122" s="357"/>
      <c r="AA122" s="357"/>
      <c r="AB122" s="357"/>
      <c r="AC122" s="357"/>
      <c r="AD122" s="357"/>
      <c r="AE122" s="357"/>
      <c r="AF122" s="357"/>
      <c r="AG122" s="357"/>
      <c r="AH122" s="357"/>
      <c r="AI122" s="357"/>
      <c r="AJ122" s="357"/>
      <c r="AK122" s="357"/>
      <c r="AL122" s="357"/>
      <c r="AM122" s="357"/>
      <c r="AN122" s="357"/>
      <c r="AO122" s="357"/>
      <c r="AP122" s="357"/>
      <c r="AQ122" s="357"/>
      <c r="AR122" s="357"/>
      <c r="AS122" s="357"/>
      <c r="AT122" s="357"/>
      <c r="AU122" s="357"/>
      <c r="AV122" s="357"/>
      <c r="AW122" s="357"/>
      <c r="AX122" s="357"/>
      <c r="AY122" s="357"/>
      <c r="AZ122" s="357"/>
      <c r="BA122" s="357"/>
      <c r="BB122" s="357"/>
      <c r="BC122" s="357"/>
      <c r="BD122" s="357"/>
      <c r="BE122" s="357"/>
      <c r="BF122" s="357"/>
      <c r="BG122" s="357"/>
      <c r="BH122" s="357"/>
      <c r="BI122" s="357"/>
      <c r="BJ122" s="357"/>
      <c r="BK122" s="357"/>
      <c r="BL122" s="357"/>
      <c r="BM122" s="357"/>
      <c r="BN122" s="357"/>
      <c r="BO122" s="357"/>
      <c r="BP122" s="357"/>
      <c r="BQ122" s="357"/>
      <c r="BR122" s="357"/>
      <c r="BS122" s="357"/>
      <c r="BT122" s="357"/>
      <c r="BU122" s="357"/>
      <c r="BV122" s="357"/>
      <c r="BW122" s="357"/>
      <c r="BX122" s="357"/>
      <c r="BY122" s="357"/>
      <c r="BZ122" s="357"/>
      <c r="CA122" s="357"/>
      <c r="CB122" s="357"/>
      <c r="CC122" s="357"/>
      <c r="CD122" s="357"/>
      <c r="CE122" s="357"/>
      <c r="CF122" s="357"/>
      <c r="CG122" s="357"/>
      <c r="CH122" s="357"/>
      <c r="CI122" s="357"/>
      <c r="CJ122" s="357"/>
      <c r="CK122" s="357"/>
      <c r="CL122" s="357"/>
      <c r="CM122" s="357"/>
      <c r="CN122" s="357"/>
      <c r="CO122" s="357"/>
      <c r="CP122" s="357"/>
      <c r="CQ122" s="357"/>
      <c r="CR122" s="357"/>
      <c r="CS122" s="357"/>
      <c r="CT122" s="357"/>
      <c r="CU122" s="357"/>
      <c r="CV122" s="357"/>
      <c r="CW122" s="357"/>
      <c r="CX122" s="357"/>
      <c r="CY122" s="357"/>
      <c r="CZ122" s="357"/>
      <c r="DA122" s="357"/>
      <c r="DB122" s="357"/>
      <c r="DC122" s="357"/>
      <c r="DD122" s="357"/>
      <c r="DE122" s="357"/>
      <c r="DF122" s="357"/>
      <c r="DG122" s="357"/>
      <c r="DH122" s="357"/>
      <c r="DI122" s="357"/>
      <c r="DJ122" s="357"/>
      <c r="DK122" s="357"/>
      <c r="DL122" s="357"/>
      <c r="DM122" s="357"/>
      <c r="DN122" s="357"/>
      <c r="DO122" s="357"/>
      <c r="DP122" s="357"/>
      <c r="DQ122" s="357"/>
      <c r="DR122" s="357"/>
      <c r="DS122" s="357"/>
      <c r="DT122" s="357"/>
      <c r="DU122" s="357"/>
      <c r="DV122" s="357"/>
      <c r="DW122" s="357"/>
      <c r="DX122" s="357"/>
      <c r="DY122" s="357"/>
      <c r="DZ122" s="357"/>
      <c r="EA122" s="357"/>
      <c r="EB122" s="357"/>
      <c r="EC122" s="357"/>
      <c r="ED122" s="357"/>
      <c r="EE122" s="357"/>
      <c r="EF122" s="357"/>
      <c r="EG122" s="357"/>
      <c r="EH122" s="357"/>
      <c r="EI122" s="357"/>
      <c r="EJ122" s="357"/>
      <c r="EK122" s="357"/>
      <c r="EL122" s="357"/>
      <c r="EM122" s="357"/>
      <c r="EN122" s="357"/>
      <c r="EO122" s="357"/>
      <c r="EP122" s="357"/>
      <c r="EQ122" s="357"/>
      <c r="ER122" s="357"/>
      <c r="ES122" s="357"/>
      <c r="ET122" s="357"/>
      <c r="EU122" s="357"/>
      <c r="EV122" s="357"/>
      <c r="EW122" s="357"/>
      <c r="EX122" s="357"/>
      <c r="EY122" s="357"/>
      <c r="EZ122" s="357"/>
      <c r="FA122" s="357"/>
      <c r="FB122" s="357"/>
      <c r="FC122" s="357"/>
      <c r="FD122" s="357"/>
      <c r="FE122" s="357"/>
      <c r="FF122" s="357"/>
      <c r="FG122" s="357"/>
      <c r="FH122" s="357"/>
      <c r="FI122" s="357"/>
      <c r="FJ122" s="357"/>
      <c r="FK122" s="357"/>
      <c r="FL122" s="357"/>
      <c r="FM122" s="357"/>
      <c r="FN122" s="357"/>
      <c r="FO122" s="357"/>
      <c r="FP122" s="357"/>
      <c r="FQ122" s="357"/>
      <c r="FR122" s="357"/>
      <c r="FS122" s="357"/>
      <c r="FT122" s="357"/>
      <c r="FU122" s="357"/>
      <c r="FV122" s="357"/>
      <c r="FW122" s="357"/>
      <c r="FX122" s="357"/>
      <c r="FY122" s="357"/>
      <c r="FZ122" s="357"/>
      <c r="GA122" s="357"/>
      <c r="GB122" s="357"/>
      <c r="GC122" s="357"/>
      <c r="GD122" s="357"/>
      <c r="GE122" s="357"/>
      <c r="GF122" s="357"/>
      <c r="GG122" s="357"/>
      <c r="GH122" s="357"/>
      <c r="GI122" s="357"/>
      <c r="GJ122" s="357"/>
      <c r="GK122" s="154"/>
      <c r="GL122" s="154"/>
      <c r="GM122" s="154"/>
      <c r="GN122" s="154"/>
      <c r="GO122" s="154"/>
      <c r="GP122" s="154"/>
      <c r="GQ122" s="154"/>
      <c r="GR122" s="154"/>
      <c r="GS122" s="154"/>
      <c r="GT122" s="154"/>
      <c r="GU122" s="154"/>
      <c r="GV122" s="154"/>
      <c r="GW122" s="154"/>
      <c r="GX122" s="154"/>
    </row>
    <row r="123" spans="7:206">
      <c r="G123" s="154"/>
      <c r="H123" s="154"/>
      <c r="I123" s="154"/>
      <c r="J123" s="154"/>
      <c r="K123" s="154"/>
      <c r="L123" s="154"/>
      <c r="M123" s="154"/>
      <c r="N123" s="154"/>
      <c r="O123" s="154"/>
      <c r="P123" s="154"/>
      <c r="Q123" s="154"/>
      <c r="R123" s="154"/>
      <c r="S123" s="154"/>
      <c r="T123" s="154"/>
      <c r="U123" s="154"/>
      <c r="V123" s="154"/>
      <c r="W123" s="154"/>
      <c r="X123" s="154"/>
      <c r="Y123" s="154"/>
      <c r="Z123" s="357"/>
      <c r="AA123" s="357"/>
      <c r="AB123" s="357"/>
      <c r="AC123" s="357"/>
      <c r="AD123" s="357"/>
      <c r="AE123" s="357"/>
      <c r="AF123" s="357"/>
      <c r="AG123" s="357"/>
      <c r="AH123" s="357"/>
      <c r="AI123" s="357"/>
      <c r="AJ123" s="357"/>
      <c r="AK123" s="357"/>
      <c r="AL123" s="357"/>
      <c r="AM123" s="357"/>
      <c r="AN123" s="357"/>
      <c r="AO123" s="357"/>
      <c r="AP123" s="357"/>
      <c r="AQ123" s="357"/>
      <c r="AR123" s="357"/>
      <c r="AS123" s="357"/>
      <c r="AT123" s="357"/>
      <c r="AU123" s="357"/>
      <c r="AV123" s="357"/>
      <c r="AW123" s="357"/>
      <c r="AX123" s="357"/>
      <c r="AY123" s="357"/>
      <c r="AZ123" s="357"/>
      <c r="BA123" s="357"/>
      <c r="BB123" s="357"/>
      <c r="BC123" s="357"/>
      <c r="BD123" s="357"/>
      <c r="BE123" s="357"/>
      <c r="BF123" s="357"/>
      <c r="BG123" s="357"/>
      <c r="BH123" s="357"/>
      <c r="BI123" s="357"/>
      <c r="BJ123" s="357"/>
      <c r="BK123" s="357"/>
      <c r="BL123" s="357"/>
      <c r="BM123" s="357"/>
      <c r="BN123" s="357"/>
      <c r="BO123" s="357"/>
      <c r="BP123" s="357"/>
      <c r="BQ123" s="357"/>
      <c r="BR123" s="357"/>
      <c r="BS123" s="357"/>
      <c r="BT123" s="357"/>
      <c r="BU123" s="357"/>
      <c r="BV123" s="357"/>
      <c r="BW123" s="357"/>
      <c r="BX123" s="357"/>
      <c r="BY123" s="357"/>
      <c r="BZ123" s="357"/>
      <c r="CA123" s="357"/>
      <c r="CB123" s="357"/>
      <c r="CC123" s="357"/>
      <c r="CD123" s="357"/>
      <c r="CE123" s="357"/>
      <c r="CF123" s="357"/>
      <c r="CG123" s="357"/>
      <c r="CH123" s="357"/>
      <c r="CI123" s="357"/>
      <c r="CJ123" s="357"/>
      <c r="CK123" s="357"/>
      <c r="CL123" s="357"/>
      <c r="CM123" s="357"/>
      <c r="CN123" s="357"/>
      <c r="CO123" s="357"/>
      <c r="CP123" s="357"/>
      <c r="CQ123" s="357"/>
      <c r="CR123" s="357"/>
      <c r="CS123" s="357"/>
      <c r="CT123" s="357"/>
      <c r="CU123" s="357"/>
      <c r="CV123" s="357"/>
      <c r="CW123" s="357"/>
      <c r="CX123" s="357"/>
      <c r="CY123" s="357"/>
      <c r="CZ123" s="357"/>
      <c r="DA123" s="357"/>
      <c r="DB123" s="357"/>
      <c r="DC123" s="357"/>
      <c r="DD123" s="357"/>
      <c r="DE123" s="357"/>
      <c r="DF123" s="357"/>
      <c r="DG123" s="357"/>
      <c r="DH123" s="357"/>
      <c r="DI123" s="357"/>
      <c r="DJ123" s="357"/>
      <c r="DK123" s="357"/>
      <c r="DL123" s="357"/>
      <c r="DM123" s="357"/>
      <c r="DN123" s="357"/>
      <c r="DO123" s="357"/>
      <c r="DP123" s="357"/>
      <c r="DQ123" s="357"/>
      <c r="DR123" s="357"/>
      <c r="DS123" s="357"/>
      <c r="DT123" s="357"/>
      <c r="DU123" s="357"/>
      <c r="DV123" s="357"/>
      <c r="DW123" s="357"/>
      <c r="DX123" s="357"/>
      <c r="DY123" s="357"/>
      <c r="DZ123" s="357"/>
      <c r="EA123" s="357"/>
      <c r="EB123" s="357"/>
      <c r="EC123" s="357"/>
      <c r="ED123" s="357"/>
      <c r="EE123" s="357"/>
      <c r="EF123" s="357"/>
      <c r="EG123" s="357"/>
      <c r="EH123" s="357"/>
      <c r="EI123" s="357"/>
      <c r="EJ123" s="357"/>
      <c r="EK123" s="357"/>
      <c r="EL123" s="357"/>
      <c r="EM123" s="357"/>
      <c r="EN123" s="357"/>
      <c r="EO123" s="357"/>
      <c r="EP123" s="357"/>
      <c r="EQ123" s="357"/>
      <c r="ER123" s="357"/>
      <c r="ES123" s="357"/>
      <c r="ET123" s="357"/>
      <c r="EU123" s="357"/>
      <c r="EV123" s="357"/>
      <c r="EW123" s="357"/>
      <c r="EX123" s="357"/>
      <c r="EY123" s="357"/>
      <c r="EZ123" s="357"/>
      <c r="FA123" s="357"/>
      <c r="FB123" s="357"/>
      <c r="FC123" s="357"/>
      <c r="FD123" s="357"/>
      <c r="FE123" s="357"/>
      <c r="FF123" s="357"/>
      <c r="FG123" s="357"/>
      <c r="FH123" s="357"/>
      <c r="FI123" s="357"/>
      <c r="FJ123" s="357"/>
      <c r="FK123" s="357"/>
      <c r="FL123" s="357"/>
      <c r="FM123" s="357"/>
      <c r="FN123" s="357"/>
      <c r="FO123" s="357"/>
      <c r="FP123" s="357"/>
      <c r="FQ123" s="357"/>
      <c r="FR123" s="357"/>
      <c r="FS123" s="357"/>
      <c r="FT123" s="357"/>
      <c r="FU123" s="357"/>
      <c r="FV123" s="357"/>
      <c r="FW123" s="357"/>
      <c r="FX123" s="357"/>
      <c r="FY123" s="357"/>
      <c r="FZ123" s="357"/>
      <c r="GA123" s="357"/>
      <c r="GB123" s="357"/>
      <c r="GC123" s="357"/>
      <c r="GD123" s="357"/>
      <c r="GE123" s="357"/>
      <c r="GF123" s="357"/>
      <c r="GG123" s="357"/>
      <c r="GH123" s="357"/>
      <c r="GI123" s="357"/>
      <c r="GJ123" s="357"/>
      <c r="GK123" s="154"/>
      <c r="GL123" s="154"/>
      <c r="GM123" s="154"/>
      <c r="GN123" s="154"/>
      <c r="GO123" s="154"/>
      <c r="GP123" s="154"/>
      <c r="GQ123" s="154"/>
      <c r="GR123" s="154"/>
      <c r="GS123" s="154"/>
      <c r="GT123" s="154"/>
      <c r="GU123" s="154"/>
      <c r="GV123" s="154"/>
      <c r="GW123" s="154"/>
      <c r="GX123" s="154"/>
    </row>
    <row r="124" spans="7:206">
      <c r="G124" s="154"/>
      <c r="H124" s="154"/>
      <c r="I124" s="154"/>
      <c r="J124" s="154"/>
      <c r="K124" s="154"/>
      <c r="L124" s="154"/>
      <c r="M124" s="154"/>
      <c r="N124" s="154"/>
      <c r="O124" s="154"/>
      <c r="P124" s="154"/>
      <c r="Q124" s="154"/>
      <c r="R124" s="154"/>
      <c r="S124" s="154"/>
      <c r="T124" s="154"/>
      <c r="U124" s="154"/>
      <c r="V124" s="154"/>
      <c r="W124" s="154"/>
      <c r="X124" s="154"/>
      <c r="Y124" s="154"/>
      <c r="Z124" s="357"/>
      <c r="AA124" s="357"/>
      <c r="AB124" s="357"/>
      <c r="AC124" s="357"/>
      <c r="AD124" s="357"/>
      <c r="AE124" s="357"/>
      <c r="AF124" s="357"/>
      <c r="AG124" s="357"/>
      <c r="AH124" s="357"/>
      <c r="AI124" s="357"/>
      <c r="AJ124" s="357"/>
      <c r="AK124" s="357"/>
      <c r="AL124" s="357"/>
      <c r="AM124" s="357"/>
      <c r="AN124" s="357"/>
      <c r="AO124" s="357"/>
      <c r="AP124" s="357"/>
      <c r="AQ124" s="357"/>
      <c r="AR124" s="357"/>
      <c r="AS124" s="357"/>
      <c r="AT124" s="357"/>
      <c r="AU124" s="357"/>
      <c r="AV124" s="357"/>
      <c r="AW124" s="357"/>
      <c r="AX124" s="357"/>
      <c r="AY124" s="357"/>
      <c r="AZ124" s="357"/>
      <c r="BA124" s="357"/>
      <c r="BB124" s="357"/>
      <c r="BC124" s="357"/>
      <c r="BD124" s="357"/>
      <c r="BE124" s="357"/>
      <c r="BF124" s="357"/>
      <c r="BG124" s="357"/>
      <c r="BH124" s="357"/>
      <c r="BI124" s="357"/>
      <c r="BJ124" s="357"/>
      <c r="BK124" s="357"/>
      <c r="BL124" s="357"/>
      <c r="BM124" s="357"/>
      <c r="BN124" s="357"/>
      <c r="BO124" s="357"/>
      <c r="BP124" s="357"/>
      <c r="BQ124" s="357"/>
      <c r="BR124" s="357"/>
      <c r="BS124" s="357"/>
      <c r="BT124" s="357"/>
      <c r="BU124" s="357"/>
      <c r="BV124" s="357"/>
      <c r="BW124" s="357"/>
      <c r="BX124" s="357"/>
      <c r="BY124" s="357"/>
      <c r="BZ124" s="357"/>
      <c r="CA124" s="357"/>
      <c r="CB124" s="357"/>
      <c r="CC124" s="357"/>
      <c r="CD124" s="357"/>
      <c r="CE124" s="357"/>
      <c r="CF124" s="357"/>
      <c r="CG124" s="357"/>
      <c r="CH124" s="357"/>
      <c r="CI124" s="357"/>
      <c r="CJ124" s="357"/>
      <c r="CK124" s="357"/>
      <c r="CL124" s="357"/>
      <c r="CM124" s="357"/>
      <c r="CN124" s="357"/>
      <c r="CO124" s="357"/>
      <c r="CP124" s="357"/>
      <c r="CQ124" s="357"/>
      <c r="CR124" s="357"/>
      <c r="CS124" s="357"/>
      <c r="CT124" s="357"/>
      <c r="CU124" s="357"/>
      <c r="CV124" s="357"/>
      <c r="CW124" s="357"/>
      <c r="CX124" s="357"/>
      <c r="CY124" s="357"/>
      <c r="CZ124" s="357"/>
      <c r="DA124" s="357"/>
      <c r="DB124" s="357"/>
      <c r="DC124" s="357"/>
      <c r="DD124" s="357"/>
      <c r="DE124" s="357"/>
      <c r="DF124" s="357"/>
      <c r="DG124" s="357"/>
      <c r="DH124" s="357"/>
      <c r="DI124" s="357"/>
      <c r="DJ124" s="357"/>
      <c r="DK124" s="357"/>
      <c r="DL124" s="357"/>
      <c r="DM124" s="357"/>
      <c r="DN124" s="357"/>
      <c r="DO124" s="357"/>
      <c r="DP124" s="357"/>
      <c r="DQ124" s="357"/>
      <c r="DR124" s="357"/>
      <c r="DS124" s="357"/>
      <c r="DT124" s="357"/>
      <c r="DU124" s="357"/>
      <c r="DV124" s="357"/>
      <c r="DW124" s="357"/>
      <c r="DX124" s="357"/>
      <c r="DY124" s="357"/>
      <c r="DZ124" s="357"/>
      <c r="EA124" s="357"/>
      <c r="EB124" s="357"/>
      <c r="EC124" s="357"/>
      <c r="ED124" s="357"/>
      <c r="EE124" s="357"/>
      <c r="EF124" s="357"/>
      <c r="EG124" s="357"/>
      <c r="EH124" s="357"/>
      <c r="EI124" s="357"/>
      <c r="EJ124" s="357"/>
      <c r="EK124" s="357"/>
      <c r="EL124" s="357"/>
      <c r="EM124" s="357"/>
      <c r="EN124" s="357"/>
      <c r="EO124" s="357"/>
      <c r="EP124" s="357"/>
      <c r="EQ124" s="357"/>
      <c r="ER124" s="357"/>
      <c r="ES124" s="357"/>
      <c r="ET124" s="357"/>
      <c r="EU124" s="357"/>
      <c r="EV124" s="357"/>
      <c r="EW124" s="357"/>
      <c r="EX124" s="357"/>
      <c r="EY124" s="357"/>
      <c r="EZ124" s="357"/>
      <c r="FA124" s="357"/>
      <c r="FB124" s="357"/>
      <c r="FC124" s="357"/>
      <c r="FD124" s="357"/>
      <c r="FE124" s="357"/>
      <c r="FF124" s="357"/>
      <c r="FG124" s="357"/>
      <c r="FH124" s="357"/>
      <c r="FI124" s="357"/>
      <c r="FJ124" s="357"/>
      <c r="FK124" s="357"/>
      <c r="FL124" s="357"/>
      <c r="FM124" s="357"/>
      <c r="FN124" s="357"/>
      <c r="FO124" s="357"/>
      <c r="FP124" s="357"/>
      <c r="FQ124" s="357"/>
      <c r="FR124" s="357"/>
      <c r="FS124" s="357"/>
      <c r="FT124" s="357"/>
      <c r="FU124" s="357"/>
      <c r="FV124" s="357"/>
      <c r="FW124" s="357"/>
      <c r="FX124" s="357"/>
      <c r="FY124" s="357"/>
      <c r="FZ124" s="357"/>
      <c r="GA124" s="357"/>
      <c r="GB124" s="357"/>
      <c r="GC124" s="357"/>
      <c r="GD124" s="357"/>
      <c r="GE124" s="357"/>
      <c r="GF124" s="357"/>
      <c r="GG124" s="357"/>
      <c r="GH124" s="357"/>
      <c r="GI124" s="357"/>
      <c r="GJ124" s="357"/>
      <c r="GK124" s="154"/>
      <c r="GL124" s="154"/>
      <c r="GM124" s="154"/>
      <c r="GN124" s="154"/>
      <c r="GO124" s="154"/>
      <c r="GP124" s="154"/>
      <c r="GQ124" s="154"/>
      <c r="GR124" s="154"/>
      <c r="GS124" s="154"/>
      <c r="GT124" s="154"/>
      <c r="GU124" s="154"/>
      <c r="GV124" s="154"/>
      <c r="GW124" s="154"/>
      <c r="GX124" s="154"/>
    </row>
    <row r="125" spans="7:206">
      <c r="G125" s="154"/>
      <c r="H125" s="154"/>
      <c r="I125" s="154"/>
      <c r="J125" s="154"/>
      <c r="K125" s="154"/>
      <c r="L125" s="154"/>
      <c r="M125" s="154"/>
      <c r="N125" s="154"/>
      <c r="O125" s="154"/>
      <c r="P125" s="154"/>
      <c r="Q125" s="154"/>
      <c r="R125" s="154"/>
      <c r="S125" s="154"/>
      <c r="T125" s="154"/>
      <c r="U125" s="154"/>
      <c r="V125" s="154"/>
      <c r="W125" s="154"/>
      <c r="X125" s="154"/>
      <c r="Y125" s="154"/>
      <c r="Z125" s="357"/>
      <c r="AA125" s="357"/>
      <c r="AB125" s="357"/>
      <c r="AC125" s="357"/>
      <c r="AD125" s="357"/>
      <c r="AE125" s="357"/>
      <c r="AF125" s="357"/>
      <c r="AG125" s="357"/>
      <c r="AH125" s="357"/>
      <c r="AI125" s="357"/>
      <c r="AJ125" s="357"/>
      <c r="AK125" s="357"/>
      <c r="AL125" s="357"/>
      <c r="AM125" s="357"/>
      <c r="AN125" s="357"/>
      <c r="AO125" s="357"/>
      <c r="AP125" s="357"/>
      <c r="AQ125" s="357"/>
      <c r="AR125" s="357"/>
      <c r="AS125" s="357"/>
      <c r="AT125" s="357"/>
      <c r="AU125" s="357"/>
      <c r="AV125" s="357"/>
      <c r="AW125" s="357"/>
      <c r="AX125" s="357"/>
      <c r="AY125" s="357"/>
      <c r="AZ125" s="357"/>
      <c r="BA125" s="357"/>
      <c r="BB125" s="357"/>
      <c r="BC125" s="357"/>
      <c r="BD125" s="357"/>
      <c r="BE125" s="357"/>
      <c r="BF125" s="357"/>
      <c r="BG125" s="357"/>
      <c r="BH125" s="357"/>
      <c r="BI125" s="357"/>
      <c r="BJ125" s="357"/>
      <c r="BK125" s="357"/>
      <c r="BL125" s="357"/>
      <c r="BM125" s="357"/>
      <c r="BN125" s="357"/>
      <c r="BO125" s="357"/>
      <c r="BP125" s="357"/>
      <c r="BQ125" s="357"/>
      <c r="BR125" s="357"/>
      <c r="BS125" s="357"/>
      <c r="BT125" s="357"/>
      <c r="BU125" s="357"/>
      <c r="BV125" s="357"/>
      <c r="BW125" s="357"/>
      <c r="BX125" s="357"/>
      <c r="BY125" s="357"/>
      <c r="BZ125" s="357"/>
      <c r="CA125" s="357"/>
      <c r="CB125" s="357"/>
      <c r="CC125" s="357"/>
      <c r="CD125" s="357"/>
      <c r="CE125" s="357"/>
      <c r="CF125" s="357"/>
      <c r="CG125" s="357"/>
      <c r="CH125" s="357"/>
      <c r="CI125" s="357"/>
      <c r="CJ125" s="357"/>
      <c r="CK125" s="357"/>
      <c r="CL125" s="357"/>
      <c r="CM125" s="357"/>
      <c r="CN125" s="357"/>
      <c r="CO125" s="357"/>
      <c r="CP125" s="357"/>
      <c r="CQ125" s="357"/>
      <c r="CR125" s="357"/>
      <c r="CS125" s="357"/>
      <c r="CT125" s="357"/>
      <c r="CU125" s="357"/>
      <c r="CV125" s="357"/>
      <c r="CW125" s="357"/>
      <c r="CX125" s="357"/>
      <c r="CY125" s="357"/>
      <c r="CZ125" s="357"/>
      <c r="DA125" s="357"/>
      <c r="DB125" s="357"/>
      <c r="DC125" s="357"/>
      <c r="DD125" s="357"/>
      <c r="DE125" s="357"/>
      <c r="DF125" s="357"/>
      <c r="DG125" s="357"/>
      <c r="DH125" s="357"/>
      <c r="DI125" s="357"/>
      <c r="DJ125" s="357"/>
      <c r="DK125" s="357"/>
      <c r="DL125" s="357"/>
      <c r="DM125" s="357"/>
      <c r="DN125" s="357"/>
      <c r="DO125" s="357"/>
      <c r="DP125" s="357"/>
      <c r="DQ125" s="357"/>
      <c r="DR125" s="357"/>
      <c r="DS125" s="357"/>
      <c r="DT125" s="357"/>
      <c r="DU125" s="357"/>
      <c r="DV125" s="357"/>
      <c r="DW125" s="357"/>
      <c r="DX125" s="357"/>
      <c r="DY125" s="357"/>
      <c r="DZ125" s="357"/>
      <c r="EA125" s="357"/>
      <c r="EB125" s="357"/>
      <c r="EC125" s="357"/>
      <c r="ED125" s="357"/>
      <c r="EE125" s="357"/>
      <c r="EF125" s="357"/>
      <c r="EG125" s="357"/>
      <c r="EH125" s="357"/>
      <c r="EI125" s="357"/>
      <c r="EJ125" s="357"/>
      <c r="EK125" s="357"/>
      <c r="EL125" s="357"/>
      <c r="EM125" s="357"/>
      <c r="EN125" s="357"/>
      <c r="EO125" s="357"/>
      <c r="EP125" s="357"/>
      <c r="EQ125" s="357"/>
      <c r="ER125" s="357"/>
      <c r="ES125" s="357"/>
      <c r="ET125" s="357"/>
      <c r="EU125" s="357"/>
      <c r="EV125" s="357"/>
      <c r="EW125" s="357"/>
      <c r="EX125" s="357"/>
      <c r="EY125" s="357"/>
      <c r="EZ125" s="357"/>
      <c r="FA125" s="357"/>
      <c r="FB125" s="357"/>
      <c r="FC125" s="357"/>
      <c r="FD125" s="357"/>
      <c r="FE125" s="357"/>
      <c r="FF125" s="357"/>
      <c r="FG125" s="357"/>
      <c r="FH125" s="357"/>
      <c r="FI125" s="357"/>
      <c r="FJ125" s="357"/>
      <c r="FK125" s="357"/>
      <c r="FL125" s="357"/>
      <c r="FM125" s="357"/>
      <c r="FN125" s="357"/>
      <c r="FO125" s="357"/>
      <c r="FP125" s="357"/>
      <c r="FQ125" s="357"/>
      <c r="FR125" s="357"/>
      <c r="FS125" s="357"/>
      <c r="FT125" s="357"/>
      <c r="FU125" s="357"/>
      <c r="FV125" s="357"/>
      <c r="FW125" s="357"/>
      <c r="FX125" s="357"/>
      <c r="FY125" s="357"/>
      <c r="FZ125" s="357"/>
      <c r="GA125" s="357"/>
      <c r="GB125" s="357"/>
      <c r="GC125" s="357"/>
      <c r="GD125" s="357"/>
      <c r="GE125" s="357"/>
      <c r="GF125" s="357"/>
      <c r="GG125" s="357"/>
      <c r="GH125" s="357"/>
      <c r="GI125" s="357"/>
      <c r="GJ125" s="357"/>
      <c r="GK125" s="154"/>
      <c r="GL125" s="154"/>
      <c r="GM125" s="154"/>
      <c r="GN125" s="154"/>
      <c r="GO125" s="154"/>
      <c r="GP125" s="154"/>
      <c r="GQ125" s="154"/>
      <c r="GR125" s="154"/>
      <c r="GS125" s="154"/>
      <c r="GT125" s="154"/>
      <c r="GU125" s="154"/>
      <c r="GV125" s="154"/>
      <c r="GW125" s="154"/>
      <c r="GX125" s="154"/>
    </row>
    <row r="126" spans="7:206">
      <c r="G126" s="154"/>
      <c r="H126" s="154"/>
      <c r="I126" s="154"/>
      <c r="J126" s="154"/>
      <c r="K126" s="154"/>
      <c r="L126" s="154"/>
      <c r="M126" s="154"/>
      <c r="N126" s="154"/>
      <c r="O126" s="154"/>
      <c r="P126" s="154"/>
      <c r="Q126" s="154"/>
      <c r="R126" s="154"/>
      <c r="S126" s="154"/>
      <c r="T126" s="154"/>
      <c r="U126" s="154"/>
      <c r="V126" s="154"/>
      <c r="W126" s="154"/>
      <c r="X126" s="154"/>
      <c r="Y126" s="154"/>
      <c r="Z126" s="357"/>
      <c r="AA126" s="357"/>
      <c r="AB126" s="357"/>
      <c r="AC126" s="357"/>
      <c r="AD126" s="357"/>
      <c r="AE126" s="357"/>
      <c r="AF126" s="357"/>
      <c r="AG126" s="357"/>
      <c r="AH126" s="357"/>
      <c r="AI126" s="357"/>
      <c r="AJ126" s="357"/>
      <c r="AK126" s="357"/>
      <c r="AL126" s="357"/>
      <c r="AM126" s="357"/>
      <c r="AN126" s="357"/>
      <c r="AO126" s="357"/>
      <c r="AP126" s="357"/>
      <c r="AQ126" s="357"/>
      <c r="AR126" s="357"/>
      <c r="AS126" s="357"/>
      <c r="AT126" s="357"/>
      <c r="AU126" s="357"/>
      <c r="AV126" s="357"/>
      <c r="AW126" s="357"/>
      <c r="AX126" s="357"/>
      <c r="AY126" s="357"/>
      <c r="AZ126" s="357"/>
      <c r="BA126" s="357"/>
      <c r="BB126" s="357"/>
      <c r="BC126" s="357"/>
      <c r="BD126" s="357"/>
      <c r="BE126" s="357"/>
      <c r="BF126" s="357"/>
      <c r="BG126" s="357"/>
      <c r="BH126" s="357"/>
      <c r="BI126" s="357"/>
      <c r="BJ126" s="357"/>
      <c r="BK126" s="357"/>
      <c r="BL126" s="357"/>
      <c r="BM126" s="357"/>
      <c r="BN126" s="357"/>
      <c r="BO126" s="357"/>
      <c r="BP126" s="357"/>
      <c r="BQ126" s="357"/>
      <c r="BR126" s="357"/>
      <c r="BS126" s="357"/>
      <c r="BT126" s="357"/>
      <c r="BU126" s="357"/>
      <c r="BV126" s="357"/>
      <c r="BW126" s="357"/>
      <c r="BX126" s="357"/>
      <c r="BY126" s="357"/>
      <c r="BZ126" s="357"/>
      <c r="CA126" s="357"/>
      <c r="CB126" s="357"/>
      <c r="CC126" s="357"/>
      <c r="CD126" s="357"/>
      <c r="CE126" s="357"/>
      <c r="CF126" s="357"/>
      <c r="CG126" s="357"/>
      <c r="CH126" s="357"/>
      <c r="CI126" s="357"/>
      <c r="CJ126" s="357"/>
      <c r="CK126" s="357"/>
      <c r="CL126" s="357"/>
      <c r="CM126" s="357"/>
      <c r="CN126" s="357"/>
      <c r="CO126" s="357"/>
      <c r="CP126" s="357"/>
      <c r="CQ126" s="357"/>
      <c r="CR126" s="357"/>
      <c r="CS126" s="357"/>
      <c r="CT126" s="357"/>
      <c r="CU126" s="357"/>
      <c r="CV126" s="357"/>
      <c r="CW126" s="357"/>
      <c r="CX126" s="357"/>
      <c r="CY126" s="357"/>
      <c r="CZ126" s="357"/>
      <c r="DA126" s="357"/>
      <c r="DB126" s="357"/>
      <c r="DC126" s="357"/>
      <c r="DD126" s="357"/>
      <c r="DE126" s="357"/>
      <c r="DF126" s="357"/>
      <c r="DG126" s="357"/>
      <c r="DH126" s="357"/>
      <c r="DI126" s="357"/>
      <c r="DJ126" s="357"/>
      <c r="DK126" s="357"/>
      <c r="DL126" s="357"/>
      <c r="DM126" s="357"/>
      <c r="DN126" s="357"/>
      <c r="DO126" s="357"/>
      <c r="DP126" s="357"/>
      <c r="DQ126" s="357"/>
      <c r="DR126" s="357"/>
      <c r="DS126" s="357"/>
      <c r="DT126" s="357"/>
      <c r="DU126" s="357"/>
      <c r="DV126" s="357"/>
      <c r="DW126" s="357"/>
      <c r="DX126" s="357"/>
      <c r="DY126" s="357"/>
      <c r="DZ126" s="357"/>
      <c r="EA126" s="357"/>
      <c r="EB126" s="357"/>
      <c r="EC126" s="357"/>
      <c r="ED126" s="357"/>
      <c r="EE126" s="357"/>
      <c r="EF126" s="357"/>
      <c r="EG126" s="357"/>
      <c r="EH126" s="357"/>
      <c r="EI126" s="357"/>
      <c r="EJ126" s="357"/>
      <c r="EK126" s="357"/>
      <c r="EL126" s="357"/>
      <c r="EM126" s="357"/>
      <c r="EN126" s="357"/>
      <c r="EO126" s="357"/>
      <c r="EP126" s="357"/>
      <c r="EQ126" s="357"/>
      <c r="ER126" s="357"/>
      <c r="ES126" s="357"/>
      <c r="ET126" s="357"/>
      <c r="EU126" s="357"/>
      <c r="EV126" s="357"/>
      <c r="EW126" s="357"/>
      <c r="EX126" s="357"/>
      <c r="EY126" s="357"/>
      <c r="EZ126" s="357"/>
      <c r="FA126" s="357"/>
      <c r="FB126" s="357"/>
      <c r="FC126" s="357"/>
      <c r="FD126" s="357"/>
      <c r="FE126" s="357"/>
      <c r="FF126" s="357"/>
      <c r="FG126" s="357"/>
      <c r="FH126" s="357"/>
      <c r="FI126" s="357"/>
      <c r="FJ126" s="357"/>
      <c r="FK126" s="357"/>
      <c r="FL126" s="357"/>
      <c r="FM126" s="357"/>
      <c r="FN126" s="357"/>
      <c r="FO126" s="357"/>
      <c r="FP126" s="357"/>
      <c r="FQ126" s="357"/>
      <c r="FR126" s="357"/>
      <c r="FS126" s="357"/>
      <c r="FT126" s="357"/>
      <c r="FU126" s="357"/>
      <c r="FV126" s="357"/>
      <c r="FW126" s="357"/>
      <c r="FX126" s="357"/>
      <c r="FY126" s="357"/>
      <c r="FZ126" s="357"/>
      <c r="GA126" s="357"/>
      <c r="GB126" s="357"/>
      <c r="GC126" s="357"/>
      <c r="GD126" s="357"/>
      <c r="GE126" s="357"/>
      <c r="GF126" s="357"/>
      <c r="GG126" s="357"/>
      <c r="GH126" s="357"/>
      <c r="GI126" s="357"/>
      <c r="GJ126" s="357"/>
      <c r="GK126" s="154"/>
      <c r="GL126" s="154"/>
      <c r="GM126" s="154"/>
      <c r="GN126" s="154"/>
      <c r="GO126" s="154"/>
      <c r="GP126" s="154"/>
      <c r="GQ126" s="154"/>
      <c r="GR126" s="154"/>
      <c r="GS126" s="154"/>
      <c r="GT126" s="154"/>
      <c r="GU126" s="154"/>
      <c r="GV126" s="154"/>
      <c r="GW126" s="154"/>
      <c r="GX126" s="154"/>
    </row>
    <row r="127" spans="7:206">
      <c r="G127" s="154"/>
      <c r="H127" s="154"/>
      <c r="I127" s="154"/>
      <c r="J127" s="154"/>
      <c r="K127" s="154"/>
      <c r="L127" s="154"/>
      <c r="M127" s="154"/>
      <c r="N127" s="154"/>
      <c r="O127" s="154"/>
      <c r="P127" s="154"/>
      <c r="Q127" s="154"/>
      <c r="R127" s="154"/>
      <c r="S127" s="154"/>
      <c r="T127" s="154"/>
      <c r="U127" s="154"/>
      <c r="V127" s="154"/>
      <c r="W127" s="154"/>
      <c r="X127" s="154"/>
      <c r="Y127" s="154"/>
      <c r="Z127" s="357"/>
      <c r="AA127" s="357"/>
      <c r="AB127" s="357"/>
      <c r="AC127" s="357"/>
      <c r="AD127" s="357"/>
      <c r="AE127" s="357"/>
      <c r="AF127" s="357"/>
      <c r="AG127" s="357"/>
      <c r="AH127" s="357"/>
      <c r="AI127" s="357"/>
      <c r="AJ127" s="357"/>
      <c r="AK127" s="357"/>
      <c r="AL127" s="357"/>
      <c r="AM127" s="357"/>
      <c r="AN127" s="357"/>
      <c r="AO127" s="357"/>
      <c r="AP127" s="357"/>
      <c r="AQ127" s="357"/>
      <c r="AR127" s="357"/>
      <c r="AS127" s="357"/>
      <c r="AT127" s="357"/>
      <c r="AU127" s="357"/>
      <c r="AV127" s="357"/>
      <c r="AW127" s="357"/>
      <c r="AX127" s="357"/>
      <c r="AY127" s="357"/>
      <c r="AZ127" s="357"/>
      <c r="BA127" s="357"/>
      <c r="BB127" s="357"/>
      <c r="BC127" s="357"/>
      <c r="BD127" s="357"/>
      <c r="BE127" s="357"/>
      <c r="BF127" s="357"/>
      <c r="BG127" s="357"/>
      <c r="BH127" s="357"/>
      <c r="BI127" s="357"/>
      <c r="BJ127" s="357"/>
      <c r="BK127" s="357"/>
      <c r="BL127" s="357"/>
      <c r="BM127" s="357"/>
      <c r="BN127" s="357"/>
      <c r="BO127" s="357"/>
      <c r="BP127" s="357"/>
      <c r="BQ127" s="357"/>
      <c r="BR127" s="357"/>
      <c r="BS127" s="357"/>
      <c r="BT127" s="357"/>
      <c r="BU127" s="357"/>
      <c r="BV127" s="357"/>
      <c r="BW127" s="357"/>
      <c r="BX127" s="357"/>
      <c r="BY127" s="357"/>
      <c r="BZ127" s="357"/>
      <c r="CA127" s="357"/>
      <c r="CB127" s="357"/>
      <c r="CC127" s="357"/>
      <c r="CD127" s="357"/>
      <c r="CE127" s="357"/>
      <c r="CF127" s="357"/>
      <c r="CG127" s="357"/>
      <c r="CH127" s="357"/>
      <c r="CI127" s="357"/>
      <c r="CJ127" s="357"/>
      <c r="CK127" s="357"/>
      <c r="CL127" s="357"/>
      <c r="CM127" s="357"/>
      <c r="CN127" s="357"/>
      <c r="CO127" s="357"/>
      <c r="CP127" s="357"/>
      <c r="CQ127" s="357"/>
      <c r="CR127" s="357"/>
      <c r="CS127" s="357"/>
      <c r="CT127" s="357"/>
      <c r="CU127" s="357"/>
      <c r="CV127" s="357"/>
      <c r="CW127" s="357"/>
      <c r="CX127" s="357"/>
      <c r="CY127" s="357"/>
      <c r="CZ127" s="357"/>
      <c r="DA127" s="357"/>
      <c r="DB127" s="357"/>
      <c r="DC127" s="357"/>
      <c r="DD127" s="357"/>
      <c r="DE127" s="357"/>
      <c r="DF127" s="357"/>
      <c r="DG127" s="357"/>
      <c r="DH127" s="357"/>
      <c r="DI127" s="357"/>
      <c r="DJ127" s="357"/>
      <c r="DK127" s="357"/>
      <c r="DL127" s="357"/>
      <c r="DM127" s="357"/>
      <c r="DN127" s="357"/>
      <c r="DO127" s="357"/>
      <c r="DP127" s="357"/>
      <c r="DQ127" s="357"/>
      <c r="DR127" s="357"/>
      <c r="DS127" s="357"/>
      <c r="DT127" s="357"/>
      <c r="DU127" s="357"/>
      <c r="DV127" s="357"/>
      <c r="DW127" s="357"/>
      <c r="DX127" s="357"/>
      <c r="DY127" s="357"/>
      <c r="DZ127" s="357"/>
      <c r="EA127" s="357"/>
      <c r="EB127" s="357"/>
      <c r="EC127" s="357"/>
      <c r="ED127" s="357"/>
      <c r="EE127" s="357"/>
      <c r="EF127" s="357"/>
      <c r="EG127" s="357"/>
      <c r="EH127" s="357"/>
      <c r="EI127" s="357"/>
      <c r="EJ127" s="357"/>
      <c r="EK127" s="357"/>
      <c r="EL127" s="357"/>
      <c r="EM127" s="357"/>
      <c r="EN127" s="357"/>
      <c r="EO127" s="357"/>
      <c r="EP127" s="357"/>
      <c r="EQ127" s="357"/>
      <c r="ER127" s="357"/>
      <c r="ES127" s="357"/>
      <c r="ET127" s="357"/>
      <c r="EU127" s="357"/>
      <c r="EV127" s="357"/>
      <c r="EW127" s="357"/>
      <c r="EX127" s="357"/>
      <c r="EY127" s="357"/>
      <c r="EZ127" s="357"/>
      <c r="FA127" s="357"/>
      <c r="FB127" s="357"/>
      <c r="FC127" s="357"/>
      <c r="FD127" s="357"/>
      <c r="FE127" s="357"/>
      <c r="FF127" s="357"/>
      <c r="FG127" s="357"/>
      <c r="FH127" s="357"/>
      <c r="FI127" s="357"/>
      <c r="FJ127" s="357"/>
      <c r="FK127" s="357"/>
      <c r="FL127" s="357"/>
      <c r="FM127" s="357"/>
      <c r="FN127" s="357"/>
      <c r="FO127" s="357"/>
      <c r="FP127" s="357"/>
      <c r="FQ127" s="357"/>
      <c r="FR127" s="357"/>
      <c r="FS127" s="357"/>
      <c r="FT127" s="357"/>
      <c r="FU127" s="357"/>
      <c r="FV127" s="357"/>
      <c r="FW127" s="357"/>
      <c r="FX127" s="357"/>
      <c r="FY127" s="357"/>
      <c r="FZ127" s="357"/>
      <c r="GA127" s="357"/>
      <c r="GB127" s="357"/>
      <c r="GC127" s="357"/>
      <c r="GD127" s="357"/>
      <c r="GE127" s="357"/>
      <c r="GF127" s="357"/>
      <c r="GG127" s="357"/>
      <c r="GH127" s="357"/>
      <c r="GI127" s="357"/>
      <c r="GJ127" s="357"/>
      <c r="GK127" s="154"/>
      <c r="GL127" s="154"/>
      <c r="GM127" s="154"/>
      <c r="GN127" s="154"/>
      <c r="GO127" s="154"/>
      <c r="GP127" s="154"/>
      <c r="GQ127" s="154"/>
      <c r="GR127" s="154"/>
      <c r="GS127" s="154"/>
      <c r="GT127" s="154"/>
      <c r="GU127" s="154"/>
      <c r="GV127" s="154"/>
      <c r="GW127" s="154"/>
      <c r="GX127" s="154"/>
    </row>
    <row r="128" spans="7:206">
      <c r="G128" s="154"/>
      <c r="H128" s="154"/>
      <c r="I128" s="154"/>
      <c r="J128" s="154"/>
      <c r="K128" s="154"/>
      <c r="L128" s="154"/>
      <c r="M128" s="154"/>
      <c r="N128" s="154"/>
      <c r="O128" s="154"/>
      <c r="P128" s="154"/>
      <c r="Q128" s="154"/>
      <c r="R128" s="154"/>
      <c r="S128" s="154"/>
      <c r="T128" s="154"/>
      <c r="U128" s="154"/>
      <c r="V128" s="154"/>
      <c r="W128" s="154"/>
      <c r="X128" s="154"/>
      <c r="Y128" s="154"/>
      <c r="Z128" s="357"/>
      <c r="AA128" s="357"/>
      <c r="AB128" s="357"/>
      <c r="AC128" s="357"/>
      <c r="AD128" s="357"/>
      <c r="AE128" s="357"/>
      <c r="AF128" s="357"/>
      <c r="AG128" s="357"/>
      <c r="AH128" s="357"/>
      <c r="AI128" s="357"/>
      <c r="AJ128" s="357"/>
      <c r="AK128" s="357"/>
      <c r="AL128" s="357"/>
      <c r="AM128" s="357"/>
      <c r="AN128" s="357"/>
      <c r="AO128" s="357"/>
      <c r="AP128" s="357"/>
      <c r="AQ128" s="357"/>
      <c r="AR128" s="357"/>
      <c r="AS128" s="357"/>
      <c r="AT128" s="357"/>
      <c r="AU128" s="357"/>
      <c r="AV128" s="357"/>
      <c r="AW128" s="357"/>
      <c r="AX128" s="357"/>
      <c r="AY128" s="357"/>
      <c r="AZ128" s="357"/>
      <c r="BA128" s="357"/>
      <c r="BB128" s="357"/>
      <c r="BC128" s="357"/>
      <c r="BD128" s="357"/>
      <c r="BE128" s="357"/>
      <c r="BF128" s="357"/>
      <c r="BG128" s="357"/>
      <c r="BH128" s="357"/>
      <c r="BI128" s="357"/>
      <c r="BJ128" s="357"/>
      <c r="BK128" s="357"/>
      <c r="BL128" s="357"/>
      <c r="BM128" s="357"/>
      <c r="BN128" s="357"/>
      <c r="BO128" s="357"/>
      <c r="BP128" s="357"/>
      <c r="BQ128" s="357"/>
      <c r="BR128" s="357"/>
      <c r="BS128" s="357"/>
      <c r="BT128" s="357"/>
      <c r="BU128" s="357"/>
      <c r="BV128" s="357"/>
      <c r="BW128" s="357"/>
      <c r="BX128" s="357"/>
      <c r="BY128" s="357"/>
      <c r="BZ128" s="357"/>
      <c r="CA128" s="357"/>
      <c r="CB128" s="357"/>
      <c r="CC128" s="357"/>
      <c r="CD128" s="357"/>
      <c r="CE128" s="357"/>
      <c r="CF128" s="357"/>
      <c r="CG128" s="357"/>
      <c r="CH128" s="357"/>
      <c r="CI128" s="357"/>
      <c r="CJ128" s="357"/>
      <c r="CK128" s="357"/>
      <c r="CL128" s="357"/>
      <c r="CM128" s="357"/>
      <c r="CN128" s="357"/>
      <c r="CO128" s="357"/>
      <c r="CP128" s="357"/>
      <c r="CQ128" s="357"/>
      <c r="CR128" s="357"/>
      <c r="CS128" s="357"/>
      <c r="CT128" s="357"/>
      <c r="CU128" s="357"/>
      <c r="CV128" s="357"/>
      <c r="CW128" s="357"/>
      <c r="CX128" s="357"/>
      <c r="CY128" s="357"/>
      <c r="CZ128" s="357"/>
      <c r="DA128" s="357"/>
      <c r="DB128" s="357"/>
      <c r="DC128" s="357"/>
      <c r="DD128" s="357"/>
      <c r="DE128" s="357"/>
      <c r="DF128" s="357"/>
      <c r="DG128" s="357"/>
      <c r="DH128" s="357"/>
      <c r="DI128" s="357"/>
      <c r="DJ128" s="357"/>
      <c r="DK128" s="357"/>
      <c r="DL128" s="357"/>
      <c r="DM128" s="357"/>
      <c r="DN128" s="357"/>
      <c r="DO128" s="357"/>
      <c r="DP128" s="357"/>
      <c r="DQ128" s="357"/>
      <c r="DR128" s="357"/>
      <c r="DS128" s="357"/>
      <c r="DT128" s="357"/>
      <c r="DU128" s="357"/>
      <c r="DV128" s="357"/>
      <c r="DW128" s="357"/>
      <c r="DX128" s="357"/>
      <c r="DY128" s="357"/>
      <c r="DZ128" s="357"/>
      <c r="EA128" s="357"/>
      <c r="EB128" s="357"/>
      <c r="EC128" s="357"/>
      <c r="ED128" s="357"/>
      <c r="EE128" s="357"/>
      <c r="EF128" s="357"/>
      <c r="EG128" s="357"/>
      <c r="EH128" s="357"/>
      <c r="EI128" s="357"/>
      <c r="EJ128" s="357"/>
      <c r="EK128" s="357"/>
      <c r="EL128" s="357"/>
      <c r="EM128" s="357"/>
      <c r="EN128" s="357"/>
      <c r="EO128" s="357"/>
      <c r="EP128" s="357"/>
      <c r="EQ128" s="357"/>
      <c r="ER128" s="357"/>
      <c r="ES128" s="357"/>
      <c r="ET128" s="357"/>
      <c r="EU128" s="357"/>
      <c r="EV128" s="357"/>
      <c r="EW128" s="357"/>
      <c r="EX128" s="357"/>
      <c r="EY128" s="357"/>
      <c r="EZ128" s="357"/>
      <c r="FA128" s="357"/>
      <c r="FB128" s="357"/>
      <c r="FC128" s="357"/>
      <c r="FD128" s="357"/>
      <c r="FE128" s="357"/>
      <c r="FF128" s="357"/>
      <c r="FG128" s="357"/>
      <c r="FH128" s="357"/>
      <c r="FI128" s="357"/>
      <c r="FJ128" s="357"/>
      <c r="FK128" s="357"/>
      <c r="FL128" s="357"/>
      <c r="FM128" s="357"/>
      <c r="FN128" s="357"/>
      <c r="FO128" s="357"/>
      <c r="FP128" s="357"/>
      <c r="FQ128" s="357"/>
      <c r="FR128" s="357"/>
      <c r="FS128" s="357"/>
      <c r="FT128" s="357"/>
      <c r="FU128" s="357"/>
      <c r="FV128" s="357"/>
      <c r="FW128" s="357"/>
      <c r="FX128" s="357"/>
      <c r="FY128" s="357"/>
      <c r="FZ128" s="357"/>
      <c r="GA128" s="357"/>
      <c r="GB128" s="357"/>
      <c r="GC128" s="357"/>
      <c r="GD128" s="357"/>
      <c r="GE128" s="357"/>
      <c r="GF128" s="357"/>
      <c r="GG128" s="357"/>
      <c r="GH128" s="357"/>
      <c r="GI128" s="357"/>
      <c r="GJ128" s="357"/>
      <c r="GK128" s="154"/>
      <c r="GL128" s="154"/>
      <c r="GM128" s="154"/>
      <c r="GN128" s="154"/>
      <c r="GO128" s="154"/>
      <c r="GP128" s="154"/>
      <c r="GQ128" s="154"/>
      <c r="GR128" s="154"/>
      <c r="GS128" s="154"/>
      <c r="GT128" s="154"/>
      <c r="GU128" s="154"/>
      <c r="GV128" s="154"/>
      <c r="GW128" s="154"/>
      <c r="GX128" s="154"/>
    </row>
    <row r="129" spans="7:206">
      <c r="G129" s="154"/>
      <c r="H129" s="154"/>
      <c r="I129" s="154"/>
      <c r="J129" s="154"/>
      <c r="K129" s="154"/>
      <c r="L129" s="154"/>
      <c r="M129" s="154"/>
      <c r="N129" s="154"/>
      <c r="O129" s="154"/>
      <c r="P129" s="154"/>
      <c r="Q129" s="154"/>
      <c r="R129" s="154"/>
      <c r="S129" s="154"/>
      <c r="T129" s="154"/>
      <c r="U129" s="154"/>
      <c r="V129" s="154"/>
      <c r="W129" s="154"/>
      <c r="X129" s="154"/>
      <c r="Y129" s="154"/>
      <c r="Z129" s="357"/>
      <c r="AA129" s="357"/>
      <c r="AB129" s="357"/>
      <c r="AC129" s="357"/>
      <c r="AD129" s="357"/>
      <c r="AE129" s="357"/>
      <c r="AF129" s="357"/>
      <c r="AG129" s="357"/>
      <c r="AH129" s="357"/>
      <c r="AI129" s="357"/>
      <c r="AJ129" s="357"/>
      <c r="AK129" s="357"/>
      <c r="AL129" s="357"/>
      <c r="AM129" s="357"/>
      <c r="AN129" s="357"/>
      <c r="AO129" s="357"/>
      <c r="AP129" s="357"/>
      <c r="AQ129" s="357"/>
      <c r="AR129" s="357"/>
      <c r="AS129" s="357"/>
      <c r="AT129" s="357"/>
      <c r="AU129" s="357"/>
      <c r="AV129" s="357"/>
      <c r="AW129" s="357"/>
      <c r="AX129" s="357"/>
      <c r="AY129" s="357"/>
      <c r="AZ129" s="357"/>
      <c r="BA129" s="357"/>
      <c r="BB129" s="357"/>
      <c r="BC129" s="357"/>
      <c r="BD129" s="357"/>
      <c r="BE129" s="357"/>
      <c r="BF129" s="357"/>
      <c r="BG129" s="357"/>
      <c r="BH129" s="357"/>
      <c r="BI129" s="357"/>
      <c r="BJ129" s="357"/>
      <c r="BK129" s="357"/>
      <c r="BL129" s="357"/>
      <c r="BM129" s="357"/>
      <c r="BN129" s="357"/>
      <c r="BO129" s="357"/>
      <c r="BP129" s="357"/>
      <c r="BQ129" s="357"/>
      <c r="BR129" s="357"/>
      <c r="BS129" s="357"/>
      <c r="BT129" s="357"/>
      <c r="BU129" s="357"/>
      <c r="BV129" s="357"/>
      <c r="BW129" s="357"/>
      <c r="BX129" s="357"/>
      <c r="BY129" s="357"/>
      <c r="BZ129" s="357"/>
      <c r="CA129" s="357"/>
      <c r="CB129" s="357"/>
      <c r="CC129" s="357"/>
      <c r="CD129" s="357"/>
      <c r="CE129" s="357"/>
      <c r="CF129" s="357"/>
      <c r="CG129" s="357"/>
      <c r="CH129" s="357"/>
      <c r="CI129" s="357"/>
      <c r="CJ129" s="357"/>
      <c r="CK129" s="357"/>
      <c r="CL129" s="357"/>
      <c r="CM129" s="357"/>
      <c r="CN129" s="357"/>
      <c r="CO129" s="357"/>
      <c r="CP129" s="357"/>
      <c r="CQ129" s="357"/>
      <c r="CR129" s="357"/>
      <c r="CS129" s="357"/>
      <c r="CT129" s="357"/>
      <c r="CU129" s="357"/>
      <c r="CV129" s="357"/>
      <c r="CW129" s="357"/>
      <c r="CX129" s="357"/>
      <c r="CY129" s="357"/>
      <c r="CZ129" s="357"/>
      <c r="DA129" s="357"/>
      <c r="DB129" s="357"/>
      <c r="DC129" s="357"/>
      <c r="DD129" s="357"/>
      <c r="DE129" s="357"/>
      <c r="DF129" s="357"/>
      <c r="DG129" s="357"/>
      <c r="DH129" s="357"/>
      <c r="DI129" s="357"/>
      <c r="DJ129" s="357"/>
      <c r="DK129" s="357"/>
      <c r="DL129" s="357"/>
      <c r="DM129" s="357"/>
      <c r="DN129" s="357"/>
      <c r="DO129" s="357"/>
      <c r="DP129" s="357"/>
      <c r="DQ129" s="357"/>
      <c r="DR129" s="357"/>
      <c r="DS129" s="357"/>
      <c r="DT129" s="357"/>
      <c r="DU129" s="357"/>
      <c r="DV129" s="357"/>
      <c r="DW129" s="357"/>
      <c r="DX129" s="357"/>
      <c r="DY129" s="357"/>
      <c r="DZ129" s="357"/>
      <c r="EA129" s="357"/>
      <c r="EB129" s="357"/>
      <c r="EC129" s="357"/>
      <c r="ED129" s="357"/>
      <c r="EE129" s="357"/>
      <c r="EF129" s="357"/>
      <c r="EG129" s="357"/>
      <c r="EH129" s="357"/>
      <c r="EI129" s="357"/>
      <c r="EJ129" s="357"/>
      <c r="EK129" s="357"/>
      <c r="EL129" s="357"/>
      <c r="EM129" s="357"/>
      <c r="EN129" s="357"/>
      <c r="EO129" s="357"/>
      <c r="EP129" s="357"/>
      <c r="EQ129" s="357"/>
      <c r="ER129" s="357"/>
      <c r="ES129" s="357"/>
      <c r="ET129" s="357"/>
      <c r="EU129" s="357"/>
      <c r="EV129" s="357"/>
      <c r="EW129" s="357"/>
      <c r="EX129" s="357"/>
      <c r="EY129" s="357"/>
      <c r="EZ129" s="357"/>
      <c r="FA129" s="357"/>
      <c r="FB129" s="357"/>
      <c r="FC129" s="357"/>
      <c r="FD129" s="357"/>
      <c r="FE129" s="357"/>
      <c r="FF129" s="357"/>
      <c r="FG129" s="357"/>
      <c r="FH129" s="357"/>
      <c r="FI129" s="357"/>
      <c r="FJ129" s="357"/>
      <c r="FK129" s="357"/>
      <c r="FL129" s="357"/>
      <c r="FM129" s="357"/>
      <c r="FN129" s="357"/>
      <c r="FO129" s="357"/>
      <c r="FP129" s="357"/>
      <c r="FQ129" s="357"/>
      <c r="FR129" s="357"/>
      <c r="FS129" s="357"/>
      <c r="FT129" s="357"/>
      <c r="FU129" s="357"/>
      <c r="FV129" s="357"/>
      <c r="FW129" s="357"/>
      <c r="FX129" s="357"/>
      <c r="FY129" s="357"/>
      <c r="FZ129" s="357"/>
      <c r="GA129" s="357"/>
      <c r="GB129" s="357"/>
      <c r="GC129" s="357"/>
      <c r="GD129" s="357"/>
      <c r="GE129" s="357"/>
      <c r="GF129" s="357"/>
      <c r="GG129" s="357"/>
      <c r="GH129" s="357"/>
      <c r="GI129" s="357"/>
      <c r="GJ129" s="357"/>
      <c r="GK129" s="154"/>
      <c r="GL129" s="154"/>
      <c r="GM129" s="154"/>
      <c r="GN129" s="154"/>
      <c r="GO129" s="154"/>
      <c r="GP129" s="154"/>
      <c r="GQ129" s="154"/>
      <c r="GR129" s="154"/>
      <c r="GS129" s="154"/>
      <c r="GT129" s="154"/>
      <c r="GU129" s="154"/>
      <c r="GV129" s="154"/>
      <c r="GW129" s="154"/>
      <c r="GX129" s="154"/>
    </row>
    <row r="130" spans="7:206">
      <c r="G130" s="154"/>
      <c r="H130" s="154"/>
      <c r="I130" s="154"/>
      <c r="J130" s="154"/>
      <c r="K130" s="154"/>
      <c r="L130" s="154"/>
      <c r="M130" s="154"/>
      <c r="N130" s="154"/>
      <c r="O130" s="154"/>
      <c r="P130" s="154"/>
      <c r="Q130" s="154"/>
      <c r="R130" s="154"/>
      <c r="S130" s="154"/>
      <c r="T130" s="154"/>
      <c r="U130" s="154"/>
      <c r="V130" s="154"/>
      <c r="W130" s="154"/>
      <c r="X130" s="154"/>
      <c r="Y130" s="154"/>
      <c r="Z130" s="357"/>
      <c r="AA130" s="357"/>
      <c r="AB130" s="357"/>
      <c r="AC130" s="357"/>
      <c r="AD130" s="357"/>
      <c r="AE130" s="357"/>
      <c r="AF130" s="357"/>
      <c r="AG130" s="357"/>
      <c r="AH130" s="357"/>
      <c r="AI130" s="357"/>
      <c r="AJ130" s="357"/>
      <c r="AK130" s="357"/>
      <c r="AL130" s="357"/>
      <c r="AM130" s="357"/>
      <c r="AN130" s="357"/>
      <c r="AO130" s="357"/>
      <c r="AP130" s="357"/>
      <c r="AQ130" s="357"/>
      <c r="AR130" s="357"/>
      <c r="AS130" s="357"/>
      <c r="AT130" s="357"/>
      <c r="AU130" s="357"/>
      <c r="AV130" s="357"/>
      <c r="AW130" s="357"/>
      <c r="AX130" s="357"/>
      <c r="AY130" s="357"/>
      <c r="AZ130" s="357"/>
      <c r="BA130" s="357"/>
      <c r="BB130" s="357"/>
      <c r="BC130" s="357"/>
      <c r="BD130" s="357"/>
      <c r="BE130" s="357"/>
      <c r="BF130" s="357"/>
      <c r="BG130" s="357"/>
      <c r="BH130" s="357"/>
      <c r="BI130" s="357"/>
      <c r="BJ130" s="357"/>
      <c r="BK130" s="357"/>
      <c r="BL130" s="357"/>
      <c r="BM130" s="357"/>
      <c r="BN130" s="357"/>
      <c r="BO130" s="357"/>
      <c r="BP130" s="357"/>
      <c r="BQ130" s="357"/>
      <c r="BR130" s="357"/>
      <c r="BS130" s="357"/>
      <c r="BT130" s="357"/>
      <c r="BU130" s="357"/>
      <c r="BV130" s="357"/>
      <c r="BW130" s="357"/>
      <c r="BX130" s="357"/>
      <c r="BY130" s="357"/>
      <c r="BZ130" s="357"/>
      <c r="CA130" s="357"/>
      <c r="CB130" s="357"/>
      <c r="CC130" s="357"/>
      <c r="CD130" s="357"/>
      <c r="CE130" s="357"/>
      <c r="CF130" s="357"/>
      <c r="CG130" s="357"/>
      <c r="CH130" s="357"/>
      <c r="CI130" s="357"/>
      <c r="CJ130" s="357"/>
      <c r="CK130" s="357"/>
      <c r="CL130" s="357"/>
      <c r="CM130" s="357"/>
      <c r="CN130" s="357"/>
      <c r="CO130" s="357"/>
      <c r="CP130" s="357"/>
      <c r="CQ130" s="357"/>
      <c r="CR130" s="357"/>
      <c r="CS130" s="357"/>
      <c r="CT130" s="357"/>
      <c r="CU130" s="357"/>
      <c r="CV130" s="357"/>
      <c r="CW130" s="357"/>
      <c r="CX130" s="357"/>
      <c r="CY130" s="357"/>
      <c r="CZ130" s="357"/>
      <c r="DA130" s="357"/>
      <c r="DB130" s="357"/>
      <c r="DC130" s="357"/>
      <c r="DD130" s="357"/>
      <c r="DE130" s="357"/>
      <c r="DF130" s="357"/>
      <c r="DG130" s="357"/>
      <c r="DH130" s="357"/>
      <c r="DI130" s="357"/>
      <c r="DJ130" s="357"/>
      <c r="DK130" s="357"/>
      <c r="DL130" s="357"/>
      <c r="DM130" s="357"/>
      <c r="DN130" s="357"/>
      <c r="DO130" s="357"/>
      <c r="DP130" s="357"/>
      <c r="DQ130" s="357"/>
      <c r="DR130" s="357"/>
      <c r="DS130" s="357"/>
      <c r="DT130" s="357"/>
      <c r="DU130" s="357"/>
      <c r="DV130" s="357"/>
      <c r="DW130" s="357"/>
      <c r="DX130" s="357"/>
      <c r="DY130" s="357"/>
      <c r="DZ130" s="357"/>
      <c r="EA130" s="357"/>
      <c r="EB130" s="357"/>
      <c r="EC130" s="357"/>
      <c r="ED130" s="357"/>
      <c r="EE130" s="357"/>
      <c r="EF130" s="357"/>
      <c r="EG130" s="357"/>
      <c r="EH130" s="357"/>
      <c r="EI130" s="357"/>
      <c r="EJ130" s="357"/>
      <c r="EK130" s="357"/>
      <c r="EL130" s="357"/>
      <c r="EM130" s="357"/>
      <c r="EN130" s="357"/>
      <c r="EO130" s="357"/>
      <c r="EP130" s="357"/>
      <c r="EQ130" s="357"/>
      <c r="ER130" s="357"/>
      <c r="ES130" s="357"/>
      <c r="ET130" s="357"/>
      <c r="EU130" s="357"/>
      <c r="EV130" s="357"/>
      <c r="EW130" s="357"/>
      <c r="EX130" s="357"/>
      <c r="EY130" s="357"/>
      <c r="EZ130" s="357"/>
      <c r="FA130" s="357"/>
      <c r="FB130" s="357"/>
      <c r="FC130" s="357"/>
      <c r="FD130" s="357"/>
      <c r="FE130" s="357"/>
      <c r="FF130" s="357"/>
      <c r="FG130" s="357"/>
      <c r="FH130" s="357"/>
      <c r="FI130" s="357"/>
      <c r="FJ130" s="357"/>
      <c r="FK130" s="357"/>
      <c r="FL130" s="357"/>
      <c r="FM130" s="357"/>
      <c r="FN130" s="357"/>
      <c r="FO130" s="357"/>
      <c r="FP130" s="357"/>
      <c r="FQ130" s="357"/>
      <c r="FR130" s="357"/>
      <c r="FS130" s="357"/>
      <c r="FT130" s="357"/>
      <c r="FU130" s="357"/>
      <c r="FV130" s="357"/>
      <c r="FW130" s="357"/>
      <c r="FX130" s="357"/>
      <c r="FY130" s="357"/>
      <c r="FZ130" s="357"/>
      <c r="GA130" s="357"/>
      <c r="GB130" s="357"/>
      <c r="GC130" s="357"/>
      <c r="GD130" s="357"/>
      <c r="GE130" s="357"/>
      <c r="GF130" s="357"/>
      <c r="GG130" s="357"/>
      <c r="GH130" s="357"/>
      <c r="GI130" s="357"/>
      <c r="GJ130" s="357"/>
      <c r="GK130" s="154"/>
      <c r="GL130" s="154"/>
      <c r="GM130" s="154"/>
      <c r="GN130" s="154"/>
      <c r="GO130" s="154"/>
      <c r="GP130" s="154"/>
      <c r="GQ130" s="154"/>
      <c r="GR130" s="154"/>
      <c r="GS130" s="154"/>
      <c r="GT130" s="154"/>
      <c r="GU130" s="154"/>
      <c r="GV130" s="154"/>
      <c r="GW130" s="154"/>
      <c r="GX130" s="154"/>
    </row>
    <row r="131" spans="7:206">
      <c r="G131" s="154"/>
      <c r="H131" s="154"/>
      <c r="I131" s="154"/>
      <c r="J131" s="154"/>
      <c r="K131" s="154"/>
      <c r="L131" s="154"/>
      <c r="M131" s="154"/>
      <c r="N131" s="154"/>
      <c r="O131" s="154"/>
      <c r="P131" s="154"/>
      <c r="Q131" s="154"/>
      <c r="R131" s="154"/>
      <c r="S131" s="154"/>
      <c r="T131" s="154"/>
      <c r="U131" s="154"/>
      <c r="V131" s="154"/>
      <c r="W131" s="154"/>
      <c r="X131" s="154"/>
      <c r="Y131" s="154"/>
      <c r="Z131" s="357"/>
      <c r="AA131" s="357"/>
      <c r="AB131" s="357"/>
      <c r="AC131" s="357"/>
      <c r="AD131" s="357"/>
      <c r="AE131" s="357"/>
      <c r="AF131" s="357"/>
      <c r="AG131" s="357"/>
      <c r="AH131" s="357"/>
      <c r="AI131" s="357"/>
      <c r="AJ131" s="357"/>
      <c r="AK131" s="357"/>
      <c r="AL131" s="357"/>
      <c r="AM131" s="357"/>
      <c r="AN131" s="357"/>
      <c r="AO131" s="357"/>
      <c r="AP131" s="357"/>
      <c r="AQ131" s="357"/>
      <c r="AR131" s="357"/>
      <c r="AS131" s="357"/>
      <c r="AT131" s="357"/>
      <c r="AU131" s="357"/>
      <c r="AV131" s="357"/>
      <c r="AW131" s="357"/>
      <c r="AX131" s="357"/>
      <c r="AY131" s="357"/>
      <c r="AZ131" s="357"/>
      <c r="BA131" s="357"/>
      <c r="BB131" s="357"/>
      <c r="BC131" s="357"/>
      <c r="BD131" s="357"/>
      <c r="BE131" s="357"/>
      <c r="BF131" s="357"/>
      <c r="BG131" s="357"/>
      <c r="BH131" s="357"/>
      <c r="BI131" s="357"/>
      <c r="BJ131" s="357"/>
      <c r="BK131" s="357"/>
      <c r="BL131" s="357"/>
      <c r="BM131" s="357"/>
      <c r="BN131" s="357"/>
      <c r="BO131" s="357"/>
      <c r="BP131" s="357"/>
      <c r="BQ131" s="357"/>
      <c r="BR131" s="357"/>
      <c r="BS131" s="357"/>
      <c r="BT131" s="357"/>
      <c r="BU131" s="357"/>
      <c r="BV131" s="357"/>
      <c r="BW131" s="357"/>
      <c r="BX131" s="357"/>
      <c r="BY131" s="357"/>
      <c r="BZ131" s="357"/>
      <c r="CA131" s="357"/>
      <c r="CB131" s="357"/>
      <c r="CC131" s="357"/>
      <c r="CD131" s="357"/>
      <c r="CE131" s="357"/>
      <c r="CF131" s="357"/>
      <c r="CG131" s="357"/>
      <c r="CH131" s="357"/>
      <c r="CI131" s="357"/>
      <c r="CJ131" s="357"/>
      <c r="CK131" s="357"/>
      <c r="CL131" s="357"/>
      <c r="CM131" s="357"/>
      <c r="CN131" s="357"/>
      <c r="CO131" s="357"/>
      <c r="CP131" s="357"/>
      <c r="CQ131" s="357"/>
      <c r="CR131" s="357"/>
      <c r="CS131" s="357"/>
      <c r="CT131" s="357"/>
      <c r="CU131" s="357"/>
      <c r="CV131" s="357"/>
      <c r="CW131" s="357"/>
      <c r="CX131" s="357"/>
      <c r="CY131" s="357"/>
      <c r="CZ131" s="357"/>
      <c r="DA131" s="357"/>
      <c r="DB131" s="357"/>
      <c r="DC131" s="357"/>
      <c r="DD131" s="357"/>
      <c r="DE131" s="357"/>
      <c r="DF131" s="357"/>
      <c r="DG131" s="357"/>
      <c r="DH131" s="357"/>
      <c r="DI131" s="357"/>
      <c r="DJ131" s="357"/>
      <c r="DK131" s="357"/>
      <c r="DL131" s="357"/>
      <c r="DM131" s="357"/>
      <c r="DN131" s="357"/>
      <c r="DO131" s="357"/>
      <c r="DP131" s="357"/>
      <c r="DQ131" s="357"/>
      <c r="DR131" s="357"/>
      <c r="DS131" s="357"/>
      <c r="DT131" s="357"/>
      <c r="DU131" s="357"/>
      <c r="DV131" s="357"/>
      <c r="DW131" s="357"/>
      <c r="DX131" s="357"/>
      <c r="DY131" s="357"/>
      <c r="DZ131" s="357"/>
      <c r="EA131" s="357"/>
      <c r="EB131" s="357"/>
      <c r="EC131" s="357"/>
      <c r="ED131" s="357"/>
      <c r="EE131" s="357"/>
      <c r="EF131" s="357"/>
      <c r="EG131" s="357"/>
      <c r="EH131" s="357"/>
      <c r="EI131" s="357"/>
      <c r="EJ131" s="357"/>
      <c r="EK131" s="357"/>
      <c r="EL131" s="357"/>
      <c r="EM131" s="357"/>
      <c r="EN131" s="357"/>
      <c r="EO131" s="357"/>
      <c r="EP131" s="357"/>
      <c r="EQ131" s="357"/>
      <c r="ER131" s="357"/>
      <c r="ES131" s="357"/>
      <c r="ET131" s="357"/>
      <c r="EU131" s="357"/>
      <c r="EV131" s="357"/>
      <c r="EW131" s="357"/>
      <c r="EX131" s="357"/>
      <c r="EY131" s="357"/>
      <c r="EZ131" s="357"/>
      <c r="FA131" s="357"/>
      <c r="FB131" s="357"/>
      <c r="FC131" s="357"/>
      <c r="FD131" s="357"/>
      <c r="FE131" s="357"/>
      <c r="FF131" s="357"/>
      <c r="FG131" s="357"/>
      <c r="FH131" s="357"/>
      <c r="FI131" s="357"/>
      <c r="FJ131" s="357"/>
      <c r="FK131" s="357"/>
      <c r="FL131" s="357"/>
      <c r="FM131" s="357"/>
      <c r="FN131" s="357"/>
      <c r="FO131" s="357"/>
      <c r="FP131" s="357"/>
      <c r="FQ131" s="357"/>
      <c r="FR131" s="357"/>
      <c r="FS131" s="357"/>
      <c r="FT131" s="357"/>
      <c r="FU131" s="357"/>
      <c r="FV131" s="357"/>
      <c r="FW131" s="357"/>
      <c r="FX131" s="357"/>
      <c r="FY131" s="357"/>
      <c r="FZ131" s="357"/>
      <c r="GA131" s="357"/>
      <c r="GB131" s="357"/>
      <c r="GC131" s="357"/>
      <c r="GD131" s="357"/>
      <c r="GE131" s="357"/>
      <c r="GF131" s="357"/>
      <c r="GG131" s="357"/>
      <c r="GH131" s="357"/>
      <c r="GI131" s="357"/>
      <c r="GJ131" s="357"/>
      <c r="GK131" s="154"/>
      <c r="GL131" s="154"/>
      <c r="GM131" s="154"/>
      <c r="GN131" s="154"/>
      <c r="GO131" s="154"/>
      <c r="GP131" s="154"/>
      <c r="GQ131" s="154"/>
      <c r="GR131" s="154"/>
      <c r="GS131" s="154"/>
      <c r="GT131" s="154"/>
      <c r="GU131" s="154"/>
      <c r="GV131" s="154"/>
      <c r="GW131" s="154"/>
      <c r="GX131" s="154"/>
    </row>
    <row r="132" spans="7:206">
      <c r="G132" s="154"/>
      <c r="H132" s="154"/>
      <c r="I132" s="154"/>
      <c r="J132" s="154"/>
      <c r="K132" s="154"/>
      <c r="L132" s="154"/>
      <c r="M132" s="154"/>
      <c r="N132" s="154"/>
      <c r="O132" s="154"/>
      <c r="P132" s="154"/>
      <c r="Q132" s="154"/>
      <c r="R132" s="154"/>
      <c r="S132" s="154"/>
      <c r="T132" s="154"/>
      <c r="U132" s="154"/>
      <c r="V132" s="154"/>
      <c r="W132" s="154"/>
      <c r="X132" s="154"/>
      <c r="Y132" s="154"/>
      <c r="Z132" s="357"/>
      <c r="AA132" s="357"/>
      <c r="AB132" s="357"/>
      <c r="AC132" s="357"/>
      <c r="AD132" s="357"/>
      <c r="AE132" s="357"/>
      <c r="AF132" s="357"/>
      <c r="AG132" s="357"/>
      <c r="AH132" s="357"/>
      <c r="AI132" s="357"/>
      <c r="AJ132" s="357"/>
      <c r="AK132" s="357"/>
      <c r="AL132" s="357"/>
      <c r="AM132" s="357"/>
      <c r="AN132" s="357"/>
      <c r="AO132" s="357"/>
      <c r="AP132" s="357"/>
      <c r="AQ132" s="357"/>
      <c r="AR132" s="357"/>
      <c r="AS132" s="357"/>
      <c r="AT132" s="357"/>
      <c r="AU132" s="357"/>
      <c r="AV132" s="357"/>
      <c r="AW132" s="357"/>
      <c r="AX132" s="357"/>
      <c r="AY132" s="357"/>
      <c r="AZ132" s="357"/>
      <c r="BA132" s="357"/>
      <c r="BB132" s="357"/>
      <c r="BC132" s="357"/>
      <c r="BD132" s="357"/>
      <c r="BE132" s="357"/>
      <c r="BF132" s="357"/>
      <c r="BG132" s="357"/>
      <c r="BH132" s="357"/>
      <c r="BI132" s="357"/>
      <c r="BJ132" s="357"/>
      <c r="BK132" s="357"/>
      <c r="BL132" s="357"/>
      <c r="BM132" s="357"/>
      <c r="BN132" s="357"/>
      <c r="BO132" s="357"/>
      <c r="BP132" s="357"/>
      <c r="BQ132" s="357"/>
      <c r="BR132" s="357"/>
      <c r="BS132" s="357"/>
      <c r="BT132" s="357"/>
      <c r="BU132" s="357"/>
      <c r="BV132" s="357"/>
      <c r="BW132" s="357"/>
      <c r="BX132" s="357"/>
      <c r="BY132" s="357"/>
      <c r="BZ132" s="357"/>
      <c r="CA132" s="357"/>
      <c r="CB132" s="357"/>
      <c r="CC132" s="357"/>
      <c r="CD132" s="357"/>
      <c r="CE132" s="357"/>
      <c r="CF132" s="357"/>
      <c r="CG132" s="357"/>
      <c r="CH132" s="357"/>
      <c r="CI132" s="357"/>
      <c r="CJ132" s="357"/>
      <c r="CK132" s="357"/>
      <c r="CL132" s="357"/>
      <c r="CM132" s="357"/>
      <c r="CN132" s="357"/>
      <c r="CO132" s="357"/>
      <c r="CP132" s="357"/>
      <c r="CQ132" s="357"/>
      <c r="CR132" s="357"/>
      <c r="CS132" s="357"/>
      <c r="CT132" s="357"/>
      <c r="CU132" s="357"/>
      <c r="CV132" s="357"/>
      <c r="CW132" s="357"/>
      <c r="CX132" s="357"/>
      <c r="CY132" s="357"/>
      <c r="CZ132" s="357"/>
      <c r="DA132" s="357"/>
      <c r="DB132" s="357"/>
      <c r="DC132" s="357"/>
      <c r="DD132" s="357"/>
      <c r="DE132" s="357"/>
      <c r="DF132" s="357"/>
      <c r="DG132" s="357"/>
      <c r="DH132" s="357"/>
      <c r="DI132" s="357"/>
      <c r="DJ132" s="357"/>
      <c r="DK132" s="357"/>
      <c r="DL132" s="357"/>
      <c r="DM132" s="357"/>
      <c r="DN132" s="357"/>
      <c r="DO132" s="357"/>
      <c r="DP132" s="357"/>
      <c r="DQ132" s="357"/>
      <c r="DR132" s="357"/>
      <c r="DS132" s="357"/>
      <c r="DT132" s="357"/>
      <c r="DU132" s="357"/>
      <c r="DV132" s="357"/>
      <c r="DW132" s="357"/>
      <c r="DX132" s="357"/>
      <c r="DY132" s="357"/>
      <c r="DZ132" s="357"/>
      <c r="EA132" s="357"/>
      <c r="EB132" s="357"/>
      <c r="EC132" s="357"/>
      <c r="ED132" s="357"/>
      <c r="EE132" s="357"/>
      <c r="EF132" s="357"/>
      <c r="EG132" s="357"/>
      <c r="EH132" s="357"/>
      <c r="EI132" s="357"/>
      <c r="EJ132" s="357"/>
      <c r="EK132" s="357"/>
      <c r="EL132" s="357"/>
      <c r="EM132" s="357"/>
      <c r="EN132" s="357"/>
      <c r="EO132" s="357"/>
      <c r="EP132" s="357"/>
      <c r="EQ132" s="357"/>
      <c r="ER132" s="357"/>
      <c r="ES132" s="357"/>
      <c r="ET132" s="357"/>
      <c r="EU132" s="357"/>
      <c r="EV132" s="357"/>
      <c r="EW132" s="357"/>
      <c r="EX132" s="357"/>
      <c r="EY132" s="357"/>
      <c r="EZ132" s="357"/>
      <c r="FA132" s="357"/>
      <c r="FB132" s="357"/>
      <c r="FC132" s="357"/>
      <c r="FD132" s="357"/>
      <c r="FE132" s="357"/>
      <c r="FF132" s="357"/>
      <c r="FG132" s="357"/>
      <c r="FH132" s="357"/>
      <c r="FI132" s="357"/>
      <c r="FJ132" s="357"/>
      <c r="FK132" s="357"/>
      <c r="FL132" s="357"/>
      <c r="FM132" s="357"/>
      <c r="FN132" s="357"/>
      <c r="FO132" s="357"/>
      <c r="FP132" s="357"/>
      <c r="FQ132" s="357"/>
      <c r="FR132" s="357"/>
      <c r="FS132" s="357"/>
      <c r="FT132" s="357"/>
      <c r="FU132" s="357"/>
      <c r="FV132" s="357"/>
      <c r="FW132" s="357"/>
      <c r="FX132" s="357"/>
      <c r="FY132" s="357"/>
      <c r="FZ132" s="357"/>
      <c r="GA132" s="357"/>
      <c r="GB132" s="357"/>
      <c r="GC132" s="357"/>
      <c r="GD132" s="357"/>
      <c r="GE132" s="357"/>
      <c r="GF132" s="357"/>
      <c r="GG132" s="357"/>
      <c r="GH132" s="357"/>
      <c r="GI132" s="357"/>
      <c r="GJ132" s="357"/>
      <c r="GK132" s="154"/>
      <c r="GL132" s="154"/>
      <c r="GM132" s="154"/>
      <c r="GN132" s="154"/>
      <c r="GO132" s="154"/>
      <c r="GP132" s="154"/>
      <c r="GQ132" s="154"/>
      <c r="GR132" s="154"/>
      <c r="GS132" s="154"/>
      <c r="GT132" s="154"/>
      <c r="GU132" s="154"/>
      <c r="GV132" s="154"/>
      <c r="GW132" s="154"/>
      <c r="GX132" s="154"/>
    </row>
    <row r="133" spans="7:206">
      <c r="G133" s="154"/>
      <c r="H133" s="154"/>
      <c r="I133" s="154"/>
      <c r="J133" s="154"/>
      <c r="K133" s="154"/>
      <c r="L133" s="154"/>
      <c r="M133" s="154"/>
      <c r="N133" s="154"/>
      <c r="O133" s="154"/>
      <c r="P133" s="154"/>
      <c r="Q133" s="154"/>
      <c r="R133" s="154"/>
      <c r="S133" s="154"/>
      <c r="T133" s="154"/>
      <c r="U133" s="154"/>
      <c r="V133" s="154"/>
      <c r="W133" s="154"/>
      <c r="X133" s="154"/>
      <c r="Y133" s="154"/>
      <c r="Z133" s="357"/>
      <c r="AA133" s="357"/>
      <c r="AB133" s="357"/>
      <c r="AC133" s="357"/>
      <c r="AD133" s="357"/>
      <c r="AE133" s="357"/>
      <c r="AF133" s="357"/>
      <c r="AG133" s="357"/>
      <c r="AH133" s="357"/>
      <c r="AI133" s="357"/>
      <c r="AJ133" s="357"/>
      <c r="AK133" s="357"/>
      <c r="AL133" s="357"/>
      <c r="AM133" s="357"/>
      <c r="AN133" s="357"/>
      <c r="AO133" s="357"/>
      <c r="AP133" s="357"/>
      <c r="AQ133" s="357"/>
      <c r="AR133" s="357"/>
      <c r="AS133" s="357"/>
      <c r="AT133" s="357"/>
      <c r="AU133" s="357"/>
      <c r="AV133" s="357"/>
      <c r="AW133" s="357"/>
      <c r="AX133" s="357"/>
      <c r="AY133" s="357"/>
      <c r="AZ133" s="357"/>
      <c r="BA133" s="357"/>
      <c r="BB133" s="357"/>
      <c r="BC133" s="357"/>
      <c r="BD133" s="357"/>
      <c r="BE133" s="357"/>
      <c r="BF133" s="357"/>
      <c r="BG133" s="357"/>
      <c r="BH133" s="357"/>
      <c r="BI133" s="357"/>
      <c r="BJ133" s="357"/>
      <c r="BK133" s="357"/>
      <c r="BL133" s="357"/>
      <c r="BM133" s="357"/>
      <c r="BN133" s="357"/>
      <c r="BO133" s="357"/>
      <c r="BP133" s="357"/>
      <c r="BQ133" s="357"/>
      <c r="BR133" s="357"/>
      <c r="BS133" s="357"/>
      <c r="BT133" s="357"/>
      <c r="BU133" s="357"/>
      <c r="BV133" s="357"/>
      <c r="BW133" s="357"/>
      <c r="BX133" s="357"/>
      <c r="BY133" s="357"/>
      <c r="BZ133" s="357"/>
      <c r="CA133" s="357"/>
      <c r="CB133" s="357"/>
      <c r="CC133" s="357"/>
      <c r="CD133" s="357"/>
      <c r="CE133" s="357"/>
      <c r="CF133" s="357"/>
      <c r="CG133" s="357"/>
      <c r="CH133" s="357"/>
      <c r="CI133" s="357"/>
      <c r="CJ133" s="357"/>
      <c r="CK133" s="357"/>
      <c r="CL133" s="357"/>
      <c r="CM133" s="357"/>
      <c r="CN133" s="357"/>
      <c r="CO133" s="357"/>
      <c r="CP133" s="357"/>
      <c r="CQ133" s="357"/>
      <c r="CR133" s="357"/>
      <c r="CS133" s="357"/>
      <c r="CT133" s="357"/>
      <c r="CU133" s="357"/>
      <c r="CV133" s="357"/>
      <c r="CW133" s="357"/>
      <c r="CX133" s="357"/>
      <c r="CY133" s="357"/>
      <c r="CZ133" s="357"/>
      <c r="DA133" s="357"/>
      <c r="DB133" s="357"/>
      <c r="DC133" s="357"/>
      <c r="DD133" s="357"/>
      <c r="DE133" s="357"/>
      <c r="DF133" s="357"/>
      <c r="DG133" s="357"/>
      <c r="DH133" s="357"/>
      <c r="DI133" s="357"/>
      <c r="DJ133" s="357"/>
      <c r="DK133" s="357"/>
      <c r="DL133" s="357"/>
      <c r="DM133" s="357"/>
      <c r="DN133" s="357"/>
      <c r="DO133" s="357"/>
      <c r="DP133" s="357"/>
      <c r="DQ133" s="357"/>
      <c r="DR133" s="357"/>
      <c r="DS133" s="357"/>
      <c r="DT133" s="357"/>
      <c r="DU133" s="357"/>
      <c r="DV133" s="357"/>
      <c r="DW133" s="357"/>
      <c r="DX133" s="357"/>
      <c r="DY133" s="357"/>
      <c r="DZ133" s="357"/>
      <c r="EA133" s="357"/>
      <c r="EB133" s="357"/>
      <c r="EC133" s="357"/>
      <c r="ED133" s="357"/>
      <c r="EE133" s="357"/>
      <c r="EF133" s="357"/>
      <c r="EG133" s="357"/>
      <c r="EH133" s="357"/>
      <c r="EI133" s="357"/>
      <c r="EJ133" s="357"/>
      <c r="EK133" s="357"/>
      <c r="EL133" s="357"/>
      <c r="EM133" s="357"/>
      <c r="EN133" s="357"/>
      <c r="EO133" s="357"/>
      <c r="EP133" s="357"/>
      <c r="EQ133" s="357"/>
      <c r="ER133" s="357"/>
      <c r="ES133" s="357"/>
      <c r="ET133" s="357"/>
      <c r="EU133" s="357"/>
      <c r="EV133" s="357"/>
      <c r="EW133" s="357"/>
      <c r="EX133" s="357"/>
      <c r="EY133" s="357"/>
      <c r="EZ133" s="357"/>
      <c r="FA133" s="357"/>
      <c r="FB133" s="357"/>
      <c r="FC133" s="357"/>
      <c r="FD133" s="357"/>
      <c r="FE133" s="357"/>
      <c r="FF133" s="357"/>
      <c r="FG133" s="357"/>
      <c r="FH133" s="357"/>
      <c r="FI133" s="357"/>
      <c r="FJ133" s="357"/>
      <c r="FK133" s="357"/>
      <c r="FL133" s="357"/>
      <c r="FM133" s="357"/>
      <c r="FN133" s="357"/>
      <c r="FO133" s="357"/>
      <c r="FP133" s="357"/>
      <c r="FQ133" s="357"/>
      <c r="FR133" s="357"/>
      <c r="FS133" s="357"/>
      <c r="FT133" s="357"/>
      <c r="FU133" s="357"/>
      <c r="FV133" s="357"/>
      <c r="FW133" s="357"/>
      <c r="FX133" s="357"/>
      <c r="FY133" s="357"/>
      <c r="FZ133" s="357"/>
      <c r="GA133" s="357"/>
      <c r="GB133" s="357"/>
      <c r="GC133" s="357"/>
      <c r="GD133" s="357"/>
      <c r="GE133" s="357"/>
      <c r="GF133" s="357"/>
      <c r="GG133" s="357"/>
      <c r="GH133" s="357"/>
      <c r="GI133" s="357"/>
      <c r="GJ133" s="357"/>
      <c r="GK133" s="154"/>
      <c r="GL133" s="154"/>
      <c r="GM133" s="154"/>
      <c r="GN133" s="154"/>
      <c r="GO133" s="154"/>
      <c r="GP133" s="154"/>
      <c r="GQ133" s="154"/>
      <c r="GR133" s="154"/>
      <c r="GS133" s="154"/>
      <c r="GT133" s="154"/>
      <c r="GU133" s="154"/>
      <c r="GV133" s="154"/>
      <c r="GW133" s="154"/>
      <c r="GX133" s="154"/>
    </row>
    <row r="134" spans="7:206">
      <c r="G134" s="154"/>
      <c r="H134" s="154"/>
      <c r="I134" s="154"/>
      <c r="J134" s="154"/>
      <c r="K134" s="154"/>
      <c r="L134" s="154"/>
      <c r="M134" s="154"/>
      <c r="N134" s="154"/>
      <c r="O134" s="154"/>
      <c r="P134" s="154"/>
      <c r="Q134" s="154"/>
      <c r="R134" s="154"/>
      <c r="S134" s="154"/>
      <c r="T134" s="154"/>
      <c r="U134" s="154"/>
      <c r="V134" s="154"/>
      <c r="W134" s="154"/>
      <c r="X134" s="154"/>
      <c r="Y134" s="154"/>
      <c r="Z134" s="357"/>
      <c r="AA134" s="357"/>
      <c r="AB134" s="357"/>
      <c r="AC134" s="357"/>
      <c r="AD134" s="357"/>
      <c r="AE134" s="357"/>
      <c r="AF134" s="357"/>
      <c r="AG134" s="357"/>
      <c r="AH134" s="357"/>
      <c r="AI134" s="357"/>
      <c r="AJ134" s="357"/>
      <c r="AK134" s="357"/>
      <c r="AL134" s="357"/>
      <c r="AM134" s="357"/>
      <c r="AN134" s="357"/>
      <c r="AO134" s="357"/>
      <c r="AP134" s="357"/>
      <c r="AQ134" s="357"/>
      <c r="AR134" s="357"/>
      <c r="AS134" s="357"/>
      <c r="AT134" s="357"/>
      <c r="AU134" s="357"/>
      <c r="AV134" s="357"/>
      <c r="AW134" s="357"/>
      <c r="AX134" s="357"/>
      <c r="AY134" s="357"/>
      <c r="AZ134" s="357"/>
      <c r="BA134" s="357"/>
      <c r="BB134" s="357"/>
      <c r="BC134" s="357"/>
      <c r="BD134" s="357"/>
      <c r="BE134" s="357"/>
      <c r="BF134" s="357"/>
      <c r="BG134" s="357"/>
      <c r="BH134" s="357"/>
      <c r="BI134" s="357"/>
      <c r="BJ134" s="357"/>
      <c r="BK134" s="357"/>
      <c r="BL134" s="357"/>
      <c r="BM134" s="357"/>
      <c r="BN134" s="357"/>
      <c r="BO134" s="357"/>
      <c r="BP134" s="357"/>
      <c r="BQ134" s="357"/>
      <c r="BR134" s="357"/>
      <c r="BS134" s="357"/>
      <c r="BT134" s="357"/>
      <c r="BU134" s="357"/>
      <c r="BV134" s="357"/>
      <c r="BW134" s="357"/>
      <c r="BX134" s="357"/>
      <c r="BY134" s="357"/>
      <c r="BZ134" s="357"/>
      <c r="CA134" s="357"/>
      <c r="CB134" s="357"/>
      <c r="CC134" s="357"/>
      <c r="CD134" s="357"/>
      <c r="CE134" s="357"/>
      <c r="CF134" s="357"/>
      <c r="CG134" s="357"/>
      <c r="CH134" s="357"/>
      <c r="CI134" s="357"/>
      <c r="CJ134" s="357"/>
      <c r="CK134" s="357"/>
      <c r="CL134" s="357"/>
      <c r="CM134" s="357"/>
      <c r="CN134" s="357"/>
      <c r="CO134" s="357"/>
      <c r="CP134" s="357"/>
      <c r="CQ134" s="357"/>
      <c r="CR134" s="357"/>
      <c r="CS134" s="357"/>
      <c r="CT134" s="357"/>
      <c r="CU134" s="357"/>
      <c r="CV134" s="357"/>
      <c r="CW134" s="357"/>
      <c r="CX134" s="357"/>
      <c r="CY134" s="357"/>
      <c r="CZ134" s="357"/>
      <c r="DA134" s="357"/>
      <c r="DB134" s="357"/>
      <c r="DC134" s="357"/>
      <c r="DD134" s="357"/>
      <c r="DE134" s="357"/>
      <c r="DF134" s="357"/>
      <c r="DG134" s="357"/>
      <c r="DH134" s="357"/>
      <c r="DI134" s="357"/>
      <c r="DJ134" s="357"/>
      <c r="DK134" s="357"/>
      <c r="DL134" s="357"/>
      <c r="DM134" s="357"/>
      <c r="DN134" s="357"/>
      <c r="DO134" s="357"/>
      <c r="DP134" s="357"/>
      <c r="DQ134" s="357"/>
      <c r="DR134" s="357"/>
      <c r="DS134" s="357"/>
      <c r="DT134" s="357"/>
      <c r="DU134" s="357"/>
      <c r="DV134" s="357"/>
      <c r="DW134" s="357"/>
      <c r="DX134" s="357"/>
      <c r="DY134" s="357"/>
      <c r="DZ134" s="357"/>
      <c r="EA134" s="357"/>
      <c r="EB134" s="357"/>
      <c r="EC134" s="357"/>
      <c r="ED134" s="357"/>
      <c r="EE134" s="357"/>
      <c r="EF134" s="357"/>
      <c r="EG134" s="357"/>
      <c r="EH134" s="357"/>
      <c r="EI134" s="357"/>
      <c r="EJ134" s="357"/>
      <c r="EK134" s="357"/>
      <c r="EL134" s="357"/>
      <c r="EM134" s="357"/>
      <c r="EN134" s="357"/>
      <c r="EO134" s="357"/>
      <c r="EP134" s="357"/>
      <c r="EQ134" s="357"/>
      <c r="ER134" s="357"/>
      <c r="ES134" s="357"/>
      <c r="ET134" s="357"/>
      <c r="EU134" s="357"/>
      <c r="EV134" s="357"/>
      <c r="EW134" s="357"/>
      <c r="EX134" s="357"/>
      <c r="EY134" s="357"/>
      <c r="EZ134" s="357"/>
      <c r="FA134" s="357"/>
      <c r="FB134" s="357"/>
      <c r="FC134" s="357"/>
      <c r="FD134" s="357"/>
      <c r="FE134" s="357"/>
      <c r="FF134" s="357"/>
      <c r="FG134" s="357"/>
      <c r="FH134" s="357"/>
      <c r="FI134" s="357"/>
      <c r="FJ134" s="357"/>
      <c r="FK134" s="357"/>
      <c r="FL134" s="357"/>
      <c r="FM134" s="357"/>
      <c r="FN134" s="357"/>
      <c r="FO134" s="357"/>
      <c r="FP134" s="357"/>
      <c r="FQ134" s="357"/>
      <c r="FR134" s="357"/>
      <c r="FS134" s="357"/>
      <c r="FT134" s="357"/>
      <c r="FU134" s="357"/>
      <c r="FV134" s="357"/>
      <c r="FW134" s="357"/>
      <c r="FX134" s="357"/>
      <c r="FY134" s="357"/>
      <c r="FZ134" s="357"/>
      <c r="GA134" s="357"/>
      <c r="GB134" s="357"/>
      <c r="GC134" s="357"/>
      <c r="GD134" s="357"/>
      <c r="GE134" s="357"/>
      <c r="GF134" s="357"/>
      <c r="GG134" s="357"/>
      <c r="GH134" s="357"/>
      <c r="GI134" s="357"/>
      <c r="GJ134" s="357"/>
      <c r="GK134" s="154"/>
      <c r="GL134" s="154"/>
      <c r="GM134" s="154"/>
      <c r="GN134" s="154"/>
      <c r="GO134" s="154"/>
      <c r="GP134" s="154"/>
      <c r="GQ134" s="154"/>
      <c r="GR134" s="154"/>
      <c r="GS134" s="154"/>
      <c r="GT134" s="154"/>
      <c r="GU134" s="154"/>
      <c r="GV134" s="154"/>
      <c r="GW134" s="154"/>
      <c r="GX134" s="154"/>
    </row>
    <row r="135" spans="7:206">
      <c r="G135" s="154"/>
      <c r="H135" s="154"/>
      <c r="I135" s="154"/>
      <c r="J135" s="154"/>
      <c r="K135" s="154"/>
      <c r="L135" s="154"/>
      <c r="M135" s="154"/>
      <c r="N135" s="154"/>
      <c r="O135" s="154"/>
      <c r="P135" s="154"/>
      <c r="Q135" s="154"/>
      <c r="R135" s="154"/>
      <c r="S135" s="154"/>
      <c r="T135" s="154"/>
      <c r="U135" s="154"/>
      <c r="V135" s="154"/>
      <c r="W135" s="154"/>
      <c r="X135" s="154"/>
      <c r="Y135" s="154"/>
      <c r="Z135" s="357"/>
      <c r="AA135" s="357"/>
      <c r="AB135" s="357"/>
      <c r="AC135" s="357"/>
      <c r="AD135" s="357"/>
      <c r="AE135" s="357"/>
      <c r="AF135" s="357"/>
      <c r="AG135" s="357"/>
      <c r="AH135" s="357"/>
      <c r="AI135" s="357"/>
      <c r="AJ135" s="357"/>
      <c r="AK135" s="357"/>
      <c r="AL135" s="357"/>
      <c r="AM135" s="357"/>
      <c r="AN135" s="357"/>
      <c r="AO135" s="357"/>
      <c r="AP135" s="357"/>
      <c r="AQ135" s="357"/>
      <c r="AR135" s="357"/>
      <c r="AS135" s="357"/>
      <c r="AT135" s="357"/>
      <c r="AU135" s="357"/>
      <c r="AV135" s="357"/>
      <c r="AW135" s="357"/>
      <c r="AX135" s="357"/>
      <c r="AY135" s="357"/>
      <c r="AZ135" s="357"/>
      <c r="BA135" s="357"/>
      <c r="BB135" s="357"/>
      <c r="BC135" s="357"/>
      <c r="BD135" s="357"/>
      <c r="BE135" s="357"/>
      <c r="BF135" s="357"/>
      <c r="BG135" s="357"/>
      <c r="BH135" s="357"/>
      <c r="BI135" s="357"/>
      <c r="BJ135" s="357"/>
      <c r="BK135" s="357"/>
      <c r="BL135" s="357"/>
      <c r="BM135" s="357"/>
      <c r="BN135" s="357"/>
      <c r="BO135" s="357"/>
      <c r="BP135" s="357"/>
      <c r="BQ135" s="357"/>
      <c r="BR135" s="357"/>
      <c r="BS135" s="357"/>
      <c r="BT135" s="357"/>
      <c r="BU135" s="357"/>
      <c r="BV135" s="357"/>
      <c r="BW135" s="357"/>
      <c r="BX135" s="357"/>
      <c r="BY135" s="357"/>
      <c r="BZ135" s="357"/>
      <c r="CA135" s="357"/>
      <c r="CB135" s="357"/>
      <c r="CC135" s="357"/>
      <c r="CD135" s="357"/>
      <c r="CE135" s="357"/>
      <c r="CF135" s="357"/>
      <c r="CG135" s="357"/>
      <c r="CH135" s="357"/>
      <c r="CI135" s="357"/>
      <c r="CJ135" s="357"/>
      <c r="CK135" s="357"/>
      <c r="CL135" s="357"/>
      <c r="CM135" s="357"/>
      <c r="CN135" s="357"/>
      <c r="CO135" s="357"/>
      <c r="CP135" s="357"/>
      <c r="CQ135" s="357"/>
      <c r="CR135" s="357"/>
      <c r="CS135" s="357"/>
      <c r="CT135" s="357"/>
      <c r="CU135" s="357"/>
      <c r="CV135" s="357"/>
      <c r="CW135" s="357"/>
      <c r="CX135" s="357"/>
      <c r="CY135" s="357"/>
      <c r="CZ135" s="357"/>
      <c r="DA135" s="357"/>
      <c r="DB135" s="357"/>
      <c r="DC135" s="357"/>
      <c r="DD135" s="357"/>
      <c r="DE135" s="357"/>
      <c r="DF135" s="357"/>
      <c r="DG135" s="357"/>
      <c r="DH135" s="357"/>
      <c r="DI135" s="357"/>
      <c r="DJ135" s="357"/>
      <c r="DK135" s="357"/>
      <c r="DL135" s="357"/>
      <c r="DM135" s="357"/>
      <c r="DN135" s="357"/>
      <c r="DO135" s="357"/>
      <c r="DP135" s="357"/>
      <c r="DQ135" s="357"/>
      <c r="DR135" s="357"/>
      <c r="DS135" s="357"/>
      <c r="DT135" s="357"/>
      <c r="DU135" s="357"/>
      <c r="DV135" s="357"/>
      <c r="DW135" s="357"/>
      <c r="DX135" s="357"/>
      <c r="DY135" s="357"/>
      <c r="DZ135" s="357"/>
      <c r="EA135" s="357"/>
      <c r="EB135" s="357"/>
      <c r="EC135" s="357"/>
      <c r="ED135" s="357"/>
      <c r="EE135" s="357"/>
      <c r="EF135" s="357"/>
      <c r="EG135" s="357"/>
      <c r="EH135" s="357"/>
      <c r="EI135" s="357"/>
      <c r="EJ135" s="357"/>
      <c r="EK135" s="357"/>
      <c r="EL135" s="357"/>
      <c r="EM135" s="357"/>
      <c r="EN135" s="357"/>
      <c r="EO135" s="357"/>
      <c r="EP135" s="357"/>
      <c r="EQ135" s="357"/>
      <c r="ER135" s="357"/>
      <c r="ES135" s="357"/>
      <c r="ET135" s="357"/>
      <c r="EU135" s="357"/>
      <c r="EV135" s="357"/>
      <c r="EW135" s="357"/>
      <c r="EX135" s="357"/>
      <c r="EY135" s="357"/>
      <c r="EZ135" s="357"/>
      <c r="FA135" s="357"/>
      <c r="FB135" s="357"/>
      <c r="FC135" s="357"/>
      <c r="FD135" s="357"/>
      <c r="FE135" s="357"/>
      <c r="FF135" s="357"/>
      <c r="FG135" s="357"/>
      <c r="FH135" s="357"/>
      <c r="FI135" s="357"/>
      <c r="FJ135" s="357"/>
      <c r="FK135" s="357"/>
      <c r="FL135" s="357"/>
      <c r="FM135" s="357"/>
      <c r="FN135" s="357"/>
      <c r="FO135" s="357"/>
      <c r="FP135" s="357"/>
      <c r="FQ135" s="357"/>
      <c r="FR135" s="357"/>
      <c r="FS135" s="357"/>
      <c r="FT135" s="357"/>
      <c r="FU135" s="357"/>
      <c r="FV135" s="357"/>
      <c r="FW135" s="357"/>
      <c r="FX135" s="357"/>
      <c r="FY135" s="357"/>
      <c r="FZ135" s="357"/>
      <c r="GA135" s="357"/>
      <c r="GB135" s="357"/>
      <c r="GC135" s="357"/>
      <c r="GD135" s="357"/>
      <c r="GE135" s="357"/>
      <c r="GF135" s="357"/>
      <c r="GG135" s="357"/>
      <c r="GH135" s="357"/>
      <c r="GI135" s="357"/>
      <c r="GJ135" s="357"/>
      <c r="GK135" s="154"/>
      <c r="GL135" s="154"/>
      <c r="GM135" s="154"/>
      <c r="GN135" s="154"/>
      <c r="GO135" s="154"/>
      <c r="GP135" s="154"/>
      <c r="GQ135" s="154"/>
      <c r="GR135" s="154"/>
      <c r="GS135" s="154"/>
      <c r="GT135" s="154"/>
      <c r="GU135" s="154"/>
      <c r="GV135" s="154"/>
      <c r="GW135" s="154"/>
      <c r="GX135" s="154"/>
    </row>
    <row r="136" spans="7:206">
      <c r="G136" s="154"/>
      <c r="H136" s="154"/>
      <c r="I136" s="154"/>
      <c r="J136" s="154"/>
      <c r="K136" s="154"/>
      <c r="L136" s="154"/>
      <c r="M136" s="154"/>
      <c r="N136" s="154"/>
      <c r="O136" s="154"/>
      <c r="P136" s="154"/>
      <c r="Q136" s="154"/>
      <c r="R136" s="154"/>
      <c r="S136" s="154"/>
      <c r="T136" s="154"/>
      <c r="U136" s="154"/>
      <c r="V136" s="154"/>
      <c r="W136" s="154"/>
      <c r="X136" s="154"/>
      <c r="Y136" s="154"/>
      <c r="Z136" s="357"/>
      <c r="AA136" s="357"/>
      <c r="AB136" s="357"/>
      <c r="AC136" s="357"/>
      <c r="AD136" s="357"/>
      <c r="AE136" s="357"/>
      <c r="AF136" s="357"/>
      <c r="AG136" s="357"/>
      <c r="AH136" s="357"/>
      <c r="AI136" s="357"/>
      <c r="AJ136" s="357"/>
      <c r="AK136" s="357"/>
      <c r="AL136" s="357"/>
      <c r="AM136" s="357"/>
      <c r="AN136" s="357"/>
      <c r="AO136" s="357"/>
      <c r="AP136" s="357"/>
      <c r="AQ136" s="357"/>
      <c r="AR136" s="357"/>
      <c r="AS136" s="357"/>
      <c r="AT136" s="357"/>
      <c r="AU136" s="357"/>
      <c r="AV136" s="357"/>
      <c r="AW136" s="357"/>
      <c r="AX136" s="357"/>
      <c r="AY136" s="357"/>
      <c r="AZ136" s="357"/>
      <c r="BA136" s="357"/>
      <c r="BB136" s="357"/>
      <c r="BC136" s="357"/>
      <c r="BD136" s="357"/>
      <c r="BE136" s="357"/>
      <c r="BF136" s="357"/>
      <c r="BG136" s="357"/>
      <c r="BH136" s="357"/>
      <c r="BI136" s="357"/>
      <c r="BJ136" s="357"/>
      <c r="BK136" s="357"/>
      <c r="BL136" s="357"/>
      <c r="BM136" s="357"/>
      <c r="BN136" s="357"/>
      <c r="BO136" s="357"/>
      <c r="BP136" s="357"/>
      <c r="BQ136" s="357"/>
      <c r="BR136" s="357"/>
      <c r="BS136" s="357"/>
      <c r="BT136" s="357"/>
      <c r="BU136" s="357"/>
      <c r="BV136" s="357"/>
      <c r="BW136" s="357"/>
      <c r="BX136" s="357"/>
      <c r="BY136" s="357"/>
      <c r="BZ136" s="357"/>
      <c r="CA136" s="357"/>
      <c r="CB136" s="357"/>
      <c r="CC136" s="357"/>
      <c r="CD136" s="357"/>
      <c r="CE136" s="357"/>
      <c r="CF136" s="357"/>
      <c r="CG136" s="357"/>
      <c r="CH136" s="357"/>
      <c r="CI136" s="357"/>
      <c r="CJ136" s="357"/>
      <c r="CK136" s="357"/>
      <c r="CL136" s="357"/>
      <c r="CM136" s="357"/>
      <c r="CN136" s="357"/>
      <c r="CO136" s="357"/>
      <c r="CP136" s="357"/>
      <c r="CQ136" s="357"/>
      <c r="CR136" s="357"/>
      <c r="CS136" s="357"/>
      <c r="CT136" s="357"/>
      <c r="CU136" s="357"/>
      <c r="CV136" s="357"/>
      <c r="CW136" s="357"/>
      <c r="CX136" s="357"/>
      <c r="CY136" s="357"/>
      <c r="CZ136" s="357"/>
      <c r="DA136" s="357"/>
      <c r="DB136" s="357"/>
      <c r="DC136" s="357"/>
      <c r="DD136" s="357"/>
      <c r="DE136" s="357"/>
      <c r="DF136" s="357"/>
      <c r="DG136" s="357"/>
      <c r="DH136" s="357"/>
      <c r="DI136" s="357"/>
      <c r="DJ136" s="357"/>
      <c r="DK136" s="357"/>
      <c r="DL136" s="357"/>
      <c r="DM136" s="357"/>
      <c r="DN136" s="357"/>
      <c r="DO136" s="357"/>
      <c r="DP136" s="357"/>
      <c r="DQ136" s="357"/>
      <c r="DR136" s="357"/>
      <c r="DS136" s="357"/>
      <c r="DT136" s="357"/>
      <c r="DU136" s="357"/>
      <c r="DV136" s="357"/>
      <c r="DW136" s="357"/>
      <c r="DX136" s="357"/>
      <c r="DY136" s="357"/>
      <c r="DZ136" s="357"/>
      <c r="EA136" s="357"/>
      <c r="EB136" s="357"/>
      <c r="EC136" s="357"/>
      <c r="ED136" s="357"/>
      <c r="EE136" s="357"/>
      <c r="EF136" s="357"/>
      <c r="EG136" s="357"/>
      <c r="EH136" s="357"/>
      <c r="EI136" s="357"/>
      <c r="EJ136" s="357"/>
      <c r="EK136" s="357"/>
      <c r="EL136" s="357"/>
      <c r="EM136" s="357"/>
      <c r="EN136" s="357"/>
      <c r="EO136" s="357"/>
      <c r="EP136" s="357"/>
      <c r="EQ136" s="357"/>
      <c r="ER136" s="357"/>
      <c r="ES136" s="357"/>
      <c r="ET136" s="357"/>
      <c r="EU136" s="357"/>
      <c r="EV136" s="357"/>
      <c r="EW136" s="357"/>
      <c r="EX136" s="357"/>
      <c r="EY136" s="357"/>
      <c r="EZ136" s="357"/>
      <c r="FA136" s="357"/>
      <c r="FB136" s="357"/>
      <c r="FC136" s="357"/>
      <c r="FD136" s="357"/>
      <c r="FE136" s="357"/>
      <c r="FF136" s="357"/>
      <c r="FG136" s="357"/>
      <c r="FH136" s="357"/>
      <c r="FI136" s="357"/>
      <c r="FJ136" s="357"/>
      <c r="FK136" s="357"/>
      <c r="FL136" s="357"/>
      <c r="FM136" s="357"/>
      <c r="FN136" s="357"/>
      <c r="FO136" s="357"/>
      <c r="FP136" s="357"/>
      <c r="FQ136" s="357"/>
      <c r="FR136" s="357"/>
      <c r="FS136" s="357"/>
      <c r="FT136" s="357"/>
      <c r="FU136" s="357"/>
      <c r="FV136" s="357"/>
      <c r="FW136" s="357"/>
      <c r="FX136" s="357"/>
      <c r="FY136" s="357"/>
      <c r="FZ136" s="357"/>
      <c r="GA136" s="357"/>
      <c r="GB136" s="357"/>
      <c r="GC136" s="357"/>
      <c r="GD136" s="357"/>
      <c r="GE136" s="357"/>
      <c r="GF136" s="357"/>
      <c r="GG136" s="357"/>
      <c r="GH136" s="357"/>
      <c r="GI136" s="357"/>
      <c r="GJ136" s="357"/>
      <c r="GK136" s="154"/>
      <c r="GL136" s="154"/>
      <c r="GM136" s="154"/>
      <c r="GN136" s="154"/>
      <c r="GO136" s="154"/>
      <c r="GP136" s="154"/>
      <c r="GQ136" s="154"/>
      <c r="GR136" s="154"/>
      <c r="GS136" s="154"/>
      <c r="GT136" s="154"/>
      <c r="GU136" s="154"/>
      <c r="GV136" s="154"/>
      <c r="GW136" s="154"/>
      <c r="GX136" s="154"/>
    </row>
    <row r="137" spans="7:206">
      <c r="G137" s="154"/>
      <c r="H137" s="154"/>
      <c r="I137" s="154"/>
      <c r="J137" s="154"/>
      <c r="K137" s="154"/>
      <c r="L137" s="154"/>
      <c r="M137" s="154"/>
      <c r="N137" s="154"/>
      <c r="O137" s="154"/>
      <c r="P137" s="154"/>
      <c r="Q137" s="154"/>
      <c r="R137" s="154"/>
      <c r="S137" s="154"/>
      <c r="T137" s="154"/>
      <c r="U137" s="154"/>
      <c r="V137" s="154"/>
      <c r="W137" s="154"/>
      <c r="X137" s="154"/>
      <c r="Y137" s="154"/>
      <c r="Z137" s="357"/>
      <c r="AA137" s="357"/>
      <c r="AB137" s="357"/>
      <c r="AC137" s="357"/>
      <c r="AD137" s="357"/>
      <c r="AE137" s="357"/>
      <c r="AF137" s="357"/>
      <c r="AG137" s="357"/>
      <c r="AH137" s="357"/>
      <c r="AI137" s="357"/>
      <c r="AJ137" s="357"/>
      <c r="AK137" s="357"/>
      <c r="AL137" s="357"/>
      <c r="AM137" s="357"/>
      <c r="AN137" s="357"/>
      <c r="AO137" s="357"/>
      <c r="AP137" s="357"/>
      <c r="AQ137" s="357"/>
      <c r="AR137" s="357"/>
      <c r="AS137" s="357"/>
      <c r="AT137" s="357"/>
      <c r="AU137" s="357"/>
      <c r="AV137" s="357"/>
      <c r="AW137" s="357"/>
      <c r="AX137" s="357"/>
      <c r="AY137" s="357"/>
      <c r="AZ137" s="357"/>
      <c r="BA137" s="357"/>
      <c r="BB137" s="357"/>
      <c r="BC137" s="357"/>
      <c r="BD137" s="357"/>
      <c r="BE137" s="357"/>
      <c r="BF137" s="357"/>
      <c r="BG137" s="357"/>
      <c r="BH137" s="357"/>
      <c r="BI137" s="357"/>
      <c r="BJ137" s="357"/>
      <c r="BK137" s="357"/>
      <c r="BL137" s="357"/>
      <c r="BM137" s="357"/>
      <c r="BN137" s="357"/>
      <c r="BO137" s="357"/>
      <c r="BP137" s="357"/>
      <c r="BQ137" s="357"/>
      <c r="BR137" s="357"/>
      <c r="BS137" s="357"/>
      <c r="BT137" s="357"/>
      <c r="BU137" s="357"/>
      <c r="BV137" s="357"/>
      <c r="BW137" s="357"/>
      <c r="BX137" s="357"/>
      <c r="BY137" s="357"/>
      <c r="BZ137" s="357"/>
      <c r="CA137" s="357"/>
      <c r="CB137" s="357"/>
      <c r="CC137" s="357"/>
      <c r="CD137" s="357"/>
      <c r="CE137" s="357"/>
      <c r="CF137" s="357"/>
      <c r="CG137" s="357"/>
      <c r="CH137" s="357"/>
      <c r="CI137" s="357"/>
      <c r="CJ137" s="357"/>
      <c r="CK137" s="357"/>
      <c r="CL137" s="357"/>
      <c r="CM137" s="357"/>
      <c r="CN137" s="357"/>
      <c r="CO137" s="357"/>
      <c r="CP137" s="357"/>
      <c r="CQ137" s="357"/>
      <c r="CR137" s="357"/>
      <c r="CS137" s="357"/>
      <c r="CT137" s="357"/>
      <c r="CU137" s="357"/>
      <c r="CV137" s="357"/>
      <c r="CW137" s="357"/>
      <c r="CX137" s="357"/>
      <c r="CY137" s="357"/>
      <c r="CZ137" s="357"/>
      <c r="DA137" s="357"/>
      <c r="DB137" s="357"/>
      <c r="DC137" s="357"/>
      <c r="DD137" s="357"/>
      <c r="DE137" s="357"/>
      <c r="DF137" s="357"/>
      <c r="DG137" s="357"/>
      <c r="DH137" s="357"/>
      <c r="DI137" s="357"/>
      <c r="DJ137" s="357"/>
      <c r="DK137" s="357"/>
      <c r="DL137" s="357"/>
      <c r="DM137" s="357"/>
      <c r="DN137" s="357"/>
      <c r="DO137" s="357"/>
      <c r="DP137" s="357"/>
      <c r="DQ137" s="357"/>
      <c r="DR137" s="357"/>
      <c r="DS137" s="357"/>
      <c r="DT137" s="357"/>
      <c r="DU137" s="357"/>
      <c r="DV137" s="357"/>
      <c r="DW137" s="357"/>
      <c r="DX137" s="357"/>
      <c r="DY137" s="357"/>
      <c r="DZ137" s="357"/>
      <c r="EA137" s="357"/>
      <c r="EB137" s="357"/>
      <c r="EC137" s="357"/>
      <c r="ED137" s="357"/>
      <c r="EE137" s="357"/>
      <c r="EF137" s="357"/>
      <c r="EG137" s="357"/>
      <c r="EH137" s="357"/>
      <c r="EI137" s="357"/>
      <c r="EJ137" s="357"/>
      <c r="EK137" s="357"/>
      <c r="EL137" s="357"/>
      <c r="EM137" s="357"/>
      <c r="EN137" s="357"/>
      <c r="EO137" s="357"/>
      <c r="EP137" s="357"/>
      <c r="EQ137" s="357"/>
      <c r="ER137" s="357"/>
      <c r="ES137" s="357"/>
      <c r="ET137" s="357"/>
      <c r="EU137" s="357"/>
      <c r="EV137" s="357"/>
      <c r="EW137" s="357"/>
      <c r="EX137" s="357"/>
      <c r="EY137" s="357"/>
      <c r="EZ137" s="357"/>
      <c r="FA137" s="357"/>
      <c r="FB137" s="357"/>
      <c r="FC137" s="357"/>
      <c r="FD137" s="357"/>
      <c r="FE137" s="357"/>
      <c r="FF137" s="357"/>
      <c r="FG137" s="357"/>
      <c r="FH137" s="357"/>
      <c r="FI137" s="357"/>
      <c r="FJ137" s="357"/>
      <c r="FK137" s="357"/>
      <c r="FL137" s="357"/>
      <c r="FM137" s="357"/>
      <c r="FN137" s="357"/>
      <c r="FO137" s="357"/>
      <c r="FP137" s="357"/>
      <c r="FQ137" s="357"/>
      <c r="FR137" s="357"/>
      <c r="FS137" s="357"/>
      <c r="FT137" s="357"/>
      <c r="FU137" s="357"/>
      <c r="FV137" s="357"/>
      <c r="FW137" s="357"/>
      <c r="FX137" s="357"/>
      <c r="FY137" s="357"/>
      <c r="FZ137" s="357"/>
      <c r="GA137" s="357"/>
      <c r="GB137" s="357"/>
      <c r="GC137" s="357"/>
      <c r="GD137" s="357"/>
      <c r="GE137" s="357"/>
      <c r="GF137" s="357"/>
      <c r="GG137" s="357"/>
      <c r="GH137" s="357"/>
      <c r="GI137" s="357"/>
      <c r="GJ137" s="357"/>
      <c r="GK137" s="154"/>
      <c r="GL137" s="154"/>
      <c r="GM137" s="154"/>
      <c r="GN137" s="154"/>
      <c r="GO137" s="154"/>
      <c r="GP137" s="154"/>
      <c r="GQ137" s="154"/>
      <c r="GR137" s="154"/>
      <c r="GS137" s="154"/>
      <c r="GT137" s="154"/>
      <c r="GU137" s="154"/>
      <c r="GV137" s="154"/>
      <c r="GW137" s="154"/>
      <c r="GX137" s="154"/>
    </row>
    <row r="138" spans="7:206">
      <c r="G138" s="154"/>
      <c r="H138" s="154"/>
      <c r="I138" s="154"/>
      <c r="J138" s="154"/>
      <c r="K138" s="154"/>
      <c r="L138" s="154"/>
      <c r="M138" s="154"/>
      <c r="N138" s="154"/>
      <c r="O138" s="154"/>
      <c r="P138" s="154"/>
      <c r="Q138" s="154"/>
      <c r="R138" s="154"/>
      <c r="S138" s="154"/>
      <c r="T138" s="154"/>
      <c r="U138" s="154"/>
      <c r="V138" s="154"/>
      <c r="W138" s="154"/>
      <c r="X138" s="154"/>
      <c r="Y138" s="154"/>
      <c r="Z138" s="357"/>
      <c r="AA138" s="357"/>
      <c r="AB138" s="357"/>
      <c r="AC138" s="357"/>
      <c r="AD138" s="357"/>
      <c r="AE138" s="357"/>
      <c r="AF138" s="357"/>
      <c r="AG138" s="357"/>
      <c r="AH138" s="357"/>
      <c r="AI138" s="357"/>
      <c r="AJ138" s="357"/>
      <c r="AK138" s="357"/>
      <c r="AL138" s="357"/>
      <c r="AM138" s="357"/>
      <c r="AN138" s="357"/>
      <c r="AO138" s="357"/>
      <c r="AP138" s="357"/>
      <c r="AQ138" s="357"/>
      <c r="AR138" s="357"/>
      <c r="AS138" s="357"/>
      <c r="AT138" s="357"/>
      <c r="AU138" s="357"/>
      <c r="AV138" s="357"/>
      <c r="AW138" s="357"/>
      <c r="AX138" s="357"/>
      <c r="AY138" s="357"/>
      <c r="AZ138" s="357"/>
      <c r="BA138" s="357"/>
      <c r="BB138" s="357"/>
      <c r="BC138" s="357"/>
      <c r="BD138" s="357"/>
      <c r="BE138" s="357"/>
      <c r="BF138" s="357"/>
      <c r="BG138" s="357"/>
      <c r="BH138" s="357"/>
      <c r="BI138" s="357"/>
      <c r="BJ138" s="357"/>
      <c r="BK138" s="357"/>
      <c r="BL138" s="357"/>
      <c r="BM138" s="357"/>
      <c r="BN138" s="357"/>
      <c r="BO138" s="357"/>
      <c r="BP138" s="357"/>
      <c r="BQ138" s="357"/>
      <c r="BR138" s="357"/>
      <c r="BS138" s="357"/>
      <c r="BT138" s="357"/>
      <c r="BU138" s="357"/>
      <c r="BV138" s="357"/>
      <c r="BW138" s="357"/>
      <c r="BX138" s="357"/>
      <c r="BY138" s="357"/>
      <c r="BZ138" s="357"/>
      <c r="CA138" s="357"/>
      <c r="CB138" s="357"/>
      <c r="CC138" s="357"/>
      <c r="CD138" s="357"/>
      <c r="CE138" s="357"/>
      <c r="CF138" s="357"/>
      <c r="CG138" s="357"/>
      <c r="CH138" s="357"/>
      <c r="CI138" s="357"/>
      <c r="CJ138" s="357"/>
      <c r="CK138" s="357"/>
      <c r="CL138" s="357"/>
      <c r="CM138" s="357"/>
      <c r="CN138" s="357"/>
      <c r="CO138" s="357"/>
      <c r="CP138" s="357"/>
      <c r="CQ138" s="357"/>
      <c r="CR138" s="357"/>
      <c r="CS138" s="357"/>
      <c r="CT138" s="357"/>
      <c r="CU138" s="357"/>
      <c r="CV138" s="357"/>
      <c r="CW138" s="357"/>
      <c r="CX138" s="357"/>
      <c r="CY138" s="357"/>
      <c r="CZ138" s="357"/>
      <c r="DA138" s="357"/>
      <c r="DB138" s="357"/>
      <c r="DC138" s="357"/>
      <c r="DD138" s="357"/>
      <c r="DE138" s="357"/>
      <c r="DF138" s="357"/>
      <c r="DG138" s="357"/>
      <c r="DH138" s="357"/>
      <c r="DI138" s="357"/>
      <c r="DJ138" s="357"/>
      <c r="DK138" s="357"/>
      <c r="DL138" s="357"/>
      <c r="DM138" s="357"/>
      <c r="DN138" s="357"/>
      <c r="DO138" s="357"/>
      <c r="DP138" s="357"/>
      <c r="DQ138" s="357"/>
      <c r="DR138" s="357"/>
      <c r="DS138" s="357"/>
      <c r="DT138" s="357"/>
      <c r="DU138" s="357"/>
      <c r="DV138" s="357"/>
      <c r="DW138" s="357"/>
      <c r="DX138" s="357"/>
      <c r="DY138" s="357"/>
      <c r="DZ138" s="357"/>
      <c r="EA138" s="357"/>
      <c r="EB138" s="357"/>
      <c r="EC138" s="357"/>
      <c r="ED138" s="357"/>
      <c r="EE138" s="357"/>
      <c r="EF138" s="357"/>
      <c r="EG138" s="357"/>
      <c r="EH138" s="357"/>
      <c r="EI138" s="357"/>
      <c r="EJ138" s="357"/>
      <c r="EK138" s="357"/>
      <c r="EL138" s="357"/>
      <c r="EM138" s="357"/>
      <c r="EN138" s="357"/>
      <c r="EO138" s="357"/>
      <c r="EP138" s="357"/>
      <c r="EQ138" s="357"/>
      <c r="ER138" s="357"/>
      <c r="ES138" s="357"/>
      <c r="ET138" s="357"/>
      <c r="EU138" s="357"/>
      <c r="EV138" s="357"/>
      <c r="EW138" s="357"/>
      <c r="EX138" s="357"/>
      <c r="EY138" s="357"/>
      <c r="EZ138" s="357"/>
      <c r="FA138" s="357"/>
      <c r="FB138" s="357"/>
      <c r="FC138" s="357"/>
      <c r="FD138" s="357"/>
      <c r="FE138" s="357"/>
      <c r="FF138" s="357"/>
      <c r="FG138" s="357"/>
      <c r="FH138" s="357"/>
      <c r="FI138" s="357"/>
      <c r="FJ138" s="357"/>
      <c r="FK138" s="357"/>
      <c r="FL138" s="357"/>
      <c r="FM138" s="357"/>
      <c r="FN138" s="357"/>
      <c r="FO138" s="357"/>
      <c r="FP138" s="357"/>
      <c r="FQ138" s="357"/>
      <c r="FR138" s="357"/>
      <c r="FS138" s="357"/>
      <c r="FT138" s="357"/>
      <c r="FU138" s="357"/>
      <c r="FV138" s="357"/>
      <c r="FW138" s="357"/>
      <c r="FX138" s="357"/>
      <c r="FY138" s="357"/>
      <c r="FZ138" s="357"/>
      <c r="GA138" s="357"/>
      <c r="GB138" s="357"/>
      <c r="GC138" s="357"/>
      <c r="GD138" s="357"/>
      <c r="GE138" s="357"/>
      <c r="GF138" s="357"/>
      <c r="GG138" s="357"/>
      <c r="GH138" s="357"/>
      <c r="GI138" s="357"/>
      <c r="GJ138" s="357"/>
      <c r="GK138" s="154"/>
      <c r="GL138" s="154"/>
      <c r="GM138" s="154"/>
      <c r="GN138" s="154"/>
      <c r="GO138" s="154"/>
      <c r="GP138" s="154"/>
      <c r="GQ138" s="154"/>
      <c r="GR138" s="154"/>
      <c r="GS138" s="154"/>
      <c r="GT138" s="154"/>
      <c r="GU138" s="154"/>
      <c r="GV138" s="154"/>
      <c r="GW138" s="154"/>
      <c r="GX138" s="154"/>
    </row>
    <row r="139" spans="7:206">
      <c r="G139" s="154"/>
      <c r="H139" s="154"/>
      <c r="I139" s="154"/>
      <c r="J139" s="154"/>
      <c r="K139" s="154"/>
      <c r="L139" s="154"/>
      <c r="M139" s="154"/>
      <c r="N139" s="154"/>
      <c r="O139" s="154"/>
      <c r="P139" s="154"/>
      <c r="Q139" s="154"/>
      <c r="R139" s="154"/>
      <c r="S139" s="154"/>
      <c r="T139" s="154"/>
      <c r="U139" s="154"/>
      <c r="V139" s="154"/>
      <c r="W139" s="154"/>
      <c r="X139" s="154"/>
      <c r="Y139" s="154"/>
      <c r="Z139" s="357"/>
      <c r="AA139" s="357"/>
      <c r="AB139" s="357"/>
      <c r="AC139" s="357"/>
      <c r="AD139" s="357"/>
      <c r="AE139" s="357"/>
      <c r="AF139" s="357"/>
      <c r="AG139" s="357"/>
      <c r="AH139" s="357"/>
      <c r="AI139" s="357"/>
      <c r="AJ139" s="357"/>
      <c r="AK139" s="357"/>
      <c r="AL139" s="357"/>
      <c r="AM139" s="357"/>
      <c r="AN139" s="357"/>
      <c r="AO139" s="357"/>
      <c r="AP139" s="357"/>
      <c r="AQ139" s="357"/>
      <c r="AR139" s="357"/>
      <c r="AS139" s="357"/>
      <c r="AT139" s="357"/>
      <c r="AU139" s="357"/>
      <c r="AV139" s="357"/>
      <c r="AW139" s="357"/>
      <c r="AX139" s="357"/>
      <c r="AY139" s="357"/>
      <c r="AZ139" s="357"/>
      <c r="BA139" s="357"/>
      <c r="BB139" s="357"/>
      <c r="BC139" s="357"/>
      <c r="BD139" s="357"/>
      <c r="BE139" s="357"/>
      <c r="BF139" s="357"/>
      <c r="BG139" s="357"/>
      <c r="BH139" s="357"/>
      <c r="BI139" s="357"/>
      <c r="BJ139" s="357"/>
      <c r="BK139" s="357"/>
      <c r="BL139" s="357"/>
      <c r="BM139" s="357"/>
      <c r="BN139" s="357"/>
      <c r="BO139" s="357"/>
      <c r="BP139" s="357"/>
      <c r="BQ139" s="357"/>
      <c r="BR139" s="357"/>
      <c r="BS139" s="357"/>
      <c r="BT139" s="357"/>
      <c r="BU139" s="357"/>
      <c r="BV139" s="357"/>
      <c r="BW139" s="357"/>
      <c r="BX139" s="357"/>
      <c r="BY139" s="357"/>
      <c r="BZ139" s="357"/>
      <c r="CA139" s="357"/>
      <c r="CB139" s="357"/>
      <c r="CC139" s="357"/>
      <c r="CD139" s="357"/>
      <c r="CE139" s="357"/>
      <c r="CF139" s="357"/>
      <c r="CG139" s="357"/>
      <c r="CH139" s="357"/>
      <c r="CI139" s="357"/>
      <c r="CJ139" s="357"/>
      <c r="CK139" s="357"/>
      <c r="CL139" s="357"/>
      <c r="CM139" s="357"/>
      <c r="CN139" s="357"/>
      <c r="CO139" s="357"/>
      <c r="CP139" s="357"/>
      <c r="CQ139" s="357"/>
      <c r="CR139" s="357"/>
      <c r="CS139" s="357"/>
      <c r="CT139" s="357"/>
      <c r="CU139" s="357"/>
      <c r="CV139" s="357"/>
      <c r="CW139" s="357"/>
      <c r="CX139" s="357"/>
      <c r="CY139" s="357"/>
      <c r="CZ139" s="357"/>
      <c r="DA139" s="357"/>
      <c r="DB139" s="357"/>
      <c r="DC139" s="357"/>
      <c r="DD139" s="357"/>
      <c r="DE139" s="357"/>
      <c r="DF139" s="357"/>
      <c r="DG139" s="357"/>
      <c r="DH139" s="357"/>
      <c r="DI139" s="357"/>
      <c r="DJ139" s="357"/>
      <c r="DK139" s="357"/>
      <c r="DL139" s="357"/>
      <c r="DM139" s="357"/>
      <c r="DN139" s="357"/>
      <c r="DO139" s="357"/>
      <c r="DP139" s="357"/>
      <c r="DQ139" s="357"/>
      <c r="DR139" s="357"/>
      <c r="DS139" s="357"/>
      <c r="DT139" s="357"/>
      <c r="DU139" s="357"/>
      <c r="DV139" s="357"/>
      <c r="DW139" s="357"/>
      <c r="DX139" s="357"/>
      <c r="DY139" s="357"/>
      <c r="DZ139" s="357"/>
      <c r="EA139" s="357"/>
      <c r="EB139" s="357"/>
      <c r="EC139" s="357"/>
      <c r="ED139" s="357"/>
      <c r="EE139" s="357"/>
      <c r="EF139" s="357"/>
      <c r="EG139" s="357"/>
      <c r="EH139" s="357"/>
      <c r="EI139" s="357"/>
      <c r="EJ139" s="357"/>
      <c r="EK139" s="357"/>
      <c r="EL139" s="357"/>
      <c r="EM139" s="357"/>
      <c r="EN139" s="357"/>
      <c r="EO139" s="357"/>
      <c r="EP139" s="357"/>
      <c r="EQ139" s="357"/>
      <c r="ER139" s="357"/>
      <c r="ES139" s="357"/>
      <c r="ET139" s="357"/>
      <c r="EU139" s="357"/>
      <c r="EV139" s="357"/>
      <c r="EW139" s="357"/>
      <c r="EX139" s="357"/>
      <c r="EY139" s="357"/>
      <c r="EZ139" s="357"/>
      <c r="FA139" s="357"/>
      <c r="FB139" s="357"/>
      <c r="FC139" s="357"/>
      <c r="FD139" s="357"/>
      <c r="FE139" s="357"/>
      <c r="FF139" s="357"/>
      <c r="FG139" s="357"/>
      <c r="FH139" s="357"/>
      <c r="FI139" s="357"/>
      <c r="FJ139" s="357"/>
      <c r="FK139" s="357"/>
      <c r="FL139" s="357"/>
      <c r="FM139" s="357"/>
      <c r="FN139" s="357"/>
      <c r="FO139" s="357"/>
      <c r="FP139" s="357"/>
      <c r="FQ139" s="357"/>
      <c r="FR139" s="357"/>
      <c r="FS139" s="357"/>
      <c r="FT139" s="357"/>
      <c r="FU139" s="357"/>
      <c r="FV139" s="357"/>
      <c r="FW139" s="357"/>
      <c r="FX139" s="357"/>
      <c r="FY139" s="357"/>
      <c r="FZ139" s="357"/>
      <c r="GA139" s="357"/>
      <c r="GB139" s="357"/>
      <c r="GC139" s="357"/>
      <c r="GD139" s="357"/>
      <c r="GE139" s="357"/>
      <c r="GF139" s="357"/>
      <c r="GG139" s="357"/>
      <c r="GH139" s="357"/>
      <c r="GI139" s="357"/>
      <c r="GJ139" s="357"/>
      <c r="GK139" s="154"/>
      <c r="GL139" s="154"/>
      <c r="GM139" s="154"/>
      <c r="GN139" s="154"/>
      <c r="GO139" s="154"/>
      <c r="GP139" s="154"/>
      <c r="GQ139" s="154"/>
      <c r="GR139" s="154"/>
      <c r="GS139" s="154"/>
      <c r="GT139" s="154"/>
      <c r="GU139" s="154"/>
      <c r="GV139" s="154"/>
      <c r="GW139" s="154"/>
      <c r="GX139" s="154"/>
    </row>
    <row r="140" spans="7:206">
      <c r="G140" s="154"/>
      <c r="H140" s="154"/>
      <c r="I140" s="154"/>
      <c r="J140" s="154"/>
      <c r="K140" s="154"/>
      <c r="L140" s="154"/>
      <c r="M140" s="154"/>
      <c r="N140" s="154"/>
      <c r="O140" s="154"/>
      <c r="P140" s="154"/>
      <c r="Q140" s="154"/>
      <c r="R140" s="154"/>
      <c r="S140" s="154"/>
      <c r="T140" s="154"/>
      <c r="U140" s="154"/>
      <c r="V140" s="154"/>
      <c r="W140" s="154"/>
      <c r="X140" s="154"/>
      <c r="Y140" s="154"/>
      <c r="Z140" s="357"/>
      <c r="AA140" s="357"/>
      <c r="AB140" s="357"/>
      <c r="AC140" s="357"/>
      <c r="AD140" s="357"/>
      <c r="AE140" s="357"/>
      <c r="AF140" s="357"/>
      <c r="AG140" s="357"/>
      <c r="AH140" s="357"/>
      <c r="AI140" s="357"/>
      <c r="AJ140" s="357"/>
      <c r="AK140" s="357"/>
      <c r="AL140" s="357"/>
      <c r="AM140" s="357"/>
      <c r="AN140" s="357"/>
      <c r="AO140" s="357"/>
      <c r="AP140" s="357"/>
      <c r="AQ140" s="357"/>
      <c r="AR140" s="357"/>
      <c r="AS140" s="357"/>
      <c r="AT140" s="357"/>
      <c r="AU140" s="357"/>
      <c r="AV140" s="357"/>
      <c r="AW140" s="357"/>
      <c r="AX140" s="357"/>
      <c r="AY140" s="357"/>
      <c r="AZ140" s="357"/>
      <c r="BA140" s="357"/>
      <c r="BB140" s="357"/>
      <c r="BC140" s="357"/>
      <c r="BD140" s="357"/>
      <c r="BE140" s="357"/>
      <c r="BF140" s="357"/>
      <c r="BG140" s="357"/>
      <c r="BH140" s="357"/>
      <c r="BI140" s="357"/>
      <c r="BJ140" s="357"/>
      <c r="BK140" s="357"/>
      <c r="BL140" s="357"/>
      <c r="BM140" s="357"/>
      <c r="BN140" s="357"/>
      <c r="BO140" s="357"/>
      <c r="BP140" s="357"/>
      <c r="BQ140" s="357"/>
      <c r="BR140" s="357"/>
      <c r="BS140" s="357"/>
      <c r="BT140" s="357"/>
      <c r="BU140" s="357"/>
      <c r="BV140" s="357"/>
      <c r="BW140" s="357"/>
      <c r="BX140" s="357"/>
      <c r="BY140" s="357"/>
      <c r="BZ140" s="357"/>
      <c r="CA140" s="357"/>
      <c r="CB140" s="357"/>
      <c r="CC140" s="357"/>
      <c r="CD140" s="357"/>
      <c r="CE140" s="357"/>
      <c r="CF140" s="357"/>
      <c r="CG140" s="357"/>
      <c r="CH140" s="357"/>
      <c r="CI140" s="357"/>
      <c r="CJ140" s="357"/>
      <c r="CK140" s="357"/>
      <c r="CL140" s="357"/>
      <c r="CM140" s="357"/>
      <c r="CN140" s="357"/>
      <c r="CO140" s="357"/>
      <c r="CP140" s="357"/>
      <c r="CQ140" s="357"/>
      <c r="CR140" s="357"/>
      <c r="CS140" s="357"/>
      <c r="CT140" s="357"/>
      <c r="CU140" s="357"/>
      <c r="CV140" s="357"/>
      <c r="CW140" s="357"/>
      <c r="CX140" s="357"/>
      <c r="CY140" s="357"/>
      <c r="CZ140" s="357"/>
      <c r="DA140" s="357"/>
      <c r="DB140" s="357"/>
      <c r="DC140" s="357"/>
      <c r="DD140" s="357"/>
      <c r="DE140" s="357"/>
      <c r="DF140" s="357"/>
      <c r="DG140" s="357"/>
      <c r="DH140" s="357"/>
      <c r="DI140" s="357"/>
      <c r="DJ140" s="357"/>
      <c r="DK140" s="357"/>
      <c r="DL140" s="357"/>
      <c r="DM140" s="357"/>
      <c r="DN140" s="357"/>
      <c r="DO140" s="357"/>
      <c r="DP140" s="357"/>
      <c r="DQ140" s="357"/>
      <c r="DR140" s="357"/>
      <c r="DS140" s="357"/>
      <c r="DT140" s="357"/>
      <c r="DU140" s="357"/>
      <c r="DV140" s="357"/>
      <c r="DW140" s="357"/>
      <c r="DX140" s="357"/>
      <c r="DY140" s="357"/>
      <c r="DZ140" s="357"/>
      <c r="EA140" s="357"/>
      <c r="EB140" s="357"/>
      <c r="EC140" s="357"/>
      <c r="ED140" s="357"/>
      <c r="EE140" s="357"/>
      <c r="EF140" s="357"/>
      <c r="EG140" s="357"/>
      <c r="EH140" s="357"/>
      <c r="EI140" s="357"/>
      <c r="EJ140" s="357"/>
      <c r="EK140" s="357"/>
      <c r="EL140" s="357"/>
      <c r="EM140" s="357"/>
      <c r="EN140" s="357"/>
      <c r="EO140" s="357"/>
      <c r="EP140" s="357"/>
      <c r="EQ140" s="357"/>
      <c r="ER140" s="357"/>
      <c r="ES140" s="357"/>
      <c r="ET140" s="357"/>
      <c r="EU140" s="357"/>
      <c r="EV140" s="357"/>
      <c r="EW140" s="357"/>
      <c r="EX140" s="357"/>
      <c r="EY140" s="357"/>
      <c r="EZ140" s="357"/>
      <c r="FA140" s="357"/>
      <c r="FB140" s="357"/>
      <c r="FC140" s="357"/>
      <c r="FD140" s="357"/>
      <c r="FE140" s="357"/>
      <c r="FF140" s="357"/>
      <c r="FG140" s="357"/>
      <c r="FH140" s="357"/>
      <c r="FI140" s="357"/>
      <c r="FJ140" s="357"/>
      <c r="FK140" s="357"/>
      <c r="FL140" s="357"/>
      <c r="FM140" s="357"/>
      <c r="FN140" s="357"/>
      <c r="FO140" s="357"/>
      <c r="FP140" s="357"/>
      <c r="FQ140" s="357"/>
      <c r="FR140" s="357"/>
      <c r="FS140" s="357"/>
      <c r="FT140" s="357"/>
      <c r="FU140" s="357"/>
      <c r="FV140" s="357"/>
      <c r="FW140" s="357"/>
      <c r="FX140" s="357"/>
      <c r="FY140" s="357"/>
      <c r="FZ140" s="357"/>
      <c r="GA140" s="357"/>
      <c r="GB140" s="357"/>
      <c r="GC140" s="357"/>
      <c r="GD140" s="357"/>
      <c r="GE140" s="357"/>
      <c r="GF140" s="357"/>
      <c r="GG140" s="357"/>
      <c r="GH140" s="357"/>
      <c r="GI140" s="357"/>
      <c r="GJ140" s="357"/>
      <c r="GK140" s="154"/>
      <c r="GL140" s="154"/>
      <c r="GM140" s="154"/>
      <c r="GN140" s="154"/>
      <c r="GO140" s="154"/>
      <c r="GP140" s="154"/>
      <c r="GQ140" s="154"/>
      <c r="GR140" s="154"/>
      <c r="GS140" s="154"/>
      <c r="GT140" s="154"/>
      <c r="GU140" s="154"/>
      <c r="GV140" s="154"/>
      <c r="GW140" s="154"/>
      <c r="GX140" s="154"/>
    </row>
    <row r="141" spans="7:206">
      <c r="G141" s="154"/>
      <c r="H141" s="154"/>
      <c r="I141" s="154"/>
      <c r="J141" s="154"/>
      <c r="K141" s="154"/>
      <c r="L141" s="154"/>
      <c r="M141" s="154"/>
      <c r="N141" s="154"/>
      <c r="O141" s="154"/>
      <c r="P141" s="154"/>
      <c r="Q141" s="154"/>
      <c r="R141" s="154"/>
      <c r="S141" s="154"/>
      <c r="T141" s="154"/>
      <c r="U141" s="154"/>
      <c r="V141" s="154"/>
      <c r="W141" s="154"/>
      <c r="X141" s="154"/>
      <c r="Y141" s="154"/>
      <c r="Z141" s="357"/>
      <c r="AA141" s="357"/>
      <c r="AB141" s="357"/>
      <c r="AC141" s="357"/>
      <c r="AD141" s="357"/>
      <c r="AE141" s="357"/>
      <c r="AF141" s="357"/>
      <c r="AG141" s="357"/>
      <c r="AH141" s="357"/>
      <c r="AI141" s="357"/>
      <c r="AJ141" s="357"/>
      <c r="AK141" s="357"/>
      <c r="AL141" s="357"/>
      <c r="AM141" s="357"/>
      <c r="AN141" s="357"/>
      <c r="AO141" s="357"/>
      <c r="AP141" s="357"/>
      <c r="AQ141" s="357"/>
      <c r="AR141" s="357"/>
      <c r="AS141" s="357"/>
      <c r="AT141" s="357"/>
      <c r="AU141" s="357"/>
      <c r="AV141" s="357"/>
      <c r="AW141" s="357"/>
      <c r="AX141" s="357"/>
      <c r="AY141" s="357"/>
      <c r="AZ141" s="357"/>
      <c r="BA141" s="357"/>
      <c r="BB141" s="357"/>
      <c r="BC141" s="357"/>
      <c r="BD141" s="357"/>
      <c r="BE141" s="357"/>
      <c r="BF141" s="357"/>
      <c r="BG141" s="357"/>
      <c r="BH141" s="357"/>
      <c r="BI141" s="357"/>
      <c r="BJ141" s="357"/>
      <c r="BK141" s="357"/>
      <c r="BL141" s="357"/>
      <c r="BM141" s="357"/>
      <c r="BN141" s="357"/>
      <c r="BO141" s="357"/>
      <c r="BP141" s="357"/>
      <c r="BQ141" s="357"/>
      <c r="BR141" s="357"/>
      <c r="BS141" s="357"/>
      <c r="BT141" s="357"/>
      <c r="BU141" s="357"/>
      <c r="BV141" s="357"/>
      <c r="BW141" s="357"/>
      <c r="BX141" s="357"/>
      <c r="BY141" s="357"/>
      <c r="BZ141" s="357"/>
      <c r="CA141" s="357"/>
      <c r="CB141" s="357"/>
      <c r="CC141" s="357"/>
      <c r="CD141" s="357"/>
      <c r="CE141" s="357"/>
      <c r="CF141" s="357"/>
      <c r="CG141" s="357"/>
      <c r="CH141" s="357"/>
      <c r="CI141" s="357"/>
      <c r="CJ141" s="357"/>
      <c r="CK141" s="357"/>
      <c r="CL141" s="357"/>
      <c r="CM141" s="357"/>
      <c r="CN141" s="357"/>
      <c r="CO141" s="357"/>
      <c r="CP141" s="357"/>
      <c r="CQ141" s="357"/>
      <c r="CR141" s="357"/>
      <c r="CS141" s="357"/>
      <c r="CT141" s="357"/>
      <c r="CU141" s="357"/>
      <c r="CV141" s="357"/>
      <c r="CW141" s="357"/>
      <c r="CX141" s="357"/>
      <c r="CY141" s="357"/>
      <c r="CZ141" s="357"/>
      <c r="DA141" s="357"/>
      <c r="DB141" s="357"/>
      <c r="DC141" s="357"/>
      <c r="DD141" s="357"/>
      <c r="DE141" s="357"/>
      <c r="DF141" s="357"/>
      <c r="DG141" s="357"/>
      <c r="DH141" s="357"/>
      <c r="DI141" s="357"/>
      <c r="DJ141" s="357"/>
      <c r="DK141" s="357"/>
      <c r="DL141" s="357"/>
      <c r="DM141" s="357"/>
      <c r="DN141" s="357"/>
      <c r="DO141" s="357"/>
      <c r="DP141" s="357"/>
      <c r="DQ141" s="357"/>
      <c r="DR141" s="357"/>
      <c r="DS141" s="357"/>
      <c r="DT141" s="357"/>
      <c r="DU141" s="357"/>
      <c r="DV141" s="357"/>
      <c r="DW141" s="357"/>
      <c r="DX141" s="357"/>
      <c r="DY141" s="357"/>
      <c r="DZ141" s="357"/>
      <c r="EA141" s="357"/>
      <c r="EB141" s="357"/>
      <c r="EC141" s="357"/>
      <c r="ED141" s="357"/>
      <c r="EE141" s="357"/>
      <c r="EF141" s="357"/>
      <c r="EG141" s="357"/>
      <c r="EH141" s="357"/>
      <c r="EI141" s="357"/>
      <c r="EJ141" s="357"/>
      <c r="EK141" s="357"/>
      <c r="EL141" s="357"/>
      <c r="EM141" s="357"/>
      <c r="EN141" s="357"/>
      <c r="EO141" s="357"/>
      <c r="EP141" s="357"/>
      <c r="EQ141" s="357"/>
      <c r="ER141" s="357"/>
      <c r="ES141" s="357"/>
      <c r="ET141" s="357"/>
      <c r="EU141" s="357"/>
      <c r="EV141" s="357"/>
      <c r="EW141" s="357"/>
      <c r="EX141" s="357"/>
      <c r="EY141" s="357"/>
      <c r="EZ141" s="357"/>
      <c r="FA141" s="357"/>
      <c r="FB141" s="357"/>
      <c r="FC141" s="357"/>
      <c r="FD141" s="357"/>
      <c r="FE141" s="357"/>
      <c r="FF141" s="357"/>
      <c r="FG141" s="357"/>
      <c r="FH141" s="357"/>
      <c r="FI141" s="357"/>
      <c r="FJ141" s="357"/>
      <c r="FK141" s="357"/>
      <c r="FL141" s="357"/>
      <c r="FM141" s="357"/>
      <c r="FN141" s="357"/>
      <c r="FO141" s="357"/>
      <c r="FP141" s="357"/>
      <c r="FQ141" s="357"/>
      <c r="FR141" s="357"/>
      <c r="FS141" s="357"/>
      <c r="FT141" s="357"/>
      <c r="FU141" s="357"/>
      <c r="FV141" s="357"/>
      <c r="FW141" s="357"/>
      <c r="FX141" s="357"/>
      <c r="FY141" s="357"/>
      <c r="FZ141" s="357"/>
      <c r="GA141" s="357"/>
      <c r="GB141" s="357"/>
      <c r="GC141" s="357"/>
      <c r="GD141" s="357"/>
      <c r="GE141" s="357"/>
      <c r="GF141" s="357"/>
      <c r="GG141" s="357"/>
      <c r="GH141" s="357"/>
      <c r="GI141" s="357"/>
      <c r="GJ141" s="357"/>
      <c r="GK141" s="154"/>
      <c r="GL141" s="154"/>
      <c r="GM141" s="154"/>
      <c r="GN141" s="154"/>
      <c r="GO141" s="154"/>
      <c r="GP141" s="154"/>
      <c r="GQ141" s="154"/>
      <c r="GR141" s="154"/>
      <c r="GS141" s="154"/>
      <c r="GT141" s="154"/>
      <c r="GU141" s="154"/>
      <c r="GV141" s="154"/>
      <c r="GW141" s="154"/>
      <c r="GX141" s="154"/>
    </row>
    <row r="142" spans="7:206">
      <c r="G142" s="154"/>
      <c r="H142" s="154"/>
      <c r="I142" s="154"/>
      <c r="J142" s="154"/>
      <c r="K142" s="154"/>
      <c r="L142" s="154"/>
      <c r="M142" s="154"/>
      <c r="N142" s="154"/>
      <c r="O142" s="154"/>
      <c r="P142" s="154"/>
      <c r="Q142" s="154"/>
      <c r="R142" s="154"/>
      <c r="S142" s="154"/>
      <c r="T142" s="154"/>
      <c r="U142" s="154"/>
      <c r="V142" s="154"/>
      <c r="W142" s="154"/>
      <c r="X142" s="154"/>
      <c r="Y142" s="154"/>
      <c r="Z142" s="357"/>
      <c r="AA142" s="357"/>
      <c r="AB142" s="357"/>
      <c r="AC142" s="357"/>
      <c r="AD142" s="357"/>
      <c r="AE142" s="357"/>
      <c r="AF142" s="357"/>
      <c r="AG142" s="357"/>
      <c r="AH142" s="357"/>
      <c r="AI142" s="357"/>
      <c r="AJ142" s="357"/>
      <c r="AK142" s="357"/>
      <c r="AL142" s="357"/>
      <c r="AM142" s="357"/>
      <c r="AN142" s="357"/>
      <c r="AO142" s="357"/>
      <c r="AP142" s="357"/>
      <c r="AQ142" s="357"/>
      <c r="AR142" s="357"/>
      <c r="AS142" s="357"/>
      <c r="AT142" s="357"/>
      <c r="AU142" s="357"/>
      <c r="AV142" s="357"/>
      <c r="AW142" s="357"/>
      <c r="AX142" s="357"/>
      <c r="AY142" s="357"/>
      <c r="AZ142" s="357"/>
      <c r="BA142" s="357"/>
      <c r="BB142" s="357"/>
      <c r="BC142" s="357"/>
      <c r="BD142" s="357"/>
      <c r="BE142" s="357"/>
      <c r="BF142" s="357"/>
      <c r="BG142" s="357"/>
      <c r="BH142" s="357"/>
      <c r="BI142" s="357"/>
      <c r="BJ142" s="357"/>
      <c r="BK142" s="357"/>
      <c r="BL142" s="357"/>
      <c r="BM142" s="357"/>
      <c r="BN142" s="357"/>
      <c r="BO142" s="357"/>
      <c r="BP142" s="357"/>
      <c r="BQ142" s="357"/>
      <c r="BR142" s="357"/>
      <c r="BS142" s="357"/>
      <c r="BT142" s="357"/>
      <c r="BU142" s="357"/>
      <c r="BV142" s="357"/>
      <c r="BW142" s="357"/>
      <c r="BX142" s="357"/>
      <c r="BY142" s="357"/>
      <c r="BZ142" s="357"/>
      <c r="CA142" s="357"/>
      <c r="CB142" s="357"/>
      <c r="CC142" s="357"/>
      <c r="CD142" s="357"/>
      <c r="CE142" s="357"/>
      <c r="CF142" s="357"/>
      <c r="CG142" s="357"/>
      <c r="CH142" s="357"/>
      <c r="CI142" s="357"/>
      <c r="CJ142" s="357"/>
      <c r="CK142" s="357"/>
      <c r="CL142" s="357"/>
      <c r="CM142" s="357"/>
      <c r="CN142" s="357"/>
      <c r="CO142" s="357"/>
      <c r="CP142" s="357"/>
      <c r="CQ142" s="357"/>
      <c r="CR142" s="357"/>
      <c r="CS142" s="357"/>
      <c r="CT142" s="357"/>
      <c r="CU142" s="357"/>
      <c r="CV142" s="357"/>
      <c r="CW142" s="357"/>
      <c r="CX142" s="357"/>
      <c r="CY142" s="357"/>
      <c r="CZ142" s="357"/>
      <c r="DA142" s="357"/>
      <c r="DB142" s="357"/>
      <c r="DC142" s="357"/>
      <c r="DD142" s="357"/>
      <c r="DE142" s="357"/>
      <c r="DF142" s="357"/>
      <c r="DG142" s="357"/>
      <c r="DH142" s="357"/>
      <c r="DI142" s="357"/>
      <c r="DJ142" s="357"/>
      <c r="DK142" s="357"/>
      <c r="DL142" s="357"/>
      <c r="DM142" s="357"/>
      <c r="DN142" s="357"/>
      <c r="DO142" s="357"/>
      <c r="DP142" s="357"/>
      <c r="DQ142" s="357"/>
      <c r="DR142" s="357"/>
      <c r="DS142" s="357"/>
      <c r="DT142" s="357"/>
      <c r="DU142" s="357"/>
      <c r="DV142" s="357"/>
      <c r="DW142" s="357"/>
      <c r="DX142" s="357"/>
      <c r="DY142" s="357"/>
      <c r="DZ142" s="357"/>
      <c r="EA142" s="357"/>
      <c r="EB142" s="357"/>
      <c r="EC142" s="357"/>
      <c r="ED142" s="357"/>
      <c r="EE142" s="357"/>
      <c r="EF142" s="357"/>
      <c r="EG142" s="357"/>
      <c r="EH142" s="357"/>
      <c r="EI142" s="357"/>
      <c r="EJ142" s="357"/>
      <c r="EK142" s="357"/>
      <c r="EL142" s="357"/>
      <c r="EM142" s="357"/>
      <c r="EN142" s="357"/>
      <c r="EO142" s="357"/>
      <c r="EP142" s="357"/>
      <c r="EQ142" s="357"/>
      <c r="ER142" s="357"/>
      <c r="ES142" s="357"/>
      <c r="ET142" s="357"/>
      <c r="EU142" s="357"/>
      <c r="EV142" s="357"/>
      <c r="EW142" s="357"/>
      <c r="EX142" s="357"/>
      <c r="EY142" s="357"/>
      <c r="EZ142" s="357"/>
      <c r="FA142" s="357"/>
      <c r="FB142" s="357"/>
      <c r="FC142" s="357"/>
      <c r="FD142" s="357"/>
      <c r="FE142" s="357"/>
      <c r="FF142" s="357"/>
      <c r="FG142" s="357"/>
      <c r="FH142" s="357"/>
      <c r="FI142" s="357"/>
      <c r="FJ142" s="357"/>
      <c r="FK142" s="357"/>
      <c r="FL142" s="357"/>
      <c r="FM142" s="357"/>
      <c r="FN142" s="357"/>
      <c r="FO142" s="357"/>
      <c r="FP142" s="357"/>
      <c r="FQ142" s="357"/>
      <c r="FR142" s="357"/>
      <c r="FS142" s="357"/>
      <c r="FT142" s="357"/>
      <c r="FU142" s="357"/>
      <c r="FV142" s="357"/>
      <c r="FW142" s="357"/>
      <c r="FX142" s="357"/>
      <c r="FY142" s="357"/>
      <c r="FZ142" s="357"/>
      <c r="GA142" s="357"/>
      <c r="GB142" s="357"/>
      <c r="GC142" s="357"/>
      <c r="GD142" s="357"/>
      <c r="GE142" s="357"/>
      <c r="GF142" s="357"/>
      <c r="GG142" s="357"/>
      <c r="GH142" s="357"/>
      <c r="GI142" s="357"/>
      <c r="GJ142" s="357"/>
      <c r="GK142" s="154"/>
      <c r="GL142" s="154"/>
      <c r="GM142" s="154"/>
      <c r="GN142" s="154"/>
      <c r="GO142" s="154"/>
      <c r="GP142" s="154"/>
      <c r="GQ142" s="154"/>
      <c r="GR142" s="154"/>
      <c r="GS142" s="154"/>
      <c r="GT142" s="154"/>
      <c r="GU142" s="154"/>
      <c r="GV142" s="154"/>
      <c r="GW142" s="154"/>
      <c r="GX142" s="154"/>
    </row>
    <row r="143" spans="7:206">
      <c r="G143" s="154"/>
      <c r="H143" s="154"/>
      <c r="I143" s="154"/>
      <c r="J143" s="154"/>
      <c r="K143" s="154"/>
      <c r="L143" s="154"/>
      <c r="M143" s="154"/>
      <c r="N143" s="154"/>
      <c r="O143" s="154"/>
      <c r="P143" s="154"/>
      <c r="Q143" s="154"/>
      <c r="R143" s="154"/>
      <c r="S143" s="154"/>
      <c r="T143" s="154"/>
      <c r="U143" s="154"/>
      <c r="V143" s="154"/>
      <c r="W143" s="154"/>
      <c r="X143" s="154"/>
      <c r="Y143" s="154"/>
      <c r="Z143" s="357"/>
      <c r="AA143" s="357"/>
      <c r="AB143" s="357"/>
      <c r="AC143" s="357"/>
      <c r="AD143" s="357"/>
      <c r="AE143" s="357"/>
      <c r="AF143" s="357"/>
      <c r="AG143" s="357"/>
      <c r="AH143" s="357"/>
      <c r="AI143" s="357"/>
      <c r="AJ143" s="357"/>
      <c r="AK143" s="357"/>
      <c r="AL143" s="357"/>
      <c r="AM143" s="357"/>
      <c r="AN143" s="357"/>
      <c r="AO143" s="357"/>
      <c r="AP143" s="357"/>
      <c r="AQ143" s="357"/>
      <c r="AR143" s="357"/>
      <c r="AS143" s="357"/>
      <c r="AT143" s="357"/>
      <c r="AU143" s="357"/>
      <c r="AV143" s="357"/>
      <c r="AW143" s="357"/>
      <c r="AX143" s="357"/>
      <c r="AY143" s="357"/>
      <c r="AZ143" s="357"/>
      <c r="BA143" s="357"/>
      <c r="BB143" s="357"/>
      <c r="BC143" s="357"/>
      <c r="BD143" s="357"/>
      <c r="BE143" s="357"/>
      <c r="BF143" s="357"/>
      <c r="BG143" s="357"/>
      <c r="BH143" s="357"/>
      <c r="BI143" s="357"/>
      <c r="BJ143" s="357"/>
      <c r="BK143" s="357"/>
      <c r="BL143" s="357"/>
      <c r="BM143" s="357"/>
      <c r="BN143" s="357"/>
      <c r="BO143" s="357"/>
      <c r="BP143" s="357"/>
      <c r="BQ143" s="357"/>
      <c r="BR143" s="357"/>
      <c r="BS143" s="357"/>
      <c r="BT143" s="357"/>
      <c r="BU143" s="357"/>
      <c r="BV143" s="357"/>
      <c r="BW143" s="357"/>
      <c r="BX143" s="357"/>
      <c r="BY143" s="357"/>
      <c r="BZ143" s="357"/>
      <c r="CA143" s="357"/>
      <c r="CB143" s="357"/>
      <c r="CC143" s="357"/>
      <c r="CD143" s="357"/>
      <c r="CE143" s="357"/>
      <c r="CF143" s="357"/>
      <c r="CG143" s="357"/>
      <c r="CH143" s="357"/>
      <c r="CI143" s="357"/>
      <c r="CJ143" s="357"/>
      <c r="CK143" s="357"/>
      <c r="CL143" s="357"/>
      <c r="CM143" s="357"/>
      <c r="CN143" s="357"/>
      <c r="CO143" s="357"/>
      <c r="CP143" s="357"/>
      <c r="CQ143" s="357"/>
      <c r="CR143" s="357"/>
      <c r="CS143" s="357"/>
      <c r="CT143" s="357"/>
      <c r="CU143" s="357"/>
      <c r="CV143" s="357"/>
      <c r="CW143" s="357"/>
      <c r="CX143" s="357"/>
      <c r="CY143" s="357"/>
      <c r="CZ143" s="357"/>
      <c r="DA143" s="357"/>
      <c r="DB143" s="357"/>
      <c r="DC143" s="357"/>
      <c r="DD143" s="357"/>
      <c r="DE143" s="357"/>
      <c r="DF143" s="357"/>
      <c r="DG143" s="357"/>
      <c r="DH143" s="357"/>
      <c r="DI143" s="357"/>
      <c r="DJ143" s="357"/>
      <c r="DK143" s="357"/>
      <c r="DL143" s="357"/>
      <c r="DM143" s="357"/>
      <c r="DN143" s="357"/>
      <c r="DO143" s="357"/>
      <c r="DP143" s="357"/>
      <c r="DQ143" s="357"/>
      <c r="DR143" s="357"/>
      <c r="DS143" s="357"/>
      <c r="DT143" s="357"/>
      <c r="DU143" s="357"/>
      <c r="DV143" s="357"/>
      <c r="DW143" s="357"/>
      <c r="DX143" s="357"/>
      <c r="DY143" s="357"/>
      <c r="DZ143" s="357"/>
      <c r="EA143" s="357"/>
      <c r="EB143" s="357"/>
      <c r="EC143" s="357"/>
      <c r="ED143" s="357"/>
      <c r="EE143" s="357"/>
      <c r="EF143" s="357"/>
      <c r="EG143" s="357"/>
      <c r="EH143" s="357"/>
      <c r="EI143" s="357"/>
      <c r="EJ143" s="357"/>
      <c r="EK143" s="357"/>
      <c r="EL143" s="357"/>
      <c r="EM143" s="357"/>
      <c r="EN143" s="357"/>
      <c r="EO143" s="357"/>
      <c r="EP143" s="357"/>
      <c r="EQ143" s="357"/>
      <c r="ER143" s="357"/>
      <c r="ES143" s="357"/>
      <c r="ET143" s="357"/>
      <c r="EU143" s="357"/>
      <c r="EV143" s="357"/>
      <c r="EW143" s="357"/>
      <c r="EX143" s="357"/>
      <c r="EY143" s="357"/>
      <c r="EZ143" s="357"/>
      <c r="FA143" s="357"/>
      <c r="FB143" s="357"/>
      <c r="FC143" s="357"/>
      <c r="FD143" s="357"/>
      <c r="FE143" s="357"/>
      <c r="FF143" s="357"/>
      <c r="FG143" s="357"/>
      <c r="FH143" s="357"/>
      <c r="FI143" s="357"/>
      <c r="FJ143" s="357"/>
      <c r="FK143" s="357"/>
      <c r="FL143" s="357"/>
      <c r="FM143" s="357"/>
      <c r="FN143" s="357"/>
      <c r="FO143" s="357"/>
      <c r="FP143" s="357"/>
      <c r="FQ143" s="357"/>
      <c r="FR143" s="357"/>
      <c r="FS143" s="357"/>
      <c r="FT143" s="357"/>
      <c r="FU143" s="357"/>
      <c r="FV143" s="357"/>
      <c r="FW143" s="357"/>
      <c r="FX143" s="357"/>
      <c r="FY143" s="357"/>
      <c r="FZ143" s="357"/>
      <c r="GA143" s="357"/>
      <c r="GB143" s="357"/>
      <c r="GC143" s="357"/>
      <c r="GD143" s="357"/>
      <c r="GE143" s="357"/>
      <c r="GF143" s="357"/>
      <c r="GG143" s="357"/>
      <c r="GH143" s="357"/>
      <c r="GI143" s="357"/>
      <c r="GJ143" s="357"/>
      <c r="GK143" s="154"/>
      <c r="GL143" s="154"/>
      <c r="GM143" s="154"/>
      <c r="GN143" s="154"/>
      <c r="GO143" s="154"/>
      <c r="GP143" s="154"/>
      <c r="GQ143" s="154"/>
      <c r="GR143" s="154"/>
      <c r="GS143" s="154"/>
      <c r="GT143" s="154"/>
      <c r="GU143" s="154"/>
      <c r="GV143" s="154"/>
      <c r="GW143" s="154"/>
      <c r="GX143" s="154"/>
    </row>
    <row r="144" spans="7:206">
      <c r="G144" s="154"/>
      <c r="H144" s="154"/>
      <c r="I144" s="154"/>
      <c r="J144" s="154"/>
      <c r="K144" s="154"/>
      <c r="L144" s="154"/>
      <c r="M144" s="154"/>
      <c r="N144" s="154"/>
      <c r="O144" s="154"/>
      <c r="P144" s="154"/>
      <c r="Q144" s="154"/>
      <c r="R144" s="154"/>
      <c r="S144" s="154"/>
      <c r="T144" s="154"/>
      <c r="U144" s="154"/>
      <c r="V144" s="154"/>
      <c r="W144" s="154"/>
      <c r="X144" s="154"/>
      <c r="Y144" s="154"/>
      <c r="Z144" s="357"/>
      <c r="AA144" s="357"/>
      <c r="AB144" s="357"/>
      <c r="AC144" s="357"/>
      <c r="AD144" s="357"/>
      <c r="AE144" s="357"/>
      <c r="AF144" s="357"/>
      <c r="AG144" s="357"/>
      <c r="AH144" s="357"/>
      <c r="AI144" s="357"/>
      <c r="AJ144" s="357"/>
      <c r="AK144" s="357"/>
      <c r="AL144" s="357"/>
      <c r="AM144" s="357"/>
      <c r="AN144" s="357"/>
      <c r="AO144" s="357"/>
      <c r="AP144" s="357"/>
      <c r="AQ144" s="357"/>
      <c r="AR144" s="357"/>
      <c r="AS144" s="357"/>
      <c r="AT144" s="357"/>
      <c r="AU144" s="357"/>
      <c r="AV144" s="357"/>
      <c r="AW144" s="357"/>
      <c r="AX144" s="357"/>
      <c r="AY144" s="357"/>
      <c r="AZ144" s="357"/>
      <c r="BA144" s="357"/>
      <c r="BB144" s="357"/>
      <c r="BC144" s="357"/>
      <c r="BD144" s="357"/>
      <c r="BE144" s="357"/>
      <c r="BF144" s="357"/>
      <c r="BG144" s="357"/>
      <c r="BH144" s="357"/>
      <c r="BI144" s="357"/>
      <c r="BJ144" s="357"/>
      <c r="BK144" s="357"/>
      <c r="BL144" s="357"/>
      <c r="BM144" s="357"/>
      <c r="BN144" s="357"/>
      <c r="BO144" s="357"/>
      <c r="BP144" s="357"/>
      <c r="BQ144" s="357"/>
      <c r="BR144" s="357"/>
      <c r="BS144" s="357"/>
      <c r="BT144" s="357"/>
      <c r="BU144" s="357"/>
      <c r="BV144" s="357"/>
      <c r="BW144" s="357"/>
      <c r="BX144" s="357"/>
      <c r="BY144" s="357"/>
      <c r="BZ144" s="357"/>
      <c r="CA144" s="357"/>
      <c r="CB144" s="357"/>
      <c r="CC144" s="357"/>
      <c r="CD144" s="357"/>
      <c r="CE144" s="357"/>
      <c r="CF144" s="357"/>
      <c r="CG144" s="357"/>
      <c r="CH144" s="357"/>
      <c r="CI144" s="357"/>
      <c r="CJ144" s="357"/>
      <c r="CK144" s="357"/>
      <c r="CL144" s="357"/>
      <c r="CM144" s="357"/>
      <c r="CN144" s="357"/>
      <c r="CO144" s="357"/>
      <c r="CP144" s="357"/>
      <c r="CQ144" s="357"/>
      <c r="CR144" s="357"/>
      <c r="CS144" s="357"/>
      <c r="CT144" s="357"/>
      <c r="CU144" s="357"/>
      <c r="CV144" s="357"/>
      <c r="CW144" s="357"/>
      <c r="CX144" s="357"/>
      <c r="CY144" s="357"/>
      <c r="CZ144" s="357"/>
      <c r="DA144" s="357"/>
      <c r="DB144" s="357"/>
      <c r="DC144" s="357"/>
      <c r="DD144" s="357"/>
      <c r="DE144" s="357"/>
      <c r="DF144" s="357"/>
      <c r="DG144" s="357"/>
      <c r="DH144" s="357"/>
      <c r="DI144" s="357"/>
      <c r="DJ144" s="357"/>
      <c r="DK144" s="357"/>
      <c r="DL144" s="357"/>
      <c r="DM144" s="357"/>
      <c r="DN144" s="357"/>
      <c r="DO144" s="357"/>
      <c r="DP144" s="357"/>
      <c r="DQ144" s="357"/>
      <c r="DR144" s="357"/>
      <c r="DS144" s="357"/>
      <c r="DT144" s="357"/>
      <c r="DU144" s="357"/>
      <c r="DV144" s="357"/>
      <c r="DW144" s="357"/>
      <c r="DX144" s="357"/>
      <c r="DY144" s="357"/>
      <c r="DZ144" s="357"/>
      <c r="EA144" s="357"/>
      <c r="EB144" s="357"/>
      <c r="EC144" s="357"/>
      <c r="ED144" s="357"/>
      <c r="EE144" s="357"/>
      <c r="EF144" s="357"/>
      <c r="EG144" s="357"/>
      <c r="EH144" s="357"/>
      <c r="EI144" s="357"/>
      <c r="EJ144" s="357"/>
      <c r="EK144" s="357"/>
      <c r="EL144" s="357"/>
      <c r="EM144" s="357"/>
      <c r="EN144" s="357"/>
      <c r="EO144" s="357"/>
      <c r="EP144" s="357"/>
      <c r="EQ144" s="357"/>
      <c r="ER144" s="357"/>
      <c r="ES144" s="357"/>
      <c r="ET144" s="357"/>
      <c r="EU144" s="357"/>
      <c r="EV144" s="357"/>
      <c r="EW144" s="357"/>
      <c r="EX144" s="357"/>
      <c r="EY144" s="357"/>
      <c r="EZ144" s="357"/>
      <c r="FA144" s="357"/>
      <c r="FB144" s="357"/>
      <c r="FC144" s="357"/>
      <c r="FD144" s="357"/>
      <c r="FE144" s="357"/>
      <c r="FF144" s="357"/>
      <c r="FG144" s="357"/>
      <c r="FH144" s="357"/>
      <c r="FI144" s="357"/>
      <c r="FJ144" s="357"/>
      <c r="FK144" s="357"/>
      <c r="FL144" s="357"/>
      <c r="FM144" s="357"/>
      <c r="FN144" s="357"/>
      <c r="FO144" s="357"/>
      <c r="FP144" s="357"/>
      <c r="FQ144" s="357"/>
      <c r="FR144" s="357"/>
      <c r="FS144" s="357"/>
      <c r="FT144" s="357"/>
      <c r="FU144" s="357"/>
      <c r="FV144" s="357"/>
      <c r="FW144" s="357"/>
      <c r="FX144" s="357"/>
      <c r="FY144" s="357"/>
      <c r="FZ144" s="357"/>
      <c r="GA144" s="357"/>
      <c r="GB144" s="357"/>
      <c r="GC144" s="357"/>
      <c r="GD144" s="357"/>
      <c r="GE144" s="357"/>
      <c r="GF144" s="357"/>
      <c r="GG144" s="357"/>
      <c r="GH144" s="357"/>
      <c r="GI144" s="357"/>
      <c r="GJ144" s="357"/>
      <c r="GK144" s="154"/>
      <c r="GL144" s="154"/>
      <c r="GM144" s="154"/>
      <c r="GN144" s="154"/>
      <c r="GO144" s="154"/>
      <c r="GP144" s="154"/>
      <c r="GQ144" s="154"/>
      <c r="GR144" s="154"/>
      <c r="GS144" s="154"/>
      <c r="GT144" s="154"/>
      <c r="GU144" s="154"/>
      <c r="GV144" s="154"/>
      <c r="GW144" s="154"/>
      <c r="GX144" s="154"/>
    </row>
    <row r="145" spans="7:206">
      <c r="G145" s="154"/>
      <c r="H145" s="154"/>
      <c r="I145" s="154"/>
      <c r="J145" s="154"/>
      <c r="K145" s="154"/>
      <c r="L145" s="154"/>
      <c r="M145" s="154"/>
      <c r="N145" s="154"/>
      <c r="O145" s="154"/>
      <c r="P145" s="154"/>
      <c r="Q145" s="154"/>
      <c r="R145" s="154"/>
      <c r="S145" s="154"/>
      <c r="T145" s="154"/>
      <c r="U145" s="154"/>
      <c r="V145" s="154"/>
      <c r="W145" s="154"/>
      <c r="X145" s="154"/>
      <c r="Y145" s="154"/>
      <c r="Z145" s="357"/>
      <c r="AA145" s="357"/>
      <c r="AB145" s="357"/>
      <c r="AC145" s="357"/>
      <c r="AD145" s="357"/>
      <c r="AE145" s="357"/>
      <c r="AF145" s="357"/>
      <c r="AG145" s="357"/>
      <c r="AH145" s="357"/>
      <c r="AI145" s="357"/>
      <c r="AJ145" s="357"/>
      <c r="AK145" s="357"/>
      <c r="AL145" s="357"/>
      <c r="AM145" s="357"/>
      <c r="AN145" s="357"/>
      <c r="AO145" s="357"/>
      <c r="AP145" s="357"/>
      <c r="AQ145" s="357"/>
      <c r="AR145" s="357"/>
      <c r="AS145" s="357"/>
      <c r="AT145" s="357"/>
      <c r="AU145" s="357"/>
      <c r="AV145" s="357"/>
      <c r="AW145" s="357"/>
      <c r="AX145" s="357"/>
      <c r="AY145" s="357"/>
      <c r="AZ145" s="357"/>
      <c r="BA145" s="357"/>
      <c r="BB145" s="357"/>
      <c r="BC145" s="357"/>
      <c r="BD145" s="357"/>
      <c r="BE145" s="357"/>
      <c r="BF145" s="357"/>
      <c r="BG145" s="357"/>
      <c r="BH145" s="357"/>
      <c r="BI145" s="357"/>
      <c r="BJ145" s="357"/>
      <c r="BK145" s="357"/>
      <c r="BL145" s="357"/>
      <c r="BM145" s="357"/>
      <c r="BN145" s="357"/>
      <c r="BO145" s="357"/>
      <c r="BP145" s="357"/>
      <c r="BQ145" s="357"/>
      <c r="BR145" s="357"/>
      <c r="BS145" s="357"/>
      <c r="BT145" s="357"/>
      <c r="BU145" s="357"/>
      <c r="BV145" s="357"/>
      <c r="BW145" s="357"/>
      <c r="BX145" s="357"/>
      <c r="BY145" s="357"/>
      <c r="BZ145" s="357"/>
      <c r="CA145" s="357"/>
      <c r="CB145" s="357"/>
      <c r="CC145" s="357"/>
      <c r="CD145" s="357"/>
      <c r="CE145" s="357"/>
      <c r="CF145" s="357"/>
      <c r="CG145" s="357"/>
      <c r="CH145" s="357"/>
      <c r="CI145" s="357"/>
      <c r="CJ145" s="357"/>
      <c r="CK145" s="357"/>
      <c r="CL145" s="357"/>
      <c r="CM145" s="357"/>
      <c r="CN145" s="357"/>
      <c r="CO145" s="357"/>
      <c r="CP145" s="357"/>
      <c r="CQ145" s="357"/>
      <c r="CR145" s="357"/>
      <c r="CS145" s="357"/>
      <c r="CT145" s="357"/>
      <c r="CU145" s="357"/>
      <c r="CV145" s="357"/>
      <c r="CW145" s="357"/>
      <c r="CX145" s="357"/>
      <c r="CY145" s="357"/>
      <c r="CZ145" s="357"/>
      <c r="DA145" s="357"/>
      <c r="DB145" s="357"/>
      <c r="DC145" s="357"/>
      <c r="DD145" s="357"/>
      <c r="DE145" s="357"/>
      <c r="DF145" s="357"/>
      <c r="DG145" s="357"/>
      <c r="DH145" s="357"/>
      <c r="DI145" s="357"/>
      <c r="DJ145" s="357"/>
      <c r="DK145" s="357"/>
      <c r="DL145" s="357"/>
      <c r="DM145" s="357"/>
      <c r="DN145" s="357"/>
      <c r="DO145" s="357"/>
      <c r="DP145" s="357"/>
      <c r="DQ145" s="357"/>
      <c r="DR145" s="357"/>
      <c r="DS145" s="357"/>
      <c r="DT145" s="357"/>
      <c r="DU145" s="357"/>
      <c r="DV145" s="357"/>
      <c r="DW145" s="357"/>
      <c r="DX145" s="357"/>
      <c r="DY145" s="357"/>
      <c r="DZ145" s="357"/>
      <c r="EA145" s="357"/>
      <c r="EB145" s="357"/>
      <c r="EC145" s="357"/>
      <c r="ED145" s="357"/>
      <c r="EE145" s="357"/>
      <c r="EF145" s="357"/>
      <c r="EG145" s="357"/>
      <c r="EH145" s="357"/>
      <c r="EI145" s="357"/>
      <c r="EJ145" s="357"/>
      <c r="EK145" s="357"/>
      <c r="EL145" s="357"/>
      <c r="EM145" s="357"/>
      <c r="EN145" s="357"/>
      <c r="EO145" s="357"/>
      <c r="EP145" s="357"/>
      <c r="EQ145" s="357"/>
      <c r="ER145" s="357"/>
      <c r="ES145" s="357"/>
      <c r="ET145" s="357"/>
      <c r="EU145" s="357"/>
      <c r="EV145" s="357"/>
      <c r="EW145" s="357"/>
      <c r="EX145" s="357"/>
      <c r="EY145" s="357"/>
      <c r="EZ145" s="357"/>
      <c r="FA145" s="357"/>
      <c r="FB145" s="357"/>
      <c r="FC145" s="357"/>
      <c r="FD145" s="357"/>
      <c r="FE145" s="357"/>
      <c r="FF145" s="357"/>
      <c r="FG145" s="357"/>
      <c r="FH145" s="357"/>
      <c r="FI145" s="357"/>
      <c r="FJ145" s="357"/>
      <c r="FK145" s="357"/>
      <c r="FL145" s="357"/>
      <c r="FM145" s="357"/>
      <c r="FN145" s="357"/>
      <c r="FO145" s="357"/>
      <c r="FP145" s="357"/>
      <c r="FQ145" s="357"/>
      <c r="FR145" s="357"/>
      <c r="FS145" s="357"/>
      <c r="FT145" s="357"/>
      <c r="FU145" s="357"/>
      <c r="FV145" s="357"/>
      <c r="FW145" s="357"/>
      <c r="FX145" s="357"/>
      <c r="FY145" s="357"/>
      <c r="FZ145" s="357"/>
      <c r="GA145" s="357"/>
      <c r="GB145" s="357"/>
      <c r="GC145" s="357"/>
      <c r="GD145" s="357"/>
      <c r="GE145" s="357"/>
      <c r="GF145" s="357"/>
      <c r="GG145" s="357"/>
      <c r="GH145" s="357"/>
      <c r="GI145" s="357"/>
      <c r="GJ145" s="357"/>
      <c r="GK145" s="154"/>
      <c r="GL145" s="154"/>
      <c r="GM145" s="154"/>
      <c r="GN145" s="154"/>
      <c r="GO145" s="154"/>
      <c r="GP145" s="154"/>
      <c r="GQ145" s="154"/>
      <c r="GR145" s="154"/>
      <c r="GS145" s="154"/>
      <c r="GT145" s="154"/>
      <c r="GU145" s="154"/>
      <c r="GV145" s="154"/>
      <c r="GW145" s="154"/>
      <c r="GX145" s="154"/>
    </row>
    <row r="146" spans="7:206">
      <c r="G146" s="154"/>
      <c r="H146" s="154"/>
      <c r="I146" s="154"/>
      <c r="J146" s="154"/>
      <c r="K146" s="154"/>
      <c r="L146" s="154"/>
      <c r="M146" s="154"/>
      <c r="N146" s="154"/>
      <c r="O146" s="154"/>
      <c r="P146" s="154"/>
      <c r="Q146" s="154"/>
      <c r="R146" s="154"/>
      <c r="S146" s="154"/>
      <c r="T146" s="154"/>
      <c r="U146" s="154"/>
      <c r="V146" s="154"/>
      <c r="W146" s="154"/>
      <c r="X146" s="154"/>
      <c r="Y146" s="154"/>
      <c r="Z146" s="357"/>
      <c r="AA146" s="357"/>
      <c r="AB146" s="357"/>
      <c r="AC146" s="357"/>
      <c r="AD146" s="357"/>
      <c r="AE146" s="357"/>
      <c r="AF146" s="357"/>
      <c r="AG146" s="357"/>
      <c r="AH146" s="357"/>
      <c r="AI146" s="357"/>
      <c r="AJ146" s="357"/>
      <c r="AK146" s="357"/>
      <c r="AL146" s="357"/>
      <c r="AM146" s="357"/>
      <c r="AN146" s="357"/>
      <c r="AO146" s="357"/>
      <c r="AP146" s="357"/>
      <c r="AQ146" s="357"/>
      <c r="AR146" s="357"/>
      <c r="AS146" s="357"/>
      <c r="AT146" s="357"/>
      <c r="AU146" s="357"/>
      <c r="AV146" s="357"/>
      <c r="AW146" s="357"/>
      <c r="AX146" s="357"/>
      <c r="AY146" s="357"/>
      <c r="AZ146" s="357"/>
      <c r="BA146" s="357"/>
      <c r="BB146" s="357"/>
      <c r="BC146" s="357"/>
      <c r="BD146" s="357"/>
      <c r="BE146" s="357"/>
      <c r="BF146" s="357"/>
      <c r="BG146" s="357"/>
      <c r="BH146" s="357"/>
      <c r="BI146" s="357"/>
      <c r="BJ146" s="357"/>
      <c r="BK146" s="357"/>
      <c r="BL146" s="357"/>
      <c r="BM146" s="357"/>
      <c r="BN146" s="357"/>
      <c r="BO146" s="357"/>
      <c r="BP146" s="357"/>
      <c r="BQ146" s="357"/>
      <c r="BR146" s="357"/>
      <c r="BS146" s="357"/>
      <c r="BT146" s="357"/>
      <c r="BU146" s="357"/>
      <c r="BV146" s="357"/>
      <c r="BW146" s="357"/>
      <c r="BX146" s="357"/>
      <c r="BY146" s="357"/>
      <c r="BZ146" s="357"/>
      <c r="CA146" s="357"/>
      <c r="CB146" s="357"/>
      <c r="CC146" s="357"/>
      <c r="CD146" s="357"/>
      <c r="CE146" s="357"/>
      <c r="CF146" s="357"/>
      <c r="CG146" s="357"/>
      <c r="CH146" s="357"/>
      <c r="CI146" s="357"/>
      <c r="CJ146" s="357"/>
      <c r="CK146" s="357"/>
      <c r="CL146" s="357"/>
      <c r="CM146" s="357"/>
      <c r="CN146" s="357"/>
      <c r="CO146" s="357"/>
      <c r="CP146" s="357"/>
      <c r="CQ146" s="357"/>
      <c r="CR146" s="357"/>
      <c r="CS146" s="357"/>
      <c r="CT146" s="357"/>
      <c r="CU146" s="357"/>
      <c r="CV146" s="357"/>
      <c r="CW146" s="357"/>
      <c r="CX146" s="357"/>
      <c r="CY146" s="357"/>
      <c r="CZ146" s="357"/>
      <c r="DA146" s="357"/>
      <c r="DB146" s="357"/>
      <c r="DC146" s="357"/>
      <c r="DD146" s="357"/>
      <c r="DE146" s="357"/>
      <c r="DF146" s="357"/>
      <c r="DG146" s="357"/>
      <c r="DH146" s="357"/>
      <c r="DI146" s="357"/>
      <c r="DJ146" s="357"/>
      <c r="DK146" s="357"/>
      <c r="DL146" s="357"/>
      <c r="DM146" s="357"/>
      <c r="DN146" s="357"/>
      <c r="DO146" s="357"/>
      <c r="DP146" s="357"/>
      <c r="DQ146" s="357"/>
      <c r="DR146" s="357"/>
      <c r="DS146" s="357"/>
      <c r="DT146" s="357"/>
      <c r="DU146" s="357"/>
      <c r="DV146" s="357"/>
      <c r="DW146" s="357"/>
      <c r="DX146" s="357"/>
      <c r="DY146" s="357"/>
      <c r="DZ146" s="357"/>
      <c r="EA146" s="357"/>
      <c r="EB146" s="357"/>
      <c r="EC146" s="357"/>
      <c r="ED146" s="357"/>
      <c r="EE146" s="357"/>
      <c r="EF146" s="357"/>
      <c r="EG146" s="357"/>
      <c r="EH146" s="357"/>
      <c r="EI146" s="357"/>
      <c r="EJ146" s="357"/>
      <c r="EK146" s="357"/>
      <c r="EL146" s="357"/>
      <c r="EM146" s="357"/>
      <c r="EN146" s="357"/>
      <c r="EO146" s="357"/>
      <c r="EP146" s="357"/>
      <c r="EQ146" s="357"/>
      <c r="ER146" s="357"/>
      <c r="ES146" s="357"/>
      <c r="ET146" s="357"/>
      <c r="EU146" s="357"/>
      <c r="EV146" s="357"/>
      <c r="EW146" s="357"/>
      <c r="EX146" s="357"/>
      <c r="EY146" s="357"/>
      <c r="EZ146" s="357"/>
      <c r="FA146" s="357"/>
      <c r="FB146" s="357"/>
      <c r="FC146" s="357"/>
      <c r="FD146" s="357"/>
      <c r="FE146" s="357"/>
      <c r="FF146" s="357"/>
      <c r="FG146" s="357"/>
      <c r="FH146" s="357"/>
      <c r="FI146" s="357"/>
      <c r="FJ146" s="357"/>
      <c r="FK146" s="357"/>
      <c r="FL146" s="357"/>
      <c r="FM146" s="357"/>
      <c r="FN146" s="357"/>
      <c r="FO146" s="357"/>
      <c r="FP146" s="357"/>
      <c r="FQ146" s="357"/>
      <c r="FR146" s="357"/>
      <c r="FS146" s="357"/>
      <c r="FT146" s="357"/>
      <c r="FU146" s="357"/>
      <c r="FV146" s="357"/>
      <c r="FW146" s="357"/>
      <c r="FX146" s="357"/>
      <c r="FY146" s="357"/>
      <c r="FZ146" s="357"/>
      <c r="GA146" s="357"/>
      <c r="GB146" s="357"/>
      <c r="GC146" s="357"/>
      <c r="GD146" s="357"/>
      <c r="GE146" s="357"/>
      <c r="GF146" s="357"/>
      <c r="GG146" s="357"/>
      <c r="GH146" s="357"/>
      <c r="GI146" s="357"/>
      <c r="GJ146" s="357"/>
      <c r="GK146" s="154"/>
      <c r="GL146" s="154"/>
      <c r="GM146" s="154"/>
      <c r="GN146" s="154"/>
      <c r="GO146" s="154"/>
      <c r="GP146" s="154"/>
      <c r="GQ146" s="154"/>
      <c r="GR146" s="154"/>
      <c r="GS146" s="154"/>
      <c r="GT146" s="154"/>
      <c r="GU146" s="154"/>
      <c r="GV146" s="154"/>
      <c r="GW146" s="154"/>
      <c r="GX146" s="154"/>
    </row>
    <row r="147" spans="7:206">
      <c r="G147" s="154"/>
      <c r="H147" s="154"/>
      <c r="I147" s="154"/>
      <c r="J147" s="154"/>
      <c r="K147" s="154"/>
      <c r="L147" s="154"/>
      <c r="M147" s="154"/>
      <c r="N147" s="154"/>
      <c r="O147" s="154"/>
      <c r="P147" s="154"/>
      <c r="Q147" s="154"/>
      <c r="R147" s="154"/>
      <c r="S147" s="154"/>
      <c r="T147" s="154"/>
      <c r="U147" s="154"/>
      <c r="V147" s="154"/>
      <c r="W147" s="154"/>
      <c r="X147" s="154"/>
      <c r="Y147" s="154"/>
      <c r="Z147" s="357"/>
      <c r="AA147" s="357"/>
      <c r="AB147" s="357"/>
      <c r="AC147" s="357"/>
      <c r="AD147" s="357"/>
      <c r="AE147" s="357"/>
      <c r="AF147" s="357"/>
      <c r="AG147" s="357"/>
      <c r="AH147" s="357"/>
      <c r="AI147" s="357"/>
      <c r="AJ147" s="357"/>
      <c r="AK147" s="357"/>
      <c r="AL147" s="357"/>
      <c r="AM147" s="357"/>
      <c r="AN147" s="357"/>
      <c r="AO147" s="357"/>
      <c r="AP147" s="357"/>
      <c r="AQ147" s="357"/>
      <c r="AR147" s="357"/>
      <c r="AS147" s="357"/>
      <c r="AT147" s="357"/>
      <c r="AU147" s="357"/>
      <c r="AV147" s="357"/>
      <c r="AW147" s="357"/>
      <c r="AX147" s="357"/>
      <c r="AY147" s="357"/>
      <c r="AZ147" s="357"/>
      <c r="BA147" s="357"/>
      <c r="BB147" s="357"/>
      <c r="BC147" s="357"/>
      <c r="BD147" s="357"/>
      <c r="BE147" s="357"/>
      <c r="BF147" s="357"/>
      <c r="BG147" s="357"/>
      <c r="BH147" s="357"/>
      <c r="BI147" s="357"/>
      <c r="BJ147" s="357"/>
      <c r="BK147" s="357"/>
      <c r="BL147" s="357"/>
      <c r="BM147" s="357"/>
      <c r="BN147" s="357"/>
      <c r="BO147" s="357"/>
      <c r="BP147" s="357"/>
      <c r="BQ147" s="357"/>
      <c r="BR147" s="357"/>
      <c r="BS147" s="357"/>
      <c r="BT147" s="357"/>
      <c r="BU147" s="357"/>
      <c r="BV147" s="357"/>
      <c r="BW147" s="357"/>
      <c r="BX147" s="357"/>
      <c r="BY147" s="357"/>
      <c r="BZ147" s="357"/>
      <c r="CA147" s="357"/>
      <c r="CB147" s="357"/>
      <c r="CC147" s="357"/>
      <c r="CD147" s="357"/>
      <c r="CE147" s="357"/>
      <c r="CF147" s="357"/>
      <c r="CG147" s="357"/>
      <c r="CH147" s="357"/>
      <c r="CI147" s="357"/>
      <c r="CJ147" s="357"/>
      <c r="CK147" s="357"/>
      <c r="CL147" s="357"/>
      <c r="CM147" s="357"/>
      <c r="CN147" s="357"/>
      <c r="CO147" s="357"/>
      <c r="CP147" s="357"/>
      <c r="CQ147" s="357"/>
      <c r="CR147" s="357"/>
      <c r="CS147" s="357"/>
      <c r="CT147" s="357"/>
      <c r="CU147" s="357"/>
      <c r="CV147" s="357"/>
      <c r="CW147" s="357"/>
      <c r="CX147" s="357"/>
      <c r="CY147" s="357"/>
      <c r="CZ147" s="357"/>
      <c r="DA147" s="357"/>
      <c r="DB147" s="357"/>
      <c r="DC147" s="357"/>
      <c r="DD147" s="357"/>
      <c r="DE147" s="357"/>
      <c r="DF147" s="357"/>
      <c r="DG147" s="357"/>
      <c r="DH147" s="357"/>
      <c r="DI147" s="357"/>
      <c r="DJ147" s="357"/>
      <c r="DK147" s="357"/>
      <c r="DL147" s="357"/>
      <c r="DM147" s="357"/>
      <c r="DN147" s="357"/>
      <c r="DO147" s="357"/>
      <c r="DP147" s="357"/>
      <c r="DQ147" s="357"/>
      <c r="DR147" s="357"/>
      <c r="DS147" s="357"/>
      <c r="DT147" s="357"/>
      <c r="DU147" s="357"/>
      <c r="DV147" s="357"/>
      <c r="DW147" s="357"/>
      <c r="DX147" s="357"/>
      <c r="DY147" s="357"/>
      <c r="DZ147" s="357"/>
      <c r="EA147" s="357"/>
      <c r="EB147" s="357"/>
      <c r="EC147" s="357"/>
      <c r="ED147" s="357"/>
      <c r="EE147" s="357"/>
      <c r="EF147" s="357"/>
      <c r="EG147" s="357"/>
      <c r="EH147" s="357"/>
      <c r="EI147" s="357"/>
      <c r="EJ147" s="357"/>
      <c r="EK147" s="357"/>
      <c r="EL147" s="357"/>
      <c r="EM147" s="357"/>
      <c r="EN147" s="357"/>
      <c r="EO147" s="357"/>
      <c r="EP147" s="357"/>
      <c r="EQ147" s="357"/>
      <c r="ER147" s="357"/>
      <c r="ES147" s="357"/>
      <c r="ET147" s="357"/>
      <c r="EU147" s="357"/>
      <c r="EV147" s="357"/>
      <c r="EW147" s="357"/>
      <c r="EX147" s="357"/>
      <c r="EY147" s="357"/>
      <c r="EZ147" s="357"/>
      <c r="FA147" s="357"/>
      <c r="FB147" s="357"/>
      <c r="FC147" s="357"/>
      <c r="FD147" s="357"/>
      <c r="FE147" s="357"/>
      <c r="FF147" s="357"/>
      <c r="FG147" s="357"/>
      <c r="FH147" s="357"/>
      <c r="FI147" s="357"/>
      <c r="FJ147" s="357"/>
      <c r="FK147" s="357"/>
      <c r="FL147" s="357"/>
      <c r="FM147" s="357"/>
      <c r="FN147" s="357"/>
      <c r="FO147" s="357"/>
      <c r="FP147" s="357"/>
      <c r="FQ147" s="357"/>
      <c r="FR147" s="357"/>
      <c r="FS147" s="357"/>
      <c r="FT147" s="357"/>
      <c r="FU147" s="357"/>
      <c r="FV147" s="357"/>
      <c r="FW147" s="357"/>
      <c r="FX147" s="357"/>
      <c r="FY147" s="357"/>
      <c r="FZ147" s="357"/>
      <c r="GA147" s="357"/>
      <c r="GB147" s="357"/>
      <c r="GC147" s="357"/>
      <c r="GD147" s="357"/>
      <c r="GE147" s="357"/>
      <c r="GF147" s="357"/>
      <c r="GG147" s="357"/>
      <c r="GH147" s="357"/>
      <c r="GI147" s="357"/>
      <c r="GJ147" s="357"/>
      <c r="GK147" s="154"/>
      <c r="GL147" s="154"/>
      <c r="GM147" s="154"/>
      <c r="GN147" s="154"/>
      <c r="GO147" s="154"/>
      <c r="GP147" s="154"/>
      <c r="GQ147" s="154"/>
      <c r="GR147" s="154"/>
      <c r="GS147" s="154"/>
      <c r="GT147" s="154"/>
      <c r="GU147" s="154"/>
      <c r="GV147" s="154"/>
      <c r="GW147" s="154"/>
      <c r="GX147" s="154"/>
    </row>
    <row r="148" spans="7:206">
      <c r="G148" s="154"/>
      <c r="H148" s="154"/>
      <c r="I148" s="154"/>
      <c r="J148" s="154"/>
      <c r="K148" s="154"/>
      <c r="L148" s="154"/>
      <c r="M148" s="154"/>
      <c r="N148" s="154"/>
      <c r="O148" s="154"/>
      <c r="P148" s="154"/>
      <c r="Q148" s="154"/>
      <c r="R148" s="154"/>
      <c r="S148" s="154"/>
      <c r="T148" s="154"/>
      <c r="U148" s="154"/>
      <c r="V148" s="154"/>
      <c r="W148" s="154"/>
      <c r="X148" s="154"/>
      <c r="Y148" s="154"/>
      <c r="Z148" s="357"/>
      <c r="AA148" s="357"/>
      <c r="AB148" s="357"/>
      <c r="AC148" s="357"/>
      <c r="AD148" s="357"/>
      <c r="AE148" s="357"/>
      <c r="AF148" s="357"/>
      <c r="AG148" s="357"/>
      <c r="AH148" s="357"/>
      <c r="AI148" s="357"/>
      <c r="AJ148" s="357"/>
      <c r="AK148" s="357"/>
      <c r="AL148" s="357"/>
      <c r="AM148" s="357"/>
      <c r="AN148" s="357"/>
      <c r="AO148" s="357"/>
      <c r="AP148" s="357"/>
      <c r="AQ148" s="357"/>
      <c r="AR148" s="357"/>
      <c r="AS148" s="357"/>
      <c r="AT148" s="357"/>
      <c r="AU148" s="357"/>
      <c r="AV148" s="357"/>
      <c r="AW148" s="357"/>
      <c r="AX148" s="357"/>
      <c r="AY148" s="357"/>
      <c r="AZ148" s="357"/>
      <c r="BA148" s="357"/>
      <c r="BB148" s="357"/>
      <c r="BC148" s="357"/>
      <c r="BD148" s="357"/>
      <c r="BE148" s="357"/>
      <c r="BF148" s="357"/>
      <c r="BG148" s="357"/>
      <c r="BH148" s="357"/>
      <c r="BI148" s="357"/>
      <c r="BJ148" s="357"/>
      <c r="BK148" s="357"/>
      <c r="BL148" s="357"/>
      <c r="BM148" s="357"/>
      <c r="BN148" s="357"/>
      <c r="BO148" s="357"/>
      <c r="BP148" s="357"/>
      <c r="BQ148" s="357"/>
      <c r="BR148" s="357"/>
      <c r="BS148" s="357"/>
      <c r="BT148" s="357"/>
      <c r="BU148" s="357"/>
      <c r="BV148" s="357"/>
      <c r="BW148" s="357"/>
      <c r="BX148" s="357"/>
      <c r="BY148" s="357"/>
      <c r="BZ148" s="357"/>
      <c r="CA148" s="357"/>
      <c r="CB148" s="357"/>
      <c r="CC148" s="357"/>
      <c r="CD148" s="357"/>
      <c r="CE148" s="357"/>
      <c r="CF148" s="357"/>
      <c r="CG148" s="357"/>
      <c r="CH148" s="357"/>
      <c r="CI148" s="357"/>
      <c r="CJ148" s="357"/>
      <c r="CK148" s="357"/>
      <c r="CL148" s="357"/>
      <c r="CM148" s="357"/>
      <c r="CN148" s="357"/>
      <c r="CO148" s="357"/>
      <c r="CP148" s="357"/>
      <c r="CQ148" s="357"/>
      <c r="CR148" s="357"/>
      <c r="CS148" s="357"/>
      <c r="CT148" s="357"/>
      <c r="CU148" s="357"/>
      <c r="CV148" s="357"/>
      <c r="CW148" s="357"/>
      <c r="CX148" s="357"/>
      <c r="CY148" s="357"/>
      <c r="CZ148" s="357"/>
      <c r="DA148" s="357"/>
      <c r="DB148" s="357"/>
      <c r="DC148" s="357"/>
      <c r="DD148" s="357"/>
      <c r="DE148" s="357"/>
      <c r="DF148" s="357"/>
      <c r="DG148" s="357"/>
      <c r="DH148" s="357"/>
      <c r="DI148" s="357"/>
      <c r="DJ148" s="357"/>
      <c r="DK148" s="357"/>
      <c r="DL148" s="357"/>
      <c r="DM148" s="357"/>
      <c r="DN148" s="357"/>
      <c r="DO148" s="357"/>
      <c r="DP148" s="357"/>
      <c r="DQ148" s="357"/>
      <c r="DR148" s="357"/>
      <c r="DS148" s="357"/>
      <c r="DT148" s="357"/>
      <c r="DU148" s="357"/>
      <c r="DV148" s="357"/>
      <c r="DW148" s="357"/>
      <c r="DX148" s="357"/>
      <c r="DY148" s="357"/>
      <c r="DZ148" s="357"/>
      <c r="EA148" s="357"/>
      <c r="EB148" s="357"/>
      <c r="EC148" s="357"/>
      <c r="ED148" s="357"/>
      <c r="EE148" s="357"/>
      <c r="EF148" s="357"/>
      <c r="EG148" s="357"/>
      <c r="EH148" s="357"/>
      <c r="EI148" s="357"/>
      <c r="EJ148" s="357"/>
      <c r="EK148" s="357"/>
      <c r="EL148" s="357"/>
      <c r="EM148" s="357"/>
      <c r="EN148" s="357"/>
      <c r="EO148" s="357"/>
      <c r="EP148" s="357"/>
      <c r="EQ148" s="357"/>
      <c r="ER148" s="357"/>
      <c r="ES148" s="357"/>
      <c r="ET148" s="357"/>
      <c r="EU148" s="357"/>
      <c r="EV148" s="357"/>
      <c r="EW148" s="357"/>
      <c r="EX148" s="357"/>
      <c r="EY148" s="357"/>
      <c r="EZ148" s="357"/>
      <c r="FA148" s="357"/>
      <c r="FB148" s="357"/>
      <c r="FC148" s="357"/>
      <c r="FD148" s="357"/>
      <c r="FE148" s="357"/>
      <c r="FF148" s="357"/>
      <c r="FG148" s="357"/>
      <c r="FH148" s="357"/>
      <c r="FI148" s="357"/>
      <c r="FJ148" s="357"/>
      <c r="FK148" s="357"/>
      <c r="FL148" s="357"/>
      <c r="FM148" s="357"/>
      <c r="FN148" s="357"/>
      <c r="FO148" s="357"/>
      <c r="FP148" s="357"/>
      <c r="FQ148" s="357"/>
      <c r="FR148" s="357"/>
      <c r="FS148" s="357"/>
      <c r="FT148" s="357"/>
      <c r="FU148" s="357"/>
      <c r="FV148" s="357"/>
      <c r="FW148" s="357"/>
      <c r="FX148" s="357"/>
      <c r="FY148" s="357"/>
      <c r="FZ148" s="357"/>
      <c r="GA148" s="357"/>
      <c r="GB148" s="357"/>
      <c r="GC148" s="357"/>
      <c r="GD148" s="357"/>
      <c r="GE148" s="357"/>
      <c r="GF148" s="357"/>
      <c r="GG148" s="357"/>
      <c r="GH148" s="357"/>
      <c r="GI148" s="357"/>
      <c r="GJ148" s="357"/>
      <c r="GK148" s="154"/>
      <c r="GL148" s="154"/>
      <c r="GM148" s="154"/>
      <c r="GN148" s="154"/>
      <c r="GO148" s="154"/>
      <c r="GP148" s="154"/>
      <c r="GQ148" s="154"/>
      <c r="GR148" s="154"/>
      <c r="GS148" s="154"/>
      <c r="GT148" s="154"/>
      <c r="GU148" s="154"/>
      <c r="GV148" s="154"/>
      <c r="GW148" s="154"/>
      <c r="GX148" s="154"/>
    </row>
    <row r="149" spans="7:206">
      <c r="G149" s="154"/>
      <c r="H149" s="154"/>
      <c r="I149" s="154"/>
      <c r="J149" s="154"/>
      <c r="K149" s="154"/>
      <c r="L149" s="154"/>
      <c r="M149" s="154"/>
      <c r="N149" s="154"/>
      <c r="O149" s="154"/>
      <c r="P149" s="154"/>
      <c r="Q149" s="154"/>
      <c r="R149" s="154"/>
      <c r="S149" s="154"/>
      <c r="T149" s="154"/>
      <c r="U149" s="154"/>
      <c r="V149" s="154"/>
      <c r="W149" s="154"/>
      <c r="X149" s="154"/>
      <c r="Y149" s="154"/>
      <c r="Z149" s="357"/>
      <c r="AA149" s="357"/>
      <c r="AB149" s="357"/>
      <c r="AC149" s="357"/>
      <c r="AD149" s="357"/>
      <c r="AE149" s="357"/>
      <c r="AF149" s="357"/>
      <c r="AG149" s="357"/>
      <c r="AH149" s="357"/>
      <c r="AI149" s="357"/>
      <c r="AJ149" s="357"/>
      <c r="AK149" s="357"/>
      <c r="AL149" s="357"/>
      <c r="AM149" s="357"/>
      <c r="AN149" s="357"/>
      <c r="AO149" s="357"/>
      <c r="AP149" s="357"/>
      <c r="AQ149" s="357"/>
      <c r="AR149" s="357"/>
      <c r="AS149" s="357"/>
      <c r="AT149" s="357"/>
      <c r="AU149" s="357"/>
      <c r="AV149" s="357"/>
      <c r="AW149" s="357"/>
      <c r="AX149" s="357"/>
      <c r="AY149" s="357"/>
      <c r="AZ149" s="357"/>
      <c r="BA149" s="357"/>
      <c r="BB149" s="357"/>
      <c r="BC149" s="357"/>
      <c r="BD149" s="357"/>
      <c r="BE149" s="357"/>
      <c r="BF149" s="357"/>
      <c r="BG149" s="357"/>
      <c r="BH149" s="357"/>
      <c r="BI149" s="357"/>
      <c r="BJ149" s="357"/>
      <c r="BK149" s="357"/>
      <c r="BL149" s="357"/>
      <c r="BM149" s="357"/>
      <c r="BN149" s="357"/>
      <c r="BO149" s="357"/>
      <c r="BP149" s="357"/>
      <c r="BQ149" s="357"/>
      <c r="BR149" s="357"/>
      <c r="BS149" s="357"/>
      <c r="BT149" s="357"/>
      <c r="BU149" s="357"/>
      <c r="BV149" s="357"/>
      <c r="BW149" s="357"/>
      <c r="BX149" s="357"/>
      <c r="BY149" s="357"/>
      <c r="BZ149" s="357"/>
      <c r="CA149" s="357"/>
      <c r="CB149" s="357"/>
      <c r="CC149" s="357"/>
      <c r="CD149" s="357"/>
      <c r="CE149" s="357"/>
      <c r="CF149" s="357"/>
      <c r="CG149" s="357"/>
      <c r="CH149" s="357"/>
      <c r="CI149" s="357"/>
      <c r="CJ149" s="357"/>
      <c r="CK149" s="357"/>
      <c r="CL149" s="357"/>
      <c r="CM149" s="357"/>
      <c r="CN149" s="357"/>
      <c r="CO149" s="357"/>
      <c r="CP149" s="357"/>
      <c r="CQ149" s="357"/>
      <c r="CR149" s="357"/>
      <c r="CS149" s="357"/>
      <c r="CT149" s="357"/>
      <c r="CU149" s="357"/>
      <c r="CV149" s="357"/>
      <c r="CW149" s="357"/>
      <c r="CX149" s="357"/>
      <c r="CY149" s="357"/>
      <c r="CZ149" s="357"/>
      <c r="DA149" s="357"/>
      <c r="DB149" s="357"/>
      <c r="DC149" s="357"/>
      <c r="DD149" s="357"/>
      <c r="DE149" s="357"/>
      <c r="DF149" s="357"/>
      <c r="DG149" s="357"/>
      <c r="DH149" s="357"/>
      <c r="DI149" s="357"/>
      <c r="DJ149" s="357"/>
      <c r="DK149" s="357"/>
      <c r="DL149" s="357"/>
      <c r="DM149" s="357"/>
      <c r="DN149" s="357"/>
      <c r="DO149" s="357"/>
      <c r="DP149" s="357"/>
      <c r="DQ149" s="357"/>
      <c r="DR149" s="357"/>
      <c r="DS149" s="357"/>
      <c r="DT149" s="357"/>
      <c r="DU149" s="357"/>
      <c r="DV149" s="357"/>
      <c r="DW149" s="357"/>
      <c r="DX149" s="357"/>
      <c r="DY149" s="357"/>
      <c r="DZ149" s="357"/>
      <c r="EA149" s="357"/>
      <c r="EB149" s="357"/>
      <c r="EC149" s="357"/>
      <c r="ED149" s="357"/>
      <c r="EE149" s="357"/>
      <c r="EF149" s="357"/>
      <c r="EG149" s="357"/>
      <c r="EH149" s="357"/>
      <c r="EI149" s="357"/>
      <c r="EJ149" s="357"/>
      <c r="EK149" s="357"/>
      <c r="EL149" s="357"/>
      <c r="EM149" s="357"/>
      <c r="EN149" s="357"/>
      <c r="EO149" s="357"/>
      <c r="EP149" s="357"/>
      <c r="EQ149" s="357"/>
      <c r="ER149" s="357"/>
      <c r="ES149" s="357"/>
      <c r="ET149" s="357"/>
      <c r="EU149" s="357"/>
      <c r="EV149" s="357"/>
      <c r="EW149" s="357"/>
      <c r="EX149" s="357"/>
      <c r="EY149" s="357"/>
      <c r="EZ149" s="357"/>
      <c r="FA149" s="357"/>
      <c r="FB149" s="357"/>
      <c r="FC149" s="357"/>
      <c r="FD149" s="357"/>
      <c r="FE149" s="357"/>
      <c r="FF149" s="357"/>
      <c r="FG149" s="357"/>
      <c r="FH149" s="357"/>
      <c r="FI149" s="357"/>
      <c r="FJ149" s="357"/>
      <c r="FK149" s="357"/>
      <c r="FL149" s="357"/>
      <c r="FM149" s="357"/>
      <c r="FN149" s="357"/>
      <c r="FO149" s="357"/>
      <c r="FP149" s="357"/>
      <c r="FQ149" s="357"/>
      <c r="FR149" s="357"/>
      <c r="FS149" s="357"/>
      <c r="FT149" s="357"/>
      <c r="FU149" s="357"/>
      <c r="FV149" s="357"/>
      <c r="FW149" s="357"/>
      <c r="FX149" s="357"/>
      <c r="FY149" s="357"/>
      <c r="FZ149" s="357"/>
      <c r="GA149" s="357"/>
      <c r="GB149" s="357"/>
      <c r="GC149" s="357"/>
      <c r="GD149" s="357"/>
      <c r="GE149" s="357"/>
      <c r="GF149" s="357"/>
      <c r="GG149" s="357"/>
      <c r="GH149" s="357"/>
      <c r="GI149" s="357"/>
      <c r="GJ149" s="357"/>
      <c r="GK149" s="154"/>
      <c r="GL149" s="154"/>
      <c r="GM149" s="154"/>
      <c r="GN149" s="154"/>
      <c r="GO149" s="154"/>
      <c r="GP149" s="154"/>
      <c r="GQ149" s="154"/>
      <c r="GR149" s="154"/>
      <c r="GS149" s="154"/>
      <c r="GT149" s="154"/>
      <c r="GU149" s="154"/>
      <c r="GV149" s="154"/>
      <c r="GW149" s="154"/>
      <c r="GX149" s="154"/>
    </row>
    <row r="150" spans="7:206">
      <c r="G150" s="154"/>
      <c r="H150" s="154"/>
      <c r="I150" s="154"/>
      <c r="J150" s="154"/>
      <c r="K150" s="154"/>
      <c r="L150" s="154"/>
      <c r="M150" s="154"/>
      <c r="N150" s="154"/>
      <c r="O150" s="154"/>
      <c r="P150" s="154"/>
      <c r="Q150" s="154"/>
      <c r="R150" s="154"/>
      <c r="S150" s="154"/>
      <c r="T150" s="154"/>
      <c r="U150" s="154"/>
      <c r="V150" s="154"/>
      <c r="W150" s="154"/>
      <c r="X150" s="154"/>
      <c r="Y150" s="154"/>
      <c r="Z150" s="357"/>
      <c r="AA150" s="357"/>
      <c r="AB150" s="357"/>
      <c r="AC150" s="357"/>
      <c r="AD150" s="357"/>
      <c r="AE150" s="357"/>
      <c r="AF150" s="357"/>
      <c r="AG150" s="357"/>
      <c r="AH150" s="357"/>
      <c r="AI150" s="357"/>
      <c r="AJ150" s="357"/>
      <c r="AK150" s="357"/>
      <c r="AL150" s="357"/>
      <c r="AM150" s="357"/>
      <c r="AN150" s="357"/>
      <c r="AO150" s="357"/>
      <c r="AP150" s="357"/>
      <c r="AQ150" s="357"/>
      <c r="AR150" s="357"/>
      <c r="AS150" s="357"/>
      <c r="AT150" s="357"/>
      <c r="AU150" s="357"/>
      <c r="AV150" s="357"/>
      <c r="AW150" s="357"/>
      <c r="AX150" s="357"/>
      <c r="AY150" s="357"/>
      <c r="AZ150" s="357"/>
      <c r="BA150" s="357"/>
      <c r="BB150" s="357"/>
      <c r="BC150" s="357"/>
      <c r="BD150" s="357"/>
      <c r="BE150" s="357"/>
      <c r="BF150" s="357"/>
      <c r="BG150" s="357"/>
      <c r="BH150" s="357"/>
      <c r="BI150" s="357"/>
      <c r="BJ150" s="357"/>
      <c r="BK150" s="357"/>
      <c r="BL150" s="357"/>
      <c r="BM150" s="357"/>
      <c r="BN150" s="357"/>
      <c r="BO150" s="357"/>
      <c r="BP150" s="357"/>
      <c r="BQ150" s="357"/>
      <c r="BR150" s="357"/>
      <c r="BS150" s="357"/>
      <c r="BT150" s="357"/>
      <c r="BU150" s="357"/>
      <c r="BV150" s="357"/>
      <c r="BW150" s="357"/>
      <c r="BX150" s="357"/>
      <c r="BY150" s="357"/>
      <c r="BZ150" s="357"/>
      <c r="CA150" s="357"/>
      <c r="CB150" s="357"/>
      <c r="CC150" s="357"/>
      <c r="CD150" s="357"/>
      <c r="CE150" s="357"/>
      <c r="CF150" s="357"/>
      <c r="CG150" s="357"/>
      <c r="CH150" s="357"/>
      <c r="CI150" s="357"/>
      <c r="CJ150" s="357"/>
      <c r="CK150" s="357"/>
      <c r="CL150" s="357"/>
      <c r="CM150" s="357"/>
      <c r="CN150" s="357"/>
      <c r="CO150" s="357"/>
      <c r="CP150" s="357"/>
      <c r="CQ150" s="357"/>
      <c r="CR150" s="357"/>
      <c r="CS150" s="357"/>
      <c r="CT150" s="357"/>
      <c r="CU150" s="357"/>
      <c r="CV150" s="357"/>
      <c r="CW150" s="357"/>
      <c r="CX150" s="357"/>
      <c r="CY150" s="357"/>
      <c r="CZ150" s="357"/>
      <c r="DA150" s="357"/>
      <c r="DB150" s="357"/>
      <c r="DC150" s="357"/>
      <c r="DD150" s="357"/>
      <c r="DE150" s="357"/>
      <c r="DF150" s="357"/>
      <c r="DG150" s="357"/>
      <c r="DH150" s="357"/>
      <c r="DI150" s="357"/>
      <c r="DJ150" s="357"/>
      <c r="DK150" s="357"/>
      <c r="DL150" s="357"/>
      <c r="DM150" s="357"/>
      <c r="DN150" s="357"/>
      <c r="DO150" s="357"/>
      <c r="DP150" s="357"/>
      <c r="DQ150" s="357"/>
      <c r="DR150" s="357"/>
      <c r="DS150" s="357"/>
      <c r="DT150" s="357"/>
      <c r="DU150" s="357"/>
      <c r="DV150" s="357"/>
      <c r="DW150" s="357"/>
      <c r="DX150" s="357"/>
      <c r="DY150" s="357"/>
      <c r="DZ150" s="357"/>
      <c r="EA150" s="357"/>
      <c r="EB150" s="357"/>
      <c r="EC150" s="357"/>
      <c r="ED150" s="357"/>
      <c r="EE150" s="357"/>
      <c r="EF150" s="357"/>
      <c r="EG150" s="357"/>
      <c r="EH150" s="357"/>
      <c r="EI150" s="357"/>
      <c r="EJ150" s="357"/>
      <c r="EK150" s="357"/>
      <c r="EL150" s="357"/>
      <c r="EM150" s="357"/>
      <c r="EN150" s="357"/>
      <c r="EO150" s="357"/>
      <c r="EP150" s="357"/>
      <c r="EQ150" s="357"/>
      <c r="ER150" s="357"/>
      <c r="ES150" s="357"/>
      <c r="ET150" s="357"/>
      <c r="EU150" s="357"/>
      <c r="EV150" s="357"/>
      <c r="EW150" s="357"/>
      <c r="EX150" s="357"/>
      <c r="EY150" s="357"/>
      <c r="EZ150" s="357"/>
      <c r="FA150" s="357"/>
      <c r="FB150" s="357"/>
      <c r="FC150" s="357"/>
      <c r="FD150" s="357"/>
      <c r="FE150" s="357"/>
      <c r="FF150" s="357"/>
      <c r="FG150" s="357"/>
      <c r="FH150" s="357"/>
      <c r="FI150" s="357"/>
      <c r="FJ150" s="357"/>
      <c r="FK150" s="357"/>
      <c r="FL150" s="357"/>
      <c r="FM150" s="357"/>
      <c r="FN150" s="357"/>
      <c r="FO150" s="357"/>
      <c r="FP150" s="357"/>
      <c r="FQ150" s="357"/>
      <c r="FR150" s="357"/>
      <c r="FS150" s="357"/>
      <c r="FT150" s="357"/>
      <c r="FU150" s="357"/>
      <c r="FV150" s="357"/>
      <c r="FW150" s="357"/>
      <c r="FX150" s="357"/>
      <c r="FY150" s="357"/>
      <c r="FZ150" s="357"/>
      <c r="GA150" s="357"/>
      <c r="GB150" s="357"/>
      <c r="GC150" s="357"/>
      <c r="GD150" s="357"/>
      <c r="GE150" s="357"/>
      <c r="GF150" s="357"/>
      <c r="GG150" s="357"/>
      <c r="GH150" s="357"/>
      <c r="GI150" s="357"/>
      <c r="GJ150" s="357"/>
      <c r="GK150" s="154"/>
      <c r="GL150" s="154"/>
      <c r="GM150" s="154"/>
      <c r="GN150" s="154"/>
      <c r="GO150" s="154"/>
      <c r="GP150" s="154"/>
      <c r="GQ150" s="154"/>
      <c r="GR150" s="154"/>
      <c r="GS150" s="154"/>
      <c r="GT150" s="154"/>
      <c r="GU150" s="154"/>
      <c r="GV150" s="154"/>
      <c r="GW150" s="154"/>
      <c r="GX150" s="154"/>
    </row>
    <row r="151" spans="7:206">
      <c r="G151" s="154"/>
      <c r="H151" s="154"/>
      <c r="I151" s="154"/>
      <c r="J151" s="154"/>
      <c r="K151" s="154"/>
      <c r="L151" s="154"/>
      <c r="M151" s="154"/>
      <c r="N151" s="154"/>
      <c r="O151" s="154"/>
      <c r="P151" s="154"/>
      <c r="Q151" s="154"/>
      <c r="R151" s="154"/>
      <c r="S151" s="154"/>
      <c r="T151" s="154"/>
      <c r="U151" s="154"/>
      <c r="V151" s="154"/>
      <c r="W151" s="154"/>
      <c r="X151" s="154"/>
      <c r="Y151" s="154"/>
      <c r="Z151" s="357"/>
      <c r="AA151" s="357"/>
      <c r="AB151" s="357"/>
      <c r="AC151" s="357"/>
      <c r="AD151" s="357"/>
      <c r="AE151" s="357"/>
      <c r="AF151" s="357"/>
      <c r="AG151" s="357"/>
      <c r="AH151" s="357"/>
      <c r="AI151" s="357"/>
      <c r="AJ151" s="357"/>
      <c r="AK151" s="357"/>
      <c r="AL151" s="357"/>
      <c r="AM151" s="357"/>
      <c r="AN151" s="357"/>
      <c r="AO151" s="357"/>
      <c r="AP151" s="357"/>
      <c r="AQ151" s="357"/>
      <c r="AR151" s="357"/>
      <c r="AS151" s="357"/>
      <c r="AT151" s="357"/>
      <c r="AU151" s="357"/>
      <c r="AV151" s="357"/>
      <c r="AW151" s="357"/>
      <c r="AX151" s="357"/>
      <c r="AY151" s="357"/>
      <c r="AZ151" s="357"/>
      <c r="BA151" s="357"/>
      <c r="BB151" s="357"/>
      <c r="BC151" s="357"/>
      <c r="BD151" s="357"/>
      <c r="BE151" s="357"/>
      <c r="BF151" s="357"/>
      <c r="BG151" s="357"/>
      <c r="BH151" s="357"/>
      <c r="BI151" s="357"/>
      <c r="BJ151" s="357"/>
      <c r="BK151" s="357"/>
      <c r="BL151" s="357"/>
      <c r="BM151" s="357"/>
      <c r="BN151" s="357"/>
      <c r="BO151" s="357"/>
      <c r="BP151" s="357"/>
      <c r="BQ151" s="357"/>
      <c r="BR151" s="357"/>
      <c r="BS151" s="357"/>
      <c r="BT151" s="357"/>
      <c r="BU151" s="357"/>
      <c r="BV151" s="357"/>
      <c r="BW151" s="357"/>
      <c r="BX151" s="357"/>
      <c r="BY151" s="357"/>
      <c r="BZ151" s="357"/>
      <c r="CA151" s="357"/>
      <c r="CB151" s="357"/>
      <c r="CC151" s="357"/>
      <c r="CD151" s="357"/>
      <c r="CE151" s="357"/>
      <c r="CF151" s="357"/>
      <c r="CG151" s="357"/>
      <c r="CH151" s="357"/>
      <c r="CI151" s="357"/>
      <c r="CJ151" s="357"/>
      <c r="CK151" s="357"/>
      <c r="CL151" s="357"/>
      <c r="CM151" s="357"/>
      <c r="CN151" s="357"/>
      <c r="CO151" s="357"/>
      <c r="CP151" s="357"/>
      <c r="CQ151" s="357"/>
      <c r="CR151" s="357"/>
      <c r="CS151" s="357"/>
      <c r="CT151" s="357"/>
      <c r="CU151" s="357"/>
      <c r="CV151" s="357"/>
      <c r="CW151" s="357"/>
      <c r="CX151" s="357"/>
      <c r="CY151" s="357"/>
      <c r="CZ151" s="357"/>
      <c r="DA151" s="357"/>
      <c r="DB151" s="357"/>
      <c r="DC151" s="357"/>
      <c r="DD151" s="357"/>
      <c r="DE151" s="357"/>
      <c r="DF151" s="357"/>
      <c r="DG151" s="357"/>
      <c r="DH151" s="357"/>
      <c r="DI151" s="357"/>
      <c r="DJ151" s="357"/>
      <c r="DK151" s="357"/>
      <c r="DL151" s="357"/>
      <c r="DM151" s="357"/>
      <c r="DN151" s="357"/>
      <c r="DO151" s="357"/>
      <c r="DP151" s="357"/>
      <c r="DQ151" s="357"/>
      <c r="DR151" s="357"/>
      <c r="DS151" s="357"/>
      <c r="DT151" s="357"/>
      <c r="DU151" s="357"/>
      <c r="DV151" s="357"/>
      <c r="DW151" s="357"/>
      <c r="DX151" s="357"/>
      <c r="DY151" s="357"/>
      <c r="DZ151" s="357"/>
      <c r="EA151" s="357"/>
      <c r="EB151" s="357"/>
      <c r="EC151" s="357"/>
      <c r="ED151" s="357"/>
      <c r="EE151" s="357"/>
      <c r="EF151" s="357"/>
      <c r="EG151" s="357"/>
      <c r="EH151" s="357"/>
      <c r="EI151" s="357"/>
      <c r="EJ151" s="357"/>
      <c r="EK151" s="357"/>
      <c r="EL151" s="357"/>
      <c r="EM151" s="357"/>
      <c r="EN151" s="357"/>
      <c r="EO151" s="357"/>
      <c r="EP151" s="357"/>
      <c r="EQ151" s="357"/>
      <c r="ER151" s="357"/>
      <c r="ES151" s="357"/>
      <c r="ET151" s="357"/>
      <c r="EU151" s="357"/>
      <c r="EV151" s="357"/>
      <c r="EW151" s="357"/>
      <c r="EX151" s="357"/>
      <c r="EY151" s="357"/>
      <c r="EZ151" s="357"/>
      <c r="FA151" s="357"/>
      <c r="FB151" s="357"/>
      <c r="FC151" s="357"/>
      <c r="FD151" s="357"/>
      <c r="FE151" s="357"/>
      <c r="FF151" s="357"/>
      <c r="FG151" s="357"/>
      <c r="FH151" s="357"/>
      <c r="FI151" s="357"/>
      <c r="FJ151" s="357"/>
      <c r="FK151" s="357"/>
      <c r="FL151" s="357"/>
      <c r="FM151" s="357"/>
      <c r="FN151" s="357"/>
      <c r="FO151" s="357"/>
      <c r="FP151" s="357"/>
      <c r="FQ151" s="357"/>
      <c r="FR151" s="357"/>
      <c r="FS151" s="357"/>
      <c r="FT151" s="357"/>
      <c r="FU151" s="357"/>
      <c r="FV151" s="357"/>
      <c r="FW151" s="357"/>
      <c r="FX151" s="357"/>
      <c r="FY151" s="357"/>
      <c r="FZ151" s="357"/>
      <c r="GA151" s="357"/>
      <c r="GB151" s="357"/>
      <c r="GC151" s="357"/>
      <c r="GD151" s="357"/>
      <c r="GE151" s="357"/>
      <c r="GF151" s="357"/>
      <c r="GG151" s="357"/>
      <c r="GH151" s="357"/>
      <c r="GI151" s="357"/>
      <c r="GJ151" s="357"/>
      <c r="GK151" s="154"/>
      <c r="GL151" s="154"/>
      <c r="GM151" s="154"/>
      <c r="GN151" s="154"/>
      <c r="GO151" s="154"/>
      <c r="GP151" s="154"/>
      <c r="GQ151" s="154"/>
      <c r="GR151" s="154"/>
      <c r="GS151" s="154"/>
      <c r="GT151" s="154"/>
      <c r="GU151" s="154"/>
      <c r="GV151" s="154"/>
      <c r="GW151" s="154"/>
      <c r="GX151" s="154"/>
    </row>
    <row r="152" spans="7:206">
      <c r="G152" s="154"/>
      <c r="H152" s="154"/>
      <c r="I152" s="154"/>
      <c r="J152" s="154"/>
      <c r="K152" s="154"/>
      <c r="L152" s="154"/>
      <c r="M152" s="154"/>
      <c r="N152" s="154"/>
      <c r="O152" s="154"/>
      <c r="P152" s="154"/>
      <c r="Q152" s="154"/>
      <c r="R152" s="154"/>
      <c r="S152" s="154"/>
      <c r="T152" s="154"/>
      <c r="U152" s="154"/>
      <c r="V152" s="154"/>
      <c r="W152" s="154"/>
      <c r="X152" s="154"/>
      <c r="Y152" s="154"/>
      <c r="Z152" s="357"/>
      <c r="AA152" s="357"/>
      <c r="AB152" s="357"/>
      <c r="AC152" s="357"/>
      <c r="AD152" s="357"/>
      <c r="AE152" s="357"/>
      <c r="AF152" s="357"/>
      <c r="AG152" s="357"/>
      <c r="AH152" s="357"/>
      <c r="AI152" s="357"/>
      <c r="AJ152" s="357"/>
      <c r="AK152" s="357"/>
      <c r="AL152" s="357"/>
      <c r="AM152" s="357"/>
      <c r="AN152" s="357"/>
      <c r="AO152" s="357"/>
      <c r="AP152" s="357"/>
      <c r="AQ152" s="357"/>
      <c r="AR152" s="357"/>
      <c r="AS152" s="357"/>
      <c r="AT152" s="357"/>
      <c r="AU152" s="357"/>
      <c r="AV152" s="357"/>
      <c r="AW152" s="357"/>
      <c r="AX152" s="357"/>
      <c r="AY152" s="357"/>
      <c r="AZ152" s="357"/>
      <c r="BA152" s="357"/>
      <c r="BB152" s="357"/>
      <c r="BC152" s="357"/>
      <c r="BD152" s="357"/>
      <c r="BE152" s="357"/>
      <c r="BF152" s="357"/>
      <c r="BG152" s="357"/>
      <c r="BH152" s="357"/>
      <c r="BI152" s="357"/>
      <c r="BJ152" s="357"/>
      <c r="BK152" s="357"/>
      <c r="BL152" s="357"/>
      <c r="BM152" s="357"/>
      <c r="BN152" s="357"/>
      <c r="BO152" s="357"/>
      <c r="BP152" s="357"/>
      <c r="BQ152" s="357"/>
      <c r="BR152" s="357"/>
      <c r="BS152" s="357"/>
      <c r="BT152" s="357"/>
      <c r="BU152" s="357"/>
      <c r="BV152" s="357"/>
      <c r="BW152" s="357"/>
      <c r="BX152" s="357"/>
      <c r="BY152" s="357"/>
      <c r="BZ152" s="357"/>
      <c r="CA152" s="357"/>
      <c r="CB152" s="357"/>
      <c r="CC152" s="357"/>
      <c r="CD152" s="357"/>
      <c r="CE152" s="357"/>
      <c r="CF152" s="357"/>
      <c r="CG152" s="357"/>
      <c r="CH152" s="357"/>
      <c r="CI152" s="357"/>
      <c r="CJ152" s="357"/>
      <c r="CK152" s="357"/>
      <c r="CL152" s="357"/>
      <c r="CM152" s="357"/>
      <c r="CN152" s="357"/>
      <c r="CO152" s="357"/>
      <c r="CP152" s="357"/>
      <c r="CQ152" s="357"/>
      <c r="CR152" s="357"/>
      <c r="CS152" s="357"/>
      <c r="CT152" s="357"/>
      <c r="CU152" s="357"/>
      <c r="CV152" s="357"/>
      <c r="CW152" s="357"/>
      <c r="CX152" s="357"/>
      <c r="CY152" s="357"/>
      <c r="CZ152" s="357"/>
      <c r="DA152" s="357"/>
      <c r="DB152" s="357"/>
      <c r="DC152" s="357"/>
      <c r="DD152" s="357"/>
      <c r="DE152" s="357"/>
      <c r="DF152" s="357"/>
      <c r="DG152" s="357"/>
      <c r="DH152" s="357"/>
      <c r="DI152" s="357"/>
      <c r="DJ152" s="357"/>
      <c r="DK152" s="357"/>
      <c r="DL152" s="357"/>
      <c r="DM152" s="357"/>
      <c r="DN152" s="357"/>
      <c r="DO152" s="357"/>
      <c r="DP152" s="357"/>
      <c r="DQ152" s="357"/>
      <c r="DR152" s="357"/>
      <c r="DS152" s="357"/>
      <c r="DT152" s="357"/>
      <c r="DU152" s="357"/>
      <c r="DV152" s="357"/>
      <c r="DW152" s="357"/>
      <c r="DX152" s="357"/>
      <c r="DY152" s="357"/>
      <c r="DZ152" s="357"/>
      <c r="EA152" s="357"/>
      <c r="EB152" s="357"/>
      <c r="EC152" s="357"/>
      <c r="ED152" s="357"/>
      <c r="EE152" s="357"/>
      <c r="EF152" s="357"/>
      <c r="EG152" s="357"/>
      <c r="EH152" s="357"/>
      <c r="EI152" s="357"/>
      <c r="EJ152" s="357"/>
      <c r="EK152" s="357"/>
      <c r="EL152" s="357"/>
      <c r="EM152" s="357"/>
      <c r="EN152" s="357"/>
      <c r="EO152" s="357"/>
      <c r="EP152" s="357"/>
      <c r="EQ152" s="357"/>
      <c r="ER152" s="357"/>
      <c r="ES152" s="357"/>
      <c r="ET152" s="357"/>
      <c r="EU152" s="357"/>
      <c r="EV152" s="357"/>
      <c r="EW152" s="357"/>
      <c r="EX152" s="357"/>
      <c r="EY152" s="357"/>
      <c r="EZ152" s="357"/>
      <c r="FA152" s="357"/>
      <c r="FB152" s="357"/>
      <c r="FC152" s="357"/>
      <c r="FD152" s="357"/>
      <c r="FE152" s="357"/>
      <c r="FF152" s="357"/>
      <c r="FG152" s="357"/>
      <c r="FH152" s="357"/>
      <c r="FI152" s="357"/>
      <c r="FJ152" s="357"/>
      <c r="FK152" s="357"/>
      <c r="FL152" s="357"/>
      <c r="FM152" s="357"/>
      <c r="FN152" s="357"/>
      <c r="FO152" s="357"/>
      <c r="FP152" s="357"/>
      <c r="FQ152" s="357"/>
      <c r="FR152" s="357"/>
      <c r="FS152" s="357"/>
      <c r="FT152" s="357"/>
      <c r="FU152" s="357"/>
      <c r="FV152" s="357"/>
      <c r="FW152" s="357"/>
      <c r="FX152" s="357"/>
      <c r="FY152" s="357"/>
      <c r="FZ152" s="357"/>
      <c r="GA152" s="357"/>
      <c r="GB152" s="357"/>
      <c r="GC152" s="357"/>
      <c r="GD152" s="357"/>
      <c r="GE152" s="357"/>
      <c r="GF152" s="357"/>
      <c r="GG152" s="357"/>
      <c r="GH152" s="357"/>
      <c r="GI152" s="357"/>
      <c r="GJ152" s="357"/>
      <c r="GK152" s="154"/>
      <c r="GL152" s="154"/>
      <c r="GM152" s="154"/>
      <c r="GN152" s="154"/>
      <c r="GO152" s="154"/>
      <c r="GP152" s="154"/>
      <c r="GQ152" s="154"/>
      <c r="GR152" s="154"/>
      <c r="GS152" s="154"/>
      <c r="GT152" s="154"/>
      <c r="GU152" s="154"/>
      <c r="GV152" s="154"/>
      <c r="GW152" s="154"/>
      <c r="GX152" s="154"/>
    </row>
    <row r="153" spans="7:206">
      <c r="G153" s="154"/>
      <c r="H153" s="154"/>
      <c r="I153" s="154"/>
      <c r="J153" s="154"/>
      <c r="K153" s="154"/>
      <c r="L153" s="154"/>
      <c r="M153" s="154"/>
      <c r="N153" s="154"/>
      <c r="O153" s="154"/>
      <c r="P153" s="154"/>
      <c r="Q153" s="154"/>
      <c r="R153" s="154"/>
      <c r="S153" s="154"/>
      <c r="T153" s="154"/>
      <c r="U153" s="154"/>
      <c r="V153" s="154"/>
      <c r="W153" s="154"/>
      <c r="X153" s="154"/>
      <c r="Y153" s="154"/>
      <c r="Z153" s="357"/>
      <c r="AA153" s="357"/>
      <c r="AB153" s="357"/>
      <c r="AC153" s="357"/>
      <c r="AD153" s="357"/>
      <c r="AE153" s="357"/>
      <c r="AF153" s="357"/>
      <c r="AG153" s="357"/>
      <c r="AH153" s="357"/>
      <c r="AI153" s="357"/>
      <c r="AJ153" s="357"/>
      <c r="AK153" s="357"/>
      <c r="AL153" s="357"/>
      <c r="AM153" s="357"/>
      <c r="AN153" s="357"/>
      <c r="AO153" s="357"/>
      <c r="AP153" s="357"/>
      <c r="AQ153" s="357"/>
      <c r="AR153" s="357"/>
      <c r="AS153" s="357"/>
      <c r="AT153" s="357"/>
      <c r="AU153" s="357"/>
      <c r="AV153" s="357"/>
      <c r="AW153" s="357"/>
      <c r="AX153" s="357"/>
      <c r="AY153" s="357"/>
      <c r="AZ153" s="357"/>
      <c r="BA153" s="357"/>
      <c r="BB153" s="357"/>
      <c r="BC153" s="357"/>
      <c r="BD153" s="357"/>
      <c r="BE153" s="357"/>
      <c r="BF153" s="357"/>
      <c r="BG153" s="357"/>
      <c r="BH153" s="357"/>
      <c r="BI153" s="357"/>
      <c r="BJ153" s="357"/>
      <c r="BK153" s="357"/>
      <c r="BL153" s="357"/>
      <c r="BM153" s="357"/>
      <c r="BN153" s="357"/>
      <c r="BO153" s="357"/>
      <c r="BP153" s="357"/>
      <c r="BQ153" s="357"/>
      <c r="BR153" s="357"/>
      <c r="BS153" s="357"/>
      <c r="BT153" s="357"/>
      <c r="BU153" s="357"/>
      <c r="BV153" s="357"/>
      <c r="BW153" s="357"/>
      <c r="BX153" s="357"/>
      <c r="BY153" s="357"/>
      <c r="BZ153" s="357"/>
      <c r="CA153" s="357"/>
      <c r="CB153" s="357"/>
      <c r="CC153" s="357"/>
      <c r="CD153" s="357"/>
      <c r="CE153" s="357"/>
      <c r="CF153" s="357"/>
      <c r="CG153" s="357"/>
      <c r="CH153" s="357"/>
      <c r="CI153" s="357"/>
      <c r="CJ153" s="357"/>
      <c r="CK153" s="357"/>
      <c r="CL153" s="357"/>
      <c r="CM153" s="357"/>
      <c r="CN153" s="357"/>
      <c r="CO153" s="357"/>
      <c r="CP153" s="357"/>
      <c r="CQ153" s="357"/>
      <c r="CR153" s="357"/>
      <c r="CS153" s="357"/>
      <c r="CT153" s="357"/>
      <c r="CU153" s="357"/>
      <c r="CV153" s="357"/>
      <c r="CW153" s="357"/>
      <c r="CX153" s="357"/>
      <c r="CY153" s="357"/>
      <c r="CZ153" s="357"/>
      <c r="DA153" s="357"/>
      <c r="DB153" s="357"/>
      <c r="DC153" s="357"/>
      <c r="DD153" s="357"/>
      <c r="DE153" s="357"/>
      <c r="DF153" s="357"/>
      <c r="DG153" s="357"/>
      <c r="DH153" s="357"/>
      <c r="DI153" s="357"/>
      <c r="DJ153" s="357"/>
      <c r="DK153" s="357"/>
      <c r="DL153" s="357"/>
      <c r="DM153" s="357"/>
      <c r="DN153" s="357"/>
      <c r="DO153" s="357"/>
      <c r="DP153" s="357"/>
      <c r="DQ153" s="357"/>
      <c r="DR153" s="357"/>
      <c r="DS153" s="357"/>
      <c r="DT153" s="357"/>
      <c r="DU153" s="357"/>
      <c r="DV153" s="357"/>
      <c r="DW153" s="357"/>
      <c r="DX153" s="357"/>
      <c r="DY153" s="357"/>
      <c r="DZ153" s="357"/>
      <c r="EA153" s="357"/>
      <c r="EB153" s="357"/>
      <c r="EC153" s="357"/>
      <c r="ED153" s="357"/>
      <c r="EE153" s="357"/>
      <c r="EF153" s="357"/>
      <c r="EG153" s="357"/>
      <c r="EH153" s="357"/>
      <c r="EI153" s="357"/>
      <c r="EJ153" s="357"/>
      <c r="EK153" s="357"/>
      <c r="EL153" s="357"/>
      <c r="EM153" s="357"/>
      <c r="EN153" s="357"/>
      <c r="EO153" s="357"/>
      <c r="EP153" s="357"/>
      <c r="EQ153" s="357"/>
      <c r="ER153" s="357"/>
      <c r="ES153" s="357"/>
      <c r="ET153" s="357"/>
      <c r="EU153" s="357"/>
      <c r="EV153" s="357"/>
      <c r="EW153" s="357"/>
      <c r="EX153" s="357"/>
      <c r="EY153" s="357"/>
      <c r="EZ153" s="357"/>
      <c r="FA153" s="357"/>
      <c r="FB153" s="357"/>
      <c r="FC153" s="357"/>
      <c r="FD153" s="357"/>
      <c r="FE153" s="357"/>
      <c r="FF153" s="357"/>
      <c r="FG153" s="357"/>
      <c r="FH153" s="357"/>
      <c r="FI153" s="357"/>
      <c r="FJ153" s="357"/>
      <c r="FK153" s="357"/>
      <c r="FL153" s="357"/>
      <c r="FM153" s="357"/>
      <c r="FN153" s="357"/>
      <c r="FO153" s="357"/>
      <c r="FP153" s="357"/>
      <c r="FQ153" s="357"/>
      <c r="FR153" s="357"/>
      <c r="FS153" s="357"/>
      <c r="FT153" s="357"/>
      <c r="FU153" s="357"/>
      <c r="FV153" s="357"/>
      <c r="FW153" s="357"/>
      <c r="FX153" s="357"/>
      <c r="FY153" s="357"/>
      <c r="FZ153" s="357"/>
      <c r="GA153" s="357"/>
      <c r="GB153" s="357"/>
      <c r="GC153" s="357"/>
      <c r="GD153" s="357"/>
      <c r="GE153" s="357"/>
      <c r="GF153" s="357"/>
      <c r="GG153" s="357"/>
      <c r="GH153" s="357"/>
      <c r="GI153" s="357"/>
      <c r="GJ153" s="357"/>
      <c r="GK153" s="154"/>
      <c r="GL153" s="154"/>
      <c r="GM153" s="154"/>
      <c r="GN153" s="154"/>
      <c r="GO153" s="154"/>
      <c r="GP153" s="154"/>
      <c r="GQ153" s="154"/>
      <c r="GR153" s="154"/>
      <c r="GS153" s="154"/>
      <c r="GT153" s="154"/>
      <c r="GU153" s="154"/>
      <c r="GV153" s="154"/>
      <c r="GW153" s="154"/>
      <c r="GX153" s="154"/>
    </row>
    <row r="154" spans="7:206">
      <c r="G154" s="154"/>
      <c r="H154" s="154"/>
      <c r="I154" s="154"/>
      <c r="J154" s="154"/>
      <c r="K154" s="154"/>
      <c r="L154" s="154"/>
      <c r="M154" s="154"/>
      <c r="N154" s="154"/>
      <c r="O154" s="154"/>
      <c r="P154" s="154"/>
      <c r="Q154" s="154"/>
      <c r="R154" s="154"/>
      <c r="S154" s="154"/>
      <c r="T154" s="154"/>
      <c r="U154" s="154"/>
      <c r="V154" s="154"/>
      <c r="W154" s="154"/>
      <c r="X154" s="154"/>
      <c r="Y154" s="154"/>
      <c r="Z154" s="357"/>
      <c r="AA154" s="357"/>
      <c r="AB154" s="357"/>
      <c r="AC154" s="357"/>
      <c r="AD154" s="357"/>
      <c r="AE154" s="357"/>
      <c r="AF154" s="357"/>
      <c r="AG154" s="357"/>
      <c r="AH154" s="357"/>
      <c r="AI154" s="357"/>
      <c r="AJ154" s="357"/>
      <c r="AK154" s="357"/>
      <c r="AL154" s="357"/>
      <c r="AM154" s="357"/>
      <c r="AN154" s="357"/>
      <c r="AO154" s="357"/>
      <c r="AP154" s="357"/>
      <c r="AQ154" s="357"/>
      <c r="AR154" s="357"/>
      <c r="AS154" s="357"/>
      <c r="AT154" s="357"/>
      <c r="AU154" s="357"/>
      <c r="AV154" s="357"/>
      <c r="AW154" s="357"/>
      <c r="AX154" s="357"/>
      <c r="AY154" s="357"/>
      <c r="AZ154" s="357"/>
      <c r="BA154" s="357"/>
      <c r="BB154" s="357"/>
      <c r="BC154" s="357"/>
      <c r="BD154" s="357"/>
      <c r="BE154" s="357"/>
      <c r="BF154" s="357"/>
      <c r="BG154" s="357"/>
      <c r="BH154" s="357"/>
      <c r="BI154" s="357"/>
      <c r="BJ154" s="357"/>
      <c r="BK154" s="357"/>
      <c r="BL154" s="357"/>
      <c r="BM154" s="357"/>
      <c r="BN154" s="357"/>
      <c r="BO154" s="357"/>
      <c r="BP154" s="357"/>
      <c r="BQ154" s="357"/>
      <c r="BR154" s="357"/>
      <c r="BS154" s="357"/>
      <c r="BT154" s="357"/>
      <c r="BU154" s="357"/>
      <c r="BV154" s="357"/>
      <c r="BW154" s="357"/>
      <c r="BX154" s="357"/>
      <c r="BY154" s="357"/>
      <c r="BZ154" s="357"/>
      <c r="CA154" s="357"/>
      <c r="CB154" s="357"/>
      <c r="CC154" s="357"/>
      <c r="CD154" s="357"/>
      <c r="CE154" s="357"/>
      <c r="CF154" s="357"/>
      <c r="CG154" s="357"/>
      <c r="CH154" s="357"/>
      <c r="CI154" s="357"/>
      <c r="CJ154" s="357"/>
      <c r="CK154" s="357"/>
      <c r="CL154" s="357"/>
      <c r="CM154" s="357"/>
      <c r="CN154" s="357"/>
      <c r="CO154" s="357"/>
      <c r="CP154" s="357"/>
      <c r="CQ154" s="357"/>
      <c r="CR154" s="357"/>
      <c r="CS154" s="357"/>
      <c r="CT154" s="357"/>
      <c r="CU154" s="357"/>
      <c r="CV154" s="357"/>
      <c r="CW154" s="357"/>
      <c r="CX154" s="357"/>
      <c r="CY154" s="357"/>
      <c r="CZ154" s="357"/>
      <c r="DA154" s="357"/>
      <c r="DB154" s="357"/>
      <c r="DC154" s="357"/>
      <c r="DD154" s="357"/>
      <c r="DE154" s="357"/>
      <c r="DF154" s="357"/>
      <c r="DG154" s="357"/>
      <c r="DH154" s="357"/>
      <c r="DI154" s="357"/>
      <c r="DJ154" s="357"/>
      <c r="DK154" s="357"/>
      <c r="DL154" s="357"/>
      <c r="DM154" s="357"/>
      <c r="DN154" s="357"/>
      <c r="DO154" s="357"/>
      <c r="DP154" s="357"/>
      <c r="DQ154" s="357"/>
      <c r="DR154" s="357"/>
      <c r="DS154" s="357"/>
      <c r="DT154" s="357"/>
      <c r="DU154" s="357"/>
      <c r="DV154" s="357"/>
      <c r="DW154" s="357"/>
      <c r="DX154" s="357"/>
      <c r="DY154" s="357"/>
      <c r="DZ154" s="357"/>
      <c r="EA154" s="357"/>
      <c r="EB154" s="357"/>
      <c r="EC154" s="357"/>
      <c r="ED154" s="357"/>
      <c r="EE154" s="357"/>
      <c r="EF154" s="357"/>
      <c r="EG154" s="357"/>
      <c r="EH154" s="357"/>
      <c r="EI154" s="357"/>
      <c r="EJ154" s="357"/>
      <c r="EK154" s="357"/>
      <c r="EL154" s="357"/>
      <c r="EM154" s="357"/>
      <c r="EN154" s="357"/>
      <c r="EO154" s="357"/>
      <c r="EP154" s="357"/>
      <c r="EQ154" s="357"/>
      <c r="ER154" s="357"/>
      <c r="ES154" s="357"/>
      <c r="ET154" s="357"/>
      <c r="EU154" s="357"/>
      <c r="EV154" s="357"/>
      <c r="EW154" s="357"/>
      <c r="EX154" s="357"/>
      <c r="EY154" s="357"/>
      <c r="EZ154" s="357"/>
      <c r="FA154" s="357"/>
      <c r="FB154" s="357"/>
      <c r="FC154" s="357"/>
      <c r="FD154" s="357"/>
      <c r="FE154" s="357"/>
      <c r="FF154" s="357"/>
      <c r="FG154" s="357"/>
      <c r="FH154" s="357"/>
      <c r="FI154" s="357"/>
      <c r="FJ154" s="357"/>
      <c r="FK154" s="357"/>
      <c r="FL154" s="357"/>
      <c r="FM154" s="357"/>
      <c r="FN154" s="357"/>
      <c r="FO154" s="357"/>
      <c r="FP154" s="357"/>
      <c r="FQ154" s="357"/>
      <c r="FR154" s="357"/>
      <c r="FS154" s="357"/>
      <c r="FT154" s="357"/>
      <c r="FU154" s="357"/>
      <c r="FV154" s="357"/>
      <c r="FW154" s="357"/>
      <c r="FX154" s="357"/>
      <c r="FY154" s="357"/>
      <c r="FZ154" s="357"/>
      <c r="GA154" s="357"/>
      <c r="GB154" s="357"/>
      <c r="GC154" s="357"/>
      <c r="GD154" s="357"/>
      <c r="GE154" s="357"/>
      <c r="GF154" s="357"/>
      <c r="GG154" s="357"/>
      <c r="GH154" s="357"/>
      <c r="GI154" s="357"/>
      <c r="GJ154" s="357"/>
      <c r="GK154" s="154"/>
      <c r="GL154" s="154"/>
      <c r="GM154" s="154"/>
      <c r="GN154" s="154"/>
      <c r="GO154" s="154"/>
      <c r="GP154" s="154"/>
      <c r="GQ154" s="154"/>
      <c r="GR154" s="154"/>
      <c r="GS154" s="154"/>
      <c r="GT154" s="154"/>
      <c r="GU154" s="154"/>
      <c r="GV154" s="154"/>
      <c r="GW154" s="154"/>
      <c r="GX154" s="154"/>
    </row>
    <row r="155" spans="7:206">
      <c r="G155" s="154"/>
      <c r="H155" s="154"/>
      <c r="I155" s="154"/>
      <c r="J155" s="154"/>
      <c r="K155" s="154"/>
      <c r="L155" s="154"/>
      <c r="M155" s="154"/>
      <c r="N155" s="154"/>
      <c r="O155" s="154"/>
      <c r="P155" s="154"/>
      <c r="Q155" s="154"/>
      <c r="R155" s="154"/>
      <c r="S155" s="154"/>
      <c r="T155" s="154"/>
      <c r="U155" s="154"/>
      <c r="V155" s="154"/>
      <c r="W155" s="154"/>
      <c r="X155" s="154"/>
      <c r="Y155" s="154"/>
      <c r="Z155" s="357"/>
      <c r="AA155" s="357"/>
      <c r="AB155" s="357"/>
      <c r="AC155" s="357"/>
      <c r="AD155" s="357"/>
      <c r="AE155" s="357"/>
      <c r="AF155" s="357"/>
      <c r="AG155" s="357"/>
      <c r="AH155" s="357"/>
      <c r="AI155" s="357"/>
      <c r="AJ155" s="357"/>
      <c r="AK155" s="357"/>
      <c r="AL155" s="357"/>
      <c r="AM155" s="357"/>
      <c r="AN155" s="357"/>
      <c r="AO155" s="357"/>
      <c r="AP155" s="357"/>
      <c r="AQ155" s="357"/>
      <c r="AR155" s="357"/>
      <c r="AS155" s="357"/>
      <c r="AT155" s="357"/>
      <c r="AU155" s="357"/>
      <c r="AV155" s="357"/>
      <c r="AW155" s="357"/>
      <c r="AX155" s="357"/>
      <c r="AY155" s="357"/>
      <c r="AZ155" s="357"/>
      <c r="BA155" s="357"/>
      <c r="BB155" s="357"/>
      <c r="BC155" s="357"/>
      <c r="BD155" s="357"/>
      <c r="BE155" s="357"/>
      <c r="BF155" s="357"/>
      <c r="BG155" s="357"/>
      <c r="BH155" s="357"/>
      <c r="BI155" s="357"/>
      <c r="BJ155" s="357"/>
      <c r="BK155" s="357"/>
      <c r="BL155" s="357"/>
      <c r="BM155" s="357"/>
      <c r="BN155" s="357"/>
      <c r="BO155" s="357"/>
      <c r="BP155" s="357"/>
      <c r="BQ155" s="357"/>
      <c r="BR155" s="357"/>
      <c r="BS155" s="357"/>
      <c r="BT155" s="357"/>
      <c r="BU155" s="357"/>
      <c r="BV155" s="357"/>
      <c r="BW155" s="357"/>
      <c r="BX155" s="357"/>
      <c r="BY155" s="357"/>
      <c r="BZ155" s="357"/>
      <c r="CA155" s="357"/>
      <c r="CB155" s="357"/>
      <c r="CC155" s="357"/>
      <c r="CD155" s="357"/>
      <c r="CE155" s="357"/>
      <c r="CF155" s="357"/>
      <c r="CG155" s="357"/>
      <c r="CH155" s="357"/>
      <c r="CI155" s="357"/>
      <c r="CJ155" s="357"/>
      <c r="CK155" s="357"/>
      <c r="CL155" s="357"/>
      <c r="CM155" s="357"/>
      <c r="CN155" s="357"/>
      <c r="CO155" s="357"/>
      <c r="CP155" s="357"/>
      <c r="CQ155" s="357"/>
      <c r="CR155" s="357"/>
      <c r="CS155" s="357"/>
      <c r="CT155" s="357"/>
      <c r="CU155" s="357"/>
      <c r="CV155" s="357"/>
      <c r="CW155" s="357"/>
      <c r="CX155" s="357"/>
      <c r="CY155" s="357"/>
      <c r="CZ155" s="357"/>
      <c r="DA155" s="357"/>
      <c r="DB155" s="357"/>
      <c r="DC155" s="357"/>
      <c r="DD155" s="357"/>
      <c r="DE155" s="357"/>
      <c r="DF155" s="357"/>
      <c r="DG155" s="357"/>
      <c r="DH155" s="357"/>
      <c r="DI155" s="357"/>
      <c r="DJ155" s="357"/>
      <c r="DK155" s="357"/>
      <c r="DL155" s="357"/>
      <c r="DM155" s="357"/>
      <c r="DN155" s="357"/>
      <c r="DO155" s="357"/>
      <c r="DP155" s="357"/>
      <c r="DQ155" s="357"/>
      <c r="DR155" s="357"/>
      <c r="DS155" s="357"/>
      <c r="DT155" s="357"/>
      <c r="DU155" s="357"/>
      <c r="DV155" s="357"/>
      <c r="DW155" s="357"/>
      <c r="DX155" s="357"/>
      <c r="DY155" s="357"/>
      <c r="DZ155" s="357"/>
      <c r="EA155" s="357"/>
      <c r="EB155" s="357"/>
      <c r="EC155" s="357"/>
      <c r="ED155" s="357"/>
      <c r="EE155" s="357"/>
      <c r="EF155" s="357"/>
      <c r="EG155" s="357"/>
      <c r="EH155" s="357"/>
      <c r="EI155" s="357"/>
      <c r="EJ155" s="357"/>
      <c r="EK155" s="357"/>
      <c r="EL155" s="357"/>
      <c r="EM155" s="357"/>
      <c r="EN155" s="357"/>
      <c r="EO155" s="357"/>
      <c r="EP155" s="357"/>
      <c r="EQ155" s="357"/>
      <c r="ER155" s="357"/>
      <c r="ES155" s="357"/>
      <c r="ET155" s="357"/>
      <c r="EU155" s="357"/>
      <c r="EV155" s="357"/>
      <c r="EW155" s="357"/>
      <c r="EX155" s="357"/>
      <c r="EY155" s="357"/>
      <c r="EZ155" s="357"/>
      <c r="FA155" s="357"/>
      <c r="FB155" s="357"/>
      <c r="FC155" s="357"/>
      <c r="FD155" s="357"/>
      <c r="FE155" s="357"/>
      <c r="FF155" s="357"/>
      <c r="FG155" s="357"/>
      <c r="FH155" s="357"/>
      <c r="FI155" s="357"/>
      <c r="FJ155" s="357"/>
      <c r="FK155" s="357"/>
      <c r="FL155" s="357"/>
      <c r="FM155" s="357"/>
      <c r="FN155" s="357"/>
      <c r="FO155" s="357"/>
      <c r="FP155" s="357"/>
      <c r="FQ155" s="357"/>
      <c r="FR155" s="357"/>
      <c r="FS155" s="357"/>
      <c r="FT155" s="357"/>
      <c r="FU155" s="357"/>
      <c r="FV155" s="357"/>
      <c r="FW155" s="357"/>
      <c r="FX155" s="357"/>
      <c r="FY155" s="357"/>
      <c r="FZ155" s="357"/>
      <c r="GA155" s="357"/>
      <c r="GB155" s="357"/>
      <c r="GC155" s="357"/>
      <c r="GD155" s="357"/>
      <c r="GE155" s="357"/>
      <c r="GF155" s="357"/>
      <c r="GG155" s="357"/>
      <c r="GH155" s="357"/>
      <c r="GI155" s="357"/>
      <c r="GJ155" s="357"/>
      <c r="GK155" s="154"/>
      <c r="GL155" s="154"/>
      <c r="GM155" s="154"/>
      <c r="GN155" s="154"/>
      <c r="GO155" s="154"/>
      <c r="GP155" s="154"/>
      <c r="GQ155" s="154"/>
      <c r="GR155" s="154"/>
      <c r="GS155" s="154"/>
      <c r="GT155" s="154"/>
      <c r="GU155" s="154"/>
      <c r="GV155" s="154"/>
      <c r="GW155" s="154"/>
      <c r="GX155" s="154"/>
    </row>
    <row r="156" spans="7:206">
      <c r="G156" s="154"/>
      <c r="H156" s="154"/>
      <c r="I156" s="154"/>
      <c r="J156" s="154"/>
      <c r="K156" s="154"/>
      <c r="L156" s="154"/>
      <c r="M156" s="154"/>
      <c r="N156" s="154"/>
      <c r="O156" s="154"/>
      <c r="P156" s="154"/>
      <c r="Q156" s="154"/>
      <c r="R156" s="154"/>
      <c r="S156" s="154"/>
      <c r="T156" s="154"/>
      <c r="U156" s="154"/>
      <c r="V156" s="154"/>
      <c r="W156" s="154"/>
      <c r="X156" s="154"/>
      <c r="Y156" s="154"/>
      <c r="Z156" s="357"/>
      <c r="AA156" s="357"/>
      <c r="AB156" s="357"/>
      <c r="AC156" s="357"/>
      <c r="AD156" s="357"/>
      <c r="AE156" s="357"/>
      <c r="AF156" s="357"/>
      <c r="AG156" s="357"/>
      <c r="AH156" s="357"/>
      <c r="AI156" s="357"/>
      <c r="AJ156" s="357"/>
      <c r="AK156" s="357"/>
      <c r="AL156" s="357"/>
      <c r="AM156" s="357"/>
      <c r="AN156" s="357"/>
      <c r="AO156" s="357"/>
      <c r="AP156" s="357"/>
      <c r="AQ156" s="357"/>
      <c r="AR156" s="357"/>
      <c r="AS156" s="357"/>
      <c r="AT156" s="357"/>
      <c r="AU156" s="357"/>
      <c r="AV156" s="357"/>
      <c r="AW156" s="357"/>
      <c r="AX156" s="357"/>
      <c r="AY156" s="357"/>
      <c r="AZ156" s="357"/>
      <c r="BA156" s="357"/>
      <c r="BB156" s="357"/>
      <c r="BC156" s="357"/>
      <c r="BD156" s="357"/>
      <c r="BE156" s="357"/>
      <c r="BF156" s="357"/>
      <c r="BG156" s="357"/>
      <c r="BH156" s="357"/>
      <c r="BI156" s="357"/>
      <c r="BJ156" s="357"/>
      <c r="BK156" s="357"/>
      <c r="BL156" s="357"/>
      <c r="BM156" s="357"/>
      <c r="BN156" s="357"/>
      <c r="BO156" s="357"/>
      <c r="BP156" s="357"/>
      <c r="BQ156" s="357"/>
      <c r="BR156" s="357"/>
      <c r="BS156" s="357"/>
      <c r="BT156" s="357"/>
      <c r="BU156" s="357"/>
      <c r="BV156" s="357"/>
      <c r="BW156" s="357"/>
      <c r="BX156" s="357"/>
      <c r="BY156" s="357"/>
      <c r="BZ156" s="357"/>
      <c r="CA156" s="357"/>
      <c r="CB156" s="357"/>
      <c r="CC156" s="357"/>
      <c r="CD156" s="357"/>
      <c r="CE156" s="357"/>
      <c r="CF156" s="357"/>
      <c r="CG156" s="357"/>
      <c r="CH156" s="357"/>
      <c r="CI156" s="357"/>
      <c r="CJ156" s="357"/>
      <c r="CK156" s="357"/>
      <c r="CL156" s="357"/>
      <c r="CM156" s="357"/>
      <c r="CN156" s="357"/>
      <c r="CO156" s="357"/>
      <c r="CP156" s="357"/>
      <c r="CQ156" s="357"/>
      <c r="CR156" s="357"/>
      <c r="CS156" s="357"/>
      <c r="CT156" s="357"/>
      <c r="CU156" s="357"/>
      <c r="CV156" s="357"/>
      <c r="CW156" s="357"/>
      <c r="CX156" s="357"/>
      <c r="CY156" s="357"/>
      <c r="CZ156" s="357"/>
      <c r="DA156" s="357"/>
      <c r="DB156" s="357"/>
      <c r="DC156" s="357"/>
      <c r="DD156" s="357"/>
      <c r="DE156" s="357"/>
      <c r="DF156" s="357"/>
      <c r="DG156" s="357"/>
      <c r="DH156" s="357"/>
      <c r="DI156" s="357"/>
      <c r="DJ156" s="357"/>
      <c r="DK156" s="357"/>
      <c r="DL156" s="357"/>
      <c r="DM156" s="357"/>
      <c r="DN156" s="357"/>
      <c r="DO156" s="357"/>
      <c r="DP156" s="357"/>
      <c r="DQ156" s="357"/>
      <c r="DR156" s="357"/>
      <c r="DS156" s="357"/>
      <c r="DT156" s="357"/>
      <c r="DU156" s="357"/>
      <c r="DV156" s="357"/>
      <c r="DW156" s="357"/>
      <c r="DX156" s="357"/>
      <c r="DY156" s="357"/>
      <c r="DZ156" s="357"/>
      <c r="EA156" s="357"/>
      <c r="EB156" s="357"/>
      <c r="EC156" s="357"/>
      <c r="ED156" s="357"/>
      <c r="EE156" s="357"/>
      <c r="EF156" s="357"/>
      <c r="EG156" s="357"/>
      <c r="EH156" s="357"/>
      <c r="EI156" s="357"/>
      <c r="EJ156" s="357"/>
      <c r="EK156" s="357"/>
      <c r="EL156" s="357"/>
      <c r="EM156" s="357"/>
      <c r="EN156" s="357"/>
      <c r="EO156" s="357"/>
      <c r="EP156" s="357"/>
      <c r="EQ156" s="357"/>
      <c r="ER156" s="357"/>
      <c r="ES156" s="357"/>
      <c r="ET156" s="357"/>
      <c r="EU156" s="357"/>
      <c r="EV156" s="357"/>
      <c r="EW156" s="357"/>
      <c r="EX156" s="357"/>
      <c r="EY156" s="357"/>
      <c r="EZ156" s="357"/>
      <c r="FA156" s="357"/>
      <c r="FB156" s="357"/>
      <c r="FC156" s="357"/>
      <c r="FD156" s="357"/>
      <c r="FE156" s="357"/>
      <c r="FF156" s="357"/>
      <c r="FG156" s="357"/>
      <c r="FH156" s="357"/>
      <c r="FI156" s="357"/>
      <c r="FJ156" s="357"/>
      <c r="FK156" s="357"/>
      <c r="FL156" s="357"/>
      <c r="FM156" s="357"/>
      <c r="FN156" s="357"/>
      <c r="FO156" s="357"/>
      <c r="FP156" s="357"/>
      <c r="FQ156" s="357"/>
      <c r="FR156" s="357"/>
      <c r="FS156" s="357"/>
      <c r="FT156" s="357"/>
      <c r="FU156" s="357"/>
      <c r="FV156" s="357"/>
      <c r="FW156" s="357"/>
      <c r="FX156" s="357"/>
      <c r="FY156" s="357"/>
      <c r="FZ156" s="357"/>
      <c r="GA156" s="357"/>
      <c r="GB156" s="357"/>
      <c r="GC156" s="357"/>
      <c r="GD156" s="357"/>
      <c r="GE156" s="357"/>
      <c r="GF156" s="357"/>
      <c r="GG156" s="357"/>
      <c r="GH156" s="357"/>
      <c r="GI156" s="357"/>
      <c r="GJ156" s="357"/>
      <c r="GK156" s="154"/>
      <c r="GL156" s="154"/>
      <c r="GM156" s="154"/>
      <c r="GN156" s="154"/>
      <c r="GO156" s="154"/>
      <c r="GP156" s="154"/>
      <c r="GQ156" s="154"/>
      <c r="GR156" s="154"/>
      <c r="GS156" s="154"/>
      <c r="GT156" s="154"/>
      <c r="GU156" s="154"/>
      <c r="GV156" s="154"/>
      <c r="GW156" s="154"/>
      <c r="GX156" s="154"/>
    </row>
    <row r="157" spans="7:206">
      <c r="G157" s="154"/>
      <c r="H157" s="154"/>
      <c r="I157" s="154"/>
      <c r="J157" s="154"/>
      <c r="K157" s="154"/>
      <c r="L157" s="154"/>
      <c r="M157" s="154"/>
      <c r="N157" s="154"/>
      <c r="O157" s="154"/>
      <c r="P157" s="154"/>
      <c r="Q157" s="154"/>
      <c r="R157" s="154"/>
      <c r="S157" s="154"/>
      <c r="T157" s="154"/>
      <c r="U157" s="154"/>
      <c r="V157" s="154"/>
      <c r="W157" s="154"/>
      <c r="X157" s="154"/>
      <c r="Y157" s="154"/>
      <c r="Z157" s="357"/>
      <c r="AA157" s="357"/>
      <c r="AB157" s="357"/>
      <c r="AC157" s="357"/>
      <c r="AD157" s="357"/>
      <c r="AE157" s="357"/>
      <c r="AF157" s="357"/>
      <c r="AG157" s="357"/>
      <c r="AH157" s="357"/>
      <c r="AI157" s="357"/>
      <c r="AJ157" s="357"/>
      <c r="AK157" s="357"/>
      <c r="AL157" s="357"/>
      <c r="AM157" s="357"/>
      <c r="AN157" s="357"/>
      <c r="AO157" s="357"/>
      <c r="AP157" s="357"/>
      <c r="AQ157" s="357"/>
      <c r="AR157" s="357"/>
      <c r="AS157" s="357"/>
      <c r="AT157" s="357"/>
      <c r="AU157" s="357"/>
      <c r="AV157" s="357"/>
      <c r="AW157" s="357"/>
      <c r="AX157" s="357"/>
      <c r="AY157" s="357"/>
      <c r="AZ157" s="357"/>
      <c r="BA157" s="357"/>
      <c r="BB157" s="357"/>
      <c r="BC157" s="357"/>
      <c r="BD157" s="357"/>
      <c r="BE157" s="357"/>
      <c r="BF157" s="357"/>
      <c r="BG157" s="357"/>
      <c r="BH157" s="357"/>
      <c r="BI157" s="357"/>
      <c r="BJ157" s="357"/>
      <c r="BK157" s="357"/>
      <c r="BL157" s="357"/>
      <c r="BM157" s="357"/>
      <c r="BN157" s="357"/>
      <c r="BO157" s="357"/>
      <c r="BP157" s="357"/>
      <c r="BQ157" s="357"/>
      <c r="BR157" s="357"/>
      <c r="BS157" s="357"/>
      <c r="BT157" s="357"/>
      <c r="BU157" s="357"/>
      <c r="BV157" s="357"/>
      <c r="BW157" s="357"/>
      <c r="BX157" s="357"/>
      <c r="BY157" s="357"/>
      <c r="BZ157" s="357"/>
      <c r="CA157" s="357"/>
      <c r="CB157" s="357"/>
      <c r="CC157" s="357"/>
      <c r="CD157" s="357"/>
      <c r="CE157" s="357"/>
      <c r="CF157" s="357"/>
      <c r="CG157" s="357"/>
      <c r="CH157" s="357"/>
      <c r="CI157" s="357"/>
      <c r="CJ157" s="357"/>
      <c r="CK157" s="357"/>
      <c r="CL157" s="357"/>
      <c r="CM157" s="357"/>
      <c r="CN157" s="357"/>
      <c r="CO157" s="357"/>
      <c r="CP157" s="357"/>
      <c r="CQ157" s="357"/>
      <c r="CR157" s="357"/>
      <c r="CS157" s="357"/>
      <c r="CT157" s="357"/>
      <c r="CU157" s="357"/>
      <c r="CV157" s="357"/>
      <c r="CW157" s="357"/>
      <c r="CX157" s="357"/>
      <c r="CY157" s="357"/>
      <c r="CZ157" s="357"/>
      <c r="DA157" s="357"/>
      <c r="DB157" s="357"/>
      <c r="DC157" s="357"/>
      <c r="DD157" s="357"/>
      <c r="DE157" s="357"/>
      <c r="DF157" s="357"/>
      <c r="DG157" s="357"/>
      <c r="DH157" s="357"/>
      <c r="DI157" s="357"/>
      <c r="DJ157" s="357"/>
      <c r="DK157" s="357"/>
      <c r="DL157" s="357"/>
      <c r="DM157" s="357"/>
      <c r="DN157" s="357"/>
      <c r="DO157" s="357"/>
      <c r="DP157" s="357"/>
      <c r="DQ157" s="357"/>
      <c r="DR157" s="357"/>
      <c r="DS157" s="357"/>
      <c r="DT157" s="357"/>
      <c r="DU157" s="357"/>
      <c r="DV157" s="357"/>
      <c r="DW157" s="357"/>
      <c r="DX157" s="357"/>
      <c r="DY157" s="357"/>
      <c r="DZ157" s="357"/>
      <c r="EA157" s="357"/>
      <c r="EB157" s="357"/>
      <c r="EC157" s="357"/>
      <c r="ED157" s="357"/>
      <c r="EE157" s="357"/>
      <c r="EF157" s="357"/>
      <c r="EG157" s="357"/>
      <c r="EH157" s="357"/>
      <c r="EI157" s="357"/>
      <c r="EJ157" s="357"/>
      <c r="EK157" s="357"/>
      <c r="EL157" s="357"/>
      <c r="EM157" s="357"/>
      <c r="EN157" s="357"/>
      <c r="EO157" s="357"/>
      <c r="EP157" s="357"/>
      <c r="EQ157" s="357"/>
      <c r="ER157" s="357"/>
      <c r="ES157" s="357"/>
      <c r="ET157" s="357"/>
      <c r="EU157" s="357"/>
      <c r="EV157" s="357"/>
      <c r="EW157" s="357"/>
      <c r="EX157" s="357"/>
      <c r="EY157" s="357"/>
      <c r="EZ157" s="357"/>
      <c r="FA157" s="357"/>
      <c r="FB157" s="357"/>
      <c r="FC157" s="357"/>
      <c r="FD157" s="357"/>
      <c r="FE157" s="357"/>
      <c r="FF157" s="357"/>
      <c r="FG157" s="357"/>
      <c r="FH157" s="357"/>
      <c r="FI157" s="357"/>
      <c r="FJ157" s="357"/>
      <c r="FK157" s="357"/>
      <c r="FL157" s="357"/>
      <c r="FM157" s="357"/>
      <c r="FN157" s="357"/>
      <c r="FO157" s="357"/>
      <c r="FP157" s="357"/>
      <c r="FQ157" s="357"/>
      <c r="FR157" s="357"/>
      <c r="FS157" s="357"/>
      <c r="FT157" s="357"/>
      <c r="FU157" s="357"/>
      <c r="FV157" s="357"/>
      <c r="FW157" s="357"/>
      <c r="FX157" s="357"/>
      <c r="FY157" s="357"/>
      <c r="FZ157" s="357"/>
      <c r="GA157" s="357"/>
      <c r="GB157" s="357"/>
      <c r="GC157" s="357"/>
      <c r="GD157" s="357"/>
      <c r="GE157" s="357"/>
      <c r="GF157" s="357"/>
      <c r="GG157" s="357"/>
      <c r="GH157" s="357"/>
      <c r="GI157" s="357"/>
      <c r="GJ157" s="357"/>
      <c r="GK157" s="154"/>
      <c r="GL157" s="154"/>
      <c r="GM157" s="154"/>
      <c r="GN157" s="154"/>
      <c r="GO157" s="154"/>
      <c r="GP157" s="154"/>
      <c r="GQ157" s="154"/>
      <c r="GR157" s="154"/>
      <c r="GS157" s="154"/>
      <c r="GT157" s="154"/>
      <c r="GU157" s="154"/>
      <c r="GV157" s="154"/>
      <c r="GW157" s="154"/>
      <c r="GX157" s="154"/>
    </row>
    <row r="158" spans="7:206">
      <c r="G158" s="154"/>
      <c r="H158" s="154"/>
      <c r="I158" s="154"/>
      <c r="J158" s="154"/>
      <c r="K158" s="154"/>
      <c r="L158" s="154"/>
      <c r="M158" s="154"/>
      <c r="N158" s="154"/>
      <c r="O158" s="154"/>
      <c r="P158" s="154"/>
      <c r="Q158" s="154"/>
      <c r="R158" s="154"/>
      <c r="S158" s="154"/>
      <c r="T158" s="154"/>
      <c r="U158" s="154"/>
      <c r="V158" s="154"/>
      <c r="W158" s="154"/>
      <c r="X158" s="154"/>
      <c r="Y158" s="154"/>
      <c r="Z158" s="357"/>
      <c r="AA158" s="357"/>
      <c r="AB158" s="357"/>
      <c r="AC158" s="357"/>
      <c r="AD158" s="357"/>
      <c r="AE158" s="357"/>
      <c r="AF158" s="357"/>
      <c r="AG158" s="357"/>
      <c r="AH158" s="357"/>
      <c r="AI158" s="357"/>
      <c r="AJ158" s="357"/>
      <c r="AK158" s="357"/>
      <c r="AL158" s="357"/>
      <c r="AM158" s="357"/>
      <c r="AN158" s="357"/>
      <c r="AO158" s="357"/>
      <c r="AP158" s="357"/>
      <c r="AQ158" s="357"/>
      <c r="AR158" s="357"/>
      <c r="AS158" s="357"/>
      <c r="AT158" s="357"/>
      <c r="AU158" s="357"/>
      <c r="AV158" s="357"/>
      <c r="AW158" s="357"/>
      <c r="AX158" s="357"/>
      <c r="AY158" s="357"/>
      <c r="AZ158" s="357"/>
      <c r="BA158" s="357"/>
      <c r="BB158" s="357"/>
      <c r="BC158" s="357"/>
      <c r="BD158" s="357"/>
      <c r="BE158" s="357"/>
      <c r="BF158" s="357"/>
      <c r="BG158" s="357"/>
      <c r="BH158" s="357"/>
      <c r="BI158" s="357"/>
      <c r="BJ158" s="357"/>
      <c r="BK158" s="357"/>
      <c r="BL158" s="357"/>
      <c r="BM158" s="357"/>
      <c r="BN158" s="357"/>
      <c r="BO158" s="357"/>
      <c r="BP158" s="357"/>
      <c r="BQ158" s="357"/>
      <c r="BR158" s="357"/>
      <c r="BS158" s="357"/>
      <c r="BT158" s="357"/>
      <c r="BU158" s="357"/>
      <c r="BV158" s="357"/>
      <c r="BW158" s="357"/>
      <c r="BX158" s="357"/>
      <c r="BY158" s="357"/>
      <c r="BZ158" s="357"/>
      <c r="CA158" s="357"/>
      <c r="CB158" s="357"/>
      <c r="CC158" s="357"/>
      <c r="CD158" s="357"/>
      <c r="CE158" s="357"/>
      <c r="CF158" s="357"/>
      <c r="CG158" s="357"/>
      <c r="CH158" s="357"/>
      <c r="CI158" s="357"/>
      <c r="CJ158" s="357"/>
      <c r="CK158" s="357"/>
      <c r="CL158" s="357"/>
      <c r="CM158" s="357"/>
      <c r="CN158" s="357"/>
      <c r="CO158" s="357"/>
      <c r="CP158" s="357"/>
      <c r="CQ158" s="357"/>
      <c r="CR158" s="357"/>
      <c r="CS158" s="357"/>
      <c r="CT158" s="357"/>
      <c r="CU158" s="357"/>
      <c r="CV158" s="357"/>
      <c r="CW158" s="357"/>
      <c r="CX158" s="357"/>
      <c r="CY158" s="357"/>
      <c r="CZ158" s="357"/>
      <c r="DA158" s="357"/>
      <c r="DB158" s="357"/>
      <c r="DC158" s="357"/>
      <c r="DD158" s="357"/>
      <c r="DE158" s="357"/>
      <c r="DF158" s="357"/>
      <c r="DG158" s="357"/>
      <c r="DH158" s="357"/>
      <c r="DI158" s="357"/>
      <c r="DJ158" s="357"/>
      <c r="DK158" s="357"/>
      <c r="DL158" s="357"/>
      <c r="DM158" s="357"/>
      <c r="DN158" s="357"/>
      <c r="DO158" s="357"/>
      <c r="DP158" s="357"/>
      <c r="DQ158" s="357"/>
      <c r="DR158" s="357"/>
      <c r="DS158" s="357"/>
      <c r="DT158" s="357"/>
      <c r="DU158" s="357"/>
      <c r="DV158" s="357"/>
      <c r="DW158" s="357"/>
      <c r="DX158" s="357"/>
      <c r="DY158" s="357"/>
      <c r="DZ158" s="357"/>
      <c r="EA158" s="357"/>
      <c r="EB158" s="357"/>
      <c r="EC158" s="357"/>
      <c r="ED158" s="357"/>
      <c r="EE158" s="357"/>
      <c r="EF158" s="357"/>
      <c r="EG158" s="357"/>
      <c r="EH158" s="357"/>
      <c r="EI158" s="357"/>
      <c r="EJ158" s="357"/>
      <c r="EK158" s="357"/>
      <c r="EL158" s="357"/>
      <c r="EM158" s="357"/>
      <c r="EN158" s="357"/>
      <c r="EO158" s="357"/>
      <c r="EP158" s="357"/>
      <c r="EQ158" s="357"/>
      <c r="ER158" s="357"/>
      <c r="ES158" s="357"/>
      <c r="ET158" s="357"/>
      <c r="EU158" s="357"/>
      <c r="EV158" s="357"/>
      <c r="EW158" s="357"/>
      <c r="EX158" s="357"/>
      <c r="EY158" s="357"/>
      <c r="EZ158" s="357"/>
      <c r="FA158" s="357"/>
      <c r="FB158" s="357"/>
      <c r="FC158" s="357"/>
      <c r="FD158" s="357"/>
      <c r="FE158" s="357"/>
      <c r="FF158" s="357"/>
      <c r="FG158" s="357"/>
      <c r="FH158" s="357"/>
      <c r="FI158" s="357"/>
      <c r="FJ158" s="357"/>
      <c r="FK158" s="357"/>
      <c r="FL158" s="357"/>
      <c r="FM158" s="357"/>
      <c r="FN158" s="357"/>
      <c r="FO158" s="357"/>
      <c r="FP158" s="357"/>
      <c r="FQ158" s="357"/>
      <c r="FR158" s="357"/>
      <c r="FS158" s="357"/>
      <c r="FT158" s="357"/>
      <c r="FU158" s="357"/>
      <c r="FV158" s="357"/>
      <c r="FW158" s="357"/>
      <c r="FX158" s="357"/>
      <c r="FY158" s="357"/>
      <c r="FZ158" s="357"/>
      <c r="GA158" s="357"/>
      <c r="GB158" s="357"/>
      <c r="GC158" s="357"/>
      <c r="GD158" s="357"/>
      <c r="GE158" s="357"/>
      <c r="GF158" s="357"/>
      <c r="GG158" s="357"/>
      <c r="GH158" s="357"/>
      <c r="GI158" s="357"/>
      <c r="GJ158" s="357"/>
      <c r="GK158" s="154"/>
      <c r="GL158" s="154"/>
      <c r="GM158" s="154"/>
      <c r="GN158" s="154"/>
      <c r="GO158" s="154"/>
      <c r="GP158" s="154"/>
      <c r="GQ158" s="154"/>
      <c r="GR158" s="154"/>
      <c r="GS158" s="154"/>
      <c r="GT158" s="154"/>
      <c r="GU158" s="154"/>
      <c r="GV158" s="154"/>
      <c r="GW158" s="154"/>
      <c r="GX158" s="154"/>
    </row>
    <row r="159" spans="7:206">
      <c r="G159" s="154"/>
      <c r="H159" s="154"/>
      <c r="I159" s="154"/>
      <c r="J159" s="154"/>
      <c r="K159" s="154"/>
      <c r="L159" s="154"/>
      <c r="M159" s="154"/>
      <c r="N159" s="154"/>
      <c r="O159" s="154"/>
      <c r="P159" s="154"/>
      <c r="Q159" s="154"/>
      <c r="R159" s="154"/>
      <c r="S159" s="154"/>
      <c r="T159" s="154"/>
      <c r="U159" s="154"/>
      <c r="V159" s="154"/>
      <c r="W159" s="154"/>
      <c r="X159" s="154"/>
      <c r="Y159" s="154"/>
      <c r="Z159" s="357"/>
      <c r="AA159" s="357"/>
      <c r="AB159" s="357"/>
      <c r="AC159" s="357"/>
      <c r="AD159" s="357"/>
      <c r="AE159" s="357"/>
      <c r="AF159" s="357"/>
      <c r="AG159" s="357"/>
      <c r="AH159" s="357"/>
      <c r="AI159" s="357"/>
      <c r="AJ159" s="357"/>
      <c r="AK159" s="357"/>
      <c r="AL159" s="357"/>
      <c r="AM159" s="357"/>
      <c r="AN159" s="357"/>
      <c r="AO159" s="357"/>
      <c r="AP159" s="357"/>
      <c r="AQ159" s="357"/>
      <c r="AR159" s="357"/>
      <c r="AS159" s="357"/>
      <c r="AT159" s="357"/>
      <c r="AU159" s="357"/>
      <c r="AV159" s="357"/>
      <c r="AW159" s="357"/>
      <c r="AX159" s="357"/>
      <c r="AY159" s="357"/>
      <c r="AZ159" s="357"/>
      <c r="BA159" s="357"/>
      <c r="BB159" s="357"/>
      <c r="BC159" s="357"/>
      <c r="BD159" s="357"/>
      <c r="BE159" s="357"/>
      <c r="BF159" s="357"/>
      <c r="BG159" s="357"/>
      <c r="BH159" s="357"/>
      <c r="BI159" s="357"/>
      <c r="BJ159" s="357"/>
      <c r="BK159" s="357"/>
      <c r="BL159" s="357"/>
      <c r="BM159" s="357"/>
      <c r="BN159" s="357"/>
      <c r="BO159" s="357"/>
      <c r="BP159" s="357"/>
      <c r="BQ159" s="357"/>
      <c r="BR159" s="357"/>
      <c r="BS159" s="357"/>
      <c r="BT159" s="357"/>
      <c r="BU159" s="357"/>
      <c r="BV159" s="357"/>
      <c r="BW159" s="357"/>
      <c r="BX159" s="357"/>
      <c r="BY159" s="357"/>
      <c r="BZ159" s="357"/>
      <c r="CA159" s="357"/>
      <c r="CB159" s="357"/>
      <c r="CC159" s="357"/>
      <c r="CD159" s="357"/>
      <c r="CE159" s="357"/>
      <c r="CF159" s="357"/>
      <c r="CG159" s="357"/>
      <c r="CH159" s="357"/>
      <c r="CI159" s="357"/>
      <c r="CJ159" s="357"/>
      <c r="CK159" s="357"/>
      <c r="CL159" s="357"/>
      <c r="CM159" s="357"/>
      <c r="CN159" s="357"/>
      <c r="CO159" s="357"/>
      <c r="CP159" s="357"/>
      <c r="CQ159" s="357"/>
      <c r="CR159" s="357"/>
      <c r="CS159" s="357"/>
      <c r="CT159" s="357"/>
      <c r="CU159" s="357"/>
      <c r="CV159" s="357"/>
      <c r="CW159" s="357"/>
      <c r="CX159" s="357"/>
      <c r="CY159" s="357"/>
      <c r="CZ159" s="357"/>
      <c r="DA159" s="357"/>
      <c r="DB159" s="357"/>
      <c r="DC159" s="357"/>
      <c r="DD159" s="357"/>
      <c r="DE159" s="357"/>
      <c r="DF159" s="357"/>
      <c r="DG159" s="357"/>
      <c r="DH159" s="357"/>
      <c r="DI159" s="357"/>
      <c r="DJ159" s="357"/>
      <c r="DK159" s="357"/>
      <c r="DL159" s="357"/>
      <c r="DM159" s="357"/>
      <c r="DN159" s="357"/>
      <c r="DO159" s="357"/>
      <c r="DP159" s="357"/>
      <c r="DQ159" s="357"/>
      <c r="DR159" s="357"/>
      <c r="DS159" s="357"/>
      <c r="DT159" s="357"/>
      <c r="DU159" s="357"/>
      <c r="DV159" s="357"/>
      <c r="DW159" s="357"/>
      <c r="DX159" s="357"/>
      <c r="DY159" s="357"/>
      <c r="DZ159" s="357"/>
      <c r="EA159" s="357"/>
      <c r="EB159" s="357"/>
      <c r="EC159" s="357"/>
      <c r="ED159" s="357"/>
      <c r="EE159" s="357"/>
      <c r="EF159" s="357"/>
      <c r="EG159" s="357"/>
      <c r="EH159" s="357"/>
      <c r="EI159" s="357"/>
      <c r="EJ159" s="357"/>
      <c r="EK159" s="357"/>
      <c r="EL159" s="357"/>
      <c r="EM159" s="357"/>
      <c r="EN159" s="357"/>
      <c r="EO159" s="357"/>
      <c r="EP159" s="357"/>
      <c r="EQ159" s="357"/>
      <c r="ER159" s="357"/>
      <c r="ES159" s="357"/>
      <c r="ET159" s="357"/>
      <c r="EU159" s="357"/>
      <c r="EV159" s="357"/>
      <c r="EW159" s="357"/>
      <c r="EX159" s="357"/>
      <c r="EY159" s="357"/>
      <c r="EZ159" s="357"/>
      <c r="FA159" s="357"/>
      <c r="FB159" s="357"/>
      <c r="FC159" s="357"/>
      <c r="FD159" s="357"/>
      <c r="FE159" s="357"/>
      <c r="FF159" s="357"/>
      <c r="FG159" s="357"/>
      <c r="FH159" s="357"/>
      <c r="FI159" s="357"/>
      <c r="FJ159" s="357"/>
      <c r="FK159" s="357"/>
      <c r="FL159" s="357"/>
      <c r="FM159" s="357"/>
      <c r="FN159" s="357"/>
      <c r="FO159" s="357"/>
      <c r="FP159" s="357"/>
      <c r="FQ159" s="357"/>
      <c r="FR159" s="357"/>
      <c r="FS159" s="357"/>
      <c r="FT159" s="357"/>
      <c r="FU159" s="357"/>
      <c r="FV159" s="357"/>
      <c r="FW159" s="357"/>
      <c r="FX159" s="357"/>
      <c r="FY159" s="357"/>
      <c r="FZ159" s="357"/>
      <c r="GA159" s="357"/>
      <c r="GB159" s="357"/>
      <c r="GC159" s="357"/>
      <c r="GD159" s="357"/>
      <c r="GE159" s="357"/>
      <c r="GF159" s="357"/>
      <c r="GG159" s="357"/>
      <c r="GH159" s="357"/>
      <c r="GI159" s="357"/>
      <c r="GJ159" s="357"/>
      <c r="GK159" s="154"/>
      <c r="GL159" s="154"/>
      <c r="GM159" s="154"/>
      <c r="GN159" s="154"/>
      <c r="GO159" s="154"/>
      <c r="GP159" s="154"/>
      <c r="GQ159" s="154"/>
      <c r="GR159" s="154"/>
      <c r="GS159" s="154"/>
      <c r="GT159" s="154"/>
      <c r="GU159" s="154"/>
      <c r="GV159" s="154"/>
      <c r="GW159" s="154"/>
      <c r="GX159" s="154"/>
    </row>
    <row r="160" spans="7:206">
      <c r="G160" s="154"/>
      <c r="H160" s="154"/>
      <c r="I160" s="154"/>
      <c r="J160" s="154"/>
      <c r="K160" s="154"/>
      <c r="L160" s="154"/>
      <c r="M160" s="154"/>
      <c r="N160" s="154"/>
      <c r="O160" s="154"/>
      <c r="P160" s="154"/>
      <c r="Q160" s="154"/>
      <c r="R160" s="154"/>
      <c r="S160" s="154"/>
      <c r="T160" s="154"/>
      <c r="U160" s="154"/>
      <c r="V160" s="154"/>
      <c r="W160" s="154"/>
      <c r="X160" s="154"/>
      <c r="Y160" s="154"/>
      <c r="Z160" s="357"/>
      <c r="AA160" s="357"/>
      <c r="AB160" s="357"/>
      <c r="AC160" s="357"/>
      <c r="AD160" s="357"/>
      <c r="AE160" s="357"/>
      <c r="AF160" s="357"/>
      <c r="AG160" s="357"/>
      <c r="AH160" s="357"/>
      <c r="AI160" s="357"/>
      <c r="AJ160" s="357"/>
      <c r="AK160" s="357"/>
      <c r="AL160" s="357"/>
      <c r="AM160" s="357"/>
      <c r="AN160" s="357"/>
      <c r="AO160" s="357"/>
      <c r="AP160" s="357"/>
      <c r="AQ160" s="357"/>
      <c r="AR160" s="357"/>
      <c r="AS160" s="357"/>
      <c r="AT160" s="357"/>
      <c r="AU160" s="357"/>
      <c r="AV160" s="357"/>
      <c r="AW160" s="357"/>
      <c r="AX160" s="357"/>
      <c r="AY160" s="357"/>
      <c r="AZ160" s="357"/>
      <c r="BA160" s="357"/>
      <c r="BB160" s="357"/>
      <c r="BC160" s="357"/>
      <c r="BD160" s="357"/>
      <c r="BE160" s="357"/>
      <c r="BF160" s="357"/>
      <c r="BG160" s="357"/>
      <c r="BH160" s="357"/>
      <c r="BI160" s="357"/>
      <c r="BJ160" s="357"/>
      <c r="BK160" s="357"/>
      <c r="BL160" s="357"/>
      <c r="BM160" s="357"/>
      <c r="BN160" s="357"/>
      <c r="BO160" s="357"/>
      <c r="BP160" s="357"/>
      <c r="BQ160" s="357"/>
      <c r="BR160" s="357"/>
      <c r="BS160" s="357"/>
      <c r="BT160" s="357"/>
      <c r="BU160" s="357"/>
      <c r="BV160" s="357"/>
      <c r="BW160" s="357"/>
      <c r="BX160" s="357"/>
      <c r="BY160" s="357"/>
      <c r="BZ160" s="357"/>
      <c r="CA160" s="357"/>
      <c r="CB160" s="357"/>
      <c r="CC160" s="357"/>
      <c r="CD160" s="357"/>
      <c r="CE160" s="357"/>
      <c r="CF160" s="357"/>
      <c r="CG160" s="357"/>
      <c r="CH160" s="357"/>
      <c r="CI160" s="357"/>
      <c r="CJ160" s="357"/>
      <c r="CK160" s="357"/>
      <c r="CL160" s="357"/>
      <c r="CM160" s="357"/>
      <c r="CN160" s="357"/>
      <c r="CO160" s="357"/>
      <c r="CP160" s="357"/>
      <c r="CQ160" s="357"/>
      <c r="CR160" s="357"/>
      <c r="CS160" s="357"/>
      <c r="CT160" s="357"/>
      <c r="CU160" s="357"/>
      <c r="CV160" s="357"/>
      <c r="CW160" s="357"/>
      <c r="CX160" s="357"/>
      <c r="CY160" s="357"/>
      <c r="CZ160" s="357"/>
      <c r="DA160" s="357"/>
      <c r="DB160" s="357"/>
      <c r="DC160" s="357"/>
      <c r="DD160" s="357"/>
      <c r="DE160" s="357"/>
      <c r="DF160" s="357"/>
      <c r="DG160" s="357"/>
      <c r="DH160" s="357"/>
      <c r="DI160" s="357"/>
      <c r="DJ160" s="357"/>
      <c r="DK160" s="357"/>
      <c r="DL160" s="357"/>
      <c r="DM160" s="357"/>
      <c r="DN160" s="357"/>
      <c r="DO160" s="357"/>
      <c r="DP160" s="357"/>
      <c r="DQ160" s="357"/>
      <c r="DR160" s="357"/>
      <c r="DS160" s="357"/>
      <c r="DT160" s="357"/>
      <c r="DU160" s="357"/>
      <c r="DV160" s="357"/>
      <c r="DW160" s="357"/>
      <c r="DX160" s="357"/>
      <c r="DY160" s="357"/>
      <c r="DZ160" s="357"/>
      <c r="EA160" s="357"/>
      <c r="EB160" s="357"/>
      <c r="EC160" s="357"/>
      <c r="ED160" s="357"/>
      <c r="EE160" s="357"/>
      <c r="EF160" s="357"/>
      <c r="EG160" s="357"/>
      <c r="EH160" s="357"/>
      <c r="EI160" s="357"/>
      <c r="EJ160" s="357"/>
      <c r="EK160" s="357"/>
      <c r="EL160" s="357"/>
      <c r="EM160" s="357"/>
      <c r="EN160" s="357"/>
      <c r="EO160" s="357"/>
      <c r="EP160" s="357"/>
      <c r="EQ160" s="357"/>
      <c r="ER160" s="357"/>
      <c r="ES160" s="357"/>
      <c r="ET160" s="357"/>
      <c r="EU160" s="357"/>
      <c r="EV160" s="357"/>
      <c r="EW160" s="357"/>
      <c r="EX160" s="357"/>
      <c r="EY160" s="357"/>
      <c r="EZ160" s="357"/>
      <c r="FA160" s="357"/>
      <c r="FB160" s="357"/>
      <c r="FC160" s="357"/>
      <c r="FD160" s="357"/>
      <c r="FE160" s="357"/>
      <c r="FF160" s="357"/>
      <c r="FG160" s="357"/>
      <c r="FH160" s="357"/>
      <c r="FI160" s="357"/>
      <c r="FJ160" s="357"/>
      <c r="FK160" s="357"/>
      <c r="FL160" s="357"/>
      <c r="FM160" s="357"/>
      <c r="FN160" s="357"/>
      <c r="FO160" s="357"/>
      <c r="FP160" s="357"/>
      <c r="FQ160" s="357"/>
      <c r="FR160" s="357"/>
      <c r="FS160" s="357"/>
      <c r="FT160" s="357"/>
      <c r="FU160" s="357"/>
      <c r="FV160" s="357"/>
      <c r="FW160" s="357"/>
      <c r="FX160" s="357"/>
      <c r="FY160" s="357"/>
      <c r="FZ160" s="357"/>
      <c r="GA160" s="357"/>
      <c r="GB160" s="357"/>
      <c r="GC160" s="357"/>
      <c r="GD160" s="357"/>
      <c r="GE160" s="357"/>
      <c r="GF160" s="357"/>
      <c r="GG160" s="357"/>
      <c r="GH160" s="357"/>
      <c r="GI160" s="357"/>
      <c r="GJ160" s="357"/>
      <c r="GK160" s="154"/>
      <c r="GL160" s="154"/>
      <c r="GM160" s="154"/>
      <c r="GN160" s="154"/>
      <c r="GO160" s="154"/>
      <c r="GP160" s="154"/>
      <c r="GQ160" s="154"/>
      <c r="GR160" s="154"/>
      <c r="GS160" s="154"/>
      <c r="GT160" s="154"/>
      <c r="GU160" s="154"/>
      <c r="GV160" s="154"/>
      <c r="GW160" s="154"/>
      <c r="GX160" s="154"/>
    </row>
    <row r="161" spans="7:206">
      <c r="G161" s="154"/>
      <c r="H161" s="154"/>
      <c r="I161" s="154"/>
      <c r="J161" s="154"/>
      <c r="K161" s="154"/>
      <c r="L161" s="154"/>
      <c r="M161" s="154"/>
      <c r="N161" s="154"/>
      <c r="O161" s="154"/>
      <c r="P161" s="154"/>
      <c r="Q161" s="154"/>
      <c r="R161" s="154"/>
      <c r="S161" s="154"/>
      <c r="T161" s="154"/>
      <c r="U161" s="154"/>
      <c r="V161" s="154"/>
      <c r="W161" s="154"/>
      <c r="X161" s="154"/>
      <c r="Y161" s="154"/>
      <c r="Z161" s="357"/>
      <c r="AA161" s="357"/>
      <c r="AB161" s="357"/>
      <c r="AC161" s="357"/>
      <c r="AD161" s="357"/>
      <c r="AE161" s="357"/>
      <c r="AF161" s="357"/>
      <c r="AG161" s="357"/>
      <c r="AH161" s="357"/>
      <c r="AI161" s="357"/>
      <c r="AJ161" s="357"/>
      <c r="AK161" s="357"/>
      <c r="AL161" s="357"/>
      <c r="AM161" s="357"/>
      <c r="AN161" s="357"/>
      <c r="AO161" s="357"/>
      <c r="AP161" s="357"/>
      <c r="AQ161" s="357"/>
      <c r="AR161" s="357"/>
      <c r="AS161" s="357"/>
      <c r="AT161" s="357"/>
      <c r="AU161" s="357"/>
      <c r="AV161" s="357"/>
      <c r="AW161" s="357"/>
      <c r="AX161" s="357"/>
      <c r="AY161" s="357"/>
      <c r="AZ161" s="357"/>
      <c r="BA161" s="357"/>
      <c r="BB161" s="357"/>
      <c r="BC161" s="357"/>
      <c r="BD161" s="357"/>
      <c r="BE161" s="357"/>
      <c r="BF161" s="357"/>
      <c r="BG161" s="357"/>
      <c r="BH161" s="357"/>
      <c r="BI161" s="357"/>
      <c r="BJ161" s="357"/>
      <c r="BK161" s="357"/>
      <c r="BL161" s="357"/>
      <c r="BM161" s="357"/>
      <c r="BN161" s="357"/>
      <c r="BO161" s="357"/>
      <c r="BP161" s="357"/>
      <c r="BQ161" s="357"/>
      <c r="BR161" s="357"/>
      <c r="BS161" s="357"/>
      <c r="BT161" s="357"/>
      <c r="BU161" s="357"/>
      <c r="BV161" s="357"/>
      <c r="BW161" s="357"/>
      <c r="BX161" s="357"/>
      <c r="BY161" s="357"/>
      <c r="BZ161" s="357"/>
      <c r="CA161" s="357"/>
      <c r="CB161" s="357"/>
      <c r="CC161" s="357"/>
      <c r="CD161" s="357"/>
      <c r="CE161" s="357"/>
      <c r="CF161" s="357"/>
      <c r="CG161" s="357"/>
      <c r="CH161" s="357"/>
      <c r="CI161" s="357"/>
      <c r="CJ161" s="357"/>
      <c r="CK161" s="357"/>
      <c r="CL161" s="357"/>
      <c r="CM161" s="357"/>
      <c r="CN161" s="357"/>
      <c r="CO161" s="357"/>
      <c r="CP161" s="357"/>
      <c r="CQ161" s="357"/>
      <c r="CR161" s="357"/>
      <c r="CS161" s="357"/>
      <c r="CT161" s="357"/>
      <c r="CU161" s="357"/>
      <c r="CV161" s="357"/>
      <c r="CW161" s="357"/>
      <c r="CX161" s="357"/>
      <c r="CY161" s="357"/>
      <c r="CZ161" s="357"/>
      <c r="DA161" s="357"/>
      <c r="DB161" s="357"/>
      <c r="DC161" s="357"/>
      <c r="DD161" s="357"/>
      <c r="DE161" s="357"/>
      <c r="DF161" s="357"/>
      <c r="DG161" s="357"/>
      <c r="DH161" s="357"/>
      <c r="DI161" s="357"/>
      <c r="DJ161" s="357"/>
      <c r="DK161" s="357"/>
      <c r="DL161" s="357"/>
      <c r="DM161" s="357"/>
      <c r="DN161" s="357"/>
      <c r="DO161" s="357"/>
      <c r="DP161" s="357"/>
      <c r="DQ161" s="357"/>
      <c r="DR161" s="357"/>
      <c r="DS161" s="357"/>
      <c r="DT161" s="357"/>
      <c r="DU161" s="357"/>
      <c r="DV161" s="357"/>
      <c r="DW161" s="357"/>
      <c r="DX161" s="357"/>
      <c r="DY161" s="357"/>
      <c r="DZ161" s="357"/>
      <c r="EA161" s="357"/>
      <c r="EB161" s="357"/>
      <c r="EC161" s="357"/>
      <c r="ED161" s="357"/>
      <c r="EE161" s="357"/>
      <c r="EF161" s="357"/>
      <c r="EG161" s="357"/>
      <c r="EH161" s="357"/>
      <c r="EI161" s="357"/>
      <c r="EJ161" s="357"/>
      <c r="EK161" s="357"/>
      <c r="EL161" s="357"/>
      <c r="EM161" s="357"/>
      <c r="EN161" s="357"/>
      <c r="EO161" s="357"/>
      <c r="EP161" s="357"/>
      <c r="EQ161" s="357"/>
      <c r="ER161" s="357"/>
      <c r="ES161" s="357"/>
      <c r="ET161" s="357"/>
      <c r="EU161" s="357"/>
      <c r="EV161" s="357"/>
      <c r="EW161" s="357"/>
      <c r="EX161" s="357"/>
      <c r="EY161" s="357"/>
      <c r="EZ161" s="357"/>
      <c r="FA161" s="357"/>
      <c r="FB161" s="357"/>
      <c r="FC161" s="357"/>
      <c r="FD161" s="357"/>
      <c r="FE161" s="357"/>
      <c r="FF161" s="357"/>
      <c r="FG161" s="357"/>
      <c r="FH161" s="357"/>
      <c r="FI161" s="357"/>
      <c r="FJ161" s="357"/>
      <c r="FK161" s="357"/>
      <c r="FL161" s="357"/>
      <c r="FM161" s="357"/>
      <c r="FN161" s="357"/>
      <c r="FO161" s="357"/>
      <c r="FP161" s="357"/>
      <c r="FQ161" s="357"/>
      <c r="FR161" s="357"/>
      <c r="FS161" s="357"/>
      <c r="FT161" s="357"/>
      <c r="FU161" s="357"/>
      <c r="FV161" s="357"/>
      <c r="FW161" s="357"/>
      <c r="FX161" s="357"/>
      <c r="FY161" s="357"/>
      <c r="FZ161" s="357"/>
      <c r="GA161" s="357"/>
      <c r="GB161" s="357"/>
      <c r="GC161" s="357"/>
      <c r="GD161" s="357"/>
      <c r="GE161" s="357"/>
      <c r="GF161" s="357"/>
      <c r="GG161" s="357"/>
      <c r="GH161" s="357"/>
      <c r="GI161" s="357"/>
      <c r="GJ161" s="357"/>
      <c r="GK161" s="154"/>
      <c r="GL161" s="154"/>
      <c r="GM161" s="154"/>
      <c r="GN161" s="154"/>
      <c r="GO161" s="154"/>
      <c r="GP161" s="154"/>
      <c r="GQ161" s="154"/>
      <c r="GR161" s="154"/>
      <c r="GS161" s="154"/>
      <c r="GT161" s="154"/>
      <c r="GU161" s="154"/>
      <c r="GV161" s="154"/>
      <c r="GW161" s="154"/>
      <c r="GX161" s="154"/>
    </row>
    <row r="162" spans="7:206">
      <c r="G162" s="154"/>
      <c r="H162" s="154"/>
      <c r="I162" s="154"/>
      <c r="J162" s="154"/>
      <c r="K162" s="154"/>
      <c r="L162" s="154"/>
      <c r="M162" s="154"/>
      <c r="N162" s="154"/>
      <c r="O162" s="154"/>
      <c r="P162" s="154"/>
      <c r="Q162" s="154"/>
      <c r="R162" s="154"/>
      <c r="S162" s="154"/>
      <c r="T162" s="154"/>
      <c r="U162" s="154"/>
      <c r="V162" s="154"/>
      <c r="W162" s="154"/>
      <c r="X162" s="154"/>
      <c r="Y162" s="154"/>
      <c r="Z162" s="357"/>
      <c r="AA162" s="357"/>
      <c r="AB162" s="357"/>
      <c r="AC162" s="357"/>
      <c r="AD162" s="357"/>
      <c r="AE162" s="357"/>
      <c r="AF162" s="357"/>
      <c r="AG162" s="357"/>
      <c r="AH162" s="357"/>
      <c r="AI162" s="357"/>
      <c r="AJ162" s="357"/>
      <c r="AK162" s="357"/>
      <c r="AL162" s="357"/>
      <c r="AM162" s="357"/>
      <c r="AN162" s="357"/>
      <c r="AO162" s="357"/>
      <c r="AP162" s="357"/>
      <c r="AQ162" s="357"/>
      <c r="AR162" s="357"/>
      <c r="AS162" s="357"/>
      <c r="AT162" s="357"/>
      <c r="AU162" s="357"/>
      <c r="AV162" s="357"/>
      <c r="AW162" s="357"/>
      <c r="AX162" s="357"/>
      <c r="AY162" s="357"/>
      <c r="AZ162" s="357"/>
      <c r="BA162" s="357"/>
      <c r="BB162" s="357"/>
      <c r="BC162" s="357"/>
      <c r="BD162" s="357"/>
      <c r="BE162" s="357"/>
      <c r="BF162" s="357"/>
      <c r="BG162" s="357"/>
      <c r="BH162" s="357"/>
      <c r="BI162" s="357"/>
      <c r="BJ162" s="357"/>
      <c r="BK162" s="357"/>
      <c r="BL162" s="357"/>
      <c r="BM162" s="357"/>
      <c r="BN162" s="357"/>
      <c r="BO162" s="357"/>
      <c r="BP162" s="357"/>
      <c r="BQ162" s="357"/>
      <c r="BR162" s="357"/>
      <c r="BS162" s="357"/>
      <c r="BT162" s="357"/>
      <c r="BU162" s="357"/>
      <c r="BV162" s="357"/>
      <c r="BW162" s="357"/>
      <c r="BX162" s="357"/>
      <c r="BY162" s="357"/>
      <c r="BZ162" s="357"/>
      <c r="CA162" s="357"/>
      <c r="CB162" s="357"/>
      <c r="CC162" s="357"/>
      <c r="CD162" s="357"/>
      <c r="CE162" s="357"/>
      <c r="CF162" s="357"/>
      <c r="CG162" s="357"/>
      <c r="CH162" s="357"/>
      <c r="CI162" s="357"/>
      <c r="CJ162" s="357"/>
      <c r="CK162" s="357"/>
      <c r="CL162" s="357"/>
      <c r="CM162" s="357"/>
      <c r="CN162" s="357"/>
      <c r="CO162" s="357"/>
      <c r="CP162" s="357"/>
      <c r="CQ162" s="357"/>
      <c r="CR162" s="357"/>
      <c r="CS162" s="357"/>
      <c r="CT162" s="357"/>
      <c r="CU162" s="357"/>
      <c r="CV162" s="357"/>
      <c r="CW162" s="357"/>
      <c r="CX162" s="357"/>
      <c r="CY162" s="357"/>
      <c r="CZ162" s="357"/>
      <c r="DA162" s="357"/>
      <c r="DB162" s="357"/>
      <c r="DC162" s="357"/>
      <c r="DD162" s="357"/>
      <c r="DE162" s="357"/>
      <c r="DF162" s="357"/>
      <c r="DG162" s="357"/>
      <c r="DH162" s="357"/>
      <c r="DI162" s="357"/>
      <c r="DJ162" s="357"/>
      <c r="DK162" s="357"/>
      <c r="DL162" s="357"/>
      <c r="DM162" s="357"/>
      <c r="DN162" s="357"/>
      <c r="DO162" s="357"/>
      <c r="DP162" s="357"/>
      <c r="DQ162" s="357"/>
      <c r="DR162" s="357"/>
      <c r="DS162" s="357"/>
      <c r="DT162" s="357"/>
      <c r="DU162" s="357"/>
      <c r="DV162" s="357"/>
      <c r="DW162" s="357"/>
      <c r="DX162" s="357"/>
      <c r="DY162" s="357"/>
      <c r="DZ162" s="357"/>
      <c r="EA162" s="357"/>
      <c r="EB162" s="357"/>
      <c r="EC162" s="357"/>
      <c r="ED162" s="357"/>
      <c r="EE162" s="357"/>
      <c r="EF162" s="357"/>
      <c r="EG162" s="357"/>
      <c r="EH162" s="357"/>
      <c r="EI162" s="357"/>
      <c r="EJ162" s="357"/>
      <c r="EK162" s="357"/>
      <c r="EL162" s="357"/>
      <c r="EM162" s="357"/>
      <c r="EN162" s="357"/>
      <c r="EO162" s="357"/>
      <c r="EP162" s="357"/>
      <c r="EQ162" s="357"/>
      <c r="ER162" s="357"/>
      <c r="ES162" s="357"/>
      <c r="ET162" s="357"/>
      <c r="EU162" s="357"/>
      <c r="EV162" s="357"/>
      <c r="EW162" s="357"/>
      <c r="EX162" s="357"/>
      <c r="EY162" s="357"/>
      <c r="EZ162" s="357"/>
      <c r="FA162" s="357"/>
      <c r="FB162" s="357"/>
      <c r="FC162" s="357"/>
      <c r="FD162" s="357"/>
      <c r="FE162" s="357"/>
      <c r="FF162" s="357"/>
      <c r="FG162" s="357"/>
      <c r="FH162" s="357"/>
      <c r="FI162" s="357"/>
      <c r="FJ162" s="357"/>
      <c r="FK162" s="357"/>
      <c r="FL162" s="357"/>
      <c r="FM162" s="357"/>
      <c r="FN162" s="357"/>
      <c r="FO162" s="357"/>
      <c r="FP162" s="357"/>
      <c r="FQ162" s="357"/>
      <c r="FR162" s="357"/>
      <c r="FS162" s="357"/>
      <c r="FT162" s="357"/>
      <c r="FU162" s="357"/>
      <c r="FV162" s="357"/>
      <c r="FW162" s="357"/>
      <c r="FX162" s="357"/>
      <c r="FY162" s="357"/>
      <c r="FZ162" s="357"/>
      <c r="GA162" s="357"/>
      <c r="GB162" s="357"/>
      <c r="GC162" s="357"/>
      <c r="GD162" s="357"/>
      <c r="GE162" s="357"/>
      <c r="GF162" s="357"/>
      <c r="GG162" s="357"/>
      <c r="GH162" s="357"/>
      <c r="GI162" s="357"/>
      <c r="GJ162" s="357"/>
      <c r="GK162" s="154"/>
      <c r="GL162" s="154"/>
      <c r="GM162" s="154"/>
      <c r="GN162" s="154"/>
      <c r="GO162" s="154"/>
      <c r="GP162" s="154"/>
      <c r="GQ162" s="154"/>
      <c r="GR162" s="154"/>
      <c r="GS162" s="154"/>
      <c r="GT162" s="154"/>
      <c r="GU162" s="154"/>
      <c r="GV162" s="154"/>
      <c r="GW162" s="154"/>
      <c r="GX162" s="154"/>
    </row>
    <row r="163" spans="7:206">
      <c r="G163" s="154"/>
      <c r="H163" s="154"/>
      <c r="I163" s="154"/>
      <c r="J163" s="154"/>
      <c r="K163" s="154"/>
      <c r="L163" s="154"/>
      <c r="M163" s="154"/>
      <c r="N163" s="154"/>
      <c r="O163" s="154"/>
      <c r="P163" s="154"/>
      <c r="Q163" s="154"/>
      <c r="R163" s="154"/>
      <c r="S163" s="154"/>
      <c r="T163" s="154"/>
      <c r="U163" s="154"/>
      <c r="V163" s="154"/>
      <c r="W163" s="154"/>
      <c r="X163" s="154"/>
      <c r="Y163" s="154"/>
      <c r="Z163" s="357"/>
      <c r="AA163" s="357"/>
      <c r="AB163" s="357"/>
      <c r="AC163" s="357"/>
      <c r="AD163" s="357"/>
      <c r="AE163" s="357"/>
      <c r="AF163" s="357"/>
      <c r="AG163" s="357"/>
      <c r="AH163" s="357"/>
      <c r="AI163" s="357"/>
      <c r="AJ163" s="357"/>
      <c r="AK163" s="357"/>
      <c r="AL163" s="357"/>
      <c r="AM163" s="357"/>
      <c r="AN163" s="357"/>
      <c r="AO163" s="357"/>
      <c r="AP163" s="357"/>
      <c r="AQ163" s="357"/>
      <c r="AR163" s="357"/>
      <c r="AS163" s="357"/>
      <c r="AT163" s="357"/>
      <c r="AU163" s="357"/>
      <c r="AV163" s="357"/>
      <c r="AW163" s="357"/>
      <c r="AX163" s="357"/>
      <c r="AY163" s="357"/>
      <c r="AZ163" s="357"/>
      <c r="BA163" s="357"/>
      <c r="BB163" s="357"/>
      <c r="BC163" s="357"/>
      <c r="BD163" s="357"/>
      <c r="BE163" s="357"/>
      <c r="BF163" s="357"/>
      <c r="BG163" s="357"/>
      <c r="BH163" s="357"/>
      <c r="BI163" s="357"/>
      <c r="BJ163" s="357"/>
      <c r="BK163" s="357"/>
      <c r="BL163" s="357"/>
      <c r="BM163" s="357"/>
      <c r="BN163" s="357"/>
      <c r="BO163" s="357"/>
      <c r="BP163" s="357"/>
      <c r="BQ163" s="357"/>
      <c r="BR163" s="357"/>
      <c r="BS163" s="357"/>
      <c r="BT163" s="357"/>
      <c r="BU163" s="357"/>
      <c r="BV163" s="357"/>
      <c r="BW163" s="357"/>
      <c r="BX163" s="357"/>
      <c r="BY163" s="357"/>
      <c r="BZ163" s="357"/>
      <c r="CA163" s="357"/>
      <c r="CB163" s="357"/>
      <c r="CC163" s="357"/>
      <c r="CD163" s="357"/>
      <c r="CE163" s="357"/>
      <c r="CF163" s="357"/>
      <c r="CG163" s="357"/>
      <c r="CH163" s="357"/>
      <c r="CI163" s="357"/>
      <c r="CJ163" s="357"/>
      <c r="CK163" s="357"/>
      <c r="CL163" s="357"/>
      <c r="CM163" s="357"/>
      <c r="CN163" s="357"/>
      <c r="CO163" s="357"/>
      <c r="CP163" s="357"/>
      <c r="CQ163" s="357"/>
      <c r="CR163" s="357"/>
      <c r="CS163" s="357"/>
      <c r="CT163" s="357"/>
      <c r="CU163" s="357"/>
      <c r="CV163" s="357"/>
      <c r="CW163" s="357"/>
      <c r="CX163" s="357"/>
      <c r="CY163" s="357"/>
      <c r="CZ163" s="357"/>
      <c r="DA163" s="357"/>
      <c r="DB163" s="357"/>
      <c r="DC163" s="357"/>
      <c r="DD163" s="357"/>
      <c r="DE163" s="357"/>
      <c r="DF163" s="357"/>
      <c r="DG163" s="357"/>
      <c r="DH163" s="357"/>
      <c r="DI163" s="357"/>
      <c r="DJ163" s="357"/>
      <c r="DK163" s="357"/>
      <c r="DL163" s="357"/>
      <c r="DM163" s="357"/>
      <c r="DN163" s="357"/>
      <c r="DO163" s="357"/>
      <c r="DP163" s="357"/>
      <c r="DQ163" s="357"/>
      <c r="DR163" s="357"/>
      <c r="DS163" s="357"/>
      <c r="DT163" s="357"/>
      <c r="DU163" s="357"/>
      <c r="DV163" s="357"/>
      <c r="DW163" s="357"/>
      <c r="DX163" s="357"/>
      <c r="DY163" s="357"/>
      <c r="DZ163" s="357"/>
      <c r="EA163" s="357"/>
      <c r="EB163" s="357"/>
      <c r="EC163" s="357"/>
      <c r="ED163" s="357"/>
      <c r="EE163" s="357"/>
      <c r="EF163" s="357"/>
      <c r="EG163" s="357"/>
      <c r="EH163" s="357"/>
      <c r="EI163" s="357"/>
      <c r="EJ163" s="357"/>
      <c r="EK163" s="357"/>
      <c r="EL163" s="357"/>
      <c r="EM163" s="357"/>
      <c r="EN163" s="357"/>
      <c r="EO163" s="357"/>
      <c r="EP163" s="357"/>
      <c r="EQ163" s="357"/>
      <c r="ER163" s="357"/>
      <c r="ES163" s="357"/>
      <c r="ET163" s="357"/>
      <c r="EU163" s="357"/>
      <c r="EV163" s="357"/>
      <c r="EW163" s="357"/>
      <c r="EX163" s="357"/>
      <c r="EY163" s="357"/>
      <c r="EZ163" s="357"/>
      <c r="FA163" s="357"/>
      <c r="FB163" s="357"/>
      <c r="FC163" s="357"/>
      <c r="FD163" s="357"/>
      <c r="FE163" s="357"/>
      <c r="FF163" s="357"/>
      <c r="FG163" s="357"/>
      <c r="FH163" s="357"/>
      <c r="FI163" s="357"/>
      <c r="FJ163" s="357"/>
      <c r="FK163" s="357"/>
      <c r="FL163" s="357"/>
      <c r="FM163" s="357"/>
      <c r="FN163" s="357"/>
      <c r="FO163" s="357"/>
      <c r="FP163" s="357"/>
      <c r="FQ163" s="357"/>
      <c r="FR163" s="357"/>
      <c r="FS163" s="357"/>
      <c r="FT163" s="357"/>
      <c r="FU163" s="357"/>
      <c r="FV163" s="357"/>
      <c r="FW163" s="357"/>
      <c r="FX163" s="357"/>
      <c r="FY163" s="357"/>
      <c r="FZ163" s="357"/>
      <c r="GA163" s="357"/>
      <c r="GB163" s="357"/>
      <c r="GC163" s="357"/>
      <c r="GD163" s="357"/>
      <c r="GE163" s="357"/>
      <c r="GF163" s="357"/>
      <c r="GG163" s="357"/>
      <c r="GH163" s="357"/>
      <c r="GI163" s="357"/>
      <c r="GJ163" s="357"/>
      <c r="GK163" s="154"/>
      <c r="GL163" s="154"/>
      <c r="GM163" s="154"/>
      <c r="GN163" s="154"/>
      <c r="GO163" s="154"/>
      <c r="GP163" s="154"/>
      <c r="GQ163" s="154"/>
      <c r="GR163" s="154"/>
      <c r="GS163" s="154"/>
      <c r="GT163" s="154"/>
      <c r="GU163" s="154"/>
      <c r="GV163" s="154"/>
      <c r="GW163" s="154"/>
      <c r="GX163" s="154"/>
    </row>
    <row r="164" spans="7:206">
      <c r="G164" s="154"/>
      <c r="H164" s="154"/>
      <c r="I164" s="154"/>
      <c r="J164" s="154"/>
      <c r="K164" s="154"/>
      <c r="L164" s="154"/>
      <c r="M164" s="154"/>
      <c r="N164" s="154"/>
      <c r="O164" s="154"/>
      <c r="P164" s="154"/>
      <c r="Q164" s="154"/>
      <c r="R164" s="154"/>
      <c r="S164" s="154"/>
      <c r="T164" s="154"/>
      <c r="U164" s="154"/>
      <c r="V164" s="154"/>
      <c r="W164" s="154"/>
      <c r="X164" s="154"/>
      <c r="Y164" s="154"/>
      <c r="Z164" s="357"/>
      <c r="AA164" s="357"/>
      <c r="AB164" s="357"/>
      <c r="AC164" s="357"/>
      <c r="AD164" s="357"/>
      <c r="AE164" s="357"/>
      <c r="AF164" s="357"/>
      <c r="AG164" s="357"/>
      <c r="AH164" s="357"/>
      <c r="AI164" s="357"/>
      <c r="AJ164" s="357"/>
      <c r="AK164" s="357"/>
      <c r="AL164" s="357"/>
      <c r="AM164" s="357"/>
      <c r="AN164" s="357"/>
      <c r="AO164" s="357"/>
      <c r="AP164" s="357"/>
      <c r="AQ164" s="357"/>
      <c r="AR164" s="357"/>
      <c r="AS164" s="357"/>
      <c r="AT164" s="357"/>
      <c r="AU164" s="357"/>
      <c r="AV164" s="357"/>
      <c r="AW164" s="357"/>
      <c r="AX164" s="357"/>
      <c r="AY164" s="357"/>
      <c r="AZ164" s="357"/>
      <c r="BA164" s="357"/>
      <c r="BB164" s="357"/>
      <c r="BC164" s="357"/>
      <c r="BD164" s="357"/>
      <c r="BE164" s="357"/>
      <c r="BF164" s="357"/>
      <c r="BG164" s="357"/>
      <c r="BH164" s="357"/>
      <c r="BI164" s="357"/>
      <c r="BJ164" s="357"/>
      <c r="BK164" s="357"/>
      <c r="BL164" s="357"/>
      <c r="BM164" s="357"/>
      <c r="BN164" s="357"/>
      <c r="BO164" s="357"/>
      <c r="BP164" s="357"/>
      <c r="BQ164" s="357"/>
      <c r="BR164" s="357"/>
      <c r="BS164" s="357"/>
      <c r="BT164" s="357"/>
      <c r="BU164" s="357"/>
      <c r="BV164" s="357"/>
      <c r="BW164" s="357"/>
      <c r="BX164" s="357"/>
      <c r="BY164" s="357"/>
      <c r="BZ164" s="357"/>
      <c r="CA164" s="357"/>
      <c r="CB164" s="357"/>
      <c r="CC164" s="357"/>
      <c r="CD164" s="357"/>
      <c r="CE164" s="357"/>
      <c r="CF164" s="357"/>
      <c r="CG164" s="357"/>
      <c r="CH164" s="357"/>
      <c r="CI164" s="357"/>
      <c r="CJ164" s="357"/>
      <c r="CK164" s="357"/>
      <c r="CL164" s="357"/>
      <c r="CM164" s="357"/>
      <c r="CN164" s="357"/>
      <c r="CO164" s="357"/>
      <c r="CP164" s="357"/>
      <c r="CQ164" s="357"/>
      <c r="CR164" s="357"/>
      <c r="CS164" s="357"/>
      <c r="CT164" s="357"/>
      <c r="CU164" s="357"/>
      <c r="CV164" s="357"/>
      <c r="CW164" s="357"/>
      <c r="CX164" s="357"/>
      <c r="CY164" s="357"/>
      <c r="CZ164" s="357"/>
      <c r="DA164" s="357"/>
      <c r="DB164" s="357"/>
      <c r="DC164" s="357"/>
      <c r="DD164" s="357"/>
      <c r="DE164" s="357"/>
      <c r="DF164" s="357"/>
      <c r="DG164" s="357"/>
      <c r="DH164" s="357"/>
      <c r="DI164" s="357"/>
      <c r="DJ164" s="357"/>
      <c r="DK164" s="357"/>
      <c r="DL164" s="357"/>
      <c r="DM164" s="357"/>
      <c r="DN164" s="357"/>
      <c r="DO164" s="357"/>
      <c r="DP164" s="357"/>
      <c r="DQ164" s="357"/>
      <c r="DR164" s="357"/>
      <c r="DS164" s="357"/>
      <c r="DT164" s="357"/>
      <c r="DU164" s="357"/>
      <c r="DV164" s="357"/>
      <c r="DW164" s="357"/>
      <c r="DX164" s="357"/>
      <c r="DY164" s="357"/>
      <c r="DZ164" s="357"/>
      <c r="EA164" s="357"/>
      <c r="EB164" s="357"/>
      <c r="EC164" s="357"/>
      <c r="ED164" s="357"/>
      <c r="EE164" s="357"/>
      <c r="EF164" s="357"/>
      <c r="EG164" s="357"/>
      <c r="EH164" s="357"/>
      <c r="EI164" s="357"/>
      <c r="EJ164" s="357"/>
      <c r="EK164" s="357"/>
      <c r="EL164" s="357"/>
      <c r="EM164" s="357"/>
      <c r="EN164" s="357"/>
      <c r="EO164" s="357"/>
      <c r="EP164" s="357"/>
      <c r="EQ164" s="357"/>
      <c r="ER164" s="357"/>
      <c r="ES164" s="357"/>
      <c r="ET164" s="357"/>
      <c r="EU164" s="357"/>
      <c r="EV164" s="357"/>
      <c r="EW164" s="357"/>
      <c r="EX164" s="357"/>
      <c r="EY164" s="357"/>
      <c r="EZ164" s="357"/>
      <c r="FA164" s="357"/>
      <c r="FB164" s="357"/>
      <c r="FC164" s="357"/>
      <c r="FD164" s="357"/>
      <c r="FE164" s="357"/>
      <c r="FF164" s="357"/>
      <c r="FG164" s="357"/>
      <c r="FH164" s="357"/>
      <c r="FI164" s="357"/>
      <c r="FJ164" s="357"/>
      <c r="FK164" s="357"/>
      <c r="FL164" s="357"/>
      <c r="FM164" s="357"/>
      <c r="FN164" s="357"/>
      <c r="FO164" s="357"/>
      <c r="FP164" s="357"/>
      <c r="FQ164" s="357"/>
      <c r="FR164" s="357"/>
      <c r="FS164" s="357"/>
      <c r="FT164" s="357"/>
      <c r="FU164" s="357"/>
      <c r="FV164" s="357"/>
      <c r="FW164" s="357"/>
      <c r="FX164" s="357"/>
      <c r="FY164" s="357"/>
      <c r="FZ164" s="357"/>
      <c r="GA164" s="357"/>
      <c r="GB164" s="357"/>
      <c r="GC164" s="357"/>
      <c r="GD164" s="357"/>
      <c r="GE164" s="357"/>
      <c r="GF164" s="357"/>
      <c r="GG164" s="357"/>
      <c r="GH164" s="357"/>
      <c r="GI164" s="357"/>
      <c r="GJ164" s="357"/>
      <c r="GK164" s="154"/>
      <c r="GL164" s="154"/>
      <c r="GM164" s="154"/>
      <c r="GN164" s="154"/>
      <c r="GO164" s="154"/>
      <c r="GP164" s="154"/>
      <c r="GQ164" s="154"/>
      <c r="GR164" s="154"/>
      <c r="GS164" s="154"/>
      <c r="GT164" s="154"/>
      <c r="GU164" s="154"/>
      <c r="GV164" s="154"/>
      <c r="GW164" s="154"/>
      <c r="GX164" s="154"/>
    </row>
    <row r="165" spans="7:206">
      <c r="G165" s="154"/>
      <c r="H165" s="154"/>
      <c r="I165" s="154"/>
      <c r="J165" s="154"/>
      <c r="K165" s="154"/>
      <c r="L165" s="154"/>
      <c r="M165" s="154"/>
      <c r="N165" s="154"/>
      <c r="O165" s="154"/>
      <c r="P165" s="154"/>
      <c r="Q165" s="154"/>
      <c r="R165" s="154"/>
      <c r="S165" s="154"/>
      <c r="T165" s="154"/>
      <c r="U165" s="154"/>
      <c r="V165" s="154"/>
      <c r="W165" s="154"/>
      <c r="X165" s="154"/>
      <c r="Y165" s="154"/>
      <c r="Z165" s="357"/>
      <c r="AA165" s="357"/>
      <c r="AB165" s="357"/>
      <c r="AC165" s="357"/>
      <c r="AD165" s="357"/>
      <c r="AE165" s="357"/>
      <c r="AF165" s="357"/>
      <c r="AG165" s="357"/>
      <c r="AH165" s="357"/>
      <c r="AI165" s="357"/>
      <c r="AJ165" s="357"/>
      <c r="AK165" s="357"/>
      <c r="AL165" s="357"/>
      <c r="AM165" s="357"/>
      <c r="AN165" s="357"/>
      <c r="AO165" s="357"/>
      <c r="AP165" s="357"/>
      <c r="AQ165" s="357"/>
      <c r="AR165" s="357"/>
      <c r="AS165" s="357"/>
      <c r="AT165" s="357"/>
      <c r="AU165" s="357"/>
      <c r="AV165" s="357"/>
      <c r="AW165" s="357"/>
      <c r="AX165" s="357"/>
      <c r="AY165" s="357"/>
      <c r="AZ165" s="357"/>
      <c r="BA165" s="357"/>
      <c r="BB165" s="357"/>
      <c r="BC165" s="357"/>
      <c r="BD165" s="357"/>
      <c r="BE165" s="357"/>
      <c r="BF165" s="357"/>
      <c r="BG165" s="357"/>
      <c r="BH165" s="357"/>
      <c r="BI165" s="357"/>
      <c r="BJ165" s="357"/>
      <c r="BK165" s="357"/>
      <c r="BL165" s="357"/>
      <c r="BM165" s="357"/>
      <c r="BN165" s="357"/>
      <c r="BO165" s="357"/>
      <c r="BP165" s="357"/>
      <c r="BQ165" s="357"/>
      <c r="BR165" s="357"/>
      <c r="BS165" s="357"/>
      <c r="BT165" s="357"/>
      <c r="BU165" s="357"/>
      <c r="BV165" s="357"/>
      <c r="BW165" s="357"/>
      <c r="BX165" s="357"/>
      <c r="BY165" s="357"/>
      <c r="BZ165" s="357"/>
      <c r="CA165" s="357"/>
      <c r="CB165" s="357"/>
      <c r="CC165" s="357"/>
      <c r="CD165" s="357"/>
      <c r="CE165" s="357"/>
      <c r="CF165" s="357"/>
      <c r="CG165" s="357"/>
      <c r="CH165" s="357"/>
      <c r="CI165" s="357"/>
      <c r="CJ165" s="357"/>
      <c r="CK165" s="357"/>
      <c r="CL165" s="357"/>
      <c r="CM165" s="357"/>
      <c r="CN165" s="357"/>
      <c r="CO165" s="357"/>
      <c r="CP165" s="357"/>
      <c r="CQ165" s="357"/>
      <c r="CR165" s="357"/>
      <c r="CS165" s="357"/>
      <c r="CT165" s="357"/>
      <c r="CU165" s="357"/>
      <c r="CV165" s="357"/>
      <c r="CW165" s="357"/>
      <c r="CX165" s="357"/>
      <c r="CY165" s="357"/>
      <c r="CZ165" s="357"/>
      <c r="DA165" s="357"/>
      <c r="DB165" s="357"/>
      <c r="DC165" s="357"/>
      <c r="DD165" s="357"/>
      <c r="DE165" s="357"/>
      <c r="DF165" s="357"/>
      <c r="DG165" s="357"/>
      <c r="DH165" s="357"/>
      <c r="DI165" s="357"/>
      <c r="DJ165" s="357"/>
      <c r="DK165" s="357"/>
      <c r="DL165" s="357"/>
      <c r="DM165" s="357"/>
      <c r="DN165" s="357"/>
      <c r="DO165" s="357"/>
      <c r="DP165" s="357"/>
      <c r="DQ165" s="357"/>
      <c r="DR165" s="357"/>
      <c r="DS165" s="357"/>
      <c r="DT165" s="357"/>
      <c r="DU165" s="357"/>
      <c r="DV165" s="357"/>
      <c r="DW165" s="357"/>
      <c r="DX165" s="357"/>
      <c r="DY165" s="357"/>
      <c r="DZ165" s="357"/>
      <c r="EA165" s="357"/>
      <c r="EB165" s="357"/>
      <c r="EC165" s="357"/>
      <c r="ED165" s="357"/>
      <c r="EE165" s="357"/>
      <c r="EF165" s="357"/>
      <c r="EG165" s="357"/>
      <c r="EH165" s="357"/>
      <c r="EI165" s="357"/>
      <c r="EJ165" s="357"/>
      <c r="EK165" s="357"/>
      <c r="EL165" s="357"/>
      <c r="EM165" s="357"/>
      <c r="EN165" s="357"/>
      <c r="EO165" s="357"/>
      <c r="EP165" s="357"/>
      <c r="EQ165" s="357"/>
      <c r="ER165" s="357"/>
      <c r="ES165" s="357"/>
      <c r="ET165" s="357"/>
      <c r="EU165" s="357"/>
      <c r="EV165" s="357"/>
      <c r="EW165" s="357"/>
      <c r="EX165" s="357"/>
      <c r="EY165" s="357"/>
      <c r="EZ165" s="357"/>
      <c r="FA165" s="357"/>
      <c r="FB165" s="357"/>
      <c r="FC165" s="357"/>
      <c r="FD165" s="357"/>
      <c r="FE165" s="357"/>
      <c r="FF165" s="357"/>
      <c r="FG165" s="357"/>
      <c r="FH165" s="357"/>
      <c r="FI165" s="357"/>
      <c r="FJ165" s="357"/>
      <c r="FK165" s="357"/>
      <c r="FL165" s="357"/>
      <c r="FM165" s="357"/>
      <c r="FN165" s="357"/>
      <c r="FO165" s="357"/>
      <c r="FP165" s="357"/>
      <c r="FQ165" s="357"/>
      <c r="FR165" s="357"/>
      <c r="FS165" s="357"/>
      <c r="FT165" s="357"/>
      <c r="FU165" s="357"/>
      <c r="FV165" s="357"/>
      <c r="FW165" s="357"/>
      <c r="FX165" s="357"/>
      <c r="FY165" s="357"/>
      <c r="FZ165" s="357"/>
      <c r="GA165" s="357"/>
      <c r="GB165" s="357"/>
      <c r="GC165" s="357"/>
      <c r="GD165" s="357"/>
      <c r="GE165" s="357"/>
      <c r="GF165" s="357"/>
      <c r="GG165" s="357"/>
      <c r="GH165" s="357"/>
      <c r="GI165" s="357"/>
      <c r="GJ165" s="357"/>
      <c r="GK165" s="154"/>
      <c r="GL165" s="154"/>
      <c r="GM165" s="154"/>
      <c r="GN165" s="154"/>
      <c r="GO165" s="154"/>
      <c r="GP165" s="154"/>
      <c r="GQ165" s="154"/>
      <c r="GR165" s="154"/>
      <c r="GS165" s="154"/>
      <c r="GT165" s="154"/>
      <c r="GU165" s="154"/>
      <c r="GV165" s="154"/>
      <c r="GW165" s="154"/>
      <c r="GX165" s="154"/>
    </row>
    <row r="166" spans="7:206">
      <c r="G166" s="154"/>
      <c r="H166" s="154"/>
      <c r="I166" s="154"/>
      <c r="J166" s="154"/>
      <c r="K166" s="154"/>
      <c r="L166" s="154"/>
      <c r="M166" s="154"/>
      <c r="N166" s="154"/>
      <c r="O166" s="154"/>
      <c r="P166" s="154"/>
      <c r="Q166" s="154"/>
      <c r="R166" s="154"/>
      <c r="S166" s="154"/>
      <c r="T166" s="154"/>
      <c r="U166" s="154"/>
      <c r="V166" s="154"/>
      <c r="W166" s="154"/>
      <c r="X166" s="154"/>
      <c r="Y166" s="154"/>
      <c r="Z166" s="357"/>
      <c r="AA166" s="357"/>
      <c r="AB166" s="357"/>
      <c r="AC166" s="357"/>
      <c r="AD166" s="357"/>
      <c r="AE166" s="357"/>
      <c r="AF166" s="357"/>
      <c r="AG166" s="357"/>
      <c r="AH166" s="357"/>
      <c r="AI166" s="357"/>
      <c r="AJ166" s="357"/>
      <c r="AK166" s="357"/>
      <c r="AL166" s="357"/>
      <c r="AM166" s="357"/>
      <c r="AN166" s="357"/>
      <c r="AO166" s="357"/>
      <c r="AP166" s="357"/>
      <c r="AQ166" s="357"/>
      <c r="AR166" s="357"/>
      <c r="AS166" s="357"/>
      <c r="AT166" s="357"/>
      <c r="AU166" s="357"/>
      <c r="AV166" s="357"/>
      <c r="AW166" s="357"/>
      <c r="AX166" s="357"/>
      <c r="AY166" s="357"/>
      <c r="AZ166" s="357"/>
      <c r="BA166" s="357"/>
      <c r="BB166" s="357"/>
      <c r="BC166" s="357"/>
      <c r="BD166" s="357"/>
      <c r="BE166" s="357"/>
      <c r="BF166" s="357"/>
      <c r="BG166" s="357"/>
      <c r="BH166" s="357"/>
      <c r="BI166" s="357"/>
      <c r="BJ166" s="357"/>
      <c r="BK166" s="357"/>
      <c r="BL166" s="357"/>
      <c r="BM166" s="357"/>
      <c r="BN166" s="357"/>
      <c r="BO166" s="357"/>
      <c r="BP166" s="357"/>
      <c r="BQ166" s="357"/>
      <c r="BR166" s="357"/>
      <c r="BS166" s="357"/>
      <c r="BT166" s="357"/>
      <c r="BU166" s="357"/>
      <c r="BV166" s="357"/>
      <c r="BW166" s="357"/>
      <c r="BX166" s="357"/>
      <c r="BY166" s="357"/>
      <c r="BZ166" s="357"/>
      <c r="CA166" s="357"/>
      <c r="CB166" s="357"/>
      <c r="CC166" s="357"/>
      <c r="CD166" s="357"/>
      <c r="CE166" s="357"/>
      <c r="CF166" s="357"/>
      <c r="CG166" s="357"/>
      <c r="CH166" s="357"/>
      <c r="CI166" s="357"/>
      <c r="CJ166" s="357"/>
      <c r="CK166" s="357"/>
      <c r="CL166" s="357"/>
      <c r="CM166" s="357"/>
      <c r="CN166" s="357"/>
      <c r="CO166" s="357"/>
      <c r="CP166" s="357"/>
      <c r="CQ166" s="357"/>
      <c r="CR166" s="357"/>
      <c r="CS166" s="357"/>
      <c r="CT166" s="357"/>
      <c r="CU166" s="357"/>
      <c r="CV166" s="357"/>
      <c r="CW166" s="357"/>
      <c r="CX166" s="357"/>
      <c r="CY166" s="357"/>
      <c r="CZ166" s="357"/>
      <c r="DA166" s="357"/>
      <c r="DB166" s="357"/>
      <c r="DC166" s="357"/>
      <c r="DD166" s="357"/>
      <c r="DE166" s="357"/>
      <c r="DF166" s="357"/>
      <c r="DG166" s="357"/>
      <c r="DH166" s="357"/>
      <c r="DI166" s="357"/>
      <c r="DJ166" s="357"/>
      <c r="DK166" s="357"/>
      <c r="DL166" s="357"/>
      <c r="DM166" s="357"/>
      <c r="DN166" s="357"/>
      <c r="DO166" s="357"/>
      <c r="DP166" s="357"/>
      <c r="DQ166" s="357"/>
      <c r="DR166" s="357"/>
      <c r="DS166" s="357"/>
      <c r="DT166" s="357"/>
      <c r="DU166" s="357"/>
      <c r="DV166" s="357"/>
      <c r="DW166" s="357"/>
      <c r="DX166" s="357"/>
      <c r="DY166" s="357"/>
      <c r="DZ166" s="357"/>
      <c r="EA166" s="357"/>
      <c r="EB166" s="357"/>
      <c r="EC166" s="357"/>
      <c r="ED166" s="357"/>
      <c r="EE166" s="357"/>
      <c r="EF166" s="357"/>
      <c r="EG166" s="357"/>
      <c r="EH166" s="357"/>
      <c r="EI166" s="357"/>
      <c r="EJ166" s="357"/>
      <c r="EK166" s="357"/>
      <c r="EL166" s="357"/>
      <c r="EM166" s="357"/>
      <c r="EN166" s="357"/>
      <c r="EO166" s="357"/>
      <c r="EP166" s="357"/>
      <c r="EQ166" s="357"/>
      <c r="ER166" s="357"/>
      <c r="ES166" s="357"/>
      <c r="ET166" s="357"/>
      <c r="EU166" s="357"/>
      <c r="EV166" s="357"/>
      <c r="EW166" s="357"/>
      <c r="EX166" s="357"/>
      <c r="EY166" s="357"/>
      <c r="EZ166" s="357"/>
      <c r="FA166" s="357"/>
      <c r="FB166" s="357"/>
      <c r="FC166" s="357"/>
      <c r="FD166" s="357"/>
      <c r="FE166" s="357"/>
      <c r="FF166" s="357"/>
      <c r="FG166" s="357"/>
      <c r="FH166" s="357"/>
      <c r="FI166" s="357"/>
      <c r="FJ166" s="357"/>
      <c r="FK166" s="357"/>
      <c r="FL166" s="357"/>
      <c r="FM166" s="357"/>
      <c r="FN166" s="357"/>
      <c r="FO166" s="357"/>
      <c r="FP166" s="357"/>
      <c r="FQ166" s="357"/>
      <c r="FR166" s="357"/>
      <c r="FS166" s="357"/>
      <c r="FT166" s="357"/>
      <c r="FU166" s="357"/>
      <c r="FV166" s="357"/>
      <c r="FW166" s="357"/>
      <c r="FX166" s="357"/>
      <c r="FY166" s="357"/>
      <c r="FZ166" s="357"/>
      <c r="GA166" s="357"/>
      <c r="GB166" s="357"/>
      <c r="GC166" s="357"/>
      <c r="GD166" s="357"/>
      <c r="GE166" s="357"/>
      <c r="GF166" s="357"/>
      <c r="GG166" s="357"/>
      <c r="GH166" s="357"/>
      <c r="GI166" s="357"/>
      <c r="GJ166" s="357"/>
      <c r="GK166" s="154"/>
      <c r="GL166" s="154"/>
      <c r="GM166" s="154"/>
      <c r="GN166" s="154"/>
      <c r="GO166" s="154"/>
      <c r="GP166" s="154"/>
      <c r="GQ166" s="154"/>
      <c r="GR166" s="154"/>
      <c r="GS166" s="154"/>
      <c r="GT166" s="154"/>
      <c r="GU166" s="154"/>
      <c r="GV166" s="154"/>
      <c r="GW166" s="154"/>
      <c r="GX166" s="154"/>
    </row>
    <row r="167" spans="7:206">
      <c r="G167" s="154"/>
      <c r="H167" s="154"/>
      <c r="I167" s="154"/>
      <c r="J167" s="154"/>
      <c r="K167" s="154"/>
      <c r="L167" s="154"/>
      <c r="M167" s="154"/>
      <c r="N167" s="154"/>
      <c r="O167" s="154"/>
      <c r="P167" s="154"/>
      <c r="Q167" s="154"/>
      <c r="R167" s="154"/>
      <c r="S167" s="154"/>
      <c r="T167" s="154"/>
      <c r="U167" s="154"/>
      <c r="V167" s="154"/>
      <c r="W167" s="154"/>
      <c r="X167" s="154"/>
      <c r="Y167" s="154"/>
      <c r="Z167" s="357"/>
      <c r="AA167" s="357"/>
      <c r="AB167" s="357"/>
      <c r="AC167" s="357"/>
      <c r="AD167" s="357"/>
      <c r="AE167" s="357"/>
      <c r="AF167" s="357"/>
      <c r="AG167" s="357"/>
      <c r="AH167" s="357"/>
      <c r="AI167" s="357"/>
      <c r="AJ167" s="357"/>
      <c r="AK167" s="357"/>
      <c r="AL167" s="357"/>
      <c r="AM167" s="357"/>
      <c r="AN167" s="357"/>
      <c r="AO167" s="357"/>
      <c r="AP167" s="357"/>
      <c r="AQ167" s="357"/>
      <c r="AR167" s="357"/>
      <c r="AS167" s="357"/>
      <c r="AT167" s="357"/>
      <c r="AU167" s="357"/>
      <c r="AV167" s="357"/>
      <c r="AW167" s="357"/>
      <c r="AX167" s="357"/>
      <c r="AY167" s="357"/>
      <c r="AZ167" s="357"/>
      <c r="BA167" s="357"/>
      <c r="BB167" s="357"/>
      <c r="BC167" s="357"/>
      <c r="BD167" s="357"/>
      <c r="BE167" s="357"/>
      <c r="BF167" s="357"/>
      <c r="BG167" s="357"/>
      <c r="BH167" s="357"/>
      <c r="BI167" s="357"/>
      <c r="BJ167" s="357"/>
      <c r="BK167" s="357"/>
      <c r="BL167" s="357"/>
      <c r="BM167" s="357"/>
      <c r="BN167" s="357"/>
      <c r="BO167" s="357"/>
      <c r="BP167" s="357"/>
      <c r="BQ167" s="357"/>
      <c r="BR167" s="357"/>
      <c r="BS167" s="357"/>
      <c r="BT167" s="357"/>
      <c r="BU167" s="357"/>
      <c r="BV167" s="357"/>
      <c r="BW167" s="357"/>
      <c r="BX167" s="357"/>
      <c r="BY167" s="357"/>
      <c r="BZ167" s="357"/>
      <c r="CA167" s="357"/>
      <c r="CB167" s="357"/>
      <c r="CC167" s="357"/>
      <c r="CD167" s="357"/>
      <c r="CE167" s="357"/>
      <c r="CF167" s="357"/>
      <c r="CG167" s="357"/>
      <c r="CH167" s="357"/>
      <c r="CI167" s="357"/>
      <c r="CJ167" s="357"/>
      <c r="CK167" s="357"/>
      <c r="CL167" s="357"/>
      <c r="CM167" s="357"/>
      <c r="CN167" s="357"/>
      <c r="CO167" s="357"/>
      <c r="CP167" s="357"/>
      <c r="CQ167" s="357"/>
      <c r="CR167" s="357"/>
      <c r="CS167" s="357"/>
      <c r="CT167" s="357"/>
      <c r="CU167" s="357"/>
      <c r="CV167" s="357"/>
      <c r="CW167" s="357"/>
      <c r="CX167" s="357"/>
      <c r="CY167" s="357"/>
      <c r="CZ167" s="357"/>
      <c r="DA167" s="357"/>
      <c r="DB167" s="357"/>
      <c r="DC167" s="357"/>
      <c r="DD167" s="357"/>
      <c r="DE167" s="357"/>
      <c r="DF167" s="357"/>
      <c r="DG167" s="357"/>
      <c r="DH167" s="357"/>
      <c r="DI167" s="357"/>
      <c r="DJ167" s="357"/>
      <c r="DK167" s="357"/>
      <c r="DL167" s="357"/>
      <c r="DM167" s="357"/>
      <c r="DN167" s="357"/>
      <c r="DO167" s="357"/>
      <c r="DP167" s="357"/>
      <c r="DQ167" s="357"/>
      <c r="DR167" s="357"/>
      <c r="DS167" s="357"/>
      <c r="DT167" s="357"/>
      <c r="DU167" s="357"/>
      <c r="DV167" s="357"/>
      <c r="DW167" s="357"/>
      <c r="DX167" s="357"/>
      <c r="DY167" s="357"/>
      <c r="DZ167" s="357"/>
      <c r="EA167" s="357"/>
      <c r="EB167" s="357"/>
      <c r="EC167" s="357"/>
      <c r="ED167" s="357"/>
      <c r="EE167" s="357"/>
      <c r="EF167" s="357"/>
      <c r="EG167" s="357"/>
      <c r="EH167" s="357"/>
      <c r="EI167" s="357"/>
      <c r="EJ167" s="357"/>
      <c r="EK167" s="357"/>
      <c r="EL167" s="357"/>
      <c r="EM167" s="357"/>
      <c r="EN167" s="357"/>
      <c r="EO167" s="357"/>
      <c r="EP167" s="357"/>
      <c r="EQ167" s="357"/>
      <c r="ER167" s="357"/>
      <c r="ES167" s="357"/>
      <c r="ET167" s="357"/>
      <c r="EU167" s="357"/>
      <c r="EV167" s="357"/>
      <c r="EW167" s="357"/>
      <c r="EX167" s="357"/>
      <c r="EY167" s="357"/>
      <c r="EZ167" s="357"/>
      <c r="FA167" s="357"/>
      <c r="FB167" s="357"/>
      <c r="FC167" s="357"/>
      <c r="FD167" s="357"/>
      <c r="FE167" s="357"/>
      <c r="FF167" s="357"/>
      <c r="FG167" s="357"/>
      <c r="FH167" s="357"/>
      <c r="FI167" s="357"/>
      <c r="FJ167" s="357"/>
      <c r="FK167" s="357"/>
      <c r="FL167" s="357"/>
      <c r="FM167" s="357"/>
      <c r="FN167" s="357"/>
      <c r="FO167" s="357"/>
      <c r="FP167" s="357"/>
      <c r="FQ167" s="357"/>
      <c r="FR167" s="357"/>
      <c r="FS167" s="357"/>
      <c r="FT167" s="357"/>
      <c r="FU167" s="357"/>
      <c r="FV167" s="357"/>
      <c r="FW167" s="357"/>
      <c r="FX167" s="357"/>
      <c r="FY167" s="357"/>
      <c r="FZ167" s="357"/>
      <c r="GA167" s="357"/>
      <c r="GB167" s="357"/>
      <c r="GC167" s="357"/>
      <c r="GD167" s="357"/>
      <c r="GE167" s="357"/>
      <c r="GF167" s="357"/>
      <c r="GG167" s="357"/>
      <c r="GH167" s="357"/>
      <c r="GI167" s="357"/>
      <c r="GJ167" s="357"/>
      <c r="GK167" s="154"/>
      <c r="GL167" s="154"/>
      <c r="GM167" s="154"/>
      <c r="GN167" s="154"/>
      <c r="GO167" s="154"/>
      <c r="GP167" s="154"/>
      <c r="GQ167" s="154"/>
      <c r="GR167" s="154"/>
      <c r="GS167" s="154"/>
      <c r="GT167" s="154"/>
      <c r="GU167" s="154"/>
      <c r="GV167" s="154"/>
      <c r="GW167" s="154"/>
      <c r="GX167" s="154"/>
    </row>
    <row r="168" spans="7:206">
      <c r="G168" s="154"/>
      <c r="H168" s="154"/>
      <c r="I168" s="154"/>
      <c r="J168" s="154"/>
      <c r="K168" s="154"/>
      <c r="L168" s="154"/>
      <c r="M168" s="154"/>
      <c r="N168" s="154"/>
      <c r="O168" s="154"/>
      <c r="P168" s="154"/>
      <c r="Q168" s="154"/>
      <c r="R168" s="154"/>
      <c r="S168" s="154"/>
      <c r="T168" s="154"/>
      <c r="U168" s="154"/>
      <c r="V168" s="154"/>
      <c r="W168" s="154"/>
      <c r="X168" s="154"/>
      <c r="Y168" s="154"/>
      <c r="Z168" s="357"/>
      <c r="AA168" s="357"/>
      <c r="AB168" s="357"/>
      <c r="AC168" s="357"/>
      <c r="AD168" s="357"/>
      <c r="AE168" s="357"/>
      <c r="AF168" s="357"/>
      <c r="AG168" s="357"/>
      <c r="AH168" s="357"/>
      <c r="AI168" s="357"/>
      <c r="AJ168" s="357"/>
      <c r="AK168" s="357"/>
      <c r="AL168" s="357"/>
      <c r="AM168" s="357"/>
      <c r="AN168" s="357"/>
      <c r="AO168" s="357"/>
      <c r="AP168" s="357"/>
      <c r="AQ168" s="357"/>
      <c r="AR168" s="357"/>
      <c r="AS168" s="357"/>
      <c r="AT168" s="357"/>
      <c r="AU168" s="357"/>
      <c r="AV168" s="357"/>
      <c r="AW168" s="357"/>
      <c r="AX168" s="357"/>
      <c r="AY168" s="357"/>
      <c r="AZ168" s="357"/>
      <c r="BA168" s="357"/>
      <c r="BB168" s="357"/>
      <c r="BC168" s="357"/>
      <c r="BD168" s="357"/>
      <c r="BE168" s="357"/>
      <c r="BF168" s="357"/>
      <c r="BG168" s="357"/>
      <c r="BH168" s="357"/>
      <c r="BI168" s="357"/>
      <c r="BJ168" s="357"/>
      <c r="BK168" s="357"/>
      <c r="BL168" s="357"/>
      <c r="BM168" s="357"/>
      <c r="BN168" s="357"/>
      <c r="BO168" s="357"/>
      <c r="BP168" s="357"/>
      <c r="BQ168" s="357"/>
      <c r="BR168" s="357"/>
      <c r="BS168" s="357"/>
      <c r="BT168" s="357"/>
      <c r="BU168" s="357"/>
      <c r="BV168" s="357"/>
      <c r="BW168" s="357"/>
      <c r="BX168" s="357"/>
      <c r="BY168" s="357"/>
      <c r="BZ168" s="357"/>
      <c r="CA168" s="357"/>
      <c r="CB168" s="357"/>
      <c r="CC168" s="357"/>
      <c r="CD168" s="357"/>
      <c r="CE168" s="357"/>
      <c r="CF168" s="357"/>
      <c r="CG168" s="357"/>
      <c r="CH168" s="357"/>
      <c r="CI168" s="357"/>
      <c r="CJ168" s="357"/>
      <c r="CK168" s="357"/>
      <c r="CL168" s="357"/>
      <c r="CM168" s="357"/>
      <c r="CN168" s="357"/>
      <c r="CO168" s="357"/>
      <c r="CP168" s="357"/>
      <c r="CQ168" s="357"/>
      <c r="CR168" s="357"/>
      <c r="CS168" s="357"/>
      <c r="CT168" s="357"/>
      <c r="CU168" s="357"/>
      <c r="CV168" s="357"/>
      <c r="CW168" s="357"/>
      <c r="CX168" s="357"/>
      <c r="CY168" s="357"/>
      <c r="CZ168" s="357"/>
      <c r="DA168" s="357"/>
      <c r="DB168" s="357"/>
      <c r="DC168" s="357"/>
      <c r="DD168" s="357"/>
      <c r="DE168" s="357"/>
      <c r="DF168" s="357"/>
      <c r="DG168" s="357"/>
      <c r="DH168" s="357"/>
      <c r="DI168" s="357"/>
      <c r="DJ168" s="357"/>
      <c r="DK168" s="357"/>
      <c r="DL168" s="357"/>
      <c r="DM168" s="357"/>
      <c r="DN168" s="357"/>
      <c r="DO168" s="357"/>
      <c r="DP168" s="357"/>
      <c r="DQ168" s="357"/>
      <c r="DR168" s="357"/>
      <c r="DS168" s="357"/>
      <c r="DT168" s="357"/>
      <c r="DU168" s="357"/>
      <c r="DV168" s="357"/>
      <c r="DW168" s="357"/>
      <c r="DX168" s="357"/>
      <c r="DY168" s="357"/>
      <c r="DZ168" s="357"/>
      <c r="EA168" s="357"/>
      <c r="EB168" s="357"/>
      <c r="EC168" s="357"/>
      <c r="ED168" s="357"/>
      <c r="EE168" s="357"/>
      <c r="EF168" s="357"/>
      <c r="EG168" s="357"/>
      <c r="EH168" s="357"/>
      <c r="EI168" s="357"/>
      <c r="EJ168" s="357"/>
      <c r="EK168" s="357"/>
      <c r="EL168" s="357"/>
      <c r="EM168" s="357"/>
      <c r="EN168" s="357"/>
      <c r="EO168" s="357"/>
      <c r="EP168" s="357"/>
      <c r="EQ168" s="357"/>
      <c r="ER168" s="357"/>
      <c r="ES168" s="357"/>
      <c r="ET168" s="357"/>
      <c r="EU168" s="357"/>
      <c r="EV168" s="357"/>
      <c r="EW168" s="357"/>
      <c r="EX168" s="357"/>
      <c r="EY168" s="357"/>
      <c r="EZ168" s="357"/>
      <c r="FA168" s="357"/>
      <c r="FB168" s="357"/>
      <c r="FC168" s="357"/>
      <c r="FD168" s="357"/>
      <c r="FE168" s="357"/>
      <c r="FF168" s="357"/>
      <c r="FG168" s="357"/>
      <c r="FH168" s="357"/>
      <c r="FI168" s="357"/>
      <c r="FJ168" s="357"/>
      <c r="FK168" s="357"/>
      <c r="FL168" s="357"/>
      <c r="FM168" s="357"/>
      <c r="FN168" s="357"/>
      <c r="FO168" s="357"/>
      <c r="FP168" s="357"/>
      <c r="FQ168" s="357"/>
      <c r="FR168" s="357"/>
      <c r="FS168" s="357"/>
      <c r="FT168" s="357"/>
      <c r="FU168" s="357"/>
      <c r="FV168" s="357"/>
      <c r="FW168" s="357"/>
      <c r="FX168" s="357"/>
      <c r="FY168" s="357"/>
      <c r="FZ168" s="357"/>
      <c r="GA168" s="357"/>
      <c r="GB168" s="357"/>
      <c r="GC168" s="357"/>
      <c r="GD168" s="357"/>
      <c r="GE168" s="357"/>
      <c r="GF168" s="357"/>
      <c r="GG168" s="357"/>
      <c r="GH168" s="357"/>
      <c r="GI168" s="357"/>
      <c r="GJ168" s="357"/>
      <c r="GK168" s="154"/>
      <c r="GL168" s="154"/>
      <c r="GM168" s="154"/>
      <c r="GN168" s="154"/>
      <c r="GO168" s="154"/>
      <c r="GP168" s="154"/>
      <c r="GQ168" s="154"/>
      <c r="GR168" s="154"/>
      <c r="GS168" s="154"/>
      <c r="GT168" s="154"/>
      <c r="GU168" s="154"/>
      <c r="GV168" s="154"/>
      <c r="GW168" s="154"/>
      <c r="GX168" s="154"/>
    </row>
    <row r="169" spans="7:206">
      <c r="G169" s="154"/>
      <c r="H169" s="154"/>
      <c r="I169" s="154"/>
      <c r="J169" s="154"/>
      <c r="K169" s="154"/>
      <c r="L169" s="154"/>
      <c r="M169" s="154"/>
      <c r="N169" s="154"/>
      <c r="O169" s="154"/>
      <c r="P169" s="154"/>
      <c r="Q169" s="154"/>
      <c r="R169" s="154"/>
      <c r="S169" s="154"/>
      <c r="T169" s="154"/>
      <c r="U169" s="154"/>
      <c r="V169" s="154"/>
      <c r="W169" s="154"/>
      <c r="X169" s="154"/>
      <c r="Y169" s="154"/>
      <c r="Z169" s="357"/>
      <c r="AA169" s="357"/>
      <c r="AB169" s="357"/>
      <c r="AC169" s="357"/>
      <c r="AD169" s="357"/>
      <c r="AE169" s="357"/>
      <c r="AF169" s="357"/>
      <c r="AG169" s="357"/>
      <c r="AH169" s="357"/>
      <c r="AI169" s="357"/>
      <c r="AJ169" s="357"/>
      <c r="AK169" s="357"/>
      <c r="AL169" s="357"/>
      <c r="AM169" s="357"/>
      <c r="AN169" s="357"/>
      <c r="AO169" s="357"/>
      <c r="AP169" s="357"/>
      <c r="AQ169" s="357"/>
      <c r="AR169" s="357"/>
      <c r="AS169" s="357"/>
      <c r="AT169" s="357"/>
      <c r="AU169" s="357"/>
      <c r="AV169" s="357"/>
      <c r="AW169" s="357"/>
      <c r="AX169" s="357"/>
      <c r="AY169" s="357"/>
      <c r="AZ169" s="357"/>
      <c r="BA169" s="357"/>
      <c r="BB169" s="357"/>
      <c r="BC169" s="357"/>
      <c r="BD169" s="357"/>
      <c r="BE169" s="357"/>
      <c r="BF169" s="357"/>
      <c r="BG169" s="357"/>
      <c r="BH169" s="357"/>
      <c r="BI169" s="357"/>
      <c r="BJ169" s="357"/>
      <c r="BK169" s="357"/>
      <c r="BL169" s="357"/>
      <c r="BM169" s="357"/>
      <c r="BN169" s="357"/>
      <c r="BO169" s="357"/>
      <c r="BP169" s="357"/>
      <c r="BQ169" s="357"/>
      <c r="BR169" s="357"/>
      <c r="BS169" s="357"/>
      <c r="BT169" s="357"/>
      <c r="BU169" s="357"/>
      <c r="BV169" s="357"/>
      <c r="BW169" s="357"/>
      <c r="BX169" s="357"/>
      <c r="BY169" s="357"/>
      <c r="BZ169" s="357"/>
      <c r="CA169" s="357"/>
      <c r="CB169" s="357"/>
      <c r="CC169" s="357"/>
      <c r="CD169" s="357"/>
      <c r="CE169" s="357"/>
      <c r="CF169" s="357"/>
      <c r="CG169" s="357"/>
      <c r="CH169" s="357"/>
      <c r="CI169" s="357"/>
      <c r="CJ169" s="357"/>
      <c r="CK169" s="357"/>
      <c r="CL169" s="357"/>
      <c r="CM169" s="357"/>
      <c r="CN169" s="357"/>
      <c r="CO169" s="357"/>
      <c r="CP169" s="357"/>
      <c r="CQ169" s="357"/>
      <c r="CR169" s="357"/>
      <c r="CS169" s="357"/>
      <c r="CT169" s="357"/>
      <c r="CU169" s="357"/>
      <c r="CV169" s="357"/>
      <c r="CW169" s="357"/>
      <c r="CX169" s="357"/>
      <c r="CY169" s="357"/>
      <c r="CZ169" s="357"/>
      <c r="DA169" s="357"/>
      <c r="DB169" s="357"/>
      <c r="DC169" s="357"/>
      <c r="DD169" s="357"/>
      <c r="DE169" s="357"/>
      <c r="DF169" s="357"/>
      <c r="DG169" s="357"/>
      <c r="DH169" s="357"/>
      <c r="DI169" s="357"/>
      <c r="DJ169" s="357"/>
      <c r="DK169" s="357"/>
      <c r="DL169" s="357"/>
      <c r="DM169" s="357"/>
      <c r="DN169" s="357"/>
      <c r="DO169" s="357"/>
      <c r="DP169" s="357"/>
      <c r="DQ169" s="357"/>
      <c r="DR169" s="357"/>
      <c r="DS169" s="357"/>
      <c r="DT169" s="357"/>
      <c r="DU169" s="357"/>
      <c r="DV169" s="357"/>
      <c r="DW169" s="357"/>
      <c r="DX169" s="357"/>
      <c r="DY169" s="357"/>
      <c r="DZ169" s="357"/>
      <c r="EA169" s="357"/>
      <c r="EB169" s="357"/>
      <c r="EC169" s="357"/>
      <c r="ED169" s="357"/>
      <c r="EE169" s="357"/>
      <c r="EF169" s="357"/>
      <c r="EG169" s="357"/>
      <c r="EH169" s="357"/>
      <c r="EI169" s="357"/>
      <c r="EJ169" s="357"/>
      <c r="EK169" s="357"/>
      <c r="EL169" s="357"/>
      <c r="EM169" s="357"/>
      <c r="EN169" s="357"/>
      <c r="EO169" s="357"/>
      <c r="EP169" s="357"/>
      <c r="EQ169" s="357"/>
      <c r="ER169" s="357"/>
      <c r="ES169" s="357"/>
      <c r="ET169" s="357"/>
      <c r="EU169" s="357"/>
      <c r="EV169" s="357"/>
      <c r="EW169" s="357"/>
      <c r="EX169" s="357"/>
      <c r="EY169" s="357"/>
      <c r="EZ169" s="357"/>
      <c r="FA169" s="357"/>
      <c r="FB169" s="357"/>
      <c r="FC169" s="357"/>
      <c r="FD169" s="357"/>
      <c r="FE169" s="357"/>
      <c r="FF169" s="357"/>
      <c r="FG169" s="357"/>
      <c r="FH169" s="357"/>
      <c r="FI169" s="357"/>
      <c r="FJ169" s="357"/>
      <c r="FK169" s="357"/>
      <c r="FL169" s="357"/>
      <c r="FM169" s="357"/>
      <c r="FN169" s="357"/>
      <c r="FO169" s="357"/>
      <c r="FP169" s="357"/>
      <c r="FQ169" s="357"/>
      <c r="FR169" s="357"/>
      <c r="FS169" s="357"/>
      <c r="FT169" s="357"/>
      <c r="FU169" s="357"/>
      <c r="FV169" s="357"/>
      <c r="FW169" s="357"/>
      <c r="FX169" s="357"/>
      <c r="FY169" s="357"/>
      <c r="FZ169" s="357"/>
      <c r="GA169" s="357"/>
      <c r="GB169" s="357"/>
      <c r="GC169" s="357"/>
      <c r="GD169" s="357"/>
      <c r="GE169" s="357"/>
      <c r="GF169" s="357"/>
      <c r="GG169" s="357"/>
      <c r="GH169" s="357"/>
      <c r="GI169" s="357"/>
      <c r="GJ169" s="357"/>
      <c r="GK169" s="154"/>
      <c r="GL169" s="154"/>
      <c r="GM169" s="154"/>
      <c r="GN169" s="154"/>
      <c r="GO169" s="154"/>
      <c r="GP169" s="154"/>
      <c r="GQ169" s="154"/>
      <c r="GR169" s="154"/>
      <c r="GS169" s="154"/>
      <c r="GT169" s="154"/>
      <c r="GU169" s="154"/>
      <c r="GV169" s="154"/>
      <c r="GW169" s="154"/>
      <c r="GX169" s="154"/>
    </row>
    <row r="170" spans="7:206">
      <c r="G170" s="154"/>
      <c r="H170" s="154"/>
      <c r="I170" s="154"/>
      <c r="J170" s="154"/>
      <c r="K170" s="154"/>
      <c r="L170" s="154"/>
      <c r="M170" s="154"/>
      <c r="N170" s="154"/>
      <c r="O170" s="154"/>
      <c r="P170" s="154"/>
      <c r="Q170" s="154"/>
      <c r="R170" s="154"/>
      <c r="S170" s="154"/>
      <c r="T170" s="154"/>
      <c r="U170" s="154"/>
      <c r="V170" s="154"/>
      <c r="W170" s="154"/>
      <c r="X170" s="154"/>
      <c r="Y170" s="154"/>
      <c r="Z170" s="357"/>
      <c r="AA170" s="357"/>
      <c r="AB170" s="357"/>
      <c r="AC170" s="357"/>
      <c r="AD170" s="357"/>
      <c r="AE170" s="357"/>
      <c r="AF170" s="357"/>
      <c r="AG170" s="357"/>
      <c r="AH170" s="357"/>
      <c r="AI170" s="357"/>
      <c r="AJ170" s="357"/>
      <c r="AK170" s="357"/>
      <c r="AL170" s="357"/>
      <c r="AM170" s="357"/>
      <c r="AN170" s="357"/>
      <c r="AO170" s="357"/>
      <c r="AP170" s="357"/>
      <c r="AQ170" s="357"/>
      <c r="AR170" s="357"/>
      <c r="AS170" s="357"/>
      <c r="AT170" s="357"/>
      <c r="AU170" s="357"/>
      <c r="AV170" s="357"/>
      <c r="AW170" s="357"/>
      <c r="AX170" s="357"/>
      <c r="AY170" s="357"/>
      <c r="AZ170" s="357"/>
      <c r="BA170" s="357"/>
      <c r="BB170" s="357"/>
      <c r="BC170" s="357"/>
      <c r="BD170" s="357"/>
      <c r="BE170" s="357"/>
      <c r="BF170" s="357"/>
      <c r="BG170" s="357"/>
      <c r="BH170" s="357"/>
      <c r="BI170" s="357"/>
      <c r="BJ170" s="357"/>
      <c r="BK170" s="357"/>
      <c r="BL170" s="357"/>
      <c r="BM170" s="357"/>
      <c r="BN170" s="357"/>
      <c r="BO170" s="357"/>
      <c r="BP170" s="357"/>
      <c r="BQ170" s="357"/>
      <c r="BR170" s="357"/>
      <c r="BS170" s="357"/>
      <c r="BT170" s="357"/>
      <c r="BU170" s="357"/>
      <c r="BV170" s="357"/>
      <c r="BW170" s="357"/>
      <c r="BX170" s="357"/>
      <c r="BY170" s="357"/>
      <c r="BZ170" s="357"/>
      <c r="CA170" s="357"/>
      <c r="CB170" s="357"/>
      <c r="CC170" s="357"/>
      <c r="CD170" s="357"/>
      <c r="CE170" s="357"/>
      <c r="CF170" s="357"/>
      <c r="CG170" s="357"/>
      <c r="CH170" s="357"/>
      <c r="CI170" s="357"/>
      <c r="CJ170" s="357"/>
      <c r="CK170" s="357"/>
      <c r="CL170" s="357"/>
      <c r="CM170" s="357"/>
      <c r="CN170" s="357"/>
      <c r="CO170" s="357"/>
      <c r="CP170" s="357"/>
      <c r="CQ170" s="357"/>
      <c r="CR170" s="357"/>
      <c r="CS170" s="357"/>
      <c r="CT170" s="357"/>
      <c r="CU170" s="357"/>
      <c r="CV170" s="357"/>
      <c r="CW170" s="357"/>
      <c r="CX170" s="357"/>
      <c r="CY170" s="357"/>
      <c r="CZ170" s="357"/>
      <c r="DA170" s="357"/>
      <c r="DB170" s="357"/>
      <c r="DC170" s="357"/>
      <c r="DD170" s="357"/>
      <c r="DE170" s="357"/>
      <c r="DF170" s="357"/>
      <c r="DG170" s="357"/>
      <c r="DH170" s="357"/>
      <c r="DI170" s="357"/>
      <c r="DJ170" s="357"/>
      <c r="DK170" s="357"/>
      <c r="DL170" s="357"/>
      <c r="DM170" s="357"/>
      <c r="DN170" s="357"/>
      <c r="DO170" s="357"/>
      <c r="DP170" s="357"/>
      <c r="DQ170" s="357"/>
      <c r="DR170" s="357"/>
      <c r="DS170" s="357"/>
      <c r="DT170" s="357"/>
      <c r="DU170" s="357"/>
      <c r="DV170" s="357"/>
      <c r="DW170" s="357"/>
      <c r="DX170" s="357"/>
      <c r="DY170" s="357"/>
      <c r="DZ170" s="357"/>
      <c r="EA170" s="357"/>
      <c r="EB170" s="357"/>
      <c r="EC170" s="357"/>
      <c r="ED170" s="357"/>
      <c r="EE170" s="357"/>
      <c r="EF170" s="357"/>
      <c r="EG170" s="357"/>
      <c r="EH170" s="357"/>
      <c r="EI170" s="357"/>
      <c r="EJ170" s="357"/>
      <c r="EK170" s="357"/>
      <c r="EL170" s="357"/>
      <c r="EM170" s="357"/>
      <c r="EN170" s="357"/>
      <c r="EO170" s="357"/>
      <c r="EP170" s="357"/>
      <c r="EQ170" s="357"/>
      <c r="ER170" s="357"/>
      <c r="ES170" s="357"/>
      <c r="ET170" s="357"/>
      <c r="EU170" s="357"/>
      <c r="EV170" s="357"/>
      <c r="EW170" s="357"/>
      <c r="EX170" s="357"/>
      <c r="EY170" s="357"/>
      <c r="EZ170" s="357"/>
      <c r="FA170" s="357"/>
      <c r="FB170" s="357"/>
      <c r="FC170" s="357"/>
      <c r="FD170" s="357"/>
      <c r="FE170" s="357"/>
      <c r="FF170" s="357"/>
      <c r="FG170" s="357"/>
      <c r="FH170" s="357"/>
      <c r="FI170" s="357"/>
      <c r="FJ170" s="357"/>
      <c r="FK170" s="357"/>
      <c r="FL170" s="357"/>
      <c r="FM170" s="357"/>
      <c r="FN170" s="357"/>
      <c r="FO170" s="357"/>
      <c r="FP170" s="357"/>
      <c r="FQ170" s="357"/>
      <c r="FR170" s="357"/>
      <c r="FS170" s="357"/>
      <c r="FT170" s="357"/>
      <c r="FU170" s="357"/>
      <c r="FV170" s="357"/>
      <c r="FW170" s="357"/>
      <c r="FX170" s="357"/>
      <c r="FY170" s="357"/>
      <c r="FZ170" s="357"/>
      <c r="GA170" s="357"/>
      <c r="GB170" s="357"/>
      <c r="GC170" s="357"/>
      <c r="GD170" s="357"/>
      <c r="GE170" s="357"/>
      <c r="GF170" s="357"/>
      <c r="GG170" s="357"/>
      <c r="GH170" s="357"/>
      <c r="GI170" s="357"/>
      <c r="GJ170" s="357"/>
      <c r="GK170" s="154"/>
      <c r="GL170" s="154"/>
      <c r="GM170" s="154"/>
      <c r="GN170" s="154"/>
      <c r="GO170" s="154"/>
      <c r="GP170" s="154"/>
      <c r="GQ170" s="154"/>
      <c r="GR170" s="154"/>
      <c r="GS170" s="154"/>
      <c r="GT170" s="154"/>
      <c r="GU170" s="154"/>
      <c r="GV170" s="154"/>
      <c r="GW170" s="154"/>
      <c r="GX170" s="154"/>
    </row>
    <row r="171" spans="7:206">
      <c r="G171" s="154"/>
      <c r="H171" s="154"/>
      <c r="I171" s="154"/>
      <c r="J171" s="154"/>
      <c r="K171" s="154"/>
      <c r="L171" s="154"/>
      <c r="M171" s="154"/>
      <c r="N171" s="154"/>
      <c r="O171" s="154"/>
      <c r="P171" s="154"/>
      <c r="Q171" s="154"/>
      <c r="R171" s="154"/>
      <c r="S171" s="154"/>
      <c r="T171" s="154"/>
      <c r="U171" s="154"/>
      <c r="V171" s="154"/>
      <c r="W171" s="154"/>
      <c r="X171" s="154"/>
      <c r="Y171" s="154"/>
      <c r="Z171" s="357"/>
      <c r="AA171" s="357"/>
      <c r="AB171" s="357"/>
      <c r="AC171" s="357"/>
      <c r="AD171" s="357"/>
      <c r="AE171" s="357"/>
      <c r="AF171" s="357"/>
      <c r="AG171" s="357"/>
      <c r="AH171" s="357"/>
      <c r="AI171" s="357"/>
      <c r="AJ171" s="357"/>
      <c r="AK171" s="357"/>
      <c r="AL171" s="357"/>
      <c r="AM171" s="357"/>
      <c r="AN171" s="357"/>
      <c r="AO171" s="357"/>
      <c r="AP171" s="357"/>
      <c r="AQ171" s="357"/>
      <c r="AR171" s="357"/>
      <c r="AS171" s="357"/>
      <c r="AT171" s="357"/>
      <c r="AU171" s="357"/>
      <c r="AV171" s="357"/>
      <c r="AW171" s="357"/>
      <c r="AX171" s="357"/>
      <c r="AY171" s="357"/>
      <c r="AZ171" s="357"/>
      <c r="BA171" s="357"/>
      <c r="BB171" s="357"/>
      <c r="BC171" s="357"/>
      <c r="BD171" s="357"/>
      <c r="BE171" s="357"/>
      <c r="BF171" s="357"/>
      <c r="BG171" s="357"/>
      <c r="BH171" s="357"/>
      <c r="BI171" s="357"/>
      <c r="BJ171" s="357"/>
      <c r="BK171" s="357"/>
      <c r="BL171" s="357"/>
      <c r="BM171" s="357"/>
      <c r="BN171" s="357"/>
      <c r="BO171" s="357"/>
      <c r="BP171" s="357"/>
      <c r="BQ171" s="357"/>
      <c r="BR171" s="357"/>
      <c r="BS171" s="357"/>
      <c r="BT171" s="357"/>
      <c r="BU171" s="357"/>
      <c r="BV171" s="357"/>
      <c r="BW171" s="357"/>
      <c r="BX171" s="357"/>
      <c r="BY171" s="357"/>
      <c r="BZ171" s="357"/>
      <c r="CA171" s="357"/>
      <c r="CB171" s="357"/>
      <c r="CC171" s="357"/>
      <c r="CD171" s="357"/>
      <c r="CE171" s="357"/>
      <c r="CF171" s="357"/>
      <c r="CG171" s="357"/>
      <c r="CH171" s="357"/>
      <c r="CI171" s="357"/>
      <c r="CJ171" s="357"/>
      <c r="CK171" s="357"/>
      <c r="CL171" s="357"/>
      <c r="CM171" s="357"/>
      <c r="CN171" s="357"/>
      <c r="CO171" s="357"/>
      <c r="CP171" s="357"/>
      <c r="CQ171" s="357"/>
      <c r="CR171" s="357"/>
      <c r="CS171" s="357"/>
      <c r="CT171" s="357"/>
      <c r="CU171" s="357"/>
      <c r="CV171" s="357"/>
      <c r="CW171" s="357"/>
      <c r="CX171" s="357"/>
      <c r="CY171" s="357"/>
      <c r="CZ171" s="357"/>
      <c r="DA171" s="357"/>
      <c r="DB171" s="357"/>
      <c r="DC171" s="357"/>
      <c r="DD171" s="357"/>
      <c r="DE171" s="357"/>
      <c r="DF171" s="357"/>
      <c r="DG171" s="357"/>
      <c r="DH171" s="357"/>
      <c r="DI171" s="357"/>
      <c r="DJ171" s="357"/>
      <c r="DK171" s="357"/>
      <c r="DL171" s="357"/>
      <c r="DM171" s="357"/>
      <c r="DN171" s="357"/>
      <c r="DO171" s="357"/>
      <c r="DP171" s="357"/>
      <c r="DQ171" s="357"/>
      <c r="DR171" s="357"/>
      <c r="DS171" s="357"/>
      <c r="DT171" s="357"/>
      <c r="DU171" s="357"/>
      <c r="DV171" s="357"/>
      <c r="DW171" s="357"/>
      <c r="DX171" s="357"/>
      <c r="DY171" s="357"/>
      <c r="DZ171" s="357"/>
      <c r="EA171" s="357"/>
      <c r="EB171" s="357"/>
      <c r="EC171" s="357"/>
      <c r="ED171" s="357"/>
      <c r="EE171" s="357"/>
      <c r="EF171" s="357"/>
      <c r="EG171" s="357"/>
      <c r="EH171" s="357"/>
      <c r="EI171" s="357"/>
      <c r="EJ171" s="357"/>
      <c r="EK171" s="357"/>
      <c r="EL171" s="357"/>
      <c r="EM171" s="357"/>
      <c r="EN171" s="357"/>
      <c r="EO171" s="357"/>
      <c r="EP171" s="357"/>
      <c r="EQ171" s="357"/>
      <c r="ER171" s="357"/>
      <c r="ES171" s="357"/>
      <c r="ET171" s="357"/>
      <c r="EU171" s="357"/>
      <c r="EV171" s="357"/>
      <c r="EW171" s="357"/>
      <c r="EX171" s="357"/>
      <c r="EY171" s="357"/>
      <c r="EZ171" s="357"/>
      <c r="FA171" s="357"/>
      <c r="FB171" s="357"/>
      <c r="FC171" s="357"/>
      <c r="FD171" s="357"/>
      <c r="FE171" s="357"/>
      <c r="FF171" s="357"/>
      <c r="FG171" s="357"/>
      <c r="FH171" s="357"/>
      <c r="FI171" s="357"/>
      <c r="FJ171" s="357"/>
      <c r="FK171" s="357"/>
      <c r="FL171" s="357"/>
      <c r="FM171" s="357"/>
      <c r="FN171" s="357"/>
      <c r="FO171" s="357"/>
      <c r="FP171" s="357"/>
      <c r="FQ171" s="357"/>
      <c r="FR171" s="357"/>
      <c r="FS171" s="357"/>
      <c r="FT171" s="357"/>
      <c r="FU171" s="357"/>
      <c r="FV171" s="357"/>
      <c r="FW171" s="357"/>
      <c r="FX171" s="357"/>
      <c r="FY171" s="357"/>
      <c r="FZ171" s="357"/>
      <c r="GA171" s="357"/>
      <c r="GB171" s="357"/>
      <c r="GC171" s="357"/>
      <c r="GD171" s="357"/>
      <c r="GE171" s="357"/>
      <c r="GF171" s="357"/>
      <c r="GG171" s="357"/>
      <c r="GH171" s="357"/>
      <c r="GI171" s="357"/>
      <c r="GJ171" s="357"/>
      <c r="GK171" s="154"/>
      <c r="GL171" s="154"/>
      <c r="GM171" s="154"/>
      <c r="GN171" s="154"/>
      <c r="GO171" s="154"/>
      <c r="GP171" s="154"/>
      <c r="GQ171" s="154"/>
      <c r="GR171" s="154"/>
      <c r="GS171" s="154"/>
      <c r="GT171" s="154"/>
      <c r="GU171" s="154"/>
      <c r="GV171" s="154"/>
      <c r="GW171" s="154"/>
      <c r="GX171" s="154"/>
    </row>
    <row r="172" spans="7:206">
      <c r="G172" s="154"/>
      <c r="H172" s="154"/>
      <c r="I172" s="154"/>
      <c r="J172" s="154"/>
      <c r="K172" s="154"/>
      <c r="L172" s="154"/>
      <c r="M172" s="154"/>
      <c r="N172" s="154"/>
      <c r="O172" s="154"/>
      <c r="P172" s="154"/>
      <c r="Q172" s="154"/>
      <c r="R172" s="154"/>
      <c r="S172" s="154"/>
      <c r="T172" s="154"/>
      <c r="U172" s="154"/>
      <c r="V172" s="154"/>
      <c r="W172" s="154"/>
      <c r="X172" s="154"/>
      <c r="Y172" s="154"/>
      <c r="Z172" s="357"/>
      <c r="AA172" s="357"/>
      <c r="AB172" s="357"/>
      <c r="AC172" s="357"/>
      <c r="AD172" s="357"/>
      <c r="AE172" s="357"/>
      <c r="AF172" s="357"/>
      <c r="AG172" s="357"/>
      <c r="AH172" s="357"/>
      <c r="AI172" s="357"/>
      <c r="AJ172" s="357"/>
      <c r="AK172" s="357"/>
      <c r="AL172" s="357"/>
      <c r="AM172" s="357"/>
      <c r="AN172" s="357"/>
      <c r="AO172" s="357"/>
      <c r="AP172" s="357"/>
      <c r="AQ172" s="357"/>
      <c r="AR172" s="357"/>
      <c r="AS172" s="357"/>
      <c r="AT172" s="357"/>
      <c r="AU172" s="357"/>
      <c r="AV172" s="357"/>
      <c r="AW172" s="357"/>
      <c r="AX172" s="357"/>
      <c r="AY172" s="357"/>
      <c r="AZ172" s="357"/>
      <c r="BA172" s="357"/>
      <c r="BB172" s="357"/>
      <c r="BC172" s="357"/>
      <c r="BD172" s="357"/>
      <c r="BE172" s="357"/>
      <c r="BF172" s="357"/>
      <c r="BG172" s="357"/>
      <c r="BH172" s="357"/>
      <c r="BI172" s="357"/>
      <c r="BJ172" s="357"/>
      <c r="BK172" s="357"/>
      <c r="BL172" s="357"/>
      <c r="BM172" s="357"/>
      <c r="BN172" s="357"/>
      <c r="BO172" s="357"/>
      <c r="BP172" s="357"/>
      <c r="BQ172" s="357"/>
      <c r="BR172" s="357"/>
      <c r="BS172" s="357"/>
      <c r="BT172" s="357"/>
      <c r="BU172" s="357"/>
      <c r="BV172" s="357"/>
      <c r="BW172" s="357"/>
      <c r="BX172" s="357"/>
      <c r="BY172" s="357"/>
      <c r="BZ172" s="357"/>
      <c r="CA172" s="357"/>
      <c r="CB172" s="357"/>
      <c r="CC172" s="357"/>
      <c r="CD172" s="357"/>
      <c r="CE172" s="357"/>
      <c r="CF172" s="357"/>
      <c r="CG172" s="357"/>
      <c r="CH172" s="357"/>
      <c r="CI172" s="357"/>
      <c r="CJ172" s="357"/>
      <c r="CK172" s="357"/>
      <c r="CL172" s="357"/>
      <c r="CM172" s="357"/>
      <c r="CN172" s="357"/>
      <c r="CO172" s="357"/>
      <c r="CP172" s="357"/>
      <c r="CQ172" s="357"/>
      <c r="CR172" s="357"/>
      <c r="CS172" s="357"/>
      <c r="CT172" s="357"/>
      <c r="CU172" s="357"/>
      <c r="CV172" s="357"/>
      <c r="CW172" s="357"/>
      <c r="CX172" s="357"/>
      <c r="CY172" s="357"/>
      <c r="CZ172" s="357"/>
      <c r="DA172" s="357"/>
      <c r="DB172" s="357"/>
      <c r="DC172" s="357"/>
      <c r="DD172" s="357"/>
      <c r="DE172" s="357"/>
      <c r="DF172" s="357"/>
      <c r="DG172" s="357"/>
      <c r="DH172" s="357"/>
      <c r="DI172" s="357"/>
      <c r="DJ172" s="357"/>
      <c r="DK172" s="357"/>
      <c r="DL172" s="357"/>
      <c r="DM172" s="357"/>
      <c r="DN172" s="357"/>
      <c r="DO172" s="357"/>
      <c r="DP172" s="357"/>
      <c r="DQ172" s="357"/>
      <c r="DR172" s="357"/>
      <c r="DS172" s="357"/>
      <c r="DT172" s="357"/>
      <c r="DU172" s="357"/>
      <c r="DV172" s="357"/>
      <c r="DW172" s="357"/>
      <c r="DX172" s="357"/>
      <c r="DY172" s="357"/>
      <c r="DZ172" s="357"/>
      <c r="EA172" s="357"/>
      <c r="EB172" s="357"/>
      <c r="EC172" s="357"/>
      <c r="ED172" s="357"/>
      <c r="EE172" s="357"/>
      <c r="EF172" s="357"/>
      <c r="EG172" s="357"/>
      <c r="EH172" s="357"/>
      <c r="EI172" s="357"/>
      <c r="EJ172" s="357"/>
      <c r="EK172" s="357"/>
      <c r="EL172" s="357"/>
      <c r="EM172" s="357"/>
      <c r="EN172" s="357"/>
      <c r="EO172" s="357"/>
      <c r="EP172" s="357"/>
      <c r="EQ172" s="357"/>
      <c r="ER172" s="357"/>
      <c r="ES172" s="357"/>
      <c r="ET172" s="357"/>
      <c r="EU172" s="357"/>
      <c r="EV172" s="357"/>
      <c r="EW172" s="357"/>
      <c r="EX172" s="357"/>
      <c r="EY172" s="357"/>
      <c r="EZ172" s="357"/>
      <c r="FA172" s="357"/>
      <c r="FB172" s="357"/>
      <c r="FC172" s="357"/>
      <c r="FD172" s="357"/>
      <c r="FE172" s="357"/>
      <c r="FF172" s="357"/>
      <c r="FG172" s="357"/>
      <c r="FH172" s="357"/>
      <c r="FI172" s="357"/>
      <c r="FJ172" s="357"/>
      <c r="FK172" s="357"/>
      <c r="FL172" s="357"/>
      <c r="FM172" s="357"/>
      <c r="FN172" s="357"/>
      <c r="FO172" s="357"/>
      <c r="FP172" s="357"/>
      <c r="FQ172" s="357"/>
      <c r="FR172" s="357"/>
      <c r="FS172" s="357"/>
      <c r="FT172" s="357"/>
      <c r="FU172" s="357"/>
      <c r="FV172" s="357"/>
      <c r="FW172" s="357"/>
      <c r="FX172" s="357"/>
      <c r="FY172" s="357"/>
      <c r="FZ172" s="357"/>
      <c r="GA172" s="357"/>
      <c r="GB172" s="357"/>
      <c r="GC172" s="357"/>
      <c r="GD172" s="357"/>
      <c r="GE172" s="357"/>
      <c r="GF172" s="357"/>
      <c r="GG172" s="357"/>
      <c r="GH172" s="357"/>
      <c r="GI172" s="357"/>
      <c r="GJ172" s="357"/>
      <c r="GK172" s="154"/>
      <c r="GL172" s="154"/>
      <c r="GM172" s="154"/>
      <c r="GN172" s="154"/>
      <c r="GO172" s="154"/>
      <c r="GP172" s="154"/>
      <c r="GQ172" s="154"/>
      <c r="GR172" s="154"/>
      <c r="GS172" s="154"/>
      <c r="GT172" s="154"/>
      <c r="GU172" s="154"/>
      <c r="GV172" s="154"/>
      <c r="GW172" s="154"/>
      <c r="GX172" s="154"/>
    </row>
    <row r="173" spans="7:206">
      <c r="G173" s="154"/>
      <c r="H173" s="154"/>
      <c r="I173" s="154"/>
      <c r="J173" s="154"/>
      <c r="K173" s="154"/>
      <c r="L173" s="154"/>
      <c r="M173" s="154"/>
      <c r="N173" s="154"/>
      <c r="O173" s="154"/>
      <c r="P173" s="154"/>
      <c r="Q173" s="154"/>
      <c r="R173" s="154"/>
      <c r="S173" s="154"/>
      <c r="T173" s="154"/>
      <c r="U173" s="154"/>
      <c r="V173" s="154"/>
      <c r="W173" s="154"/>
      <c r="X173" s="154"/>
      <c r="Y173" s="154"/>
      <c r="Z173" s="357"/>
      <c r="AA173" s="357"/>
      <c r="AB173" s="357"/>
      <c r="AC173" s="357"/>
      <c r="AD173" s="357"/>
      <c r="AE173" s="357"/>
      <c r="AF173" s="357"/>
      <c r="AG173" s="357"/>
      <c r="AH173" s="357"/>
      <c r="AI173" s="357"/>
      <c r="AJ173" s="357"/>
      <c r="AK173" s="357"/>
      <c r="AL173" s="357"/>
      <c r="AM173" s="357"/>
      <c r="AN173" s="357"/>
      <c r="AO173" s="357"/>
      <c r="AP173" s="357"/>
      <c r="AQ173" s="357"/>
      <c r="AR173" s="357"/>
      <c r="AS173" s="357"/>
      <c r="AT173" s="357"/>
      <c r="AU173" s="357"/>
      <c r="AV173" s="357"/>
      <c r="AW173" s="357"/>
      <c r="AX173" s="357"/>
      <c r="AY173" s="357"/>
      <c r="AZ173" s="357"/>
      <c r="BA173" s="357"/>
      <c r="BB173" s="357"/>
      <c r="BC173" s="357"/>
      <c r="BD173" s="357"/>
      <c r="BE173" s="357"/>
      <c r="BF173" s="357"/>
      <c r="BG173" s="357"/>
      <c r="BH173" s="357"/>
      <c r="BI173" s="357"/>
      <c r="BJ173" s="357"/>
      <c r="BK173" s="357"/>
      <c r="BL173" s="357"/>
      <c r="BM173" s="357"/>
      <c r="BN173" s="357"/>
      <c r="BO173" s="357"/>
      <c r="BP173" s="357"/>
      <c r="BQ173" s="357"/>
      <c r="BR173" s="357"/>
      <c r="BS173" s="357"/>
      <c r="BT173" s="357"/>
      <c r="BU173" s="357"/>
      <c r="BV173" s="357"/>
      <c r="BW173" s="357"/>
      <c r="BX173" s="357"/>
      <c r="BY173" s="357"/>
      <c r="BZ173" s="357"/>
      <c r="CA173" s="357"/>
      <c r="CB173" s="357"/>
      <c r="CC173" s="357"/>
      <c r="CD173" s="357"/>
      <c r="CE173" s="357"/>
      <c r="CF173" s="357"/>
      <c r="CG173" s="357"/>
      <c r="CH173" s="357"/>
      <c r="CI173" s="357"/>
      <c r="CJ173" s="357"/>
      <c r="CK173" s="357"/>
      <c r="CL173" s="357"/>
      <c r="CM173" s="357"/>
      <c r="CN173" s="357"/>
      <c r="CO173" s="357"/>
      <c r="CP173" s="357"/>
      <c r="CQ173" s="357"/>
      <c r="CR173" s="357"/>
      <c r="CS173" s="357"/>
      <c r="CT173" s="357"/>
      <c r="CU173" s="357"/>
      <c r="CV173" s="357"/>
      <c r="CW173" s="357"/>
      <c r="CX173" s="357"/>
      <c r="CY173" s="357"/>
      <c r="CZ173" s="357"/>
      <c r="DA173" s="357"/>
      <c r="DB173" s="357"/>
      <c r="DC173" s="357"/>
      <c r="DD173" s="357"/>
      <c r="DE173" s="357"/>
      <c r="DF173" s="357"/>
      <c r="DG173" s="357"/>
      <c r="DH173" s="357"/>
      <c r="DI173" s="357"/>
      <c r="DJ173" s="357"/>
      <c r="DK173" s="357"/>
      <c r="DL173" s="357"/>
      <c r="DM173" s="357"/>
      <c r="DN173" s="357"/>
      <c r="DO173" s="357"/>
      <c r="DP173" s="357"/>
      <c r="DQ173" s="357"/>
      <c r="DR173" s="357"/>
      <c r="DS173" s="357"/>
      <c r="DT173" s="357"/>
      <c r="DU173" s="357"/>
      <c r="DV173" s="357"/>
      <c r="DW173" s="357"/>
      <c r="DX173" s="357"/>
      <c r="DY173" s="357"/>
      <c r="DZ173" s="357"/>
      <c r="EA173" s="357"/>
      <c r="EB173" s="357"/>
      <c r="EC173" s="357"/>
      <c r="ED173" s="357"/>
      <c r="EE173" s="357"/>
      <c r="EF173" s="357"/>
      <c r="EG173" s="357"/>
      <c r="EH173" s="357"/>
      <c r="EI173" s="357"/>
      <c r="EJ173" s="357"/>
      <c r="EK173" s="357"/>
      <c r="EL173" s="357"/>
      <c r="EM173" s="357"/>
      <c r="EN173" s="357"/>
      <c r="EO173" s="357"/>
      <c r="EP173" s="357"/>
      <c r="EQ173" s="357"/>
      <c r="ER173" s="357"/>
      <c r="ES173" s="357"/>
      <c r="ET173" s="357"/>
      <c r="EU173" s="357"/>
      <c r="EV173" s="357"/>
      <c r="EW173" s="357"/>
      <c r="EX173" s="357"/>
      <c r="EY173" s="357"/>
      <c r="EZ173" s="357"/>
      <c r="FA173" s="357"/>
      <c r="FB173" s="357"/>
      <c r="FC173" s="357"/>
      <c r="FD173" s="357"/>
      <c r="FE173" s="357"/>
      <c r="FF173" s="357"/>
      <c r="FG173" s="357"/>
      <c r="FH173" s="357"/>
      <c r="FI173" s="357"/>
      <c r="FJ173" s="357"/>
      <c r="FK173" s="357"/>
      <c r="FL173" s="357"/>
      <c r="FM173" s="357"/>
      <c r="FN173" s="357"/>
      <c r="FO173" s="357"/>
      <c r="FP173" s="357"/>
      <c r="FQ173" s="357"/>
      <c r="FR173" s="357"/>
      <c r="FS173" s="357"/>
      <c r="FT173" s="357"/>
      <c r="FU173" s="357"/>
      <c r="FV173" s="357"/>
      <c r="FW173" s="357"/>
      <c r="FX173" s="357"/>
      <c r="FY173" s="357"/>
      <c r="FZ173" s="357"/>
      <c r="GA173" s="357"/>
      <c r="GB173" s="357"/>
      <c r="GC173" s="357"/>
      <c r="GD173" s="357"/>
      <c r="GE173" s="357"/>
      <c r="GF173" s="357"/>
      <c r="GG173" s="357"/>
      <c r="GH173" s="357"/>
      <c r="GI173" s="357"/>
      <c r="GJ173" s="357"/>
      <c r="GK173" s="154"/>
      <c r="GL173" s="154"/>
      <c r="GM173" s="154"/>
      <c r="GN173" s="154"/>
      <c r="GO173" s="154"/>
      <c r="GP173" s="154"/>
      <c r="GQ173" s="154"/>
      <c r="GR173" s="154"/>
      <c r="GS173" s="154"/>
      <c r="GT173" s="154"/>
      <c r="GU173" s="154"/>
      <c r="GV173" s="154"/>
      <c r="GW173" s="154"/>
      <c r="GX173" s="154"/>
    </row>
    <row r="174" spans="7:206">
      <c r="G174" s="154"/>
      <c r="H174" s="154"/>
      <c r="I174" s="154"/>
      <c r="J174" s="154"/>
      <c r="K174" s="154"/>
      <c r="L174" s="154"/>
      <c r="M174" s="154"/>
      <c r="N174" s="154"/>
      <c r="O174" s="154"/>
      <c r="P174" s="154"/>
      <c r="Q174" s="154"/>
      <c r="R174" s="154"/>
      <c r="S174" s="154"/>
      <c r="T174" s="154"/>
      <c r="U174" s="154"/>
      <c r="V174" s="154"/>
      <c r="W174" s="154"/>
      <c r="X174" s="154"/>
      <c r="Y174" s="154"/>
      <c r="Z174" s="357"/>
      <c r="AA174" s="357"/>
      <c r="AB174" s="357"/>
      <c r="AC174" s="357"/>
      <c r="AD174" s="357"/>
      <c r="AE174" s="357"/>
      <c r="AF174" s="357"/>
      <c r="AG174" s="357"/>
      <c r="AH174" s="357"/>
      <c r="AI174" s="357"/>
      <c r="AJ174" s="357"/>
      <c r="AK174" s="357"/>
      <c r="AL174" s="357"/>
      <c r="AM174" s="357"/>
      <c r="AN174" s="357"/>
      <c r="AO174" s="357"/>
      <c r="AP174" s="357"/>
      <c r="AQ174" s="357"/>
      <c r="AR174" s="357"/>
      <c r="AS174" s="357"/>
      <c r="AT174" s="357"/>
      <c r="AU174" s="357"/>
      <c r="AV174" s="357"/>
      <c r="AW174" s="357"/>
      <c r="AX174" s="357"/>
      <c r="AY174" s="357"/>
      <c r="AZ174" s="357"/>
      <c r="BA174" s="357"/>
      <c r="BB174" s="357"/>
      <c r="BC174" s="357"/>
      <c r="BD174" s="357"/>
      <c r="BE174" s="357"/>
      <c r="BF174" s="357"/>
      <c r="BG174" s="357"/>
      <c r="BH174" s="357"/>
      <c r="BI174" s="357"/>
      <c r="BJ174" s="357"/>
      <c r="BK174" s="357"/>
      <c r="BL174" s="357"/>
      <c r="BM174" s="357"/>
      <c r="BN174" s="357"/>
      <c r="BO174" s="357"/>
      <c r="BP174" s="357"/>
      <c r="BQ174" s="357"/>
      <c r="BR174" s="357"/>
      <c r="BS174" s="357"/>
      <c r="BT174" s="357"/>
      <c r="BU174" s="357"/>
      <c r="BV174" s="357"/>
      <c r="BW174" s="357"/>
      <c r="BX174" s="357"/>
      <c r="BY174" s="357"/>
      <c r="BZ174" s="357"/>
      <c r="CA174" s="357"/>
      <c r="CB174" s="357"/>
      <c r="CC174" s="357"/>
      <c r="CD174" s="357"/>
      <c r="CE174" s="357"/>
      <c r="CF174" s="357"/>
      <c r="CG174" s="357"/>
      <c r="CH174" s="357"/>
      <c r="CI174" s="357"/>
      <c r="CJ174" s="357"/>
      <c r="CK174" s="357"/>
      <c r="CL174" s="357"/>
      <c r="CM174" s="357"/>
      <c r="CN174" s="357"/>
      <c r="CO174" s="357"/>
      <c r="CP174" s="357"/>
      <c r="CQ174" s="357"/>
      <c r="CR174" s="357"/>
      <c r="CS174" s="357"/>
      <c r="CT174" s="357"/>
      <c r="CU174" s="357"/>
      <c r="CV174" s="357"/>
      <c r="CW174" s="357"/>
      <c r="CX174" s="357"/>
      <c r="CY174" s="357"/>
      <c r="CZ174" s="357"/>
      <c r="DA174" s="357"/>
      <c r="DB174" s="357"/>
      <c r="DC174" s="357"/>
      <c r="DD174" s="357"/>
      <c r="DE174" s="357"/>
      <c r="DF174" s="357"/>
      <c r="DG174" s="357"/>
      <c r="DH174" s="357"/>
      <c r="DI174" s="357"/>
      <c r="DJ174" s="357"/>
      <c r="DK174" s="357"/>
      <c r="DL174" s="357"/>
      <c r="DM174" s="357"/>
      <c r="DN174" s="357"/>
      <c r="DO174" s="357"/>
      <c r="DP174" s="357"/>
      <c r="DQ174" s="357"/>
      <c r="DR174" s="357"/>
      <c r="DS174" s="357"/>
      <c r="DT174" s="357"/>
      <c r="DU174" s="357"/>
      <c r="DV174" s="357"/>
      <c r="DW174" s="357"/>
      <c r="DX174" s="357"/>
      <c r="DY174" s="357"/>
      <c r="DZ174" s="357"/>
      <c r="EA174" s="357"/>
      <c r="EB174" s="357"/>
      <c r="EC174" s="357"/>
      <c r="ED174" s="357"/>
      <c r="EE174" s="357"/>
      <c r="EF174" s="357"/>
      <c r="EG174" s="357"/>
      <c r="EH174" s="357"/>
      <c r="EI174" s="357"/>
      <c r="EJ174" s="357"/>
      <c r="EK174" s="357"/>
      <c r="EL174" s="357"/>
      <c r="EM174" s="357"/>
      <c r="EN174" s="357"/>
      <c r="EO174" s="357"/>
      <c r="EP174" s="357"/>
      <c r="EQ174" s="357"/>
      <c r="ER174" s="357"/>
      <c r="ES174" s="357"/>
      <c r="ET174" s="357"/>
      <c r="EU174" s="357"/>
      <c r="EV174" s="357"/>
      <c r="EW174" s="357"/>
      <c r="EX174" s="357"/>
      <c r="EY174" s="357"/>
      <c r="EZ174" s="357"/>
      <c r="FA174" s="357"/>
      <c r="FB174" s="357"/>
      <c r="FC174" s="357"/>
      <c r="FD174" s="357"/>
      <c r="FE174" s="357"/>
      <c r="FF174" s="357"/>
      <c r="FG174" s="357"/>
      <c r="FH174" s="357"/>
      <c r="FI174" s="357"/>
      <c r="FJ174" s="357"/>
      <c r="FK174" s="357"/>
      <c r="FL174" s="357"/>
      <c r="FM174" s="357"/>
      <c r="FN174" s="357"/>
      <c r="FO174" s="357"/>
      <c r="FP174" s="357"/>
      <c r="FQ174" s="357"/>
      <c r="FR174" s="357"/>
      <c r="FS174" s="357"/>
      <c r="FT174" s="357"/>
      <c r="FU174" s="357"/>
      <c r="FV174" s="357"/>
      <c r="FW174" s="357"/>
      <c r="FX174" s="357"/>
      <c r="FY174" s="357"/>
      <c r="FZ174" s="357"/>
      <c r="GA174" s="357"/>
      <c r="GB174" s="357"/>
      <c r="GC174" s="357"/>
      <c r="GD174" s="357"/>
      <c r="GE174" s="357"/>
      <c r="GF174" s="357"/>
      <c r="GG174" s="357"/>
      <c r="GH174" s="357"/>
      <c r="GI174" s="357"/>
      <c r="GJ174" s="357"/>
      <c r="GK174" s="154"/>
      <c r="GL174" s="154"/>
      <c r="GM174" s="154"/>
      <c r="GN174" s="154"/>
      <c r="GO174" s="154"/>
      <c r="GP174" s="154"/>
      <c r="GQ174" s="154"/>
      <c r="GR174" s="154"/>
      <c r="GS174" s="154"/>
      <c r="GT174" s="154"/>
      <c r="GU174" s="154"/>
      <c r="GV174" s="154"/>
      <c r="GW174" s="154"/>
      <c r="GX174" s="154"/>
    </row>
    <row r="175" spans="7:206">
      <c r="G175" s="154"/>
      <c r="H175" s="154"/>
      <c r="I175" s="154"/>
      <c r="J175" s="154"/>
      <c r="K175" s="154"/>
      <c r="L175" s="154"/>
      <c r="M175" s="154"/>
      <c r="N175" s="154"/>
      <c r="O175" s="154"/>
      <c r="P175" s="154"/>
      <c r="Q175" s="154"/>
      <c r="R175" s="154"/>
      <c r="S175" s="154"/>
      <c r="T175" s="154"/>
      <c r="U175" s="154"/>
      <c r="V175" s="154"/>
      <c r="W175" s="154"/>
      <c r="X175" s="154"/>
      <c r="Y175" s="154"/>
      <c r="Z175" s="357"/>
      <c r="AA175" s="357"/>
      <c r="AB175" s="357"/>
      <c r="AC175" s="357"/>
      <c r="AD175" s="357"/>
      <c r="AE175" s="357"/>
      <c r="AF175" s="357"/>
      <c r="AG175" s="357"/>
      <c r="AH175" s="357"/>
      <c r="AI175" s="357"/>
      <c r="AJ175" s="357"/>
      <c r="AK175" s="357"/>
      <c r="AL175" s="357"/>
      <c r="AM175" s="357"/>
      <c r="AN175" s="357"/>
      <c r="AO175" s="357"/>
      <c r="AP175" s="357"/>
      <c r="AQ175" s="357"/>
      <c r="AR175" s="357"/>
      <c r="AS175" s="357"/>
      <c r="AT175" s="357"/>
      <c r="AU175" s="357"/>
      <c r="AV175" s="357"/>
      <c r="AW175" s="357"/>
      <c r="AX175" s="357"/>
      <c r="AY175" s="357"/>
      <c r="AZ175" s="357"/>
      <c r="BA175" s="357"/>
      <c r="BB175" s="357"/>
      <c r="BC175" s="357"/>
      <c r="BD175" s="357"/>
      <c r="BE175" s="357"/>
      <c r="BF175" s="357"/>
      <c r="BG175" s="357"/>
      <c r="BH175" s="357"/>
      <c r="BI175" s="357"/>
      <c r="BJ175" s="357"/>
      <c r="BK175" s="357"/>
      <c r="BL175" s="357"/>
      <c r="BM175" s="357"/>
      <c r="BN175" s="357"/>
      <c r="BO175" s="357"/>
      <c r="BP175" s="357"/>
      <c r="BQ175" s="357"/>
      <c r="BR175" s="357"/>
      <c r="BS175" s="357"/>
      <c r="BT175" s="357"/>
      <c r="BU175" s="357"/>
      <c r="BV175" s="357"/>
      <c r="BW175" s="357"/>
      <c r="BX175" s="357"/>
      <c r="BY175" s="357"/>
      <c r="BZ175" s="357"/>
      <c r="CA175" s="357"/>
      <c r="CB175" s="357"/>
      <c r="CC175" s="357"/>
      <c r="CD175" s="357"/>
      <c r="CE175" s="357"/>
      <c r="CF175" s="357"/>
      <c r="CG175" s="357"/>
      <c r="CH175" s="357"/>
      <c r="CI175" s="357"/>
      <c r="CJ175" s="357"/>
      <c r="CK175" s="357"/>
      <c r="CL175" s="357"/>
      <c r="CM175" s="357"/>
      <c r="CN175" s="357"/>
      <c r="CO175" s="357"/>
      <c r="CP175" s="357"/>
      <c r="CQ175" s="357"/>
      <c r="CR175" s="357"/>
      <c r="CS175" s="357"/>
      <c r="CT175" s="357"/>
      <c r="CU175" s="357"/>
      <c r="CV175" s="357"/>
      <c r="CW175" s="357"/>
      <c r="CX175" s="357"/>
      <c r="CY175" s="357"/>
      <c r="CZ175" s="357"/>
      <c r="DA175" s="357"/>
      <c r="DB175" s="357"/>
      <c r="DC175" s="357"/>
      <c r="DD175" s="357"/>
      <c r="DE175" s="357"/>
      <c r="DF175" s="357"/>
      <c r="DG175" s="357"/>
      <c r="DH175" s="357"/>
      <c r="DI175" s="357"/>
      <c r="DJ175" s="357"/>
      <c r="DK175" s="357"/>
      <c r="DL175" s="357"/>
      <c r="DM175" s="357"/>
      <c r="DN175" s="357"/>
      <c r="DO175" s="357"/>
      <c r="DP175" s="357"/>
      <c r="DQ175" s="357"/>
      <c r="DR175" s="357"/>
      <c r="DS175" s="357"/>
      <c r="DT175" s="357"/>
      <c r="DU175" s="357"/>
      <c r="DV175" s="357"/>
      <c r="DW175" s="357"/>
      <c r="DX175" s="357"/>
      <c r="DY175" s="357"/>
      <c r="DZ175" s="357"/>
      <c r="EA175" s="357"/>
      <c r="EB175" s="357"/>
      <c r="EC175" s="357"/>
      <c r="ED175" s="357"/>
      <c r="EE175" s="357"/>
      <c r="EF175" s="357"/>
      <c r="EG175" s="357"/>
      <c r="EH175" s="357"/>
      <c r="EI175" s="357"/>
      <c r="EJ175" s="357"/>
      <c r="EK175" s="357"/>
      <c r="EL175" s="357"/>
      <c r="EM175" s="357"/>
      <c r="EN175" s="357"/>
      <c r="EO175" s="357"/>
      <c r="EP175" s="357"/>
      <c r="EQ175" s="357"/>
      <c r="ER175" s="357"/>
      <c r="ES175" s="357"/>
      <c r="ET175" s="357"/>
      <c r="EU175" s="357"/>
      <c r="EV175" s="357"/>
      <c r="EW175" s="357"/>
      <c r="EX175" s="357"/>
      <c r="EY175" s="357"/>
      <c r="EZ175" s="357"/>
      <c r="FA175" s="357"/>
      <c r="FB175" s="357"/>
      <c r="FC175" s="357"/>
      <c r="FD175" s="357"/>
      <c r="FE175" s="357"/>
      <c r="FF175" s="357"/>
      <c r="FG175" s="357"/>
      <c r="FH175" s="357"/>
      <c r="FI175" s="357"/>
      <c r="FJ175" s="357"/>
      <c r="FK175" s="357"/>
      <c r="FL175" s="357"/>
      <c r="FM175" s="357"/>
      <c r="FN175" s="357"/>
      <c r="FO175" s="357"/>
      <c r="FP175" s="357"/>
      <c r="FQ175" s="357"/>
      <c r="FR175" s="357"/>
      <c r="FS175" s="357"/>
      <c r="FT175" s="357"/>
      <c r="FU175" s="357"/>
      <c r="FV175" s="357"/>
      <c r="FW175" s="357"/>
      <c r="FX175" s="357"/>
      <c r="FY175" s="357"/>
      <c r="FZ175" s="357"/>
      <c r="GA175" s="357"/>
      <c r="GB175" s="357"/>
      <c r="GC175" s="357"/>
      <c r="GD175" s="357"/>
      <c r="GE175" s="357"/>
      <c r="GF175" s="357"/>
      <c r="GG175" s="357"/>
      <c r="GH175" s="357"/>
      <c r="GI175" s="357"/>
      <c r="GJ175" s="357"/>
      <c r="GK175" s="154"/>
      <c r="GL175" s="154"/>
      <c r="GM175" s="154"/>
      <c r="GN175" s="154"/>
      <c r="GO175" s="154"/>
      <c r="GP175" s="154"/>
      <c r="GQ175" s="154"/>
      <c r="GR175" s="154"/>
      <c r="GS175" s="154"/>
      <c r="GT175" s="154"/>
      <c r="GU175" s="154"/>
      <c r="GV175" s="154"/>
      <c r="GW175" s="154"/>
      <c r="GX175" s="154"/>
    </row>
    <row r="176" spans="7:206">
      <c r="G176" s="154"/>
      <c r="H176" s="154"/>
      <c r="I176" s="154"/>
      <c r="J176" s="154"/>
      <c r="K176" s="154"/>
      <c r="L176" s="154"/>
      <c r="M176" s="154"/>
      <c r="N176" s="154"/>
      <c r="O176" s="154"/>
      <c r="P176" s="154"/>
      <c r="Q176" s="154"/>
      <c r="R176" s="154"/>
      <c r="S176" s="154"/>
      <c r="T176" s="154"/>
      <c r="U176" s="154"/>
      <c r="V176" s="154"/>
      <c r="W176" s="154"/>
      <c r="X176" s="154"/>
      <c r="Y176" s="154"/>
      <c r="Z176" s="357"/>
      <c r="AA176" s="357"/>
      <c r="AB176" s="357"/>
      <c r="AC176" s="357"/>
      <c r="AD176" s="357"/>
      <c r="AE176" s="357"/>
      <c r="AF176" s="357"/>
      <c r="AG176" s="357"/>
      <c r="AH176" s="357"/>
      <c r="AI176" s="357"/>
      <c r="AJ176" s="357"/>
      <c r="AK176" s="357"/>
      <c r="AL176" s="357"/>
      <c r="AM176" s="357"/>
      <c r="AN176" s="357"/>
      <c r="AO176" s="357"/>
      <c r="AP176" s="357"/>
      <c r="AQ176" s="357"/>
      <c r="AR176" s="357"/>
      <c r="AS176" s="357"/>
      <c r="AT176" s="357"/>
      <c r="AU176" s="357"/>
      <c r="AV176" s="357"/>
      <c r="AW176" s="357"/>
      <c r="AX176" s="357"/>
      <c r="AY176" s="357"/>
      <c r="AZ176" s="357"/>
      <c r="BA176" s="357"/>
      <c r="BB176" s="357"/>
      <c r="BC176" s="357"/>
      <c r="BD176" s="357"/>
      <c r="BE176" s="357"/>
      <c r="BF176" s="357"/>
      <c r="BG176" s="357"/>
      <c r="BH176" s="357"/>
      <c r="BI176" s="357"/>
      <c r="BJ176" s="357"/>
      <c r="BK176" s="357"/>
      <c r="BL176" s="357"/>
      <c r="BM176" s="357"/>
      <c r="BN176" s="357"/>
      <c r="BO176" s="357"/>
      <c r="BP176" s="357"/>
      <c r="BQ176" s="357"/>
      <c r="BR176" s="357"/>
      <c r="BS176" s="357"/>
      <c r="BT176" s="357"/>
      <c r="BU176" s="357"/>
      <c r="BV176" s="357"/>
      <c r="BW176" s="357"/>
      <c r="BX176" s="357"/>
      <c r="BY176" s="357"/>
      <c r="BZ176" s="357"/>
      <c r="CA176" s="357"/>
      <c r="CB176" s="357"/>
      <c r="CC176" s="357"/>
      <c r="CD176" s="357"/>
      <c r="CE176" s="357"/>
      <c r="CF176" s="357"/>
      <c r="CG176" s="357"/>
      <c r="CH176" s="357"/>
      <c r="CI176" s="357"/>
      <c r="CJ176" s="357"/>
      <c r="CK176" s="357"/>
      <c r="CL176" s="357"/>
      <c r="CM176" s="357"/>
      <c r="CN176" s="357"/>
      <c r="CO176" s="357"/>
      <c r="CP176" s="357"/>
      <c r="CQ176" s="357"/>
      <c r="CR176" s="357"/>
      <c r="CS176" s="357"/>
      <c r="CT176" s="357"/>
      <c r="CU176" s="357"/>
      <c r="CV176" s="357"/>
      <c r="CW176" s="357"/>
      <c r="CX176" s="357"/>
      <c r="CY176" s="357"/>
      <c r="CZ176" s="357"/>
      <c r="DA176" s="357"/>
      <c r="DB176" s="357"/>
      <c r="DC176" s="357"/>
      <c r="DD176" s="357"/>
      <c r="DE176" s="357"/>
      <c r="DF176" s="357"/>
      <c r="DG176" s="357"/>
      <c r="DH176" s="357"/>
      <c r="DI176" s="357"/>
      <c r="DJ176" s="357"/>
      <c r="DK176" s="357"/>
      <c r="DL176" s="357"/>
      <c r="DM176" s="357"/>
      <c r="DN176" s="357"/>
      <c r="DO176" s="357"/>
      <c r="DP176" s="357"/>
      <c r="DQ176" s="357"/>
      <c r="DR176" s="357"/>
      <c r="DS176" s="357"/>
      <c r="DT176" s="357"/>
      <c r="DU176" s="357"/>
      <c r="DV176" s="357"/>
      <c r="DW176" s="357"/>
      <c r="DX176" s="357"/>
      <c r="DY176" s="357"/>
      <c r="DZ176" s="357"/>
      <c r="EA176" s="357"/>
      <c r="EB176" s="357"/>
      <c r="EC176" s="357"/>
      <c r="ED176" s="357"/>
      <c r="EE176" s="357"/>
      <c r="EF176" s="357"/>
      <c r="EG176" s="357"/>
      <c r="EH176" s="357"/>
      <c r="EI176" s="357"/>
      <c r="EJ176" s="357"/>
      <c r="EK176" s="357"/>
      <c r="EL176" s="357"/>
      <c r="EM176" s="357"/>
      <c r="EN176" s="357"/>
      <c r="EO176" s="357"/>
      <c r="EP176" s="357"/>
      <c r="EQ176" s="357"/>
      <c r="ER176" s="357"/>
      <c r="ES176" s="357"/>
      <c r="ET176" s="357"/>
      <c r="EU176" s="357"/>
      <c r="EV176" s="357"/>
      <c r="EW176" s="357"/>
      <c r="EX176" s="357"/>
      <c r="EY176" s="357"/>
      <c r="EZ176" s="357"/>
      <c r="FA176" s="357"/>
      <c r="FB176" s="357"/>
      <c r="FC176" s="357"/>
      <c r="FD176" s="357"/>
      <c r="FE176" s="357"/>
      <c r="FF176" s="357"/>
      <c r="FG176" s="357"/>
      <c r="FH176" s="357"/>
      <c r="FI176" s="357"/>
      <c r="FJ176" s="357"/>
      <c r="FK176" s="357"/>
      <c r="FL176" s="357"/>
      <c r="FM176" s="357"/>
      <c r="FN176" s="357"/>
      <c r="FO176" s="357"/>
      <c r="FP176" s="357"/>
      <c r="FQ176" s="357"/>
      <c r="FR176" s="357"/>
      <c r="FS176" s="357"/>
      <c r="FT176" s="357"/>
      <c r="FU176" s="357"/>
      <c r="FV176" s="357"/>
      <c r="FW176" s="357"/>
      <c r="FX176" s="357"/>
      <c r="FY176" s="357"/>
      <c r="FZ176" s="357"/>
      <c r="GA176" s="357"/>
      <c r="GB176" s="357"/>
      <c r="GC176" s="357"/>
      <c r="GD176" s="357"/>
      <c r="GE176" s="357"/>
      <c r="GF176" s="357"/>
      <c r="GG176" s="357"/>
      <c r="GH176" s="357"/>
      <c r="GI176" s="357"/>
      <c r="GJ176" s="357"/>
      <c r="GK176" s="154"/>
      <c r="GL176" s="154"/>
      <c r="GM176" s="154"/>
      <c r="GN176" s="154"/>
      <c r="GO176" s="154"/>
      <c r="GP176" s="154"/>
      <c r="GQ176" s="154"/>
      <c r="GR176" s="154"/>
      <c r="GS176" s="154"/>
      <c r="GT176" s="154"/>
      <c r="GU176" s="154"/>
      <c r="GV176" s="154"/>
      <c r="GW176" s="154"/>
      <c r="GX176" s="154"/>
    </row>
    <row r="177" spans="7:206">
      <c r="G177" s="154"/>
      <c r="H177" s="154"/>
      <c r="I177" s="154"/>
      <c r="J177" s="154"/>
      <c r="K177" s="154"/>
      <c r="L177" s="154"/>
      <c r="M177" s="154"/>
      <c r="N177" s="154"/>
      <c r="O177" s="154"/>
      <c r="P177" s="154"/>
      <c r="Q177" s="154"/>
      <c r="R177" s="154"/>
      <c r="S177" s="154"/>
      <c r="T177" s="154"/>
      <c r="U177" s="154"/>
      <c r="V177" s="154"/>
      <c r="W177" s="154"/>
      <c r="X177" s="154"/>
      <c r="Y177" s="154"/>
      <c r="Z177" s="357"/>
      <c r="AA177" s="357"/>
      <c r="AB177" s="357"/>
      <c r="AC177" s="357"/>
      <c r="AD177" s="357"/>
      <c r="AE177" s="357"/>
      <c r="AF177" s="357"/>
      <c r="AG177" s="357"/>
      <c r="AH177" s="357"/>
      <c r="AI177" s="357"/>
      <c r="AJ177" s="357"/>
      <c r="AK177" s="357"/>
      <c r="AL177" s="357"/>
      <c r="AM177" s="357"/>
      <c r="AN177" s="357"/>
      <c r="AO177" s="357"/>
      <c r="AP177" s="357"/>
      <c r="AQ177" s="357"/>
      <c r="AR177" s="357"/>
      <c r="AS177" s="357"/>
      <c r="AT177" s="357"/>
      <c r="AU177" s="357"/>
      <c r="AV177" s="357"/>
      <c r="AW177" s="357"/>
      <c r="AX177" s="357"/>
      <c r="AY177" s="357"/>
      <c r="AZ177" s="357"/>
      <c r="BA177" s="357"/>
      <c r="BB177" s="357"/>
      <c r="BC177" s="357"/>
      <c r="BD177" s="357"/>
      <c r="BE177" s="357"/>
      <c r="BF177" s="357"/>
      <c r="BG177" s="357"/>
      <c r="BH177" s="357"/>
      <c r="BI177" s="357"/>
      <c r="BJ177" s="357"/>
      <c r="BK177" s="357"/>
      <c r="BL177" s="357"/>
      <c r="BM177" s="357"/>
      <c r="BN177" s="357"/>
      <c r="BO177" s="357"/>
      <c r="BP177" s="357"/>
      <c r="BQ177" s="357"/>
      <c r="BR177" s="357"/>
      <c r="BS177" s="357"/>
      <c r="BT177" s="357"/>
      <c r="BU177" s="357"/>
      <c r="BV177" s="357"/>
      <c r="BW177" s="357"/>
      <c r="BX177" s="357"/>
      <c r="BY177" s="357"/>
      <c r="BZ177" s="357"/>
      <c r="CA177" s="357"/>
      <c r="CB177" s="357"/>
      <c r="CC177" s="357"/>
      <c r="CD177" s="357"/>
      <c r="CE177" s="357"/>
      <c r="CF177" s="357"/>
      <c r="CG177" s="357"/>
      <c r="CH177" s="357"/>
      <c r="CI177" s="357"/>
      <c r="CJ177" s="357"/>
      <c r="CK177" s="357"/>
      <c r="CL177" s="357"/>
      <c r="CM177" s="357"/>
      <c r="CN177" s="357"/>
      <c r="CO177" s="357"/>
      <c r="CP177" s="357"/>
      <c r="CQ177" s="357"/>
      <c r="CR177" s="357"/>
      <c r="CS177" s="357"/>
      <c r="CT177" s="357"/>
      <c r="CU177" s="357"/>
      <c r="CV177" s="357"/>
      <c r="CW177" s="357"/>
      <c r="CX177" s="357"/>
      <c r="CY177" s="357"/>
      <c r="CZ177" s="357"/>
      <c r="DA177" s="357"/>
      <c r="DB177" s="357"/>
      <c r="DC177" s="357"/>
      <c r="DD177" s="357"/>
      <c r="DE177" s="357"/>
      <c r="DF177" s="357"/>
      <c r="DG177" s="357"/>
      <c r="DH177" s="357"/>
      <c r="DI177" s="357"/>
      <c r="DJ177" s="357"/>
      <c r="DK177" s="357"/>
      <c r="DL177" s="357"/>
      <c r="DM177" s="357"/>
      <c r="DN177" s="357"/>
      <c r="DO177" s="357"/>
      <c r="DP177" s="357"/>
      <c r="DQ177" s="357"/>
      <c r="DR177" s="357"/>
      <c r="DS177" s="357"/>
      <c r="DT177" s="357"/>
      <c r="DU177" s="357"/>
      <c r="DV177" s="357"/>
      <c r="DW177" s="357"/>
      <c r="DX177" s="357"/>
      <c r="DY177" s="357"/>
      <c r="DZ177" s="357"/>
      <c r="EA177" s="357"/>
      <c r="EB177" s="357"/>
      <c r="EC177" s="357"/>
      <c r="ED177" s="357"/>
      <c r="EE177" s="357"/>
      <c r="EF177" s="357"/>
      <c r="EG177" s="357"/>
      <c r="EH177" s="357"/>
      <c r="EI177" s="357"/>
      <c r="EJ177" s="357"/>
      <c r="EK177" s="357"/>
      <c r="EL177" s="357"/>
      <c r="EM177" s="357"/>
      <c r="EN177" s="357"/>
      <c r="EO177" s="357"/>
      <c r="EP177" s="357"/>
      <c r="EQ177" s="357"/>
      <c r="ER177" s="357"/>
      <c r="ES177" s="357"/>
      <c r="ET177" s="357"/>
      <c r="EU177" s="357"/>
      <c r="EV177" s="357"/>
      <c r="EW177" s="357"/>
      <c r="EX177" s="357"/>
      <c r="EY177" s="357"/>
      <c r="EZ177" s="357"/>
      <c r="FA177" s="357"/>
      <c r="FB177" s="357"/>
      <c r="FC177" s="357"/>
      <c r="FD177" s="357"/>
      <c r="FE177" s="357"/>
      <c r="FF177" s="357"/>
      <c r="FG177" s="357"/>
      <c r="FH177" s="357"/>
      <c r="FI177" s="357"/>
      <c r="FJ177" s="357"/>
      <c r="FK177" s="357"/>
      <c r="FL177" s="357"/>
      <c r="FM177" s="357"/>
      <c r="FN177" s="357"/>
      <c r="FO177" s="357"/>
      <c r="FP177" s="357"/>
      <c r="FQ177" s="357"/>
      <c r="FR177" s="357"/>
      <c r="FS177" s="357"/>
      <c r="FT177" s="357"/>
      <c r="FU177" s="357"/>
      <c r="FV177" s="357"/>
      <c r="FW177" s="357"/>
      <c r="FX177" s="357"/>
      <c r="FY177" s="357"/>
      <c r="FZ177" s="357"/>
      <c r="GA177" s="357"/>
      <c r="GB177" s="357"/>
      <c r="GC177" s="357"/>
      <c r="GD177" s="357"/>
      <c r="GE177" s="357"/>
      <c r="GF177" s="357"/>
      <c r="GG177" s="357"/>
      <c r="GH177" s="357"/>
      <c r="GI177" s="357"/>
      <c r="GJ177" s="357"/>
      <c r="GK177" s="154"/>
      <c r="GL177" s="154"/>
      <c r="GM177" s="154"/>
      <c r="GN177" s="154"/>
      <c r="GO177" s="154"/>
      <c r="GP177" s="154"/>
      <c r="GQ177" s="154"/>
      <c r="GR177" s="154"/>
      <c r="GS177" s="154"/>
      <c r="GT177" s="154"/>
      <c r="GU177" s="154"/>
      <c r="GV177" s="154"/>
      <c r="GW177" s="154"/>
      <c r="GX177" s="154"/>
    </row>
    <row r="178" spans="7:206">
      <c r="G178" s="154"/>
      <c r="H178" s="154"/>
      <c r="I178" s="154"/>
      <c r="J178" s="154"/>
      <c r="K178" s="154"/>
      <c r="L178" s="154"/>
      <c r="M178" s="154"/>
      <c r="N178" s="154"/>
      <c r="O178" s="154"/>
      <c r="P178" s="154"/>
      <c r="Q178" s="154"/>
      <c r="R178" s="154"/>
      <c r="S178" s="154"/>
      <c r="T178" s="154"/>
      <c r="U178" s="154"/>
      <c r="V178" s="154"/>
      <c r="W178" s="154"/>
      <c r="X178" s="154"/>
      <c r="Y178" s="154"/>
      <c r="Z178" s="357"/>
      <c r="AA178" s="357"/>
      <c r="AB178" s="357"/>
      <c r="AC178" s="357"/>
      <c r="AD178" s="357"/>
      <c r="AE178" s="357"/>
      <c r="AF178" s="357"/>
      <c r="AG178" s="357"/>
      <c r="AH178" s="357"/>
      <c r="AI178" s="357"/>
      <c r="AJ178" s="357"/>
      <c r="AK178" s="357"/>
      <c r="AL178" s="357"/>
      <c r="AM178" s="357"/>
      <c r="AN178" s="357"/>
      <c r="AO178" s="357"/>
      <c r="AP178" s="357"/>
      <c r="AQ178" s="357"/>
      <c r="AR178" s="357"/>
      <c r="AS178" s="357"/>
      <c r="AT178" s="357"/>
      <c r="AU178" s="357"/>
      <c r="AV178" s="357"/>
      <c r="AW178" s="357"/>
      <c r="AX178" s="357"/>
      <c r="AY178" s="357"/>
      <c r="AZ178" s="357"/>
      <c r="BA178" s="357"/>
      <c r="BB178" s="357"/>
      <c r="BC178" s="357"/>
      <c r="BD178" s="357"/>
      <c r="BE178" s="357"/>
      <c r="BF178" s="357"/>
      <c r="BG178" s="357"/>
      <c r="BH178" s="357"/>
      <c r="BI178" s="357"/>
      <c r="BJ178" s="357"/>
      <c r="BK178" s="357"/>
      <c r="BL178" s="357"/>
      <c r="BM178" s="357"/>
      <c r="BN178" s="357"/>
      <c r="BO178" s="357"/>
      <c r="BP178" s="357"/>
      <c r="BQ178" s="357"/>
      <c r="BR178" s="357"/>
      <c r="BS178" s="357"/>
      <c r="BT178" s="357"/>
      <c r="BU178" s="357"/>
      <c r="BV178" s="357"/>
      <c r="BW178" s="357"/>
      <c r="BX178" s="357"/>
      <c r="BY178" s="357"/>
      <c r="BZ178" s="357"/>
      <c r="CA178" s="357"/>
      <c r="CB178" s="357"/>
      <c r="CC178" s="357"/>
      <c r="CD178" s="357"/>
      <c r="CE178" s="357"/>
      <c r="CF178" s="357"/>
      <c r="CG178" s="357"/>
      <c r="CH178" s="357"/>
      <c r="CI178" s="357"/>
      <c r="CJ178" s="357"/>
      <c r="CK178" s="357"/>
      <c r="CL178" s="357"/>
      <c r="CM178" s="357"/>
      <c r="CN178" s="357"/>
      <c r="CO178" s="357"/>
      <c r="CP178" s="357"/>
      <c r="CQ178" s="357"/>
      <c r="CR178" s="357"/>
      <c r="CS178" s="357"/>
      <c r="CT178" s="357"/>
      <c r="CU178" s="357"/>
      <c r="CV178" s="357"/>
      <c r="CW178" s="357"/>
      <c r="CX178" s="357"/>
      <c r="CY178" s="357"/>
      <c r="CZ178" s="357"/>
      <c r="DA178" s="357"/>
      <c r="DB178" s="357"/>
      <c r="DC178" s="357"/>
      <c r="DD178" s="357"/>
      <c r="DE178" s="357"/>
      <c r="DF178" s="357"/>
      <c r="DG178" s="357"/>
      <c r="DH178" s="357"/>
      <c r="DI178" s="357"/>
      <c r="DJ178" s="357"/>
      <c r="DK178" s="357"/>
      <c r="DL178" s="357"/>
      <c r="DM178" s="357"/>
      <c r="DN178" s="357"/>
      <c r="DO178" s="357"/>
      <c r="DP178" s="357"/>
      <c r="DQ178" s="357"/>
      <c r="DR178" s="357"/>
      <c r="DS178" s="357"/>
      <c r="DT178" s="357"/>
      <c r="DU178" s="357"/>
      <c r="DV178" s="357"/>
      <c r="DW178" s="357"/>
      <c r="DX178" s="357"/>
      <c r="DY178" s="357"/>
      <c r="DZ178" s="357"/>
      <c r="EA178" s="357"/>
      <c r="EB178" s="357"/>
      <c r="EC178" s="357"/>
      <c r="ED178" s="357"/>
      <c r="EE178" s="357"/>
      <c r="EF178" s="357"/>
      <c r="EG178" s="357"/>
      <c r="EH178" s="357"/>
      <c r="EI178" s="357"/>
      <c r="EJ178" s="357"/>
      <c r="EK178" s="357"/>
      <c r="EL178" s="357"/>
      <c r="EM178" s="357"/>
      <c r="EN178" s="357"/>
      <c r="EO178" s="357"/>
      <c r="EP178" s="357"/>
      <c r="EQ178" s="357"/>
      <c r="ER178" s="357"/>
      <c r="ES178" s="357"/>
      <c r="ET178" s="357"/>
      <c r="EU178" s="357"/>
      <c r="EV178" s="357"/>
      <c r="EW178" s="357"/>
      <c r="EX178" s="357"/>
      <c r="EY178" s="357"/>
      <c r="EZ178" s="357"/>
      <c r="FA178" s="357"/>
      <c r="FB178" s="357"/>
      <c r="FC178" s="357"/>
      <c r="FD178" s="357"/>
      <c r="FE178" s="357"/>
      <c r="FF178" s="357"/>
      <c r="FG178" s="357"/>
      <c r="FH178" s="357"/>
      <c r="FI178" s="357"/>
      <c r="FJ178" s="357"/>
      <c r="FK178" s="357"/>
      <c r="FL178" s="357"/>
      <c r="FM178" s="357"/>
      <c r="FN178" s="357"/>
      <c r="FO178" s="357"/>
      <c r="FP178" s="357"/>
      <c r="FQ178" s="357"/>
      <c r="FR178" s="357"/>
      <c r="FS178" s="357"/>
      <c r="FT178" s="357"/>
      <c r="FU178" s="357"/>
      <c r="FV178" s="357"/>
      <c r="FW178" s="357"/>
      <c r="FX178" s="357"/>
      <c r="FY178" s="357"/>
      <c r="FZ178" s="357"/>
      <c r="GA178" s="357"/>
      <c r="GB178" s="357"/>
      <c r="GC178" s="357"/>
      <c r="GD178" s="357"/>
      <c r="GE178" s="357"/>
      <c r="GF178" s="357"/>
      <c r="GG178" s="357"/>
      <c r="GH178" s="357"/>
      <c r="GI178" s="357"/>
      <c r="GJ178" s="357"/>
      <c r="GK178" s="154"/>
      <c r="GL178" s="154"/>
      <c r="GM178" s="154"/>
      <c r="GN178" s="154"/>
      <c r="GO178" s="154"/>
      <c r="GP178" s="154"/>
      <c r="GQ178" s="154"/>
      <c r="GR178" s="154"/>
      <c r="GS178" s="154"/>
      <c r="GT178" s="154"/>
      <c r="GU178" s="154"/>
      <c r="GV178" s="154"/>
      <c r="GW178" s="154"/>
      <c r="GX178" s="154"/>
    </row>
    <row r="179" spans="7:206">
      <c r="G179" s="154"/>
      <c r="H179" s="154"/>
      <c r="I179" s="154"/>
      <c r="J179" s="154"/>
      <c r="K179" s="154"/>
      <c r="L179" s="154"/>
      <c r="M179" s="154"/>
      <c r="N179" s="154"/>
      <c r="O179" s="154"/>
      <c r="P179" s="154"/>
      <c r="Q179" s="154"/>
      <c r="R179" s="154"/>
      <c r="S179" s="154"/>
      <c r="T179" s="154"/>
      <c r="U179" s="154"/>
      <c r="V179" s="154"/>
      <c r="W179" s="154"/>
      <c r="X179" s="154"/>
      <c r="Y179" s="154"/>
      <c r="Z179" s="357"/>
      <c r="AA179" s="357"/>
      <c r="AB179" s="357"/>
      <c r="AC179" s="357"/>
      <c r="AD179" s="357"/>
      <c r="AE179" s="357"/>
      <c r="AF179" s="357"/>
      <c r="AG179" s="357"/>
      <c r="AH179" s="357"/>
      <c r="AI179" s="357"/>
      <c r="AJ179" s="357"/>
      <c r="AK179" s="357"/>
      <c r="AL179" s="357"/>
      <c r="AM179" s="357"/>
      <c r="AN179" s="357"/>
      <c r="AO179" s="357"/>
      <c r="AP179" s="357"/>
      <c r="AQ179" s="357"/>
      <c r="AR179" s="357"/>
      <c r="AS179" s="357"/>
      <c r="AT179" s="357"/>
      <c r="AU179" s="357"/>
      <c r="AV179" s="357"/>
      <c r="AW179" s="357"/>
      <c r="AX179" s="357"/>
      <c r="AY179" s="357"/>
      <c r="AZ179" s="357"/>
      <c r="BA179" s="357"/>
      <c r="BB179" s="357"/>
      <c r="BC179" s="357"/>
      <c r="BD179" s="357"/>
      <c r="BE179" s="357"/>
      <c r="BF179" s="357"/>
      <c r="BG179" s="357"/>
      <c r="BH179" s="357"/>
      <c r="BI179" s="357"/>
      <c r="BJ179" s="357"/>
      <c r="BK179" s="357"/>
      <c r="BL179" s="357"/>
      <c r="BM179" s="357"/>
      <c r="BN179" s="357"/>
      <c r="BO179" s="357"/>
      <c r="BP179" s="357"/>
      <c r="BQ179" s="357"/>
      <c r="BR179" s="357"/>
      <c r="BS179" s="357"/>
      <c r="BT179" s="357"/>
      <c r="BU179" s="357"/>
      <c r="BV179" s="357"/>
      <c r="BW179" s="357"/>
      <c r="BX179" s="357"/>
      <c r="BY179" s="357"/>
      <c r="BZ179" s="357"/>
      <c r="CA179" s="357"/>
      <c r="CB179" s="357"/>
      <c r="CC179" s="357"/>
      <c r="CD179" s="357"/>
      <c r="CE179" s="357"/>
      <c r="CF179" s="357"/>
      <c r="CG179" s="357"/>
      <c r="CH179" s="357"/>
      <c r="CI179" s="357"/>
      <c r="CJ179" s="357"/>
      <c r="CK179" s="357"/>
      <c r="CL179" s="357"/>
      <c r="CM179" s="357"/>
      <c r="CN179" s="357"/>
      <c r="CO179" s="357"/>
      <c r="CP179" s="357"/>
      <c r="CQ179" s="357"/>
      <c r="CR179" s="357"/>
      <c r="CS179" s="357"/>
      <c r="CT179" s="357"/>
      <c r="CU179" s="357"/>
      <c r="CV179" s="357"/>
      <c r="CW179" s="357"/>
      <c r="CX179" s="357"/>
      <c r="CY179" s="357"/>
      <c r="CZ179" s="357"/>
      <c r="DA179" s="357"/>
      <c r="DB179" s="357"/>
      <c r="DC179" s="357"/>
      <c r="DD179" s="357"/>
      <c r="DE179" s="357"/>
      <c r="DF179" s="357"/>
      <c r="DG179" s="357"/>
      <c r="DH179" s="357"/>
      <c r="DI179" s="357"/>
      <c r="DJ179" s="357"/>
      <c r="DK179" s="357"/>
      <c r="DL179" s="357"/>
      <c r="DM179" s="357"/>
      <c r="DN179" s="357"/>
      <c r="DO179" s="357"/>
      <c r="DP179" s="357"/>
      <c r="DQ179" s="357"/>
      <c r="DR179" s="357"/>
      <c r="DS179" s="357"/>
      <c r="DT179" s="357"/>
      <c r="DU179" s="357"/>
      <c r="DV179" s="357"/>
      <c r="DW179" s="357"/>
      <c r="DX179" s="357"/>
      <c r="DY179" s="357"/>
      <c r="DZ179" s="357"/>
      <c r="EA179" s="357"/>
      <c r="EB179" s="357"/>
      <c r="EC179" s="357"/>
      <c r="ED179" s="357"/>
      <c r="EE179" s="357"/>
      <c r="EF179" s="357"/>
      <c r="EG179" s="357"/>
      <c r="EH179" s="357"/>
      <c r="EI179" s="357"/>
      <c r="EJ179" s="357"/>
      <c r="EK179" s="357"/>
      <c r="EL179" s="357"/>
      <c r="EM179" s="357"/>
      <c r="EN179" s="357"/>
      <c r="EO179" s="357"/>
      <c r="EP179" s="357"/>
      <c r="EQ179" s="357"/>
      <c r="ER179" s="357"/>
      <c r="ES179" s="357"/>
      <c r="ET179" s="357"/>
      <c r="EU179" s="357"/>
      <c r="EV179" s="357"/>
      <c r="EW179" s="357"/>
      <c r="EX179" s="357"/>
      <c r="EY179" s="357"/>
      <c r="EZ179" s="357"/>
      <c r="FA179" s="357"/>
      <c r="FB179" s="357"/>
      <c r="FC179" s="357"/>
      <c r="FD179" s="357"/>
      <c r="FE179" s="357"/>
      <c r="FF179" s="357"/>
      <c r="FG179" s="357"/>
      <c r="FH179" s="357"/>
      <c r="FI179" s="357"/>
      <c r="FJ179" s="357"/>
      <c r="FK179" s="357"/>
      <c r="FL179" s="357"/>
      <c r="FM179" s="357"/>
      <c r="FN179" s="357"/>
      <c r="FO179" s="357"/>
      <c r="FP179" s="357"/>
      <c r="FQ179" s="357"/>
      <c r="FR179" s="357"/>
      <c r="FS179" s="357"/>
      <c r="FT179" s="357"/>
      <c r="FU179" s="357"/>
      <c r="FV179" s="357"/>
      <c r="FW179" s="357"/>
      <c r="FX179" s="357"/>
      <c r="FY179" s="357"/>
      <c r="FZ179" s="357"/>
      <c r="GA179" s="357"/>
      <c r="GB179" s="357"/>
      <c r="GC179" s="357"/>
      <c r="GD179" s="357"/>
      <c r="GE179" s="357"/>
      <c r="GF179" s="357"/>
      <c r="GG179" s="357"/>
      <c r="GH179" s="357"/>
      <c r="GI179" s="357"/>
      <c r="GJ179" s="357"/>
      <c r="GK179" s="154"/>
      <c r="GL179" s="154"/>
      <c r="GM179" s="154"/>
      <c r="GN179" s="154"/>
      <c r="GO179" s="154"/>
      <c r="GP179" s="154"/>
      <c r="GQ179" s="154"/>
      <c r="GR179" s="154"/>
      <c r="GS179" s="154"/>
      <c r="GT179" s="154"/>
      <c r="GU179" s="154"/>
      <c r="GV179" s="154"/>
      <c r="GW179" s="154"/>
      <c r="GX179" s="154"/>
    </row>
    <row r="180" spans="7:206">
      <c r="G180" s="154"/>
      <c r="H180" s="154"/>
      <c r="I180" s="154"/>
      <c r="J180" s="154"/>
      <c r="K180" s="154"/>
      <c r="L180" s="154"/>
      <c r="M180" s="154"/>
      <c r="N180" s="154"/>
      <c r="O180" s="154"/>
      <c r="P180" s="154"/>
      <c r="Q180" s="154"/>
      <c r="R180" s="154"/>
      <c r="S180" s="154"/>
      <c r="T180" s="154"/>
      <c r="U180" s="154"/>
      <c r="V180" s="154"/>
      <c r="W180" s="154"/>
      <c r="X180" s="154"/>
      <c r="Y180" s="154"/>
      <c r="Z180" s="357"/>
      <c r="AA180" s="357"/>
      <c r="AB180" s="357"/>
      <c r="AC180" s="357"/>
      <c r="AD180" s="357"/>
      <c r="AE180" s="357"/>
      <c r="AF180" s="357"/>
      <c r="AG180" s="357"/>
      <c r="AH180" s="357"/>
      <c r="AI180" s="357"/>
      <c r="AJ180" s="357"/>
      <c r="AK180" s="357"/>
      <c r="AL180" s="357"/>
      <c r="AM180" s="357"/>
      <c r="AN180" s="357"/>
      <c r="AO180" s="357"/>
      <c r="AP180" s="357"/>
      <c r="AQ180" s="357"/>
      <c r="AR180" s="357"/>
      <c r="AS180" s="357"/>
      <c r="AT180" s="357"/>
      <c r="AU180" s="357"/>
      <c r="AV180" s="357"/>
      <c r="AW180" s="357"/>
      <c r="AX180" s="357"/>
      <c r="AY180" s="357"/>
      <c r="AZ180" s="357"/>
      <c r="BA180" s="357"/>
      <c r="BB180" s="357"/>
      <c r="BC180" s="357"/>
      <c r="BD180" s="357"/>
      <c r="BE180" s="357"/>
      <c r="BF180" s="357"/>
      <c r="BG180" s="357"/>
      <c r="BH180" s="357"/>
      <c r="BI180" s="357"/>
      <c r="BJ180" s="357"/>
      <c r="BK180" s="357"/>
      <c r="BL180" s="357"/>
      <c r="BM180" s="357"/>
      <c r="BN180" s="357"/>
      <c r="BO180" s="357"/>
      <c r="BP180" s="357"/>
      <c r="BQ180" s="357"/>
      <c r="BR180" s="357"/>
      <c r="BS180" s="357"/>
      <c r="BT180" s="357"/>
      <c r="BU180" s="357"/>
      <c r="BV180" s="357"/>
      <c r="BW180" s="357"/>
      <c r="BX180" s="357"/>
      <c r="BY180" s="357"/>
      <c r="BZ180" s="357"/>
      <c r="CA180" s="357"/>
      <c r="CB180" s="357"/>
      <c r="CC180" s="357"/>
      <c r="CD180" s="357"/>
      <c r="CE180" s="357"/>
      <c r="CF180" s="357"/>
      <c r="CG180" s="357"/>
      <c r="CH180" s="357"/>
      <c r="CI180" s="357"/>
      <c r="CJ180" s="357"/>
      <c r="CK180" s="357"/>
      <c r="CL180" s="357"/>
      <c r="CM180" s="357"/>
      <c r="CN180" s="357"/>
      <c r="CO180" s="357"/>
      <c r="CP180" s="357"/>
      <c r="CQ180" s="357"/>
      <c r="CR180" s="357"/>
      <c r="CS180" s="357"/>
      <c r="CT180" s="357"/>
      <c r="CU180" s="357"/>
      <c r="CV180" s="357"/>
      <c r="CW180" s="357"/>
      <c r="CX180" s="357"/>
      <c r="CY180" s="357"/>
      <c r="CZ180" s="357"/>
      <c r="DA180" s="357"/>
      <c r="DB180" s="357"/>
      <c r="DC180" s="357"/>
      <c r="DD180" s="357"/>
      <c r="DE180" s="357"/>
      <c r="DF180" s="357"/>
      <c r="DG180" s="357"/>
      <c r="DH180" s="357"/>
      <c r="DI180" s="357"/>
      <c r="DJ180" s="357"/>
      <c r="DK180" s="357"/>
      <c r="DL180" s="357"/>
      <c r="DM180" s="357"/>
      <c r="DN180" s="357"/>
      <c r="DO180" s="357"/>
      <c r="DP180" s="357"/>
      <c r="DQ180" s="357"/>
      <c r="DR180" s="357"/>
      <c r="DS180" s="357"/>
      <c r="DT180" s="357"/>
      <c r="DU180" s="357"/>
      <c r="DV180" s="357"/>
      <c r="DW180" s="357"/>
      <c r="DX180" s="357"/>
      <c r="DY180" s="357"/>
      <c r="DZ180" s="357"/>
      <c r="EA180" s="357"/>
      <c r="EB180" s="357"/>
      <c r="EC180" s="357"/>
      <c r="ED180" s="357"/>
      <c r="EE180" s="357"/>
      <c r="EF180" s="357"/>
      <c r="EG180" s="357"/>
      <c r="EH180" s="357"/>
      <c r="EI180" s="357"/>
      <c r="EJ180" s="357"/>
      <c r="EK180" s="357"/>
      <c r="EL180" s="357"/>
      <c r="EM180" s="357"/>
      <c r="EN180" s="357"/>
      <c r="EO180" s="357"/>
      <c r="EP180" s="357"/>
      <c r="EQ180" s="357"/>
      <c r="ER180" s="357"/>
      <c r="ES180" s="357"/>
      <c r="ET180" s="357"/>
      <c r="EU180" s="357"/>
      <c r="EV180" s="357"/>
      <c r="EW180" s="357"/>
      <c r="EX180" s="357"/>
      <c r="EY180" s="357"/>
      <c r="EZ180" s="357"/>
      <c r="FA180" s="357"/>
      <c r="FB180" s="357"/>
      <c r="FC180" s="357"/>
      <c r="FD180" s="357"/>
      <c r="FE180" s="357"/>
      <c r="FF180" s="357"/>
      <c r="FG180" s="357"/>
      <c r="FH180" s="357"/>
      <c r="FI180" s="357"/>
      <c r="FJ180" s="357"/>
      <c r="FK180" s="357"/>
      <c r="FL180" s="357"/>
      <c r="FM180" s="357"/>
      <c r="FN180" s="357"/>
      <c r="FO180" s="357"/>
      <c r="FP180" s="357"/>
      <c r="FQ180" s="357"/>
      <c r="FR180" s="357"/>
      <c r="FS180" s="357"/>
      <c r="FT180" s="357"/>
      <c r="FU180" s="357"/>
      <c r="FV180" s="357"/>
      <c r="FW180" s="357"/>
      <c r="FX180" s="357"/>
      <c r="FY180" s="357"/>
      <c r="FZ180" s="357"/>
      <c r="GA180" s="357"/>
      <c r="GB180" s="357"/>
      <c r="GC180" s="357"/>
      <c r="GD180" s="357"/>
      <c r="GE180" s="357"/>
      <c r="GF180" s="357"/>
      <c r="GG180" s="357"/>
      <c r="GH180" s="357"/>
      <c r="GI180" s="357"/>
      <c r="GJ180" s="357"/>
      <c r="GK180" s="154"/>
      <c r="GL180" s="154"/>
      <c r="GM180" s="154"/>
      <c r="GN180" s="154"/>
      <c r="GO180" s="154"/>
      <c r="GP180" s="154"/>
      <c r="GQ180" s="154"/>
      <c r="GR180" s="154"/>
      <c r="GS180" s="154"/>
      <c r="GT180" s="154"/>
      <c r="GU180" s="154"/>
      <c r="GV180" s="154"/>
      <c r="GW180" s="154"/>
      <c r="GX180" s="154"/>
    </row>
    <row r="181" spans="7:206">
      <c r="G181" s="154"/>
      <c r="H181" s="154"/>
      <c r="I181" s="154"/>
      <c r="J181" s="154"/>
      <c r="K181" s="154"/>
      <c r="L181" s="154"/>
      <c r="M181" s="154"/>
      <c r="N181" s="154"/>
      <c r="O181" s="154"/>
      <c r="P181" s="154"/>
      <c r="Q181" s="154"/>
      <c r="R181" s="154"/>
      <c r="S181" s="154"/>
      <c r="T181" s="154"/>
      <c r="U181" s="154"/>
      <c r="V181" s="154"/>
      <c r="W181" s="154"/>
      <c r="X181" s="154"/>
      <c r="Y181" s="154"/>
      <c r="Z181" s="357"/>
      <c r="AA181" s="357"/>
      <c r="AB181" s="357"/>
      <c r="AC181" s="357"/>
      <c r="AD181" s="357"/>
      <c r="AE181" s="357"/>
      <c r="AF181" s="357"/>
      <c r="AG181" s="357"/>
      <c r="AH181" s="357"/>
      <c r="AI181" s="357"/>
      <c r="AJ181" s="357"/>
      <c r="AK181" s="357"/>
      <c r="AL181" s="357"/>
      <c r="AM181" s="357"/>
      <c r="AN181" s="357"/>
      <c r="AO181" s="357"/>
      <c r="AP181" s="357"/>
      <c r="AQ181" s="357"/>
      <c r="AR181" s="357"/>
      <c r="AS181" s="357"/>
      <c r="AT181" s="357"/>
      <c r="AU181" s="357"/>
      <c r="AV181" s="357"/>
      <c r="AW181" s="357"/>
      <c r="AX181" s="357"/>
      <c r="AY181" s="357"/>
      <c r="AZ181" s="357"/>
      <c r="BA181" s="357"/>
      <c r="BB181" s="357"/>
      <c r="BC181" s="357"/>
      <c r="BD181" s="357"/>
      <c r="BE181" s="357"/>
      <c r="BF181" s="357"/>
      <c r="BG181" s="357"/>
      <c r="BH181" s="357"/>
      <c r="BI181" s="357"/>
      <c r="BJ181" s="357"/>
      <c r="BK181" s="357"/>
      <c r="BL181" s="357"/>
      <c r="BM181" s="357"/>
      <c r="BN181" s="357"/>
      <c r="BO181" s="357"/>
      <c r="BP181" s="357"/>
      <c r="BQ181" s="357"/>
      <c r="BR181" s="357"/>
      <c r="BS181" s="357"/>
      <c r="BT181" s="357"/>
      <c r="BU181" s="357"/>
      <c r="BV181" s="357"/>
      <c r="BW181" s="357"/>
      <c r="BX181" s="357"/>
      <c r="BY181" s="357"/>
      <c r="BZ181" s="357"/>
      <c r="CA181" s="357"/>
      <c r="CB181" s="357"/>
      <c r="CC181" s="357"/>
      <c r="CD181" s="357"/>
      <c r="CE181" s="357"/>
      <c r="CF181" s="357"/>
      <c r="CG181" s="357"/>
      <c r="CH181" s="357"/>
      <c r="CI181" s="357"/>
      <c r="CJ181" s="357"/>
      <c r="CK181" s="357"/>
      <c r="CL181" s="357"/>
      <c r="CM181" s="357"/>
      <c r="CN181" s="357"/>
      <c r="CO181" s="357"/>
      <c r="CP181" s="357"/>
      <c r="CQ181" s="357"/>
      <c r="CR181" s="357"/>
      <c r="CS181" s="357"/>
      <c r="CT181" s="357"/>
      <c r="CU181" s="357"/>
      <c r="CV181" s="357"/>
      <c r="CW181" s="357"/>
      <c r="CX181" s="357"/>
      <c r="CY181" s="357"/>
      <c r="CZ181" s="357"/>
      <c r="DA181" s="357"/>
      <c r="DB181" s="357"/>
      <c r="DC181" s="357"/>
      <c r="DD181" s="357"/>
      <c r="DE181" s="357"/>
      <c r="DF181" s="357"/>
      <c r="DG181" s="357"/>
      <c r="DH181" s="357"/>
      <c r="DI181" s="357"/>
      <c r="DJ181" s="357"/>
      <c r="DK181" s="357"/>
      <c r="DL181" s="357"/>
      <c r="DM181" s="357"/>
      <c r="DN181" s="357"/>
      <c r="DO181" s="357"/>
      <c r="DP181" s="357"/>
      <c r="DQ181" s="357"/>
      <c r="DR181" s="357"/>
      <c r="DS181" s="357"/>
      <c r="DT181" s="357"/>
      <c r="DU181" s="357"/>
      <c r="DV181" s="357"/>
      <c r="DW181" s="357"/>
      <c r="DX181" s="357"/>
      <c r="DY181" s="357"/>
      <c r="DZ181" s="357"/>
      <c r="EA181" s="357"/>
      <c r="EB181" s="357"/>
      <c r="EC181" s="357"/>
      <c r="ED181" s="357"/>
      <c r="EE181" s="357"/>
      <c r="EF181" s="357"/>
      <c r="EG181" s="357"/>
      <c r="EH181" s="357"/>
      <c r="EI181" s="357"/>
      <c r="EJ181" s="357"/>
      <c r="EK181" s="357"/>
      <c r="EL181" s="357"/>
      <c r="EM181" s="357"/>
      <c r="EN181" s="357"/>
      <c r="EO181" s="357"/>
      <c r="EP181" s="357"/>
      <c r="EQ181" s="357"/>
      <c r="ER181" s="357"/>
      <c r="ES181" s="357"/>
      <c r="ET181" s="357"/>
      <c r="EU181" s="357"/>
      <c r="EV181" s="357"/>
      <c r="EW181" s="357"/>
      <c r="EX181" s="357"/>
      <c r="EY181" s="357"/>
      <c r="EZ181" s="357"/>
      <c r="FA181" s="357"/>
      <c r="FB181" s="357"/>
      <c r="FC181" s="357"/>
      <c r="FD181" s="357"/>
      <c r="FE181" s="357"/>
      <c r="FF181" s="357"/>
      <c r="FG181" s="357"/>
      <c r="FH181" s="357"/>
      <c r="FI181" s="357"/>
      <c r="FJ181" s="357"/>
      <c r="FK181" s="357"/>
      <c r="FL181" s="357"/>
      <c r="FM181" s="357"/>
      <c r="FN181" s="357"/>
      <c r="FO181" s="357"/>
      <c r="FP181" s="357"/>
      <c r="FQ181" s="357"/>
      <c r="FR181" s="357"/>
      <c r="FS181" s="357"/>
      <c r="FT181" s="357"/>
      <c r="FU181" s="357"/>
      <c r="FV181" s="357"/>
      <c r="FW181" s="357"/>
      <c r="FX181" s="357"/>
      <c r="FY181" s="357"/>
      <c r="FZ181" s="357"/>
      <c r="GA181" s="357"/>
      <c r="GB181" s="357"/>
      <c r="GC181" s="357"/>
      <c r="GD181" s="357"/>
      <c r="GE181" s="357"/>
      <c r="GF181" s="357"/>
      <c r="GG181" s="357"/>
      <c r="GH181" s="357"/>
      <c r="GI181" s="357"/>
      <c r="GJ181" s="357"/>
      <c r="GK181" s="154"/>
      <c r="GL181" s="154"/>
      <c r="GM181" s="154"/>
      <c r="GN181" s="154"/>
      <c r="GO181" s="154"/>
      <c r="GP181" s="154"/>
      <c r="GQ181" s="154"/>
      <c r="GR181" s="154"/>
      <c r="GS181" s="154"/>
      <c r="GT181" s="154"/>
      <c r="GU181" s="154"/>
      <c r="GV181" s="154"/>
      <c r="GW181" s="154"/>
      <c r="GX181" s="154"/>
    </row>
    <row r="182" spans="7:206">
      <c r="G182" s="154"/>
      <c r="H182" s="154"/>
      <c r="I182" s="154"/>
      <c r="J182" s="154"/>
      <c r="K182" s="154"/>
      <c r="L182" s="154"/>
      <c r="M182" s="154"/>
      <c r="N182" s="154"/>
      <c r="O182" s="154"/>
      <c r="P182" s="154"/>
      <c r="Q182" s="154"/>
      <c r="R182" s="154"/>
      <c r="S182" s="154"/>
      <c r="T182" s="154"/>
      <c r="U182" s="154"/>
      <c r="V182" s="154"/>
      <c r="W182" s="154"/>
      <c r="X182" s="154"/>
      <c r="Y182" s="154"/>
      <c r="Z182" s="357"/>
      <c r="AA182" s="357"/>
      <c r="AB182" s="357"/>
      <c r="AC182" s="357"/>
      <c r="AD182" s="357"/>
      <c r="AE182" s="357"/>
      <c r="AF182" s="357"/>
      <c r="AG182" s="357"/>
      <c r="AH182" s="357"/>
      <c r="AI182" s="357"/>
      <c r="AJ182" s="357"/>
      <c r="AK182" s="357"/>
      <c r="AL182" s="357"/>
      <c r="AM182" s="357"/>
      <c r="AN182" s="357"/>
      <c r="AO182" s="357"/>
      <c r="AP182" s="357"/>
      <c r="AQ182" s="357"/>
      <c r="AR182" s="357"/>
      <c r="AS182" s="357"/>
      <c r="AT182" s="357"/>
      <c r="AU182" s="357"/>
      <c r="AV182" s="357"/>
      <c r="AW182" s="357"/>
      <c r="AX182" s="357"/>
      <c r="AY182" s="357"/>
      <c r="AZ182" s="357"/>
      <c r="BA182" s="357"/>
      <c r="BB182" s="357"/>
      <c r="BC182" s="357"/>
      <c r="BD182" s="357"/>
      <c r="BE182" s="357"/>
      <c r="BF182" s="357"/>
      <c r="BG182" s="357"/>
      <c r="BH182" s="357"/>
      <c r="BI182" s="357"/>
      <c r="BJ182" s="357"/>
      <c r="BK182" s="357"/>
      <c r="BL182" s="357"/>
      <c r="BM182" s="357"/>
      <c r="BN182" s="357"/>
      <c r="BO182" s="357"/>
      <c r="BP182" s="357"/>
      <c r="BQ182" s="357"/>
      <c r="BR182" s="357"/>
      <c r="BS182" s="357"/>
      <c r="BT182" s="357"/>
      <c r="BU182" s="357"/>
      <c r="BV182" s="357"/>
      <c r="BW182" s="357"/>
      <c r="BX182" s="357"/>
      <c r="BY182" s="357"/>
      <c r="BZ182" s="357"/>
      <c r="CA182" s="357"/>
      <c r="CB182" s="357"/>
      <c r="CC182" s="357"/>
      <c r="CD182" s="357"/>
      <c r="CE182" s="357"/>
      <c r="CF182" s="357"/>
      <c r="CG182" s="357"/>
      <c r="CH182" s="357"/>
      <c r="CI182" s="357"/>
      <c r="CJ182" s="357"/>
      <c r="CK182" s="357"/>
      <c r="CL182" s="357"/>
      <c r="CM182" s="357"/>
      <c r="CN182" s="357"/>
      <c r="CO182" s="357"/>
      <c r="CP182" s="357"/>
      <c r="CQ182" s="357"/>
      <c r="CR182" s="357"/>
      <c r="CS182" s="357"/>
      <c r="CT182" s="357"/>
      <c r="CU182" s="357"/>
      <c r="CV182" s="357"/>
      <c r="CW182" s="357"/>
      <c r="CX182" s="357"/>
      <c r="CY182" s="357"/>
      <c r="CZ182" s="357"/>
      <c r="DA182" s="357"/>
      <c r="DB182" s="357"/>
      <c r="DC182" s="357"/>
      <c r="DD182" s="357"/>
      <c r="DE182" s="357"/>
      <c r="DF182" s="357"/>
      <c r="DG182" s="357"/>
      <c r="DH182" s="357"/>
      <c r="DI182" s="357"/>
      <c r="DJ182" s="357"/>
      <c r="DK182" s="357"/>
      <c r="DL182" s="357"/>
      <c r="DM182" s="357"/>
      <c r="DN182" s="357"/>
      <c r="DO182" s="357"/>
      <c r="DP182" s="357"/>
      <c r="DQ182" s="357"/>
      <c r="DR182" s="357"/>
      <c r="DS182" s="357"/>
      <c r="DT182" s="357"/>
      <c r="DU182" s="357"/>
      <c r="DV182" s="357"/>
      <c r="DW182" s="357"/>
      <c r="DX182" s="357"/>
      <c r="DY182" s="357"/>
      <c r="DZ182" s="357"/>
      <c r="EA182" s="357"/>
      <c r="EB182" s="357"/>
      <c r="EC182" s="357"/>
      <c r="ED182" s="357"/>
      <c r="EE182" s="357"/>
      <c r="EF182" s="357"/>
      <c r="EG182" s="357"/>
      <c r="EH182" s="357"/>
      <c r="EI182" s="357"/>
      <c r="EJ182" s="357"/>
      <c r="EK182" s="357"/>
      <c r="EL182" s="357"/>
      <c r="EM182" s="357"/>
      <c r="EN182" s="357"/>
      <c r="EO182" s="357"/>
      <c r="EP182" s="357"/>
      <c r="EQ182" s="357"/>
      <c r="ER182" s="357"/>
      <c r="ES182" s="357"/>
      <c r="ET182" s="357"/>
      <c r="EU182" s="357"/>
      <c r="EV182" s="357"/>
      <c r="EW182" s="357"/>
      <c r="EX182" s="357"/>
      <c r="EY182" s="357"/>
      <c r="EZ182" s="357"/>
      <c r="FA182" s="357"/>
      <c r="FB182" s="357"/>
      <c r="FC182" s="357"/>
      <c r="FD182" s="357"/>
      <c r="FE182" s="357"/>
      <c r="FF182" s="357"/>
      <c r="FG182" s="357"/>
      <c r="FH182" s="357"/>
      <c r="FI182" s="357"/>
      <c r="FJ182" s="357"/>
      <c r="FK182" s="357"/>
      <c r="FL182" s="357"/>
      <c r="FM182" s="357"/>
      <c r="FN182" s="357"/>
      <c r="FO182" s="357"/>
      <c r="FP182" s="357"/>
      <c r="FQ182" s="357"/>
      <c r="FR182" s="357"/>
      <c r="FS182" s="357"/>
      <c r="FT182" s="357"/>
      <c r="FU182" s="357"/>
      <c r="FV182" s="357"/>
      <c r="FW182" s="357"/>
      <c r="FX182" s="357"/>
      <c r="FY182" s="357"/>
      <c r="FZ182" s="357"/>
      <c r="GA182" s="357"/>
      <c r="GB182" s="357"/>
      <c r="GC182" s="357"/>
      <c r="GD182" s="357"/>
      <c r="GE182" s="357"/>
      <c r="GF182" s="357"/>
      <c r="GG182" s="357"/>
      <c r="GH182" s="357"/>
      <c r="GI182" s="357"/>
      <c r="GJ182" s="357"/>
      <c r="GK182" s="154"/>
      <c r="GL182" s="154"/>
      <c r="GM182" s="154"/>
      <c r="GN182" s="154"/>
      <c r="GO182" s="154"/>
      <c r="GP182" s="154"/>
      <c r="GQ182" s="154"/>
      <c r="GR182" s="154"/>
      <c r="GS182" s="154"/>
      <c r="GT182" s="154"/>
      <c r="GU182" s="154"/>
      <c r="GV182" s="154"/>
      <c r="GW182" s="154"/>
      <c r="GX182" s="154"/>
    </row>
    <row r="183" spans="7:206">
      <c r="G183" s="154"/>
      <c r="H183" s="154"/>
      <c r="I183" s="154"/>
      <c r="J183" s="154"/>
      <c r="K183" s="154"/>
      <c r="L183" s="154"/>
      <c r="M183" s="154"/>
      <c r="N183" s="154"/>
      <c r="O183" s="154"/>
      <c r="P183" s="154"/>
      <c r="Q183" s="154"/>
      <c r="R183" s="154"/>
      <c r="S183" s="154"/>
      <c r="T183" s="154"/>
      <c r="U183" s="154"/>
      <c r="V183" s="154"/>
      <c r="W183" s="154"/>
      <c r="X183" s="154"/>
      <c r="Y183" s="154"/>
      <c r="Z183" s="357"/>
      <c r="AA183" s="357"/>
      <c r="AB183" s="357"/>
      <c r="AC183" s="357"/>
      <c r="AD183" s="357"/>
      <c r="AE183" s="357"/>
      <c r="AF183" s="357"/>
      <c r="AG183" s="357"/>
      <c r="AH183" s="357"/>
      <c r="AI183" s="357"/>
      <c r="AJ183" s="357"/>
      <c r="AK183" s="357"/>
      <c r="AL183" s="357"/>
      <c r="AM183" s="357"/>
      <c r="AN183" s="357"/>
      <c r="AO183" s="357"/>
      <c r="AP183" s="357"/>
      <c r="AQ183" s="357"/>
      <c r="AR183" s="357"/>
      <c r="AS183" s="357"/>
      <c r="AT183" s="357"/>
      <c r="AU183" s="357"/>
      <c r="AV183" s="357"/>
      <c r="AW183" s="357"/>
      <c r="AX183" s="357"/>
      <c r="AY183" s="357"/>
      <c r="AZ183" s="357"/>
      <c r="BA183" s="357"/>
      <c r="BB183" s="357"/>
      <c r="BC183" s="357"/>
      <c r="BD183" s="357"/>
      <c r="BE183" s="357"/>
      <c r="BF183" s="357"/>
      <c r="BG183" s="357"/>
      <c r="BH183" s="357"/>
      <c r="BI183" s="357"/>
      <c r="BJ183" s="357"/>
      <c r="BK183" s="357"/>
      <c r="BL183" s="357"/>
      <c r="BM183" s="357"/>
      <c r="BN183" s="357"/>
      <c r="BO183" s="357"/>
      <c r="BP183" s="357"/>
      <c r="BQ183" s="357"/>
      <c r="BR183" s="357"/>
      <c r="BS183" s="357"/>
      <c r="BT183" s="357"/>
      <c r="BU183" s="357"/>
      <c r="BV183" s="357"/>
      <c r="BW183" s="357"/>
      <c r="BX183" s="357"/>
      <c r="BY183" s="357"/>
      <c r="BZ183" s="357"/>
      <c r="CA183" s="357"/>
      <c r="CB183" s="357"/>
      <c r="CC183" s="357"/>
      <c r="CD183" s="357"/>
      <c r="CE183" s="357"/>
      <c r="CF183" s="357"/>
      <c r="CG183" s="357"/>
      <c r="CH183" s="357"/>
      <c r="CI183" s="357"/>
      <c r="CJ183" s="357"/>
      <c r="CK183" s="357"/>
      <c r="CL183" s="357"/>
      <c r="CM183" s="357"/>
      <c r="CN183" s="357"/>
      <c r="CO183" s="357"/>
      <c r="CP183" s="357"/>
      <c r="CQ183" s="357"/>
      <c r="CR183" s="357"/>
      <c r="CS183" s="357"/>
      <c r="CT183" s="357"/>
      <c r="CU183" s="357"/>
      <c r="CV183" s="357"/>
      <c r="CW183" s="357"/>
      <c r="CX183" s="357"/>
      <c r="CY183" s="357"/>
      <c r="CZ183" s="357"/>
      <c r="DA183" s="357"/>
      <c r="DB183" s="357"/>
      <c r="DC183" s="357"/>
      <c r="DD183" s="357"/>
      <c r="DE183" s="357"/>
      <c r="DF183" s="357"/>
      <c r="DG183" s="357"/>
      <c r="DH183" s="357"/>
      <c r="DI183" s="357"/>
      <c r="DJ183" s="357"/>
      <c r="DK183" s="357"/>
      <c r="DL183" s="357"/>
      <c r="DM183" s="357"/>
      <c r="DN183" s="357"/>
      <c r="DO183" s="357"/>
      <c r="DP183" s="357"/>
      <c r="DQ183" s="357"/>
      <c r="DR183" s="357"/>
      <c r="DS183" s="357"/>
      <c r="DT183" s="357"/>
      <c r="DU183" s="357"/>
      <c r="DV183" s="357"/>
      <c r="DW183" s="357"/>
      <c r="DX183" s="357"/>
      <c r="DY183" s="357"/>
      <c r="DZ183" s="357"/>
      <c r="EA183" s="357"/>
      <c r="EB183" s="357"/>
      <c r="EC183" s="357"/>
      <c r="ED183" s="357"/>
      <c r="EE183" s="357"/>
      <c r="EF183" s="357"/>
      <c r="EG183" s="357"/>
      <c r="EH183" s="357"/>
      <c r="EI183" s="357"/>
      <c r="EJ183" s="357"/>
      <c r="EK183" s="357"/>
      <c r="EL183" s="357"/>
      <c r="EM183" s="357"/>
      <c r="EN183" s="357"/>
      <c r="EO183" s="357"/>
      <c r="EP183" s="357"/>
      <c r="EQ183" s="357"/>
      <c r="ER183" s="357"/>
      <c r="ES183" s="357"/>
      <c r="ET183" s="357"/>
      <c r="EU183" s="357"/>
      <c r="EV183" s="357"/>
      <c r="EW183" s="357"/>
      <c r="EX183" s="357"/>
      <c r="EY183" s="357"/>
      <c r="EZ183" s="357"/>
      <c r="FA183" s="357"/>
      <c r="FB183" s="357"/>
      <c r="FC183" s="357"/>
      <c r="FD183" s="357"/>
      <c r="FE183" s="357"/>
      <c r="FF183" s="357"/>
      <c r="FG183" s="357"/>
      <c r="FH183" s="357"/>
      <c r="FI183" s="357"/>
      <c r="FJ183" s="357"/>
      <c r="FK183" s="357"/>
      <c r="FL183" s="357"/>
      <c r="FM183" s="357"/>
      <c r="FN183" s="357"/>
      <c r="FO183" s="357"/>
      <c r="FP183" s="357"/>
      <c r="FQ183" s="357"/>
      <c r="FR183" s="357"/>
      <c r="FS183" s="357"/>
      <c r="FT183" s="357"/>
      <c r="FU183" s="357"/>
      <c r="FV183" s="357"/>
      <c r="FW183" s="357"/>
      <c r="FX183" s="357"/>
      <c r="FY183" s="357"/>
      <c r="FZ183" s="357"/>
      <c r="GA183" s="357"/>
      <c r="GB183" s="357"/>
      <c r="GC183" s="357"/>
      <c r="GD183" s="357"/>
      <c r="GE183" s="357"/>
      <c r="GF183" s="357"/>
      <c r="GG183" s="357"/>
      <c r="GH183" s="357"/>
      <c r="GI183" s="357"/>
      <c r="GJ183" s="357"/>
      <c r="GK183" s="154"/>
      <c r="GL183" s="154"/>
      <c r="GM183" s="154"/>
      <c r="GN183" s="154"/>
      <c r="GO183" s="154"/>
      <c r="GP183" s="154"/>
      <c r="GQ183" s="154"/>
      <c r="GR183" s="154"/>
      <c r="GS183" s="154"/>
      <c r="GT183" s="154"/>
      <c r="GU183" s="154"/>
      <c r="GV183" s="154"/>
      <c r="GW183" s="154"/>
      <c r="GX183" s="154"/>
    </row>
    <row r="184" spans="7:206">
      <c r="G184" s="154"/>
      <c r="H184" s="154"/>
      <c r="I184" s="154"/>
      <c r="J184" s="154"/>
      <c r="K184" s="154"/>
      <c r="L184" s="154"/>
      <c r="M184" s="154"/>
      <c r="N184" s="154"/>
      <c r="O184" s="154"/>
      <c r="P184" s="154"/>
      <c r="Q184" s="154"/>
      <c r="R184" s="154"/>
      <c r="S184" s="154"/>
      <c r="T184" s="154"/>
      <c r="U184" s="154"/>
      <c r="V184" s="154"/>
      <c r="W184" s="154"/>
      <c r="X184" s="154"/>
      <c r="Y184" s="154"/>
      <c r="Z184" s="357"/>
      <c r="AA184" s="357"/>
      <c r="AB184" s="357"/>
      <c r="AC184" s="357"/>
      <c r="AD184" s="357"/>
      <c r="AE184" s="357"/>
      <c r="AF184" s="357"/>
      <c r="AG184" s="357"/>
      <c r="AH184" s="357"/>
      <c r="AI184" s="357"/>
      <c r="AJ184" s="357"/>
      <c r="AK184" s="357"/>
      <c r="AL184" s="357"/>
      <c r="AM184" s="357"/>
      <c r="AN184" s="357"/>
      <c r="AO184" s="357"/>
      <c r="AP184" s="357"/>
      <c r="AQ184" s="357"/>
      <c r="AR184" s="357"/>
      <c r="AS184" s="357"/>
      <c r="AT184" s="357"/>
      <c r="AU184" s="357"/>
      <c r="AV184" s="357"/>
      <c r="AW184" s="357"/>
      <c r="AX184" s="357"/>
      <c r="AY184" s="357"/>
      <c r="AZ184" s="357"/>
      <c r="BA184" s="357"/>
      <c r="BB184" s="357"/>
      <c r="BC184" s="357"/>
      <c r="BD184" s="357"/>
      <c r="BE184" s="357"/>
      <c r="BF184" s="357"/>
      <c r="BG184" s="357"/>
      <c r="BH184" s="357"/>
      <c r="BI184" s="357"/>
      <c r="BJ184" s="357"/>
      <c r="BK184" s="357"/>
      <c r="BL184" s="357"/>
      <c r="BM184" s="357"/>
      <c r="BN184" s="357"/>
      <c r="BO184" s="357"/>
      <c r="BP184" s="357"/>
      <c r="BQ184" s="357"/>
      <c r="BR184" s="357"/>
      <c r="BS184" s="357"/>
      <c r="BT184" s="357"/>
      <c r="BU184" s="357"/>
      <c r="BV184" s="357"/>
      <c r="BW184" s="357"/>
      <c r="BX184" s="357"/>
      <c r="BY184" s="357"/>
      <c r="BZ184" s="357"/>
      <c r="CA184" s="357"/>
      <c r="CB184" s="357"/>
      <c r="CC184" s="357"/>
      <c r="CD184" s="357"/>
      <c r="CE184" s="357"/>
      <c r="CF184" s="357"/>
      <c r="CG184" s="357"/>
      <c r="CH184" s="357"/>
      <c r="CI184" s="357"/>
      <c r="CJ184" s="357"/>
      <c r="CK184" s="357"/>
      <c r="CL184" s="357"/>
      <c r="CM184" s="357"/>
      <c r="CN184" s="357"/>
      <c r="CO184" s="357"/>
      <c r="CP184" s="357"/>
      <c r="CQ184" s="357"/>
      <c r="CR184" s="357"/>
      <c r="CS184" s="357"/>
      <c r="CT184" s="357"/>
      <c r="CU184" s="357"/>
      <c r="CV184" s="357"/>
      <c r="CW184" s="357"/>
      <c r="CX184" s="357"/>
      <c r="CY184" s="357"/>
      <c r="CZ184" s="357"/>
      <c r="DA184" s="357"/>
      <c r="DB184" s="357"/>
      <c r="DC184" s="357"/>
      <c r="DD184" s="357"/>
      <c r="DE184" s="357"/>
      <c r="DF184" s="357"/>
      <c r="DG184" s="357"/>
      <c r="DH184" s="357"/>
      <c r="DI184" s="357"/>
      <c r="DJ184" s="357"/>
      <c r="DK184" s="357"/>
      <c r="DL184" s="357"/>
      <c r="DM184" s="357"/>
      <c r="DN184" s="357"/>
      <c r="DO184" s="357"/>
      <c r="DP184" s="357"/>
      <c r="DQ184" s="357"/>
      <c r="DR184" s="357"/>
      <c r="DS184" s="357"/>
      <c r="DT184" s="357"/>
      <c r="DU184" s="357"/>
      <c r="DV184" s="357"/>
      <c r="DW184" s="357"/>
      <c r="DX184" s="357"/>
      <c r="DY184" s="357"/>
      <c r="DZ184" s="357"/>
      <c r="EA184" s="357"/>
      <c r="EB184" s="357"/>
      <c r="EC184" s="357"/>
      <c r="ED184" s="357"/>
      <c r="EE184" s="357"/>
      <c r="EF184" s="357"/>
      <c r="EG184" s="357"/>
      <c r="EH184" s="357"/>
      <c r="EI184" s="357"/>
      <c r="EJ184" s="357"/>
      <c r="EK184" s="357"/>
      <c r="EL184" s="357"/>
      <c r="EM184" s="357"/>
      <c r="EN184" s="357"/>
      <c r="EO184" s="357"/>
      <c r="EP184" s="357"/>
      <c r="EQ184" s="357"/>
      <c r="ER184" s="357"/>
      <c r="ES184" s="357"/>
      <c r="ET184" s="357"/>
      <c r="EU184" s="357"/>
      <c r="EV184" s="357"/>
      <c r="EW184" s="357"/>
      <c r="EX184" s="357"/>
      <c r="EY184" s="357"/>
      <c r="EZ184" s="357"/>
      <c r="FA184" s="357"/>
      <c r="FB184" s="357"/>
      <c r="FC184" s="357"/>
      <c r="FD184" s="357"/>
      <c r="FE184" s="357"/>
      <c r="FF184" s="357"/>
      <c r="FG184" s="357"/>
      <c r="FH184" s="357"/>
      <c r="FI184" s="357"/>
      <c r="FJ184" s="357"/>
      <c r="FK184" s="357"/>
      <c r="FL184" s="357"/>
      <c r="FM184" s="357"/>
      <c r="FN184" s="357"/>
      <c r="FO184" s="357"/>
      <c r="FP184" s="357"/>
      <c r="FQ184" s="357"/>
      <c r="FR184" s="357"/>
      <c r="FS184" s="357"/>
      <c r="FT184" s="357"/>
      <c r="FU184" s="357"/>
      <c r="FV184" s="357"/>
      <c r="FW184" s="357"/>
      <c r="FX184" s="357"/>
      <c r="FY184" s="357"/>
      <c r="FZ184" s="357"/>
      <c r="GA184" s="357"/>
      <c r="GB184" s="357"/>
      <c r="GC184" s="357"/>
      <c r="GD184" s="357"/>
      <c r="GE184" s="357"/>
      <c r="GF184" s="357"/>
      <c r="GG184" s="357"/>
      <c r="GH184" s="357"/>
      <c r="GI184" s="357"/>
      <c r="GJ184" s="357"/>
      <c r="GK184" s="154"/>
      <c r="GL184" s="154"/>
      <c r="GM184" s="154"/>
      <c r="GN184" s="154"/>
      <c r="GO184" s="154"/>
      <c r="GP184" s="154"/>
      <c r="GQ184" s="154"/>
      <c r="GR184" s="154"/>
      <c r="GS184" s="154"/>
      <c r="GT184" s="154"/>
      <c r="GU184" s="154"/>
      <c r="GV184" s="154"/>
      <c r="GW184" s="154"/>
      <c r="GX184" s="154"/>
    </row>
    <row r="185" spans="7:206">
      <c r="G185" s="154"/>
      <c r="H185" s="154"/>
      <c r="I185" s="154"/>
      <c r="J185" s="154"/>
      <c r="K185" s="154"/>
      <c r="L185" s="154"/>
      <c r="M185" s="154"/>
      <c r="N185" s="154"/>
      <c r="O185" s="154"/>
      <c r="P185" s="154"/>
      <c r="Q185" s="154"/>
      <c r="R185" s="154"/>
      <c r="S185" s="154"/>
      <c r="T185" s="154"/>
      <c r="U185" s="154"/>
      <c r="V185" s="154"/>
      <c r="W185" s="154"/>
      <c r="X185" s="154"/>
      <c r="Y185" s="154"/>
      <c r="Z185" s="357"/>
      <c r="AA185" s="357"/>
      <c r="AB185" s="357"/>
      <c r="AC185" s="357"/>
      <c r="AD185" s="357"/>
      <c r="AE185" s="357"/>
      <c r="AF185" s="357"/>
      <c r="AG185" s="357"/>
      <c r="AH185" s="357"/>
      <c r="AI185" s="357"/>
      <c r="AJ185" s="357"/>
      <c r="AK185" s="357"/>
      <c r="AL185" s="357"/>
      <c r="AM185" s="357"/>
      <c r="AN185" s="357"/>
      <c r="AO185" s="357"/>
      <c r="AP185" s="357"/>
      <c r="AQ185" s="357"/>
      <c r="AR185" s="357"/>
      <c r="AS185" s="357"/>
      <c r="AT185" s="357"/>
      <c r="AU185" s="357"/>
      <c r="AV185" s="357"/>
      <c r="AW185" s="357"/>
      <c r="AX185" s="357"/>
      <c r="AY185" s="357"/>
      <c r="AZ185" s="357"/>
      <c r="BA185" s="357"/>
      <c r="BB185" s="357"/>
      <c r="BC185" s="357"/>
      <c r="BD185" s="357"/>
      <c r="BE185" s="357"/>
      <c r="BF185" s="357"/>
      <c r="BG185" s="357"/>
      <c r="BH185" s="357"/>
      <c r="BI185" s="357"/>
      <c r="BJ185" s="357"/>
      <c r="BK185" s="357"/>
      <c r="BL185" s="357"/>
      <c r="BM185" s="357"/>
      <c r="BN185" s="357"/>
      <c r="BO185" s="357"/>
      <c r="BP185" s="357"/>
      <c r="BQ185" s="357"/>
      <c r="BR185" s="357"/>
      <c r="BS185" s="357"/>
      <c r="BT185" s="357"/>
      <c r="BU185" s="357"/>
      <c r="BV185" s="357"/>
      <c r="BW185" s="357"/>
      <c r="BX185" s="357"/>
      <c r="BY185" s="357"/>
      <c r="BZ185" s="357"/>
      <c r="CA185" s="357"/>
      <c r="CB185" s="357"/>
      <c r="CC185" s="357"/>
      <c r="CD185" s="357"/>
      <c r="CE185" s="357"/>
      <c r="CF185" s="357"/>
      <c r="CG185" s="357"/>
      <c r="CH185" s="357"/>
      <c r="CI185" s="357"/>
      <c r="CJ185" s="357"/>
      <c r="CK185" s="357"/>
      <c r="CL185" s="357"/>
      <c r="CM185" s="357"/>
      <c r="CN185" s="357"/>
      <c r="CO185" s="357"/>
      <c r="CP185" s="357"/>
      <c r="CQ185" s="357"/>
      <c r="CR185" s="357"/>
      <c r="CS185" s="357"/>
      <c r="CT185" s="357"/>
      <c r="CU185" s="357"/>
      <c r="CV185" s="357"/>
      <c r="CW185" s="357"/>
      <c r="CX185" s="357"/>
      <c r="CY185" s="357"/>
      <c r="CZ185" s="357"/>
      <c r="DA185" s="357"/>
      <c r="DB185" s="357"/>
      <c r="DC185" s="357"/>
      <c r="DD185" s="357"/>
      <c r="DE185" s="357"/>
      <c r="DF185" s="357"/>
      <c r="DG185" s="357"/>
      <c r="DH185" s="357"/>
      <c r="DI185" s="357"/>
      <c r="DJ185" s="357"/>
      <c r="DK185" s="357"/>
      <c r="DL185" s="357"/>
      <c r="DM185" s="357"/>
      <c r="DN185" s="357"/>
      <c r="DO185" s="357"/>
      <c r="DP185" s="357"/>
      <c r="DQ185" s="357"/>
      <c r="DR185" s="357"/>
      <c r="DS185" s="357"/>
      <c r="DT185" s="357"/>
      <c r="DU185" s="357"/>
      <c r="DV185" s="357"/>
      <c r="DW185" s="357"/>
      <c r="DX185" s="357"/>
      <c r="DY185" s="357"/>
      <c r="DZ185" s="357"/>
      <c r="EA185" s="357"/>
      <c r="EB185" s="357"/>
      <c r="EC185" s="357"/>
      <c r="ED185" s="357"/>
      <c r="EE185" s="357"/>
      <c r="EF185" s="357"/>
      <c r="EG185" s="357"/>
      <c r="EH185" s="357"/>
      <c r="EI185" s="357"/>
      <c r="EJ185" s="357"/>
      <c r="EK185" s="357"/>
      <c r="EL185" s="357"/>
      <c r="EM185" s="357"/>
      <c r="EN185" s="357"/>
      <c r="EO185" s="357"/>
      <c r="EP185" s="357"/>
      <c r="EQ185" s="357"/>
      <c r="ER185" s="357"/>
      <c r="ES185" s="357"/>
      <c r="ET185" s="357"/>
      <c r="EU185" s="357"/>
      <c r="EV185" s="357"/>
      <c r="EW185" s="357"/>
      <c r="EX185" s="357"/>
      <c r="EY185" s="357"/>
      <c r="EZ185" s="357"/>
      <c r="FA185" s="357"/>
      <c r="FB185" s="357"/>
      <c r="FC185" s="357"/>
      <c r="FD185" s="357"/>
      <c r="FE185" s="357"/>
      <c r="FF185" s="357"/>
      <c r="FG185" s="357"/>
      <c r="FH185" s="357"/>
      <c r="FI185" s="357"/>
      <c r="FJ185" s="357"/>
      <c r="FK185" s="357"/>
      <c r="FL185" s="357"/>
      <c r="FM185" s="357"/>
      <c r="FN185" s="357"/>
      <c r="FO185" s="357"/>
      <c r="FP185" s="357"/>
      <c r="FQ185" s="357"/>
      <c r="FR185" s="357"/>
      <c r="FS185" s="357"/>
      <c r="FT185" s="357"/>
      <c r="FU185" s="357"/>
      <c r="FV185" s="357"/>
      <c r="FW185" s="357"/>
      <c r="FX185" s="357"/>
      <c r="FY185" s="357"/>
      <c r="FZ185" s="357"/>
      <c r="GA185" s="357"/>
      <c r="GB185" s="357"/>
      <c r="GC185" s="357"/>
      <c r="GD185" s="357"/>
      <c r="GE185" s="357"/>
      <c r="GF185" s="357"/>
      <c r="GG185" s="357"/>
      <c r="GH185" s="357"/>
      <c r="GI185" s="357"/>
      <c r="GJ185" s="357"/>
      <c r="GK185" s="154"/>
      <c r="GL185" s="154"/>
      <c r="GM185" s="154"/>
      <c r="GN185" s="154"/>
      <c r="GO185" s="154"/>
      <c r="GP185" s="154"/>
      <c r="GQ185" s="154"/>
      <c r="GR185" s="154"/>
      <c r="GS185" s="154"/>
      <c r="GT185" s="154"/>
      <c r="GU185" s="154"/>
      <c r="GV185" s="154"/>
      <c r="GW185" s="154"/>
      <c r="GX185" s="154"/>
    </row>
    <row r="186" spans="7:206">
      <c r="G186" s="154"/>
      <c r="H186" s="154"/>
      <c r="I186" s="154"/>
      <c r="J186" s="154"/>
      <c r="K186" s="154"/>
      <c r="L186" s="154"/>
      <c r="M186" s="154"/>
      <c r="N186" s="154"/>
      <c r="O186" s="154"/>
      <c r="P186" s="154"/>
      <c r="Q186" s="154"/>
      <c r="R186" s="154"/>
      <c r="S186" s="154"/>
      <c r="T186" s="154"/>
      <c r="U186" s="154"/>
      <c r="V186" s="154"/>
      <c r="W186" s="154"/>
      <c r="X186" s="154"/>
      <c r="Y186" s="154"/>
      <c r="Z186" s="357"/>
      <c r="AA186" s="357"/>
      <c r="AB186" s="357"/>
      <c r="AC186" s="357"/>
      <c r="AD186" s="357"/>
      <c r="AE186" s="357"/>
      <c r="AF186" s="357"/>
      <c r="AG186" s="357"/>
      <c r="AH186" s="357"/>
      <c r="AI186" s="357"/>
      <c r="AJ186" s="357"/>
      <c r="AK186" s="357"/>
      <c r="AL186" s="357"/>
      <c r="AM186" s="357"/>
      <c r="AN186" s="357"/>
      <c r="AO186" s="357"/>
      <c r="AP186" s="357"/>
      <c r="AQ186" s="357"/>
      <c r="AR186" s="357"/>
      <c r="AS186" s="357"/>
      <c r="AT186" s="357"/>
      <c r="AU186" s="357"/>
      <c r="AV186" s="357"/>
      <c r="AW186" s="357"/>
      <c r="AX186" s="357"/>
      <c r="AY186" s="357"/>
      <c r="AZ186" s="357"/>
      <c r="BA186" s="357"/>
      <c r="BB186" s="357"/>
      <c r="BC186" s="357"/>
      <c r="BD186" s="357"/>
      <c r="BE186" s="357"/>
      <c r="BF186" s="357"/>
      <c r="BG186" s="357"/>
      <c r="BH186" s="357"/>
      <c r="BI186" s="357"/>
      <c r="BJ186" s="357"/>
      <c r="BK186" s="357"/>
      <c r="BL186" s="357"/>
      <c r="BM186" s="357"/>
      <c r="BN186" s="357"/>
      <c r="BO186" s="357"/>
      <c r="BP186" s="357"/>
      <c r="BQ186" s="357"/>
      <c r="BR186" s="357"/>
      <c r="BS186" s="357"/>
      <c r="BT186" s="357"/>
      <c r="BU186" s="357"/>
      <c r="BV186" s="357"/>
      <c r="BW186" s="357"/>
      <c r="BX186" s="357"/>
      <c r="BY186" s="357"/>
      <c r="BZ186" s="357"/>
      <c r="CA186" s="357"/>
      <c r="CB186" s="357"/>
      <c r="CC186" s="357"/>
      <c r="CD186" s="357"/>
      <c r="CE186" s="357"/>
      <c r="CF186" s="357"/>
      <c r="CG186" s="357"/>
      <c r="CH186" s="357"/>
      <c r="CI186" s="357"/>
      <c r="CJ186" s="357"/>
      <c r="CK186" s="357"/>
      <c r="CL186" s="357"/>
      <c r="CM186" s="357"/>
      <c r="CN186" s="357"/>
      <c r="CO186" s="357"/>
      <c r="CP186" s="357"/>
      <c r="CQ186" s="357"/>
      <c r="CR186" s="357"/>
      <c r="CS186" s="357"/>
      <c r="CT186" s="357"/>
      <c r="CU186" s="357"/>
      <c r="CV186" s="357"/>
      <c r="CW186" s="357"/>
      <c r="CX186" s="357"/>
      <c r="CY186" s="357"/>
      <c r="CZ186" s="357"/>
      <c r="DA186" s="357"/>
      <c r="DB186" s="357"/>
      <c r="DC186" s="357"/>
      <c r="DD186" s="357"/>
      <c r="DE186" s="357"/>
      <c r="DF186" s="357"/>
      <c r="DG186" s="357"/>
      <c r="DH186" s="357"/>
      <c r="DI186" s="357"/>
      <c r="DJ186" s="357"/>
      <c r="DK186" s="357"/>
      <c r="DL186" s="357"/>
      <c r="DM186" s="357"/>
      <c r="DN186" s="357"/>
      <c r="DO186" s="357"/>
      <c r="DP186" s="357"/>
      <c r="DQ186" s="357"/>
      <c r="DR186" s="357"/>
      <c r="DS186" s="357"/>
      <c r="DT186" s="357"/>
      <c r="DU186" s="357"/>
      <c r="DV186" s="357"/>
      <c r="DW186" s="357"/>
      <c r="DX186" s="357"/>
      <c r="DY186" s="357"/>
      <c r="DZ186" s="357"/>
      <c r="EA186" s="357"/>
      <c r="EB186" s="357"/>
      <c r="EC186" s="357"/>
      <c r="ED186" s="357"/>
      <c r="EE186" s="357"/>
      <c r="EF186" s="357"/>
      <c r="EG186" s="357"/>
      <c r="EH186" s="357"/>
      <c r="EI186" s="357"/>
      <c r="EJ186" s="357"/>
      <c r="EK186" s="357"/>
      <c r="EL186" s="357"/>
      <c r="EM186" s="357"/>
      <c r="EN186" s="357"/>
      <c r="EO186" s="357"/>
      <c r="EP186" s="357"/>
      <c r="EQ186" s="357"/>
      <c r="ER186" s="357"/>
      <c r="ES186" s="357"/>
      <c r="ET186" s="357"/>
      <c r="EU186" s="357"/>
      <c r="EV186" s="357"/>
      <c r="EW186" s="357"/>
      <c r="EX186" s="357"/>
      <c r="EY186" s="357"/>
      <c r="EZ186" s="357"/>
      <c r="FA186" s="357"/>
      <c r="FB186" s="357"/>
      <c r="FC186" s="357"/>
      <c r="FD186" s="357"/>
      <c r="FE186" s="357"/>
      <c r="FF186" s="357"/>
      <c r="FG186" s="357"/>
      <c r="FH186" s="357"/>
      <c r="FI186" s="357"/>
      <c r="FJ186" s="357"/>
      <c r="FK186" s="357"/>
      <c r="FL186" s="357"/>
      <c r="FM186" s="357"/>
      <c r="FN186" s="357"/>
      <c r="FO186" s="357"/>
      <c r="FP186" s="357"/>
      <c r="FQ186" s="357"/>
      <c r="FR186" s="357"/>
      <c r="FS186" s="357"/>
      <c r="FT186" s="357"/>
      <c r="FU186" s="357"/>
      <c r="FV186" s="357"/>
      <c r="FW186" s="357"/>
      <c r="FX186" s="357"/>
      <c r="FY186" s="357"/>
      <c r="FZ186" s="357"/>
      <c r="GA186" s="357"/>
      <c r="GB186" s="357"/>
      <c r="GC186" s="357"/>
      <c r="GD186" s="357"/>
      <c r="GE186" s="357"/>
      <c r="GF186" s="357"/>
      <c r="GG186" s="357"/>
      <c r="GH186" s="357"/>
      <c r="GI186" s="357"/>
      <c r="GJ186" s="357"/>
      <c r="GK186" s="154"/>
      <c r="GL186" s="154"/>
      <c r="GM186" s="154"/>
      <c r="GN186" s="154"/>
      <c r="GO186" s="154"/>
      <c r="GP186" s="154"/>
      <c r="GQ186" s="154"/>
      <c r="GR186" s="154"/>
      <c r="GS186" s="154"/>
      <c r="GT186" s="154"/>
      <c r="GU186" s="154"/>
      <c r="GV186" s="154"/>
      <c r="GW186" s="154"/>
      <c r="GX186" s="154"/>
    </row>
    <row r="187" spans="7:206">
      <c r="G187" s="154"/>
      <c r="H187" s="154"/>
      <c r="I187" s="154"/>
      <c r="J187" s="154"/>
      <c r="K187" s="154"/>
      <c r="L187" s="154"/>
      <c r="M187" s="154"/>
      <c r="N187" s="154"/>
      <c r="O187" s="154"/>
      <c r="P187" s="154"/>
      <c r="Q187" s="154"/>
      <c r="R187" s="154"/>
      <c r="S187" s="154"/>
      <c r="T187" s="154"/>
      <c r="U187" s="154"/>
      <c r="V187" s="154"/>
      <c r="W187" s="154"/>
      <c r="X187" s="154"/>
      <c r="Y187" s="154"/>
      <c r="Z187" s="357"/>
      <c r="AA187" s="357"/>
      <c r="AB187" s="357"/>
      <c r="AC187" s="357"/>
      <c r="AD187" s="357"/>
      <c r="AE187" s="357"/>
      <c r="AF187" s="357"/>
      <c r="AG187" s="357"/>
      <c r="AH187" s="357"/>
      <c r="AI187" s="357"/>
      <c r="AJ187" s="357"/>
      <c r="AK187" s="357"/>
      <c r="AL187" s="357"/>
      <c r="AM187" s="357"/>
      <c r="AN187" s="357"/>
      <c r="AO187" s="357"/>
      <c r="AP187" s="357"/>
      <c r="AQ187" s="357"/>
      <c r="AR187" s="357"/>
      <c r="AS187" s="357"/>
      <c r="AT187" s="357"/>
      <c r="AU187" s="357"/>
      <c r="AV187" s="357"/>
      <c r="AW187" s="357"/>
      <c r="AX187" s="357"/>
      <c r="AY187" s="357"/>
      <c r="AZ187" s="357"/>
      <c r="BA187" s="357"/>
      <c r="BB187" s="357"/>
      <c r="BC187" s="357"/>
      <c r="BD187" s="357"/>
      <c r="BE187" s="357"/>
      <c r="BF187" s="357"/>
      <c r="BG187" s="357"/>
      <c r="BH187" s="357"/>
      <c r="BI187" s="357"/>
      <c r="BJ187" s="357"/>
      <c r="BK187" s="357"/>
      <c r="BL187" s="357"/>
      <c r="BM187" s="357"/>
      <c r="BN187" s="357"/>
      <c r="BO187" s="357"/>
      <c r="BP187" s="357"/>
      <c r="BQ187" s="357"/>
      <c r="BR187" s="357"/>
      <c r="BS187" s="357"/>
      <c r="BT187" s="357"/>
      <c r="BU187" s="357"/>
      <c r="BV187" s="357"/>
      <c r="BW187" s="357"/>
      <c r="BX187" s="357"/>
      <c r="BY187" s="357"/>
      <c r="BZ187" s="357"/>
      <c r="CA187" s="357"/>
      <c r="CB187" s="357"/>
      <c r="CC187" s="357"/>
      <c r="CD187" s="357"/>
      <c r="CE187" s="357"/>
      <c r="CF187" s="357"/>
      <c r="CG187" s="357"/>
      <c r="CH187" s="357"/>
      <c r="CI187" s="357"/>
      <c r="CJ187" s="357"/>
      <c r="CK187" s="357"/>
      <c r="CL187" s="357"/>
      <c r="CM187" s="357"/>
      <c r="CN187" s="357"/>
      <c r="CO187" s="357"/>
      <c r="CP187" s="357"/>
      <c r="CQ187" s="357"/>
      <c r="CR187" s="357"/>
      <c r="CS187" s="357"/>
      <c r="CT187" s="357"/>
      <c r="CU187" s="357"/>
      <c r="CV187" s="357"/>
      <c r="CW187" s="357"/>
      <c r="CX187" s="357"/>
      <c r="CY187" s="357"/>
      <c r="CZ187" s="357"/>
      <c r="DA187" s="357"/>
      <c r="DB187" s="357"/>
      <c r="DC187" s="357"/>
      <c r="DD187" s="357"/>
      <c r="DE187" s="357"/>
      <c r="DF187" s="357"/>
      <c r="DG187" s="357"/>
      <c r="DH187" s="357"/>
      <c r="DI187" s="357"/>
      <c r="DJ187" s="357"/>
      <c r="DK187" s="357"/>
      <c r="DL187" s="357"/>
      <c r="DM187" s="357"/>
      <c r="DN187" s="357"/>
      <c r="DO187" s="357"/>
      <c r="DP187" s="357"/>
      <c r="DQ187" s="357"/>
      <c r="DR187" s="357"/>
      <c r="DS187" s="357"/>
      <c r="DT187" s="357"/>
      <c r="DU187" s="357"/>
      <c r="DV187" s="357"/>
      <c r="DW187" s="357"/>
      <c r="DX187" s="357"/>
      <c r="DY187" s="357"/>
      <c r="DZ187" s="357"/>
      <c r="EA187" s="357"/>
      <c r="EB187" s="357"/>
      <c r="EC187" s="357"/>
      <c r="ED187" s="357"/>
      <c r="EE187" s="357"/>
      <c r="EF187" s="357"/>
      <c r="EG187" s="357"/>
      <c r="EH187" s="357"/>
      <c r="EI187" s="357"/>
      <c r="EJ187" s="357"/>
      <c r="EK187" s="357"/>
      <c r="EL187" s="357"/>
      <c r="EM187" s="357"/>
      <c r="EN187" s="357"/>
      <c r="EO187" s="357"/>
      <c r="EP187" s="357"/>
      <c r="EQ187" s="357"/>
      <c r="ER187" s="357"/>
      <c r="ES187" s="357"/>
      <c r="ET187" s="357"/>
      <c r="EU187" s="357"/>
      <c r="EV187" s="357"/>
      <c r="EW187" s="357"/>
      <c r="EX187" s="357"/>
      <c r="EY187" s="357"/>
      <c r="EZ187" s="357"/>
      <c r="FA187" s="357"/>
      <c r="FB187" s="357"/>
      <c r="FC187" s="357"/>
      <c r="FD187" s="357"/>
      <c r="FE187" s="357"/>
      <c r="FF187" s="357"/>
      <c r="FG187" s="357"/>
      <c r="FH187" s="357"/>
      <c r="FI187" s="357"/>
      <c r="FJ187" s="357"/>
      <c r="FK187" s="357"/>
      <c r="FL187" s="357"/>
      <c r="FM187" s="357"/>
      <c r="FN187" s="357"/>
      <c r="FO187" s="357"/>
      <c r="FP187" s="357"/>
      <c r="FQ187" s="357"/>
      <c r="FR187" s="357"/>
      <c r="FS187" s="357"/>
      <c r="FT187" s="357"/>
      <c r="FU187" s="357"/>
      <c r="FV187" s="357"/>
      <c r="FW187" s="357"/>
      <c r="FX187" s="357"/>
      <c r="FY187" s="357"/>
      <c r="FZ187" s="357"/>
      <c r="GA187" s="357"/>
      <c r="GB187" s="357"/>
      <c r="GC187" s="357"/>
      <c r="GD187" s="357"/>
      <c r="GE187" s="357"/>
      <c r="GF187" s="357"/>
      <c r="GG187" s="357"/>
      <c r="GH187" s="357"/>
      <c r="GI187" s="357"/>
      <c r="GJ187" s="357"/>
      <c r="GK187" s="154"/>
      <c r="GL187" s="154"/>
      <c r="GM187" s="154"/>
      <c r="GN187" s="154"/>
      <c r="GO187" s="154"/>
      <c r="GP187" s="154"/>
      <c r="GQ187" s="154"/>
      <c r="GR187" s="154"/>
      <c r="GS187" s="154"/>
      <c r="GT187" s="154"/>
      <c r="GU187" s="154"/>
      <c r="GV187" s="154"/>
      <c r="GW187" s="154"/>
      <c r="GX187" s="154"/>
    </row>
    <row r="188" spans="7:206">
      <c r="G188" s="154"/>
      <c r="H188" s="154"/>
      <c r="I188" s="154"/>
      <c r="J188" s="154"/>
      <c r="K188" s="154"/>
      <c r="L188" s="154"/>
      <c r="M188" s="154"/>
      <c r="N188" s="154"/>
      <c r="O188" s="154"/>
      <c r="P188" s="154"/>
      <c r="Q188" s="154"/>
      <c r="R188" s="154"/>
      <c r="S188" s="154"/>
      <c r="T188" s="154"/>
      <c r="U188" s="154"/>
      <c r="V188" s="154"/>
      <c r="W188" s="154"/>
      <c r="X188" s="154"/>
      <c r="Y188" s="154"/>
      <c r="Z188" s="357"/>
      <c r="AA188" s="357"/>
      <c r="AB188" s="357"/>
      <c r="AC188" s="357"/>
      <c r="AD188" s="357"/>
      <c r="AE188" s="357"/>
      <c r="AF188" s="357"/>
      <c r="AG188" s="357"/>
      <c r="AH188" s="357"/>
      <c r="AI188" s="357"/>
      <c r="AJ188" s="357"/>
      <c r="AK188" s="357"/>
      <c r="AL188" s="357"/>
      <c r="AM188" s="357"/>
      <c r="AN188" s="357"/>
      <c r="AO188" s="357"/>
      <c r="AP188" s="357"/>
      <c r="AQ188" s="357"/>
      <c r="AR188" s="357"/>
      <c r="AS188" s="357"/>
      <c r="AT188" s="357"/>
      <c r="AU188" s="357"/>
      <c r="AV188" s="357"/>
      <c r="AW188" s="357"/>
      <c r="AX188" s="357"/>
      <c r="AY188" s="357"/>
      <c r="AZ188" s="357"/>
      <c r="BA188" s="357"/>
      <c r="BB188" s="357"/>
      <c r="BC188" s="357"/>
      <c r="BD188" s="357"/>
      <c r="BE188" s="357"/>
      <c r="BF188" s="357"/>
      <c r="BG188" s="357"/>
      <c r="BH188" s="357"/>
      <c r="BI188" s="357"/>
      <c r="BJ188" s="357"/>
      <c r="BK188" s="357"/>
      <c r="BL188" s="357"/>
      <c r="BM188" s="357"/>
      <c r="BN188" s="357"/>
      <c r="BO188" s="357"/>
      <c r="BP188" s="357"/>
      <c r="BQ188" s="357"/>
      <c r="BR188" s="357"/>
      <c r="BS188" s="357"/>
      <c r="BT188" s="357"/>
      <c r="BU188" s="357"/>
      <c r="BV188" s="357"/>
      <c r="BW188" s="357"/>
      <c r="BX188" s="357"/>
      <c r="BY188" s="357"/>
      <c r="BZ188" s="357"/>
      <c r="CA188" s="357"/>
      <c r="CB188" s="357"/>
      <c r="CC188" s="357"/>
      <c r="CD188" s="357"/>
      <c r="CE188" s="357"/>
      <c r="CF188" s="357"/>
      <c r="CG188" s="357"/>
      <c r="CH188" s="357"/>
      <c r="CI188" s="357"/>
      <c r="CJ188" s="357"/>
      <c r="CK188" s="357"/>
      <c r="CL188" s="357"/>
      <c r="CM188" s="357"/>
      <c r="CN188" s="357"/>
      <c r="CO188" s="357"/>
      <c r="CP188" s="357"/>
      <c r="CQ188" s="357"/>
      <c r="CR188" s="357"/>
      <c r="CS188" s="357"/>
      <c r="CT188" s="357"/>
      <c r="CU188" s="357"/>
      <c r="CV188" s="357"/>
      <c r="CW188" s="357"/>
      <c r="CX188" s="357"/>
      <c r="CY188" s="357"/>
      <c r="CZ188" s="357"/>
      <c r="DA188" s="357"/>
      <c r="DB188" s="357"/>
      <c r="DC188" s="357"/>
      <c r="DD188" s="357"/>
      <c r="DE188" s="357"/>
      <c r="DF188" s="357"/>
      <c r="DG188" s="357"/>
      <c r="DH188" s="357"/>
      <c r="DI188" s="357"/>
      <c r="DJ188" s="357"/>
      <c r="DK188" s="357"/>
      <c r="DL188" s="357"/>
      <c r="DM188" s="357"/>
      <c r="DN188" s="357"/>
      <c r="DO188" s="357"/>
      <c r="DP188" s="357"/>
      <c r="DQ188" s="357"/>
      <c r="DR188" s="357"/>
      <c r="DS188" s="357"/>
      <c r="DT188" s="357"/>
      <c r="DU188" s="357"/>
      <c r="DV188" s="357"/>
      <c r="DW188" s="357"/>
      <c r="DX188" s="357"/>
      <c r="DY188" s="357"/>
      <c r="DZ188" s="357"/>
      <c r="EA188" s="357"/>
      <c r="EB188" s="357"/>
      <c r="EC188" s="357"/>
      <c r="ED188" s="357"/>
      <c r="EE188" s="357"/>
      <c r="EF188" s="357"/>
      <c r="EG188" s="357"/>
      <c r="EH188" s="357"/>
      <c r="EI188" s="357"/>
      <c r="EJ188" s="357"/>
      <c r="EK188" s="357"/>
      <c r="EL188" s="357"/>
      <c r="EM188" s="357"/>
      <c r="EN188" s="357"/>
      <c r="EO188" s="357"/>
      <c r="EP188" s="357"/>
      <c r="EQ188" s="357"/>
      <c r="ER188" s="357"/>
      <c r="ES188" s="357"/>
      <c r="ET188" s="357"/>
      <c r="EU188" s="357"/>
      <c r="EV188" s="357"/>
      <c r="EW188" s="357"/>
      <c r="EX188" s="357"/>
      <c r="EY188" s="357"/>
      <c r="EZ188" s="357"/>
      <c r="FA188" s="357"/>
      <c r="FB188" s="357"/>
      <c r="FC188" s="357"/>
      <c r="FD188" s="357"/>
      <c r="FE188" s="357"/>
      <c r="FF188" s="357"/>
      <c r="FG188" s="357"/>
      <c r="FH188" s="357"/>
      <c r="FI188" s="357"/>
      <c r="FJ188" s="357"/>
      <c r="FK188" s="357"/>
      <c r="FL188" s="357"/>
      <c r="FM188" s="357"/>
      <c r="FN188" s="357"/>
      <c r="FO188" s="357"/>
      <c r="FP188" s="357"/>
      <c r="FQ188" s="357"/>
      <c r="FR188" s="357"/>
      <c r="FS188" s="357"/>
      <c r="FT188" s="357"/>
      <c r="FU188" s="357"/>
      <c r="FV188" s="357"/>
      <c r="FW188" s="357"/>
      <c r="FX188" s="357"/>
      <c r="FY188" s="357"/>
      <c r="FZ188" s="357"/>
      <c r="GA188" s="357"/>
      <c r="GB188" s="357"/>
      <c r="GC188" s="357"/>
      <c r="GD188" s="357"/>
      <c r="GE188" s="357"/>
      <c r="GF188" s="357"/>
      <c r="GG188" s="357"/>
      <c r="GH188" s="357"/>
      <c r="GI188" s="357"/>
      <c r="GJ188" s="357"/>
      <c r="GK188" s="154"/>
      <c r="GL188" s="154"/>
      <c r="GM188" s="154"/>
      <c r="GN188" s="154"/>
      <c r="GO188" s="154"/>
      <c r="GP188" s="154"/>
      <c r="GQ188" s="154"/>
      <c r="GR188" s="154"/>
      <c r="GS188" s="154"/>
      <c r="GT188" s="154"/>
      <c r="GU188" s="154"/>
      <c r="GV188" s="154"/>
      <c r="GW188" s="154"/>
      <c r="GX188" s="154"/>
    </row>
    <row r="189" spans="7:206">
      <c r="G189" s="154"/>
      <c r="H189" s="154"/>
      <c r="I189" s="154"/>
      <c r="J189" s="154"/>
      <c r="K189" s="154"/>
      <c r="L189" s="154"/>
      <c r="M189" s="154"/>
      <c r="N189" s="154"/>
      <c r="O189" s="154"/>
      <c r="P189" s="154"/>
      <c r="Q189" s="154"/>
      <c r="R189" s="154"/>
      <c r="S189" s="154"/>
      <c r="T189" s="154"/>
      <c r="U189" s="154"/>
      <c r="V189" s="154"/>
      <c r="W189" s="154"/>
      <c r="X189" s="154"/>
      <c r="Y189" s="154"/>
      <c r="Z189" s="357"/>
      <c r="AA189" s="357"/>
      <c r="AB189" s="357"/>
      <c r="AC189" s="357"/>
      <c r="AD189" s="357"/>
      <c r="AE189" s="357"/>
      <c r="AF189" s="357"/>
      <c r="AG189" s="357"/>
      <c r="AH189" s="357"/>
      <c r="AI189" s="357"/>
      <c r="AJ189" s="357"/>
      <c r="AK189" s="357"/>
      <c r="AL189" s="357"/>
      <c r="AM189" s="357"/>
      <c r="AN189" s="357"/>
      <c r="AO189" s="357"/>
      <c r="AP189" s="357"/>
      <c r="AQ189" s="357"/>
      <c r="AR189" s="357"/>
      <c r="AS189" s="357"/>
      <c r="AT189" s="357"/>
      <c r="AU189" s="357"/>
      <c r="AV189" s="357"/>
      <c r="AW189" s="357"/>
      <c r="AX189" s="357"/>
      <c r="AY189" s="357"/>
      <c r="AZ189" s="357"/>
      <c r="BA189" s="357"/>
      <c r="BB189" s="357"/>
      <c r="BC189" s="357"/>
      <c r="BD189" s="357"/>
      <c r="BE189" s="357"/>
      <c r="BF189" s="357"/>
      <c r="BG189" s="357"/>
      <c r="BH189" s="357"/>
      <c r="BI189" s="357"/>
      <c r="BJ189" s="357"/>
      <c r="BK189" s="357"/>
      <c r="BL189" s="357"/>
      <c r="BM189" s="357"/>
      <c r="BN189" s="357"/>
      <c r="BO189" s="357"/>
      <c r="BP189" s="357"/>
      <c r="BQ189" s="357"/>
      <c r="BR189" s="357"/>
      <c r="BS189" s="357"/>
      <c r="BT189" s="357"/>
      <c r="BU189" s="357"/>
      <c r="BV189" s="357"/>
      <c r="BW189" s="357"/>
      <c r="BX189" s="357"/>
      <c r="BY189" s="357"/>
      <c r="BZ189" s="357"/>
      <c r="CA189" s="357"/>
      <c r="CB189" s="357"/>
      <c r="CC189" s="357"/>
      <c r="CD189" s="357"/>
      <c r="CE189" s="357"/>
      <c r="CF189" s="357"/>
      <c r="CG189" s="357"/>
      <c r="CH189" s="357"/>
      <c r="CI189" s="357"/>
      <c r="CJ189" s="357"/>
      <c r="CK189" s="357"/>
      <c r="CL189" s="357"/>
      <c r="CM189" s="357"/>
      <c r="CN189" s="357"/>
      <c r="CO189" s="357"/>
      <c r="CP189" s="357"/>
      <c r="CQ189" s="357"/>
      <c r="CR189" s="357"/>
      <c r="CS189" s="357"/>
      <c r="CT189" s="357"/>
      <c r="CU189" s="357"/>
      <c r="CV189" s="357"/>
      <c r="CW189" s="357"/>
      <c r="CX189" s="357"/>
      <c r="CY189" s="357"/>
      <c r="CZ189" s="357"/>
      <c r="DA189" s="357"/>
      <c r="DB189" s="357"/>
      <c r="DC189" s="357"/>
      <c r="DD189" s="357"/>
      <c r="DE189" s="357"/>
      <c r="DF189" s="357"/>
      <c r="DG189" s="357"/>
      <c r="DH189" s="357"/>
      <c r="DI189" s="357"/>
      <c r="DJ189" s="357"/>
      <c r="DK189" s="357"/>
      <c r="DL189" s="357"/>
      <c r="DM189" s="357"/>
      <c r="DN189" s="357"/>
      <c r="DO189" s="357"/>
      <c r="DP189" s="357"/>
      <c r="DQ189" s="357"/>
      <c r="DR189" s="357"/>
      <c r="DS189" s="357"/>
      <c r="DT189" s="357"/>
      <c r="DU189" s="357"/>
      <c r="DV189" s="357"/>
      <c r="DW189" s="357"/>
      <c r="DX189" s="357"/>
      <c r="DY189" s="357"/>
      <c r="DZ189" s="357"/>
      <c r="EA189" s="357"/>
      <c r="EB189" s="357"/>
      <c r="EC189" s="357"/>
      <c r="ED189" s="357"/>
      <c r="EE189" s="357"/>
      <c r="EF189" s="357"/>
      <c r="EG189" s="357"/>
      <c r="EH189" s="357"/>
      <c r="EI189" s="357"/>
      <c r="EJ189" s="357"/>
      <c r="EK189" s="357"/>
      <c r="EL189" s="357"/>
      <c r="EM189" s="357"/>
      <c r="EN189" s="357"/>
      <c r="EO189" s="357"/>
      <c r="EP189" s="357"/>
      <c r="EQ189" s="357"/>
      <c r="ER189" s="357"/>
      <c r="ES189" s="357"/>
      <c r="ET189" s="357"/>
      <c r="EU189" s="357"/>
      <c r="EV189" s="357"/>
      <c r="EW189" s="357"/>
      <c r="EX189" s="357"/>
      <c r="EY189" s="357"/>
      <c r="EZ189" s="357"/>
      <c r="FA189" s="357"/>
      <c r="FB189" s="357"/>
      <c r="FC189" s="357"/>
      <c r="FD189" s="357"/>
      <c r="FE189" s="357"/>
      <c r="FF189" s="357"/>
      <c r="FG189" s="357"/>
      <c r="FH189" s="357"/>
      <c r="FI189" s="357"/>
      <c r="FJ189" s="357"/>
      <c r="FK189" s="357"/>
      <c r="FL189" s="357"/>
      <c r="FM189" s="357"/>
      <c r="FN189" s="357"/>
      <c r="FO189" s="357"/>
      <c r="FP189" s="357"/>
      <c r="FQ189" s="357"/>
      <c r="FR189" s="357"/>
      <c r="FS189" s="357"/>
      <c r="FT189" s="357"/>
      <c r="FU189" s="357"/>
      <c r="FV189" s="357"/>
      <c r="FW189" s="357"/>
      <c r="FX189" s="357"/>
      <c r="FY189" s="357"/>
      <c r="FZ189" s="357"/>
      <c r="GA189" s="357"/>
      <c r="GB189" s="357"/>
      <c r="GC189" s="357"/>
      <c r="GD189" s="357"/>
      <c r="GE189" s="357"/>
      <c r="GF189" s="357"/>
      <c r="GG189" s="357"/>
      <c r="GH189" s="357"/>
      <c r="GI189" s="357"/>
      <c r="GJ189" s="357"/>
      <c r="GK189" s="154"/>
      <c r="GL189" s="154"/>
      <c r="GM189" s="154"/>
      <c r="GN189" s="154"/>
      <c r="GO189" s="154"/>
      <c r="GP189" s="154"/>
      <c r="GQ189" s="154"/>
      <c r="GR189" s="154"/>
      <c r="GS189" s="154"/>
      <c r="GT189" s="154"/>
      <c r="GU189" s="154"/>
      <c r="GV189" s="154"/>
      <c r="GW189" s="154"/>
      <c r="GX189" s="154"/>
    </row>
    <row r="190" spans="7:206">
      <c r="G190" s="154"/>
      <c r="H190" s="154"/>
      <c r="I190" s="154"/>
      <c r="J190" s="154"/>
      <c r="K190" s="154"/>
      <c r="L190" s="154"/>
      <c r="M190" s="154"/>
      <c r="N190" s="154"/>
      <c r="O190" s="154"/>
      <c r="P190" s="154"/>
      <c r="Q190" s="154"/>
      <c r="R190" s="154"/>
      <c r="S190" s="154"/>
      <c r="T190" s="154"/>
      <c r="U190" s="154"/>
      <c r="V190" s="154"/>
      <c r="W190" s="154"/>
      <c r="X190" s="154"/>
      <c r="Y190" s="154"/>
      <c r="Z190" s="357"/>
      <c r="AA190" s="357"/>
      <c r="AB190" s="357"/>
      <c r="AC190" s="357"/>
      <c r="AD190" s="357"/>
      <c r="AE190" s="357"/>
      <c r="AF190" s="357"/>
      <c r="AG190" s="357"/>
      <c r="AH190" s="357"/>
      <c r="AI190" s="357"/>
      <c r="AJ190" s="357"/>
      <c r="AK190" s="357"/>
      <c r="AL190" s="357"/>
      <c r="AM190" s="357"/>
      <c r="AN190" s="357"/>
      <c r="AO190" s="357"/>
      <c r="AP190" s="357"/>
      <c r="AQ190" s="357"/>
      <c r="AR190" s="357"/>
      <c r="AS190" s="357"/>
      <c r="AT190" s="357"/>
      <c r="AU190" s="357"/>
      <c r="AV190" s="357"/>
      <c r="AW190" s="357"/>
      <c r="AX190" s="357"/>
      <c r="AY190" s="357"/>
      <c r="AZ190" s="357"/>
      <c r="BA190" s="357"/>
      <c r="BB190" s="357"/>
      <c r="BC190" s="357"/>
      <c r="BD190" s="357"/>
      <c r="BE190" s="357"/>
      <c r="BF190" s="357"/>
      <c r="BG190" s="357"/>
      <c r="BH190" s="357"/>
      <c r="BI190" s="357"/>
      <c r="BJ190" s="357"/>
      <c r="BK190" s="357"/>
      <c r="BL190" s="357"/>
      <c r="BM190" s="357"/>
      <c r="BN190" s="357"/>
      <c r="BO190" s="357"/>
      <c r="BP190" s="357"/>
      <c r="BQ190" s="357"/>
      <c r="BR190" s="357"/>
      <c r="BS190" s="357"/>
      <c r="BT190" s="357"/>
      <c r="BU190" s="357"/>
      <c r="BV190" s="357"/>
      <c r="BW190" s="357"/>
      <c r="BX190" s="357"/>
      <c r="BY190" s="357"/>
      <c r="BZ190" s="357"/>
      <c r="CA190" s="357"/>
      <c r="CB190" s="357"/>
      <c r="CC190" s="357"/>
      <c r="CD190" s="357"/>
      <c r="CE190" s="357"/>
      <c r="CF190" s="357"/>
      <c r="CG190" s="357"/>
      <c r="CH190" s="357"/>
      <c r="CI190" s="357"/>
      <c r="CJ190" s="357"/>
      <c r="CK190" s="357"/>
      <c r="CL190" s="357"/>
      <c r="CM190" s="357"/>
      <c r="CN190" s="357"/>
      <c r="CO190" s="357"/>
      <c r="CP190" s="357"/>
      <c r="CQ190" s="357"/>
      <c r="CR190" s="357"/>
      <c r="CS190" s="357"/>
      <c r="CT190" s="357"/>
      <c r="CU190" s="357"/>
      <c r="CV190" s="357"/>
      <c r="CW190" s="357"/>
      <c r="CX190" s="357"/>
      <c r="CY190" s="357"/>
      <c r="CZ190" s="357"/>
      <c r="DA190" s="357"/>
      <c r="DB190" s="357"/>
      <c r="DC190" s="357"/>
      <c r="DD190" s="357"/>
      <c r="DE190" s="357"/>
      <c r="DF190" s="357"/>
      <c r="DG190" s="357"/>
      <c r="DH190" s="357"/>
      <c r="DI190" s="357"/>
      <c r="DJ190" s="357"/>
      <c r="DK190" s="357"/>
      <c r="DL190" s="357"/>
      <c r="DM190" s="357"/>
      <c r="DN190" s="357"/>
      <c r="DO190" s="357"/>
      <c r="DP190" s="357"/>
      <c r="DQ190" s="357"/>
      <c r="DR190" s="357"/>
      <c r="DS190" s="357"/>
      <c r="DT190" s="357"/>
      <c r="DU190" s="357"/>
      <c r="DV190" s="357"/>
      <c r="DW190" s="357"/>
      <c r="DX190" s="357"/>
      <c r="DY190" s="357"/>
      <c r="DZ190" s="357"/>
      <c r="EA190" s="357"/>
      <c r="EB190" s="357"/>
      <c r="EC190" s="357"/>
      <c r="ED190" s="357"/>
      <c r="EE190" s="357"/>
      <c r="EF190" s="357"/>
      <c r="EG190" s="357"/>
      <c r="EH190" s="357"/>
      <c r="EI190" s="357"/>
      <c r="EJ190" s="357"/>
      <c r="EK190" s="357"/>
      <c r="EL190" s="357"/>
      <c r="EM190" s="357"/>
      <c r="EN190" s="357"/>
      <c r="EO190" s="357"/>
      <c r="EP190" s="357"/>
      <c r="EQ190" s="357"/>
      <c r="ER190" s="357"/>
      <c r="ES190" s="357"/>
      <c r="ET190" s="357"/>
      <c r="EU190" s="357"/>
      <c r="EV190" s="357"/>
      <c r="EW190" s="357"/>
      <c r="EX190" s="357"/>
      <c r="EY190" s="357"/>
      <c r="EZ190" s="357"/>
      <c r="FA190" s="357"/>
      <c r="FB190" s="357"/>
      <c r="FC190" s="357"/>
      <c r="FD190" s="357"/>
      <c r="FE190" s="357"/>
      <c r="FF190" s="357"/>
      <c r="FG190" s="357"/>
      <c r="FH190" s="357"/>
      <c r="FI190" s="357"/>
      <c r="FJ190" s="357"/>
      <c r="FK190" s="357"/>
      <c r="FL190" s="357"/>
      <c r="FM190" s="357"/>
      <c r="FN190" s="357"/>
      <c r="FO190" s="357"/>
      <c r="FP190" s="357"/>
      <c r="FQ190" s="357"/>
      <c r="FR190" s="357"/>
      <c r="FS190" s="357"/>
      <c r="FT190" s="357"/>
      <c r="FU190" s="357"/>
      <c r="FV190" s="357"/>
      <c r="FW190" s="357"/>
      <c r="FX190" s="357"/>
      <c r="FY190" s="357"/>
      <c r="FZ190" s="357"/>
      <c r="GA190" s="357"/>
      <c r="GB190" s="357"/>
      <c r="GC190" s="357"/>
      <c r="GD190" s="357"/>
      <c r="GE190" s="357"/>
      <c r="GF190" s="357"/>
      <c r="GG190" s="357"/>
      <c r="GH190" s="357"/>
      <c r="GI190" s="357"/>
      <c r="GJ190" s="357"/>
      <c r="GK190" s="154"/>
      <c r="GL190" s="154"/>
      <c r="GM190" s="154"/>
      <c r="GN190" s="154"/>
      <c r="GO190" s="154"/>
      <c r="GP190" s="154"/>
      <c r="GQ190" s="154"/>
      <c r="GR190" s="154"/>
      <c r="GS190" s="154"/>
      <c r="GT190" s="154"/>
      <c r="GU190" s="154"/>
      <c r="GV190" s="154"/>
      <c r="GW190" s="154"/>
      <c r="GX190" s="154"/>
    </row>
    <row r="191" spans="7:206">
      <c r="G191" s="154"/>
      <c r="H191" s="154"/>
      <c r="I191" s="154"/>
      <c r="J191" s="154"/>
      <c r="K191" s="154"/>
      <c r="L191" s="154"/>
      <c r="M191" s="154"/>
      <c r="N191" s="154"/>
      <c r="O191" s="154"/>
      <c r="P191" s="154"/>
      <c r="Q191" s="154"/>
      <c r="R191" s="154"/>
      <c r="S191" s="154"/>
      <c r="T191" s="154"/>
      <c r="U191" s="154"/>
      <c r="V191" s="154"/>
      <c r="W191" s="154"/>
      <c r="X191" s="154"/>
      <c r="Y191" s="154"/>
      <c r="Z191" s="357"/>
      <c r="AA191" s="357"/>
      <c r="AB191" s="357"/>
      <c r="AC191" s="357"/>
      <c r="AD191" s="357"/>
      <c r="AE191" s="357"/>
      <c r="AF191" s="357"/>
      <c r="AG191" s="357"/>
      <c r="AH191" s="357"/>
      <c r="AI191" s="357"/>
      <c r="AJ191" s="357"/>
      <c r="AK191" s="357"/>
      <c r="AL191" s="357"/>
      <c r="AM191" s="357"/>
      <c r="AN191" s="357"/>
      <c r="AO191" s="357"/>
      <c r="AP191" s="357"/>
      <c r="AQ191" s="357"/>
      <c r="AR191" s="357"/>
      <c r="AS191" s="357"/>
      <c r="AT191" s="357"/>
      <c r="AU191" s="357"/>
      <c r="AV191" s="357"/>
      <c r="AW191" s="357"/>
      <c r="AX191" s="357"/>
      <c r="AY191" s="357"/>
      <c r="AZ191" s="357"/>
      <c r="BA191" s="357"/>
      <c r="BB191" s="357"/>
      <c r="BC191" s="357"/>
      <c r="BD191" s="357"/>
      <c r="BE191" s="357"/>
      <c r="BF191" s="357"/>
      <c r="BG191" s="357"/>
      <c r="BH191" s="357"/>
      <c r="BI191" s="357"/>
      <c r="BJ191" s="357"/>
      <c r="BK191" s="357"/>
      <c r="BL191" s="357"/>
      <c r="BM191" s="357"/>
      <c r="BN191" s="357"/>
      <c r="BO191" s="357"/>
      <c r="BP191" s="357"/>
      <c r="BQ191" s="357"/>
      <c r="BR191" s="357"/>
      <c r="BS191" s="357"/>
      <c r="BT191" s="357"/>
      <c r="BU191" s="357"/>
      <c r="BV191" s="357"/>
      <c r="BW191" s="357"/>
      <c r="BX191" s="357"/>
      <c r="BY191" s="357"/>
      <c r="BZ191" s="357"/>
      <c r="CA191" s="357"/>
      <c r="CB191" s="357"/>
      <c r="CC191" s="357"/>
      <c r="CD191" s="357"/>
      <c r="CE191" s="357"/>
      <c r="CF191" s="357"/>
      <c r="CG191" s="357"/>
      <c r="CH191" s="357"/>
      <c r="CI191" s="357"/>
      <c r="CJ191" s="357"/>
      <c r="CK191" s="357"/>
      <c r="CL191" s="357"/>
      <c r="CM191" s="357"/>
      <c r="CN191" s="357"/>
      <c r="CO191" s="357"/>
      <c r="CP191" s="357"/>
      <c r="CQ191" s="357"/>
      <c r="CR191" s="357"/>
      <c r="CS191" s="357"/>
      <c r="CT191" s="357"/>
      <c r="CU191" s="357"/>
      <c r="CV191" s="357"/>
      <c r="CW191" s="357"/>
      <c r="CX191" s="357"/>
      <c r="CY191" s="357"/>
      <c r="CZ191" s="357"/>
      <c r="DA191" s="357"/>
      <c r="DB191" s="357"/>
      <c r="DC191" s="357"/>
      <c r="DD191" s="357"/>
      <c r="DE191" s="357"/>
      <c r="DF191" s="357"/>
      <c r="DG191" s="357"/>
      <c r="DH191" s="357"/>
      <c r="DI191" s="357"/>
      <c r="DJ191" s="357"/>
      <c r="DK191" s="357"/>
      <c r="DL191" s="357"/>
      <c r="DM191" s="357"/>
      <c r="DN191" s="357"/>
      <c r="DO191" s="357"/>
      <c r="DP191" s="357"/>
      <c r="DQ191" s="357"/>
      <c r="DR191" s="357"/>
      <c r="DS191" s="357"/>
      <c r="DT191" s="357"/>
      <c r="DU191" s="357"/>
      <c r="DV191" s="357"/>
      <c r="DW191" s="357"/>
      <c r="DX191" s="357"/>
      <c r="DY191" s="357"/>
      <c r="DZ191" s="357"/>
      <c r="EA191" s="357"/>
      <c r="EB191" s="357"/>
      <c r="EC191" s="357"/>
      <c r="ED191" s="357"/>
      <c r="EE191" s="357"/>
      <c r="EF191" s="357"/>
      <c r="EG191" s="357"/>
      <c r="EH191" s="357"/>
      <c r="EI191" s="357"/>
      <c r="EJ191" s="357"/>
      <c r="EK191" s="357"/>
      <c r="EL191" s="357"/>
      <c r="EM191" s="357"/>
      <c r="EN191" s="357"/>
      <c r="EO191" s="357"/>
      <c r="EP191" s="357"/>
      <c r="EQ191" s="357"/>
      <c r="ER191" s="357"/>
      <c r="ES191" s="357"/>
      <c r="ET191" s="357"/>
      <c r="EU191" s="357"/>
      <c r="EV191" s="357"/>
      <c r="EW191" s="357"/>
      <c r="EX191" s="357"/>
      <c r="EY191" s="357"/>
      <c r="EZ191" s="357"/>
      <c r="FA191" s="357"/>
      <c r="FB191" s="357"/>
      <c r="FC191" s="357"/>
      <c r="FD191" s="357"/>
      <c r="FE191" s="357"/>
      <c r="FF191" s="357"/>
      <c r="FG191" s="357"/>
      <c r="FH191" s="357"/>
      <c r="FI191" s="357"/>
      <c r="FJ191" s="357"/>
      <c r="FK191" s="357"/>
      <c r="FL191" s="357"/>
      <c r="FM191" s="357"/>
      <c r="FN191" s="357"/>
      <c r="FO191" s="357"/>
      <c r="FP191" s="357"/>
      <c r="FQ191" s="357"/>
      <c r="FR191" s="357"/>
      <c r="FS191" s="357"/>
      <c r="FT191" s="357"/>
      <c r="FU191" s="357"/>
      <c r="FV191" s="357"/>
      <c r="FW191" s="357"/>
      <c r="FX191" s="357"/>
      <c r="FY191" s="357"/>
      <c r="FZ191" s="357"/>
      <c r="GA191" s="357"/>
      <c r="GB191" s="357"/>
      <c r="GC191" s="357"/>
      <c r="GD191" s="357"/>
      <c r="GE191" s="357"/>
      <c r="GF191" s="357"/>
      <c r="GG191" s="357"/>
      <c r="GH191" s="357"/>
      <c r="GI191" s="357"/>
      <c r="GJ191" s="357"/>
      <c r="GK191" s="154"/>
      <c r="GL191" s="154"/>
      <c r="GM191" s="154"/>
      <c r="GN191" s="154"/>
      <c r="GO191" s="154"/>
      <c r="GP191" s="154"/>
      <c r="GQ191" s="154"/>
      <c r="GR191" s="154"/>
      <c r="GS191" s="154"/>
      <c r="GT191" s="154"/>
      <c r="GU191" s="154"/>
      <c r="GV191" s="154"/>
      <c r="GW191" s="154"/>
      <c r="GX191" s="154"/>
    </row>
    <row r="192" spans="7:206">
      <c r="G192" s="154"/>
      <c r="H192" s="154"/>
      <c r="I192" s="154"/>
      <c r="J192" s="154"/>
      <c r="K192" s="154"/>
      <c r="L192" s="154"/>
      <c r="M192" s="154"/>
      <c r="N192" s="154"/>
      <c r="O192" s="154"/>
      <c r="P192" s="154"/>
      <c r="Q192" s="154"/>
      <c r="R192" s="154"/>
      <c r="S192" s="154"/>
      <c r="T192" s="154"/>
      <c r="U192" s="154"/>
      <c r="V192" s="154"/>
      <c r="W192" s="154"/>
      <c r="X192" s="154"/>
      <c r="Y192" s="154"/>
      <c r="Z192" s="357"/>
      <c r="AA192" s="357"/>
      <c r="AB192" s="357"/>
      <c r="AC192" s="357"/>
      <c r="AD192" s="357"/>
      <c r="AE192" s="357"/>
      <c r="AF192" s="357"/>
      <c r="AG192" s="357"/>
      <c r="AH192" s="357"/>
      <c r="AI192" s="357"/>
      <c r="AJ192" s="357"/>
      <c r="AK192" s="357"/>
      <c r="AL192" s="357"/>
      <c r="AM192" s="357"/>
      <c r="AN192" s="357"/>
      <c r="AO192" s="357"/>
      <c r="AP192" s="357"/>
      <c r="AQ192" s="357"/>
      <c r="AR192" s="357"/>
      <c r="AS192" s="357"/>
      <c r="AT192" s="357"/>
      <c r="AU192" s="357"/>
      <c r="AV192" s="357"/>
      <c r="AW192" s="357"/>
      <c r="AX192" s="357"/>
      <c r="AY192" s="357"/>
      <c r="AZ192" s="357"/>
      <c r="BA192" s="357"/>
      <c r="BB192" s="357"/>
      <c r="BC192" s="357"/>
      <c r="BD192" s="357"/>
      <c r="BE192" s="357"/>
      <c r="BF192" s="357"/>
      <c r="BG192" s="357"/>
      <c r="BH192" s="357"/>
      <c r="BI192" s="357"/>
      <c r="BJ192" s="357"/>
      <c r="BK192" s="357"/>
      <c r="BL192" s="357"/>
      <c r="BM192" s="357"/>
      <c r="BN192" s="357"/>
      <c r="BO192" s="357"/>
      <c r="BP192" s="357"/>
      <c r="BQ192" s="357"/>
      <c r="BR192" s="357"/>
      <c r="BS192" s="357"/>
      <c r="BT192" s="357"/>
      <c r="BU192" s="357"/>
      <c r="BV192" s="357"/>
      <c r="BW192" s="357"/>
      <c r="BX192" s="357"/>
      <c r="BY192" s="357"/>
      <c r="BZ192" s="357"/>
      <c r="CA192" s="357"/>
      <c r="CB192" s="357"/>
      <c r="CC192" s="357"/>
      <c r="CD192" s="357"/>
      <c r="CE192" s="357"/>
      <c r="CF192" s="357"/>
      <c r="CG192" s="357"/>
      <c r="CH192" s="357"/>
      <c r="CI192" s="357"/>
      <c r="CJ192" s="357"/>
      <c r="CK192" s="357"/>
      <c r="CL192" s="357"/>
      <c r="CM192" s="357"/>
      <c r="CN192" s="357"/>
      <c r="CO192" s="357"/>
      <c r="CP192" s="357"/>
      <c r="CQ192" s="357"/>
      <c r="CR192" s="357"/>
      <c r="CS192" s="357"/>
      <c r="CT192" s="357"/>
      <c r="CU192" s="357"/>
      <c r="CV192" s="357"/>
      <c r="CW192" s="357"/>
      <c r="CX192" s="357"/>
      <c r="CY192" s="357"/>
      <c r="CZ192" s="357"/>
      <c r="DA192" s="357"/>
      <c r="DB192" s="357"/>
      <c r="DC192" s="357"/>
      <c r="DD192" s="357"/>
      <c r="DE192" s="357"/>
      <c r="DF192" s="357"/>
      <c r="DG192" s="357"/>
      <c r="DH192" s="357"/>
      <c r="DI192" s="357"/>
      <c r="DJ192" s="357"/>
      <c r="DK192" s="357"/>
      <c r="DL192" s="357"/>
      <c r="DM192" s="357"/>
      <c r="DN192" s="357"/>
      <c r="DO192" s="357"/>
      <c r="DP192" s="357"/>
      <c r="DQ192" s="357"/>
      <c r="DR192" s="357"/>
      <c r="DS192" s="357"/>
      <c r="DT192" s="357"/>
      <c r="DU192" s="357"/>
      <c r="DV192" s="357"/>
      <c r="DW192" s="357"/>
      <c r="DX192" s="357"/>
      <c r="DY192" s="357"/>
      <c r="DZ192" s="357"/>
      <c r="EA192" s="357"/>
      <c r="EB192" s="357"/>
      <c r="EC192" s="357"/>
      <c r="ED192" s="357"/>
      <c r="EE192" s="357"/>
      <c r="EF192" s="357"/>
      <c r="EG192" s="357"/>
      <c r="EH192" s="357"/>
      <c r="EI192" s="357"/>
      <c r="EJ192" s="357"/>
      <c r="EK192" s="357"/>
      <c r="EL192" s="357"/>
      <c r="EM192" s="357"/>
      <c r="EN192" s="357"/>
      <c r="EO192" s="357"/>
      <c r="EP192" s="357"/>
      <c r="EQ192" s="357"/>
      <c r="ER192" s="357"/>
      <c r="ES192" s="357"/>
      <c r="ET192" s="357"/>
      <c r="EU192" s="357"/>
      <c r="EV192" s="357"/>
      <c r="EW192" s="357"/>
      <c r="EX192" s="357"/>
      <c r="EY192" s="357"/>
      <c r="EZ192" s="357"/>
      <c r="FA192" s="357"/>
      <c r="FB192" s="357"/>
      <c r="FC192" s="357"/>
      <c r="FD192" s="357"/>
      <c r="FE192" s="357"/>
      <c r="FF192" s="357"/>
      <c r="FG192" s="357"/>
      <c r="FH192" s="357"/>
      <c r="FI192" s="357"/>
      <c r="FJ192" s="357"/>
      <c r="FK192" s="357"/>
      <c r="FL192" s="357"/>
      <c r="FM192" s="357"/>
      <c r="FN192" s="357"/>
      <c r="FO192" s="357"/>
      <c r="FP192" s="357"/>
      <c r="FQ192" s="357"/>
      <c r="FR192" s="357"/>
      <c r="FS192" s="357"/>
      <c r="FT192" s="357"/>
      <c r="FU192" s="357"/>
      <c r="FV192" s="357"/>
      <c r="FW192" s="357"/>
      <c r="FX192" s="357"/>
      <c r="FY192" s="357"/>
      <c r="FZ192" s="357"/>
      <c r="GA192" s="357"/>
      <c r="GB192" s="357"/>
      <c r="GC192" s="357"/>
      <c r="GD192" s="357"/>
      <c r="GE192" s="357"/>
      <c r="GF192" s="357"/>
      <c r="GG192" s="357"/>
      <c r="GH192" s="357"/>
      <c r="GI192" s="357"/>
      <c r="GJ192" s="357"/>
      <c r="GK192" s="154"/>
      <c r="GL192" s="154"/>
      <c r="GM192" s="154"/>
      <c r="GN192" s="154"/>
      <c r="GO192" s="154"/>
      <c r="GP192" s="154"/>
      <c r="GQ192" s="154"/>
      <c r="GR192" s="154"/>
      <c r="GS192" s="154"/>
      <c r="GT192" s="154"/>
      <c r="GU192" s="154"/>
      <c r="GV192" s="154"/>
      <c r="GW192" s="154"/>
      <c r="GX192" s="154"/>
    </row>
    <row r="193" spans="7:206">
      <c r="G193" s="154"/>
      <c r="H193" s="154"/>
      <c r="I193" s="154"/>
      <c r="J193" s="154"/>
      <c r="K193" s="154"/>
      <c r="L193" s="154"/>
      <c r="M193" s="154"/>
      <c r="N193" s="154"/>
      <c r="O193" s="154"/>
      <c r="P193" s="154"/>
      <c r="Q193" s="154"/>
      <c r="R193" s="154"/>
      <c r="S193" s="154"/>
      <c r="T193" s="154"/>
      <c r="U193" s="154"/>
      <c r="V193" s="154"/>
      <c r="W193" s="154"/>
      <c r="X193" s="154"/>
      <c r="Y193" s="154"/>
      <c r="Z193" s="357"/>
      <c r="AA193" s="357"/>
      <c r="AB193" s="357"/>
      <c r="AC193" s="357"/>
      <c r="AD193" s="357"/>
      <c r="AE193" s="357"/>
      <c r="AF193" s="357"/>
      <c r="AG193" s="357"/>
      <c r="AH193" s="357"/>
      <c r="AI193" s="357"/>
      <c r="AJ193" s="357"/>
      <c r="AK193" s="357"/>
      <c r="AL193" s="357"/>
      <c r="AM193" s="357"/>
      <c r="AN193" s="357"/>
      <c r="AO193" s="357"/>
      <c r="AP193" s="357"/>
      <c r="AQ193" s="357"/>
      <c r="AR193" s="357"/>
      <c r="AS193" s="357"/>
      <c r="AT193" s="357"/>
      <c r="AU193" s="357"/>
      <c r="AV193" s="357"/>
      <c r="AW193" s="357"/>
      <c r="AX193" s="357"/>
      <c r="AY193" s="357"/>
      <c r="AZ193" s="357"/>
      <c r="BA193" s="357"/>
      <c r="BB193" s="357"/>
      <c r="BC193" s="357"/>
      <c r="BD193" s="357"/>
      <c r="BE193" s="357"/>
      <c r="BF193" s="357"/>
      <c r="BG193" s="357"/>
      <c r="BH193" s="357"/>
      <c r="BI193" s="357"/>
      <c r="BJ193" s="357"/>
      <c r="BK193" s="357"/>
      <c r="BL193" s="357"/>
      <c r="BM193" s="357"/>
      <c r="BN193" s="357"/>
      <c r="BO193" s="357"/>
      <c r="BP193" s="357"/>
      <c r="BQ193" s="357"/>
      <c r="BR193" s="357"/>
      <c r="BS193" s="357"/>
      <c r="BT193" s="357"/>
      <c r="BU193" s="357"/>
      <c r="BV193" s="357"/>
      <c r="BW193" s="357"/>
      <c r="BX193" s="357"/>
      <c r="BY193" s="357"/>
      <c r="BZ193" s="357"/>
      <c r="CA193" s="357"/>
      <c r="CB193" s="357"/>
      <c r="CC193" s="357"/>
      <c r="CD193" s="357"/>
      <c r="CE193" s="357"/>
      <c r="CF193" s="357"/>
      <c r="CG193" s="357"/>
      <c r="CH193" s="357"/>
      <c r="CI193" s="357"/>
      <c r="CJ193" s="357"/>
      <c r="CK193" s="357"/>
      <c r="CL193" s="357"/>
      <c r="CM193" s="357"/>
      <c r="CN193" s="357"/>
      <c r="CO193" s="357"/>
      <c r="CP193" s="357"/>
      <c r="CQ193" s="357"/>
      <c r="CR193" s="357"/>
      <c r="CS193" s="357"/>
      <c r="CT193" s="357"/>
      <c r="CU193" s="357"/>
      <c r="CV193" s="357"/>
      <c r="CW193" s="357"/>
      <c r="CX193" s="357"/>
      <c r="CY193" s="357"/>
      <c r="CZ193" s="357"/>
      <c r="DA193" s="357"/>
      <c r="DB193" s="357"/>
      <c r="DC193" s="357"/>
      <c r="DD193" s="357"/>
      <c r="DE193" s="357"/>
      <c r="DF193" s="357"/>
      <c r="DG193" s="357"/>
      <c r="DH193" s="357"/>
      <c r="DI193" s="357"/>
      <c r="DJ193" s="357"/>
      <c r="DK193" s="357"/>
      <c r="DL193" s="357"/>
      <c r="DM193" s="357"/>
      <c r="DN193" s="357"/>
      <c r="DO193" s="357"/>
      <c r="DP193" s="357"/>
      <c r="DQ193" s="357"/>
      <c r="DR193" s="357"/>
      <c r="DS193" s="357"/>
      <c r="DT193" s="357"/>
      <c r="DU193" s="357"/>
      <c r="DV193" s="357"/>
      <c r="DW193" s="357"/>
      <c r="DX193" s="357"/>
      <c r="DY193" s="357"/>
      <c r="DZ193" s="357"/>
      <c r="EA193" s="357"/>
      <c r="EB193" s="357"/>
      <c r="EC193" s="357"/>
      <c r="ED193" s="357"/>
      <c r="EE193" s="357"/>
      <c r="EF193" s="357"/>
      <c r="EG193" s="357"/>
      <c r="EH193" s="357"/>
      <c r="EI193" s="357"/>
      <c r="EJ193" s="357"/>
      <c r="EK193" s="357"/>
      <c r="EL193" s="357"/>
      <c r="EM193" s="357"/>
      <c r="EN193" s="357"/>
      <c r="EO193" s="357"/>
      <c r="EP193" s="357"/>
      <c r="EQ193" s="357"/>
      <c r="ER193" s="357"/>
      <c r="ES193" s="357"/>
      <c r="ET193" s="357"/>
      <c r="EU193" s="357"/>
      <c r="EV193" s="357"/>
      <c r="EW193" s="357"/>
      <c r="EX193" s="357"/>
      <c r="EY193" s="357"/>
      <c r="EZ193" s="357"/>
      <c r="FA193" s="357"/>
      <c r="FB193" s="357"/>
      <c r="FC193" s="357"/>
      <c r="FD193" s="357"/>
      <c r="FE193" s="357"/>
      <c r="FF193" s="357"/>
      <c r="FG193" s="357"/>
      <c r="FH193" s="357"/>
      <c r="FI193" s="357"/>
      <c r="FJ193" s="357"/>
      <c r="FK193" s="357"/>
      <c r="FL193" s="357"/>
      <c r="FM193" s="357"/>
      <c r="FN193" s="357"/>
      <c r="FO193" s="357"/>
      <c r="FP193" s="357"/>
      <c r="FQ193" s="357"/>
      <c r="FR193" s="357"/>
      <c r="FS193" s="357"/>
      <c r="FT193" s="357"/>
      <c r="FU193" s="357"/>
      <c r="FV193" s="357"/>
      <c r="FW193" s="357"/>
      <c r="FX193" s="357"/>
      <c r="FY193" s="357"/>
      <c r="FZ193" s="357"/>
      <c r="GA193" s="357"/>
      <c r="GB193" s="357"/>
      <c r="GC193" s="357"/>
      <c r="GD193" s="357"/>
      <c r="GE193" s="357"/>
      <c r="GF193" s="357"/>
      <c r="GG193" s="357"/>
      <c r="GH193" s="357"/>
      <c r="GI193" s="357"/>
      <c r="GJ193" s="357"/>
      <c r="GK193" s="154"/>
      <c r="GL193" s="154"/>
      <c r="GM193" s="154"/>
      <c r="GN193" s="154"/>
      <c r="GO193" s="154"/>
      <c r="GP193" s="154"/>
      <c r="GQ193" s="154"/>
      <c r="GR193" s="154"/>
      <c r="GS193" s="154"/>
      <c r="GT193" s="154"/>
      <c r="GU193" s="154"/>
      <c r="GV193" s="154"/>
      <c r="GW193" s="154"/>
      <c r="GX193" s="154"/>
    </row>
    <row r="194" spans="7:206">
      <c r="G194" s="154"/>
      <c r="H194" s="154"/>
      <c r="I194" s="154"/>
      <c r="J194" s="154"/>
      <c r="K194" s="154"/>
      <c r="L194" s="154"/>
      <c r="M194" s="154"/>
      <c r="N194" s="154"/>
      <c r="O194" s="154"/>
      <c r="P194" s="154"/>
      <c r="Q194" s="154"/>
      <c r="R194" s="154"/>
      <c r="S194" s="154"/>
      <c r="T194" s="154"/>
      <c r="U194" s="154"/>
      <c r="V194" s="154"/>
      <c r="W194" s="154"/>
      <c r="X194" s="154"/>
      <c r="Y194" s="154"/>
      <c r="Z194" s="357"/>
      <c r="AA194" s="357"/>
      <c r="AB194" s="357"/>
      <c r="AC194" s="357"/>
      <c r="AD194" s="357"/>
      <c r="AE194" s="357"/>
      <c r="AF194" s="357"/>
      <c r="AG194" s="357"/>
      <c r="AH194" s="357"/>
      <c r="AI194" s="357"/>
      <c r="AJ194" s="357"/>
      <c r="AK194" s="357"/>
      <c r="AL194" s="357"/>
      <c r="AM194" s="357"/>
      <c r="AN194" s="357"/>
      <c r="AO194" s="357"/>
      <c r="AP194" s="357"/>
      <c r="AQ194" s="357"/>
      <c r="AR194" s="357"/>
      <c r="AS194" s="357"/>
      <c r="AT194" s="357"/>
      <c r="AU194" s="357"/>
      <c r="AV194" s="357"/>
      <c r="AW194" s="357"/>
      <c r="AX194" s="357"/>
      <c r="AY194" s="357"/>
      <c r="AZ194" s="357"/>
      <c r="BA194" s="357"/>
      <c r="BB194" s="357"/>
      <c r="BC194" s="357"/>
      <c r="BD194" s="357"/>
      <c r="BE194" s="357"/>
      <c r="BF194" s="357"/>
      <c r="BG194" s="357"/>
      <c r="BH194" s="357"/>
      <c r="BI194" s="357"/>
      <c r="BJ194" s="357"/>
      <c r="BK194" s="357"/>
      <c r="BL194" s="357"/>
      <c r="BM194" s="357"/>
      <c r="BN194" s="357"/>
      <c r="BO194" s="357"/>
      <c r="BP194" s="357"/>
      <c r="BQ194" s="357"/>
      <c r="BR194" s="357"/>
      <c r="BS194" s="357"/>
      <c r="BT194" s="357"/>
      <c r="BU194" s="357"/>
      <c r="BV194" s="357"/>
      <c r="BW194" s="357"/>
      <c r="BX194" s="357"/>
      <c r="BY194" s="357"/>
      <c r="BZ194" s="357"/>
      <c r="CA194" s="357"/>
      <c r="CB194" s="357"/>
      <c r="CC194" s="357"/>
      <c r="CD194" s="357"/>
      <c r="CE194" s="357"/>
      <c r="CF194" s="357"/>
      <c r="CG194" s="357"/>
      <c r="CH194" s="357"/>
      <c r="CI194" s="357"/>
      <c r="CJ194" s="357"/>
      <c r="CK194" s="357"/>
      <c r="CL194" s="357"/>
      <c r="CM194" s="357"/>
      <c r="CN194" s="357"/>
      <c r="CO194" s="357"/>
      <c r="CP194" s="357"/>
      <c r="CQ194" s="357"/>
      <c r="CR194" s="357"/>
      <c r="CS194" s="357"/>
      <c r="CT194" s="357"/>
      <c r="CU194" s="357"/>
      <c r="CV194" s="357"/>
      <c r="CW194" s="357"/>
      <c r="CX194" s="357"/>
      <c r="CY194" s="357"/>
      <c r="CZ194" s="357"/>
      <c r="DA194" s="357"/>
      <c r="DB194" s="357"/>
      <c r="DC194" s="357"/>
      <c r="DD194" s="357"/>
      <c r="DE194" s="357"/>
      <c r="DF194" s="357"/>
      <c r="DG194" s="357"/>
      <c r="DH194" s="357"/>
      <c r="DI194" s="357"/>
      <c r="DJ194" s="357"/>
      <c r="DK194" s="357"/>
      <c r="DL194" s="357"/>
      <c r="DM194" s="357"/>
      <c r="DN194" s="357"/>
      <c r="DO194" s="357"/>
      <c r="DP194" s="357"/>
      <c r="DQ194" s="357"/>
      <c r="DR194" s="357"/>
      <c r="DS194" s="357"/>
      <c r="DT194" s="357"/>
      <c r="DU194" s="357"/>
      <c r="DV194" s="357"/>
      <c r="DW194" s="357"/>
      <c r="DX194" s="357"/>
      <c r="DY194" s="357"/>
      <c r="DZ194" s="357"/>
      <c r="EA194" s="357"/>
      <c r="EB194" s="357"/>
      <c r="EC194" s="357"/>
      <c r="ED194" s="357"/>
      <c r="EE194" s="357"/>
      <c r="EF194" s="357"/>
      <c r="EG194" s="357"/>
      <c r="EH194" s="357"/>
      <c r="EI194" s="357"/>
      <c r="EJ194" s="357"/>
      <c r="EK194" s="357"/>
      <c r="EL194" s="357"/>
      <c r="EM194" s="357"/>
      <c r="EN194" s="357"/>
      <c r="EO194" s="357"/>
      <c r="EP194" s="357"/>
      <c r="EQ194" s="357"/>
      <c r="ER194" s="357"/>
      <c r="ES194" s="357"/>
      <c r="ET194" s="357"/>
      <c r="EU194" s="357"/>
      <c r="EV194" s="357"/>
      <c r="EW194" s="357"/>
      <c r="EX194" s="357"/>
      <c r="EY194" s="357"/>
      <c r="EZ194" s="357"/>
      <c r="FA194" s="357"/>
      <c r="FB194" s="357"/>
      <c r="FC194" s="357"/>
      <c r="FD194" s="357"/>
      <c r="FE194" s="357"/>
      <c r="FF194" s="357"/>
      <c r="FG194" s="357"/>
      <c r="FH194" s="357"/>
      <c r="FI194" s="357"/>
      <c r="FJ194" s="357"/>
      <c r="FK194" s="357"/>
      <c r="FL194" s="357"/>
      <c r="FM194" s="357"/>
      <c r="FN194" s="357"/>
      <c r="FO194" s="357"/>
      <c r="FP194" s="357"/>
      <c r="FQ194" s="357"/>
      <c r="FR194" s="357"/>
      <c r="FS194" s="357"/>
      <c r="FT194" s="357"/>
      <c r="FU194" s="357"/>
      <c r="FV194" s="357"/>
      <c r="FW194" s="357"/>
      <c r="FX194" s="357"/>
      <c r="FY194" s="357"/>
      <c r="FZ194" s="357"/>
      <c r="GA194" s="357"/>
      <c r="GB194" s="357"/>
      <c r="GC194" s="357"/>
      <c r="GD194" s="357"/>
      <c r="GE194" s="357"/>
      <c r="GF194" s="357"/>
      <c r="GG194" s="357"/>
      <c r="GH194" s="357"/>
      <c r="GI194" s="357"/>
      <c r="GJ194" s="357"/>
      <c r="GK194" s="154"/>
      <c r="GL194" s="154"/>
      <c r="GM194" s="154"/>
      <c r="GN194" s="154"/>
      <c r="GO194" s="154"/>
      <c r="GP194" s="154"/>
      <c r="GQ194" s="154"/>
      <c r="GR194" s="154"/>
      <c r="GS194" s="154"/>
      <c r="GT194" s="154"/>
      <c r="GU194" s="154"/>
      <c r="GV194" s="154"/>
      <c r="GW194" s="154"/>
      <c r="GX194" s="154"/>
    </row>
    <row r="195" spans="7:206">
      <c r="G195" s="154"/>
      <c r="H195" s="154"/>
      <c r="I195" s="154"/>
      <c r="J195" s="154"/>
      <c r="K195" s="154"/>
      <c r="L195" s="154"/>
      <c r="M195" s="154"/>
      <c r="N195" s="154"/>
      <c r="O195" s="154"/>
      <c r="P195" s="154"/>
      <c r="Q195" s="154"/>
      <c r="R195" s="154"/>
      <c r="S195" s="154"/>
      <c r="T195" s="154"/>
      <c r="U195" s="154"/>
      <c r="V195" s="154"/>
      <c r="W195" s="154"/>
      <c r="X195" s="154"/>
      <c r="Y195" s="154"/>
      <c r="Z195" s="357"/>
      <c r="AA195" s="357"/>
      <c r="AB195" s="357"/>
      <c r="AC195" s="357"/>
      <c r="AD195" s="357"/>
      <c r="AE195" s="357"/>
      <c r="AF195" s="357"/>
      <c r="AG195" s="357"/>
      <c r="AH195" s="357"/>
      <c r="AI195" s="357"/>
      <c r="AJ195" s="357"/>
      <c r="AK195" s="357"/>
      <c r="AL195" s="357"/>
      <c r="AM195" s="357"/>
      <c r="AN195" s="357"/>
      <c r="AO195" s="357"/>
      <c r="AP195" s="357"/>
      <c r="AQ195" s="357"/>
      <c r="AR195" s="357"/>
      <c r="AS195" s="357"/>
      <c r="AT195" s="357"/>
      <c r="AU195" s="357"/>
      <c r="AV195" s="357"/>
      <c r="AW195" s="357"/>
      <c r="AX195" s="357"/>
      <c r="AY195" s="357"/>
      <c r="AZ195" s="357"/>
      <c r="BA195" s="357"/>
      <c r="BB195" s="357"/>
      <c r="BC195" s="357"/>
      <c r="BD195" s="357"/>
      <c r="BE195" s="357"/>
      <c r="BF195" s="357"/>
      <c r="BG195" s="357"/>
      <c r="BH195" s="357"/>
      <c r="BI195" s="357"/>
      <c r="BJ195" s="357"/>
      <c r="BK195" s="357"/>
      <c r="BL195" s="357"/>
      <c r="BM195" s="357"/>
      <c r="BN195" s="357"/>
      <c r="BO195" s="357"/>
      <c r="BP195" s="357"/>
      <c r="BQ195" s="357"/>
      <c r="BR195" s="357"/>
      <c r="BS195" s="357"/>
      <c r="BT195" s="357"/>
      <c r="BU195" s="357"/>
      <c r="BV195" s="357"/>
      <c r="BW195" s="357"/>
      <c r="BX195" s="357"/>
      <c r="BY195" s="357"/>
      <c r="BZ195" s="357"/>
      <c r="CA195" s="357"/>
      <c r="CB195" s="357"/>
      <c r="CC195" s="357"/>
      <c r="CD195" s="357"/>
      <c r="CE195" s="357"/>
      <c r="CF195" s="357"/>
      <c r="CG195" s="357"/>
      <c r="CH195" s="357"/>
      <c r="CI195" s="357"/>
      <c r="CJ195" s="357"/>
      <c r="CK195" s="357"/>
      <c r="CL195" s="357"/>
      <c r="CM195" s="357"/>
      <c r="CN195" s="357"/>
      <c r="CO195" s="357"/>
      <c r="CP195" s="357"/>
      <c r="CQ195" s="357"/>
      <c r="CR195" s="357"/>
      <c r="CS195" s="357"/>
      <c r="CT195" s="357"/>
      <c r="CU195" s="357"/>
      <c r="CV195" s="357"/>
      <c r="CW195" s="357"/>
      <c r="CX195" s="357"/>
      <c r="CY195" s="357"/>
      <c r="CZ195" s="357"/>
      <c r="DA195" s="357"/>
      <c r="DB195" s="357"/>
      <c r="DC195" s="357"/>
      <c r="DD195" s="357"/>
      <c r="DE195" s="357"/>
      <c r="DF195" s="357"/>
      <c r="DG195" s="357"/>
      <c r="DH195" s="357"/>
      <c r="DI195" s="357"/>
      <c r="DJ195" s="357"/>
      <c r="DK195" s="357"/>
      <c r="DL195" s="357"/>
      <c r="DM195" s="357"/>
      <c r="DN195" s="357"/>
      <c r="DO195" s="357"/>
      <c r="DP195" s="357"/>
      <c r="DQ195" s="357"/>
      <c r="DR195" s="357"/>
      <c r="DS195" s="357"/>
      <c r="DT195" s="357"/>
      <c r="DU195" s="357"/>
      <c r="DV195" s="357"/>
      <c r="DW195" s="357"/>
      <c r="DX195" s="357"/>
      <c r="DY195" s="357"/>
      <c r="DZ195" s="357"/>
      <c r="EA195" s="357"/>
      <c r="EB195" s="357"/>
      <c r="EC195" s="357"/>
      <c r="ED195" s="357"/>
      <c r="EE195" s="357"/>
      <c r="EF195" s="357"/>
      <c r="EG195" s="357"/>
      <c r="EH195" s="357"/>
      <c r="EI195" s="357"/>
      <c r="EJ195" s="357"/>
      <c r="EK195" s="357"/>
      <c r="EL195" s="357"/>
      <c r="EM195" s="357"/>
      <c r="EN195" s="357"/>
      <c r="EO195" s="357"/>
      <c r="EP195" s="357"/>
      <c r="EQ195" s="357"/>
      <c r="ER195" s="357"/>
      <c r="ES195" s="357"/>
      <c r="ET195" s="357"/>
      <c r="EU195" s="357"/>
      <c r="EV195" s="357"/>
      <c r="EW195" s="357"/>
      <c r="EX195" s="357"/>
      <c r="EY195" s="357"/>
      <c r="EZ195" s="357"/>
      <c r="FA195" s="357"/>
      <c r="FB195" s="357"/>
      <c r="FC195" s="357"/>
      <c r="FD195" s="357"/>
      <c r="FE195" s="357"/>
      <c r="FF195" s="357"/>
      <c r="FG195" s="357"/>
      <c r="FH195" s="357"/>
      <c r="FI195" s="357"/>
      <c r="FJ195" s="357"/>
      <c r="FK195" s="357"/>
      <c r="FL195" s="357"/>
      <c r="FM195" s="357"/>
      <c r="FN195" s="357"/>
      <c r="FO195" s="357"/>
      <c r="FP195" s="357"/>
      <c r="FQ195" s="357"/>
      <c r="FR195" s="357"/>
      <c r="FS195" s="357"/>
      <c r="FT195" s="357"/>
      <c r="FU195" s="357"/>
      <c r="FV195" s="357"/>
      <c r="FW195" s="357"/>
      <c r="FX195" s="357"/>
      <c r="FY195" s="357"/>
      <c r="FZ195" s="357"/>
      <c r="GA195" s="357"/>
      <c r="GB195" s="357"/>
      <c r="GC195" s="357"/>
      <c r="GD195" s="357"/>
      <c r="GE195" s="357"/>
      <c r="GF195" s="357"/>
      <c r="GG195" s="357"/>
      <c r="GH195" s="357"/>
      <c r="GI195" s="357"/>
      <c r="GJ195" s="357"/>
      <c r="GK195" s="154"/>
      <c r="GL195" s="154"/>
      <c r="GM195" s="154"/>
      <c r="GN195" s="154"/>
      <c r="GO195" s="154"/>
      <c r="GP195" s="154"/>
      <c r="GQ195" s="154"/>
      <c r="GR195" s="154"/>
      <c r="GS195" s="154"/>
      <c r="GT195" s="154"/>
      <c r="GU195" s="154"/>
      <c r="GV195" s="154"/>
      <c r="GW195" s="154"/>
      <c r="GX195" s="154"/>
    </row>
    <row r="196" spans="7:206">
      <c r="G196" s="154"/>
      <c r="H196" s="154"/>
      <c r="I196" s="154"/>
      <c r="J196" s="154"/>
      <c r="K196" s="154"/>
      <c r="L196" s="154"/>
      <c r="M196" s="154"/>
      <c r="N196" s="154"/>
      <c r="O196" s="154"/>
      <c r="P196" s="154"/>
      <c r="Q196" s="154"/>
      <c r="R196" s="154"/>
      <c r="S196" s="154"/>
      <c r="T196" s="154"/>
      <c r="U196" s="154"/>
      <c r="V196" s="154"/>
      <c r="W196" s="154"/>
      <c r="X196" s="154"/>
      <c r="Y196" s="154"/>
      <c r="Z196" s="357"/>
      <c r="AA196" s="357"/>
      <c r="AB196" s="357"/>
      <c r="AC196" s="357"/>
      <c r="AD196" s="357"/>
      <c r="AE196" s="357"/>
      <c r="AF196" s="357"/>
      <c r="AG196" s="357"/>
      <c r="AH196" s="357"/>
      <c r="AI196" s="357"/>
      <c r="AJ196" s="357"/>
      <c r="AK196" s="357"/>
      <c r="AL196" s="357"/>
      <c r="AM196" s="357"/>
      <c r="AN196" s="357"/>
      <c r="AO196" s="357"/>
      <c r="AP196" s="357"/>
      <c r="AQ196" s="357"/>
      <c r="AR196" s="357"/>
      <c r="AS196" s="357"/>
      <c r="AT196" s="357"/>
      <c r="AU196" s="357"/>
      <c r="AV196" s="357"/>
      <c r="AW196" s="357"/>
      <c r="AX196" s="357"/>
      <c r="AY196" s="357"/>
      <c r="AZ196" s="357"/>
      <c r="BA196" s="357"/>
      <c r="BB196" s="357"/>
      <c r="BC196" s="357"/>
      <c r="BD196" s="357"/>
      <c r="BE196" s="357"/>
      <c r="BF196" s="357"/>
      <c r="BG196" s="357"/>
      <c r="BH196" s="357"/>
      <c r="BI196" s="357"/>
      <c r="BJ196" s="357"/>
      <c r="BK196" s="357"/>
      <c r="BL196" s="357"/>
      <c r="BM196" s="357"/>
      <c r="BN196" s="357"/>
      <c r="BO196" s="357"/>
      <c r="BP196" s="357"/>
      <c r="BQ196" s="357"/>
      <c r="BR196" s="357"/>
      <c r="BS196" s="357"/>
      <c r="BT196" s="357"/>
      <c r="BU196" s="357"/>
      <c r="BV196" s="357"/>
      <c r="BW196" s="357"/>
      <c r="BX196" s="357"/>
      <c r="BY196" s="357"/>
      <c r="BZ196" s="357"/>
      <c r="CA196" s="357"/>
      <c r="CB196" s="357"/>
      <c r="CC196" s="357"/>
      <c r="CD196" s="357"/>
      <c r="CE196" s="357"/>
      <c r="CF196" s="357"/>
      <c r="CG196" s="357"/>
      <c r="CH196" s="357"/>
      <c r="CI196" s="357"/>
      <c r="CJ196" s="357"/>
      <c r="CK196" s="357"/>
      <c r="CL196" s="357"/>
      <c r="CM196" s="357"/>
      <c r="CN196" s="357"/>
      <c r="CO196" s="357"/>
      <c r="CP196" s="357"/>
      <c r="CQ196" s="357"/>
      <c r="CR196" s="357"/>
      <c r="CS196" s="357"/>
      <c r="CT196" s="357"/>
      <c r="CU196" s="357"/>
      <c r="CV196" s="357"/>
      <c r="CW196" s="357"/>
      <c r="CX196" s="357"/>
      <c r="CY196" s="357"/>
      <c r="CZ196" s="357"/>
      <c r="DA196" s="357"/>
      <c r="DB196" s="357"/>
      <c r="DC196" s="357"/>
      <c r="DD196" s="357"/>
      <c r="DE196" s="357"/>
      <c r="DF196" s="357"/>
      <c r="DG196" s="357"/>
      <c r="DH196" s="357"/>
      <c r="DI196" s="357"/>
      <c r="DJ196" s="357"/>
      <c r="DK196" s="357"/>
      <c r="DL196" s="357"/>
      <c r="DM196" s="357"/>
      <c r="DN196" s="357"/>
      <c r="DO196" s="357"/>
      <c r="DP196" s="357"/>
      <c r="DQ196" s="357"/>
      <c r="DR196" s="357"/>
      <c r="DS196" s="357"/>
      <c r="DT196" s="357"/>
      <c r="DU196" s="357"/>
      <c r="DV196" s="357"/>
      <c r="DW196" s="357"/>
      <c r="DX196" s="357"/>
      <c r="DY196" s="357"/>
      <c r="DZ196" s="357"/>
      <c r="EA196" s="357"/>
      <c r="EB196" s="357"/>
      <c r="EC196" s="357"/>
      <c r="ED196" s="357"/>
      <c r="EE196" s="357"/>
      <c r="EF196" s="357"/>
      <c r="EG196" s="357"/>
      <c r="EH196" s="357"/>
      <c r="EI196" s="357"/>
      <c r="EJ196" s="357"/>
      <c r="EK196" s="357"/>
      <c r="EL196" s="357"/>
      <c r="EM196" s="357"/>
      <c r="EN196" s="357"/>
      <c r="EO196" s="357"/>
      <c r="EP196" s="357"/>
      <c r="EQ196" s="357"/>
      <c r="ER196" s="357"/>
      <c r="ES196" s="357"/>
      <c r="ET196" s="357"/>
      <c r="EU196" s="357"/>
      <c r="EV196" s="357"/>
      <c r="EW196" s="357"/>
      <c r="EX196" s="357"/>
      <c r="EY196" s="357"/>
      <c r="EZ196" s="357"/>
      <c r="FA196" s="357"/>
      <c r="FB196" s="357"/>
      <c r="FC196" s="357"/>
      <c r="FD196" s="357"/>
      <c r="FE196" s="357"/>
      <c r="FF196" s="357"/>
      <c r="FG196" s="357"/>
      <c r="FH196" s="357"/>
      <c r="FI196" s="357"/>
      <c r="FJ196" s="357"/>
      <c r="FK196" s="357"/>
      <c r="FL196" s="357"/>
      <c r="FM196" s="357"/>
      <c r="FN196" s="357"/>
      <c r="FO196" s="357"/>
      <c r="FP196" s="357"/>
      <c r="FQ196" s="357"/>
      <c r="FR196" s="357"/>
      <c r="FS196" s="357"/>
      <c r="FT196" s="357"/>
      <c r="FU196" s="357"/>
      <c r="FV196" s="357"/>
      <c r="FW196" s="357"/>
      <c r="FX196" s="357"/>
      <c r="FY196" s="357"/>
      <c r="FZ196" s="357"/>
      <c r="GA196" s="357"/>
      <c r="GB196" s="357"/>
      <c r="GC196" s="357"/>
      <c r="GD196" s="357"/>
      <c r="GE196" s="357"/>
      <c r="GF196" s="357"/>
      <c r="GG196" s="357"/>
      <c r="GH196" s="357"/>
      <c r="GI196" s="357"/>
      <c r="GJ196" s="357"/>
      <c r="GK196" s="154"/>
      <c r="GL196" s="154"/>
      <c r="GM196" s="154"/>
      <c r="GN196" s="154"/>
      <c r="GO196" s="154"/>
      <c r="GP196" s="154"/>
      <c r="GQ196" s="154"/>
      <c r="GR196" s="154"/>
      <c r="GS196" s="154"/>
      <c r="GT196" s="154"/>
      <c r="GU196" s="154"/>
      <c r="GV196" s="154"/>
      <c r="GW196" s="154"/>
      <c r="GX196" s="154"/>
    </row>
    <row r="197" spans="7:206">
      <c r="G197" s="154"/>
      <c r="H197" s="154"/>
      <c r="I197" s="154"/>
      <c r="J197" s="154"/>
      <c r="K197" s="154"/>
      <c r="L197" s="154"/>
      <c r="M197" s="154"/>
      <c r="N197" s="154"/>
      <c r="O197" s="154"/>
      <c r="P197" s="154"/>
      <c r="Q197" s="154"/>
      <c r="R197" s="154"/>
      <c r="S197" s="154"/>
      <c r="T197" s="154"/>
      <c r="U197" s="154"/>
      <c r="V197" s="154"/>
      <c r="W197" s="154"/>
      <c r="X197" s="154"/>
      <c r="Y197" s="154"/>
      <c r="Z197" s="357"/>
      <c r="AA197" s="357"/>
      <c r="AB197" s="357"/>
      <c r="AC197" s="357"/>
      <c r="AD197" s="357"/>
      <c r="AE197" s="357"/>
      <c r="AF197" s="357"/>
      <c r="AG197" s="357"/>
      <c r="AH197" s="357"/>
      <c r="AI197" s="357"/>
      <c r="AJ197" s="357"/>
      <c r="AK197" s="357"/>
      <c r="AL197" s="357"/>
      <c r="AM197" s="357"/>
      <c r="AN197" s="357"/>
      <c r="AO197" s="357"/>
      <c r="AP197" s="357"/>
      <c r="AQ197" s="357"/>
      <c r="AR197" s="357"/>
      <c r="AS197" s="357"/>
      <c r="AT197" s="357"/>
      <c r="AU197" s="357"/>
      <c r="AV197" s="357"/>
      <c r="AW197" s="357"/>
      <c r="AX197" s="357"/>
      <c r="AY197" s="357"/>
      <c r="AZ197" s="357"/>
      <c r="BA197" s="357"/>
      <c r="BB197" s="357"/>
      <c r="BC197" s="357"/>
      <c r="BD197" s="357"/>
      <c r="BE197" s="357"/>
      <c r="BF197" s="357"/>
      <c r="BG197" s="357"/>
      <c r="BH197" s="357"/>
      <c r="BI197" s="357"/>
      <c r="BJ197" s="357"/>
      <c r="BK197" s="357"/>
      <c r="BL197" s="357"/>
      <c r="BM197" s="357"/>
      <c r="BN197" s="357"/>
      <c r="BO197" s="357"/>
      <c r="BP197" s="357"/>
      <c r="BQ197" s="357"/>
      <c r="BR197" s="357"/>
      <c r="BS197" s="357"/>
      <c r="BT197" s="357"/>
      <c r="BU197" s="357"/>
      <c r="BV197" s="357"/>
      <c r="BW197" s="357"/>
      <c r="BX197" s="357"/>
      <c r="BY197" s="357"/>
      <c r="BZ197" s="357"/>
      <c r="CA197" s="357"/>
      <c r="CB197" s="357"/>
      <c r="CC197" s="357"/>
      <c r="CD197" s="357"/>
      <c r="CE197" s="357"/>
      <c r="CF197" s="357"/>
      <c r="CG197" s="357"/>
      <c r="CH197" s="357"/>
      <c r="CI197" s="357"/>
      <c r="CJ197" s="357"/>
      <c r="CK197" s="357"/>
      <c r="CL197" s="357"/>
      <c r="CM197" s="357"/>
      <c r="CN197" s="357"/>
      <c r="CO197" s="357"/>
      <c r="CP197" s="357"/>
      <c r="CQ197" s="357"/>
      <c r="CR197" s="357"/>
      <c r="CS197" s="357"/>
      <c r="CT197" s="357"/>
      <c r="CU197" s="357"/>
      <c r="CV197" s="357"/>
      <c r="CW197" s="357"/>
      <c r="CX197" s="357"/>
      <c r="CY197" s="357"/>
      <c r="CZ197" s="357"/>
      <c r="DA197" s="357"/>
      <c r="DB197" s="357"/>
      <c r="DC197" s="357"/>
      <c r="DD197" s="357"/>
      <c r="DE197" s="357"/>
      <c r="DF197" s="357"/>
      <c r="DG197" s="357"/>
      <c r="DH197" s="357"/>
      <c r="DI197" s="357"/>
      <c r="DJ197" s="357"/>
      <c r="DK197" s="357"/>
      <c r="DL197" s="357"/>
      <c r="DM197" s="357"/>
      <c r="DN197" s="357"/>
      <c r="DO197" s="357"/>
      <c r="DP197" s="357"/>
      <c r="DQ197" s="357"/>
      <c r="DR197" s="357"/>
      <c r="DS197" s="357"/>
      <c r="DT197" s="357"/>
      <c r="DU197" s="357"/>
      <c r="DV197" s="357"/>
      <c r="DW197" s="357"/>
      <c r="DX197" s="357"/>
      <c r="DY197" s="357"/>
      <c r="DZ197" s="357"/>
      <c r="EA197" s="357"/>
      <c r="EB197" s="357"/>
      <c r="EC197" s="357"/>
      <c r="ED197" s="357"/>
      <c r="EE197" s="357"/>
      <c r="EF197" s="357"/>
      <c r="EG197" s="357"/>
      <c r="EH197" s="357"/>
      <c r="EI197" s="357"/>
      <c r="EJ197" s="357"/>
      <c r="EK197" s="357"/>
      <c r="EL197" s="357"/>
      <c r="EM197" s="357"/>
      <c r="EN197" s="357"/>
      <c r="EO197" s="357"/>
      <c r="EP197" s="357"/>
      <c r="EQ197" s="357"/>
      <c r="ER197" s="357"/>
      <c r="ES197" s="357"/>
      <c r="ET197" s="357"/>
      <c r="EU197" s="357"/>
      <c r="EV197" s="357"/>
      <c r="EW197" s="357"/>
      <c r="EX197" s="357"/>
      <c r="EY197" s="357"/>
      <c r="EZ197" s="357"/>
      <c r="FA197" s="357"/>
      <c r="FB197" s="357"/>
      <c r="FC197" s="357"/>
      <c r="FD197" s="357"/>
      <c r="FE197" s="357"/>
      <c r="FF197" s="357"/>
      <c r="FG197" s="357"/>
      <c r="FH197" s="357"/>
      <c r="FI197" s="357"/>
      <c r="FJ197" s="357"/>
      <c r="FK197" s="357"/>
      <c r="FL197" s="357"/>
      <c r="FM197" s="357"/>
      <c r="FN197" s="357"/>
      <c r="FO197" s="357"/>
      <c r="FP197" s="357"/>
      <c r="FQ197" s="357"/>
      <c r="FR197" s="357"/>
      <c r="FS197" s="357"/>
      <c r="FT197" s="357"/>
      <c r="FU197" s="357"/>
      <c r="FV197" s="357"/>
      <c r="FW197" s="357"/>
      <c r="FX197" s="357"/>
      <c r="FY197" s="357"/>
      <c r="FZ197" s="357"/>
      <c r="GA197" s="357"/>
      <c r="GB197" s="357"/>
      <c r="GC197" s="357"/>
      <c r="GD197" s="357"/>
      <c r="GE197" s="357"/>
      <c r="GF197" s="357"/>
      <c r="GG197" s="357"/>
      <c r="GH197" s="357"/>
      <c r="GI197" s="357"/>
      <c r="GJ197" s="357"/>
      <c r="GK197" s="154"/>
      <c r="GL197" s="154"/>
      <c r="GM197" s="154"/>
      <c r="GN197" s="154"/>
      <c r="GO197" s="154"/>
      <c r="GP197" s="154"/>
      <c r="GQ197" s="154"/>
      <c r="GR197" s="154"/>
      <c r="GS197" s="154"/>
      <c r="GT197" s="154"/>
      <c r="GU197" s="154"/>
      <c r="GV197" s="154"/>
      <c r="GW197" s="154"/>
      <c r="GX197" s="154"/>
    </row>
    <row r="198" spans="7:206">
      <c r="G198" s="154"/>
      <c r="H198" s="154"/>
      <c r="I198" s="154"/>
      <c r="J198" s="154"/>
      <c r="K198" s="154"/>
      <c r="L198" s="154"/>
      <c r="M198" s="154"/>
      <c r="N198" s="154"/>
      <c r="O198" s="154"/>
      <c r="P198" s="154"/>
      <c r="Q198" s="154"/>
      <c r="R198" s="154"/>
      <c r="S198" s="154"/>
      <c r="T198" s="154"/>
      <c r="U198" s="154"/>
      <c r="V198" s="154"/>
      <c r="W198" s="154"/>
      <c r="X198" s="154"/>
      <c r="Y198" s="154"/>
      <c r="Z198" s="357"/>
      <c r="AA198" s="357"/>
      <c r="AB198" s="357"/>
      <c r="AC198" s="357"/>
      <c r="AD198" s="357"/>
      <c r="AE198" s="357"/>
      <c r="AF198" s="357"/>
      <c r="AG198" s="357"/>
      <c r="AH198" s="357"/>
      <c r="AI198" s="357"/>
      <c r="AJ198" s="357"/>
      <c r="AK198" s="357"/>
      <c r="AL198" s="357"/>
      <c r="AM198" s="357"/>
      <c r="AN198" s="357"/>
      <c r="AO198" s="357"/>
      <c r="AP198" s="357"/>
      <c r="AQ198" s="357"/>
      <c r="AR198" s="357"/>
      <c r="AS198" s="357"/>
      <c r="AT198" s="357"/>
      <c r="AU198" s="357"/>
      <c r="AV198" s="357"/>
      <c r="AW198" s="357"/>
      <c r="AX198" s="357"/>
      <c r="AY198" s="357"/>
      <c r="AZ198" s="357"/>
      <c r="BA198" s="357"/>
      <c r="BB198" s="357"/>
      <c r="BC198" s="357"/>
      <c r="BD198" s="357"/>
      <c r="BE198" s="357"/>
      <c r="BF198" s="357"/>
      <c r="BG198" s="357"/>
      <c r="BH198" s="357"/>
      <c r="BI198" s="357"/>
      <c r="BJ198" s="357"/>
      <c r="BK198" s="357"/>
      <c r="BL198" s="357"/>
      <c r="BM198" s="357"/>
      <c r="BN198" s="357"/>
      <c r="BO198" s="357"/>
      <c r="BP198" s="357"/>
      <c r="BQ198" s="357"/>
      <c r="BR198" s="357"/>
      <c r="BS198" s="357"/>
      <c r="BT198" s="357"/>
      <c r="BU198" s="357"/>
      <c r="BV198" s="357"/>
      <c r="BW198" s="357"/>
      <c r="BX198" s="357"/>
      <c r="BY198" s="357"/>
      <c r="BZ198" s="357"/>
      <c r="CA198" s="357"/>
      <c r="CB198" s="357"/>
      <c r="CC198" s="357"/>
      <c r="CD198" s="357"/>
      <c r="CE198" s="357"/>
      <c r="CF198" s="357"/>
      <c r="CG198" s="357"/>
      <c r="CH198" s="357"/>
      <c r="CI198" s="357"/>
      <c r="CJ198" s="357"/>
      <c r="CK198" s="357"/>
      <c r="CL198" s="357"/>
      <c r="CM198" s="357"/>
      <c r="CN198" s="357"/>
      <c r="CO198" s="357"/>
      <c r="CP198" s="357"/>
      <c r="CQ198" s="357"/>
      <c r="CR198" s="357"/>
      <c r="CS198" s="357"/>
      <c r="CT198" s="357"/>
      <c r="CU198" s="357"/>
      <c r="CV198" s="357"/>
      <c r="CW198" s="357"/>
      <c r="CX198" s="357"/>
      <c r="CY198" s="357"/>
      <c r="CZ198" s="357"/>
      <c r="DA198" s="357"/>
      <c r="DB198" s="357"/>
      <c r="DC198" s="357"/>
      <c r="DD198" s="357"/>
      <c r="DE198" s="357"/>
      <c r="DF198" s="357"/>
      <c r="DG198" s="357"/>
      <c r="DH198" s="357"/>
      <c r="DI198" s="357"/>
      <c r="DJ198" s="357"/>
      <c r="DK198" s="357"/>
      <c r="DL198" s="357"/>
      <c r="DM198" s="357"/>
      <c r="DN198" s="357"/>
      <c r="DO198" s="357"/>
      <c r="DP198" s="357"/>
      <c r="DQ198" s="357"/>
      <c r="DR198" s="357"/>
      <c r="DS198" s="357"/>
      <c r="DT198" s="357"/>
      <c r="DU198" s="357"/>
      <c r="DV198" s="357"/>
      <c r="DW198" s="357"/>
      <c r="DX198" s="357"/>
      <c r="DY198" s="357"/>
      <c r="DZ198" s="357"/>
      <c r="EA198" s="357"/>
      <c r="EB198" s="357"/>
      <c r="EC198" s="357"/>
      <c r="ED198" s="357"/>
      <c r="EE198" s="357"/>
      <c r="EF198" s="357"/>
      <c r="EG198" s="357"/>
      <c r="EH198" s="357"/>
      <c r="EI198" s="357"/>
      <c r="EJ198" s="357"/>
      <c r="EK198" s="357"/>
      <c r="EL198" s="357"/>
      <c r="EM198" s="357"/>
      <c r="EN198" s="357"/>
      <c r="EO198" s="357"/>
      <c r="EP198" s="357"/>
      <c r="EQ198" s="357"/>
      <c r="ER198" s="357"/>
      <c r="ES198" s="357"/>
      <c r="ET198" s="357"/>
      <c r="EU198" s="357"/>
      <c r="EV198" s="357"/>
      <c r="EW198" s="357"/>
      <c r="EX198" s="357"/>
      <c r="EY198" s="357"/>
      <c r="EZ198" s="357"/>
      <c r="FA198" s="357"/>
      <c r="FB198" s="357"/>
      <c r="FC198" s="357"/>
      <c r="FD198" s="357"/>
      <c r="FE198" s="357"/>
      <c r="FF198" s="357"/>
      <c r="FG198" s="357"/>
      <c r="FH198" s="357"/>
      <c r="FI198" s="357"/>
      <c r="FJ198" s="357"/>
      <c r="FK198" s="357"/>
      <c r="FL198" s="357"/>
      <c r="FM198" s="357"/>
      <c r="FN198" s="357"/>
      <c r="FO198" s="357"/>
      <c r="FP198" s="357"/>
      <c r="FQ198" s="357"/>
      <c r="FR198" s="357"/>
      <c r="FS198" s="357"/>
      <c r="FT198" s="357"/>
      <c r="FU198" s="357"/>
      <c r="FV198" s="357"/>
      <c r="FW198" s="357"/>
      <c r="FX198" s="357"/>
      <c r="FY198" s="357"/>
      <c r="FZ198" s="357"/>
      <c r="GA198" s="357"/>
      <c r="GB198" s="357"/>
      <c r="GC198" s="357"/>
      <c r="GD198" s="357"/>
      <c r="GE198" s="357"/>
      <c r="GF198" s="357"/>
      <c r="GG198" s="357"/>
      <c r="GH198" s="357"/>
      <c r="GI198" s="357"/>
      <c r="GJ198" s="357"/>
      <c r="GK198" s="154"/>
      <c r="GL198" s="154"/>
      <c r="GM198" s="154"/>
      <c r="GN198" s="154"/>
      <c r="GO198" s="154"/>
      <c r="GP198" s="154"/>
      <c r="GQ198" s="154"/>
      <c r="GR198" s="154"/>
      <c r="GS198" s="154"/>
      <c r="GT198" s="154"/>
      <c r="GU198" s="154"/>
      <c r="GV198" s="154"/>
      <c r="GW198" s="154"/>
      <c r="GX198" s="154"/>
    </row>
    <row r="199" spans="7:206">
      <c r="G199" s="154"/>
      <c r="H199" s="154"/>
      <c r="I199" s="154"/>
      <c r="J199" s="154"/>
      <c r="K199" s="154"/>
      <c r="L199" s="154"/>
      <c r="M199" s="154"/>
      <c r="N199" s="154"/>
      <c r="O199" s="154"/>
      <c r="P199" s="154"/>
      <c r="Q199" s="154"/>
      <c r="R199" s="154"/>
      <c r="S199" s="154"/>
      <c r="T199" s="154"/>
      <c r="U199" s="154"/>
      <c r="V199" s="154"/>
      <c r="W199" s="154"/>
      <c r="X199" s="154"/>
      <c r="Y199" s="154"/>
      <c r="Z199" s="357"/>
      <c r="AA199" s="357"/>
      <c r="AB199" s="357"/>
      <c r="AC199" s="357"/>
      <c r="AD199" s="357"/>
      <c r="AE199" s="357"/>
      <c r="AF199" s="357"/>
      <c r="AG199" s="357"/>
      <c r="AH199" s="357"/>
      <c r="AI199" s="357"/>
      <c r="AJ199" s="357"/>
      <c r="AK199" s="357"/>
      <c r="AL199" s="357"/>
      <c r="AM199" s="357"/>
      <c r="AN199" s="357"/>
      <c r="AO199" s="357"/>
      <c r="AP199" s="357"/>
      <c r="AQ199" s="357"/>
      <c r="AR199" s="357"/>
      <c r="AS199" s="357"/>
      <c r="AT199" s="357"/>
      <c r="AU199" s="357"/>
      <c r="AV199" s="357"/>
      <c r="AW199" s="357"/>
      <c r="AX199" s="357"/>
      <c r="AY199" s="357"/>
      <c r="AZ199" s="357"/>
      <c r="BA199" s="357"/>
      <c r="BB199" s="357"/>
      <c r="BC199" s="357"/>
      <c r="BD199" s="357"/>
      <c r="BE199" s="357"/>
      <c r="BF199" s="357"/>
      <c r="BG199" s="357"/>
      <c r="BH199" s="357"/>
      <c r="BI199" s="357"/>
      <c r="BJ199" s="357"/>
      <c r="BK199" s="357"/>
      <c r="BL199" s="357"/>
      <c r="BM199" s="357"/>
      <c r="BN199" s="357"/>
      <c r="BO199" s="357"/>
      <c r="BP199" s="357"/>
      <c r="BQ199" s="357"/>
      <c r="BR199" s="357"/>
      <c r="BS199" s="357"/>
      <c r="BT199" s="357"/>
      <c r="BU199" s="357"/>
      <c r="BV199" s="357"/>
      <c r="BW199" s="357"/>
      <c r="BX199" s="357"/>
      <c r="BY199" s="357"/>
      <c r="BZ199" s="357"/>
      <c r="CA199" s="357"/>
      <c r="CB199" s="357"/>
      <c r="CC199" s="357"/>
      <c r="CD199" s="357"/>
      <c r="CE199" s="357"/>
      <c r="CF199" s="357"/>
      <c r="CG199" s="357"/>
      <c r="CH199" s="357"/>
      <c r="CI199" s="357"/>
      <c r="CJ199" s="357"/>
      <c r="CK199" s="357"/>
      <c r="CL199" s="357"/>
      <c r="CM199" s="357"/>
      <c r="CN199" s="357"/>
      <c r="CO199" s="357"/>
      <c r="CP199" s="357"/>
      <c r="CQ199" s="357"/>
      <c r="CR199" s="357"/>
      <c r="CS199" s="357"/>
      <c r="CT199" s="357"/>
      <c r="CU199" s="357"/>
      <c r="CV199" s="357"/>
      <c r="CW199" s="357"/>
      <c r="CX199" s="357"/>
      <c r="CY199" s="357"/>
      <c r="CZ199" s="357"/>
      <c r="DA199" s="357"/>
      <c r="DB199" s="357"/>
      <c r="DC199" s="357"/>
      <c r="DD199" s="357"/>
      <c r="DE199" s="357"/>
      <c r="DF199" s="357"/>
      <c r="DG199" s="357"/>
      <c r="DH199" s="357"/>
      <c r="DI199" s="357"/>
      <c r="DJ199" s="357"/>
      <c r="DK199" s="357"/>
      <c r="DL199" s="357"/>
      <c r="DM199" s="357"/>
      <c r="DN199" s="357"/>
      <c r="DO199" s="357"/>
      <c r="DP199" s="357"/>
      <c r="DQ199" s="357"/>
      <c r="DR199" s="357"/>
      <c r="DS199" s="357"/>
      <c r="DT199" s="357"/>
      <c r="DU199" s="357"/>
      <c r="DV199" s="357"/>
      <c r="DW199" s="357"/>
      <c r="DX199" s="357"/>
      <c r="DY199" s="357"/>
      <c r="DZ199" s="357"/>
      <c r="EA199" s="357"/>
      <c r="EB199" s="357"/>
      <c r="EC199" s="357"/>
      <c r="ED199" s="357"/>
      <c r="EE199" s="357"/>
      <c r="EF199" s="357"/>
      <c r="EG199" s="357"/>
      <c r="EH199" s="357"/>
      <c r="EI199" s="357"/>
      <c r="EJ199" s="357"/>
      <c r="EK199" s="357"/>
      <c r="EL199" s="357"/>
      <c r="EM199" s="357"/>
      <c r="EN199" s="357"/>
      <c r="EO199" s="357"/>
      <c r="EP199" s="357"/>
      <c r="EQ199" s="357"/>
      <c r="ER199" s="357"/>
      <c r="ES199" s="357"/>
      <c r="ET199" s="357"/>
      <c r="EU199" s="357"/>
      <c r="EV199" s="357"/>
      <c r="EW199" s="357"/>
      <c r="EX199" s="357"/>
      <c r="EY199" s="357"/>
      <c r="EZ199" s="357"/>
      <c r="FA199" s="357"/>
      <c r="FB199" s="357"/>
      <c r="FC199" s="357"/>
      <c r="FD199" s="357"/>
      <c r="FE199" s="357"/>
      <c r="FF199" s="357"/>
      <c r="FG199" s="357"/>
      <c r="FH199" s="357"/>
      <c r="FI199" s="357"/>
      <c r="FJ199" s="357"/>
      <c r="FK199" s="357"/>
      <c r="FL199" s="357"/>
      <c r="FM199" s="357"/>
      <c r="FN199" s="357"/>
      <c r="FO199" s="357"/>
      <c r="FP199" s="357"/>
      <c r="FQ199" s="357"/>
      <c r="FR199" s="357"/>
      <c r="FS199" s="357"/>
      <c r="FT199" s="357"/>
      <c r="FU199" s="357"/>
      <c r="FV199" s="357"/>
      <c r="FW199" s="357"/>
      <c r="FX199" s="357"/>
      <c r="FY199" s="357"/>
      <c r="FZ199" s="357"/>
      <c r="GA199" s="357"/>
      <c r="GB199" s="357"/>
      <c r="GC199" s="357"/>
      <c r="GD199" s="357"/>
      <c r="GE199" s="357"/>
      <c r="GF199" s="357"/>
      <c r="GG199" s="357"/>
      <c r="GH199" s="357"/>
      <c r="GI199" s="357"/>
      <c r="GJ199" s="357"/>
      <c r="GK199" s="154"/>
      <c r="GL199" s="154"/>
      <c r="GM199" s="154"/>
      <c r="GN199" s="154"/>
      <c r="GO199" s="154"/>
      <c r="GP199" s="154"/>
      <c r="GQ199" s="154"/>
      <c r="GR199" s="154"/>
      <c r="GS199" s="154"/>
      <c r="GT199" s="154"/>
      <c r="GU199" s="154"/>
      <c r="GV199" s="154"/>
      <c r="GW199" s="154"/>
      <c r="GX199" s="154"/>
    </row>
    <row r="200" spans="7:206">
      <c r="G200" s="154"/>
      <c r="H200" s="154"/>
      <c r="I200" s="154"/>
      <c r="J200" s="154"/>
      <c r="K200" s="154"/>
      <c r="L200" s="154"/>
      <c r="M200" s="154"/>
      <c r="N200" s="154"/>
      <c r="O200" s="154"/>
      <c r="P200" s="154"/>
      <c r="Q200" s="154"/>
      <c r="R200" s="154"/>
      <c r="S200" s="154"/>
      <c r="T200" s="154"/>
      <c r="U200" s="154"/>
      <c r="V200" s="154"/>
      <c r="W200" s="154"/>
      <c r="X200" s="154"/>
      <c r="Y200" s="154"/>
      <c r="Z200" s="357"/>
      <c r="AA200" s="357"/>
      <c r="AB200" s="357"/>
      <c r="AC200" s="357"/>
      <c r="AD200" s="357"/>
      <c r="AE200" s="357"/>
      <c r="AF200" s="357"/>
      <c r="AG200" s="357"/>
      <c r="AH200" s="357"/>
      <c r="AI200" s="357"/>
      <c r="AJ200" s="357"/>
      <c r="AK200" s="357"/>
      <c r="AL200" s="357"/>
      <c r="AM200" s="357"/>
      <c r="AN200" s="357"/>
      <c r="AO200" s="357"/>
      <c r="AP200" s="357"/>
      <c r="AQ200" s="357"/>
      <c r="AR200" s="357"/>
      <c r="AS200" s="357"/>
      <c r="AT200" s="357"/>
      <c r="AU200" s="357"/>
      <c r="AV200" s="357"/>
      <c r="AW200" s="357"/>
      <c r="AX200" s="357"/>
      <c r="AY200" s="357"/>
      <c r="AZ200" s="357"/>
      <c r="BA200" s="357"/>
      <c r="BB200" s="357"/>
      <c r="BC200" s="357"/>
      <c r="BD200" s="357"/>
      <c r="BE200" s="357"/>
      <c r="BF200" s="357"/>
      <c r="BG200" s="357"/>
      <c r="BH200" s="357"/>
      <c r="BI200" s="357"/>
      <c r="BJ200" s="357"/>
      <c r="BK200" s="357"/>
      <c r="BL200" s="357"/>
      <c r="BM200" s="357"/>
      <c r="BN200" s="357"/>
      <c r="BO200" s="357"/>
      <c r="BP200" s="357"/>
      <c r="BQ200" s="357"/>
      <c r="BR200" s="357"/>
      <c r="BS200" s="357"/>
      <c r="BT200" s="357"/>
      <c r="BU200" s="357"/>
      <c r="BV200" s="357"/>
      <c r="BW200" s="357"/>
      <c r="BX200" s="357"/>
      <c r="BY200" s="357"/>
      <c r="BZ200" s="357"/>
      <c r="CA200" s="357"/>
      <c r="CB200" s="357"/>
      <c r="CC200" s="357"/>
      <c r="CD200" s="357"/>
      <c r="CE200" s="357"/>
      <c r="CF200" s="357"/>
      <c r="CG200" s="357"/>
      <c r="CH200" s="357"/>
      <c r="CI200" s="357"/>
      <c r="CJ200" s="357"/>
      <c r="CK200" s="357"/>
      <c r="CL200" s="357"/>
      <c r="CM200" s="357"/>
      <c r="CN200" s="357"/>
      <c r="CO200" s="357"/>
      <c r="CP200" s="357"/>
      <c r="CQ200" s="357"/>
      <c r="CR200" s="357"/>
      <c r="CS200" s="357"/>
      <c r="CT200" s="357"/>
      <c r="CU200" s="357"/>
      <c r="CV200" s="357"/>
      <c r="CW200" s="357"/>
      <c r="CX200" s="357"/>
      <c r="CY200" s="357"/>
      <c r="CZ200" s="357"/>
      <c r="DA200" s="357"/>
      <c r="DB200" s="357"/>
      <c r="DC200" s="357"/>
      <c r="DD200" s="357"/>
      <c r="DE200" s="357"/>
      <c r="DF200" s="357"/>
      <c r="DG200" s="357"/>
      <c r="DH200" s="357"/>
      <c r="DI200" s="357"/>
      <c r="DJ200" s="357"/>
      <c r="DK200" s="357"/>
      <c r="DL200" s="357"/>
      <c r="DM200" s="357"/>
      <c r="DN200" s="357"/>
      <c r="DO200" s="357"/>
      <c r="DP200" s="357"/>
      <c r="DQ200" s="357"/>
      <c r="DR200" s="357"/>
      <c r="DS200" s="357"/>
      <c r="DT200" s="357"/>
      <c r="DU200" s="357"/>
      <c r="DV200" s="357"/>
      <c r="DW200" s="357"/>
      <c r="DX200" s="357"/>
      <c r="DY200" s="357"/>
      <c r="DZ200" s="357"/>
      <c r="EA200" s="357"/>
      <c r="EB200" s="357"/>
      <c r="EC200" s="357"/>
      <c r="ED200" s="357"/>
      <c r="EE200" s="357"/>
      <c r="EF200" s="357"/>
      <c r="EG200" s="357"/>
      <c r="EH200" s="357"/>
      <c r="EI200" s="357"/>
      <c r="EJ200" s="357"/>
      <c r="EK200" s="357"/>
      <c r="EL200" s="357"/>
      <c r="EM200" s="357"/>
      <c r="EN200" s="357"/>
      <c r="EO200" s="357"/>
      <c r="EP200" s="357"/>
      <c r="EQ200" s="357"/>
      <c r="ER200" s="357"/>
      <c r="ES200" s="357"/>
      <c r="ET200" s="357"/>
      <c r="EU200" s="357"/>
      <c r="EV200" s="357"/>
      <c r="EW200" s="357"/>
      <c r="EX200" s="357"/>
      <c r="EY200" s="357"/>
      <c r="EZ200" s="357"/>
      <c r="FA200" s="357"/>
      <c r="FB200" s="357"/>
      <c r="FC200" s="357"/>
      <c r="FD200" s="357"/>
      <c r="FE200" s="357"/>
      <c r="FF200" s="357"/>
      <c r="FG200" s="357"/>
      <c r="FH200" s="357"/>
      <c r="FI200" s="357"/>
      <c r="FJ200" s="357"/>
      <c r="FK200" s="357"/>
      <c r="FL200" s="357"/>
      <c r="FM200" s="357"/>
      <c r="FN200" s="357"/>
      <c r="FO200" s="357"/>
      <c r="FP200" s="357"/>
      <c r="FQ200" s="357"/>
      <c r="FR200" s="357"/>
      <c r="FS200" s="357"/>
      <c r="FT200" s="357"/>
      <c r="FU200" s="357"/>
      <c r="FV200" s="357"/>
      <c r="FW200" s="357"/>
      <c r="FX200" s="357"/>
      <c r="FY200" s="357"/>
      <c r="FZ200" s="357"/>
      <c r="GA200" s="357"/>
      <c r="GB200" s="357"/>
      <c r="GC200" s="357"/>
      <c r="GD200" s="357"/>
      <c r="GE200" s="357"/>
      <c r="GF200" s="357"/>
      <c r="GG200" s="357"/>
      <c r="GH200" s="357"/>
      <c r="GI200" s="357"/>
      <c r="GJ200" s="357"/>
      <c r="GK200" s="154"/>
      <c r="GL200" s="154"/>
      <c r="GM200" s="154"/>
      <c r="GN200" s="154"/>
      <c r="GO200" s="154"/>
      <c r="GP200" s="154"/>
      <c r="GQ200" s="154"/>
      <c r="GR200" s="154"/>
      <c r="GS200" s="154"/>
      <c r="GT200" s="154"/>
      <c r="GU200" s="154"/>
      <c r="GV200" s="154"/>
      <c r="GW200" s="154"/>
      <c r="GX200" s="154"/>
    </row>
    <row r="201" spans="7:206">
      <c r="G201" s="154"/>
      <c r="H201" s="154"/>
      <c r="I201" s="154"/>
      <c r="J201" s="154"/>
      <c r="K201" s="154"/>
      <c r="L201" s="154"/>
      <c r="M201" s="154"/>
      <c r="N201" s="154"/>
      <c r="O201" s="154"/>
      <c r="P201" s="154"/>
      <c r="Q201" s="154"/>
      <c r="R201" s="154"/>
      <c r="S201" s="154"/>
      <c r="T201" s="154"/>
      <c r="U201" s="154"/>
      <c r="V201" s="154"/>
      <c r="W201" s="154"/>
      <c r="X201" s="154"/>
      <c r="Y201" s="154"/>
      <c r="Z201" s="357"/>
      <c r="AA201" s="357"/>
      <c r="AB201" s="357"/>
      <c r="AC201" s="357"/>
      <c r="AD201" s="357"/>
      <c r="AE201" s="357"/>
      <c r="AF201" s="357"/>
      <c r="AG201" s="357"/>
      <c r="AH201" s="357"/>
      <c r="AI201" s="357"/>
      <c r="AJ201" s="357"/>
      <c r="AK201" s="357"/>
      <c r="AL201" s="357"/>
      <c r="AM201" s="357"/>
      <c r="AN201" s="357"/>
      <c r="AO201" s="357"/>
      <c r="AP201" s="357"/>
      <c r="AQ201" s="357"/>
      <c r="AR201" s="357"/>
      <c r="AS201" s="357"/>
      <c r="AT201" s="357"/>
      <c r="AU201" s="357"/>
      <c r="AV201" s="357"/>
      <c r="AW201" s="357"/>
      <c r="AX201" s="357"/>
      <c r="AY201" s="357"/>
      <c r="AZ201" s="357"/>
      <c r="BA201" s="357"/>
      <c r="BB201" s="357"/>
      <c r="BC201" s="357"/>
      <c r="BD201" s="357"/>
      <c r="BE201" s="357"/>
      <c r="BF201" s="357"/>
      <c r="BG201" s="357"/>
      <c r="BH201" s="357"/>
      <c r="BI201" s="357"/>
      <c r="BJ201" s="357"/>
      <c r="BK201" s="357"/>
      <c r="BL201" s="357"/>
      <c r="BM201" s="357"/>
      <c r="BN201" s="357"/>
      <c r="BO201" s="357"/>
      <c r="BP201" s="357"/>
      <c r="BQ201" s="357"/>
      <c r="BR201" s="357"/>
      <c r="BS201" s="357"/>
      <c r="BT201" s="357"/>
      <c r="BU201" s="357"/>
      <c r="BV201" s="357"/>
      <c r="BW201" s="357"/>
      <c r="BX201" s="357"/>
      <c r="BY201" s="357"/>
      <c r="BZ201" s="357"/>
      <c r="CA201" s="357"/>
      <c r="CB201" s="357"/>
      <c r="CC201" s="357"/>
      <c r="CD201" s="357"/>
      <c r="CE201" s="357"/>
      <c r="CF201" s="357"/>
      <c r="CG201" s="357"/>
      <c r="CH201" s="357"/>
      <c r="CI201" s="357"/>
      <c r="CJ201" s="357"/>
      <c r="CK201" s="357"/>
      <c r="CL201" s="357"/>
      <c r="CM201" s="357"/>
      <c r="CN201" s="357"/>
      <c r="CO201" s="357"/>
      <c r="CP201" s="357"/>
      <c r="CQ201" s="357"/>
      <c r="CR201" s="357"/>
      <c r="CS201" s="357"/>
      <c r="CT201" s="357"/>
      <c r="CU201" s="357"/>
      <c r="CV201" s="357"/>
      <c r="CW201" s="357"/>
      <c r="CX201" s="357"/>
      <c r="CY201" s="357"/>
      <c r="CZ201" s="357"/>
      <c r="DA201" s="357"/>
      <c r="DB201" s="357"/>
      <c r="DC201" s="357"/>
      <c r="DD201" s="357"/>
      <c r="DE201" s="357"/>
      <c r="DF201" s="357"/>
      <c r="DG201" s="357"/>
      <c r="DH201" s="357"/>
      <c r="DI201" s="357"/>
      <c r="DJ201" s="357"/>
      <c r="DK201" s="357"/>
      <c r="DL201" s="357"/>
      <c r="DM201" s="357"/>
      <c r="DN201" s="357"/>
      <c r="DO201" s="357"/>
      <c r="DP201" s="357"/>
      <c r="DQ201" s="357"/>
      <c r="DR201" s="357"/>
      <c r="DS201" s="357"/>
      <c r="DT201" s="357"/>
      <c r="DU201" s="357"/>
      <c r="DV201" s="357"/>
      <c r="DW201" s="357"/>
      <c r="DX201" s="357"/>
      <c r="DY201" s="357"/>
      <c r="DZ201" s="357"/>
      <c r="EA201" s="357"/>
      <c r="EB201" s="357"/>
      <c r="EC201" s="357"/>
      <c r="ED201" s="357"/>
      <c r="EE201" s="357"/>
      <c r="EF201" s="357"/>
      <c r="EG201" s="357"/>
      <c r="EH201" s="357"/>
      <c r="EI201" s="357"/>
      <c r="EJ201" s="357"/>
      <c r="EK201" s="357"/>
      <c r="EL201" s="357"/>
      <c r="EM201" s="357"/>
      <c r="EN201" s="357"/>
      <c r="EO201" s="357"/>
      <c r="EP201" s="357"/>
      <c r="EQ201" s="357"/>
      <c r="ER201" s="357"/>
      <c r="ES201" s="357"/>
      <c r="ET201" s="357"/>
      <c r="EU201" s="357"/>
      <c r="EV201" s="357"/>
      <c r="EW201" s="357"/>
      <c r="EX201" s="357"/>
      <c r="EY201" s="357"/>
      <c r="EZ201" s="357"/>
      <c r="FA201" s="357"/>
      <c r="FB201" s="357"/>
      <c r="FC201" s="357"/>
      <c r="FD201" s="357"/>
      <c r="FE201" s="357"/>
      <c r="FF201" s="357"/>
      <c r="FG201" s="357"/>
      <c r="FH201" s="357"/>
      <c r="FI201" s="357"/>
      <c r="FJ201" s="357"/>
      <c r="FK201" s="357"/>
      <c r="FL201" s="357"/>
      <c r="FM201" s="357"/>
      <c r="FN201" s="357"/>
      <c r="FO201" s="357"/>
      <c r="FP201" s="357"/>
      <c r="FQ201" s="357"/>
      <c r="FR201" s="357"/>
      <c r="FS201" s="357"/>
      <c r="FT201" s="357"/>
      <c r="FU201" s="357"/>
      <c r="FV201" s="357"/>
      <c r="FW201" s="357"/>
      <c r="FX201" s="357"/>
      <c r="FY201" s="357"/>
      <c r="FZ201" s="357"/>
      <c r="GA201" s="357"/>
      <c r="GB201" s="357"/>
      <c r="GC201" s="357"/>
      <c r="GD201" s="357"/>
      <c r="GE201" s="357"/>
      <c r="GF201" s="357"/>
      <c r="GG201" s="357"/>
      <c r="GH201" s="357"/>
      <c r="GI201" s="357"/>
      <c r="GJ201" s="357"/>
      <c r="GK201" s="154"/>
      <c r="GL201" s="154"/>
      <c r="GM201" s="154"/>
      <c r="GN201" s="154"/>
      <c r="GO201" s="154"/>
      <c r="GP201" s="154"/>
      <c r="GQ201" s="154"/>
      <c r="GR201" s="154"/>
      <c r="GS201" s="154"/>
      <c r="GT201" s="154"/>
      <c r="GU201" s="154"/>
      <c r="GV201" s="154"/>
      <c r="GW201" s="154"/>
      <c r="GX201" s="154"/>
    </row>
    <row r="202" spans="7:206">
      <c r="G202" s="154"/>
      <c r="H202" s="154"/>
      <c r="I202" s="154"/>
      <c r="J202" s="154"/>
      <c r="K202" s="154"/>
      <c r="L202" s="154"/>
      <c r="M202" s="154"/>
      <c r="N202" s="154"/>
      <c r="O202" s="154"/>
      <c r="P202" s="154"/>
      <c r="Q202" s="154"/>
      <c r="R202" s="154"/>
      <c r="S202" s="154"/>
      <c r="T202" s="154"/>
      <c r="U202" s="154"/>
      <c r="V202" s="154"/>
      <c r="W202" s="154"/>
      <c r="X202" s="154"/>
      <c r="Y202" s="154"/>
      <c r="Z202" s="357"/>
      <c r="AA202" s="357"/>
      <c r="AB202" s="357"/>
      <c r="AC202" s="357"/>
      <c r="AD202" s="357"/>
      <c r="AE202" s="357"/>
      <c r="AF202" s="357"/>
      <c r="AG202" s="357"/>
      <c r="AH202" s="357"/>
      <c r="AI202" s="357"/>
      <c r="AJ202" s="357"/>
      <c r="AK202" s="357"/>
      <c r="AL202" s="357"/>
      <c r="AM202" s="357"/>
      <c r="AN202" s="357"/>
      <c r="AO202" s="357"/>
      <c r="AP202" s="357"/>
      <c r="AQ202" s="357"/>
      <c r="AR202" s="357"/>
      <c r="AS202" s="357"/>
      <c r="AT202" s="357"/>
      <c r="AU202" s="357"/>
      <c r="AV202" s="357"/>
      <c r="AW202" s="357"/>
      <c r="AX202" s="357"/>
      <c r="AY202" s="357"/>
      <c r="AZ202" s="357"/>
      <c r="BA202" s="357"/>
      <c r="BB202" s="357"/>
      <c r="BC202" s="357"/>
      <c r="BD202" s="357"/>
      <c r="BE202" s="357"/>
      <c r="BF202" s="357"/>
      <c r="BG202" s="357"/>
      <c r="BH202" s="357"/>
      <c r="BI202" s="357"/>
      <c r="BJ202" s="357"/>
      <c r="BK202" s="357"/>
      <c r="BL202" s="357"/>
      <c r="BM202" s="357"/>
      <c r="BN202" s="357"/>
      <c r="BO202" s="357"/>
      <c r="BP202" s="357"/>
      <c r="BQ202" s="357"/>
      <c r="BR202" s="357"/>
      <c r="BS202" s="357"/>
      <c r="BT202" s="357"/>
      <c r="BU202" s="357"/>
      <c r="BV202" s="357"/>
      <c r="BW202" s="357"/>
      <c r="BX202" s="357"/>
      <c r="BY202" s="357"/>
      <c r="BZ202" s="357"/>
      <c r="CA202" s="357"/>
      <c r="CB202" s="357"/>
      <c r="CC202" s="357"/>
      <c r="CD202" s="357"/>
      <c r="CE202" s="357"/>
      <c r="CF202" s="357"/>
      <c r="CG202" s="357"/>
      <c r="CH202" s="357"/>
      <c r="CI202" s="357"/>
      <c r="CJ202" s="357"/>
      <c r="CK202" s="357"/>
      <c r="CL202" s="357"/>
      <c r="CM202" s="357"/>
      <c r="CN202" s="357"/>
      <c r="CO202" s="357"/>
      <c r="CP202" s="357"/>
      <c r="CQ202" s="357"/>
      <c r="CR202" s="357"/>
      <c r="CS202" s="357"/>
      <c r="CT202" s="357"/>
      <c r="CU202" s="357"/>
      <c r="CV202" s="357"/>
      <c r="CW202" s="357"/>
      <c r="CX202" s="357"/>
      <c r="CY202" s="357"/>
      <c r="CZ202" s="357"/>
      <c r="DA202" s="357"/>
      <c r="DB202" s="357"/>
      <c r="DC202" s="357"/>
      <c r="DD202" s="357"/>
      <c r="DE202" s="357"/>
      <c r="DF202" s="357"/>
      <c r="DG202" s="357"/>
      <c r="DH202" s="357"/>
      <c r="DI202" s="357"/>
      <c r="DJ202" s="357"/>
      <c r="DK202" s="357"/>
      <c r="DL202" s="357"/>
      <c r="DM202" s="357"/>
      <c r="DN202" s="357"/>
      <c r="DO202" s="357"/>
      <c r="DP202" s="357"/>
      <c r="DQ202" s="357"/>
      <c r="DR202" s="357"/>
      <c r="DS202" s="357"/>
      <c r="DT202" s="357"/>
      <c r="DU202" s="357"/>
      <c r="DV202" s="357"/>
      <c r="DW202" s="357"/>
      <c r="DX202" s="357"/>
      <c r="DY202" s="357"/>
      <c r="DZ202" s="357"/>
      <c r="EA202" s="357"/>
      <c r="EB202" s="357"/>
      <c r="EC202" s="357"/>
      <c r="ED202" s="357"/>
      <c r="EE202" s="357"/>
      <c r="EF202" s="357"/>
      <c r="EG202" s="357"/>
      <c r="EH202" s="357"/>
      <c r="EI202" s="357"/>
      <c r="EJ202" s="357"/>
      <c r="EK202" s="357"/>
      <c r="EL202" s="357"/>
      <c r="EM202" s="357"/>
      <c r="EN202" s="357"/>
      <c r="EO202" s="357"/>
      <c r="EP202" s="357"/>
      <c r="EQ202" s="357"/>
      <c r="ER202" s="357"/>
      <c r="ES202" s="357"/>
      <c r="ET202" s="357"/>
      <c r="EU202" s="357"/>
      <c r="EV202" s="357"/>
      <c r="EW202" s="357"/>
      <c r="EX202" s="357"/>
      <c r="EY202" s="357"/>
      <c r="EZ202" s="357"/>
      <c r="FA202" s="357"/>
      <c r="FB202" s="357"/>
      <c r="FC202" s="357"/>
      <c r="FD202" s="357"/>
      <c r="FE202" s="357"/>
      <c r="FF202" s="357"/>
      <c r="FG202" s="357"/>
      <c r="FH202" s="357"/>
      <c r="FI202" s="357"/>
      <c r="FJ202" s="357"/>
      <c r="FK202" s="357"/>
      <c r="FL202" s="357"/>
      <c r="FM202" s="357"/>
      <c r="FN202" s="357"/>
      <c r="FO202" s="357"/>
      <c r="FP202" s="357"/>
      <c r="FQ202" s="357"/>
      <c r="FR202" s="357"/>
      <c r="FS202" s="357"/>
      <c r="FT202" s="357"/>
      <c r="FU202" s="357"/>
      <c r="FV202" s="357"/>
      <c r="FW202" s="357"/>
      <c r="FX202" s="357"/>
      <c r="FY202" s="357"/>
      <c r="FZ202" s="357"/>
      <c r="GA202" s="357"/>
      <c r="GB202" s="357"/>
      <c r="GC202" s="357"/>
      <c r="GD202" s="357"/>
      <c r="GE202" s="357"/>
      <c r="GF202" s="357"/>
      <c r="GG202" s="357"/>
      <c r="GH202" s="357"/>
      <c r="GI202" s="357"/>
      <c r="GJ202" s="357"/>
      <c r="GK202" s="154"/>
      <c r="GL202" s="154"/>
      <c r="GM202" s="154"/>
      <c r="GN202" s="154"/>
      <c r="GO202" s="154"/>
      <c r="GP202" s="154"/>
      <c r="GQ202" s="154"/>
      <c r="GR202" s="154"/>
      <c r="GS202" s="154"/>
      <c r="GT202" s="154"/>
      <c r="GU202" s="154"/>
      <c r="GV202" s="154"/>
      <c r="GW202" s="154"/>
      <c r="GX202" s="154"/>
    </row>
    <row r="203" spans="7:206">
      <c r="G203" s="154"/>
      <c r="H203" s="154"/>
      <c r="I203" s="154"/>
      <c r="J203" s="154"/>
      <c r="K203" s="154"/>
      <c r="L203" s="154"/>
      <c r="M203" s="154"/>
      <c r="N203" s="154"/>
      <c r="O203" s="154"/>
      <c r="P203" s="154"/>
      <c r="Q203" s="154"/>
      <c r="R203" s="154"/>
      <c r="S203" s="154"/>
      <c r="T203" s="154"/>
      <c r="U203" s="154"/>
      <c r="V203" s="154"/>
      <c r="W203" s="154"/>
      <c r="X203" s="154"/>
      <c r="Y203" s="154"/>
      <c r="Z203" s="357"/>
      <c r="AA203" s="357"/>
      <c r="AB203" s="357"/>
      <c r="AC203" s="357"/>
      <c r="AD203" s="357"/>
      <c r="AE203" s="357"/>
      <c r="AF203" s="357"/>
      <c r="AG203" s="357"/>
      <c r="AH203" s="357"/>
      <c r="AI203" s="357"/>
      <c r="AJ203" s="357"/>
      <c r="AK203" s="357"/>
      <c r="AL203" s="357"/>
      <c r="AM203" s="357"/>
      <c r="AN203" s="357"/>
      <c r="AO203" s="357"/>
      <c r="AP203" s="357"/>
      <c r="AQ203" s="357"/>
      <c r="AR203" s="357"/>
      <c r="AS203" s="357"/>
      <c r="AT203" s="357"/>
      <c r="AU203" s="357"/>
      <c r="AV203" s="357"/>
      <c r="AW203" s="357"/>
      <c r="AX203" s="357"/>
      <c r="AY203" s="357"/>
      <c r="AZ203" s="357"/>
      <c r="BA203" s="357"/>
      <c r="BB203" s="357"/>
      <c r="BC203" s="357"/>
      <c r="BD203" s="357"/>
      <c r="BE203" s="357"/>
      <c r="BF203" s="357"/>
      <c r="BG203" s="357"/>
      <c r="BH203" s="357"/>
      <c r="BI203" s="357"/>
      <c r="BJ203" s="357"/>
      <c r="BK203" s="357"/>
      <c r="BL203" s="357"/>
      <c r="BM203" s="357"/>
      <c r="BN203" s="357"/>
      <c r="BO203" s="357"/>
      <c r="BP203" s="357"/>
      <c r="BQ203" s="357"/>
      <c r="BR203" s="357"/>
      <c r="BS203" s="357"/>
      <c r="BT203" s="357"/>
      <c r="BU203" s="357"/>
      <c r="BV203" s="357"/>
      <c r="BW203" s="357"/>
      <c r="BX203" s="357"/>
      <c r="BY203" s="357"/>
      <c r="BZ203" s="357"/>
      <c r="CA203" s="357"/>
      <c r="CB203" s="357"/>
      <c r="CC203" s="357"/>
      <c r="CD203" s="357"/>
      <c r="CE203" s="357"/>
      <c r="CF203" s="357"/>
      <c r="CG203" s="357"/>
      <c r="CH203" s="357"/>
      <c r="CI203" s="357"/>
      <c r="CJ203" s="357"/>
      <c r="CK203" s="357"/>
      <c r="CL203" s="357"/>
      <c r="CM203" s="357"/>
      <c r="CN203" s="357"/>
      <c r="CO203" s="357"/>
      <c r="CP203" s="357"/>
      <c r="CQ203" s="357"/>
      <c r="CR203" s="357"/>
      <c r="CS203" s="357"/>
      <c r="CT203" s="357"/>
      <c r="CU203" s="357"/>
      <c r="CV203" s="357"/>
      <c r="CW203" s="357"/>
      <c r="CX203" s="357"/>
      <c r="CY203" s="357"/>
      <c r="CZ203" s="357"/>
      <c r="DA203" s="357"/>
      <c r="DB203" s="357"/>
      <c r="DC203" s="357"/>
      <c r="DD203" s="357"/>
      <c r="DE203" s="357"/>
      <c r="DF203" s="357"/>
      <c r="DG203" s="357"/>
      <c r="DH203" s="357"/>
      <c r="DI203" s="357"/>
      <c r="DJ203" s="357"/>
      <c r="DK203" s="357"/>
      <c r="DL203" s="357"/>
      <c r="DM203" s="357"/>
      <c r="DN203" s="357"/>
      <c r="DO203" s="357"/>
      <c r="DP203" s="357"/>
      <c r="DQ203" s="357"/>
      <c r="DR203" s="357"/>
      <c r="DS203" s="357"/>
      <c r="DT203" s="357"/>
      <c r="DU203" s="357"/>
      <c r="DV203" s="357"/>
      <c r="DW203" s="357"/>
      <c r="DX203" s="357"/>
      <c r="DY203" s="357"/>
      <c r="DZ203" s="357"/>
      <c r="EA203" s="357"/>
      <c r="EB203" s="357"/>
      <c r="EC203" s="357"/>
      <c r="ED203" s="357"/>
      <c r="EE203" s="357"/>
      <c r="EF203" s="357"/>
      <c r="EG203" s="357"/>
      <c r="EH203" s="357"/>
      <c r="EI203" s="357"/>
      <c r="EJ203" s="357"/>
      <c r="EK203" s="357"/>
      <c r="EL203" s="357"/>
      <c r="EM203" s="357"/>
      <c r="EN203" s="357"/>
      <c r="EO203" s="357"/>
      <c r="EP203" s="357"/>
      <c r="EQ203" s="357"/>
      <c r="ER203" s="357"/>
      <c r="ES203" s="357"/>
      <c r="ET203" s="357"/>
      <c r="EU203" s="357"/>
      <c r="EV203" s="357"/>
      <c r="EW203" s="357"/>
      <c r="EX203" s="357"/>
      <c r="EY203" s="357"/>
      <c r="EZ203" s="357"/>
      <c r="FA203" s="357"/>
      <c r="FB203" s="357"/>
      <c r="FC203" s="357"/>
      <c r="FD203" s="357"/>
      <c r="FE203" s="357"/>
      <c r="FF203" s="357"/>
      <c r="FG203" s="357"/>
      <c r="FH203" s="357"/>
      <c r="FI203" s="357"/>
      <c r="FJ203" s="357"/>
      <c r="FK203" s="357"/>
      <c r="FL203" s="357"/>
      <c r="FM203" s="357"/>
      <c r="FN203" s="357"/>
      <c r="FO203" s="357"/>
      <c r="FP203" s="357"/>
      <c r="FQ203" s="357"/>
      <c r="FR203" s="357"/>
      <c r="FS203" s="357"/>
      <c r="FT203" s="357"/>
      <c r="FU203" s="357"/>
      <c r="FV203" s="357"/>
      <c r="FW203" s="357"/>
      <c r="FX203" s="357"/>
      <c r="FY203" s="357"/>
      <c r="FZ203" s="357"/>
      <c r="GA203" s="357"/>
      <c r="GB203" s="357"/>
      <c r="GC203" s="357"/>
      <c r="GD203" s="357"/>
      <c r="GE203" s="357"/>
      <c r="GF203" s="357"/>
      <c r="GG203" s="357"/>
      <c r="GH203" s="357"/>
      <c r="GI203" s="357"/>
      <c r="GJ203" s="357"/>
      <c r="GK203" s="154"/>
      <c r="GL203" s="154"/>
      <c r="GM203" s="154"/>
      <c r="GN203" s="154"/>
      <c r="GO203" s="154"/>
      <c r="GP203" s="154"/>
      <c r="GQ203" s="154"/>
      <c r="GR203" s="154"/>
      <c r="GS203" s="154"/>
      <c r="GT203" s="154"/>
      <c r="GU203" s="154"/>
      <c r="GV203" s="154"/>
      <c r="GW203" s="154"/>
      <c r="GX203" s="154"/>
    </row>
    <row r="204" spans="7:206">
      <c r="G204" s="154"/>
      <c r="H204" s="154"/>
      <c r="I204" s="154"/>
      <c r="J204" s="154"/>
      <c r="K204" s="154"/>
      <c r="L204" s="154"/>
      <c r="M204" s="154"/>
      <c r="N204" s="154"/>
      <c r="O204" s="154"/>
      <c r="P204" s="154"/>
      <c r="Q204" s="154"/>
      <c r="R204" s="154"/>
      <c r="S204" s="154"/>
      <c r="T204" s="154"/>
      <c r="U204" s="154"/>
      <c r="V204" s="154"/>
      <c r="W204" s="154"/>
      <c r="X204" s="154"/>
      <c r="Y204" s="154"/>
      <c r="Z204" s="357"/>
      <c r="AA204" s="357"/>
      <c r="AB204" s="357"/>
      <c r="AC204" s="357"/>
      <c r="AD204" s="357"/>
      <c r="AE204" s="357"/>
      <c r="AF204" s="357"/>
      <c r="AG204" s="357"/>
      <c r="AH204" s="357"/>
      <c r="AI204" s="357"/>
      <c r="AJ204" s="357"/>
      <c r="AK204" s="357"/>
      <c r="AL204" s="357"/>
      <c r="AM204" s="357"/>
      <c r="AN204" s="357"/>
      <c r="AO204" s="357"/>
      <c r="AP204" s="357"/>
      <c r="AQ204" s="357"/>
      <c r="AR204" s="357"/>
      <c r="AS204" s="357"/>
      <c r="AT204" s="357"/>
      <c r="AU204" s="357"/>
      <c r="AV204" s="357"/>
      <c r="AW204" s="357"/>
      <c r="AX204" s="357"/>
      <c r="AY204" s="357"/>
      <c r="AZ204" s="357"/>
      <c r="BA204" s="357"/>
      <c r="BB204" s="357"/>
      <c r="BC204" s="357"/>
      <c r="BD204" s="357"/>
      <c r="BE204" s="357"/>
      <c r="BF204" s="357"/>
      <c r="BG204" s="357"/>
      <c r="BH204" s="357"/>
      <c r="BI204" s="357"/>
      <c r="BJ204" s="357"/>
      <c r="BK204" s="357"/>
      <c r="BL204" s="357"/>
      <c r="BM204" s="357"/>
      <c r="BN204" s="357"/>
      <c r="BO204" s="357"/>
      <c r="BP204" s="357"/>
      <c r="BQ204" s="357"/>
      <c r="BR204" s="357"/>
      <c r="BS204" s="357"/>
      <c r="BT204" s="357"/>
      <c r="BU204" s="357"/>
      <c r="BV204" s="357"/>
      <c r="BW204" s="357"/>
      <c r="BX204" s="357"/>
      <c r="BY204" s="357"/>
      <c r="BZ204" s="357"/>
      <c r="CA204" s="357"/>
      <c r="CB204" s="357"/>
      <c r="CC204" s="357"/>
      <c r="CD204" s="357"/>
      <c r="CE204" s="357"/>
      <c r="CF204" s="357"/>
      <c r="CG204" s="357"/>
      <c r="CH204" s="357"/>
      <c r="CI204" s="357"/>
      <c r="CJ204" s="357"/>
      <c r="CK204" s="357"/>
      <c r="CL204" s="357"/>
      <c r="CM204" s="357"/>
      <c r="CN204" s="357"/>
      <c r="CO204" s="357"/>
      <c r="CP204" s="357"/>
      <c r="CQ204" s="357"/>
      <c r="CR204" s="357"/>
      <c r="CS204" s="357"/>
      <c r="CT204" s="357"/>
      <c r="CU204" s="357"/>
      <c r="CV204" s="357"/>
      <c r="CW204" s="357"/>
      <c r="CX204" s="357"/>
      <c r="CY204" s="357"/>
      <c r="CZ204" s="357"/>
      <c r="DA204" s="357"/>
      <c r="DB204" s="357"/>
      <c r="DC204" s="357"/>
      <c r="DD204" s="357"/>
      <c r="DE204" s="357"/>
      <c r="DF204" s="357"/>
      <c r="DG204" s="357"/>
      <c r="DH204" s="357"/>
      <c r="DI204" s="357"/>
      <c r="DJ204" s="357"/>
      <c r="DK204" s="357"/>
      <c r="DL204" s="357"/>
      <c r="DM204" s="357"/>
      <c r="DN204" s="357"/>
      <c r="DO204" s="357"/>
      <c r="DP204" s="357"/>
      <c r="DQ204" s="357"/>
      <c r="DR204" s="357"/>
      <c r="DS204" s="357"/>
      <c r="DT204" s="357"/>
      <c r="DU204" s="357"/>
      <c r="DV204" s="357"/>
      <c r="DW204" s="357"/>
      <c r="DX204" s="357"/>
      <c r="DY204" s="357"/>
      <c r="DZ204" s="357"/>
      <c r="EA204" s="357"/>
      <c r="EB204" s="357"/>
      <c r="EC204" s="357"/>
      <c r="ED204" s="357"/>
      <c r="EE204" s="357"/>
      <c r="EF204" s="357"/>
      <c r="EG204" s="357"/>
      <c r="EH204" s="357"/>
      <c r="EI204" s="357"/>
      <c r="EJ204" s="357"/>
      <c r="EK204" s="357"/>
      <c r="EL204" s="357"/>
      <c r="EM204" s="357"/>
      <c r="EN204" s="357"/>
      <c r="EO204" s="357"/>
      <c r="EP204" s="357"/>
      <c r="EQ204" s="357"/>
      <c r="ER204" s="357"/>
      <c r="ES204" s="357"/>
      <c r="ET204" s="357"/>
      <c r="EU204" s="357"/>
      <c r="EV204" s="357"/>
      <c r="EW204" s="357"/>
      <c r="EX204" s="357"/>
      <c r="EY204" s="357"/>
      <c r="EZ204" s="357"/>
      <c r="FA204" s="357"/>
      <c r="FB204" s="357"/>
      <c r="FC204" s="357"/>
      <c r="FD204" s="357"/>
      <c r="FE204" s="357"/>
      <c r="FF204" s="357"/>
      <c r="FG204" s="357"/>
      <c r="FH204" s="357"/>
      <c r="FI204" s="357"/>
      <c r="FJ204" s="357"/>
      <c r="FK204" s="357"/>
      <c r="FL204" s="357"/>
      <c r="FM204" s="357"/>
      <c r="FN204" s="357"/>
      <c r="FO204" s="357"/>
      <c r="FP204" s="357"/>
      <c r="FQ204" s="357"/>
      <c r="FR204" s="357"/>
      <c r="FS204" s="357"/>
      <c r="FT204" s="357"/>
      <c r="FU204" s="357"/>
      <c r="FV204" s="357"/>
      <c r="FW204" s="357"/>
      <c r="FX204" s="357"/>
      <c r="FY204" s="357"/>
      <c r="FZ204" s="357"/>
      <c r="GA204" s="357"/>
      <c r="GB204" s="357"/>
      <c r="GC204" s="357"/>
      <c r="GD204" s="357"/>
      <c r="GE204" s="357"/>
      <c r="GF204" s="357"/>
      <c r="GG204" s="357"/>
      <c r="GH204" s="357"/>
      <c r="GI204" s="357"/>
      <c r="GJ204" s="357"/>
      <c r="GK204" s="154"/>
      <c r="GL204" s="154"/>
      <c r="GM204" s="154"/>
      <c r="GN204" s="154"/>
      <c r="GO204" s="154"/>
      <c r="GP204" s="154"/>
      <c r="GQ204" s="154"/>
      <c r="GR204" s="154"/>
      <c r="GS204" s="154"/>
      <c r="GT204" s="154"/>
      <c r="GU204" s="154"/>
      <c r="GV204" s="154"/>
      <c r="GW204" s="154"/>
      <c r="GX204" s="154"/>
    </row>
    <row r="205" spans="7:206">
      <c r="G205" s="154"/>
      <c r="H205" s="154"/>
      <c r="I205" s="154"/>
      <c r="J205" s="154"/>
      <c r="K205" s="154"/>
      <c r="L205" s="154"/>
      <c r="M205" s="154"/>
      <c r="N205" s="154"/>
      <c r="O205" s="154"/>
      <c r="P205" s="154"/>
      <c r="Q205" s="154"/>
      <c r="R205" s="154"/>
      <c r="S205" s="154"/>
      <c r="T205" s="154"/>
      <c r="U205" s="154"/>
      <c r="V205" s="154"/>
      <c r="W205" s="154"/>
      <c r="X205" s="154"/>
      <c r="Y205" s="154"/>
      <c r="Z205" s="357"/>
      <c r="AA205" s="357"/>
      <c r="AB205" s="357"/>
      <c r="AC205" s="357"/>
      <c r="AD205" s="357"/>
      <c r="AE205" s="357"/>
      <c r="AF205" s="357"/>
      <c r="AG205" s="357"/>
      <c r="AH205" s="357"/>
      <c r="AI205" s="357"/>
      <c r="AJ205" s="357"/>
      <c r="AK205" s="357"/>
      <c r="AL205" s="357"/>
      <c r="AM205" s="357"/>
      <c r="AN205" s="357"/>
      <c r="AO205" s="357"/>
      <c r="AP205" s="357"/>
      <c r="AQ205" s="357"/>
      <c r="AR205" s="357"/>
      <c r="AS205" s="357"/>
      <c r="AT205" s="357"/>
      <c r="AU205" s="357"/>
      <c r="AV205" s="357"/>
      <c r="AW205" s="357"/>
      <c r="AX205" s="357"/>
      <c r="AY205" s="357"/>
      <c r="AZ205" s="357"/>
      <c r="BA205" s="357"/>
      <c r="BB205" s="357"/>
      <c r="BC205" s="357"/>
      <c r="BD205" s="357"/>
      <c r="BE205" s="357"/>
      <c r="BF205" s="357"/>
      <c r="BG205" s="357"/>
      <c r="BH205" s="357"/>
      <c r="BI205" s="357"/>
      <c r="BJ205" s="357"/>
      <c r="BK205" s="357"/>
      <c r="BL205" s="357"/>
      <c r="BM205" s="357"/>
      <c r="BN205" s="357"/>
      <c r="BO205" s="357"/>
      <c r="BP205" s="357"/>
      <c r="BQ205" s="357"/>
      <c r="BR205" s="357"/>
      <c r="BS205" s="357"/>
      <c r="BT205" s="357"/>
      <c r="BU205" s="357"/>
      <c r="BV205" s="357"/>
      <c r="BW205" s="357"/>
      <c r="BX205" s="357"/>
      <c r="BY205" s="357"/>
      <c r="BZ205" s="357"/>
      <c r="CA205" s="357"/>
      <c r="CB205" s="357"/>
      <c r="CC205" s="357"/>
      <c r="CD205" s="357"/>
      <c r="CE205" s="357"/>
      <c r="CF205" s="357"/>
      <c r="CG205" s="357"/>
      <c r="CH205" s="357"/>
      <c r="CI205" s="357"/>
      <c r="CJ205" s="357"/>
      <c r="CK205" s="357"/>
      <c r="CL205" s="357"/>
      <c r="CM205" s="357"/>
      <c r="CN205" s="357"/>
      <c r="CO205" s="357"/>
      <c r="CP205" s="357"/>
      <c r="CQ205" s="357"/>
      <c r="CR205" s="357"/>
      <c r="CS205" s="357"/>
      <c r="CT205" s="357"/>
      <c r="CU205" s="357"/>
      <c r="CV205" s="357"/>
      <c r="CW205" s="357"/>
      <c r="CX205" s="357"/>
      <c r="CY205" s="357"/>
      <c r="CZ205" s="357"/>
      <c r="DA205" s="357"/>
      <c r="DB205" s="357"/>
      <c r="DC205" s="357"/>
      <c r="DD205" s="357"/>
      <c r="DE205" s="357"/>
      <c r="DF205" s="357"/>
      <c r="DG205" s="357"/>
      <c r="DH205" s="357"/>
      <c r="DI205" s="357"/>
      <c r="DJ205" s="357"/>
      <c r="DK205" s="357"/>
      <c r="DL205" s="357"/>
      <c r="DM205" s="357"/>
      <c r="DN205" s="357"/>
      <c r="DO205" s="357"/>
      <c r="DP205" s="357"/>
      <c r="DQ205" s="357"/>
      <c r="DR205" s="357"/>
      <c r="DS205" s="357"/>
      <c r="DT205" s="357"/>
      <c r="DU205" s="357"/>
      <c r="DV205" s="357"/>
      <c r="DW205" s="357"/>
      <c r="DX205" s="357"/>
      <c r="DY205" s="357"/>
      <c r="DZ205" s="357"/>
      <c r="EA205" s="357"/>
      <c r="EB205" s="357"/>
      <c r="EC205" s="357"/>
      <c r="ED205" s="357"/>
      <c r="EE205" s="357"/>
      <c r="EF205" s="357"/>
      <c r="EG205" s="357"/>
      <c r="EH205" s="357"/>
      <c r="EI205" s="357"/>
      <c r="EJ205" s="357"/>
      <c r="EK205" s="357"/>
      <c r="EL205" s="357"/>
      <c r="EM205" s="357"/>
      <c r="EN205" s="357"/>
      <c r="EO205" s="357"/>
      <c r="EP205" s="357"/>
      <c r="EQ205" s="357"/>
      <c r="ER205" s="357"/>
      <c r="ES205" s="357"/>
      <c r="ET205" s="357"/>
      <c r="EU205" s="357"/>
      <c r="EV205" s="357"/>
      <c r="EW205" s="357"/>
      <c r="EX205" s="357"/>
      <c r="EY205" s="357"/>
      <c r="EZ205" s="357"/>
      <c r="FA205" s="357"/>
      <c r="FB205" s="357"/>
      <c r="FC205" s="357"/>
      <c r="FD205" s="357"/>
      <c r="FE205" s="357"/>
      <c r="FF205" s="357"/>
      <c r="FG205" s="357"/>
      <c r="FH205" s="357"/>
      <c r="FI205" s="357"/>
      <c r="FJ205" s="357"/>
      <c r="FK205" s="357"/>
      <c r="FL205" s="357"/>
      <c r="FM205" s="357"/>
      <c r="FN205" s="357"/>
      <c r="FO205" s="357"/>
      <c r="FP205" s="357"/>
      <c r="FQ205" s="357"/>
      <c r="FR205" s="357"/>
      <c r="FS205" s="357"/>
      <c r="FT205" s="357"/>
      <c r="FU205" s="357"/>
      <c r="FV205" s="357"/>
      <c r="FW205" s="357"/>
      <c r="FX205" s="357"/>
      <c r="FY205" s="357"/>
      <c r="FZ205" s="357"/>
      <c r="GA205" s="357"/>
      <c r="GB205" s="357"/>
      <c r="GC205" s="357"/>
      <c r="GD205" s="357"/>
      <c r="GE205" s="357"/>
      <c r="GF205" s="357"/>
      <c r="GG205" s="357"/>
      <c r="GH205" s="357"/>
      <c r="GI205" s="357"/>
      <c r="GJ205" s="357"/>
      <c r="GK205" s="154"/>
      <c r="GL205" s="154"/>
      <c r="GM205" s="154"/>
      <c r="GN205" s="154"/>
      <c r="GO205" s="154"/>
      <c r="GP205" s="154"/>
      <c r="GQ205" s="154"/>
      <c r="GR205" s="154"/>
      <c r="GS205" s="154"/>
      <c r="GT205" s="154"/>
      <c r="GU205" s="154"/>
      <c r="GV205" s="154"/>
      <c r="GW205" s="154"/>
      <c r="GX205" s="154"/>
    </row>
    <row r="206" spans="7:206">
      <c r="G206" s="154"/>
      <c r="H206" s="154"/>
      <c r="I206" s="154"/>
      <c r="J206" s="154"/>
      <c r="K206" s="154"/>
      <c r="L206" s="154"/>
      <c r="M206" s="154"/>
      <c r="N206" s="154"/>
      <c r="O206" s="154"/>
      <c r="P206" s="154"/>
      <c r="Q206" s="154"/>
      <c r="R206" s="154"/>
      <c r="S206" s="154"/>
      <c r="T206" s="154"/>
      <c r="U206" s="154"/>
      <c r="V206" s="154"/>
      <c r="W206" s="154"/>
      <c r="X206" s="154"/>
      <c r="Y206" s="154"/>
      <c r="Z206" s="357"/>
      <c r="AA206" s="357"/>
      <c r="AB206" s="357"/>
      <c r="AC206" s="357"/>
      <c r="AD206" s="357"/>
      <c r="AE206" s="357"/>
      <c r="AF206" s="357"/>
      <c r="AG206" s="357"/>
      <c r="AH206" s="357"/>
      <c r="AI206" s="357"/>
      <c r="AJ206" s="357"/>
      <c r="AK206" s="357"/>
      <c r="AL206" s="357"/>
      <c r="AM206" s="357"/>
      <c r="AN206" s="357"/>
      <c r="AO206" s="357"/>
      <c r="AP206" s="357"/>
      <c r="AQ206" s="357"/>
      <c r="AR206" s="357"/>
      <c r="AS206" s="357"/>
      <c r="AT206" s="357"/>
      <c r="AU206" s="357"/>
      <c r="AV206" s="357"/>
      <c r="AW206" s="357"/>
      <c r="AX206" s="357"/>
      <c r="AY206" s="357"/>
      <c r="AZ206" s="357"/>
      <c r="BA206" s="357"/>
      <c r="BB206" s="357"/>
      <c r="BC206" s="357"/>
      <c r="BD206" s="357"/>
      <c r="BE206" s="357"/>
      <c r="BF206" s="357"/>
      <c r="BG206" s="357"/>
      <c r="BH206" s="357"/>
      <c r="BI206" s="357"/>
      <c r="BJ206" s="357"/>
      <c r="BK206" s="357"/>
      <c r="BL206" s="357"/>
      <c r="BM206" s="357"/>
      <c r="BN206" s="357"/>
      <c r="BO206" s="357"/>
      <c r="BP206" s="357"/>
      <c r="BQ206" s="357"/>
      <c r="BR206" s="357"/>
      <c r="BS206" s="357"/>
      <c r="BT206" s="357"/>
      <c r="BU206" s="357"/>
      <c r="BV206" s="357"/>
      <c r="BW206" s="357"/>
      <c r="BX206" s="357"/>
      <c r="BY206" s="357"/>
      <c r="BZ206" s="357"/>
      <c r="CA206" s="357"/>
      <c r="CB206" s="357"/>
      <c r="CC206" s="357"/>
      <c r="CD206" s="357"/>
      <c r="CE206" s="357"/>
      <c r="CF206" s="357"/>
      <c r="CG206" s="357"/>
      <c r="CH206" s="357"/>
      <c r="CI206" s="357"/>
      <c r="CJ206" s="357"/>
      <c r="CK206" s="357"/>
      <c r="CL206" s="357"/>
      <c r="CM206" s="357"/>
      <c r="CN206" s="357"/>
      <c r="CO206" s="357"/>
      <c r="CP206" s="357"/>
      <c r="CQ206" s="357"/>
      <c r="CR206" s="357"/>
      <c r="CS206" s="357"/>
      <c r="CT206" s="357"/>
      <c r="CU206" s="357"/>
      <c r="CV206" s="357"/>
      <c r="CW206" s="357"/>
      <c r="CX206" s="357"/>
      <c r="CY206" s="357"/>
      <c r="CZ206" s="357"/>
      <c r="DA206" s="357"/>
      <c r="DB206" s="357"/>
      <c r="DC206" s="357"/>
      <c r="DD206" s="357"/>
      <c r="DE206" s="357"/>
      <c r="DF206" s="357"/>
      <c r="DG206" s="357"/>
      <c r="DH206" s="357"/>
      <c r="DI206" s="357"/>
      <c r="DJ206" s="357"/>
      <c r="DK206" s="357"/>
      <c r="DL206" s="357"/>
      <c r="DM206" s="357"/>
      <c r="DN206" s="357"/>
      <c r="DO206" s="357"/>
      <c r="DP206" s="357"/>
      <c r="DQ206" s="357"/>
      <c r="DR206" s="357"/>
      <c r="DS206" s="357"/>
      <c r="DT206" s="357"/>
      <c r="DU206" s="357"/>
      <c r="DV206" s="357"/>
      <c r="DW206" s="357"/>
      <c r="DX206" s="357"/>
      <c r="DY206" s="357"/>
      <c r="DZ206" s="357"/>
      <c r="EA206" s="357"/>
      <c r="EB206" s="357"/>
      <c r="EC206" s="357"/>
      <c r="ED206" s="357"/>
      <c r="EE206" s="357"/>
      <c r="EF206" s="357"/>
      <c r="EG206" s="357"/>
      <c r="EH206" s="357"/>
      <c r="EI206" s="357"/>
      <c r="EJ206" s="357"/>
      <c r="EK206" s="357"/>
      <c r="EL206" s="357"/>
      <c r="EM206" s="357"/>
      <c r="EN206" s="357"/>
      <c r="EO206" s="357"/>
      <c r="EP206" s="357"/>
      <c r="EQ206" s="357"/>
      <c r="ER206" s="357"/>
      <c r="ES206" s="357"/>
      <c r="ET206" s="357"/>
      <c r="EU206" s="357"/>
      <c r="EV206" s="357"/>
      <c r="EW206" s="357"/>
      <c r="EX206" s="357"/>
      <c r="EY206" s="357"/>
      <c r="EZ206" s="357"/>
      <c r="FA206" s="357"/>
      <c r="FB206" s="357"/>
      <c r="FC206" s="357"/>
      <c r="FD206" s="357"/>
      <c r="FE206" s="357"/>
      <c r="FF206" s="357"/>
      <c r="FG206" s="357"/>
      <c r="FH206" s="357"/>
      <c r="FI206" s="357"/>
      <c r="FJ206" s="357"/>
      <c r="FK206" s="357"/>
      <c r="FL206" s="357"/>
      <c r="FM206" s="357"/>
      <c r="FN206" s="357"/>
      <c r="FO206" s="357"/>
      <c r="FP206" s="357"/>
      <c r="FQ206" s="357"/>
      <c r="FR206" s="357"/>
      <c r="FS206" s="357"/>
      <c r="FT206" s="357"/>
      <c r="FU206" s="357"/>
      <c r="FV206" s="357"/>
      <c r="FW206" s="357"/>
      <c r="FX206" s="357"/>
      <c r="FY206" s="357"/>
      <c r="FZ206" s="357"/>
      <c r="GA206" s="357"/>
      <c r="GB206" s="357"/>
      <c r="GC206" s="357"/>
      <c r="GD206" s="357"/>
      <c r="GE206" s="357"/>
      <c r="GF206" s="357"/>
      <c r="GG206" s="357"/>
      <c r="GH206" s="357"/>
      <c r="GI206" s="357"/>
      <c r="GJ206" s="357"/>
      <c r="GK206" s="154"/>
      <c r="GL206" s="154"/>
      <c r="GM206" s="154"/>
      <c r="GN206" s="154"/>
      <c r="GO206" s="154"/>
      <c r="GP206" s="154"/>
      <c r="GQ206" s="154"/>
      <c r="GR206" s="154"/>
      <c r="GS206" s="154"/>
      <c r="GT206" s="154"/>
      <c r="GU206" s="154"/>
      <c r="GV206" s="154"/>
      <c r="GW206" s="154"/>
      <c r="GX206" s="154"/>
    </row>
    <row r="207" spans="7:206">
      <c r="G207" s="154"/>
      <c r="H207" s="154"/>
      <c r="I207" s="154"/>
      <c r="J207" s="154"/>
      <c r="K207" s="154"/>
      <c r="L207" s="154"/>
      <c r="M207" s="154"/>
      <c r="N207" s="154"/>
      <c r="O207" s="154"/>
      <c r="P207" s="154"/>
      <c r="Q207" s="154"/>
      <c r="R207" s="154"/>
      <c r="S207" s="154"/>
      <c r="T207" s="154"/>
      <c r="U207" s="154"/>
      <c r="V207" s="154"/>
      <c r="W207" s="154"/>
      <c r="X207" s="154"/>
      <c r="Y207" s="154"/>
      <c r="Z207" s="357"/>
      <c r="AA207" s="357"/>
      <c r="AB207" s="357"/>
      <c r="AC207" s="357"/>
      <c r="AD207" s="357"/>
      <c r="AE207" s="357"/>
      <c r="AF207" s="357"/>
      <c r="AG207" s="357"/>
      <c r="AH207" s="357"/>
      <c r="AI207" s="357"/>
      <c r="AJ207" s="357"/>
      <c r="AK207" s="357"/>
      <c r="AL207" s="357"/>
      <c r="AM207" s="357"/>
      <c r="AN207" s="357"/>
      <c r="AO207" s="357"/>
      <c r="AP207" s="357"/>
      <c r="AQ207" s="357"/>
      <c r="AR207" s="357"/>
      <c r="AS207" s="357"/>
      <c r="AT207" s="357"/>
      <c r="AU207" s="357"/>
      <c r="AV207" s="357"/>
      <c r="AW207" s="357"/>
      <c r="AX207" s="357"/>
      <c r="AY207" s="357"/>
      <c r="AZ207" s="357"/>
      <c r="BA207" s="357"/>
      <c r="BB207" s="357"/>
      <c r="BC207" s="357"/>
      <c r="BD207" s="357"/>
      <c r="BE207" s="357"/>
      <c r="BF207" s="357"/>
      <c r="BG207" s="357"/>
      <c r="BH207" s="357"/>
      <c r="BI207" s="357"/>
      <c r="BJ207" s="357"/>
      <c r="BK207" s="357"/>
      <c r="BL207" s="357"/>
      <c r="BM207" s="357"/>
      <c r="BN207" s="357"/>
      <c r="BO207" s="357"/>
      <c r="BP207" s="357"/>
      <c r="BQ207" s="357"/>
      <c r="BR207" s="357"/>
      <c r="BS207" s="357"/>
      <c r="BT207" s="357"/>
      <c r="BU207" s="357"/>
      <c r="BV207" s="357"/>
      <c r="BW207" s="357"/>
      <c r="BX207" s="357"/>
      <c r="BY207" s="357"/>
      <c r="BZ207" s="357"/>
      <c r="CA207" s="357"/>
      <c r="CB207" s="357"/>
      <c r="CC207" s="357"/>
      <c r="CD207" s="357"/>
      <c r="CE207" s="357"/>
      <c r="CF207" s="357"/>
      <c r="CG207" s="357"/>
      <c r="CH207" s="357"/>
      <c r="CI207" s="357"/>
      <c r="CJ207" s="357"/>
      <c r="CK207" s="357"/>
      <c r="CL207" s="357"/>
      <c r="CM207" s="357"/>
      <c r="CN207" s="357"/>
      <c r="CO207" s="357"/>
      <c r="CP207" s="357"/>
      <c r="CQ207" s="357"/>
      <c r="CR207" s="357"/>
      <c r="CS207" s="357"/>
      <c r="CT207" s="357"/>
      <c r="CU207" s="357"/>
      <c r="CV207" s="357"/>
      <c r="CW207" s="357"/>
      <c r="CX207" s="357"/>
      <c r="CY207" s="357"/>
      <c r="CZ207" s="357"/>
      <c r="DA207" s="357"/>
      <c r="DB207" s="357"/>
      <c r="DC207" s="357"/>
      <c r="DD207" s="357"/>
      <c r="DE207" s="357"/>
      <c r="DF207" s="357"/>
      <c r="DG207" s="357"/>
      <c r="DH207" s="357"/>
      <c r="DI207" s="357"/>
      <c r="DJ207" s="357"/>
      <c r="DK207" s="357"/>
      <c r="DL207" s="357"/>
      <c r="DM207" s="357"/>
      <c r="DN207" s="357"/>
      <c r="DO207" s="357"/>
      <c r="DP207" s="357"/>
      <c r="DQ207" s="357"/>
      <c r="DR207" s="357"/>
      <c r="DS207" s="357"/>
      <c r="DT207" s="357"/>
      <c r="DU207" s="357"/>
      <c r="DV207" s="357"/>
      <c r="DW207" s="357"/>
      <c r="DX207" s="357"/>
      <c r="DY207" s="357"/>
      <c r="DZ207" s="357"/>
      <c r="EA207" s="357"/>
      <c r="EB207" s="357"/>
      <c r="EC207" s="357"/>
      <c r="ED207" s="357"/>
      <c r="EE207" s="357"/>
      <c r="EF207" s="357"/>
      <c r="EG207" s="357"/>
      <c r="EH207" s="357"/>
      <c r="EI207" s="357"/>
      <c r="EJ207" s="357"/>
      <c r="EK207" s="357"/>
      <c r="EL207" s="357"/>
      <c r="EM207" s="357"/>
      <c r="EN207" s="357"/>
      <c r="EO207" s="357"/>
      <c r="EP207" s="357"/>
      <c r="EQ207" s="357"/>
      <c r="ER207" s="357"/>
      <c r="ES207" s="357"/>
      <c r="ET207" s="357"/>
      <c r="EU207" s="357"/>
      <c r="EV207" s="357"/>
      <c r="EW207" s="357"/>
      <c r="EX207" s="357"/>
      <c r="EY207" s="357"/>
      <c r="EZ207" s="357"/>
      <c r="FA207" s="357"/>
      <c r="FB207" s="357"/>
      <c r="FC207" s="357"/>
      <c r="FD207" s="357"/>
      <c r="FE207" s="357"/>
      <c r="FF207" s="357"/>
      <c r="FG207" s="357"/>
      <c r="FH207" s="357"/>
      <c r="FI207" s="357"/>
      <c r="FJ207" s="357"/>
      <c r="FK207" s="357"/>
      <c r="FL207" s="357"/>
      <c r="FM207" s="357"/>
      <c r="FN207" s="357"/>
      <c r="FO207" s="357"/>
      <c r="FP207" s="357"/>
      <c r="FQ207" s="357"/>
      <c r="FR207" s="357"/>
      <c r="FS207" s="357"/>
      <c r="FT207" s="357"/>
      <c r="FU207" s="357"/>
      <c r="FV207" s="357"/>
      <c r="FW207" s="357"/>
      <c r="FX207" s="357"/>
      <c r="FY207" s="357"/>
      <c r="FZ207" s="357"/>
      <c r="GA207" s="357"/>
      <c r="GB207" s="357"/>
      <c r="GC207" s="357"/>
      <c r="GD207" s="357"/>
      <c r="GE207" s="357"/>
      <c r="GF207" s="357"/>
      <c r="GG207" s="357"/>
      <c r="GH207" s="357"/>
      <c r="GI207" s="357"/>
      <c r="GJ207" s="357"/>
      <c r="GK207" s="154"/>
      <c r="GL207" s="154"/>
      <c r="GM207" s="154"/>
      <c r="GN207" s="154"/>
      <c r="GO207" s="154"/>
      <c r="GP207" s="154"/>
      <c r="GQ207" s="154"/>
      <c r="GR207" s="154"/>
      <c r="GS207" s="154"/>
      <c r="GT207" s="154"/>
      <c r="GU207" s="154"/>
      <c r="GV207" s="154"/>
      <c r="GW207" s="154"/>
      <c r="GX207" s="154"/>
    </row>
    <row r="208" spans="7:206">
      <c r="G208" s="154"/>
      <c r="H208" s="154"/>
      <c r="I208" s="154"/>
      <c r="J208" s="154"/>
      <c r="K208" s="154"/>
      <c r="L208" s="154"/>
      <c r="M208" s="154"/>
      <c r="N208" s="154"/>
      <c r="O208" s="154"/>
      <c r="P208" s="154"/>
      <c r="Q208" s="154"/>
      <c r="R208" s="154"/>
      <c r="S208" s="154"/>
      <c r="T208" s="154"/>
      <c r="U208" s="154"/>
      <c r="V208" s="154"/>
      <c r="W208" s="154"/>
      <c r="X208" s="154"/>
      <c r="Y208" s="154"/>
      <c r="Z208" s="357"/>
      <c r="AA208" s="357"/>
      <c r="AB208" s="357"/>
      <c r="AC208" s="357"/>
      <c r="AD208" s="357"/>
      <c r="AE208" s="357"/>
      <c r="AF208" s="357"/>
      <c r="AG208" s="357"/>
      <c r="AH208" s="357"/>
      <c r="AI208" s="357"/>
      <c r="AJ208" s="357"/>
      <c r="AK208" s="357"/>
      <c r="AL208" s="357"/>
      <c r="AM208" s="357"/>
      <c r="AN208" s="357"/>
      <c r="AO208" s="357"/>
      <c r="AP208" s="357"/>
      <c r="AQ208" s="357"/>
      <c r="AR208" s="357"/>
      <c r="AS208" s="357"/>
      <c r="AT208" s="357"/>
      <c r="AU208" s="357"/>
      <c r="AV208" s="357"/>
      <c r="AW208" s="357"/>
      <c r="AX208" s="357"/>
      <c r="AY208" s="357"/>
      <c r="AZ208" s="357"/>
      <c r="BA208" s="357"/>
      <c r="BB208" s="357"/>
      <c r="BC208" s="357"/>
      <c r="BD208" s="357"/>
      <c r="BE208" s="357"/>
      <c r="BF208" s="357"/>
      <c r="BG208" s="357"/>
      <c r="BH208" s="357"/>
      <c r="BI208" s="357"/>
      <c r="BJ208" s="357"/>
      <c r="BK208" s="357"/>
      <c r="BL208" s="357"/>
      <c r="BM208" s="357"/>
      <c r="BN208" s="357"/>
      <c r="BO208" s="357"/>
      <c r="BP208" s="357"/>
      <c r="BQ208" s="357"/>
      <c r="BR208" s="357"/>
      <c r="BS208" s="357"/>
      <c r="BT208" s="357"/>
      <c r="BU208" s="357"/>
      <c r="BV208" s="357"/>
      <c r="BW208" s="357"/>
      <c r="BX208" s="357"/>
      <c r="BY208" s="357"/>
      <c r="BZ208" s="357"/>
      <c r="CA208" s="357"/>
      <c r="CB208" s="357"/>
      <c r="CC208" s="357"/>
      <c r="CD208" s="357"/>
      <c r="CE208" s="357"/>
      <c r="CF208" s="357"/>
      <c r="CG208" s="357"/>
      <c r="CH208" s="357"/>
      <c r="CI208" s="357"/>
      <c r="CJ208" s="357"/>
      <c r="CK208" s="357"/>
      <c r="CL208" s="357"/>
      <c r="CM208" s="357"/>
      <c r="CN208" s="357"/>
      <c r="CO208" s="357"/>
      <c r="CP208" s="357"/>
      <c r="CQ208" s="357"/>
      <c r="CR208" s="357"/>
      <c r="CS208" s="357"/>
      <c r="CT208" s="357"/>
      <c r="CU208" s="357"/>
      <c r="CV208" s="357"/>
      <c r="CW208" s="357"/>
      <c r="CX208" s="357"/>
      <c r="CY208" s="357"/>
      <c r="CZ208" s="357"/>
      <c r="DA208" s="357"/>
      <c r="DB208" s="357"/>
      <c r="DC208" s="357"/>
      <c r="DD208" s="357"/>
      <c r="DE208" s="357"/>
      <c r="DF208" s="357"/>
      <c r="DG208" s="357"/>
      <c r="DH208" s="357"/>
      <c r="DI208" s="357"/>
      <c r="DJ208" s="357"/>
      <c r="DK208" s="357"/>
      <c r="DL208" s="357"/>
      <c r="DM208" s="357"/>
      <c r="DN208" s="357"/>
      <c r="DO208" s="357"/>
      <c r="DP208" s="357"/>
      <c r="DQ208" s="357"/>
      <c r="DR208" s="357"/>
      <c r="DS208" s="357"/>
      <c r="DT208" s="357"/>
      <c r="DU208" s="357"/>
      <c r="DV208" s="357"/>
      <c r="DW208" s="357"/>
      <c r="DX208" s="357"/>
      <c r="DY208" s="357"/>
      <c r="DZ208" s="357"/>
      <c r="EA208" s="357"/>
      <c r="EB208" s="357"/>
      <c r="EC208" s="357"/>
      <c r="ED208" s="357"/>
      <c r="EE208" s="357"/>
      <c r="EF208" s="357"/>
      <c r="EG208" s="357"/>
      <c r="EH208" s="357"/>
      <c r="EI208" s="357"/>
      <c r="EJ208" s="357"/>
      <c r="EK208" s="357"/>
      <c r="EL208" s="357"/>
      <c r="EM208" s="357"/>
      <c r="EN208" s="357"/>
      <c r="EO208" s="357"/>
      <c r="EP208" s="357"/>
      <c r="EQ208" s="357"/>
      <c r="ER208" s="357"/>
      <c r="ES208" s="357"/>
      <c r="ET208" s="357"/>
      <c r="EU208" s="357"/>
      <c r="EV208" s="357"/>
      <c r="EW208" s="357"/>
      <c r="EX208" s="357"/>
      <c r="EY208" s="357"/>
      <c r="EZ208" s="357"/>
      <c r="FA208" s="357"/>
      <c r="FB208" s="357"/>
      <c r="FC208" s="357"/>
      <c r="FD208" s="357"/>
      <c r="FE208" s="357"/>
      <c r="FF208" s="357"/>
      <c r="FG208" s="357"/>
      <c r="FH208" s="357"/>
      <c r="FI208" s="357"/>
      <c r="FJ208" s="357"/>
      <c r="FK208" s="357"/>
      <c r="FL208" s="357"/>
      <c r="FM208" s="357"/>
      <c r="FN208" s="357"/>
      <c r="FO208" s="357"/>
      <c r="FP208" s="357"/>
      <c r="FQ208" s="357"/>
      <c r="FR208" s="357"/>
      <c r="FS208" s="357"/>
      <c r="FT208" s="357"/>
      <c r="FU208" s="357"/>
      <c r="FV208" s="357"/>
      <c r="FW208" s="357"/>
      <c r="FX208" s="357"/>
      <c r="FY208" s="357"/>
      <c r="FZ208" s="357"/>
      <c r="GA208" s="357"/>
      <c r="GB208" s="357"/>
      <c r="GC208" s="357"/>
      <c r="GD208" s="357"/>
      <c r="GE208" s="357"/>
      <c r="GF208" s="357"/>
      <c r="GG208" s="357"/>
      <c r="GH208" s="357"/>
      <c r="GI208" s="357"/>
      <c r="GJ208" s="357"/>
      <c r="GK208" s="154"/>
      <c r="GL208" s="154"/>
      <c r="GM208" s="154"/>
      <c r="GN208" s="154"/>
      <c r="GO208" s="154"/>
      <c r="GP208" s="154"/>
      <c r="GQ208" s="154"/>
      <c r="GR208" s="154"/>
      <c r="GS208" s="154"/>
      <c r="GT208" s="154"/>
      <c r="GU208" s="154"/>
      <c r="GV208" s="154"/>
      <c r="GW208" s="154"/>
      <c r="GX208" s="154"/>
    </row>
    <row r="209" spans="7:206">
      <c r="G209" s="154"/>
      <c r="H209" s="154"/>
      <c r="I209" s="154"/>
      <c r="J209" s="154"/>
      <c r="K209" s="154"/>
      <c r="L209" s="154"/>
      <c r="M209" s="154"/>
      <c r="N209" s="154"/>
      <c r="O209" s="154"/>
      <c r="P209" s="154"/>
      <c r="Q209" s="154"/>
      <c r="R209" s="154"/>
      <c r="S209" s="154"/>
      <c r="T209" s="154"/>
      <c r="U209" s="154"/>
      <c r="V209" s="154"/>
      <c r="W209" s="154"/>
      <c r="X209" s="154"/>
      <c r="Y209" s="154"/>
      <c r="Z209" s="357"/>
      <c r="AA209" s="357"/>
      <c r="AB209" s="357"/>
      <c r="AC209" s="357"/>
      <c r="AD209" s="357"/>
      <c r="AE209" s="357"/>
      <c r="AF209" s="357"/>
      <c r="AG209" s="357"/>
      <c r="AH209" s="357"/>
      <c r="AI209" s="357"/>
      <c r="AJ209" s="357"/>
      <c r="AK209" s="357"/>
      <c r="AL209" s="357"/>
      <c r="AM209" s="357"/>
      <c r="AN209" s="357"/>
      <c r="AO209" s="357"/>
      <c r="AP209" s="357"/>
      <c r="AQ209" s="357"/>
      <c r="AR209" s="357"/>
      <c r="AS209" s="357"/>
      <c r="AT209" s="357"/>
      <c r="AU209" s="357"/>
      <c r="AV209" s="357"/>
      <c r="AW209" s="357"/>
      <c r="AX209" s="357"/>
      <c r="AY209" s="357"/>
      <c r="AZ209" s="357"/>
      <c r="BA209" s="357"/>
      <c r="BB209" s="357"/>
      <c r="BC209" s="357"/>
      <c r="BD209" s="357"/>
      <c r="BE209" s="357"/>
      <c r="BF209" s="357"/>
      <c r="BG209" s="357"/>
      <c r="BH209" s="357"/>
      <c r="BI209" s="357"/>
      <c r="BJ209" s="357"/>
      <c r="BK209" s="357"/>
      <c r="BL209" s="357"/>
      <c r="BM209" s="357"/>
      <c r="BN209" s="357"/>
      <c r="BO209" s="357"/>
      <c r="BP209" s="357"/>
      <c r="BQ209" s="357"/>
      <c r="BR209" s="357"/>
      <c r="BS209" s="357"/>
      <c r="BT209" s="357"/>
      <c r="BU209" s="357"/>
      <c r="BV209" s="357"/>
      <c r="BW209" s="357"/>
      <c r="BX209" s="357"/>
      <c r="BY209" s="357"/>
      <c r="BZ209" s="357"/>
      <c r="CA209" s="357"/>
      <c r="CB209" s="357"/>
      <c r="CC209" s="357"/>
      <c r="CD209" s="357"/>
      <c r="CE209" s="357"/>
      <c r="CF209" s="357"/>
      <c r="CG209" s="357"/>
      <c r="CH209" s="357"/>
      <c r="CI209" s="357"/>
      <c r="CJ209" s="357"/>
      <c r="CK209" s="357"/>
      <c r="CL209" s="357"/>
      <c r="CM209" s="357"/>
      <c r="CN209" s="357"/>
      <c r="CO209" s="357"/>
      <c r="CP209" s="357"/>
      <c r="CQ209" s="357"/>
      <c r="CR209" s="357"/>
      <c r="CS209" s="357"/>
      <c r="CT209" s="357"/>
      <c r="CU209" s="357"/>
      <c r="CV209" s="357"/>
      <c r="CW209" s="357"/>
      <c r="CX209" s="357"/>
      <c r="CY209" s="357"/>
      <c r="CZ209" s="357"/>
      <c r="DA209" s="357"/>
      <c r="DB209" s="357"/>
      <c r="DC209" s="357"/>
      <c r="DD209" s="357"/>
      <c r="DE209" s="357"/>
      <c r="DF209" s="357"/>
      <c r="DG209" s="357"/>
      <c r="DH209" s="357"/>
      <c r="DI209" s="357"/>
      <c r="DJ209" s="357"/>
      <c r="DK209" s="357"/>
      <c r="DL209" s="357"/>
      <c r="DM209" s="357"/>
      <c r="DN209" s="357"/>
      <c r="DO209" s="357"/>
      <c r="DP209" s="357"/>
      <c r="DQ209" s="357"/>
      <c r="DR209" s="357"/>
      <c r="DS209" s="357"/>
      <c r="DT209" s="357"/>
      <c r="DU209" s="357"/>
      <c r="DV209" s="357"/>
      <c r="DW209" s="357"/>
      <c r="DX209" s="357"/>
      <c r="DY209" s="357"/>
      <c r="DZ209" s="357"/>
      <c r="EA209" s="357"/>
      <c r="EB209" s="357"/>
      <c r="EC209" s="357"/>
      <c r="ED209" s="357"/>
      <c r="EE209" s="357"/>
      <c r="EF209" s="357"/>
      <c r="EG209" s="357"/>
      <c r="EH209" s="357"/>
      <c r="EI209" s="357"/>
      <c r="EJ209" s="357"/>
      <c r="EK209" s="357"/>
      <c r="EL209" s="357"/>
      <c r="EM209" s="357"/>
      <c r="EN209" s="357"/>
      <c r="EO209" s="357"/>
      <c r="EP209" s="357"/>
      <c r="EQ209" s="357"/>
      <c r="ER209" s="357"/>
      <c r="ES209" s="357"/>
      <c r="ET209" s="357"/>
      <c r="EU209" s="357"/>
      <c r="EV209" s="357"/>
      <c r="EW209" s="357"/>
      <c r="EX209" s="357"/>
      <c r="EY209" s="357"/>
      <c r="EZ209" s="357"/>
      <c r="FA209" s="357"/>
      <c r="FB209" s="357"/>
      <c r="FC209" s="357"/>
      <c r="FD209" s="357"/>
      <c r="FE209" s="357"/>
      <c r="FF209" s="357"/>
      <c r="FG209" s="357"/>
      <c r="FH209" s="357"/>
      <c r="FI209" s="357"/>
      <c r="FJ209" s="357"/>
      <c r="FK209" s="357"/>
      <c r="FL209" s="357"/>
      <c r="FM209" s="357"/>
      <c r="FN209" s="357"/>
      <c r="FO209" s="357"/>
      <c r="FP209" s="357"/>
      <c r="FQ209" s="357"/>
      <c r="FR209" s="357"/>
      <c r="FS209" s="357"/>
      <c r="FT209" s="357"/>
      <c r="FU209" s="357"/>
      <c r="FV209" s="357"/>
      <c r="FW209" s="357"/>
      <c r="FX209" s="357"/>
      <c r="FY209" s="357"/>
      <c r="FZ209" s="357"/>
      <c r="GA209" s="357"/>
      <c r="GB209" s="357"/>
      <c r="GC209" s="357"/>
      <c r="GD209" s="357"/>
      <c r="GE209" s="357"/>
      <c r="GF209" s="357"/>
      <c r="GG209" s="357"/>
      <c r="GH209" s="357"/>
      <c r="GI209" s="357"/>
      <c r="GJ209" s="357"/>
      <c r="GK209" s="154"/>
      <c r="GL209" s="154"/>
      <c r="GM209" s="154"/>
      <c r="GN209" s="154"/>
      <c r="GO209" s="154"/>
      <c r="GP209" s="154"/>
      <c r="GQ209" s="154"/>
      <c r="GR209" s="154"/>
      <c r="GS209" s="154"/>
      <c r="GT209" s="154"/>
      <c r="GU209" s="154"/>
      <c r="GV209" s="154"/>
      <c r="GW209" s="154"/>
      <c r="GX209" s="154"/>
    </row>
    <row r="210" spans="7:206">
      <c r="G210" s="154"/>
      <c r="H210" s="154"/>
      <c r="I210" s="154"/>
      <c r="J210" s="154"/>
      <c r="K210" s="154"/>
      <c r="L210" s="154"/>
      <c r="M210" s="154"/>
      <c r="N210" s="154"/>
      <c r="O210" s="154"/>
      <c r="P210" s="154"/>
      <c r="Q210" s="154"/>
      <c r="R210" s="154"/>
      <c r="S210" s="154"/>
      <c r="T210" s="154"/>
      <c r="U210" s="154"/>
      <c r="V210" s="154"/>
      <c r="W210" s="154"/>
      <c r="X210" s="154"/>
      <c r="Y210" s="154"/>
      <c r="Z210" s="357"/>
      <c r="AA210" s="357"/>
      <c r="AB210" s="357"/>
      <c r="AC210" s="357"/>
      <c r="AD210" s="357"/>
      <c r="AE210" s="357"/>
      <c r="AF210" s="357"/>
      <c r="AG210" s="357"/>
      <c r="AH210" s="357"/>
      <c r="AI210" s="357"/>
      <c r="AJ210" s="357"/>
      <c r="AK210" s="357"/>
      <c r="AL210" s="357"/>
      <c r="AM210" s="357"/>
      <c r="AN210" s="357"/>
      <c r="AO210" s="357"/>
      <c r="AP210" s="357"/>
      <c r="AQ210" s="357"/>
      <c r="AR210" s="357"/>
      <c r="AS210" s="357"/>
      <c r="AT210" s="357"/>
      <c r="AU210" s="357"/>
      <c r="AV210" s="357"/>
      <c r="AW210" s="357"/>
      <c r="AX210" s="357"/>
      <c r="AY210" s="357"/>
      <c r="AZ210" s="357"/>
      <c r="BA210" s="357"/>
      <c r="BB210" s="357"/>
      <c r="BC210" s="357"/>
      <c r="BD210" s="357"/>
      <c r="BE210" s="357"/>
      <c r="BF210" s="357"/>
      <c r="BG210" s="357"/>
      <c r="BH210" s="357"/>
      <c r="BI210" s="357"/>
      <c r="BJ210" s="357"/>
      <c r="BK210" s="357"/>
      <c r="BL210" s="357"/>
      <c r="BM210" s="357"/>
      <c r="BN210" s="357"/>
      <c r="BO210" s="357"/>
      <c r="BP210" s="357"/>
      <c r="BQ210" s="357"/>
      <c r="BR210" s="357"/>
      <c r="BS210" s="357"/>
      <c r="BT210" s="357"/>
      <c r="BU210" s="357"/>
      <c r="BV210" s="357"/>
      <c r="BW210" s="357"/>
      <c r="BX210" s="357"/>
      <c r="BY210" s="357"/>
      <c r="BZ210" s="357"/>
      <c r="CA210" s="357"/>
      <c r="CB210" s="357"/>
      <c r="CC210" s="357"/>
      <c r="CD210" s="357"/>
      <c r="CE210" s="357"/>
      <c r="CF210" s="357"/>
      <c r="CG210" s="357"/>
      <c r="CH210" s="357"/>
      <c r="CI210" s="357"/>
      <c r="CJ210" s="357"/>
      <c r="CK210" s="357"/>
      <c r="CL210" s="357"/>
      <c r="CM210" s="357"/>
      <c r="CN210" s="357"/>
      <c r="CO210" s="357"/>
      <c r="CP210" s="357"/>
      <c r="CQ210" s="357"/>
      <c r="CR210" s="357"/>
      <c r="CS210" s="357"/>
      <c r="CT210" s="357"/>
      <c r="CU210" s="357"/>
      <c r="CV210" s="357"/>
      <c r="CW210" s="357"/>
      <c r="CX210" s="357"/>
      <c r="CY210" s="357"/>
      <c r="CZ210" s="357"/>
      <c r="DA210" s="357"/>
      <c r="DB210" s="357"/>
      <c r="DC210" s="357"/>
      <c r="DD210" s="357"/>
      <c r="DE210" s="357"/>
      <c r="DF210" s="357"/>
      <c r="DG210" s="357"/>
      <c r="DH210" s="357"/>
      <c r="DI210" s="357"/>
      <c r="DJ210" s="357"/>
      <c r="DK210" s="357"/>
      <c r="DL210" s="357"/>
      <c r="DM210" s="357"/>
      <c r="DN210" s="357"/>
      <c r="DO210" s="357"/>
      <c r="DP210" s="357"/>
      <c r="DQ210" s="357"/>
      <c r="DR210" s="357"/>
      <c r="DS210" s="357"/>
      <c r="DT210" s="357"/>
      <c r="DU210" s="357"/>
      <c r="DV210" s="357"/>
      <c r="DW210" s="357"/>
      <c r="DX210" s="357"/>
      <c r="DY210" s="357"/>
      <c r="DZ210" s="357"/>
      <c r="EA210" s="357"/>
      <c r="EB210" s="357"/>
      <c r="EC210" s="357"/>
      <c r="ED210" s="357"/>
      <c r="EE210" s="357"/>
      <c r="EF210" s="357"/>
      <c r="EG210" s="357"/>
      <c r="EH210" s="357"/>
      <c r="EI210" s="357"/>
      <c r="EJ210" s="357"/>
      <c r="EK210" s="357"/>
      <c r="EL210" s="357"/>
      <c r="EM210" s="357"/>
      <c r="EN210" s="357"/>
      <c r="EO210" s="357"/>
      <c r="EP210" s="357"/>
      <c r="EQ210" s="357"/>
      <c r="ER210" s="357"/>
      <c r="ES210" s="357"/>
      <c r="ET210" s="357"/>
      <c r="EU210" s="357"/>
      <c r="EV210" s="357"/>
      <c r="EW210" s="357"/>
      <c r="EX210" s="357"/>
      <c r="EY210" s="357"/>
      <c r="EZ210" s="357"/>
      <c r="FA210" s="357"/>
      <c r="FB210" s="357"/>
      <c r="FC210" s="357"/>
      <c r="FD210" s="357"/>
      <c r="FE210" s="357"/>
      <c r="FF210" s="357"/>
      <c r="FG210" s="357"/>
      <c r="FH210" s="357"/>
      <c r="FI210" s="357"/>
      <c r="FJ210" s="357"/>
      <c r="FK210" s="357"/>
      <c r="FL210" s="357"/>
      <c r="FM210" s="357"/>
      <c r="FN210" s="357"/>
      <c r="FO210" s="357"/>
      <c r="FP210" s="357"/>
      <c r="FQ210" s="357"/>
      <c r="FR210" s="357"/>
      <c r="FS210" s="357"/>
      <c r="FT210" s="357"/>
      <c r="FU210" s="357"/>
      <c r="FV210" s="357"/>
      <c r="FW210" s="357"/>
      <c r="FX210" s="357"/>
      <c r="FY210" s="357"/>
      <c r="FZ210" s="357"/>
      <c r="GA210" s="357"/>
      <c r="GB210" s="357"/>
      <c r="GC210" s="357"/>
      <c r="GD210" s="357"/>
      <c r="GE210" s="357"/>
      <c r="GF210" s="357"/>
      <c r="GG210" s="357"/>
      <c r="GH210" s="357"/>
      <c r="GI210" s="357"/>
      <c r="GJ210" s="357"/>
      <c r="GK210" s="154"/>
      <c r="GL210" s="154"/>
      <c r="GM210" s="154"/>
      <c r="GN210" s="154"/>
      <c r="GO210" s="154"/>
      <c r="GP210" s="154"/>
      <c r="GQ210" s="154"/>
      <c r="GR210" s="154"/>
      <c r="GS210" s="154"/>
      <c r="GT210" s="154"/>
      <c r="GU210" s="154"/>
      <c r="GV210" s="154"/>
      <c r="GW210" s="154"/>
      <c r="GX210" s="154"/>
    </row>
    <row r="211" spans="7:206">
      <c r="G211" s="154"/>
      <c r="H211" s="154"/>
      <c r="I211" s="154"/>
      <c r="J211" s="154"/>
      <c r="K211" s="154"/>
      <c r="L211" s="154"/>
      <c r="M211" s="154"/>
      <c r="N211" s="154"/>
      <c r="O211" s="154"/>
      <c r="P211" s="154"/>
      <c r="Q211" s="154"/>
      <c r="R211" s="154"/>
      <c r="S211" s="154"/>
      <c r="T211" s="154"/>
      <c r="U211" s="154"/>
      <c r="V211" s="154"/>
      <c r="W211" s="154"/>
      <c r="X211" s="154"/>
      <c r="Y211" s="154"/>
      <c r="Z211" s="357"/>
      <c r="AA211" s="357"/>
      <c r="AB211" s="357"/>
      <c r="AC211" s="357"/>
      <c r="AD211" s="357"/>
      <c r="AE211" s="357"/>
      <c r="AF211" s="357"/>
      <c r="AG211" s="357"/>
      <c r="AH211" s="357"/>
      <c r="AI211" s="357"/>
      <c r="AJ211" s="357"/>
      <c r="AK211" s="357"/>
      <c r="AL211" s="357"/>
      <c r="AM211" s="357"/>
      <c r="AN211" s="357"/>
      <c r="AO211" s="357"/>
      <c r="AP211" s="357"/>
      <c r="AQ211" s="357"/>
      <c r="AR211" s="357"/>
      <c r="AS211" s="357"/>
      <c r="AT211" s="357"/>
      <c r="AU211" s="357"/>
      <c r="AV211" s="357"/>
      <c r="AW211" s="357"/>
      <c r="AX211" s="357"/>
      <c r="AY211" s="357"/>
      <c r="AZ211" s="357"/>
      <c r="BA211" s="357"/>
      <c r="BB211" s="357"/>
      <c r="BC211" s="357"/>
      <c r="BD211" s="357"/>
      <c r="BE211" s="357"/>
      <c r="BF211" s="357"/>
      <c r="BG211" s="357"/>
      <c r="BH211" s="357"/>
      <c r="BI211" s="357"/>
      <c r="BJ211" s="357"/>
      <c r="BK211" s="357"/>
      <c r="BL211" s="357"/>
      <c r="BM211" s="357"/>
      <c r="BN211" s="357"/>
      <c r="BO211" s="357"/>
      <c r="BP211" s="357"/>
      <c r="BQ211" s="357"/>
      <c r="BR211" s="357"/>
      <c r="BS211" s="357"/>
      <c r="BT211" s="357"/>
      <c r="BU211" s="357"/>
      <c r="BV211" s="357"/>
      <c r="BW211" s="357"/>
      <c r="BX211" s="357"/>
      <c r="BY211" s="357"/>
      <c r="BZ211" s="357"/>
      <c r="CA211" s="357"/>
      <c r="CB211" s="357"/>
      <c r="CC211" s="357"/>
      <c r="CD211" s="357"/>
      <c r="CE211" s="357"/>
      <c r="CF211" s="357"/>
      <c r="CG211" s="357"/>
      <c r="CH211" s="357"/>
      <c r="CI211" s="357"/>
      <c r="CJ211" s="357"/>
      <c r="CK211" s="357"/>
      <c r="CL211" s="357"/>
      <c r="CM211" s="357"/>
      <c r="CN211" s="357"/>
      <c r="CO211" s="357"/>
      <c r="CP211" s="357"/>
      <c r="CQ211" s="357"/>
      <c r="CR211" s="357"/>
      <c r="CS211" s="357"/>
      <c r="CT211" s="357"/>
      <c r="CU211" s="357"/>
      <c r="CV211" s="357"/>
      <c r="CW211" s="357"/>
      <c r="CX211" s="357"/>
      <c r="CY211" s="357"/>
      <c r="CZ211" s="357"/>
      <c r="DA211" s="357"/>
      <c r="DB211" s="357"/>
      <c r="DC211" s="357"/>
      <c r="DD211" s="357"/>
      <c r="DE211" s="357"/>
      <c r="DF211" s="357"/>
      <c r="DG211" s="357"/>
      <c r="DH211" s="357"/>
      <c r="DI211" s="357"/>
      <c r="DJ211" s="357"/>
      <c r="DK211" s="357"/>
      <c r="DL211" s="357"/>
      <c r="DM211" s="357"/>
      <c r="DN211" s="357"/>
      <c r="DO211" s="357"/>
      <c r="DP211" s="357"/>
      <c r="DQ211" s="357"/>
      <c r="DR211" s="357"/>
      <c r="DS211" s="357"/>
      <c r="DT211" s="357"/>
      <c r="DU211" s="357"/>
      <c r="DV211" s="357"/>
      <c r="DW211" s="357"/>
      <c r="DX211" s="357"/>
      <c r="DY211" s="357"/>
      <c r="DZ211" s="357"/>
      <c r="EA211" s="357"/>
      <c r="EB211" s="357"/>
      <c r="EC211" s="357"/>
      <c r="ED211" s="357"/>
      <c r="EE211" s="357"/>
      <c r="EF211" s="357"/>
      <c r="EG211" s="357"/>
      <c r="EH211" s="357"/>
      <c r="EI211" s="357"/>
      <c r="EJ211" s="357"/>
      <c r="EK211" s="357"/>
      <c r="EL211" s="357"/>
      <c r="EM211" s="357"/>
      <c r="EN211" s="357"/>
      <c r="EO211" s="357"/>
      <c r="EP211" s="357"/>
      <c r="EQ211" s="357"/>
      <c r="ER211" s="357"/>
      <c r="ES211" s="357"/>
      <c r="ET211" s="357"/>
      <c r="EU211" s="357"/>
      <c r="EV211" s="357"/>
      <c r="EW211" s="357"/>
      <c r="EX211" s="357"/>
      <c r="EY211" s="357"/>
      <c r="EZ211" s="357"/>
      <c r="FA211" s="357"/>
      <c r="FB211" s="357"/>
      <c r="FC211" s="357"/>
      <c r="FD211" s="357"/>
      <c r="FE211" s="357"/>
      <c r="FF211" s="357"/>
      <c r="FG211" s="357"/>
      <c r="FH211" s="357"/>
      <c r="FI211" s="357"/>
      <c r="FJ211" s="357"/>
      <c r="FK211" s="357"/>
      <c r="FL211" s="357"/>
      <c r="FM211" s="357"/>
      <c r="FN211" s="357"/>
      <c r="FO211" s="357"/>
      <c r="FP211" s="357"/>
      <c r="FQ211" s="357"/>
      <c r="FR211" s="357"/>
      <c r="FS211" s="357"/>
      <c r="FT211" s="357"/>
      <c r="FU211" s="357"/>
      <c r="FV211" s="357"/>
      <c r="FW211" s="357"/>
      <c r="FX211" s="357"/>
      <c r="FY211" s="357"/>
      <c r="FZ211" s="357"/>
      <c r="GA211" s="357"/>
      <c r="GB211" s="357"/>
      <c r="GC211" s="357"/>
      <c r="GD211" s="357"/>
      <c r="GE211" s="357"/>
      <c r="GF211" s="357"/>
      <c r="GG211" s="357"/>
      <c r="GH211" s="357"/>
      <c r="GI211" s="357"/>
      <c r="GJ211" s="357"/>
      <c r="GK211" s="154"/>
      <c r="GL211" s="154"/>
      <c r="GM211" s="154"/>
      <c r="GN211" s="154"/>
      <c r="GO211" s="154"/>
      <c r="GP211" s="154"/>
      <c r="GQ211" s="154"/>
      <c r="GR211" s="154"/>
      <c r="GS211" s="154"/>
      <c r="GT211" s="154"/>
      <c r="GU211" s="154"/>
      <c r="GV211" s="154"/>
      <c r="GW211" s="154"/>
      <c r="GX211" s="154"/>
    </row>
    <row r="212" spans="7:206">
      <c r="G212" s="154"/>
      <c r="H212" s="154"/>
      <c r="I212" s="154"/>
      <c r="J212" s="154"/>
      <c r="K212" s="154"/>
      <c r="L212" s="154"/>
      <c r="M212" s="154"/>
      <c r="N212" s="154"/>
      <c r="O212" s="154"/>
      <c r="P212" s="154"/>
      <c r="Q212" s="154"/>
      <c r="R212" s="154"/>
      <c r="S212" s="154"/>
      <c r="T212" s="154"/>
      <c r="U212" s="154"/>
      <c r="V212" s="154"/>
      <c r="W212" s="154"/>
      <c r="X212" s="154"/>
      <c r="Y212" s="154"/>
      <c r="Z212" s="357"/>
      <c r="AA212" s="357"/>
      <c r="AB212" s="357"/>
      <c r="AC212" s="357"/>
      <c r="AD212" s="357"/>
      <c r="AE212" s="357"/>
      <c r="AF212" s="357"/>
      <c r="AG212" s="357"/>
      <c r="AH212" s="357"/>
      <c r="AI212" s="357"/>
      <c r="AJ212" s="357"/>
      <c r="AK212" s="357"/>
      <c r="AL212" s="357"/>
      <c r="AM212" s="357"/>
      <c r="AN212" s="357"/>
      <c r="AO212" s="357"/>
      <c r="AP212" s="357"/>
      <c r="AQ212" s="357"/>
      <c r="AR212" s="357"/>
      <c r="AS212" s="357"/>
      <c r="AT212" s="357"/>
      <c r="AU212" s="357"/>
      <c r="AV212" s="357"/>
      <c r="AW212" s="357"/>
      <c r="AX212" s="357"/>
      <c r="AY212" s="357"/>
      <c r="AZ212" s="357"/>
      <c r="BA212" s="357"/>
      <c r="BB212" s="357"/>
      <c r="BC212" s="357"/>
      <c r="BD212" s="357"/>
      <c r="BE212" s="357"/>
      <c r="BF212" s="357"/>
      <c r="BG212" s="357"/>
      <c r="BH212" s="357"/>
      <c r="BI212" s="357"/>
      <c r="BJ212" s="357"/>
      <c r="BK212" s="357"/>
      <c r="BL212" s="357"/>
      <c r="BM212" s="357"/>
      <c r="BN212" s="357"/>
      <c r="BO212" s="357"/>
      <c r="BP212" s="357"/>
      <c r="BQ212" s="357"/>
      <c r="BR212" s="357"/>
      <c r="BS212" s="357"/>
      <c r="BT212" s="357"/>
      <c r="BU212" s="357"/>
      <c r="BV212" s="357"/>
      <c r="BW212" s="357"/>
      <c r="BX212" s="357"/>
      <c r="BY212" s="357"/>
      <c r="BZ212" s="357"/>
      <c r="CA212" s="357"/>
      <c r="CB212" s="357"/>
      <c r="CC212" s="357"/>
      <c r="CD212" s="357"/>
      <c r="CE212" s="357"/>
      <c r="CF212" s="357"/>
      <c r="CG212" s="357"/>
      <c r="CH212" s="357"/>
      <c r="CI212" s="357"/>
      <c r="CJ212" s="357"/>
      <c r="CK212" s="357"/>
      <c r="CL212" s="357"/>
      <c r="CM212" s="357"/>
      <c r="CN212" s="357"/>
      <c r="CO212" s="357"/>
      <c r="CP212" s="357"/>
      <c r="CQ212" s="357"/>
      <c r="CR212" s="357"/>
      <c r="CS212" s="357"/>
      <c r="CT212" s="357"/>
      <c r="CU212" s="357"/>
      <c r="CV212" s="357"/>
      <c r="CW212" s="357"/>
      <c r="CX212" s="357"/>
      <c r="CY212" s="357"/>
      <c r="CZ212" s="357"/>
      <c r="DA212" s="357"/>
      <c r="DB212" s="357"/>
      <c r="DC212" s="357"/>
      <c r="DD212" s="357"/>
      <c r="DE212" s="357"/>
      <c r="DF212" s="357"/>
      <c r="DG212" s="357"/>
      <c r="DH212" s="357"/>
      <c r="DI212" s="357"/>
      <c r="DJ212" s="357"/>
      <c r="DK212" s="357"/>
      <c r="DL212" s="357"/>
      <c r="DM212" s="357"/>
      <c r="DN212" s="357"/>
      <c r="DO212" s="357"/>
      <c r="DP212" s="357"/>
      <c r="DQ212" s="357"/>
      <c r="DR212" s="357"/>
      <c r="DS212" s="357"/>
      <c r="DT212" s="357"/>
      <c r="DU212" s="357"/>
      <c r="DV212" s="357"/>
      <c r="DW212" s="357"/>
      <c r="DX212" s="357"/>
      <c r="DY212" s="357"/>
      <c r="DZ212" s="357"/>
      <c r="EA212" s="357"/>
      <c r="EB212" s="357"/>
      <c r="EC212" s="357"/>
      <c r="ED212" s="357"/>
      <c r="EE212" s="357"/>
      <c r="EF212" s="357"/>
      <c r="EG212" s="357"/>
      <c r="EH212" s="357"/>
      <c r="EI212" s="357"/>
      <c r="EJ212" s="357"/>
      <c r="EK212" s="357"/>
      <c r="EL212" s="357"/>
      <c r="EM212" s="357"/>
      <c r="EN212" s="357"/>
      <c r="EO212" s="357"/>
      <c r="EP212" s="357"/>
      <c r="EQ212" s="357"/>
      <c r="ER212" s="357"/>
      <c r="ES212" s="357"/>
      <c r="ET212" s="357"/>
      <c r="EU212" s="357"/>
      <c r="EV212" s="357"/>
      <c r="EW212" s="357"/>
      <c r="EX212" s="357"/>
      <c r="EY212" s="357"/>
      <c r="EZ212" s="357"/>
      <c r="FA212" s="357"/>
      <c r="FB212" s="357"/>
      <c r="FC212" s="357"/>
      <c r="FD212" s="357"/>
      <c r="FE212" s="357"/>
      <c r="FF212" s="357"/>
      <c r="FG212" s="357"/>
      <c r="FH212" s="357"/>
      <c r="FI212" s="357"/>
      <c r="FJ212" s="357"/>
      <c r="FK212" s="357"/>
      <c r="FL212" s="357"/>
      <c r="FM212" s="357"/>
      <c r="FN212" s="357"/>
      <c r="FO212" s="357"/>
      <c r="FP212" s="357"/>
      <c r="FQ212" s="357"/>
      <c r="FR212" s="357"/>
      <c r="FS212" s="357"/>
      <c r="FT212" s="357"/>
      <c r="FU212" s="357"/>
      <c r="FV212" s="357"/>
      <c r="FW212" s="357"/>
      <c r="FX212" s="357"/>
      <c r="FY212" s="357"/>
      <c r="FZ212" s="357"/>
      <c r="GA212" s="357"/>
      <c r="GB212" s="357"/>
      <c r="GC212" s="357"/>
      <c r="GD212" s="357"/>
      <c r="GE212" s="357"/>
      <c r="GF212" s="357"/>
      <c r="GG212" s="357"/>
      <c r="GH212" s="357"/>
      <c r="GI212" s="357"/>
      <c r="GJ212" s="357"/>
      <c r="GK212" s="154"/>
      <c r="GL212" s="154"/>
      <c r="GM212" s="154"/>
      <c r="GN212" s="154"/>
      <c r="GO212" s="154"/>
      <c r="GP212" s="154"/>
      <c r="GQ212" s="154"/>
      <c r="GR212" s="154"/>
      <c r="GS212" s="154"/>
      <c r="GT212" s="154"/>
      <c r="GU212" s="154"/>
      <c r="GV212" s="154"/>
      <c r="GW212" s="154"/>
      <c r="GX212" s="154"/>
    </row>
    <row r="213" spans="7:206">
      <c r="G213" s="154"/>
      <c r="H213" s="154"/>
      <c r="I213" s="154"/>
      <c r="J213" s="154"/>
      <c r="K213" s="154"/>
      <c r="L213" s="154"/>
      <c r="M213" s="154"/>
      <c r="N213" s="154"/>
      <c r="O213" s="154"/>
      <c r="P213" s="154"/>
      <c r="Q213" s="154"/>
      <c r="R213" s="154"/>
      <c r="S213" s="154"/>
      <c r="T213" s="154"/>
      <c r="U213" s="154"/>
      <c r="V213" s="154"/>
      <c r="W213" s="154"/>
      <c r="X213" s="154"/>
      <c r="Y213" s="154"/>
      <c r="Z213" s="357"/>
      <c r="AA213" s="357"/>
      <c r="AB213" s="357"/>
      <c r="AC213" s="357"/>
      <c r="AD213" s="357"/>
      <c r="AE213" s="357"/>
      <c r="AF213" s="357"/>
      <c r="AG213" s="357"/>
      <c r="AH213" s="357"/>
      <c r="AI213" s="357"/>
      <c r="AJ213" s="357"/>
      <c r="AK213" s="357"/>
      <c r="AL213" s="357"/>
      <c r="AM213" s="357"/>
      <c r="AN213" s="357"/>
      <c r="AO213" s="357"/>
      <c r="AP213" s="357"/>
      <c r="AQ213" s="357"/>
      <c r="AR213" s="357"/>
      <c r="AS213" s="357"/>
      <c r="AT213" s="357"/>
      <c r="AU213" s="357"/>
      <c r="AV213" s="357"/>
      <c r="AW213" s="357"/>
      <c r="AX213" s="357"/>
      <c r="AY213" s="357"/>
      <c r="AZ213" s="357"/>
      <c r="BA213" s="357"/>
      <c r="BB213" s="357"/>
      <c r="BC213" s="357"/>
      <c r="BD213" s="357"/>
      <c r="BE213" s="357"/>
      <c r="BF213" s="357"/>
      <c r="BG213" s="357"/>
      <c r="BH213" s="357"/>
      <c r="BI213" s="357"/>
      <c r="BJ213" s="357"/>
      <c r="BK213" s="357"/>
      <c r="BL213" s="357"/>
      <c r="BM213" s="357"/>
      <c r="BN213" s="357"/>
      <c r="BO213" s="357"/>
      <c r="BP213" s="357"/>
      <c r="BQ213" s="357"/>
      <c r="BR213" s="357"/>
      <c r="BS213" s="357"/>
      <c r="BT213" s="357"/>
      <c r="BU213" s="357"/>
      <c r="BV213" s="357"/>
      <c r="BW213" s="357"/>
      <c r="BX213" s="357"/>
      <c r="BY213" s="357"/>
      <c r="BZ213" s="357"/>
      <c r="CA213" s="357"/>
      <c r="CB213" s="357"/>
      <c r="CC213" s="357"/>
      <c r="CD213" s="357"/>
      <c r="CE213" s="357"/>
      <c r="CF213" s="357"/>
      <c r="CG213" s="357"/>
      <c r="CH213" s="357"/>
      <c r="CI213" s="357"/>
      <c r="CJ213" s="357"/>
      <c r="CK213" s="357"/>
      <c r="CL213" s="357"/>
      <c r="CM213" s="357"/>
      <c r="CN213" s="357"/>
      <c r="CO213" s="357"/>
      <c r="CP213" s="357"/>
      <c r="CQ213" s="357"/>
      <c r="CR213" s="357"/>
      <c r="CS213" s="357"/>
      <c r="CT213" s="357"/>
      <c r="CU213" s="357"/>
      <c r="CV213" s="357"/>
      <c r="CW213" s="357"/>
      <c r="CX213" s="357"/>
      <c r="CY213" s="357"/>
      <c r="CZ213" s="357"/>
      <c r="DA213" s="357"/>
      <c r="DB213" s="357"/>
      <c r="DC213" s="357"/>
      <c r="DD213" s="357"/>
      <c r="DE213" s="357"/>
      <c r="DF213" s="357"/>
      <c r="DG213" s="357"/>
      <c r="DH213" s="357"/>
      <c r="DI213" s="357"/>
      <c r="DJ213" s="357"/>
      <c r="DK213" s="357"/>
      <c r="DL213" s="357"/>
      <c r="DM213" s="357"/>
      <c r="DN213" s="357"/>
      <c r="DO213" s="357"/>
      <c r="DP213" s="357"/>
      <c r="DQ213" s="357"/>
      <c r="DR213" s="357"/>
      <c r="DS213" s="357"/>
      <c r="DT213" s="357"/>
      <c r="DU213" s="357"/>
      <c r="DV213" s="357"/>
      <c r="DW213" s="357"/>
      <c r="DX213" s="357"/>
      <c r="DY213" s="357"/>
      <c r="DZ213" s="357"/>
      <c r="EA213" s="357"/>
      <c r="EB213" s="357"/>
      <c r="EC213" s="357"/>
      <c r="ED213" s="357"/>
      <c r="EE213" s="357"/>
      <c r="EF213" s="357"/>
      <c r="EG213" s="357"/>
      <c r="EH213" s="357"/>
      <c r="EI213" s="357"/>
      <c r="EJ213" s="357"/>
      <c r="EK213" s="357"/>
      <c r="EL213" s="357"/>
      <c r="EM213" s="357"/>
      <c r="EN213" s="357"/>
      <c r="EO213" s="357"/>
      <c r="EP213" s="357"/>
      <c r="EQ213" s="357"/>
      <c r="ER213" s="357"/>
      <c r="ES213" s="357"/>
      <c r="ET213" s="357"/>
      <c r="EU213" s="357"/>
      <c r="EV213" s="357"/>
      <c r="EW213" s="357"/>
      <c r="EX213" s="357"/>
      <c r="EY213" s="357"/>
      <c r="EZ213" s="357"/>
      <c r="FA213" s="357"/>
      <c r="FB213" s="357"/>
      <c r="FC213" s="357"/>
      <c r="FD213" s="357"/>
      <c r="FE213" s="357"/>
      <c r="FF213" s="357"/>
      <c r="FG213" s="357"/>
      <c r="FH213" s="357"/>
      <c r="FI213" s="357"/>
      <c r="FJ213" s="357"/>
      <c r="FK213" s="357"/>
      <c r="FL213" s="357"/>
      <c r="FM213" s="357"/>
      <c r="FN213" s="357"/>
      <c r="FO213" s="357"/>
      <c r="FP213" s="357"/>
      <c r="FQ213" s="357"/>
      <c r="FR213" s="357"/>
      <c r="FS213" s="357"/>
      <c r="FT213" s="357"/>
      <c r="FU213" s="357"/>
      <c r="FV213" s="357"/>
      <c r="FW213" s="357"/>
      <c r="FX213" s="357"/>
      <c r="FY213" s="357"/>
      <c r="FZ213" s="357"/>
      <c r="GA213" s="357"/>
      <c r="GB213" s="357"/>
      <c r="GC213" s="357"/>
      <c r="GD213" s="357"/>
      <c r="GE213" s="357"/>
      <c r="GF213" s="357"/>
      <c r="GG213" s="357"/>
      <c r="GH213" s="357"/>
      <c r="GI213" s="357"/>
      <c r="GJ213" s="357"/>
      <c r="GK213" s="154"/>
      <c r="GL213" s="154"/>
      <c r="GM213" s="154"/>
      <c r="GN213" s="154"/>
      <c r="GO213" s="154"/>
      <c r="GP213" s="154"/>
      <c r="GQ213" s="154"/>
      <c r="GR213" s="154"/>
      <c r="GS213" s="154"/>
      <c r="GT213" s="154"/>
      <c r="GU213" s="154"/>
      <c r="GV213" s="154"/>
      <c r="GW213" s="154"/>
      <c r="GX213" s="154"/>
    </row>
    <row r="214" spans="7:206">
      <c r="G214" s="154"/>
      <c r="H214" s="154"/>
      <c r="I214" s="154"/>
      <c r="J214" s="154"/>
      <c r="K214" s="154"/>
      <c r="L214" s="154"/>
      <c r="M214" s="154"/>
      <c r="N214" s="154"/>
      <c r="O214" s="154"/>
      <c r="P214" s="154"/>
      <c r="Q214" s="154"/>
      <c r="R214" s="154"/>
      <c r="S214" s="154"/>
      <c r="T214" s="154"/>
      <c r="U214" s="154"/>
      <c r="V214" s="154"/>
      <c r="W214" s="154"/>
      <c r="X214" s="154"/>
      <c r="Y214" s="154"/>
      <c r="Z214" s="357"/>
      <c r="AA214" s="357"/>
      <c r="AB214" s="357"/>
      <c r="AC214" s="357"/>
      <c r="AD214" s="357"/>
      <c r="AE214" s="357"/>
      <c r="AF214" s="357"/>
      <c r="AG214" s="357"/>
      <c r="AH214" s="357"/>
      <c r="AI214" s="357"/>
      <c r="AJ214" s="357"/>
      <c r="AK214" s="357"/>
      <c r="AL214" s="357"/>
      <c r="AM214" s="357"/>
      <c r="AN214" s="357"/>
      <c r="AO214" s="357"/>
      <c r="AP214" s="357"/>
      <c r="AQ214" s="357"/>
      <c r="AR214" s="357"/>
      <c r="AS214" s="357"/>
      <c r="AT214" s="357"/>
      <c r="AU214" s="357"/>
      <c r="AV214" s="357"/>
      <c r="AW214" s="357"/>
      <c r="AX214" s="357"/>
      <c r="AY214" s="357"/>
      <c r="AZ214" s="357"/>
      <c r="BA214" s="357"/>
      <c r="BB214" s="357"/>
      <c r="BC214" s="357"/>
      <c r="BD214" s="357"/>
      <c r="BE214" s="357"/>
      <c r="BF214" s="357"/>
      <c r="BG214" s="357"/>
      <c r="BH214" s="357"/>
      <c r="BI214" s="357"/>
      <c r="BJ214" s="357"/>
      <c r="BK214" s="357"/>
      <c r="BL214" s="357"/>
      <c r="BM214" s="357"/>
      <c r="BN214" s="357"/>
      <c r="BO214" s="357"/>
      <c r="BP214" s="357"/>
      <c r="BQ214" s="357"/>
      <c r="BR214" s="357"/>
      <c r="BS214" s="357"/>
      <c r="BT214" s="357"/>
      <c r="BU214" s="357"/>
      <c r="BV214" s="357"/>
      <c r="BW214" s="357"/>
      <c r="BX214" s="357"/>
      <c r="BY214" s="357"/>
      <c r="BZ214" s="357"/>
      <c r="CA214" s="357"/>
      <c r="CB214" s="357"/>
      <c r="CC214" s="357"/>
      <c r="CD214" s="357"/>
      <c r="CE214" s="357"/>
      <c r="CF214" s="357"/>
      <c r="CG214" s="357"/>
      <c r="CH214" s="357"/>
      <c r="CI214" s="357"/>
      <c r="CJ214" s="357"/>
      <c r="CK214" s="357"/>
      <c r="CL214" s="357"/>
      <c r="CM214" s="357"/>
      <c r="CN214" s="357"/>
      <c r="CO214" s="357"/>
      <c r="CP214" s="357"/>
      <c r="CQ214" s="357"/>
      <c r="CR214" s="357"/>
      <c r="CS214" s="357"/>
      <c r="CT214" s="357"/>
      <c r="CU214" s="357"/>
      <c r="CV214" s="357"/>
      <c r="CW214" s="357"/>
      <c r="CX214" s="357"/>
      <c r="CY214" s="357"/>
      <c r="CZ214" s="357"/>
      <c r="DA214" s="357"/>
      <c r="DB214" s="357"/>
      <c r="DC214" s="357"/>
      <c r="DD214" s="357"/>
      <c r="DE214" s="357"/>
      <c r="DF214" s="357"/>
      <c r="DG214" s="357"/>
      <c r="DH214" s="357"/>
      <c r="DI214" s="357"/>
      <c r="DJ214" s="357"/>
      <c r="DK214" s="357"/>
      <c r="DL214" s="357"/>
      <c r="DM214" s="357"/>
      <c r="DN214" s="357"/>
      <c r="DO214" s="357"/>
      <c r="DP214" s="357"/>
      <c r="DQ214" s="357"/>
      <c r="DR214" s="357"/>
      <c r="DS214" s="357"/>
      <c r="DT214" s="357"/>
      <c r="DU214" s="357"/>
      <c r="DV214" s="357"/>
      <c r="DW214" s="357"/>
      <c r="DX214" s="357"/>
      <c r="DY214" s="357"/>
      <c r="DZ214" s="357"/>
      <c r="EA214" s="357"/>
      <c r="EB214" s="357"/>
      <c r="EC214" s="357"/>
      <c r="ED214" s="357"/>
      <c r="EE214" s="357"/>
      <c r="EF214" s="357"/>
      <c r="EG214" s="357"/>
      <c r="EH214" s="357"/>
      <c r="EI214" s="357"/>
      <c r="EJ214" s="357"/>
      <c r="EK214" s="357"/>
      <c r="EL214" s="357"/>
      <c r="EM214" s="357"/>
      <c r="EN214" s="357"/>
      <c r="EO214" s="357"/>
      <c r="EP214" s="357"/>
      <c r="EQ214" s="357"/>
      <c r="ER214" s="357"/>
      <c r="ES214" s="357"/>
      <c r="ET214" s="357"/>
      <c r="EU214" s="357"/>
      <c r="EV214" s="357"/>
      <c r="EW214" s="357"/>
      <c r="EX214" s="357"/>
      <c r="EY214" s="357"/>
      <c r="EZ214" s="357"/>
      <c r="FA214" s="357"/>
      <c r="FB214" s="357"/>
      <c r="FC214" s="357"/>
      <c r="FD214" s="357"/>
      <c r="FE214" s="357"/>
      <c r="FF214" s="357"/>
      <c r="FG214" s="357"/>
      <c r="FH214" s="357"/>
      <c r="FI214" s="357"/>
      <c r="FJ214" s="357"/>
      <c r="FK214" s="357"/>
      <c r="FL214" s="357"/>
      <c r="FM214" s="357"/>
      <c r="FN214" s="357"/>
      <c r="FO214" s="357"/>
      <c r="FP214" s="357"/>
      <c r="FQ214" s="357"/>
      <c r="FR214" s="357"/>
      <c r="FS214" s="357"/>
      <c r="FT214" s="357"/>
      <c r="FU214" s="357"/>
      <c r="FV214" s="357"/>
      <c r="FW214" s="357"/>
      <c r="FX214" s="357"/>
      <c r="FY214" s="357"/>
      <c r="FZ214" s="357"/>
      <c r="GA214" s="357"/>
      <c r="GB214" s="357"/>
      <c r="GC214" s="357"/>
      <c r="GD214" s="357"/>
      <c r="GE214" s="357"/>
      <c r="GF214" s="357"/>
      <c r="GG214" s="357"/>
      <c r="GH214" s="357"/>
      <c r="GI214" s="357"/>
      <c r="GJ214" s="357"/>
      <c r="GK214" s="154"/>
      <c r="GL214" s="154"/>
      <c r="GM214" s="154"/>
      <c r="GN214" s="154"/>
      <c r="GO214" s="154"/>
      <c r="GP214" s="154"/>
      <c r="GQ214" s="154"/>
      <c r="GR214" s="154"/>
      <c r="GS214" s="154"/>
      <c r="GT214" s="154"/>
      <c r="GU214" s="154"/>
      <c r="GV214" s="154"/>
      <c r="GW214" s="154"/>
      <c r="GX214" s="154"/>
    </row>
    <row r="215" spans="7:206">
      <c r="G215" s="154"/>
      <c r="H215" s="154"/>
      <c r="I215" s="154"/>
      <c r="J215" s="154"/>
      <c r="K215" s="154"/>
      <c r="L215" s="154"/>
      <c r="M215" s="154"/>
      <c r="N215" s="154"/>
      <c r="O215" s="154"/>
      <c r="P215" s="154"/>
      <c r="Q215" s="154"/>
      <c r="R215" s="154"/>
      <c r="S215" s="154"/>
      <c r="T215" s="154"/>
      <c r="U215" s="154"/>
      <c r="V215" s="154"/>
      <c r="W215" s="154"/>
      <c r="X215" s="154"/>
      <c r="Y215" s="154"/>
      <c r="Z215" s="357"/>
      <c r="AA215" s="357"/>
      <c r="AB215" s="357"/>
      <c r="AC215" s="357"/>
      <c r="AD215" s="357"/>
      <c r="AE215" s="357"/>
      <c r="AF215" s="357"/>
      <c r="AG215" s="357"/>
      <c r="AH215" s="357"/>
      <c r="AI215" s="357"/>
      <c r="AJ215" s="357"/>
      <c r="AK215" s="357"/>
      <c r="AL215" s="357"/>
      <c r="AM215" s="357"/>
      <c r="AN215" s="357"/>
      <c r="AO215" s="357"/>
      <c r="AP215" s="357"/>
      <c r="AQ215" s="357"/>
      <c r="AR215" s="357"/>
      <c r="AS215" s="357"/>
      <c r="AT215" s="357"/>
      <c r="AU215" s="357"/>
      <c r="AV215" s="357"/>
      <c r="AW215" s="357"/>
      <c r="AX215" s="357"/>
      <c r="AY215" s="357"/>
      <c r="AZ215" s="357"/>
      <c r="BA215" s="357"/>
      <c r="BB215" s="357"/>
      <c r="BC215" s="357"/>
      <c r="BD215" s="357"/>
      <c r="BE215" s="357"/>
      <c r="BF215" s="357"/>
      <c r="BG215" s="357"/>
      <c r="BH215" s="357"/>
      <c r="BI215" s="357"/>
      <c r="BJ215" s="357"/>
      <c r="BK215" s="357"/>
      <c r="BL215" s="357"/>
      <c r="BM215" s="357"/>
      <c r="BN215" s="357"/>
      <c r="BO215" s="357"/>
      <c r="BP215" s="357"/>
      <c r="BQ215" s="357"/>
      <c r="BR215" s="357"/>
      <c r="BS215" s="357"/>
      <c r="BT215" s="357"/>
      <c r="BU215" s="357"/>
      <c r="BV215" s="357"/>
      <c r="BW215" s="357"/>
      <c r="BX215" s="357"/>
      <c r="BY215" s="357"/>
      <c r="BZ215" s="357"/>
      <c r="CA215" s="357"/>
      <c r="CB215" s="357"/>
      <c r="CC215" s="357"/>
      <c r="CD215" s="357"/>
      <c r="CE215" s="357"/>
      <c r="CF215" s="357"/>
      <c r="CG215" s="357"/>
      <c r="CH215" s="357"/>
      <c r="CI215" s="357"/>
      <c r="CJ215" s="357"/>
      <c r="CK215" s="357"/>
      <c r="CL215" s="357"/>
      <c r="CM215" s="357"/>
      <c r="CN215" s="357"/>
      <c r="CO215" s="357"/>
      <c r="CP215" s="357"/>
      <c r="CQ215" s="357"/>
      <c r="CR215" s="357"/>
      <c r="CS215" s="357"/>
      <c r="CT215" s="357"/>
      <c r="CU215" s="357"/>
      <c r="CV215" s="357"/>
      <c r="CW215" s="357"/>
      <c r="CX215" s="357"/>
      <c r="CY215" s="357"/>
      <c r="CZ215" s="357"/>
      <c r="DA215" s="357"/>
      <c r="DB215" s="357"/>
      <c r="DC215" s="357"/>
      <c r="DD215" s="357"/>
      <c r="DE215" s="357"/>
      <c r="DF215" s="357"/>
      <c r="DG215" s="357"/>
      <c r="DH215" s="357"/>
      <c r="DI215" s="357"/>
      <c r="DJ215" s="357"/>
      <c r="DK215" s="357"/>
      <c r="DL215" s="357"/>
      <c r="DM215" s="357"/>
      <c r="DN215" s="357"/>
      <c r="DO215" s="357"/>
      <c r="DP215" s="357"/>
      <c r="DQ215" s="357"/>
      <c r="DR215" s="357"/>
      <c r="DS215" s="357"/>
      <c r="DT215" s="357"/>
      <c r="DU215" s="357"/>
      <c r="DV215" s="357"/>
      <c r="DW215" s="357"/>
      <c r="DX215" s="357"/>
      <c r="DY215" s="357"/>
      <c r="DZ215" s="357"/>
      <c r="EA215" s="357"/>
      <c r="EB215" s="357"/>
      <c r="EC215" s="357"/>
      <c r="ED215" s="357"/>
      <c r="EE215" s="357"/>
      <c r="EF215" s="357"/>
      <c r="EG215" s="357"/>
      <c r="EH215" s="357"/>
      <c r="EI215" s="357"/>
      <c r="EJ215" s="357"/>
      <c r="EK215" s="357"/>
      <c r="EL215" s="357"/>
      <c r="EM215" s="357"/>
      <c r="EN215" s="357"/>
      <c r="EO215" s="357"/>
      <c r="EP215" s="357"/>
      <c r="EQ215" s="357"/>
      <c r="ER215" s="357"/>
      <c r="ES215" s="357"/>
      <c r="ET215" s="357"/>
      <c r="EU215" s="357"/>
      <c r="EV215" s="357"/>
      <c r="EW215" s="357"/>
      <c r="EX215" s="357"/>
      <c r="EY215" s="357"/>
      <c r="EZ215" s="357"/>
      <c r="FA215" s="357"/>
      <c r="FB215" s="357"/>
      <c r="FC215" s="357"/>
      <c r="FD215" s="357"/>
      <c r="FE215" s="357"/>
      <c r="FF215" s="357"/>
      <c r="FG215" s="357"/>
      <c r="FH215" s="357"/>
      <c r="FI215" s="357"/>
      <c r="FJ215" s="357"/>
      <c r="FK215" s="357"/>
      <c r="FL215" s="357"/>
      <c r="FM215" s="357"/>
      <c r="FN215" s="357"/>
      <c r="FO215" s="357"/>
      <c r="FP215" s="357"/>
      <c r="FQ215" s="357"/>
      <c r="FR215" s="357"/>
      <c r="FS215" s="357"/>
      <c r="FT215" s="357"/>
      <c r="FU215" s="357"/>
      <c r="FV215" s="357"/>
      <c r="FW215" s="357"/>
      <c r="FX215" s="357"/>
      <c r="FY215" s="357"/>
      <c r="FZ215" s="357"/>
      <c r="GA215" s="357"/>
      <c r="GB215" s="357"/>
      <c r="GC215" s="357"/>
      <c r="GD215" s="357"/>
      <c r="GE215" s="357"/>
      <c r="GF215" s="357"/>
      <c r="GG215" s="357"/>
      <c r="GH215" s="357"/>
      <c r="GI215" s="357"/>
      <c r="GJ215" s="357"/>
      <c r="GK215" s="154"/>
      <c r="GL215" s="154"/>
      <c r="GM215" s="154"/>
      <c r="GN215" s="154"/>
      <c r="GO215" s="154"/>
      <c r="GP215" s="154"/>
      <c r="GQ215" s="154"/>
      <c r="GR215" s="154"/>
      <c r="GS215" s="154"/>
      <c r="GT215" s="154"/>
      <c r="GU215" s="154"/>
      <c r="GV215" s="154"/>
      <c r="GW215" s="154"/>
      <c r="GX215" s="154"/>
    </row>
    <row r="216" spans="7:206">
      <c r="G216" s="154"/>
      <c r="H216" s="154"/>
      <c r="I216" s="154"/>
      <c r="J216" s="154"/>
      <c r="K216" s="154"/>
      <c r="L216" s="154"/>
      <c r="M216" s="154"/>
      <c r="N216" s="154"/>
      <c r="O216" s="154"/>
      <c r="P216" s="154"/>
      <c r="Q216" s="154"/>
      <c r="R216" s="154"/>
      <c r="S216" s="154"/>
      <c r="T216" s="154"/>
      <c r="U216" s="154"/>
      <c r="V216" s="154"/>
      <c r="W216" s="154"/>
      <c r="X216" s="154"/>
      <c r="Y216" s="154"/>
      <c r="Z216" s="357"/>
      <c r="AA216" s="357"/>
      <c r="AB216" s="357"/>
      <c r="AC216" s="357"/>
      <c r="AD216" s="357"/>
      <c r="AE216" s="357"/>
      <c r="AF216" s="357"/>
      <c r="AG216" s="357"/>
      <c r="AH216" s="357"/>
      <c r="AI216" s="357"/>
      <c r="AJ216" s="357"/>
      <c r="AK216" s="357"/>
      <c r="AL216" s="357"/>
      <c r="AM216" s="357"/>
      <c r="AN216" s="357"/>
      <c r="AO216" s="357"/>
      <c r="AP216" s="357"/>
      <c r="AQ216" s="357"/>
      <c r="AR216" s="357"/>
      <c r="AS216" s="357"/>
      <c r="AT216" s="357"/>
      <c r="AU216" s="357"/>
      <c r="AV216" s="357"/>
      <c r="AW216" s="357"/>
      <c r="AX216" s="357"/>
      <c r="AY216" s="357"/>
      <c r="AZ216" s="357"/>
      <c r="BA216" s="357"/>
      <c r="BB216" s="357"/>
      <c r="BC216" s="357"/>
      <c r="BD216" s="357"/>
      <c r="BE216" s="357"/>
      <c r="BF216" s="357"/>
      <c r="BG216" s="357"/>
      <c r="BH216" s="357"/>
      <c r="BI216" s="357"/>
      <c r="BJ216" s="357"/>
      <c r="BK216" s="357"/>
      <c r="BL216" s="357"/>
      <c r="BM216" s="357"/>
      <c r="BN216" s="357"/>
      <c r="BO216" s="357"/>
      <c r="BP216" s="357"/>
      <c r="BQ216" s="357"/>
      <c r="BR216" s="357"/>
      <c r="BS216" s="357"/>
      <c r="BT216" s="357"/>
      <c r="BU216" s="357"/>
      <c r="BV216" s="357"/>
      <c r="BW216" s="357"/>
      <c r="BX216" s="357"/>
      <c r="BY216" s="357"/>
      <c r="BZ216" s="357"/>
      <c r="CA216" s="357"/>
      <c r="CB216" s="357"/>
      <c r="CC216" s="357"/>
      <c r="CD216" s="357"/>
      <c r="CE216" s="357"/>
      <c r="CF216" s="357"/>
      <c r="CG216" s="357"/>
      <c r="CH216" s="357"/>
      <c r="CI216" s="357"/>
      <c r="CJ216" s="357"/>
      <c r="CK216" s="357"/>
      <c r="CL216" s="357"/>
      <c r="CM216" s="357"/>
      <c r="CN216" s="357"/>
      <c r="CO216" s="357"/>
      <c r="CP216" s="357"/>
      <c r="CQ216" s="357"/>
      <c r="CR216" s="357"/>
      <c r="CS216" s="357"/>
      <c r="CT216" s="357"/>
      <c r="CU216" s="357"/>
      <c r="CV216" s="357"/>
      <c r="CW216" s="357"/>
      <c r="CX216" s="357"/>
      <c r="CY216" s="357"/>
      <c r="CZ216" s="357"/>
      <c r="DA216" s="357"/>
      <c r="DB216" s="357"/>
      <c r="DC216" s="357"/>
      <c r="DD216" s="357"/>
      <c r="DE216" s="357"/>
      <c r="DF216" s="357"/>
      <c r="DG216" s="357"/>
      <c r="DH216" s="357"/>
      <c r="DI216" s="357"/>
      <c r="DJ216" s="357"/>
      <c r="DK216" s="357"/>
      <c r="DL216" s="357"/>
      <c r="DM216" s="357"/>
      <c r="DN216" s="357"/>
      <c r="DO216" s="357"/>
      <c r="DP216" s="357"/>
      <c r="DQ216" s="357"/>
      <c r="DR216" s="357"/>
      <c r="DS216" s="357"/>
      <c r="DT216" s="357"/>
      <c r="DU216" s="357"/>
      <c r="DV216" s="357"/>
      <c r="DW216" s="357"/>
      <c r="DX216" s="357"/>
      <c r="DY216" s="357"/>
      <c r="DZ216" s="357"/>
      <c r="EA216" s="357"/>
      <c r="EB216" s="357"/>
      <c r="EC216" s="357"/>
      <c r="ED216" s="357"/>
      <c r="EE216" s="357"/>
      <c r="EF216" s="357"/>
      <c r="EG216" s="357"/>
      <c r="EH216" s="357"/>
      <c r="EI216" s="357"/>
      <c r="EJ216" s="357"/>
      <c r="EK216" s="357"/>
      <c r="EL216" s="357"/>
      <c r="EM216" s="357"/>
      <c r="EN216" s="357"/>
      <c r="EO216" s="357"/>
      <c r="EP216" s="357"/>
      <c r="EQ216" s="357"/>
      <c r="ER216" s="357"/>
      <c r="ES216" s="357"/>
      <c r="ET216" s="357"/>
      <c r="EU216" s="357"/>
      <c r="EV216" s="357"/>
      <c r="EW216" s="357"/>
      <c r="EX216" s="357"/>
      <c r="EY216" s="357"/>
      <c r="EZ216" s="357"/>
      <c r="FA216" s="357"/>
      <c r="FB216" s="357"/>
      <c r="FC216" s="357"/>
      <c r="FD216" s="357"/>
      <c r="FE216" s="357"/>
      <c r="FF216" s="357"/>
      <c r="FG216" s="357"/>
      <c r="FH216" s="357"/>
      <c r="FI216" s="357"/>
      <c r="FJ216" s="357"/>
      <c r="FK216" s="357"/>
      <c r="FL216" s="357"/>
      <c r="FM216" s="357"/>
      <c r="FN216" s="357"/>
      <c r="FO216" s="357"/>
      <c r="FP216" s="357"/>
      <c r="FQ216" s="357"/>
      <c r="FR216" s="357"/>
      <c r="FS216" s="357"/>
      <c r="FT216" s="357"/>
      <c r="FU216" s="357"/>
      <c r="FV216" s="357"/>
      <c r="FW216" s="357"/>
      <c r="FX216" s="357"/>
      <c r="FY216" s="357"/>
      <c r="FZ216" s="357"/>
      <c r="GA216" s="357"/>
      <c r="GB216" s="357"/>
      <c r="GC216" s="357"/>
      <c r="GD216" s="357"/>
      <c r="GE216" s="357"/>
      <c r="GF216" s="357"/>
      <c r="GG216" s="357"/>
      <c r="GH216" s="357"/>
      <c r="GI216" s="357"/>
      <c r="GJ216" s="357"/>
      <c r="GK216" s="154"/>
      <c r="GL216" s="154"/>
      <c r="GM216" s="154"/>
      <c r="GN216" s="154"/>
      <c r="GO216" s="154"/>
      <c r="GP216" s="154"/>
      <c r="GQ216" s="154"/>
      <c r="GR216" s="154"/>
      <c r="GS216" s="154"/>
      <c r="GT216" s="154"/>
      <c r="GU216" s="154"/>
      <c r="GV216" s="154"/>
      <c r="GW216" s="154"/>
      <c r="GX216" s="154"/>
    </row>
    <row r="217" spans="7:206">
      <c r="G217" s="154"/>
      <c r="H217" s="154"/>
      <c r="I217" s="154"/>
      <c r="J217" s="154"/>
      <c r="K217" s="154"/>
      <c r="L217" s="154"/>
      <c r="M217" s="154"/>
      <c r="N217" s="154"/>
      <c r="O217" s="154"/>
      <c r="P217" s="154"/>
      <c r="Q217" s="154"/>
      <c r="R217" s="154"/>
      <c r="S217" s="154"/>
      <c r="T217" s="154"/>
      <c r="U217" s="154"/>
      <c r="V217" s="154"/>
      <c r="W217" s="154"/>
      <c r="X217" s="154"/>
      <c r="Y217" s="154"/>
      <c r="Z217" s="357"/>
      <c r="AA217" s="357"/>
      <c r="AB217" s="357"/>
      <c r="AC217" s="357"/>
      <c r="AD217" s="357"/>
      <c r="AE217" s="357"/>
      <c r="AF217" s="357"/>
      <c r="AG217" s="357"/>
      <c r="AH217" s="357"/>
      <c r="AI217" s="357"/>
      <c r="AJ217" s="357"/>
      <c r="AK217" s="357"/>
      <c r="AL217" s="357"/>
      <c r="AM217" s="357"/>
      <c r="AN217" s="357"/>
      <c r="AO217" s="357"/>
      <c r="AP217" s="357"/>
      <c r="AQ217" s="357"/>
      <c r="AR217" s="357"/>
      <c r="AS217" s="357"/>
      <c r="AT217" s="357"/>
      <c r="AU217" s="357"/>
      <c r="AV217" s="357"/>
      <c r="AW217" s="357"/>
      <c r="AX217" s="357"/>
      <c r="AY217" s="357"/>
      <c r="AZ217" s="357"/>
      <c r="BA217" s="357"/>
      <c r="BB217" s="357"/>
      <c r="BC217" s="357"/>
      <c r="BD217" s="357"/>
      <c r="BE217" s="357"/>
      <c r="BF217" s="357"/>
      <c r="BG217" s="357"/>
      <c r="BH217" s="357"/>
      <c r="BI217" s="357"/>
      <c r="BJ217" s="357"/>
      <c r="BK217" s="357"/>
      <c r="BL217" s="357"/>
      <c r="BM217" s="357"/>
      <c r="BN217" s="357"/>
      <c r="BO217" s="357"/>
      <c r="BP217" s="357"/>
      <c r="BQ217" s="357"/>
      <c r="BR217" s="357"/>
      <c r="BS217" s="357"/>
      <c r="BT217" s="357"/>
      <c r="BU217" s="357"/>
      <c r="BV217" s="357"/>
      <c r="BW217" s="357"/>
      <c r="BX217" s="357"/>
      <c r="BY217" s="357"/>
      <c r="BZ217" s="357"/>
      <c r="CA217" s="357"/>
      <c r="CB217" s="357"/>
      <c r="CC217" s="357"/>
      <c r="CD217" s="357"/>
      <c r="CE217" s="357"/>
      <c r="CF217" s="357"/>
      <c r="CG217" s="357"/>
      <c r="CH217" s="357"/>
      <c r="CI217" s="357"/>
      <c r="CJ217" s="357"/>
      <c r="CK217" s="357"/>
      <c r="CL217" s="357"/>
      <c r="CM217" s="357"/>
      <c r="CN217" s="357"/>
      <c r="CO217" s="357"/>
      <c r="CP217" s="357"/>
      <c r="CQ217" s="357"/>
      <c r="CR217" s="357"/>
      <c r="CS217" s="357"/>
      <c r="CT217" s="357"/>
      <c r="CU217" s="357"/>
      <c r="CV217" s="357"/>
      <c r="CW217" s="357"/>
      <c r="CX217" s="357"/>
      <c r="CY217" s="357"/>
      <c r="CZ217" s="357"/>
      <c r="DA217" s="357"/>
      <c r="DB217" s="357"/>
      <c r="DC217" s="357"/>
      <c r="DD217" s="357"/>
      <c r="DE217" s="357"/>
      <c r="DF217" s="357"/>
      <c r="DG217" s="357"/>
      <c r="DH217" s="357"/>
      <c r="DI217" s="357"/>
      <c r="DJ217" s="357"/>
      <c r="DK217" s="357"/>
      <c r="DL217" s="357"/>
      <c r="DM217" s="357"/>
      <c r="DN217" s="357"/>
      <c r="DO217" s="357"/>
      <c r="DP217" s="357"/>
      <c r="DQ217" s="357"/>
      <c r="DR217" s="357"/>
      <c r="DS217" s="357"/>
      <c r="DT217" s="357"/>
      <c r="DU217" s="357"/>
      <c r="DV217" s="357"/>
      <c r="DW217" s="357"/>
      <c r="DX217" s="357"/>
      <c r="DY217" s="357"/>
      <c r="DZ217" s="357"/>
      <c r="EA217" s="357"/>
      <c r="EB217" s="357"/>
      <c r="EC217" s="357"/>
      <c r="ED217" s="357"/>
      <c r="EE217" s="357"/>
      <c r="EF217" s="357"/>
      <c r="EG217" s="357"/>
      <c r="EH217" s="357"/>
      <c r="EI217" s="357"/>
      <c r="EJ217" s="357"/>
      <c r="EK217" s="357"/>
      <c r="EL217" s="357"/>
      <c r="EM217" s="357"/>
      <c r="EN217" s="357"/>
      <c r="EO217" s="357"/>
      <c r="EP217" s="357"/>
      <c r="EQ217" s="357"/>
      <c r="ER217" s="357"/>
      <c r="ES217" s="357"/>
      <c r="ET217" s="357"/>
      <c r="EU217" s="357"/>
      <c r="EV217" s="357"/>
      <c r="EW217" s="357"/>
      <c r="EX217" s="357"/>
      <c r="EY217" s="357"/>
      <c r="EZ217" s="357"/>
      <c r="FA217" s="357"/>
      <c r="FB217" s="357"/>
      <c r="FC217" s="357"/>
      <c r="FD217" s="357"/>
      <c r="FE217" s="357"/>
      <c r="FF217" s="357"/>
      <c r="FG217" s="357"/>
      <c r="FH217" s="357"/>
      <c r="FI217" s="357"/>
      <c r="FJ217" s="357"/>
      <c r="FK217" s="357"/>
      <c r="FL217" s="357"/>
      <c r="FM217" s="357"/>
      <c r="FN217" s="357"/>
      <c r="FO217" s="357"/>
      <c r="FP217" s="357"/>
      <c r="FQ217" s="357"/>
      <c r="FR217" s="357"/>
      <c r="FS217" s="357"/>
      <c r="FT217" s="357"/>
      <c r="FU217" s="357"/>
      <c r="FV217" s="357"/>
      <c r="FW217" s="357"/>
      <c r="FX217" s="357"/>
      <c r="FY217" s="357"/>
      <c r="FZ217" s="357"/>
      <c r="GA217" s="357"/>
      <c r="GB217" s="357"/>
      <c r="GC217" s="357"/>
      <c r="GD217" s="357"/>
      <c r="GE217" s="357"/>
      <c r="GF217" s="357"/>
      <c r="GG217" s="357"/>
      <c r="GH217" s="357"/>
      <c r="GI217" s="357"/>
      <c r="GJ217" s="357"/>
      <c r="GK217" s="154"/>
      <c r="GL217" s="154"/>
      <c r="GM217" s="154"/>
      <c r="GN217" s="154"/>
      <c r="GO217" s="154"/>
      <c r="GP217" s="154"/>
      <c r="GQ217" s="154"/>
      <c r="GR217" s="154"/>
      <c r="GS217" s="154"/>
      <c r="GT217" s="154"/>
      <c r="GU217" s="154"/>
      <c r="GV217" s="154"/>
      <c r="GW217" s="154"/>
      <c r="GX217" s="154"/>
    </row>
    <row r="218" spans="7:206">
      <c r="G218" s="154"/>
      <c r="H218" s="154"/>
      <c r="I218" s="154"/>
      <c r="J218" s="154"/>
      <c r="K218" s="154"/>
      <c r="L218" s="154"/>
      <c r="M218" s="154"/>
      <c r="N218" s="154"/>
      <c r="O218" s="154"/>
      <c r="P218" s="154"/>
      <c r="Q218" s="154"/>
      <c r="R218" s="154"/>
      <c r="S218" s="154"/>
      <c r="T218" s="154"/>
      <c r="U218" s="154"/>
      <c r="V218" s="154"/>
      <c r="W218" s="154"/>
      <c r="X218" s="154"/>
      <c r="Y218" s="154"/>
      <c r="Z218" s="357"/>
      <c r="AA218" s="357"/>
      <c r="AB218" s="357"/>
      <c r="AC218" s="357"/>
      <c r="AD218" s="357"/>
      <c r="AE218" s="357"/>
      <c r="AF218" s="357"/>
      <c r="AG218" s="357"/>
      <c r="AH218" s="357"/>
      <c r="AI218" s="357"/>
      <c r="AJ218" s="357"/>
      <c r="AK218" s="357"/>
      <c r="AL218" s="357"/>
      <c r="AM218" s="357"/>
      <c r="AN218" s="357"/>
      <c r="AO218" s="357"/>
      <c r="AP218" s="357"/>
      <c r="AQ218" s="357"/>
      <c r="AR218" s="357"/>
      <c r="AS218" s="357"/>
      <c r="AT218" s="357"/>
      <c r="AU218" s="357"/>
      <c r="AV218" s="357"/>
      <c r="AW218" s="357"/>
      <c r="AX218" s="357"/>
      <c r="AY218" s="357"/>
      <c r="AZ218" s="357"/>
      <c r="BA218" s="357"/>
      <c r="BB218" s="357"/>
      <c r="BC218" s="357"/>
      <c r="BD218" s="357"/>
      <c r="BE218" s="357"/>
      <c r="BF218" s="357"/>
      <c r="BG218" s="357"/>
      <c r="BH218" s="357"/>
      <c r="BI218" s="357"/>
      <c r="BJ218" s="357"/>
      <c r="BK218" s="357"/>
      <c r="BL218" s="357"/>
      <c r="BM218" s="357"/>
      <c r="BN218" s="357"/>
      <c r="BO218" s="357"/>
      <c r="BP218" s="357"/>
      <c r="BQ218" s="357"/>
      <c r="BR218" s="357"/>
      <c r="BS218" s="357"/>
      <c r="BT218" s="357"/>
      <c r="BU218" s="357"/>
      <c r="BV218" s="357"/>
      <c r="BW218" s="357"/>
      <c r="BX218" s="357"/>
      <c r="BY218" s="357"/>
      <c r="BZ218" s="357"/>
      <c r="CA218" s="357"/>
      <c r="CB218" s="357"/>
      <c r="CC218" s="357"/>
      <c r="CD218" s="357"/>
      <c r="CE218" s="357"/>
      <c r="CF218" s="357"/>
      <c r="CG218" s="357"/>
      <c r="CH218" s="357"/>
      <c r="CI218" s="357"/>
      <c r="CJ218" s="357"/>
      <c r="CK218" s="357"/>
      <c r="CL218" s="357"/>
      <c r="CM218" s="357"/>
      <c r="CN218" s="357"/>
      <c r="CO218" s="357"/>
      <c r="CP218" s="357"/>
      <c r="CQ218" s="357"/>
      <c r="CR218" s="357"/>
      <c r="CS218" s="357"/>
      <c r="CT218" s="357"/>
      <c r="CU218" s="357"/>
      <c r="CV218" s="357"/>
      <c r="CW218" s="357"/>
      <c r="CX218" s="357"/>
      <c r="CY218" s="357"/>
      <c r="CZ218" s="357"/>
      <c r="DA218" s="357"/>
      <c r="DB218" s="357"/>
      <c r="DC218" s="357"/>
      <c r="DD218" s="357"/>
      <c r="DE218" s="357"/>
      <c r="DF218" s="357"/>
      <c r="DG218" s="357"/>
      <c r="DH218" s="357"/>
      <c r="DI218" s="357"/>
      <c r="DJ218" s="357"/>
      <c r="DK218" s="357"/>
      <c r="DL218" s="357"/>
      <c r="DM218" s="357"/>
      <c r="DN218" s="357"/>
      <c r="DO218" s="357"/>
      <c r="DP218" s="357"/>
      <c r="DQ218" s="357"/>
      <c r="DR218" s="357"/>
      <c r="DS218" s="357"/>
      <c r="DT218" s="357"/>
      <c r="DU218" s="357"/>
      <c r="DV218" s="357"/>
      <c r="DW218" s="357"/>
      <c r="DX218" s="357"/>
      <c r="DY218" s="357"/>
      <c r="DZ218" s="357"/>
      <c r="EA218" s="357"/>
      <c r="EB218" s="357"/>
      <c r="EC218" s="357"/>
      <c r="ED218" s="357"/>
      <c r="EE218" s="357"/>
      <c r="EF218" s="357"/>
      <c r="EG218" s="357"/>
      <c r="EH218" s="357"/>
      <c r="EI218" s="357"/>
      <c r="EJ218" s="357"/>
      <c r="EK218" s="357"/>
      <c r="EL218" s="357"/>
      <c r="EM218" s="357"/>
      <c r="EN218" s="357"/>
      <c r="EO218" s="357"/>
      <c r="EP218" s="357"/>
      <c r="EQ218" s="357"/>
      <c r="ER218" s="357"/>
      <c r="ES218" s="357"/>
      <c r="ET218" s="357"/>
      <c r="EU218" s="357"/>
      <c r="EV218" s="357"/>
      <c r="EW218" s="357"/>
      <c r="EX218" s="357"/>
      <c r="EY218" s="357"/>
      <c r="EZ218" s="357"/>
      <c r="FA218" s="357"/>
      <c r="FB218" s="357"/>
      <c r="FC218" s="357"/>
      <c r="FD218" s="357"/>
      <c r="FE218" s="357"/>
      <c r="FF218" s="357"/>
      <c r="FG218" s="357"/>
      <c r="FH218" s="357"/>
      <c r="FI218" s="357"/>
      <c r="FJ218" s="357"/>
      <c r="FK218" s="357"/>
      <c r="FL218" s="357"/>
      <c r="FM218" s="357"/>
      <c r="FN218" s="357"/>
      <c r="FO218" s="357"/>
      <c r="FP218" s="357"/>
      <c r="FQ218" s="357"/>
      <c r="FR218" s="357"/>
      <c r="FS218" s="357"/>
      <c r="FT218" s="357"/>
      <c r="FU218" s="357"/>
      <c r="FV218" s="357"/>
      <c r="FW218" s="357"/>
      <c r="FX218" s="357"/>
      <c r="FY218" s="357"/>
      <c r="FZ218" s="357"/>
      <c r="GA218" s="357"/>
      <c r="GB218" s="357"/>
      <c r="GC218" s="357"/>
      <c r="GD218" s="357"/>
      <c r="GE218" s="357"/>
      <c r="GF218" s="357"/>
      <c r="GG218" s="357"/>
      <c r="GH218" s="357"/>
      <c r="GI218" s="357"/>
      <c r="GJ218" s="357"/>
      <c r="GK218" s="154"/>
      <c r="GL218" s="154"/>
      <c r="GM218" s="154"/>
      <c r="GN218" s="154"/>
      <c r="GO218" s="154"/>
      <c r="GP218" s="154"/>
      <c r="GQ218" s="154"/>
      <c r="GR218" s="154"/>
      <c r="GS218" s="154"/>
      <c r="GT218" s="154"/>
      <c r="GU218" s="154"/>
      <c r="GV218" s="154"/>
      <c r="GW218" s="154"/>
      <c r="GX218" s="154"/>
    </row>
    <row r="219" spans="7:206">
      <c r="G219" s="154"/>
      <c r="H219" s="154"/>
      <c r="I219" s="154"/>
      <c r="J219" s="154"/>
      <c r="K219" s="154"/>
      <c r="L219" s="154"/>
      <c r="M219" s="154"/>
      <c r="N219" s="154"/>
      <c r="O219" s="154"/>
      <c r="P219" s="154"/>
      <c r="Q219" s="154"/>
      <c r="R219" s="154"/>
      <c r="S219" s="154"/>
      <c r="T219" s="154"/>
      <c r="U219" s="154"/>
      <c r="V219" s="154"/>
      <c r="W219" s="154"/>
      <c r="X219" s="154"/>
      <c r="Y219" s="154"/>
      <c r="Z219" s="357"/>
      <c r="AA219" s="357"/>
      <c r="AB219" s="357"/>
      <c r="AC219" s="357"/>
      <c r="AD219" s="357"/>
      <c r="AE219" s="357"/>
      <c r="AF219" s="357"/>
      <c r="AG219" s="357"/>
      <c r="AH219" s="357"/>
      <c r="AI219" s="357"/>
      <c r="AJ219" s="357"/>
      <c r="AK219" s="357"/>
      <c r="AL219" s="357"/>
      <c r="AM219" s="357"/>
      <c r="AN219" s="357"/>
      <c r="AO219" s="357"/>
      <c r="AP219" s="357"/>
      <c r="AQ219" s="357"/>
      <c r="AR219" s="357"/>
      <c r="AS219" s="357"/>
      <c r="AT219" s="357"/>
      <c r="AU219" s="357"/>
      <c r="AV219" s="357"/>
      <c r="AW219" s="357"/>
      <c r="AX219" s="357"/>
      <c r="AY219" s="357"/>
      <c r="AZ219" s="357"/>
      <c r="BA219" s="357"/>
      <c r="BB219" s="357"/>
      <c r="BC219" s="357"/>
      <c r="BD219" s="357"/>
      <c r="BE219" s="357"/>
      <c r="BF219" s="357"/>
      <c r="BG219" s="357"/>
      <c r="BH219" s="357"/>
      <c r="BI219" s="357"/>
      <c r="BJ219" s="357"/>
      <c r="BK219" s="357"/>
      <c r="BL219" s="357"/>
      <c r="BM219" s="357"/>
      <c r="BN219" s="357"/>
      <c r="BO219" s="357"/>
      <c r="BP219" s="357"/>
      <c r="BQ219" s="357"/>
      <c r="BR219" s="357"/>
      <c r="BS219" s="357"/>
      <c r="BT219" s="357"/>
      <c r="BU219" s="357"/>
      <c r="BV219" s="357"/>
      <c r="BW219" s="357"/>
      <c r="BX219" s="357"/>
      <c r="BY219" s="357"/>
      <c r="BZ219" s="357"/>
      <c r="CA219" s="357"/>
      <c r="CB219" s="357"/>
      <c r="CC219" s="357"/>
      <c r="CD219" s="357"/>
      <c r="CE219" s="357"/>
      <c r="CF219" s="357"/>
      <c r="CG219" s="357"/>
      <c r="CH219" s="357"/>
      <c r="CI219" s="357"/>
      <c r="CJ219" s="357"/>
      <c r="CK219" s="357"/>
      <c r="CL219" s="357"/>
      <c r="CM219" s="357"/>
      <c r="CN219" s="357"/>
      <c r="CO219" s="357"/>
      <c r="CP219" s="357"/>
      <c r="CQ219" s="357"/>
      <c r="CR219" s="357"/>
      <c r="CS219" s="357"/>
      <c r="CT219" s="357"/>
      <c r="CU219" s="357"/>
      <c r="CV219" s="357"/>
      <c r="CW219" s="357"/>
      <c r="CX219" s="357"/>
      <c r="CY219" s="357"/>
      <c r="CZ219" s="357"/>
      <c r="DA219" s="357"/>
      <c r="DB219" s="357"/>
      <c r="DC219" s="357"/>
      <c r="DD219" s="357"/>
      <c r="DE219" s="357"/>
      <c r="DF219" s="357"/>
      <c r="DG219" s="357"/>
      <c r="DH219" s="357"/>
      <c r="DI219" s="357"/>
      <c r="DJ219" s="357"/>
      <c r="DK219" s="357"/>
      <c r="DL219" s="357"/>
      <c r="DM219" s="357"/>
      <c r="DN219" s="357"/>
      <c r="DO219" s="357"/>
      <c r="DP219" s="357"/>
      <c r="DQ219" s="357"/>
      <c r="DR219" s="357"/>
      <c r="DS219" s="357"/>
      <c r="DT219" s="357"/>
      <c r="DU219" s="357"/>
      <c r="DV219" s="357"/>
      <c r="DW219" s="357"/>
      <c r="DX219" s="357"/>
      <c r="DY219" s="357"/>
      <c r="DZ219" s="357"/>
      <c r="EA219" s="357"/>
      <c r="EB219" s="357"/>
      <c r="EC219" s="357"/>
      <c r="ED219" s="357"/>
      <c r="EE219" s="357"/>
      <c r="EF219" s="357"/>
      <c r="EG219" s="357"/>
      <c r="EH219" s="357"/>
      <c r="EI219" s="357"/>
      <c r="EJ219" s="357"/>
      <c r="EK219" s="357"/>
      <c r="EL219" s="357"/>
      <c r="EM219" s="357"/>
      <c r="EN219" s="357"/>
      <c r="EO219" s="357"/>
      <c r="EP219" s="357"/>
      <c r="EQ219" s="357"/>
      <c r="ER219" s="357"/>
      <c r="ES219" s="357"/>
      <c r="ET219" s="357"/>
      <c r="EU219" s="357"/>
      <c r="EV219" s="357"/>
      <c r="EW219" s="357"/>
      <c r="EX219" s="357"/>
      <c r="EY219" s="357"/>
      <c r="EZ219" s="357"/>
      <c r="FA219" s="357"/>
      <c r="FB219" s="357"/>
      <c r="FC219" s="357"/>
      <c r="FD219" s="357"/>
      <c r="FE219" s="357"/>
      <c r="FF219" s="357"/>
      <c r="FG219" s="357"/>
      <c r="FH219" s="357"/>
      <c r="FI219" s="357"/>
      <c r="FJ219" s="357"/>
      <c r="FK219" s="357"/>
      <c r="FL219" s="357"/>
      <c r="FM219" s="357"/>
      <c r="FN219" s="357"/>
      <c r="FO219" s="357"/>
      <c r="FP219" s="357"/>
      <c r="FQ219" s="357"/>
      <c r="FR219" s="357"/>
      <c r="FS219" s="357"/>
      <c r="FT219" s="357"/>
      <c r="FU219" s="357"/>
      <c r="FV219" s="357"/>
      <c r="FW219" s="357"/>
      <c r="FX219" s="357"/>
      <c r="FY219" s="357"/>
      <c r="FZ219" s="357"/>
      <c r="GA219" s="357"/>
      <c r="GB219" s="357"/>
      <c r="GC219" s="357"/>
      <c r="GD219" s="357"/>
      <c r="GE219" s="357"/>
      <c r="GF219" s="357"/>
      <c r="GG219" s="357"/>
      <c r="GH219" s="357"/>
      <c r="GI219" s="357"/>
      <c r="GJ219" s="357"/>
      <c r="GK219" s="154"/>
      <c r="GL219" s="154"/>
      <c r="GM219" s="154"/>
      <c r="GN219" s="154"/>
      <c r="GO219" s="154"/>
      <c r="GP219" s="154"/>
      <c r="GQ219" s="154"/>
      <c r="GR219" s="154"/>
      <c r="GS219" s="154"/>
      <c r="GT219" s="154"/>
      <c r="GU219" s="154"/>
      <c r="GV219" s="154"/>
      <c r="GW219" s="154"/>
      <c r="GX219" s="154"/>
    </row>
    <row r="220" spans="7:206">
      <c r="G220" s="154"/>
      <c r="H220" s="154"/>
      <c r="I220" s="154"/>
      <c r="J220" s="154"/>
      <c r="K220" s="154"/>
      <c r="L220" s="154"/>
      <c r="M220" s="154"/>
      <c r="N220" s="154"/>
      <c r="O220" s="154"/>
      <c r="P220" s="154"/>
      <c r="Q220" s="154"/>
      <c r="R220" s="154"/>
      <c r="S220" s="154"/>
      <c r="T220" s="154"/>
      <c r="U220" s="154"/>
      <c r="V220" s="154"/>
      <c r="W220" s="154"/>
      <c r="X220" s="154"/>
      <c r="Y220" s="154"/>
      <c r="Z220" s="357"/>
      <c r="AA220" s="357"/>
      <c r="AB220" s="357"/>
      <c r="AC220" s="357"/>
      <c r="AD220" s="357"/>
      <c r="AE220" s="357"/>
      <c r="AF220" s="357"/>
      <c r="AG220" s="357"/>
      <c r="AH220" s="357"/>
      <c r="AI220" s="357"/>
      <c r="AJ220" s="357"/>
      <c r="AK220" s="357"/>
      <c r="AL220" s="357"/>
      <c r="AM220" s="357"/>
      <c r="AN220" s="357"/>
      <c r="AO220" s="357"/>
      <c r="AP220" s="357"/>
      <c r="AQ220" s="357"/>
      <c r="AR220" s="357"/>
      <c r="AS220" s="357"/>
      <c r="AT220" s="357"/>
      <c r="AU220" s="357"/>
      <c r="AV220" s="357"/>
      <c r="AW220" s="357"/>
      <c r="AX220" s="357"/>
      <c r="AY220" s="357"/>
      <c r="AZ220" s="357"/>
      <c r="BA220" s="357"/>
      <c r="BB220" s="357"/>
      <c r="BC220" s="357"/>
      <c r="BD220" s="357"/>
      <c r="BE220" s="357"/>
      <c r="BF220" s="357"/>
      <c r="BG220" s="357"/>
      <c r="BH220" s="357"/>
      <c r="BI220" s="357"/>
      <c r="BJ220" s="357"/>
      <c r="BK220" s="357"/>
      <c r="BL220" s="357"/>
      <c r="BM220" s="357"/>
      <c r="BN220" s="357"/>
      <c r="BO220" s="357"/>
      <c r="BP220" s="357"/>
      <c r="BQ220" s="357"/>
      <c r="BR220" s="357"/>
      <c r="BS220" s="357"/>
      <c r="BT220" s="357"/>
      <c r="BU220" s="357"/>
      <c r="BV220" s="357"/>
      <c r="BW220" s="357"/>
      <c r="BX220" s="357"/>
      <c r="BY220" s="357"/>
      <c r="BZ220" s="357"/>
      <c r="CA220" s="357"/>
      <c r="CB220" s="357"/>
      <c r="CC220" s="357"/>
      <c r="CD220" s="357"/>
      <c r="CE220" s="357"/>
      <c r="CF220" s="357"/>
      <c r="CG220" s="357"/>
      <c r="CH220" s="357"/>
      <c r="CI220" s="357"/>
      <c r="CJ220" s="357"/>
      <c r="CK220" s="357"/>
      <c r="CL220" s="357"/>
      <c r="CM220" s="357"/>
      <c r="CN220" s="357"/>
      <c r="CO220" s="357"/>
      <c r="CP220" s="357"/>
      <c r="CQ220" s="357"/>
      <c r="CR220" s="357"/>
      <c r="CS220" s="357"/>
      <c r="CT220" s="357"/>
      <c r="CU220" s="357"/>
      <c r="CV220" s="357"/>
      <c r="CW220" s="357"/>
      <c r="CX220" s="357"/>
      <c r="CY220" s="357"/>
      <c r="CZ220" s="357"/>
      <c r="DA220" s="357"/>
      <c r="DB220" s="357"/>
      <c r="DC220" s="357"/>
      <c r="DD220" s="357"/>
      <c r="DE220" s="357"/>
      <c r="DF220" s="357"/>
      <c r="DG220" s="357"/>
      <c r="DH220" s="357"/>
      <c r="DI220" s="357"/>
      <c r="DJ220" s="357"/>
      <c r="DK220" s="357"/>
      <c r="DL220" s="357"/>
      <c r="DM220" s="357"/>
      <c r="DN220" s="357"/>
      <c r="DO220" s="357"/>
      <c r="DP220" s="357"/>
      <c r="DQ220" s="357"/>
      <c r="DR220" s="357"/>
      <c r="DS220" s="357"/>
      <c r="DT220" s="357"/>
      <c r="DU220" s="357"/>
      <c r="DV220" s="357"/>
      <c r="DW220" s="357"/>
      <c r="DX220" s="357"/>
      <c r="DY220" s="357"/>
      <c r="DZ220" s="357"/>
      <c r="EA220" s="357"/>
      <c r="EB220" s="357"/>
      <c r="EC220" s="357"/>
      <c r="ED220" s="357"/>
      <c r="EE220" s="357"/>
      <c r="EF220" s="357"/>
      <c r="EG220" s="357"/>
      <c r="EH220" s="357"/>
      <c r="EI220" s="357"/>
      <c r="EJ220" s="357"/>
      <c r="EK220" s="357"/>
      <c r="EL220" s="357"/>
      <c r="EM220" s="357"/>
      <c r="EN220" s="357"/>
      <c r="EO220" s="357"/>
      <c r="EP220" s="357"/>
      <c r="EQ220" s="357"/>
      <c r="ER220" s="357"/>
      <c r="ES220" s="357"/>
      <c r="ET220" s="357"/>
      <c r="EU220" s="357"/>
      <c r="EV220" s="357"/>
      <c r="EW220" s="357"/>
      <c r="EX220" s="357"/>
      <c r="EY220" s="357"/>
      <c r="EZ220" s="357"/>
      <c r="FA220" s="357"/>
      <c r="FB220" s="357"/>
      <c r="FC220" s="357"/>
      <c r="FD220" s="357"/>
      <c r="FE220" s="357"/>
      <c r="FF220" s="357"/>
      <c r="FG220" s="357"/>
      <c r="FH220" s="357"/>
      <c r="FI220" s="357"/>
      <c r="FJ220" s="357"/>
      <c r="FK220" s="357"/>
      <c r="FL220" s="357"/>
      <c r="FM220" s="357"/>
      <c r="FN220" s="357"/>
      <c r="FO220" s="357"/>
      <c r="FP220" s="357"/>
      <c r="FQ220" s="357"/>
      <c r="FR220" s="357"/>
      <c r="FS220" s="357"/>
      <c r="FT220" s="357"/>
      <c r="FU220" s="357"/>
      <c r="FV220" s="357"/>
      <c r="FW220" s="357"/>
      <c r="FX220" s="357"/>
      <c r="FY220" s="357"/>
      <c r="FZ220" s="357"/>
      <c r="GA220" s="357"/>
      <c r="GB220" s="357"/>
      <c r="GC220" s="357"/>
      <c r="GD220" s="357"/>
      <c r="GE220" s="357"/>
      <c r="GF220" s="357"/>
      <c r="GG220" s="357"/>
      <c r="GH220" s="357"/>
      <c r="GI220" s="357"/>
      <c r="GJ220" s="357"/>
      <c r="GK220" s="154"/>
      <c r="GL220" s="154"/>
      <c r="GM220" s="154"/>
      <c r="GN220" s="154"/>
      <c r="GO220" s="154"/>
      <c r="GP220" s="154"/>
      <c r="GQ220" s="154"/>
      <c r="GR220" s="154"/>
      <c r="GS220" s="154"/>
      <c r="GT220" s="154"/>
      <c r="GU220" s="154"/>
      <c r="GV220" s="154"/>
      <c r="GW220" s="154"/>
      <c r="GX220" s="154"/>
    </row>
    <row r="221" spans="7:206">
      <c r="G221" s="154"/>
      <c r="H221" s="154"/>
      <c r="I221" s="154"/>
      <c r="J221" s="154"/>
      <c r="K221" s="154"/>
      <c r="L221" s="154"/>
      <c r="M221" s="154"/>
      <c r="N221" s="154"/>
      <c r="O221" s="154"/>
      <c r="P221" s="154"/>
      <c r="Q221" s="154"/>
      <c r="R221" s="154"/>
      <c r="S221" s="154"/>
      <c r="T221" s="154"/>
      <c r="U221" s="154"/>
      <c r="V221" s="154"/>
      <c r="W221" s="154"/>
      <c r="X221" s="154"/>
      <c r="Y221" s="154"/>
      <c r="Z221" s="357"/>
      <c r="AA221" s="357"/>
      <c r="AB221" s="357"/>
      <c r="AC221" s="357"/>
      <c r="AD221" s="357"/>
      <c r="AE221" s="357"/>
      <c r="AF221" s="357"/>
      <c r="AG221" s="357"/>
      <c r="AH221" s="357"/>
      <c r="AI221" s="357"/>
      <c r="AJ221" s="357"/>
      <c r="AK221" s="357"/>
      <c r="AL221" s="357"/>
      <c r="AM221" s="357"/>
      <c r="AN221" s="357"/>
      <c r="AO221" s="357"/>
      <c r="AP221" s="357"/>
      <c r="AQ221" s="357"/>
      <c r="AR221" s="357"/>
      <c r="AS221" s="357"/>
      <c r="AT221" s="357"/>
      <c r="AU221" s="357"/>
      <c r="AV221" s="357"/>
      <c r="AW221" s="357"/>
      <c r="AX221" s="357"/>
      <c r="AY221" s="357"/>
      <c r="AZ221" s="357"/>
      <c r="BA221" s="357"/>
      <c r="BB221" s="357"/>
      <c r="BC221" s="357"/>
      <c r="BD221" s="357"/>
      <c r="BE221" s="357"/>
      <c r="BF221" s="357"/>
      <c r="BG221" s="357"/>
      <c r="BH221" s="357"/>
      <c r="BI221" s="357"/>
      <c r="BJ221" s="357"/>
      <c r="BK221" s="357"/>
      <c r="BL221" s="357"/>
      <c r="BM221" s="357"/>
      <c r="BN221" s="357"/>
      <c r="BO221" s="357"/>
      <c r="BP221" s="357"/>
      <c r="BQ221" s="357"/>
      <c r="BR221" s="357"/>
      <c r="BS221" s="357"/>
      <c r="BT221" s="357"/>
      <c r="BU221" s="357"/>
      <c r="BV221" s="357"/>
      <c r="BW221" s="357"/>
      <c r="BX221" s="357"/>
      <c r="BY221" s="357"/>
      <c r="BZ221" s="357"/>
      <c r="CA221" s="357"/>
      <c r="CB221" s="357"/>
      <c r="CC221" s="357"/>
      <c r="CD221" s="357"/>
      <c r="CE221" s="357"/>
      <c r="CF221" s="357"/>
      <c r="CG221" s="357"/>
      <c r="CH221" s="357"/>
      <c r="CI221" s="357"/>
      <c r="CJ221" s="357"/>
      <c r="CK221" s="357"/>
      <c r="CL221" s="357"/>
      <c r="CM221" s="357"/>
      <c r="CN221" s="357"/>
      <c r="CO221" s="357"/>
      <c r="CP221" s="357"/>
      <c r="CQ221" s="357"/>
      <c r="CR221" s="357"/>
      <c r="CS221" s="357"/>
      <c r="CT221" s="357"/>
      <c r="CU221" s="357"/>
      <c r="CV221" s="357"/>
      <c r="CW221" s="357"/>
      <c r="CX221" s="357"/>
      <c r="CY221" s="357"/>
      <c r="CZ221" s="357"/>
      <c r="DA221" s="357"/>
      <c r="DB221" s="357"/>
      <c r="DC221" s="357"/>
      <c r="DD221" s="357"/>
      <c r="DE221" s="357"/>
      <c r="DF221" s="357"/>
      <c r="DG221" s="357"/>
      <c r="DH221" s="357"/>
      <c r="DI221" s="357"/>
      <c r="DJ221" s="357"/>
      <c r="DK221" s="357"/>
      <c r="DL221" s="357"/>
      <c r="DM221" s="357"/>
      <c r="DN221" s="357"/>
      <c r="DO221" s="357"/>
      <c r="DP221" s="357"/>
      <c r="DQ221" s="357"/>
      <c r="DR221" s="357"/>
      <c r="DS221" s="357"/>
      <c r="DT221" s="357"/>
      <c r="DU221" s="357"/>
      <c r="DV221" s="357"/>
      <c r="DW221" s="357"/>
      <c r="DX221" s="357"/>
      <c r="DY221" s="357"/>
      <c r="DZ221" s="357"/>
      <c r="EA221" s="357"/>
      <c r="EB221" s="357"/>
      <c r="EC221" s="357"/>
      <c r="ED221" s="357"/>
      <c r="EE221" s="357"/>
      <c r="EF221" s="357"/>
      <c r="EG221" s="357"/>
      <c r="EH221" s="357"/>
      <c r="EI221" s="357"/>
      <c r="EJ221" s="357"/>
      <c r="EK221" s="357"/>
      <c r="EL221" s="357"/>
      <c r="EM221" s="357"/>
      <c r="EN221" s="357"/>
      <c r="EO221" s="357"/>
      <c r="EP221" s="357"/>
      <c r="EQ221" s="357"/>
      <c r="ER221" s="357"/>
      <c r="ES221" s="357"/>
      <c r="ET221" s="357"/>
      <c r="EU221" s="357"/>
      <c r="EV221" s="357"/>
      <c r="EW221" s="357"/>
      <c r="EX221" s="357"/>
      <c r="EY221" s="357"/>
      <c r="EZ221" s="357"/>
      <c r="FA221" s="357"/>
      <c r="FB221" s="357"/>
      <c r="FC221" s="357"/>
      <c r="FD221" s="357"/>
      <c r="FE221" s="357"/>
      <c r="FF221" s="357"/>
      <c r="FG221" s="357"/>
      <c r="FH221" s="357"/>
      <c r="FI221" s="357"/>
      <c r="FJ221" s="357"/>
      <c r="FK221" s="357"/>
      <c r="FL221" s="357"/>
      <c r="FM221" s="357"/>
      <c r="FN221" s="357"/>
      <c r="FO221" s="357"/>
      <c r="FP221" s="357"/>
      <c r="FQ221" s="357"/>
      <c r="FR221" s="357"/>
      <c r="FS221" s="357"/>
      <c r="FT221" s="357"/>
      <c r="FU221" s="357"/>
      <c r="FV221" s="357"/>
      <c r="FW221" s="357"/>
      <c r="FX221" s="357"/>
      <c r="FY221" s="357"/>
      <c r="FZ221" s="357"/>
      <c r="GA221" s="357"/>
      <c r="GB221" s="357"/>
      <c r="GC221" s="357"/>
      <c r="GD221" s="357"/>
      <c r="GE221" s="357"/>
      <c r="GF221" s="357"/>
      <c r="GG221" s="357"/>
      <c r="GH221" s="357"/>
      <c r="GI221" s="357"/>
      <c r="GJ221" s="357"/>
      <c r="GK221" s="154"/>
      <c r="GL221" s="154"/>
      <c r="GM221" s="154"/>
      <c r="GN221" s="154"/>
      <c r="GO221" s="154"/>
      <c r="GP221" s="154"/>
      <c r="GQ221" s="154"/>
      <c r="GR221" s="154"/>
      <c r="GS221" s="154"/>
      <c r="GT221" s="154"/>
      <c r="GU221" s="154"/>
      <c r="GV221" s="154"/>
      <c r="GW221" s="154"/>
      <c r="GX221" s="154"/>
    </row>
    <row r="222" spans="7:206">
      <c r="G222" s="154"/>
      <c r="H222" s="154"/>
      <c r="I222" s="154"/>
      <c r="J222" s="154"/>
      <c r="K222" s="154"/>
      <c r="L222" s="154"/>
      <c r="M222" s="154"/>
      <c r="N222" s="154"/>
      <c r="O222" s="154"/>
      <c r="P222" s="154"/>
      <c r="Q222" s="154"/>
      <c r="R222" s="154"/>
      <c r="S222" s="154"/>
      <c r="T222" s="154"/>
      <c r="U222" s="154"/>
      <c r="V222" s="154"/>
      <c r="W222" s="154"/>
      <c r="X222" s="154"/>
      <c r="Y222" s="154"/>
      <c r="Z222" s="357"/>
      <c r="AA222" s="357"/>
      <c r="AB222" s="357"/>
      <c r="AC222" s="357"/>
      <c r="AD222" s="357"/>
      <c r="AE222" s="357"/>
      <c r="AF222" s="357"/>
      <c r="AG222" s="357"/>
      <c r="AH222" s="357"/>
      <c r="AI222" s="357"/>
      <c r="AJ222" s="357"/>
      <c r="AK222" s="357"/>
      <c r="AL222" s="357"/>
      <c r="AM222" s="357"/>
      <c r="AN222" s="357"/>
      <c r="AO222" s="357"/>
      <c r="AP222" s="357"/>
      <c r="AQ222" s="357"/>
      <c r="AR222" s="357"/>
      <c r="AS222" s="357"/>
      <c r="AT222" s="357"/>
      <c r="AU222" s="357"/>
      <c r="AV222" s="357"/>
      <c r="AW222" s="357"/>
      <c r="AX222" s="357"/>
      <c r="AY222" s="357"/>
      <c r="AZ222" s="357"/>
      <c r="BA222" s="357"/>
      <c r="BB222" s="357"/>
      <c r="BC222" s="357"/>
      <c r="BD222" s="357"/>
      <c r="BE222" s="357"/>
      <c r="BF222" s="357"/>
      <c r="BG222" s="357"/>
      <c r="BH222" s="357"/>
      <c r="BI222" s="357"/>
      <c r="BJ222" s="357"/>
      <c r="BK222" s="357"/>
      <c r="BL222" s="357"/>
      <c r="BM222" s="357"/>
      <c r="BN222" s="357"/>
      <c r="BO222" s="357"/>
      <c r="BP222" s="357"/>
      <c r="BQ222" s="357"/>
      <c r="BR222" s="357"/>
      <c r="BS222" s="357"/>
      <c r="BT222" s="357"/>
      <c r="BU222" s="357"/>
      <c r="BV222" s="357"/>
      <c r="BW222" s="357"/>
      <c r="BX222" s="357"/>
      <c r="BY222" s="357"/>
      <c r="BZ222" s="357"/>
      <c r="CA222" s="357"/>
      <c r="CB222" s="357"/>
      <c r="CC222" s="357"/>
      <c r="CD222" s="357"/>
      <c r="CE222" s="357"/>
      <c r="CF222" s="357"/>
      <c r="CG222" s="357"/>
      <c r="CH222" s="357"/>
      <c r="CI222" s="357"/>
      <c r="CJ222" s="357"/>
      <c r="CK222" s="357"/>
      <c r="CL222" s="357"/>
      <c r="CM222" s="357"/>
      <c r="CN222" s="357"/>
      <c r="CO222" s="357"/>
      <c r="CP222" s="357"/>
      <c r="CQ222" s="357"/>
      <c r="CR222" s="357"/>
      <c r="CS222" s="357"/>
      <c r="CT222" s="357"/>
      <c r="CU222" s="357"/>
      <c r="CV222" s="357"/>
      <c r="CW222" s="357"/>
      <c r="CX222" s="357"/>
      <c r="CY222" s="357"/>
      <c r="CZ222" s="357"/>
      <c r="DA222" s="357"/>
      <c r="DB222" s="357"/>
      <c r="DC222" s="357"/>
      <c r="DD222" s="357"/>
      <c r="DE222" s="357"/>
      <c r="DF222" s="357"/>
      <c r="DG222" s="357"/>
      <c r="DH222" s="357"/>
      <c r="DI222" s="357"/>
      <c r="DJ222" s="357"/>
      <c r="DK222" s="357"/>
      <c r="DL222" s="357"/>
      <c r="DM222" s="357"/>
      <c r="DN222" s="357"/>
      <c r="DO222" s="357"/>
      <c r="DP222" s="357"/>
      <c r="DQ222" s="357"/>
      <c r="DR222" s="357"/>
      <c r="DS222" s="357"/>
      <c r="DT222" s="357"/>
      <c r="DU222" s="357"/>
      <c r="DV222" s="357"/>
      <c r="DW222" s="357"/>
      <c r="DX222" s="357"/>
      <c r="DY222" s="357"/>
      <c r="DZ222" s="357"/>
      <c r="EA222" s="357"/>
      <c r="EB222" s="357"/>
      <c r="EC222" s="357"/>
      <c r="ED222" s="357"/>
      <c r="EE222" s="357"/>
      <c r="EF222" s="357"/>
      <c r="EG222" s="357"/>
      <c r="EH222" s="357"/>
      <c r="EI222" s="357"/>
      <c r="EJ222" s="357"/>
      <c r="EK222" s="357"/>
      <c r="EL222" s="357"/>
      <c r="EM222" s="357"/>
      <c r="EN222" s="357"/>
      <c r="EO222" s="357"/>
      <c r="EP222" s="357"/>
      <c r="EQ222" s="357"/>
      <c r="ER222" s="357"/>
      <c r="ES222" s="357"/>
      <c r="ET222" s="357"/>
      <c r="EU222" s="357"/>
      <c r="EV222" s="357"/>
      <c r="EW222" s="357"/>
      <c r="EX222" s="357"/>
      <c r="EY222" s="357"/>
      <c r="EZ222" s="357"/>
      <c r="FA222" s="357"/>
      <c r="FB222" s="357"/>
      <c r="FC222" s="357"/>
      <c r="FD222" s="357"/>
      <c r="FE222" s="357"/>
      <c r="FF222" s="357"/>
      <c r="FG222" s="357"/>
      <c r="FH222" s="357"/>
      <c r="FI222" s="357"/>
      <c r="FJ222" s="357"/>
      <c r="FK222" s="357"/>
      <c r="FL222" s="357"/>
      <c r="FM222" s="357"/>
      <c r="FN222" s="357"/>
      <c r="FO222" s="357"/>
      <c r="FP222" s="357"/>
      <c r="FQ222" s="357"/>
      <c r="FR222" s="357"/>
      <c r="FS222" s="357"/>
      <c r="FT222" s="357"/>
      <c r="FU222" s="357"/>
      <c r="FV222" s="357"/>
      <c r="FW222" s="357"/>
      <c r="FX222" s="357"/>
      <c r="FY222" s="357"/>
      <c r="FZ222" s="357"/>
      <c r="GA222" s="357"/>
      <c r="GB222" s="357"/>
      <c r="GC222" s="357"/>
      <c r="GD222" s="357"/>
      <c r="GE222" s="357"/>
      <c r="GF222" s="357"/>
      <c r="GG222" s="357"/>
      <c r="GH222" s="357"/>
      <c r="GI222" s="357"/>
      <c r="GJ222" s="357"/>
      <c r="GK222" s="154"/>
      <c r="GL222" s="154"/>
      <c r="GM222" s="154"/>
      <c r="GN222" s="154"/>
      <c r="GO222" s="154"/>
      <c r="GP222" s="154"/>
      <c r="GQ222" s="154"/>
      <c r="GR222" s="154"/>
      <c r="GS222" s="154"/>
      <c r="GT222" s="154"/>
      <c r="GU222" s="154"/>
      <c r="GV222" s="154"/>
      <c r="GW222" s="154"/>
      <c r="GX222" s="154"/>
    </row>
    <row r="223" spans="7:206">
      <c r="G223" s="154"/>
      <c r="H223" s="154"/>
      <c r="I223" s="154"/>
      <c r="J223" s="154"/>
      <c r="K223" s="154"/>
      <c r="L223" s="154"/>
      <c r="M223" s="154"/>
      <c r="N223" s="154"/>
      <c r="O223" s="154"/>
      <c r="P223" s="154"/>
      <c r="Q223" s="154"/>
      <c r="R223" s="154"/>
      <c r="S223" s="154"/>
      <c r="T223" s="154"/>
      <c r="U223" s="154"/>
      <c r="V223" s="154"/>
      <c r="W223" s="154"/>
      <c r="X223" s="154"/>
      <c r="Y223" s="154"/>
      <c r="Z223" s="357"/>
      <c r="AA223" s="357"/>
      <c r="AB223" s="357"/>
      <c r="AC223" s="357"/>
      <c r="AD223" s="357"/>
      <c r="AE223" s="357"/>
      <c r="AF223" s="357"/>
      <c r="AG223" s="357"/>
      <c r="AH223" s="357"/>
      <c r="AI223" s="357"/>
      <c r="AJ223" s="357"/>
      <c r="AK223" s="357"/>
      <c r="AL223" s="357"/>
      <c r="AM223" s="357"/>
      <c r="AN223" s="357"/>
      <c r="AO223" s="357"/>
      <c r="AP223" s="357"/>
      <c r="AQ223" s="357"/>
      <c r="AR223" s="357"/>
      <c r="AS223" s="357"/>
      <c r="AT223" s="357"/>
      <c r="AU223" s="357"/>
      <c r="AV223" s="357"/>
      <c r="AW223" s="357"/>
      <c r="AX223" s="357"/>
      <c r="AY223" s="357"/>
      <c r="AZ223" s="357"/>
      <c r="BA223" s="357"/>
      <c r="BB223" s="357"/>
      <c r="BC223" s="357"/>
      <c r="BD223" s="357"/>
      <c r="BE223" s="357"/>
      <c r="BF223" s="357"/>
      <c r="BG223" s="357"/>
      <c r="BH223" s="357"/>
      <c r="BI223" s="357"/>
      <c r="BJ223" s="357"/>
      <c r="BK223" s="357"/>
      <c r="BL223" s="357"/>
      <c r="BM223" s="357"/>
      <c r="BN223" s="357"/>
      <c r="BO223" s="357"/>
      <c r="BP223" s="357"/>
      <c r="BQ223" s="357"/>
      <c r="BR223" s="357"/>
      <c r="BS223" s="357"/>
      <c r="BT223" s="357"/>
      <c r="BU223" s="357"/>
      <c r="BV223" s="357"/>
      <c r="BW223" s="357"/>
      <c r="BX223" s="357"/>
      <c r="BY223" s="357"/>
      <c r="BZ223" s="357"/>
      <c r="CA223" s="357"/>
      <c r="CB223" s="357"/>
      <c r="CC223" s="357"/>
      <c r="CD223" s="357"/>
      <c r="CE223" s="357"/>
      <c r="CF223" s="357"/>
      <c r="CG223" s="357"/>
      <c r="CH223" s="357"/>
      <c r="CI223" s="357"/>
      <c r="CJ223" s="357"/>
      <c r="CK223" s="357"/>
      <c r="CL223" s="357"/>
      <c r="CM223" s="357"/>
      <c r="CN223" s="357"/>
      <c r="CO223" s="357"/>
      <c r="CP223" s="357"/>
      <c r="CQ223" s="357"/>
      <c r="CR223" s="357"/>
      <c r="CS223" s="357"/>
      <c r="CT223" s="357"/>
      <c r="CU223" s="357"/>
      <c r="CV223" s="357"/>
      <c r="CW223" s="357"/>
      <c r="CX223" s="357"/>
      <c r="CY223" s="357"/>
      <c r="CZ223" s="357"/>
      <c r="DA223" s="357"/>
      <c r="DB223" s="357"/>
      <c r="DC223" s="357"/>
      <c r="DD223" s="357"/>
      <c r="DE223" s="357"/>
      <c r="DF223" s="357"/>
      <c r="DG223" s="357"/>
      <c r="DH223" s="357"/>
      <c r="DI223" s="357"/>
      <c r="DJ223" s="357"/>
      <c r="DK223" s="357"/>
      <c r="DL223" s="357"/>
      <c r="DM223" s="357"/>
      <c r="DN223" s="357"/>
      <c r="DO223" s="357"/>
      <c r="DP223" s="357"/>
      <c r="DQ223" s="357"/>
      <c r="DR223" s="357"/>
      <c r="DS223" s="357"/>
      <c r="DT223" s="357"/>
      <c r="DU223" s="357"/>
      <c r="DV223" s="357"/>
      <c r="DW223" s="357"/>
      <c r="DX223" s="357"/>
      <c r="DY223" s="357"/>
      <c r="DZ223" s="357"/>
      <c r="EA223" s="357"/>
      <c r="EB223" s="357"/>
      <c r="EC223" s="357"/>
      <c r="ED223" s="357"/>
      <c r="EE223" s="357"/>
      <c r="EF223" s="357"/>
      <c r="EG223" s="357"/>
      <c r="EH223" s="357"/>
      <c r="EI223" s="357"/>
      <c r="EJ223" s="357"/>
      <c r="EK223" s="357"/>
      <c r="EL223" s="357"/>
      <c r="EM223" s="357"/>
      <c r="EN223" s="357"/>
      <c r="EO223" s="357"/>
      <c r="EP223" s="357"/>
      <c r="EQ223" s="357"/>
      <c r="ER223" s="357"/>
      <c r="ES223" s="357"/>
      <c r="ET223" s="357"/>
      <c r="EU223" s="357"/>
      <c r="EV223" s="357"/>
      <c r="EW223" s="357"/>
      <c r="EX223" s="357"/>
      <c r="EY223" s="357"/>
      <c r="EZ223" s="357"/>
      <c r="FA223" s="357"/>
      <c r="FB223" s="357"/>
      <c r="FC223" s="357"/>
      <c r="FD223" s="357"/>
      <c r="FE223" s="357"/>
      <c r="FF223" s="357"/>
      <c r="FG223" s="357"/>
      <c r="FH223" s="357"/>
      <c r="FI223" s="357"/>
      <c r="FJ223" s="357"/>
      <c r="FK223" s="357"/>
      <c r="FL223" s="357"/>
      <c r="FM223" s="357"/>
      <c r="FN223" s="357"/>
      <c r="FO223" s="357"/>
      <c r="FP223" s="357"/>
      <c r="FQ223" s="357"/>
      <c r="FR223" s="357"/>
      <c r="FS223" s="357"/>
      <c r="FT223" s="357"/>
      <c r="FU223" s="357"/>
      <c r="FV223" s="357"/>
      <c r="FW223" s="357"/>
      <c r="FX223" s="357"/>
      <c r="FY223" s="357"/>
      <c r="FZ223" s="357"/>
      <c r="GA223" s="357"/>
      <c r="GB223" s="357"/>
      <c r="GC223" s="357"/>
      <c r="GD223" s="357"/>
      <c r="GE223" s="357"/>
      <c r="GF223" s="357"/>
      <c r="GG223" s="357"/>
      <c r="GH223" s="357"/>
      <c r="GI223" s="357"/>
      <c r="GJ223" s="357"/>
      <c r="GK223" s="154"/>
      <c r="GL223" s="154"/>
      <c r="GM223" s="154"/>
      <c r="GN223" s="154"/>
      <c r="GO223" s="154"/>
      <c r="GP223" s="154"/>
      <c r="GQ223" s="154"/>
      <c r="GR223" s="154"/>
      <c r="GS223" s="154"/>
      <c r="GT223" s="154"/>
      <c r="GU223" s="154"/>
      <c r="GV223" s="154"/>
      <c r="GW223" s="154"/>
      <c r="GX223" s="154"/>
    </row>
    <row r="224" spans="7:206">
      <c r="G224" s="154"/>
      <c r="H224" s="154"/>
      <c r="I224" s="154"/>
      <c r="J224" s="154"/>
      <c r="K224" s="154"/>
      <c r="L224" s="154"/>
      <c r="M224" s="154"/>
      <c r="N224" s="154"/>
      <c r="O224" s="154"/>
      <c r="P224" s="154"/>
      <c r="Q224" s="154"/>
      <c r="R224" s="154"/>
      <c r="S224" s="154"/>
      <c r="T224" s="154"/>
      <c r="U224" s="154"/>
      <c r="V224" s="154"/>
      <c r="W224" s="154"/>
      <c r="X224" s="154"/>
      <c r="Y224" s="154"/>
      <c r="Z224" s="357"/>
      <c r="AA224" s="357"/>
      <c r="AB224" s="357"/>
      <c r="AC224" s="357"/>
      <c r="AD224" s="357"/>
      <c r="AE224" s="357"/>
      <c r="AF224" s="357"/>
      <c r="AG224" s="357"/>
      <c r="AH224" s="357"/>
      <c r="AI224" s="357"/>
      <c r="AJ224" s="357"/>
      <c r="AK224" s="357"/>
      <c r="AL224" s="357"/>
      <c r="AM224" s="357"/>
      <c r="AN224" s="357"/>
      <c r="AO224" s="357"/>
      <c r="AP224" s="357"/>
      <c r="AQ224" s="357"/>
      <c r="AR224" s="357"/>
      <c r="AS224" s="357"/>
      <c r="AT224" s="357"/>
      <c r="AU224" s="357"/>
      <c r="AV224" s="357"/>
      <c r="AW224" s="357"/>
      <c r="AX224" s="357"/>
      <c r="AY224" s="357"/>
      <c r="AZ224" s="357"/>
      <c r="BA224" s="357"/>
      <c r="BB224" s="357"/>
      <c r="BC224" s="357"/>
      <c r="BD224" s="357"/>
      <c r="BE224" s="357"/>
      <c r="BF224" s="357"/>
      <c r="BG224" s="357"/>
      <c r="BH224" s="357"/>
      <c r="BI224" s="357"/>
      <c r="BJ224" s="357"/>
      <c r="BK224" s="357"/>
      <c r="BL224" s="357"/>
      <c r="BM224" s="357"/>
      <c r="BN224" s="357"/>
      <c r="BO224" s="357"/>
      <c r="BP224" s="357"/>
      <c r="BQ224" s="357"/>
      <c r="BR224" s="357"/>
      <c r="BS224" s="357"/>
      <c r="BT224" s="357"/>
      <c r="BU224" s="357"/>
      <c r="BV224" s="357"/>
      <c r="BW224" s="357"/>
      <c r="BX224" s="357"/>
      <c r="BY224" s="357"/>
      <c r="BZ224" s="357"/>
      <c r="CA224" s="357"/>
      <c r="CB224" s="357"/>
      <c r="CC224" s="357"/>
      <c r="CD224" s="357"/>
      <c r="CE224" s="357"/>
      <c r="CF224" s="357"/>
      <c r="CG224" s="357"/>
      <c r="CH224" s="357"/>
      <c r="CI224" s="357"/>
      <c r="CJ224" s="357"/>
      <c r="CK224" s="357"/>
      <c r="CL224" s="357"/>
      <c r="CM224" s="357"/>
      <c r="CN224" s="357"/>
      <c r="CO224" s="357"/>
      <c r="CP224" s="357"/>
      <c r="CQ224" s="357"/>
      <c r="CR224" s="357"/>
      <c r="CS224" s="357"/>
      <c r="CT224" s="357"/>
      <c r="CU224" s="357"/>
      <c r="CV224" s="357"/>
      <c r="CW224" s="357"/>
      <c r="CX224" s="357"/>
      <c r="CY224" s="357"/>
      <c r="CZ224" s="357"/>
      <c r="DA224" s="357"/>
      <c r="DB224" s="357"/>
      <c r="DC224" s="357"/>
      <c r="DD224" s="357"/>
      <c r="DE224" s="357"/>
      <c r="DF224" s="357"/>
      <c r="DG224" s="357"/>
      <c r="DH224" s="357"/>
      <c r="DI224" s="357"/>
      <c r="DJ224" s="357"/>
      <c r="DK224" s="357"/>
      <c r="DL224" s="357"/>
      <c r="DM224" s="357"/>
      <c r="DN224" s="357"/>
      <c r="DO224" s="357"/>
      <c r="DP224" s="357"/>
      <c r="DQ224" s="357"/>
      <c r="DR224" s="357"/>
      <c r="DS224" s="357"/>
      <c r="DT224" s="357"/>
      <c r="DU224" s="357"/>
      <c r="DV224" s="357"/>
      <c r="DW224" s="357"/>
      <c r="DX224" s="357"/>
      <c r="DY224" s="357"/>
      <c r="DZ224" s="357"/>
      <c r="EA224" s="357"/>
      <c r="EB224" s="357"/>
      <c r="EC224" s="357"/>
      <c r="ED224" s="357"/>
      <c r="EE224" s="357"/>
      <c r="EF224" s="357"/>
      <c r="EG224" s="357"/>
      <c r="EH224" s="357"/>
      <c r="EI224" s="357"/>
      <c r="EJ224" s="357"/>
      <c r="EK224" s="357"/>
      <c r="EL224" s="357"/>
      <c r="EM224" s="357"/>
      <c r="EN224" s="357"/>
      <c r="EO224" s="357"/>
      <c r="EP224" s="357"/>
      <c r="EQ224" s="357"/>
      <c r="ER224" s="357"/>
      <c r="ES224" s="357"/>
      <c r="ET224" s="357"/>
      <c r="EU224" s="357"/>
      <c r="EV224" s="357"/>
      <c r="EW224" s="357"/>
      <c r="EX224" s="357"/>
      <c r="EY224" s="357"/>
      <c r="EZ224" s="357"/>
      <c r="FA224" s="357"/>
      <c r="FB224" s="357"/>
      <c r="FC224" s="357"/>
      <c r="FD224" s="357"/>
      <c r="FE224" s="357"/>
      <c r="FF224" s="357"/>
      <c r="FG224" s="357"/>
      <c r="FH224" s="357"/>
      <c r="FI224" s="357"/>
      <c r="FJ224" s="357"/>
      <c r="FK224" s="357"/>
      <c r="FL224" s="357"/>
      <c r="FM224" s="357"/>
      <c r="FN224" s="357"/>
      <c r="FO224" s="357"/>
      <c r="FP224" s="357"/>
      <c r="FQ224" s="357"/>
      <c r="FR224" s="357"/>
      <c r="FS224" s="357"/>
      <c r="FT224" s="357"/>
      <c r="FU224" s="357"/>
      <c r="FV224" s="357"/>
      <c r="FW224" s="357"/>
      <c r="FX224" s="357"/>
      <c r="FY224" s="357"/>
      <c r="FZ224" s="357"/>
      <c r="GA224" s="357"/>
      <c r="GB224" s="357"/>
      <c r="GC224" s="357"/>
      <c r="GD224" s="357"/>
      <c r="GE224" s="357"/>
      <c r="GF224" s="357"/>
      <c r="GG224" s="357"/>
      <c r="GH224" s="357"/>
      <c r="GI224" s="357"/>
      <c r="GJ224" s="357"/>
      <c r="GK224" s="154"/>
      <c r="GL224" s="154"/>
      <c r="GM224" s="154"/>
      <c r="GN224" s="154"/>
      <c r="GO224" s="154"/>
      <c r="GP224" s="154"/>
      <c r="GQ224" s="154"/>
      <c r="GR224" s="154"/>
      <c r="GS224" s="154"/>
      <c r="GT224" s="154"/>
      <c r="GU224" s="154"/>
      <c r="GV224" s="154"/>
      <c r="GW224" s="154"/>
      <c r="GX224" s="154"/>
    </row>
    <row r="225" spans="7:206">
      <c r="G225" s="154"/>
      <c r="H225" s="154"/>
      <c r="I225" s="154"/>
      <c r="J225" s="154"/>
      <c r="K225" s="154"/>
      <c r="L225" s="154"/>
      <c r="M225" s="154"/>
      <c r="N225" s="154"/>
      <c r="O225" s="154"/>
      <c r="P225" s="154"/>
      <c r="Q225" s="154"/>
      <c r="R225" s="154"/>
      <c r="S225" s="154"/>
      <c r="T225" s="154"/>
      <c r="U225" s="154"/>
      <c r="V225" s="154"/>
      <c r="W225" s="154"/>
      <c r="X225" s="154"/>
      <c r="Y225" s="154"/>
      <c r="Z225" s="357"/>
      <c r="AA225" s="357"/>
      <c r="AB225" s="357"/>
      <c r="AC225" s="357"/>
      <c r="AD225" s="357"/>
      <c r="AE225" s="357"/>
      <c r="AF225" s="357"/>
      <c r="AG225" s="357"/>
      <c r="AH225" s="357"/>
      <c r="AI225" s="357"/>
      <c r="AJ225" s="357"/>
      <c r="AK225" s="357"/>
      <c r="AL225" s="357"/>
      <c r="AM225" s="357"/>
      <c r="AN225" s="357"/>
      <c r="AO225" s="357"/>
      <c r="AP225" s="357"/>
      <c r="AQ225" s="357"/>
      <c r="AR225" s="357"/>
      <c r="AS225" s="357"/>
      <c r="AT225" s="357"/>
      <c r="AU225" s="357"/>
      <c r="AV225" s="357"/>
      <c r="AW225" s="357"/>
      <c r="AX225" s="357"/>
      <c r="AY225" s="357"/>
      <c r="AZ225" s="357"/>
      <c r="BA225" s="357"/>
      <c r="BB225" s="357"/>
      <c r="BC225" s="357"/>
      <c r="BD225" s="357"/>
      <c r="BE225" s="357"/>
      <c r="BF225" s="357"/>
      <c r="BG225" s="357"/>
      <c r="BH225" s="357"/>
      <c r="BI225" s="357"/>
      <c r="BJ225" s="357"/>
      <c r="BK225" s="357"/>
      <c r="BL225" s="357"/>
      <c r="BM225" s="357"/>
      <c r="BN225" s="357"/>
      <c r="BO225" s="357"/>
      <c r="BP225" s="357"/>
      <c r="BQ225" s="357"/>
      <c r="BR225" s="357"/>
      <c r="BS225" s="357"/>
      <c r="BT225" s="357"/>
      <c r="BU225" s="357"/>
      <c r="BV225" s="357"/>
      <c r="BW225" s="357"/>
      <c r="BX225" s="357"/>
      <c r="BY225" s="357"/>
      <c r="BZ225" s="357"/>
      <c r="CA225" s="357"/>
      <c r="CB225" s="357"/>
      <c r="CC225" s="357"/>
      <c r="CD225" s="357"/>
      <c r="CE225" s="357"/>
      <c r="CF225" s="357"/>
      <c r="CG225" s="357"/>
      <c r="CH225" s="357"/>
      <c r="CI225" s="357"/>
      <c r="CJ225" s="357"/>
      <c r="CK225" s="357"/>
      <c r="CL225" s="357"/>
      <c r="CM225" s="357"/>
      <c r="CN225" s="357"/>
      <c r="CO225" s="357"/>
      <c r="CP225" s="357"/>
      <c r="CQ225" s="357"/>
      <c r="CR225" s="357"/>
      <c r="CS225" s="357"/>
      <c r="CT225" s="357"/>
      <c r="CU225" s="357"/>
      <c r="CV225" s="357"/>
      <c r="CW225" s="357"/>
      <c r="CX225" s="357"/>
      <c r="CY225" s="357"/>
      <c r="CZ225" s="357"/>
      <c r="DA225" s="357"/>
      <c r="DB225" s="357"/>
      <c r="DC225" s="357"/>
      <c r="DD225" s="357"/>
      <c r="DE225" s="357"/>
      <c r="DF225" s="357"/>
      <c r="DG225" s="357"/>
      <c r="DH225" s="357"/>
      <c r="DI225" s="357"/>
      <c r="DJ225" s="357"/>
      <c r="DK225" s="357"/>
      <c r="DL225" s="357"/>
      <c r="DM225" s="357"/>
      <c r="DN225" s="357"/>
      <c r="DO225" s="357"/>
      <c r="DP225" s="357"/>
      <c r="DQ225" s="357"/>
      <c r="DR225" s="357"/>
      <c r="DS225" s="357"/>
      <c r="DT225" s="357"/>
      <c r="DU225" s="357"/>
      <c r="DV225" s="357"/>
      <c r="DW225" s="357"/>
      <c r="DX225" s="357"/>
      <c r="DY225" s="357"/>
      <c r="DZ225" s="357"/>
      <c r="EA225" s="357"/>
      <c r="EB225" s="357"/>
      <c r="EC225" s="357"/>
      <c r="ED225" s="357"/>
      <c r="EE225" s="357"/>
      <c r="EF225" s="357"/>
      <c r="EG225" s="357"/>
      <c r="EH225" s="357"/>
      <c r="EI225" s="357"/>
      <c r="EJ225" s="357"/>
      <c r="EK225" s="357"/>
      <c r="EL225" s="357"/>
      <c r="EM225" s="357"/>
      <c r="EN225" s="357"/>
      <c r="EO225" s="357"/>
      <c r="EP225" s="357"/>
      <c r="EQ225" s="357"/>
      <c r="ER225" s="357"/>
      <c r="ES225" s="357"/>
      <c r="ET225" s="357"/>
      <c r="EU225" s="357"/>
      <c r="EV225" s="357"/>
      <c r="EW225" s="357"/>
      <c r="EX225" s="357"/>
      <c r="EY225" s="357"/>
      <c r="EZ225" s="357"/>
      <c r="FA225" s="357"/>
      <c r="FB225" s="357"/>
      <c r="FC225" s="357"/>
      <c r="FD225" s="357"/>
      <c r="FE225" s="357"/>
      <c r="FF225" s="357"/>
      <c r="FG225" s="357"/>
      <c r="FH225" s="357"/>
      <c r="FI225" s="357"/>
      <c r="FJ225" s="357"/>
      <c r="FK225" s="357"/>
      <c r="FL225" s="357"/>
      <c r="FM225" s="357"/>
      <c r="FN225" s="357"/>
      <c r="FO225" s="357"/>
      <c r="FP225" s="357"/>
      <c r="FQ225" s="357"/>
      <c r="FR225" s="357"/>
      <c r="FS225" s="357"/>
      <c r="FT225" s="357"/>
      <c r="FU225" s="357"/>
      <c r="FV225" s="357"/>
      <c r="FW225" s="357"/>
      <c r="FX225" s="357"/>
      <c r="FY225" s="357"/>
      <c r="FZ225" s="357"/>
      <c r="GA225" s="357"/>
      <c r="GB225" s="357"/>
      <c r="GC225" s="357"/>
      <c r="GD225" s="357"/>
      <c r="GE225" s="357"/>
      <c r="GF225" s="357"/>
      <c r="GG225" s="357"/>
      <c r="GH225" s="357"/>
      <c r="GI225" s="357"/>
      <c r="GJ225" s="357"/>
      <c r="GK225" s="154"/>
      <c r="GL225" s="154"/>
      <c r="GM225" s="154"/>
      <c r="GN225" s="154"/>
      <c r="GO225" s="154"/>
      <c r="GP225" s="154"/>
      <c r="GQ225" s="154"/>
      <c r="GR225" s="154"/>
      <c r="GS225" s="154"/>
      <c r="GT225" s="154"/>
      <c r="GU225" s="154"/>
      <c r="GV225" s="154"/>
      <c r="GW225" s="154"/>
      <c r="GX225" s="154"/>
    </row>
    <row r="226" spans="7:206">
      <c r="G226" s="154"/>
      <c r="H226" s="154"/>
      <c r="I226" s="154"/>
      <c r="J226" s="154"/>
      <c r="K226" s="154"/>
      <c r="L226" s="154"/>
      <c r="M226" s="154"/>
      <c r="N226" s="154"/>
      <c r="O226" s="154"/>
      <c r="P226" s="154"/>
      <c r="Q226" s="154"/>
      <c r="R226" s="154"/>
      <c r="S226" s="154"/>
      <c r="T226" s="154"/>
      <c r="U226" s="154"/>
      <c r="V226" s="154"/>
      <c r="W226" s="154"/>
      <c r="X226" s="154"/>
      <c r="Y226" s="154"/>
      <c r="Z226" s="357"/>
      <c r="AA226" s="357"/>
      <c r="AB226" s="357"/>
      <c r="AC226" s="357"/>
      <c r="AD226" s="357"/>
      <c r="AE226" s="357"/>
      <c r="AF226" s="357"/>
      <c r="AG226" s="357"/>
      <c r="AH226" s="357"/>
      <c r="AI226" s="357"/>
      <c r="AJ226" s="357"/>
      <c r="AK226" s="357"/>
      <c r="AL226" s="357"/>
      <c r="AM226" s="357"/>
      <c r="AN226" s="357"/>
      <c r="AO226" s="357"/>
      <c r="AP226" s="357"/>
      <c r="AQ226" s="357"/>
      <c r="AR226" s="357"/>
      <c r="AS226" s="357"/>
      <c r="AT226" s="357"/>
      <c r="AU226" s="357"/>
      <c r="AV226" s="357"/>
      <c r="AW226" s="357"/>
      <c r="AX226" s="357"/>
      <c r="AY226" s="357"/>
      <c r="AZ226" s="357"/>
      <c r="BA226" s="357"/>
      <c r="BB226" s="357"/>
      <c r="BC226" s="357"/>
      <c r="BD226" s="357"/>
      <c r="BE226" s="357"/>
      <c r="BF226" s="357"/>
      <c r="BG226" s="357"/>
      <c r="BH226" s="357"/>
      <c r="BI226" s="357"/>
      <c r="BJ226" s="357"/>
      <c r="BK226" s="357"/>
      <c r="BL226" s="357"/>
      <c r="BM226" s="357"/>
      <c r="BN226" s="357"/>
      <c r="BO226" s="357"/>
      <c r="BP226" s="357"/>
      <c r="BQ226" s="357"/>
      <c r="BR226" s="357"/>
      <c r="BS226" s="357"/>
      <c r="BT226" s="357"/>
      <c r="BU226" s="357"/>
      <c r="BV226" s="357"/>
      <c r="BW226" s="357"/>
      <c r="BX226" s="357"/>
      <c r="BY226" s="357"/>
      <c r="BZ226" s="357"/>
      <c r="CA226" s="357"/>
      <c r="CB226" s="357"/>
      <c r="CC226" s="357"/>
      <c r="CD226" s="357"/>
      <c r="CE226" s="357"/>
      <c r="CF226" s="357"/>
      <c r="CG226" s="357"/>
      <c r="CH226" s="357"/>
      <c r="CI226" s="357"/>
      <c r="CJ226" s="357"/>
      <c r="CK226" s="357"/>
      <c r="CL226" s="357"/>
      <c r="CM226" s="357"/>
      <c r="CN226" s="357"/>
      <c r="CO226" s="357"/>
      <c r="CP226" s="357"/>
      <c r="CQ226" s="357"/>
      <c r="CR226" s="357"/>
      <c r="CS226" s="357"/>
      <c r="CT226" s="357"/>
      <c r="CU226" s="357"/>
      <c r="CV226" s="357"/>
      <c r="CW226" s="357"/>
      <c r="CX226" s="357"/>
      <c r="CY226" s="357"/>
      <c r="CZ226" s="357"/>
      <c r="DA226" s="357"/>
      <c r="DB226" s="357"/>
      <c r="DC226" s="357"/>
      <c r="DD226" s="357"/>
      <c r="DE226" s="357"/>
      <c r="DF226" s="357"/>
      <c r="DG226" s="357"/>
      <c r="DH226" s="357"/>
      <c r="DI226" s="357"/>
      <c r="DJ226" s="357"/>
      <c r="DK226" s="357"/>
      <c r="DL226" s="357"/>
      <c r="DM226" s="357"/>
      <c r="DN226" s="357"/>
      <c r="DO226" s="357"/>
      <c r="DP226" s="357"/>
      <c r="DQ226" s="357"/>
      <c r="DR226" s="357"/>
      <c r="DS226" s="357"/>
      <c r="DT226" s="357"/>
      <c r="DU226" s="357"/>
      <c r="DV226" s="357"/>
      <c r="DW226" s="357"/>
      <c r="DX226" s="357"/>
      <c r="DY226" s="357"/>
      <c r="DZ226" s="357"/>
      <c r="EA226" s="357"/>
      <c r="EB226" s="357"/>
      <c r="EC226" s="357"/>
      <c r="ED226" s="357"/>
      <c r="EE226" s="357"/>
      <c r="EF226" s="357"/>
      <c r="EG226" s="357"/>
      <c r="EH226" s="357"/>
      <c r="EI226" s="357"/>
      <c r="EJ226" s="357"/>
      <c r="EK226" s="357"/>
      <c r="EL226" s="357"/>
      <c r="EM226" s="357"/>
      <c r="EN226" s="357"/>
      <c r="EO226" s="357"/>
      <c r="EP226" s="357"/>
      <c r="EQ226" s="357"/>
      <c r="ER226" s="357"/>
      <c r="ES226" s="357"/>
      <c r="ET226" s="357"/>
      <c r="EU226" s="357"/>
      <c r="EV226" s="357"/>
      <c r="EW226" s="357"/>
      <c r="EX226" s="357"/>
      <c r="EY226" s="357"/>
      <c r="EZ226" s="357"/>
      <c r="FA226" s="357"/>
      <c r="FB226" s="357"/>
      <c r="FC226" s="357"/>
      <c r="FD226" s="357"/>
      <c r="FE226" s="357"/>
      <c r="FF226" s="357"/>
      <c r="FG226" s="357"/>
      <c r="FH226" s="357"/>
      <c r="FI226" s="357"/>
      <c r="FJ226" s="357"/>
      <c r="FK226" s="357"/>
      <c r="FL226" s="357"/>
      <c r="FM226" s="357"/>
      <c r="FN226" s="357"/>
      <c r="FO226" s="357"/>
      <c r="FP226" s="357"/>
      <c r="FQ226" s="357"/>
      <c r="FR226" s="357"/>
      <c r="FS226" s="357"/>
      <c r="FT226" s="357"/>
      <c r="FU226" s="357"/>
      <c r="FV226" s="357"/>
      <c r="FW226" s="357"/>
      <c r="FX226" s="357"/>
      <c r="FY226" s="357"/>
      <c r="FZ226" s="357"/>
      <c r="GA226" s="357"/>
      <c r="GB226" s="357"/>
      <c r="GC226" s="357"/>
      <c r="GD226" s="357"/>
      <c r="GE226" s="357"/>
      <c r="GF226" s="357"/>
      <c r="GG226" s="357"/>
      <c r="GH226" s="357"/>
      <c r="GI226" s="357"/>
      <c r="GJ226" s="357"/>
      <c r="GK226" s="154"/>
      <c r="GL226" s="154"/>
      <c r="GM226" s="154"/>
      <c r="GN226" s="154"/>
      <c r="GO226" s="154"/>
      <c r="GP226" s="154"/>
      <c r="GQ226" s="154"/>
      <c r="GR226" s="154"/>
      <c r="GS226" s="154"/>
      <c r="GT226" s="154"/>
      <c r="GU226" s="154"/>
      <c r="GV226" s="154"/>
      <c r="GW226" s="154"/>
      <c r="GX226" s="154"/>
    </row>
    <row r="227" spans="7:206">
      <c r="G227" s="154"/>
      <c r="H227" s="154"/>
      <c r="I227" s="154"/>
      <c r="J227" s="154"/>
      <c r="K227" s="154"/>
      <c r="L227" s="154"/>
      <c r="M227" s="154"/>
      <c r="N227" s="154"/>
      <c r="O227" s="154"/>
      <c r="P227" s="154"/>
      <c r="Q227" s="154"/>
      <c r="R227" s="154"/>
      <c r="S227" s="154"/>
      <c r="T227" s="154"/>
      <c r="U227" s="154"/>
      <c r="V227" s="154"/>
      <c r="W227" s="154"/>
      <c r="X227" s="154"/>
      <c r="Y227" s="154"/>
      <c r="Z227" s="357"/>
      <c r="AA227" s="357"/>
      <c r="AB227" s="357"/>
      <c r="AC227" s="357"/>
      <c r="AD227" s="357"/>
      <c r="AE227" s="357"/>
      <c r="AF227" s="357"/>
      <c r="AG227" s="357"/>
      <c r="AH227" s="357"/>
      <c r="AI227" s="357"/>
      <c r="AJ227" s="357"/>
      <c r="AK227" s="357"/>
      <c r="AL227" s="357"/>
      <c r="AM227" s="357"/>
      <c r="AN227" s="357"/>
      <c r="AO227" s="357"/>
      <c r="AP227" s="357"/>
      <c r="AQ227" s="357"/>
      <c r="AR227" s="357"/>
      <c r="AS227" s="357"/>
      <c r="AT227" s="357"/>
      <c r="AU227" s="357"/>
      <c r="AV227" s="357"/>
      <c r="AW227" s="357"/>
      <c r="AX227" s="357"/>
      <c r="AY227" s="357"/>
      <c r="AZ227" s="357"/>
      <c r="BA227" s="357"/>
      <c r="BB227" s="357"/>
      <c r="BC227" s="357"/>
      <c r="BD227" s="357"/>
      <c r="BE227" s="357"/>
      <c r="BF227" s="357"/>
      <c r="BG227" s="357"/>
      <c r="BH227" s="357"/>
      <c r="BI227" s="357"/>
      <c r="BJ227" s="357"/>
      <c r="BK227" s="357"/>
      <c r="BL227" s="357"/>
      <c r="BM227" s="357"/>
      <c r="BN227" s="357"/>
      <c r="BO227" s="357"/>
      <c r="BP227" s="357"/>
      <c r="BQ227" s="357"/>
      <c r="BR227" s="357"/>
      <c r="BS227" s="357"/>
      <c r="BT227" s="357"/>
      <c r="BU227" s="357"/>
      <c r="BV227" s="357"/>
      <c r="BW227" s="357"/>
      <c r="BX227" s="357"/>
      <c r="BY227" s="357"/>
      <c r="BZ227" s="357"/>
      <c r="CA227" s="357"/>
      <c r="CB227" s="357"/>
      <c r="CC227" s="357"/>
      <c r="CD227" s="357"/>
      <c r="CE227" s="357"/>
      <c r="CF227" s="357"/>
      <c r="CG227" s="357"/>
      <c r="CH227" s="357"/>
      <c r="CI227" s="357"/>
      <c r="CJ227" s="357"/>
      <c r="CK227" s="357"/>
      <c r="CL227" s="357"/>
      <c r="CM227" s="357"/>
      <c r="CN227" s="357"/>
      <c r="CO227" s="357"/>
      <c r="CP227" s="357"/>
      <c r="CQ227" s="357"/>
      <c r="CR227" s="357"/>
      <c r="CS227" s="357"/>
      <c r="CT227" s="357"/>
      <c r="CU227" s="357"/>
      <c r="CV227" s="357"/>
      <c r="CW227" s="357"/>
      <c r="CX227" s="357"/>
      <c r="CY227" s="357"/>
      <c r="CZ227" s="357"/>
      <c r="DA227" s="357"/>
      <c r="DB227" s="357"/>
      <c r="DC227" s="357"/>
      <c r="DD227" s="357"/>
      <c r="DE227" s="357"/>
      <c r="DF227" s="357"/>
      <c r="DG227" s="357"/>
      <c r="DH227" s="357"/>
      <c r="DI227" s="357"/>
      <c r="DJ227" s="357"/>
      <c r="DK227" s="357"/>
      <c r="DL227" s="357"/>
      <c r="DM227" s="357"/>
      <c r="DN227" s="357"/>
      <c r="DO227" s="357"/>
      <c r="DP227" s="357"/>
      <c r="DQ227" s="357"/>
      <c r="DR227" s="357"/>
      <c r="DS227" s="357"/>
      <c r="DT227" s="357"/>
      <c r="DU227" s="357"/>
      <c r="DV227" s="357"/>
      <c r="DW227" s="357"/>
      <c r="DX227" s="357"/>
      <c r="DY227" s="357"/>
      <c r="DZ227" s="357"/>
      <c r="EA227" s="357"/>
      <c r="EB227" s="357"/>
      <c r="EC227" s="357"/>
      <c r="ED227" s="357"/>
      <c r="EE227" s="357"/>
      <c r="EF227" s="357"/>
      <c r="EG227" s="357"/>
      <c r="EH227" s="357"/>
      <c r="EI227" s="357"/>
      <c r="EJ227" s="357"/>
      <c r="EK227" s="357"/>
      <c r="EL227" s="357"/>
      <c r="EM227" s="357"/>
      <c r="EN227" s="357"/>
      <c r="EO227" s="357"/>
      <c r="EP227" s="357"/>
      <c r="EQ227" s="357"/>
      <c r="ER227" s="357"/>
      <c r="ES227" s="357"/>
      <c r="ET227" s="357"/>
      <c r="EU227" s="357"/>
      <c r="EV227" s="357"/>
      <c r="EW227" s="357"/>
      <c r="EX227" s="357"/>
      <c r="EY227" s="357"/>
      <c r="EZ227" s="357"/>
      <c r="FA227" s="357"/>
      <c r="FB227" s="357"/>
      <c r="FC227" s="357"/>
      <c r="FD227" s="357"/>
      <c r="FE227" s="357"/>
      <c r="FF227" s="357"/>
      <c r="FG227" s="357"/>
      <c r="FH227" s="357"/>
      <c r="FI227" s="357"/>
      <c r="FJ227" s="357"/>
      <c r="FK227" s="357"/>
      <c r="FL227" s="357"/>
      <c r="FM227" s="357"/>
      <c r="FN227" s="357"/>
      <c r="FO227" s="357"/>
      <c r="FP227" s="357"/>
      <c r="FQ227" s="357"/>
      <c r="FR227" s="357"/>
      <c r="FS227" s="357"/>
      <c r="FT227" s="357"/>
      <c r="FU227" s="357"/>
      <c r="FV227" s="357"/>
      <c r="FW227" s="357"/>
      <c r="FX227" s="357"/>
      <c r="FY227" s="357"/>
      <c r="FZ227" s="357"/>
      <c r="GA227" s="357"/>
      <c r="GB227" s="357"/>
      <c r="GC227" s="357"/>
      <c r="GD227" s="357"/>
      <c r="GE227" s="357"/>
      <c r="GF227" s="357"/>
      <c r="GG227" s="357"/>
      <c r="GH227" s="357"/>
      <c r="GI227" s="357"/>
      <c r="GJ227" s="357"/>
      <c r="GK227" s="154"/>
      <c r="GL227" s="154"/>
      <c r="GM227" s="154"/>
      <c r="GN227" s="154"/>
      <c r="GO227" s="154"/>
      <c r="GP227" s="154"/>
      <c r="GQ227" s="154"/>
      <c r="GR227" s="154"/>
      <c r="GS227" s="154"/>
      <c r="GT227" s="154"/>
      <c r="GU227" s="154"/>
      <c r="GV227" s="154"/>
      <c r="GW227" s="154"/>
      <c r="GX227" s="154"/>
    </row>
    <row r="228" spans="7:206">
      <c r="G228" s="154"/>
      <c r="H228" s="154"/>
      <c r="I228" s="154"/>
      <c r="J228" s="154"/>
      <c r="K228" s="154"/>
      <c r="L228" s="154"/>
      <c r="M228" s="154"/>
      <c r="N228" s="154"/>
      <c r="O228" s="154"/>
      <c r="P228" s="154"/>
      <c r="Q228" s="154"/>
      <c r="R228" s="154"/>
      <c r="S228" s="154"/>
      <c r="T228" s="154"/>
      <c r="U228" s="154"/>
      <c r="V228" s="154"/>
      <c r="W228" s="154"/>
      <c r="X228" s="154"/>
      <c r="Y228" s="154"/>
      <c r="Z228" s="357"/>
      <c r="AA228" s="357"/>
      <c r="AB228" s="357"/>
      <c r="AC228" s="357"/>
      <c r="AD228" s="357"/>
      <c r="AE228" s="357"/>
      <c r="AF228" s="357"/>
      <c r="AG228" s="357"/>
      <c r="AH228" s="357"/>
      <c r="AI228" s="357"/>
      <c r="AJ228" s="357"/>
      <c r="AK228" s="357"/>
      <c r="AL228" s="357"/>
      <c r="AM228" s="357"/>
      <c r="AN228" s="357"/>
      <c r="AO228" s="357"/>
      <c r="AP228" s="357"/>
      <c r="AQ228" s="357"/>
      <c r="AR228" s="357"/>
      <c r="AS228" s="357"/>
      <c r="AT228" s="357"/>
      <c r="AU228" s="357"/>
      <c r="AV228" s="357"/>
      <c r="AW228" s="357"/>
      <c r="AX228" s="357"/>
      <c r="AY228" s="357"/>
      <c r="AZ228" s="357"/>
      <c r="BA228" s="357"/>
      <c r="BB228" s="357"/>
      <c r="BC228" s="357"/>
      <c r="BD228" s="357"/>
      <c r="BE228" s="357"/>
      <c r="BF228" s="357"/>
      <c r="BG228" s="357"/>
      <c r="BH228" s="357"/>
      <c r="BI228" s="357"/>
      <c r="BJ228" s="357"/>
      <c r="BK228" s="357"/>
      <c r="BL228" s="357"/>
      <c r="BM228" s="357"/>
      <c r="BN228" s="357"/>
      <c r="BO228" s="357"/>
      <c r="BP228" s="357"/>
      <c r="BQ228" s="357"/>
      <c r="BR228" s="357"/>
      <c r="BS228" s="357"/>
      <c r="BT228" s="357"/>
      <c r="BU228" s="357"/>
      <c r="BV228" s="357"/>
      <c r="BW228" s="357"/>
      <c r="BX228" s="357"/>
      <c r="BY228" s="357"/>
      <c r="BZ228" s="357"/>
      <c r="CA228" s="357"/>
      <c r="CB228" s="357"/>
      <c r="CC228" s="357"/>
      <c r="CD228" s="357"/>
      <c r="CE228" s="357"/>
      <c r="CF228" s="357"/>
      <c r="CG228" s="357"/>
      <c r="CH228" s="357"/>
      <c r="CI228" s="357"/>
      <c r="CJ228" s="357"/>
      <c r="CK228" s="357"/>
      <c r="CL228" s="357"/>
      <c r="CM228" s="357"/>
      <c r="CN228" s="357"/>
      <c r="CO228" s="357"/>
      <c r="CP228" s="357"/>
      <c r="CQ228" s="357"/>
      <c r="CR228" s="357"/>
      <c r="CS228" s="357"/>
      <c r="CT228" s="357"/>
      <c r="CU228" s="357"/>
      <c r="CV228" s="357"/>
      <c r="CW228" s="357"/>
      <c r="CX228" s="357"/>
      <c r="CY228" s="357"/>
      <c r="CZ228" s="357"/>
      <c r="DA228" s="357"/>
      <c r="DB228" s="357"/>
      <c r="DC228" s="357"/>
      <c r="DD228" s="357"/>
      <c r="DE228" s="357"/>
      <c r="DF228" s="357"/>
      <c r="DG228" s="357"/>
      <c r="DH228" s="357"/>
      <c r="DI228" s="357"/>
      <c r="DJ228" s="357"/>
      <c r="DK228" s="357"/>
      <c r="DL228" s="357"/>
      <c r="DM228" s="357"/>
      <c r="DN228" s="357"/>
      <c r="DO228" s="357"/>
      <c r="DP228" s="357"/>
      <c r="DQ228" s="357"/>
      <c r="DR228" s="357"/>
      <c r="DS228" s="357"/>
      <c r="DT228" s="357"/>
      <c r="DU228" s="357"/>
      <c r="DV228" s="357"/>
      <c r="DW228" s="357"/>
      <c r="DX228" s="357"/>
      <c r="DY228" s="357"/>
      <c r="DZ228" s="357"/>
      <c r="EA228" s="357"/>
      <c r="EB228" s="357"/>
      <c r="EC228" s="357"/>
      <c r="ED228" s="357"/>
      <c r="EE228" s="357"/>
      <c r="EF228" s="357"/>
      <c r="EG228" s="357"/>
      <c r="EH228" s="357"/>
      <c r="EI228" s="357"/>
      <c r="EJ228" s="357"/>
      <c r="EK228" s="357"/>
      <c r="EL228" s="357"/>
      <c r="EM228" s="357"/>
      <c r="EN228" s="357"/>
      <c r="EO228" s="357"/>
      <c r="EP228" s="357"/>
      <c r="EQ228" s="357"/>
      <c r="ER228" s="357"/>
      <c r="ES228" s="357"/>
      <c r="ET228" s="357"/>
      <c r="EU228" s="357"/>
      <c r="EV228" s="357"/>
      <c r="EW228" s="357"/>
      <c r="EX228" s="357"/>
      <c r="EY228" s="357"/>
      <c r="EZ228" s="357"/>
      <c r="FA228" s="357"/>
      <c r="FB228" s="357"/>
      <c r="FC228" s="357"/>
      <c r="FD228" s="357"/>
      <c r="FE228" s="357"/>
      <c r="FF228" s="357"/>
      <c r="FG228" s="357"/>
      <c r="FH228" s="357"/>
      <c r="FI228" s="357"/>
      <c r="FJ228" s="357"/>
      <c r="FK228" s="357"/>
      <c r="FL228" s="357"/>
      <c r="FM228" s="357"/>
      <c r="FN228" s="357"/>
      <c r="FO228" s="357"/>
      <c r="FP228" s="357"/>
      <c r="FQ228" s="357"/>
      <c r="FR228" s="357"/>
      <c r="FS228" s="357"/>
      <c r="FT228" s="357"/>
      <c r="FU228" s="357"/>
      <c r="FV228" s="357"/>
      <c r="FW228" s="357"/>
      <c r="FX228" s="357"/>
      <c r="FY228" s="357"/>
      <c r="FZ228" s="357"/>
      <c r="GA228" s="357"/>
      <c r="GB228" s="357"/>
      <c r="GC228" s="357"/>
      <c r="GD228" s="357"/>
      <c r="GE228" s="357"/>
      <c r="GF228" s="357"/>
      <c r="GG228" s="357"/>
      <c r="GH228" s="357"/>
      <c r="GI228" s="357"/>
      <c r="GJ228" s="357"/>
      <c r="GK228" s="154"/>
      <c r="GL228" s="154"/>
      <c r="GM228" s="154"/>
      <c r="GN228" s="154"/>
      <c r="GO228" s="154"/>
      <c r="GP228" s="154"/>
      <c r="GQ228" s="154"/>
      <c r="GR228" s="154"/>
      <c r="GS228" s="154"/>
      <c r="GT228" s="154"/>
      <c r="GU228" s="154"/>
      <c r="GV228" s="154"/>
      <c r="GW228" s="154"/>
      <c r="GX228" s="154"/>
    </row>
    <row r="229" spans="7:206">
      <c r="G229" s="154"/>
      <c r="H229" s="154"/>
      <c r="I229" s="154"/>
      <c r="J229" s="154"/>
      <c r="K229" s="154"/>
      <c r="L229" s="154"/>
      <c r="M229" s="154"/>
      <c r="N229" s="154"/>
      <c r="O229" s="154"/>
      <c r="P229" s="154"/>
      <c r="Q229" s="154"/>
      <c r="R229" s="154"/>
      <c r="S229" s="154"/>
      <c r="T229" s="154"/>
      <c r="U229" s="154"/>
      <c r="V229" s="154"/>
      <c r="W229" s="154"/>
      <c r="X229" s="154"/>
      <c r="Y229" s="154"/>
      <c r="Z229" s="357"/>
      <c r="AA229" s="357"/>
      <c r="AB229" s="357"/>
      <c r="AC229" s="357"/>
      <c r="AD229" s="357"/>
      <c r="AE229" s="357"/>
      <c r="AF229" s="357"/>
      <c r="AG229" s="357"/>
      <c r="AH229" s="357"/>
      <c r="AI229" s="357"/>
      <c r="AJ229" s="357"/>
      <c r="AK229" s="357"/>
      <c r="AL229" s="357"/>
      <c r="AM229" s="357"/>
      <c r="AN229" s="357"/>
      <c r="AO229" s="357"/>
      <c r="AP229" s="357"/>
      <c r="AQ229" s="357"/>
      <c r="AR229" s="357"/>
      <c r="AS229" s="357"/>
      <c r="AT229" s="357"/>
      <c r="AU229" s="357"/>
      <c r="AV229" s="357"/>
      <c r="AW229" s="357"/>
      <c r="AX229" s="357"/>
      <c r="AY229" s="357"/>
      <c r="AZ229" s="357"/>
      <c r="BA229" s="357"/>
      <c r="BB229" s="357"/>
      <c r="BC229" s="357"/>
      <c r="BD229" s="357"/>
      <c r="BE229" s="357"/>
      <c r="BF229" s="357"/>
      <c r="BG229" s="357"/>
      <c r="BH229" s="357"/>
      <c r="BI229" s="357"/>
      <c r="BJ229" s="357"/>
      <c r="BK229" s="357"/>
      <c r="BL229" s="357"/>
      <c r="BM229" s="357"/>
      <c r="BN229" s="357"/>
      <c r="BO229" s="357"/>
      <c r="BP229" s="357"/>
      <c r="BQ229" s="357"/>
      <c r="BR229" s="357"/>
      <c r="BS229" s="357"/>
      <c r="BT229" s="357"/>
      <c r="BU229" s="357"/>
      <c r="BV229" s="357"/>
      <c r="BW229" s="357"/>
      <c r="BX229" s="357"/>
      <c r="BY229" s="357"/>
      <c r="BZ229" s="357"/>
      <c r="CA229" s="357"/>
      <c r="CB229" s="357"/>
      <c r="CC229" s="357"/>
      <c r="CD229" s="357"/>
      <c r="CE229" s="357"/>
      <c r="CF229" s="357"/>
      <c r="CG229" s="357"/>
      <c r="CH229" s="357"/>
      <c r="CI229" s="357"/>
      <c r="CJ229" s="357"/>
      <c r="CK229" s="357"/>
      <c r="CL229" s="357"/>
      <c r="CM229" s="357"/>
      <c r="CN229" s="357"/>
      <c r="CO229" s="357"/>
      <c r="CP229" s="357"/>
      <c r="CQ229" s="357"/>
      <c r="CR229" s="357"/>
      <c r="CS229" s="357"/>
      <c r="CT229" s="357"/>
      <c r="CU229" s="357"/>
      <c r="CV229" s="357"/>
      <c r="CW229" s="357"/>
      <c r="CX229" s="357"/>
      <c r="CY229" s="357"/>
      <c r="CZ229" s="357"/>
      <c r="DA229" s="357"/>
      <c r="DB229" s="357"/>
      <c r="DC229" s="357"/>
      <c r="DD229" s="357"/>
      <c r="DE229" s="357"/>
      <c r="DF229" s="357"/>
      <c r="DG229" s="357"/>
      <c r="DH229" s="357"/>
      <c r="DI229" s="357"/>
      <c r="DJ229" s="357"/>
      <c r="DK229" s="357"/>
      <c r="DL229" s="357"/>
      <c r="DM229" s="357"/>
      <c r="DN229" s="357"/>
      <c r="DO229" s="357"/>
      <c r="DP229" s="357"/>
      <c r="DQ229" s="357"/>
      <c r="DR229" s="357"/>
      <c r="DS229" s="357"/>
      <c r="DT229" s="357"/>
      <c r="DU229" s="357"/>
      <c r="DV229" s="357"/>
      <c r="DW229" s="357"/>
      <c r="DX229" s="357"/>
      <c r="DY229" s="357"/>
      <c r="DZ229" s="357"/>
      <c r="EA229" s="357"/>
      <c r="EB229" s="357"/>
      <c r="EC229" s="357"/>
      <c r="ED229" s="357"/>
      <c r="EE229" s="357"/>
      <c r="EF229" s="357"/>
      <c r="EG229" s="357"/>
      <c r="EH229" s="357"/>
      <c r="EI229" s="357"/>
      <c r="EJ229" s="357"/>
      <c r="EK229" s="357"/>
      <c r="EL229" s="357"/>
      <c r="EM229" s="357"/>
      <c r="EN229" s="357"/>
      <c r="EO229" s="357"/>
      <c r="EP229" s="357"/>
      <c r="EQ229" s="357"/>
      <c r="ER229" s="357"/>
      <c r="ES229" s="357"/>
      <c r="ET229" s="357"/>
      <c r="EU229" s="357"/>
      <c r="EV229" s="357"/>
      <c r="EW229" s="357"/>
      <c r="EX229" s="357"/>
      <c r="EY229" s="357"/>
      <c r="EZ229" s="357"/>
      <c r="FA229" s="357"/>
      <c r="FB229" s="357"/>
      <c r="FC229" s="357"/>
      <c r="FD229" s="357"/>
      <c r="FE229" s="357"/>
      <c r="FF229" s="357"/>
      <c r="FG229" s="357"/>
      <c r="FH229" s="357"/>
      <c r="FI229" s="357"/>
      <c r="FJ229" s="357"/>
      <c r="FK229" s="357"/>
      <c r="FL229" s="357"/>
      <c r="FM229" s="357"/>
      <c r="FN229" s="357"/>
      <c r="FO229" s="357"/>
      <c r="FP229" s="357"/>
      <c r="FQ229" s="357"/>
      <c r="FR229" s="357"/>
      <c r="FS229" s="357"/>
      <c r="FT229" s="357"/>
      <c r="FU229" s="357"/>
      <c r="FV229" s="357"/>
      <c r="FW229" s="357"/>
      <c r="FX229" s="357"/>
      <c r="FY229" s="357"/>
      <c r="FZ229" s="357"/>
      <c r="GA229" s="357"/>
      <c r="GB229" s="357"/>
      <c r="GC229" s="357"/>
      <c r="GD229" s="357"/>
      <c r="GE229" s="357"/>
      <c r="GF229" s="357"/>
      <c r="GG229" s="357"/>
      <c r="GH229" s="357"/>
      <c r="GI229" s="357"/>
      <c r="GJ229" s="357"/>
      <c r="GK229" s="154"/>
      <c r="GL229" s="154"/>
      <c r="GM229" s="154"/>
      <c r="GN229" s="154"/>
      <c r="GO229" s="154"/>
      <c r="GP229" s="154"/>
      <c r="GQ229" s="154"/>
      <c r="GR229" s="154"/>
      <c r="GS229" s="154"/>
      <c r="GT229" s="154"/>
      <c r="GU229" s="154"/>
      <c r="GV229" s="154"/>
      <c r="GW229" s="154"/>
      <c r="GX229" s="154"/>
    </row>
    <row r="230" spans="7:206">
      <c r="G230" s="154"/>
      <c r="H230" s="154"/>
      <c r="I230" s="154"/>
      <c r="J230" s="154"/>
      <c r="K230" s="154"/>
      <c r="L230" s="154"/>
      <c r="M230" s="154"/>
      <c r="N230" s="154"/>
      <c r="O230" s="154"/>
      <c r="P230" s="154"/>
      <c r="Q230" s="154"/>
      <c r="R230" s="154"/>
      <c r="S230" s="154"/>
      <c r="T230" s="154"/>
      <c r="U230" s="154"/>
      <c r="V230" s="154"/>
      <c r="W230" s="154"/>
      <c r="X230" s="154"/>
      <c r="Y230" s="154"/>
      <c r="Z230" s="357"/>
      <c r="AA230" s="357"/>
      <c r="AB230" s="357"/>
      <c r="AC230" s="357"/>
      <c r="AD230" s="357"/>
      <c r="AE230" s="357"/>
      <c r="AF230" s="357"/>
      <c r="AG230" s="357"/>
      <c r="AH230" s="357"/>
      <c r="AI230" s="357"/>
      <c r="AJ230" s="357"/>
      <c r="AK230" s="357"/>
      <c r="AL230" s="357"/>
      <c r="AM230" s="357"/>
      <c r="AN230" s="357"/>
      <c r="AO230" s="357"/>
      <c r="AP230" s="357"/>
      <c r="AQ230" s="357"/>
      <c r="AR230" s="357"/>
      <c r="AS230" s="357"/>
      <c r="AT230" s="357"/>
      <c r="AU230" s="357"/>
      <c r="AV230" s="357"/>
      <c r="AW230" s="357"/>
      <c r="AX230" s="357"/>
      <c r="AY230" s="357"/>
      <c r="AZ230" s="357"/>
      <c r="BA230" s="357"/>
      <c r="BB230" s="357"/>
      <c r="BC230" s="357"/>
      <c r="BD230" s="357"/>
      <c r="BE230" s="357"/>
      <c r="BF230" s="357"/>
      <c r="BG230" s="357"/>
      <c r="BH230" s="357"/>
      <c r="BI230" s="357"/>
      <c r="BJ230" s="357"/>
      <c r="BK230" s="357"/>
      <c r="BL230" s="357"/>
      <c r="BM230" s="357"/>
      <c r="BN230" s="357"/>
      <c r="BO230" s="357"/>
      <c r="BP230" s="357"/>
      <c r="BQ230" s="357"/>
      <c r="BR230" s="357"/>
      <c r="BS230" s="357"/>
      <c r="BT230" s="357"/>
      <c r="BU230" s="357"/>
      <c r="BV230" s="357"/>
      <c r="BW230" s="357"/>
      <c r="BX230" s="357"/>
      <c r="BY230" s="357"/>
      <c r="BZ230" s="357"/>
      <c r="CA230" s="357"/>
      <c r="CB230" s="357"/>
      <c r="CC230" s="357"/>
      <c r="CD230" s="357"/>
      <c r="CE230" s="357"/>
      <c r="CF230" s="357"/>
      <c r="CG230" s="357"/>
      <c r="CH230" s="357"/>
      <c r="CI230" s="357"/>
      <c r="CJ230" s="357"/>
      <c r="CK230" s="357"/>
      <c r="CL230" s="357"/>
      <c r="CM230" s="357"/>
      <c r="CN230" s="357"/>
      <c r="CO230" s="357"/>
      <c r="CP230" s="357"/>
      <c r="CQ230" s="357"/>
      <c r="CR230" s="357"/>
      <c r="CS230" s="357"/>
      <c r="CT230" s="357"/>
      <c r="CU230" s="357"/>
      <c r="CV230" s="357"/>
      <c r="CW230" s="357"/>
      <c r="CX230" s="357"/>
      <c r="CY230" s="357"/>
      <c r="CZ230" s="357"/>
      <c r="DA230" s="357"/>
      <c r="DB230" s="357"/>
      <c r="DC230" s="357"/>
      <c r="DD230" s="357"/>
      <c r="DE230" s="357"/>
      <c r="DF230" s="357"/>
      <c r="DG230" s="357"/>
      <c r="DH230" s="357"/>
      <c r="DI230" s="357"/>
      <c r="DJ230" s="357"/>
      <c r="DK230" s="357"/>
      <c r="DL230" s="357"/>
      <c r="DM230" s="357"/>
      <c r="DN230" s="357"/>
      <c r="DO230" s="357"/>
      <c r="DP230" s="357"/>
      <c r="DQ230" s="357"/>
      <c r="DR230" s="357"/>
      <c r="DS230" s="357"/>
      <c r="DT230" s="357"/>
      <c r="DU230" s="357"/>
      <c r="DV230" s="357"/>
      <c r="DW230" s="357"/>
      <c r="DX230" s="357"/>
      <c r="DY230" s="357"/>
      <c r="DZ230" s="357"/>
      <c r="EA230" s="357"/>
      <c r="EB230" s="357"/>
      <c r="EC230" s="357"/>
      <c r="ED230" s="357"/>
      <c r="EE230" s="357"/>
      <c r="EF230" s="357"/>
      <c r="EG230" s="357"/>
      <c r="EH230" s="357"/>
      <c r="EI230" s="357"/>
      <c r="EJ230" s="357"/>
      <c r="EK230" s="357"/>
      <c r="EL230" s="357"/>
      <c r="EM230" s="357"/>
      <c r="EN230" s="357"/>
      <c r="EO230" s="357"/>
      <c r="EP230" s="357"/>
      <c r="EQ230" s="357"/>
      <c r="ER230" s="357"/>
      <c r="ES230" s="357"/>
      <c r="ET230" s="357"/>
      <c r="EU230" s="357"/>
      <c r="EV230" s="357"/>
      <c r="EW230" s="357"/>
      <c r="EX230" s="357"/>
      <c r="EY230" s="357"/>
      <c r="EZ230" s="357"/>
      <c r="FA230" s="357"/>
      <c r="FB230" s="357"/>
      <c r="FC230" s="357"/>
      <c r="FD230" s="357"/>
      <c r="FE230" s="357"/>
      <c r="FF230" s="357"/>
      <c r="FG230" s="357"/>
      <c r="FH230" s="357"/>
      <c r="FI230" s="357"/>
      <c r="FJ230" s="357"/>
      <c r="FK230" s="357"/>
      <c r="FL230" s="357"/>
      <c r="FM230" s="357"/>
      <c r="FN230" s="357"/>
      <c r="FO230" s="357"/>
      <c r="FP230" s="357"/>
      <c r="FQ230" s="357"/>
      <c r="FR230" s="357"/>
      <c r="FS230" s="357"/>
      <c r="FT230" s="357"/>
      <c r="FU230" s="357"/>
      <c r="FV230" s="357"/>
      <c r="FW230" s="357"/>
      <c r="FX230" s="357"/>
      <c r="FY230" s="357"/>
      <c r="FZ230" s="357"/>
      <c r="GA230" s="357"/>
      <c r="GB230" s="357"/>
      <c r="GC230" s="357"/>
      <c r="GD230" s="357"/>
      <c r="GE230" s="357"/>
      <c r="GF230" s="357"/>
      <c r="GG230" s="357"/>
      <c r="GH230" s="357"/>
      <c r="GI230" s="357"/>
      <c r="GJ230" s="357"/>
      <c r="GK230" s="154"/>
      <c r="GL230" s="154"/>
      <c r="GM230" s="154"/>
      <c r="GN230" s="154"/>
      <c r="GO230" s="154"/>
      <c r="GP230" s="154"/>
      <c r="GQ230" s="154"/>
      <c r="GR230" s="154"/>
      <c r="GS230" s="154"/>
      <c r="GT230" s="154"/>
      <c r="GU230" s="154"/>
      <c r="GV230" s="154"/>
      <c r="GW230" s="154"/>
      <c r="GX230" s="154"/>
    </row>
    <row r="231" spans="7:206">
      <c r="G231" s="154"/>
      <c r="H231" s="154"/>
      <c r="I231" s="154"/>
      <c r="J231" s="154"/>
      <c r="K231" s="154"/>
      <c r="L231" s="154"/>
      <c r="M231" s="154"/>
      <c r="N231" s="154"/>
      <c r="O231" s="154"/>
      <c r="P231" s="154"/>
      <c r="Q231" s="154"/>
      <c r="R231" s="154"/>
      <c r="S231" s="154"/>
      <c r="T231" s="154"/>
      <c r="U231" s="154"/>
      <c r="V231" s="154"/>
      <c r="W231" s="154"/>
      <c r="X231" s="154"/>
      <c r="Y231" s="154"/>
      <c r="Z231" s="357"/>
      <c r="AA231" s="357"/>
      <c r="AB231" s="357"/>
      <c r="AC231" s="357"/>
      <c r="AD231" s="357"/>
      <c r="AE231" s="357"/>
      <c r="AF231" s="357"/>
      <c r="AG231" s="357"/>
      <c r="AH231" s="357"/>
      <c r="AI231" s="357"/>
      <c r="AJ231" s="357"/>
      <c r="AK231" s="357"/>
      <c r="AL231" s="357"/>
      <c r="AM231" s="357"/>
      <c r="AN231" s="357"/>
      <c r="AO231" s="357"/>
      <c r="AP231" s="357"/>
      <c r="AQ231" s="357"/>
      <c r="AR231" s="357"/>
      <c r="AS231" s="357"/>
      <c r="AT231" s="357"/>
      <c r="AU231" s="357"/>
      <c r="AV231" s="357"/>
      <c r="AW231" s="357"/>
      <c r="AX231" s="357"/>
      <c r="AY231" s="357"/>
      <c r="AZ231" s="357"/>
      <c r="BA231" s="357"/>
      <c r="BB231" s="357"/>
      <c r="BC231" s="357"/>
      <c r="BD231" s="357"/>
      <c r="BE231" s="357"/>
      <c r="BF231" s="357"/>
      <c r="BG231" s="357"/>
      <c r="BH231" s="357"/>
      <c r="BI231" s="357"/>
      <c r="BJ231" s="357"/>
      <c r="BK231" s="357"/>
      <c r="BL231" s="357"/>
      <c r="BM231" s="357"/>
      <c r="BN231" s="357"/>
      <c r="BO231" s="357"/>
      <c r="BP231" s="357"/>
      <c r="BQ231" s="357"/>
      <c r="BR231" s="357"/>
      <c r="BS231" s="357"/>
      <c r="BT231" s="357"/>
      <c r="BU231" s="357"/>
      <c r="BV231" s="357"/>
      <c r="BW231" s="357"/>
      <c r="BX231" s="357"/>
      <c r="BY231" s="357"/>
      <c r="BZ231" s="357"/>
      <c r="CA231" s="357"/>
      <c r="CB231" s="357"/>
      <c r="CC231" s="357"/>
      <c r="CD231" s="357"/>
      <c r="CE231" s="357"/>
      <c r="CF231" s="357"/>
      <c r="CG231" s="357"/>
      <c r="CH231" s="357"/>
      <c r="CI231" s="357"/>
      <c r="CJ231" s="357"/>
      <c r="CK231" s="357"/>
      <c r="CL231" s="357"/>
      <c r="CM231" s="357"/>
      <c r="CN231" s="357"/>
      <c r="CO231" s="357"/>
      <c r="CP231" s="357"/>
      <c r="CQ231" s="357"/>
      <c r="CR231" s="357"/>
      <c r="CS231" s="357"/>
      <c r="CT231" s="357"/>
      <c r="CU231" s="357"/>
      <c r="CV231" s="357"/>
      <c r="CW231" s="357"/>
      <c r="CX231" s="357"/>
      <c r="CY231" s="357"/>
      <c r="CZ231" s="357"/>
      <c r="DA231" s="357"/>
      <c r="DB231" s="357"/>
      <c r="DC231" s="357"/>
      <c r="DD231" s="357"/>
      <c r="DE231" s="357"/>
      <c r="DF231" s="357"/>
      <c r="DG231" s="357"/>
      <c r="DH231" s="357"/>
      <c r="DI231" s="357"/>
      <c r="DJ231" s="357"/>
      <c r="DK231" s="357"/>
      <c r="DL231" s="357"/>
      <c r="DM231" s="357"/>
      <c r="DN231" s="357"/>
      <c r="DO231" s="357"/>
      <c r="DP231" s="357"/>
      <c r="DQ231" s="357"/>
      <c r="DR231" s="357"/>
      <c r="DS231" s="357"/>
      <c r="DT231" s="357"/>
      <c r="DU231" s="357"/>
      <c r="DV231" s="357"/>
      <c r="DW231" s="357"/>
      <c r="DX231" s="357"/>
      <c r="DY231" s="357"/>
      <c r="DZ231" s="357"/>
      <c r="EA231" s="357"/>
      <c r="EB231" s="357"/>
      <c r="EC231" s="357"/>
      <c r="ED231" s="357"/>
      <c r="EE231" s="357"/>
      <c r="EF231" s="357"/>
      <c r="EG231" s="357"/>
      <c r="EH231" s="357"/>
      <c r="EI231" s="357"/>
      <c r="EJ231" s="357"/>
      <c r="EK231" s="357"/>
      <c r="EL231" s="357"/>
      <c r="EM231" s="357"/>
      <c r="EN231" s="357"/>
      <c r="EO231" s="357"/>
      <c r="EP231" s="357"/>
      <c r="EQ231" s="357"/>
      <c r="ER231" s="357"/>
      <c r="ES231" s="357"/>
      <c r="ET231" s="357"/>
      <c r="EU231" s="357"/>
      <c r="EV231" s="357"/>
      <c r="EW231" s="357"/>
      <c r="EX231" s="357"/>
      <c r="EY231" s="357"/>
      <c r="EZ231" s="357"/>
      <c r="FA231" s="357"/>
      <c r="FB231" s="357"/>
      <c r="FC231" s="357"/>
      <c r="FD231" s="357"/>
      <c r="FE231" s="357"/>
      <c r="FF231" s="357"/>
      <c r="FG231" s="357"/>
      <c r="FH231" s="357"/>
      <c r="FI231" s="357"/>
      <c r="FJ231" s="357"/>
      <c r="FK231" s="357"/>
      <c r="FL231" s="357"/>
      <c r="FM231" s="357"/>
      <c r="FN231" s="357"/>
      <c r="FO231" s="357"/>
      <c r="FP231" s="357"/>
      <c r="FQ231" s="357"/>
      <c r="FR231" s="357"/>
      <c r="FS231" s="357"/>
      <c r="FT231" s="357"/>
      <c r="FU231" s="357"/>
      <c r="FV231" s="357"/>
      <c r="FW231" s="357"/>
      <c r="FX231" s="357"/>
      <c r="FY231" s="357"/>
      <c r="FZ231" s="357"/>
      <c r="GA231" s="357"/>
      <c r="GB231" s="357"/>
      <c r="GC231" s="357"/>
      <c r="GD231" s="357"/>
      <c r="GE231" s="357"/>
      <c r="GF231" s="357"/>
      <c r="GG231" s="357"/>
      <c r="GH231" s="357"/>
      <c r="GI231" s="357"/>
      <c r="GJ231" s="357"/>
      <c r="GK231" s="154"/>
      <c r="GL231" s="154"/>
      <c r="GM231" s="154"/>
      <c r="GN231" s="154"/>
      <c r="GO231" s="154"/>
      <c r="GP231" s="154"/>
      <c r="GQ231" s="154"/>
      <c r="GR231" s="154"/>
      <c r="GS231" s="154"/>
      <c r="GT231" s="154"/>
      <c r="GU231" s="154"/>
      <c r="GV231" s="154"/>
      <c r="GW231" s="154"/>
      <c r="GX231" s="154"/>
    </row>
    <row r="232" spans="7:206">
      <c r="G232" s="154"/>
      <c r="H232" s="154"/>
      <c r="I232" s="154"/>
      <c r="J232" s="154"/>
      <c r="K232" s="154"/>
      <c r="L232" s="154"/>
      <c r="M232" s="154"/>
      <c r="N232" s="154"/>
      <c r="O232" s="154"/>
      <c r="P232" s="154"/>
      <c r="Q232" s="154"/>
      <c r="R232" s="154"/>
      <c r="S232" s="154"/>
      <c r="T232" s="154"/>
      <c r="U232" s="154"/>
      <c r="V232" s="154"/>
      <c r="W232" s="154"/>
      <c r="X232" s="154"/>
      <c r="Y232" s="154"/>
      <c r="Z232" s="357"/>
      <c r="AA232" s="357"/>
      <c r="AB232" s="357"/>
      <c r="AC232" s="357"/>
      <c r="AD232" s="357"/>
      <c r="AE232" s="357"/>
      <c r="AF232" s="357"/>
      <c r="AG232" s="357"/>
      <c r="AH232" s="357"/>
      <c r="AI232" s="357"/>
      <c r="AJ232" s="357"/>
      <c r="AK232" s="357"/>
      <c r="AL232" s="357"/>
      <c r="AM232" s="357"/>
      <c r="AN232" s="357"/>
      <c r="AO232" s="357"/>
      <c r="AP232" s="357"/>
      <c r="AQ232" s="357"/>
      <c r="AR232" s="357"/>
      <c r="AS232" s="357"/>
      <c r="AT232" s="357"/>
      <c r="AU232" s="357"/>
      <c r="AV232" s="357"/>
      <c r="AW232" s="357"/>
      <c r="AX232" s="357"/>
      <c r="AY232" s="357"/>
      <c r="AZ232" s="357"/>
      <c r="BA232" s="357"/>
      <c r="BB232" s="357"/>
      <c r="BC232" s="357"/>
      <c r="BD232" s="357"/>
      <c r="BE232" s="357"/>
      <c r="BF232" s="357"/>
      <c r="BG232" s="357"/>
      <c r="BH232" s="357"/>
      <c r="BI232" s="357"/>
      <c r="BJ232" s="357"/>
      <c r="BK232" s="357"/>
      <c r="BL232" s="357"/>
      <c r="BM232" s="357"/>
      <c r="BN232" s="357"/>
      <c r="BO232" s="357"/>
      <c r="BP232" s="357"/>
      <c r="BQ232" s="357"/>
      <c r="BR232" s="357"/>
      <c r="BS232" s="357"/>
      <c r="BT232" s="357"/>
      <c r="BU232" s="357"/>
      <c r="BV232" s="357"/>
      <c r="BW232" s="357"/>
      <c r="BX232" s="357"/>
      <c r="BY232" s="357"/>
      <c r="BZ232" s="357"/>
      <c r="CA232" s="357"/>
      <c r="CB232" s="357"/>
      <c r="CC232" s="357"/>
      <c r="CD232" s="357"/>
      <c r="CE232" s="357"/>
      <c r="CF232" s="357"/>
      <c r="CG232" s="357"/>
      <c r="CH232" s="357"/>
      <c r="CI232" s="357"/>
      <c r="CJ232" s="357"/>
      <c r="CK232" s="357"/>
      <c r="CL232" s="357"/>
      <c r="CM232" s="357"/>
      <c r="CN232" s="357"/>
      <c r="CO232" s="357"/>
      <c r="CP232" s="357"/>
      <c r="CQ232" s="357"/>
      <c r="CR232" s="357"/>
      <c r="CS232" s="357"/>
      <c r="CT232" s="357"/>
      <c r="CU232" s="357"/>
      <c r="CV232" s="357"/>
      <c r="CW232" s="357"/>
      <c r="CX232" s="357"/>
      <c r="CY232" s="357"/>
      <c r="CZ232" s="357"/>
      <c r="DA232" s="357"/>
      <c r="DB232" s="357"/>
      <c r="DC232" s="357"/>
      <c r="DD232" s="357"/>
      <c r="DE232" s="357"/>
      <c r="DF232" s="357"/>
      <c r="DG232" s="357"/>
      <c r="DH232" s="357"/>
      <c r="DI232" s="357"/>
      <c r="DJ232" s="357"/>
      <c r="DK232" s="357"/>
      <c r="DL232" s="357"/>
      <c r="DM232" s="357"/>
      <c r="DN232" s="357"/>
      <c r="DO232" s="357"/>
      <c r="DP232" s="357"/>
      <c r="DQ232" s="357"/>
      <c r="DR232" s="357"/>
      <c r="DS232" s="357"/>
      <c r="DT232" s="357"/>
      <c r="DU232" s="357"/>
      <c r="DV232" s="357"/>
      <c r="DW232" s="357"/>
      <c r="DX232" s="357"/>
      <c r="DY232" s="357"/>
      <c r="DZ232" s="357"/>
      <c r="EA232" s="357"/>
      <c r="EB232" s="357"/>
      <c r="EC232" s="357"/>
      <c r="ED232" s="357"/>
      <c r="EE232" s="357"/>
      <c r="EF232" s="357"/>
      <c r="EG232" s="357"/>
      <c r="EH232" s="357"/>
      <c r="EI232" s="357"/>
      <c r="EJ232" s="357"/>
      <c r="EK232" s="357"/>
      <c r="EL232" s="357"/>
      <c r="EM232" s="357"/>
      <c r="EN232" s="357"/>
      <c r="EO232" s="357"/>
      <c r="EP232" s="357"/>
      <c r="EQ232" s="357"/>
      <c r="ER232" s="357"/>
      <c r="ES232" s="357"/>
      <c r="ET232" s="357"/>
      <c r="EU232" s="357"/>
      <c r="EV232" s="357"/>
      <c r="EW232" s="357"/>
      <c r="EX232" s="357"/>
      <c r="EY232" s="357"/>
      <c r="EZ232" s="357"/>
      <c r="FA232" s="357"/>
      <c r="FB232" s="357"/>
      <c r="FC232" s="357"/>
      <c r="FD232" s="357"/>
      <c r="FE232" s="357"/>
      <c r="FF232" s="357"/>
      <c r="FG232" s="357"/>
      <c r="FH232" s="357"/>
      <c r="FI232" s="357"/>
      <c r="FJ232" s="357"/>
      <c r="FK232" s="357"/>
      <c r="FL232" s="357"/>
      <c r="FM232" s="357"/>
      <c r="FN232" s="357"/>
      <c r="FO232" s="357"/>
      <c r="FP232" s="357"/>
      <c r="FQ232" s="357"/>
      <c r="FR232" s="357"/>
      <c r="FS232" s="357"/>
      <c r="FT232" s="357"/>
      <c r="FU232" s="357"/>
      <c r="FV232" s="357"/>
      <c r="FW232" s="357"/>
      <c r="FX232" s="357"/>
      <c r="FY232" s="357"/>
      <c r="FZ232" s="357"/>
      <c r="GA232" s="357"/>
      <c r="GB232" s="357"/>
      <c r="GC232" s="357"/>
      <c r="GD232" s="357"/>
      <c r="GE232" s="357"/>
      <c r="GF232" s="357"/>
      <c r="GG232" s="357"/>
      <c r="GH232" s="357"/>
      <c r="GI232" s="357"/>
      <c r="GJ232" s="357"/>
      <c r="GK232" s="154"/>
      <c r="GL232" s="154"/>
      <c r="GM232" s="154"/>
      <c r="GN232" s="154"/>
      <c r="GO232" s="154"/>
      <c r="GP232" s="154"/>
      <c r="GQ232" s="154"/>
      <c r="GR232" s="154"/>
      <c r="GS232" s="154"/>
      <c r="GT232" s="154"/>
      <c r="GU232" s="154"/>
      <c r="GV232" s="154"/>
      <c r="GW232" s="154"/>
      <c r="GX232" s="154"/>
    </row>
    <row r="233" spans="7:206">
      <c r="G233" s="154"/>
      <c r="H233" s="154"/>
      <c r="I233" s="154"/>
      <c r="J233" s="154"/>
      <c r="K233" s="154"/>
      <c r="L233" s="154"/>
      <c r="M233" s="154"/>
      <c r="N233" s="154"/>
      <c r="O233" s="154"/>
      <c r="P233" s="154"/>
      <c r="Q233" s="154"/>
      <c r="R233" s="154"/>
      <c r="S233" s="154"/>
      <c r="T233" s="154"/>
      <c r="U233" s="154"/>
      <c r="V233" s="154"/>
      <c r="W233" s="154"/>
      <c r="X233" s="154"/>
      <c r="Y233" s="154"/>
      <c r="Z233" s="357"/>
      <c r="AA233" s="357"/>
      <c r="AB233" s="357"/>
      <c r="AC233" s="357"/>
      <c r="AD233" s="357"/>
      <c r="AE233" s="357"/>
      <c r="AF233" s="357"/>
      <c r="AG233" s="357"/>
      <c r="AH233" s="357"/>
      <c r="AI233" s="357"/>
      <c r="AJ233" s="357"/>
      <c r="AK233" s="357"/>
      <c r="AL233" s="357"/>
      <c r="AM233" s="357"/>
      <c r="AN233" s="357"/>
      <c r="AO233" s="357"/>
      <c r="AP233" s="357"/>
      <c r="AQ233" s="357"/>
      <c r="AR233" s="357"/>
      <c r="AS233" s="357"/>
      <c r="AT233" s="357"/>
      <c r="AU233" s="357"/>
      <c r="AV233" s="357"/>
      <c r="AW233" s="357"/>
      <c r="AX233" s="357"/>
      <c r="AY233" s="357"/>
      <c r="AZ233" s="357"/>
      <c r="BA233" s="357"/>
      <c r="BB233" s="357"/>
      <c r="BC233" s="357"/>
      <c r="BD233" s="357"/>
      <c r="BE233" s="357"/>
      <c r="BF233" s="357"/>
      <c r="BG233" s="357"/>
      <c r="BH233" s="357"/>
      <c r="BI233" s="357"/>
      <c r="BJ233" s="357"/>
      <c r="BK233" s="357"/>
      <c r="BL233" s="357"/>
      <c r="BM233" s="357"/>
      <c r="BN233" s="357"/>
      <c r="BO233" s="357"/>
      <c r="BP233" s="357"/>
      <c r="BQ233" s="357"/>
      <c r="BR233" s="357"/>
      <c r="BS233" s="357"/>
      <c r="BT233" s="357"/>
      <c r="BU233" s="357"/>
      <c r="BV233" s="357"/>
      <c r="BW233" s="357"/>
      <c r="BX233" s="357"/>
      <c r="BY233" s="357"/>
      <c r="BZ233" s="357"/>
      <c r="CA233" s="357"/>
      <c r="CB233" s="357"/>
      <c r="CC233" s="357"/>
      <c r="CD233" s="357"/>
      <c r="CE233" s="357"/>
      <c r="CF233" s="357"/>
      <c r="CG233" s="357"/>
      <c r="CH233" s="357"/>
      <c r="CI233" s="357"/>
      <c r="CJ233" s="357"/>
      <c r="CK233" s="357"/>
      <c r="CL233" s="357"/>
      <c r="CM233" s="357"/>
      <c r="CN233" s="357"/>
      <c r="CO233" s="357"/>
      <c r="CP233" s="357"/>
      <c r="CQ233" s="357"/>
      <c r="CR233" s="357"/>
      <c r="CS233" s="357"/>
      <c r="CT233" s="357"/>
      <c r="CU233" s="357"/>
      <c r="CV233" s="357"/>
      <c r="CW233" s="357"/>
      <c r="CX233" s="357"/>
      <c r="CY233" s="357"/>
      <c r="CZ233" s="357"/>
      <c r="DA233" s="357"/>
      <c r="DB233" s="357"/>
      <c r="DC233" s="357"/>
      <c r="DD233" s="357"/>
      <c r="DE233" s="357"/>
      <c r="DF233" s="357"/>
      <c r="DG233" s="357"/>
      <c r="DH233" s="357"/>
      <c r="DI233" s="357"/>
      <c r="DJ233" s="357"/>
      <c r="DK233" s="357"/>
      <c r="DL233" s="357"/>
      <c r="DM233" s="357"/>
      <c r="DN233" s="357"/>
      <c r="DO233" s="357"/>
      <c r="DP233" s="357"/>
      <c r="DQ233" s="357"/>
      <c r="DR233" s="357"/>
      <c r="DS233" s="357"/>
      <c r="DT233" s="357"/>
      <c r="DU233" s="357"/>
      <c r="DV233" s="357"/>
      <c r="DW233" s="357"/>
      <c r="DX233" s="357"/>
      <c r="DY233" s="357"/>
      <c r="DZ233" s="357"/>
      <c r="EA233" s="357"/>
      <c r="EB233" s="357"/>
      <c r="EC233" s="357"/>
      <c r="ED233" s="357"/>
      <c r="EE233" s="357"/>
      <c r="EF233" s="357"/>
      <c r="EG233" s="357"/>
      <c r="EH233" s="357"/>
      <c r="EI233" s="357"/>
      <c r="EJ233" s="357"/>
      <c r="EK233" s="357"/>
      <c r="EL233" s="357"/>
      <c r="EM233" s="357"/>
      <c r="EN233" s="357"/>
      <c r="EO233" s="357"/>
      <c r="EP233" s="357"/>
      <c r="EQ233" s="357"/>
      <c r="ER233" s="357"/>
      <c r="ES233" s="357"/>
      <c r="ET233" s="357"/>
      <c r="EU233" s="357"/>
      <c r="EV233" s="357"/>
      <c r="EW233" s="357"/>
      <c r="EX233" s="357"/>
      <c r="EY233" s="357"/>
      <c r="EZ233" s="357"/>
      <c r="FA233" s="357"/>
      <c r="FB233" s="357"/>
      <c r="FC233" s="357"/>
      <c r="FD233" s="357"/>
      <c r="FE233" s="357"/>
      <c r="FF233" s="357"/>
      <c r="FG233" s="357"/>
      <c r="FH233" s="357"/>
      <c r="FI233" s="357"/>
      <c r="FJ233" s="357"/>
      <c r="FK233" s="357"/>
      <c r="FL233" s="357"/>
      <c r="FM233" s="357"/>
      <c r="FN233" s="357"/>
      <c r="FO233" s="357"/>
      <c r="FP233" s="357"/>
      <c r="FQ233" s="357"/>
      <c r="FR233" s="357"/>
      <c r="FS233" s="357"/>
      <c r="FT233" s="357"/>
      <c r="FU233" s="357"/>
      <c r="FV233" s="357"/>
      <c r="FW233" s="357"/>
      <c r="FX233" s="357"/>
      <c r="FY233" s="357"/>
      <c r="FZ233" s="357"/>
      <c r="GA233" s="357"/>
      <c r="GB233" s="357"/>
      <c r="GC233" s="357"/>
      <c r="GD233" s="357"/>
      <c r="GE233" s="357"/>
      <c r="GF233" s="357"/>
      <c r="GG233" s="357"/>
      <c r="GH233" s="357"/>
      <c r="GI233" s="357"/>
      <c r="GJ233" s="357"/>
      <c r="GK233" s="154"/>
      <c r="GL233" s="154"/>
      <c r="GM233" s="154"/>
      <c r="GN233" s="154"/>
      <c r="GO233" s="154"/>
      <c r="GP233" s="154"/>
      <c r="GQ233" s="154"/>
      <c r="GR233" s="154"/>
      <c r="GS233" s="154"/>
      <c r="GT233" s="154"/>
      <c r="GU233" s="154"/>
      <c r="GV233" s="154"/>
      <c r="GW233" s="154"/>
      <c r="GX233" s="154"/>
    </row>
    <row r="234" spans="7:206">
      <c r="G234" s="154"/>
      <c r="H234" s="154"/>
      <c r="I234" s="154"/>
      <c r="J234" s="154"/>
      <c r="K234" s="154"/>
      <c r="L234" s="154"/>
      <c r="M234" s="154"/>
      <c r="N234" s="154"/>
      <c r="O234" s="154"/>
      <c r="P234" s="154"/>
      <c r="Q234" s="154"/>
      <c r="R234" s="154"/>
      <c r="S234" s="154"/>
      <c r="T234" s="154"/>
      <c r="U234" s="154"/>
      <c r="V234" s="154"/>
      <c r="W234" s="154"/>
      <c r="X234" s="154"/>
      <c r="Y234" s="154"/>
      <c r="Z234" s="357"/>
      <c r="AA234" s="357"/>
      <c r="AB234" s="357"/>
      <c r="AC234" s="357"/>
      <c r="AD234" s="357"/>
      <c r="AE234" s="357"/>
      <c r="AF234" s="357"/>
      <c r="AG234" s="357"/>
      <c r="AH234" s="357"/>
      <c r="AI234" s="357"/>
      <c r="AJ234" s="357"/>
      <c r="AK234" s="357"/>
      <c r="AL234" s="357"/>
      <c r="AM234" s="357"/>
      <c r="AN234" s="357"/>
      <c r="AO234" s="357"/>
      <c r="AP234" s="357"/>
      <c r="AQ234" s="357"/>
      <c r="AR234" s="357"/>
      <c r="AS234" s="357"/>
      <c r="AT234" s="357"/>
      <c r="AU234" s="357"/>
      <c r="AV234" s="357"/>
      <c r="AW234" s="357"/>
      <c r="AX234" s="357"/>
      <c r="AY234" s="357"/>
      <c r="AZ234" s="357"/>
      <c r="BA234" s="357"/>
      <c r="BB234" s="357"/>
      <c r="BC234" s="357"/>
      <c r="BD234" s="357"/>
      <c r="BE234" s="357"/>
      <c r="BF234" s="357"/>
      <c r="BG234" s="357"/>
      <c r="BH234" s="357"/>
      <c r="BI234" s="357"/>
      <c r="BJ234" s="357"/>
      <c r="BK234" s="357"/>
      <c r="BL234" s="357"/>
      <c r="BM234" s="357"/>
      <c r="BN234" s="357"/>
      <c r="BO234" s="357"/>
      <c r="BP234" s="357"/>
      <c r="BQ234" s="357"/>
      <c r="BR234" s="357"/>
      <c r="BS234" s="357"/>
      <c r="BT234" s="357"/>
      <c r="BU234" s="357"/>
      <c r="BV234" s="357"/>
      <c r="BW234" s="357"/>
      <c r="BX234" s="357"/>
      <c r="BY234" s="357"/>
      <c r="BZ234" s="357"/>
      <c r="CA234" s="357"/>
      <c r="CB234" s="357"/>
      <c r="CC234" s="357"/>
      <c r="CD234" s="357"/>
      <c r="CE234" s="357"/>
      <c r="CF234" s="357"/>
      <c r="CG234" s="357"/>
      <c r="CH234" s="357"/>
      <c r="CI234" s="357"/>
      <c r="CJ234" s="357"/>
      <c r="CK234" s="357"/>
      <c r="CL234" s="357"/>
      <c r="CM234" s="357"/>
      <c r="CN234" s="357"/>
      <c r="CO234" s="357"/>
      <c r="CP234" s="357"/>
      <c r="CQ234" s="357"/>
      <c r="CR234" s="357"/>
      <c r="CS234" s="357"/>
      <c r="CT234" s="357"/>
      <c r="CU234" s="357"/>
      <c r="CV234" s="357"/>
      <c r="CW234" s="357"/>
      <c r="CX234" s="357"/>
      <c r="CY234" s="357"/>
      <c r="CZ234" s="357"/>
      <c r="DA234" s="357"/>
      <c r="DB234" s="357"/>
      <c r="DC234" s="357"/>
      <c r="DD234" s="357"/>
      <c r="DE234" s="357"/>
      <c r="DF234" s="357"/>
      <c r="DG234" s="357"/>
      <c r="DH234" s="357"/>
      <c r="DI234" s="357"/>
      <c r="DJ234" s="357"/>
      <c r="DK234" s="357"/>
      <c r="DL234" s="357"/>
      <c r="DM234" s="357"/>
      <c r="DN234" s="357"/>
      <c r="DO234" s="357"/>
      <c r="DP234" s="357"/>
      <c r="DQ234" s="357"/>
      <c r="DR234" s="357"/>
      <c r="DS234" s="357"/>
      <c r="DT234" s="357"/>
      <c r="DU234" s="357"/>
      <c r="DV234" s="357"/>
      <c r="DW234" s="357"/>
      <c r="DX234" s="357"/>
      <c r="DY234" s="357"/>
      <c r="DZ234" s="357"/>
      <c r="EA234" s="357"/>
      <c r="EB234" s="357"/>
      <c r="EC234" s="357"/>
      <c r="ED234" s="357"/>
      <c r="EE234" s="357"/>
      <c r="EF234" s="357"/>
      <c r="EG234" s="357"/>
      <c r="EH234" s="357"/>
      <c r="EI234" s="357"/>
      <c r="EJ234" s="357"/>
      <c r="EK234" s="357"/>
      <c r="EL234" s="357"/>
      <c r="EM234" s="357"/>
      <c r="EN234" s="357"/>
      <c r="EO234" s="357"/>
      <c r="EP234" s="357"/>
      <c r="EQ234" s="357"/>
      <c r="ER234" s="357"/>
      <c r="ES234" s="357"/>
      <c r="ET234" s="357"/>
      <c r="EU234" s="357"/>
      <c r="EV234" s="357"/>
      <c r="EW234" s="357"/>
      <c r="EX234" s="357"/>
      <c r="EY234" s="357"/>
      <c r="EZ234" s="357"/>
      <c r="FA234" s="357"/>
      <c r="FB234" s="357"/>
      <c r="FC234" s="357"/>
      <c r="FD234" s="357"/>
      <c r="FE234" s="357"/>
      <c r="FF234" s="357"/>
      <c r="FG234" s="357"/>
      <c r="FH234" s="357"/>
      <c r="FI234" s="357"/>
      <c r="FJ234" s="357"/>
      <c r="FK234" s="357"/>
      <c r="FL234" s="357"/>
      <c r="FM234" s="357"/>
      <c r="FN234" s="357"/>
      <c r="FO234" s="357"/>
      <c r="FP234" s="357"/>
      <c r="FQ234" s="357"/>
      <c r="FR234" s="357"/>
      <c r="FS234" s="357"/>
      <c r="FT234" s="357"/>
      <c r="FU234" s="357"/>
      <c r="FV234" s="357"/>
      <c r="FW234" s="357"/>
      <c r="FX234" s="357"/>
      <c r="FY234" s="357"/>
      <c r="FZ234" s="357"/>
      <c r="GA234" s="357"/>
      <c r="GB234" s="357"/>
      <c r="GC234" s="357"/>
      <c r="GD234" s="357"/>
      <c r="GE234" s="357"/>
      <c r="GF234" s="357"/>
      <c r="GG234" s="357"/>
      <c r="GH234" s="357"/>
      <c r="GI234" s="357"/>
      <c r="GJ234" s="357"/>
      <c r="GK234" s="154"/>
      <c r="GL234" s="154"/>
      <c r="GM234" s="154"/>
      <c r="GN234" s="154"/>
      <c r="GO234" s="154"/>
      <c r="GP234" s="154"/>
      <c r="GQ234" s="154"/>
      <c r="GR234" s="154"/>
      <c r="GS234" s="154"/>
      <c r="GT234" s="154"/>
      <c r="GU234" s="154"/>
      <c r="GV234" s="154"/>
      <c r="GW234" s="154"/>
      <c r="GX234" s="154"/>
    </row>
    <row r="235" spans="7:206">
      <c r="G235" s="154"/>
      <c r="H235" s="154"/>
      <c r="I235" s="154"/>
      <c r="J235" s="154"/>
      <c r="K235" s="154"/>
      <c r="L235" s="154"/>
      <c r="M235" s="154"/>
      <c r="N235" s="154"/>
      <c r="O235" s="154"/>
      <c r="P235" s="154"/>
      <c r="Q235" s="154"/>
      <c r="R235" s="154"/>
      <c r="S235" s="154"/>
      <c r="T235" s="154"/>
      <c r="U235" s="154"/>
      <c r="V235" s="154"/>
      <c r="W235" s="154"/>
      <c r="X235" s="154"/>
      <c r="Y235" s="154"/>
      <c r="Z235" s="357"/>
      <c r="AA235" s="357"/>
      <c r="AB235" s="357"/>
      <c r="AC235" s="357"/>
      <c r="AD235" s="357"/>
      <c r="AE235" s="357"/>
      <c r="AF235" s="357"/>
      <c r="AG235" s="357"/>
      <c r="AH235" s="357"/>
      <c r="AI235" s="357"/>
      <c r="AJ235" s="357"/>
      <c r="AK235" s="357"/>
      <c r="AL235" s="357"/>
      <c r="AM235" s="357"/>
      <c r="AN235" s="357"/>
      <c r="AO235" s="357"/>
      <c r="AP235" s="357"/>
      <c r="AQ235" s="357"/>
      <c r="AR235" s="357"/>
      <c r="AS235" s="357"/>
      <c r="AT235" s="357"/>
      <c r="AU235" s="357"/>
      <c r="AV235" s="357"/>
      <c r="AW235" s="357"/>
      <c r="AX235" s="357"/>
      <c r="AY235" s="357"/>
      <c r="AZ235" s="357"/>
      <c r="BA235" s="357"/>
      <c r="BB235" s="357"/>
      <c r="BC235" s="357"/>
      <c r="BD235" s="357"/>
      <c r="BE235" s="357"/>
      <c r="BF235" s="357"/>
      <c r="BG235" s="357"/>
      <c r="BH235" s="357"/>
      <c r="BI235" s="357"/>
      <c r="BJ235" s="357"/>
      <c r="BK235" s="357"/>
      <c r="BL235" s="357"/>
      <c r="BM235" s="357"/>
      <c r="BN235" s="357"/>
      <c r="BO235" s="357"/>
      <c r="BP235" s="357"/>
      <c r="BQ235" s="357"/>
      <c r="BR235" s="357"/>
      <c r="BS235" s="357"/>
      <c r="BT235" s="357"/>
      <c r="BU235" s="357"/>
      <c r="BV235" s="357"/>
      <c r="BW235" s="357"/>
      <c r="BX235" s="357"/>
      <c r="BY235" s="357"/>
      <c r="BZ235" s="357"/>
      <c r="CA235" s="357"/>
      <c r="CB235" s="357"/>
      <c r="CC235" s="357"/>
      <c r="CD235" s="357"/>
      <c r="CE235" s="357"/>
      <c r="CF235" s="357"/>
      <c r="CG235" s="357"/>
      <c r="CH235" s="357"/>
      <c r="CI235" s="357"/>
      <c r="CJ235" s="357"/>
      <c r="CK235" s="357"/>
      <c r="CL235" s="357"/>
      <c r="CM235" s="357"/>
      <c r="CN235" s="357"/>
      <c r="CO235" s="357"/>
      <c r="CP235" s="357"/>
      <c r="CQ235" s="357"/>
      <c r="CR235" s="357"/>
      <c r="CS235" s="357"/>
      <c r="CT235" s="357"/>
      <c r="CU235" s="357"/>
      <c r="CV235" s="357"/>
      <c r="CW235" s="357"/>
      <c r="CX235" s="357"/>
      <c r="CY235" s="357"/>
      <c r="CZ235" s="357"/>
      <c r="DA235" s="357"/>
      <c r="DB235" s="357"/>
      <c r="DC235" s="357"/>
      <c r="DD235" s="357"/>
      <c r="DE235" s="357"/>
      <c r="DF235" s="357"/>
      <c r="DG235" s="357"/>
      <c r="DH235" s="357"/>
      <c r="DI235" s="357"/>
      <c r="DJ235" s="357"/>
      <c r="DK235" s="357"/>
      <c r="DL235" s="357"/>
      <c r="DM235" s="357"/>
      <c r="DN235" s="357"/>
      <c r="DO235" s="357"/>
      <c r="DP235" s="357"/>
      <c r="DQ235" s="357"/>
      <c r="DR235" s="357"/>
      <c r="DS235" s="357"/>
      <c r="DT235" s="357"/>
      <c r="DU235" s="357"/>
      <c r="DV235" s="357"/>
      <c r="DW235" s="357"/>
      <c r="DX235" s="357"/>
      <c r="DY235" s="357"/>
      <c r="DZ235" s="357"/>
      <c r="EA235" s="357"/>
      <c r="EB235" s="357"/>
      <c r="EC235" s="357"/>
      <c r="ED235" s="357"/>
      <c r="EE235" s="357"/>
      <c r="EF235" s="357"/>
      <c r="EG235" s="357"/>
      <c r="EH235" s="357"/>
      <c r="EI235" s="357"/>
      <c r="EJ235" s="357"/>
      <c r="EK235" s="357"/>
      <c r="EL235" s="357"/>
      <c r="EM235" s="357"/>
      <c r="EN235" s="357"/>
      <c r="EO235" s="357"/>
      <c r="EP235" s="357"/>
      <c r="EQ235" s="357"/>
      <c r="ER235" s="357"/>
      <c r="ES235" s="357"/>
      <c r="ET235" s="357"/>
      <c r="EU235" s="357"/>
      <c r="EV235" s="357"/>
      <c r="EW235" s="357"/>
      <c r="EX235" s="357"/>
      <c r="EY235" s="357"/>
      <c r="EZ235" s="357"/>
      <c r="FA235" s="357"/>
      <c r="FB235" s="357"/>
      <c r="FC235" s="357"/>
      <c r="FD235" s="357"/>
      <c r="FE235" s="357"/>
      <c r="FF235" s="357"/>
      <c r="FG235" s="357"/>
      <c r="FH235" s="357"/>
      <c r="FI235" s="357"/>
      <c r="FJ235" s="357"/>
      <c r="FK235" s="357"/>
      <c r="FL235" s="357"/>
      <c r="FM235" s="357"/>
      <c r="FN235" s="357"/>
      <c r="FO235" s="357"/>
      <c r="FP235" s="357"/>
      <c r="FQ235" s="357"/>
      <c r="FR235" s="357"/>
      <c r="FS235" s="357"/>
      <c r="FT235" s="357"/>
      <c r="FU235" s="357"/>
      <c r="FV235" s="357"/>
      <c r="FW235" s="357"/>
      <c r="FX235" s="357"/>
      <c r="FY235" s="357"/>
      <c r="FZ235" s="357"/>
      <c r="GA235" s="357"/>
      <c r="GB235" s="357"/>
      <c r="GC235" s="357"/>
      <c r="GD235" s="357"/>
      <c r="GE235" s="357"/>
      <c r="GF235" s="357"/>
      <c r="GG235" s="357"/>
      <c r="GH235" s="357"/>
      <c r="GI235" s="357"/>
      <c r="GJ235" s="357"/>
      <c r="GK235" s="154"/>
      <c r="GL235" s="154"/>
      <c r="GM235" s="154"/>
      <c r="GN235" s="154"/>
      <c r="GO235" s="154"/>
      <c r="GP235" s="154"/>
      <c r="GQ235" s="154"/>
      <c r="GR235" s="154"/>
      <c r="GS235" s="154"/>
      <c r="GT235" s="154"/>
      <c r="GU235" s="154"/>
      <c r="GV235" s="154"/>
      <c r="GW235" s="154"/>
      <c r="GX235" s="154"/>
    </row>
    <row r="236" spans="7:206">
      <c r="G236" s="154"/>
      <c r="H236" s="154"/>
      <c r="I236" s="154"/>
      <c r="J236" s="154"/>
      <c r="K236" s="154"/>
      <c r="L236" s="154"/>
      <c r="M236" s="154"/>
      <c r="N236" s="154"/>
      <c r="O236" s="154"/>
      <c r="P236" s="154"/>
      <c r="Q236" s="154"/>
      <c r="R236" s="154"/>
      <c r="S236" s="154"/>
      <c r="T236" s="154"/>
      <c r="U236" s="154"/>
      <c r="V236" s="154"/>
      <c r="W236" s="154"/>
      <c r="X236" s="154"/>
      <c r="Y236" s="154"/>
      <c r="Z236" s="357"/>
      <c r="AA236" s="357"/>
      <c r="AB236" s="357"/>
      <c r="AC236" s="357"/>
      <c r="AD236" s="357"/>
      <c r="AE236" s="357"/>
      <c r="AF236" s="357"/>
      <c r="AG236" s="357"/>
      <c r="AH236" s="357"/>
      <c r="AI236" s="357"/>
      <c r="AJ236" s="357"/>
      <c r="AK236" s="357"/>
      <c r="AL236" s="357"/>
      <c r="AM236" s="357"/>
      <c r="AN236" s="357"/>
      <c r="AO236" s="357"/>
      <c r="AP236" s="357"/>
      <c r="AQ236" s="357"/>
      <c r="AR236" s="357"/>
      <c r="AS236" s="357"/>
      <c r="AT236" s="357"/>
      <c r="AU236" s="357"/>
      <c r="AV236" s="357"/>
      <c r="AW236" s="357"/>
      <c r="AX236" s="357"/>
      <c r="AY236" s="357"/>
      <c r="AZ236" s="357"/>
      <c r="BA236" s="357"/>
      <c r="BB236" s="357"/>
      <c r="BC236" s="357"/>
      <c r="BD236" s="357"/>
      <c r="BE236" s="357"/>
      <c r="BF236" s="357"/>
      <c r="BG236" s="357"/>
      <c r="BH236" s="357"/>
      <c r="BI236" s="357"/>
      <c r="BJ236" s="357"/>
      <c r="BK236" s="357"/>
      <c r="BL236" s="357"/>
      <c r="BM236" s="357"/>
      <c r="BN236" s="357"/>
      <c r="BO236" s="357"/>
      <c r="BP236" s="357"/>
      <c r="BQ236" s="357"/>
      <c r="BR236" s="357"/>
      <c r="BS236" s="357"/>
      <c r="BT236" s="357"/>
      <c r="BU236" s="357"/>
      <c r="BV236" s="357"/>
      <c r="BW236" s="357"/>
      <c r="BX236" s="357"/>
      <c r="BY236" s="357"/>
      <c r="BZ236" s="357"/>
      <c r="CA236" s="357"/>
      <c r="CB236" s="357"/>
      <c r="CC236" s="357"/>
      <c r="CD236" s="357"/>
      <c r="CE236" s="357"/>
      <c r="CF236" s="357"/>
      <c r="CG236" s="357"/>
      <c r="CH236" s="357"/>
      <c r="CI236" s="357"/>
      <c r="CJ236" s="357"/>
      <c r="CK236" s="357"/>
      <c r="CL236" s="357"/>
      <c r="CM236" s="357"/>
      <c r="CN236" s="357"/>
      <c r="CO236" s="357"/>
      <c r="CP236" s="357"/>
      <c r="CQ236" s="357"/>
      <c r="CR236" s="357"/>
      <c r="CS236" s="357"/>
      <c r="CT236" s="357"/>
      <c r="CU236" s="357"/>
      <c r="CV236" s="357"/>
      <c r="CW236" s="357"/>
      <c r="CX236" s="357"/>
      <c r="CY236" s="357"/>
      <c r="CZ236" s="357"/>
      <c r="DA236" s="357"/>
      <c r="DB236" s="357"/>
      <c r="DC236" s="357"/>
      <c r="DD236" s="357"/>
      <c r="DE236" s="357"/>
      <c r="DF236" s="357"/>
      <c r="DG236" s="357"/>
      <c r="DH236" s="357"/>
      <c r="DI236" s="357"/>
      <c r="DJ236" s="357"/>
      <c r="DK236" s="357"/>
      <c r="DL236" s="357"/>
      <c r="DM236" s="357"/>
      <c r="DN236" s="357"/>
      <c r="DO236" s="357"/>
      <c r="DP236" s="357"/>
      <c r="DQ236" s="357"/>
      <c r="DR236" s="357"/>
      <c r="DS236" s="357"/>
      <c r="DT236" s="357"/>
      <c r="DU236" s="357"/>
      <c r="DV236" s="357"/>
      <c r="DW236" s="357"/>
      <c r="DX236" s="357"/>
      <c r="DY236" s="357"/>
      <c r="DZ236" s="357"/>
      <c r="EA236" s="357"/>
      <c r="EB236" s="357"/>
      <c r="EC236" s="357"/>
      <c r="ED236" s="357"/>
      <c r="EE236" s="357"/>
      <c r="EF236" s="357"/>
      <c r="EG236" s="357"/>
      <c r="EH236" s="357"/>
      <c r="EI236" s="357"/>
      <c r="EJ236" s="357"/>
      <c r="EK236" s="357"/>
      <c r="EL236" s="357"/>
      <c r="EM236" s="357"/>
      <c r="EN236" s="357"/>
      <c r="EO236" s="357"/>
      <c r="EP236" s="357"/>
      <c r="EQ236" s="357"/>
      <c r="ER236" s="357"/>
      <c r="ES236" s="357"/>
      <c r="ET236" s="357"/>
      <c r="EU236" s="357"/>
      <c r="EV236" s="357"/>
      <c r="EW236" s="357"/>
      <c r="EX236" s="357"/>
      <c r="EY236" s="357"/>
      <c r="EZ236" s="357"/>
      <c r="FA236" s="357"/>
      <c r="FB236" s="357"/>
      <c r="FC236" s="357"/>
      <c r="FD236" s="357"/>
      <c r="FE236" s="357"/>
      <c r="FF236" s="357"/>
      <c r="FG236" s="357"/>
      <c r="FH236" s="357"/>
      <c r="FI236" s="357"/>
      <c r="FJ236" s="357"/>
      <c r="FK236" s="357"/>
      <c r="FL236" s="357"/>
      <c r="FM236" s="357"/>
      <c r="FN236" s="357"/>
      <c r="FO236" s="357"/>
      <c r="FP236" s="357"/>
      <c r="FQ236" s="357"/>
      <c r="FR236" s="357"/>
      <c r="FS236" s="357"/>
      <c r="FT236" s="357"/>
      <c r="FU236" s="357"/>
      <c r="FV236" s="357"/>
      <c r="FW236" s="357"/>
      <c r="FX236" s="357"/>
      <c r="FY236" s="357"/>
      <c r="FZ236" s="357"/>
      <c r="GA236" s="357"/>
      <c r="GB236" s="357"/>
      <c r="GC236" s="357"/>
      <c r="GD236" s="357"/>
      <c r="GE236" s="357"/>
      <c r="GF236" s="357"/>
      <c r="GG236" s="357"/>
      <c r="GH236" s="357"/>
      <c r="GI236" s="357"/>
      <c r="GJ236" s="357"/>
      <c r="GK236" s="154"/>
      <c r="GL236" s="154"/>
      <c r="GM236" s="154"/>
      <c r="GN236" s="154"/>
      <c r="GO236" s="154"/>
      <c r="GP236" s="154"/>
      <c r="GQ236" s="154"/>
      <c r="GR236" s="154"/>
      <c r="GS236" s="154"/>
      <c r="GT236" s="154"/>
      <c r="GU236" s="154"/>
      <c r="GV236" s="154"/>
      <c r="GW236" s="154"/>
      <c r="GX236" s="154"/>
    </row>
    <row r="237" spans="7:206">
      <c r="G237" s="154"/>
      <c r="H237" s="154"/>
      <c r="I237" s="154"/>
      <c r="J237" s="154"/>
      <c r="K237" s="154"/>
      <c r="L237" s="154"/>
      <c r="M237" s="154"/>
      <c r="N237" s="154"/>
      <c r="O237" s="154"/>
      <c r="P237" s="154"/>
      <c r="Q237" s="154"/>
      <c r="R237" s="154"/>
      <c r="S237" s="154"/>
      <c r="T237" s="154"/>
      <c r="U237" s="154"/>
      <c r="V237" s="154"/>
      <c r="W237" s="154"/>
      <c r="X237" s="154"/>
      <c r="Y237" s="154"/>
      <c r="Z237" s="357"/>
      <c r="AA237" s="357"/>
      <c r="AB237" s="357"/>
      <c r="AC237" s="357"/>
      <c r="AD237" s="357"/>
      <c r="AE237" s="357"/>
      <c r="AF237" s="357"/>
      <c r="AG237" s="357"/>
      <c r="AH237" s="357"/>
      <c r="AI237" s="357"/>
      <c r="AJ237" s="357"/>
      <c r="AK237" s="357"/>
      <c r="AL237" s="357"/>
      <c r="AM237" s="357"/>
      <c r="AN237" s="357"/>
      <c r="AO237" s="357"/>
      <c r="AP237" s="357"/>
      <c r="AQ237" s="357"/>
      <c r="AR237" s="357"/>
      <c r="AS237" s="357"/>
      <c r="AT237" s="357"/>
      <c r="AU237" s="357"/>
      <c r="AV237" s="357"/>
      <c r="AW237" s="357"/>
      <c r="AX237" s="357"/>
      <c r="AY237" s="357"/>
      <c r="AZ237" s="357"/>
      <c r="BA237" s="357"/>
      <c r="BB237" s="357"/>
      <c r="BC237" s="357"/>
      <c r="BD237" s="357"/>
      <c r="BE237" s="357"/>
      <c r="BF237" s="357"/>
      <c r="BG237" s="357"/>
      <c r="BH237" s="357"/>
      <c r="BI237" s="357"/>
      <c r="BJ237" s="357"/>
      <c r="BK237" s="357"/>
      <c r="BL237" s="357"/>
      <c r="BM237" s="357"/>
      <c r="BN237" s="357"/>
      <c r="BO237" s="357"/>
      <c r="BP237" s="357"/>
      <c r="BQ237" s="357"/>
      <c r="BR237" s="357"/>
      <c r="BS237" s="357"/>
      <c r="BT237" s="357"/>
      <c r="BU237" s="357"/>
      <c r="BV237" s="357"/>
      <c r="BW237" s="357"/>
      <c r="BX237" s="357"/>
      <c r="BY237" s="357"/>
      <c r="BZ237" s="357"/>
      <c r="CA237" s="357"/>
      <c r="CB237" s="357"/>
      <c r="CC237" s="357"/>
      <c r="CD237" s="357"/>
      <c r="CE237" s="357"/>
      <c r="CF237" s="357"/>
      <c r="CG237" s="357"/>
      <c r="CH237" s="357"/>
      <c r="CI237" s="357"/>
      <c r="CJ237" s="357"/>
      <c r="CK237" s="357"/>
      <c r="CL237" s="357"/>
      <c r="CM237" s="357"/>
      <c r="CN237" s="357"/>
      <c r="CO237" s="357"/>
      <c r="CP237" s="357"/>
      <c r="CQ237" s="357"/>
      <c r="CR237" s="357"/>
      <c r="CS237" s="357"/>
      <c r="CT237" s="357"/>
      <c r="CU237" s="357"/>
      <c r="CV237" s="357"/>
      <c r="CW237" s="357"/>
      <c r="CX237" s="357"/>
      <c r="CY237" s="357"/>
      <c r="CZ237" s="357"/>
      <c r="DA237" s="357"/>
      <c r="DB237" s="357"/>
      <c r="DC237" s="357"/>
      <c r="DD237" s="357"/>
      <c r="DE237" s="357"/>
      <c r="DF237" s="357"/>
      <c r="DG237" s="357"/>
      <c r="DH237" s="357"/>
      <c r="DI237" s="357"/>
      <c r="DJ237" s="357"/>
      <c r="DK237" s="357"/>
      <c r="DL237" s="357"/>
      <c r="DM237" s="357"/>
      <c r="DN237" s="357"/>
      <c r="DO237" s="357"/>
      <c r="DP237" s="357"/>
      <c r="DQ237" s="357"/>
      <c r="DR237" s="357"/>
      <c r="DS237" s="357"/>
      <c r="DT237" s="357"/>
      <c r="DU237" s="357"/>
      <c r="DV237" s="357"/>
      <c r="DW237" s="357"/>
      <c r="DX237" s="357"/>
      <c r="DY237" s="357"/>
      <c r="DZ237" s="357"/>
      <c r="EA237" s="357"/>
      <c r="EB237" s="357"/>
      <c r="EC237" s="357"/>
      <c r="ED237" s="357"/>
      <c r="EE237" s="357"/>
      <c r="EF237" s="357"/>
      <c r="EG237" s="357"/>
      <c r="EH237" s="357"/>
      <c r="EI237" s="357"/>
      <c r="EJ237" s="357"/>
      <c r="EK237" s="357"/>
      <c r="EL237" s="357"/>
      <c r="EM237" s="357"/>
      <c r="EN237" s="357"/>
      <c r="EO237" s="357"/>
      <c r="EP237" s="357"/>
      <c r="EQ237" s="357"/>
      <c r="ER237" s="357"/>
      <c r="ES237" s="357"/>
      <c r="ET237" s="357"/>
      <c r="EU237" s="357"/>
      <c r="EV237" s="357"/>
      <c r="EW237" s="357"/>
      <c r="EX237" s="357"/>
      <c r="EY237" s="357"/>
      <c r="EZ237" s="357"/>
      <c r="FA237" s="357"/>
      <c r="FB237" s="357"/>
      <c r="FC237" s="357"/>
      <c r="FD237" s="357"/>
      <c r="FE237" s="357"/>
      <c r="FF237" s="357"/>
      <c r="FG237" s="357"/>
      <c r="FH237" s="357"/>
      <c r="FI237" s="357"/>
      <c r="FJ237" s="357"/>
      <c r="FK237" s="357"/>
      <c r="FL237" s="357"/>
      <c r="FM237" s="357"/>
      <c r="FN237" s="357"/>
      <c r="FO237" s="357"/>
      <c r="FP237" s="357"/>
      <c r="FQ237" s="357"/>
      <c r="FR237" s="357"/>
      <c r="FS237" s="357"/>
      <c r="FT237" s="357"/>
      <c r="FU237" s="357"/>
      <c r="FV237" s="357"/>
      <c r="FW237" s="357"/>
      <c r="FX237" s="357"/>
      <c r="FY237" s="357"/>
      <c r="FZ237" s="357"/>
      <c r="GA237" s="357"/>
      <c r="GB237" s="357"/>
      <c r="GC237" s="357"/>
      <c r="GD237" s="357"/>
      <c r="GE237" s="357"/>
      <c r="GF237" s="357"/>
      <c r="GG237" s="357"/>
      <c r="GH237" s="357"/>
      <c r="GI237" s="357"/>
      <c r="GJ237" s="357"/>
      <c r="GK237" s="154"/>
      <c r="GL237" s="154"/>
      <c r="GM237" s="154"/>
      <c r="GN237" s="154"/>
      <c r="GO237" s="154"/>
      <c r="GP237" s="154"/>
      <c r="GQ237" s="154"/>
      <c r="GR237" s="154"/>
      <c r="GS237" s="154"/>
      <c r="GT237" s="154"/>
      <c r="GU237" s="154"/>
      <c r="GV237" s="154"/>
      <c r="GW237" s="154"/>
      <c r="GX237" s="154"/>
    </row>
    <row r="238" spans="7:206">
      <c r="G238" s="154"/>
      <c r="H238" s="154"/>
      <c r="I238" s="154"/>
      <c r="J238" s="154"/>
      <c r="K238" s="154"/>
      <c r="L238" s="154"/>
      <c r="M238" s="154"/>
      <c r="N238" s="154"/>
      <c r="O238" s="154"/>
      <c r="P238" s="154"/>
      <c r="Q238" s="154"/>
      <c r="R238" s="154"/>
      <c r="S238" s="154"/>
      <c r="T238" s="154"/>
      <c r="U238" s="154"/>
      <c r="V238" s="154"/>
      <c r="W238" s="154"/>
      <c r="X238" s="154"/>
      <c r="Y238" s="154"/>
      <c r="Z238" s="357"/>
      <c r="AA238" s="357"/>
      <c r="AB238" s="357"/>
      <c r="AC238" s="357"/>
      <c r="AD238" s="357"/>
      <c r="AE238" s="357"/>
      <c r="AF238" s="357"/>
      <c r="AG238" s="357"/>
      <c r="AH238" s="357"/>
      <c r="AI238" s="357"/>
      <c r="AJ238" s="357"/>
      <c r="AK238" s="357"/>
      <c r="AL238" s="357"/>
      <c r="AM238" s="357"/>
      <c r="AN238" s="357"/>
      <c r="AO238" s="357"/>
      <c r="AP238" s="357"/>
      <c r="AQ238" s="357"/>
      <c r="AR238" s="357"/>
      <c r="AS238" s="357"/>
      <c r="AT238" s="357"/>
      <c r="AU238" s="357"/>
      <c r="AV238" s="357"/>
      <c r="AW238" s="357"/>
      <c r="AX238" s="357"/>
      <c r="AY238" s="357"/>
      <c r="AZ238" s="357"/>
      <c r="BA238" s="357"/>
      <c r="BB238" s="357"/>
      <c r="BC238" s="357"/>
      <c r="BD238" s="357"/>
      <c r="BE238" s="357"/>
      <c r="BF238" s="357"/>
      <c r="BG238" s="357"/>
      <c r="BH238" s="357"/>
      <c r="BI238" s="357"/>
      <c r="BJ238" s="357"/>
      <c r="BK238" s="357"/>
      <c r="BL238" s="357"/>
      <c r="BM238" s="357"/>
      <c r="BN238" s="357"/>
      <c r="BO238" s="357"/>
      <c r="BP238" s="357"/>
      <c r="BQ238" s="357"/>
      <c r="BR238" s="357"/>
      <c r="BS238" s="357"/>
      <c r="BT238" s="357"/>
      <c r="BU238" s="357"/>
      <c r="BV238" s="357"/>
      <c r="BW238" s="357"/>
      <c r="BX238" s="357"/>
      <c r="BY238" s="357"/>
      <c r="BZ238" s="357"/>
      <c r="CA238" s="357"/>
      <c r="CB238" s="357"/>
      <c r="CC238" s="357"/>
      <c r="CD238" s="357"/>
      <c r="CE238" s="357"/>
      <c r="CF238" s="357"/>
      <c r="CG238" s="357"/>
      <c r="CH238" s="357"/>
      <c r="CI238" s="357"/>
      <c r="CJ238" s="357"/>
      <c r="CK238" s="357"/>
      <c r="CL238" s="357"/>
      <c r="CM238" s="357"/>
      <c r="CN238" s="357"/>
      <c r="CO238" s="357"/>
      <c r="CP238" s="357"/>
      <c r="CQ238" s="357"/>
      <c r="CR238" s="357"/>
      <c r="CS238" s="357"/>
      <c r="CT238" s="357"/>
      <c r="CU238" s="357"/>
      <c r="CV238" s="357"/>
      <c r="CW238" s="357"/>
      <c r="CX238" s="357"/>
      <c r="CY238" s="357"/>
      <c r="CZ238" s="357"/>
      <c r="DA238" s="357"/>
      <c r="DB238" s="357"/>
      <c r="DC238" s="357"/>
      <c r="DD238" s="357"/>
      <c r="DE238" s="357"/>
      <c r="DF238" s="357"/>
      <c r="DG238" s="357"/>
      <c r="DH238" s="357"/>
      <c r="DI238" s="357"/>
      <c r="DJ238" s="357"/>
      <c r="DK238" s="357"/>
      <c r="DL238" s="357"/>
      <c r="DM238" s="357"/>
      <c r="DN238" s="357"/>
      <c r="DO238" s="357"/>
      <c r="DP238" s="357"/>
      <c r="DQ238" s="357"/>
      <c r="DR238" s="357"/>
      <c r="DS238" s="357"/>
      <c r="DT238" s="357"/>
      <c r="DU238" s="357"/>
      <c r="DV238" s="357"/>
      <c r="DW238" s="357"/>
      <c r="DX238" s="357"/>
      <c r="DY238" s="357"/>
      <c r="DZ238" s="357"/>
      <c r="EA238" s="357"/>
      <c r="EB238" s="357"/>
      <c r="EC238" s="357"/>
      <c r="ED238" s="357"/>
      <c r="EE238" s="357"/>
      <c r="EF238" s="357"/>
      <c r="EG238" s="357"/>
      <c r="EH238" s="357"/>
      <c r="EI238" s="357"/>
      <c r="EJ238" s="357"/>
      <c r="EK238" s="357"/>
      <c r="EL238" s="357"/>
      <c r="EM238" s="357"/>
      <c r="EN238" s="357"/>
      <c r="EO238" s="357"/>
      <c r="EP238" s="357"/>
      <c r="EQ238" s="357"/>
      <c r="ER238" s="357"/>
      <c r="ES238" s="357"/>
      <c r="ET238" s="357"/>
      <c r="EU238" s="357"/>
      <c r="EV238" s="357"/>
      <c r="EW238" s="357"/>
      <c r="EX238" s="357"/>
      <c r="EY238" s="357"/>
      <c r="EZ238" s="357"/>
      <c r="FA238" s="357"/>
      <c r="FB238" s="357"/>
      <c r="FC238" s="357"/>
      <c r="FD238" s="357"/>
      <c r="FE238" s="357"/>
      <c r="FF238" s="357"/>
      <c r="FG238" s="357"/>
      <c r="FH238" s="357"/>
      <c r="FI238" s="357"/>
      <c r="FJ238" s="357"/>
      <c r="FK238" s="357"/>
      <c r="FL238" s="357"/>
      <c r="FM238" s="357"/>
      <c r="FN238" s="357"/>
      <c r="FO238" s="357"/>
      <c r="FP238" s="357"/>
      <c r="FQ238" s="357"/>
      <c r="FR238" s="357"/>
      <c r="FS238" s="357"/>
      <c r="FT238" s="357"/>
      <c r="FU238" s="357"/>
      <c r="FV238" s="357"/>
      <c r="FW238" s="357"/>
      <c r="FX238" s="357"/>
      <c r="FY238" s="357"/>
      <c r="FZ238" s="357"/>
      <c r="GA238" s="357"/>
      <c r="GB238" s="357"/>
      <c r="GC238" s="357"/>
      <c r="GD238" s="357"/>
      <c r="GE238" s="357"/>
      <c r="GF238" s="357"/>
      <c r="GG238" s="357"/>
      <c r="GH238" s="357"/>
      <c r="GI238" s="357"/>
      <c r="GJ238" s="357"/>
      <c r="GK238" s="154"/>
      <c r="GL238" s="154"/>
      <c r="GM238" s="154"/>
      <c r="GN238" s="154"/>
      <c r="GO238" s="154"/>
      <c r="GP238" s="154"/>
      <c r="GQ238" s="154"/>
      <c r="GR238" s="154"/>
      <c r="GS238" s="154"/>
      <c r="GT238" s="154"/>
      <c r="GU238" s="154"/>
      <c r="GV238" s="154"/>
      <c r="GW238" s="154"/>
      <c r="GX238" s="154"/>
    </row>
    <row r="239" spans="7:206">
      <c r="G239" s="154"/>
      <c r="H239" s="154"/>
      <c r="I239" s="154"/>
      <c r="J239" s="154"/>
      <c r="K239" s="154"/>
      <c r="L239" s="154"/>
      <c r="M239" s="154"/>
      <c r="N239" s="154"/>
      <c r="O239" s="154"/>
      <c r="P239" s="154"/>
      <c r="Q239" s="154"/>
      <c r="R239" s="154"/>
      <c r="S239" s="154"/>
      <c r="T239" s="154"/>
      <c r="U239" s="154"/>
      <c r="V239" s="154"/>
      <c r="W239" s="154"/>
      <c r="X239" s="154"/>
      <c r="Y239" s="154"/>
      <c r="Z239" s="357"/>
      <c r="AA239" s="357"/>
      <c r="AB239" s="357"/>
      <c r="AC239" s="357"/>
      <c r="AD239" s="357"/>
      <c r="AE239" s="357"/>
      <c r="AF239" s="357"/>
      <c r="AG239" s="357"/>
      <c r="AH239" s="357"/>
      <c r="AI239" s="357"/>
      <c r="AJ239" s="357"/>
      <c r="AK239" s="357"/>
      <c r="AL239" s="357"/>
      <c r="AM239" s="357"/>
      <c r="AN239" s="357"/>
      <c r="AO239" s="357"/>
      <c r="AP239" s="357"/>
      <c r="AQ239" s="357"/>
      <c r="AR239" s="357"/>
      <c r="AS239" s="357"/>
      <c r="AT239" s="357"/>
      <c r="AU239" s="357"/>
      <c r="AV239" s="357"/>
      <c r="AW239" s="357"/>
      <c r="AX239" s="357"/>
      <c r="AY239" s="357"/>
      <c r="AZ239" s="357"/>
      <c r="BA239" s="357"/>
      <c r="BB239" s="357"/>
      <c r="BC239" s="357"/>
      <c r="BD239" s="357"/>
      <c r="BE239" s="357"/>
      <c r="BF239" s="357"/>
      <c r="BG239" s="357"/>
      <c r="BH239" s="357"/>
      <c r="BI239" s="357"/>
      <c r="BJ239" s="357"/>
      <c r="BK239" s="357"/>
      <c r="BL239" s="357"/>
      <c r="BM239" s="357"/>
      <c r="BN239" s="357"/>
      <c r="BO239" s="357"/>
      <c r="BP239" s="357"/>
      <c r="BQ239" s="357"/>
      <c r="BR239" s="357"/>
      <c r="BS239" s="357"/>
      <c r="BT239" s="357"/>
      <c r="BU239" s="357"/>
      <c r="BV239" s="357"/>
      <c r="BW239" s="357"/>
      <c r="BX239" s="357"/>
      <c r="BY239" s="357"/>
      <c r="BZ239" s="357"/>
      <c r="CA239" s="357"/>
      <c r="CB239" s="357"/>
      <c r="CC239" s="357"/>
      <c r="CD239" s="357"/>
      <c r="CE239" s="357"/>
      <c r="CF239" s="357"/>
      <c r="CG239" s="357"/>
      <c r="CH239" s="357"/>
      <c r="CI239" s="357"/>
      <c r="CJ239" s="357"/>
      <c r="CK239" s="357"/>
      <c r="CL239" s="357"/>
      <c r="CM239" s="357"/>
      <c r="CN239" s="357"/>
      <c r="CO239" s="357"/>
      <c r="CP239" s="357"/>
      <c r="CQ239" s="357"/>
      <c r="CR239" s="357"/>
      <c r="CS239" s="357"/>
      <c r="CT239" s="357"/>
      <c r="CU239" s="357"/>
      <c r="CV239" s="357"/>
      <c r="CW239" s="357"/>
      <c r="CX239" s="357"/>
      <c r="CY239" s="357"/>
      <c r="CZ239" s="357"/>
      <c r="DA239" s="357"/>
      <c r="DB239" s="357"/>
      <c r="DC239" s="357"/>
      <c r="DD239" s="357"/>
      <c r="DE239" s="357"/>
      <c r="DF239" s="357"/>
      <c r="DG239" s="357"/>
      <c r="DH239" s="357"/>
      <c r="DI239" s="357"/>
      <c r="DJ239" s="357"/>
      <c r="DK239" s="357"/>
      <c r="DL239" s="357"/>
      <c r="DM239" s="357"/>
      <c r="DN239" s="357"/>
      <c r="DO239" s="357"/>
      <c r="DP239" s="357"/>
      <c r="DQ239" s="357"/>
      <c r="DR239" s="357"/>
      <c r="DS239" s="357"/>
      <c r="DT239" s="357"/>
      <c r="DU239" s="357"/>
      <c r="DV239" s="357"/>
      <c r="DW239" s="357"/>
      <c r="DX239" s="357"/>
      <c r="DY239" s="357"/>
      <c r="DZ239" s="357"/>
      <c r="EA239" s="357"/>
      <c r="EB239" s="357"/>
      <c r="EC239" s="357"/>
      <c r="ED239" s="357"/>
      <c r="EE239" s="357"/>
      <c r="EF239" s="357"/>
      <c r="EG239" s="357"/>
      <c r="EH239" s="357"/>
      <c r="EI239" s="357"/>
      <c r="EJ239" s="357"/>
      <c r="EK239" s="357"/>
      <c r="EL239" s="357"/>
      <c r="EM239" s="357"/>
      <c r="EN239" s="357"/>
      <c r="EO239" s="357"/>
      <c r="EP239" s="357"/>
      <c r="EQ239" s="357"/>
      <c r="ER239" s="357"/>
      <c r="ES239" s="357"/>
      <c r="ET239" s="357"/>
      <c r="EU239" s="357"/>
      <c r="EV239" s="357"/>
      <c r="EW239" s="357"/>
      <c r="EX239" s="357"/>
      <c r="EY239" s="357"/>
      <c r="EZ239" s="357"/>
      <c r="FA239" s="357"/>
      <c r="FB239" s="357"/>
      <c r="FC239" s="357"/>
      <c r="FD239" s="357"/>
      <c r="FE239" s="357"/>
      <c r="FF239" s="357"/>
      <c r="FG239" s="357"/>
      <c r="FH239" s="357"/>
      <c r="FI239" s="357"/>
      <c r="FJ239" s="357"/>
      <c r="FK239" s="357"/>
      <c r="FL239" s="357"/>
      <c r="FM239" s="357"/>
      <c r="FN239" s="357"/>
      <c r="FO239" s="357"/>
      <c r="FP239" s="357"/>
      <c r="FQ239" s="357"/>
      <c r="FR239" s="357"/>
      <c r="FS239" s="357"/>
      <c r="FT239" s="357"/>
      <c r="FU239" s="357"/>
      <c r="FV239" s="357"/>
      <c r="FW239" s="357"/>
      <c r="FX239" s="357"/>
      <c r="FY239" s="357"/>
      <c r="FZ239" s="357"/>
      <c r="GA239" s="357"/>
      <c r="GB239" s="357"/>
      <c r="GC239" s="357"/>
      <c r="GD239" s="357"/>
      <c r="GE239" s="357"/>
      <c r="GF239" s="357"/>
      <c r="GG239" s="357"/>
      <c r="GH239" s="357"/>
      <c r="GI239" s="357"/>
      <c r="GJ239" s="357"/>
      <c r="GK239" s="154"/>
      <c r="GL239" s="154"/>
      <c r="GM239" s="154"/>
      <c r="GN239" s="154"/>
      <c r="GO239" s="154"/>
      <c r="GP239" s="154"/>
      <c r="GQ239" s="154"/>
      <c r="GR239" s="154"/>
      <c r="GS239" s="154"/>
      <c r="GT239" s="154"/>
      <c r="GU239" s="154"/>
      <c r="GV239" s="154"/>
      <c r="GW239" s="154"/>
      <c r="GX239" s="154"/>
    </row>
    <row r="240" spans="7:206">
      <c r="G240" s="154"/>
      <c r="H240" s="154"/>
      <c r="I240" s="154"/>
      <c r="J240" s="154"/>
      <c r="K240" s="154"/>
      <c r="L240" s="154"/>
      <c r="M240" s="154"/>
      <c r="N240" s="154"/>
      <c r="O240" s="154"/>
      <c r="P240" s="154"/>
      <c r="Q240" s="154"/>
      <c r="R240" s="154"/>
      <c r="S240" s="154"/>
      <c r="T240" s="154"/>
      <c r="U240" s="154"/>
      <c r="V240" s="154"/>
      <c r="W240" s="154"/>
      <c r="X240" s="154"/>
      <c r="Y240" s="154"/>
      <c r="Z240" s="357"/>
      <c r="AA240" s="357"/>
      <c r="AB240" s="357"/>
      <c r="AC240" s="357"/>
      <c r="AD240" s="357"/>
      <c r="AE240" s="357"/>
      <c r="AF240" s="357"/>
      <c r="AG240" s="357"/>
      <c r="AH240" s="357"/>
      <c r="AI240" s="357"/>
      <c r="AJ240" s="357"/>
      <c r="AK240" s="357"/>
      <c r="AL240" s="357"/>
      <c r="AM240" s="357"/>
      <c r="AN240" s="357"/>
      <c r="AO240" s="357"/>
      <c r="AP240" s="357"/>
      <c r="AQ240" s="357"/>
      <c r="AR240" s="357"/>
      <c r="AS240" s="357"/>
      <c r="AT240" s="357"/>
      <c r="AU240" s="357"/>
      <c r="AV240" s="357"/>
      <c r="AW240" s="357"/>
      <c r="AX240" s="357"/>
      <c r="AY240" s="357"/>
      <c r="AZ240" s="357"/>
      <c r="BA240" s="357"/>
      <c r="BB240" s="357"/>
      <c r="BC240" s="357"/>
      <c r="BD240" s="357"/>
      <c r="BE240" s="357"/>
      <c r="BF240" s="357"/>
      <c r="BG240" s="357"/>
      <c r="BH240" s="357"/>
      <c r="BI240" s="357"/>
      <c r="BJ240" s="357"/>
      <c r="BK240" s="357"/>
      <c r="BL240" s="357"/>
      <c r="BM240" s="357"/>
      <c r="BN240" s="357"/>
      <c r="BO240" s="357"/>
      <c r="BP240" s="357"/>
      <c r="BQ240" s="357"/>
      <c r="BR240" s="357"/>
      <c r="BS240" s="357"/>
      <c r="BT240" s="357"/>
      <c r="BU240" s="357"/>
      <c r="BV240" s="357"/>
      <c r="BW240" s="357"/>
      <c r="BX240" s="357"/>
      <c r="BY240" s="357"/>
      <c r="BZ240" s="357"/>
      <c r="CA240" s="357"/>
      <c r="CB240" s="357"/>
      <c r="CC240" s="357"/>
      <c r="CD240" s="357"/>
      <c r="CE240" s="357"/>
      <c r="CF240" s="357"/>
      <c r="CG240" s="357"/>
      <c r="CH240" s="357"/>
      <c r="CI240" s="357"/>
      <c r="CJ240" s="357"/>
      <c r="CK240" s="357"/>
      <c r="CL240" s="357"/>
      <c r="CM240" s="357"/>
      <c r="CN240" s="357"/>
      <c r="CO240" s="357"/>
      <c r="CP240" s="357"/>
      <c r="CQ240" s="357"/>
      <c r="CR240" s="357"/>
      <c r="CS240" s="357"/>
      <c r="CT240" s="357"/>
      <c r="CU240" s="357"/>
      <c r="CV240" s="357"/>
      <c r="CW240" s="357"/>
      <c r="CX240" s="357"/>
      <c r="CY240" s="357"/>
      <c r="CZ240" s="357"/>
      <c r="DA240" s="357"/>
      <c r="DB240" s="357"/>
      <c r="DC240" s="357"/>
      <c r="DD240" s="357"/>
      <c r="DE240" s="357"/>
      <c r="DF240" s="357"/>
      <c r="DG240" s="357"/>
      <c r="DH240" s="357"/>
      <c r="DI240" s="357"/>
      <c r="DJ240" s="357"/>
      <c r="DK240" s="357"/>
      <c r="DL240" s="357"/>
      <c r="DM240" s="357"/>
      <c r="DN240" s="357"/>
      <c r="DO240" s="357"/>
      <c r="DP240" s="357"/>
      <c r="DQ240" s="357"/>
      <c r="DR240" s="357"/>
      <c r="DS240" s="357"/>
      <c r="DT240" s="357"/>
      <c r="DU240" s="357"/>
      <c r="DV240" s="357"/>
      <c r="DW240" s="357"/>
      <c r="DX240" s="357"/>
      <c r="DY240" s="357"/>
      <c r="DZ240" s="357"/>
      <c r="EA240" s="357"/>
      <c r="EB240" s="357"/>
      <c r="EC240" s="357"/>
      <c r="ED240" s="357"/>
      <c r="EE240" s="357"/>
      <c r="EF240" s="357"/>
      <c r="EG240" s="357"/>
      <c r="EH240" s="357"/>
      <c r="EI240" s="357"/>
      <c r="EJ240" s="357"/>
      <c r="EK240" s="357"/>
      <c r="EL240" s="357"/>
      <c r="EM240" s="357"/>
      <c r="EN240" s="357"/>
      <c r="EO240" s="357"/>
      <c r="EP240" s="357"/>
      <c r="EQ240" s="357"/>
      <c r="ER240" s="357"/>
      <c r="ES240" s="357"/>
      <c r="ET240" s="357"/>
      <c r="EU240" s="357"/>
      <c r="EV240" s="357"/>
      <c r="EW240" s="357"/>
      <c r="EX240" s="357"/>
      <c r="EY240" s="357"/>
      <c r="EZ240" s="357"/>
      <c r="FA240" s="357"/>
      <c r="FB240" s="357"/>
      <c r="FC240" s="357"/>
      <c r="FD240" s="357"/>
      <c r="FE240" s="357"/>
      <c r="FF240" s="357"/>
      <c r="FG240" s="357"/>
      <c r="FH240" s="357"/>
      <c r="FI240" s="357"/>
      <c r="FJ240" s="357"/>
      <c r="FK240" s="357"/>
      <c r="FL240" s="357"/>
      <c r="FM240" s="357"/>
      <c r="FN240" s="357"/>
      <c r="FO240" s="357"/>
      <c r="FP240" s="357"/>
      <c r="FQ240" s="357"/>
      <c r="FR240" s="357"/>
      <c r="FS240" s="357"/>
      <c r="FT240" s="357"/>
      <c r="FU240" s="357"/>
      <c r="FV240" s="357"/>
      <c r="FW240" s="357"/>
      <c r="FX240" s="357"/>
      <c r="FY240" s="357"/>
      <c r="FZ240" s="357"/>
      <c r="GA240" s="357"/>
      <c r="GB240" s="357"/>
      <c r="GC240" s="357"/>
      <c r="GD240" s="357"/>
      <c r="GE240" s="357"/>
      <c r="GF240" s="357"/>
      <c r="GG240" s="357"/>
      <c r="GH240" s="357"/>
      <c r="GI240" s="357"/>
      <c r="GJ240" s="357"/>
      <c r="GK240" s="154"/>
      <c r="GL240" s="154"/>
      <c r="GM240" s="154"/>
      <c r="GN240" s="154"/>
      <c r="GO240" s="154"/>
      <c r="GP240" s="154"/>
      <c r="GQ240" s="154"/>
      <c r="GR240" s="154"/>
      <c r="GS240" s="154"/>
      <c r="GT240" s="154"/>
      <c r="GU240" s="154"/>
      <c r="GV240" s="154"/>
      <c r="GW240" s="154"/>
      <c r="GX240" s="154"/>
    </row>
    <row r="241" spans="7:206">
      <c r="G241" s="154"/>
      <c r="H241" s="154"/>
      <c r="I241" s="154"/>
      <c r="J241" s="154"/>
      <c r="K241" s="154"/>
      <c r="L241" s="154"/>
      <c r="M241" s="154"/>
      <c r="N241" s="154"/>
      <c r="O241" s="154"/>
      <c r="P241" s="154"/>
      <c r="Q241" s="154"/>
      <c r="R241" s="154"/>
      <c r="S241" s="154"/>
      <c r="T241" s="154"/>
      <c r="U241" s="154"/>
      <c r="V241" s="154"/>
      <c r="W241" s="154"/>
      <c r="X241" s="154"/>
      <c r="Y241" s="154"/>
      <c r="Z241" s="357"/>
      <c r="AA241" s="357"/>
      <c r="AB241" s="357"/>
      <c r="AC241" s="357"/>
      <c r="AD241" s="357"/>
      <c r="AE241" s="357"/>
      <c r="AF241" s="357"/>
      <c r="AG241" s="357"/>
      <c r="AH241" s="357"/>
      <c r="AI241" s="357"/>
      <c r="AJ241" s="357"/>
      <c r="AK241" s="357"/>
      <c r="AL241" s="357"/>
      <c r="AM241" s="357"/>
      <c r="AN241" s="357"/>
      <c r="AO241" s="357"/>
      <c r="AP241" s="357"/>
      <c r="AQ241" s="357"/>
      <c r="AR241" s="357"/>
      <c r="AS241" s="357"/>
      <c r="AT241" s="357"/>
      <c r="AU241" s="357"/>
      <c r="AV241" s="357"/>
      <c r="AW241" s="357"/>
      <c r="AX241" s="357"/>
      <c r="AY241" s="357"/>
      <c r="AZ241" s="357"/>
      <c r="BA241" s="357"/>
      <c r="BB241" s="357"/>
      <c r="BC241" s="357"/>
      <c r="BD241" s="357"/>
      <c r="BE241" s="357"/>
      <c r="BF241" s="357"/>
      <c r="BG241" s="357"/>
      <c r="BH241" s="357"/>
      <c r="BI241" s="357"/>
      <c r="BJ241" s="357"/>
      <c r="BK241" s="357"/>
      <c r="BL241" s="357"/>
      <c r="BM241" s="357"/>
      <c r="BN241" s="357"/>
      <c r="BO241" s="357"/>
      <c r="BP241" s="357"/>
      <c r="BQ241" s="357"/>
      <c r="BR241" s="357"/>
      <c r="BS241" s="357"/>
      <c r="BT241" s="357"/>
      <c r="BU241" s="357"/>
      <c r="BV241" s="357"/>
      <c r="BW241" s="357"/>
      <c r="BX241" s="357"/>
      <c r="BY241" s="357"/>
      <c r="BZ241" s="357"/>
      <c r="CA241" s="357"/>
      <c r="CB241" s="357"/>
      <c r="CC241" s="357"/>
      <c r="CD241" s="357"/>
      <c r="CE241" s="357"/>
      <c r="CF241" s="357"/>
      <c r="CG241" s="357"/>
      <c r="CH241" s="357"/>
      <c r="CI241" s="357"/>
      <c r="CJ241" s="357"/>
      <c r="CK241" s="357"/>
      <c r="CL241" s="357"/>
      <c r="CM241" s="357"/>
      <c r="CN241" s="357"/>
      <c r="CO241" s="357"/>
      <c r="CP241" s="357"/>
      <c r="CQ241" s="357"/>
      <c r="CR241" s="357"/>
      <c r="CS241" s="357"/>
      <c r="CT241" s="357"/>
      <c r="CU241" s="357"/>
      <c r="CV241" s="357"/>
      <c r="CW241" s="357"/>
      <c r="CX241" s="357"/>
      <c r="CY241" s="357"/>
      <c r="CZ241" s="357"/>
      <c r="DA241" s="357"/>
      <c r="DB241" s="357"/>
      <c r="DC241" s="357"/>
      <c r="DD241" s="357"/>
      <c r="DE241" s="357"/>
      <c r="DF241" s="357"/>
      <c r="DG241" s="357"/>
      <c r="DH241" s="357"/>
      <c r="DI241" s="357"/>
      <c r="DJ241" s="357"/>
      <c r="DK241" s="357"/>
      <c r="DL241" s="357"/>
      <c r="DM241" s="357"/>
      <c r="DN241" s="357"/>
      <c r="DO241" s="357"/>
      <c r="DP241" s="357"/>
      <c r="DQ241" s="357"/>
      <c r="DR241" s="357"/>
      <c r="DS241" s="357"/>
      <c r="DT241" s="357"/>
      <c r="DU241" s="357"/>
      <c r="DV241" s="357"/>
      <c r="DW241" s="357"/>
      <c r="DX241" s="357"/>
      <c r="DY241" s="357"/>
      <c r="DZ241" s="357"/>
      <c r="EA241" s="357"/>
      <c r="EB241" s="357"/>
      <c r="EC241" s="357"/>
      <c r="ED241" s="357"/>
      <c r="EE241" s="357"/>
      <c r="EF241" s="357"/>
      <c r="EG241" s="357"/>
      <c r="EH241" s="357"/>
      <c r="EI241" s="357"/>
      <c r="EJ241" s="357"/>
      <c r="EK241" s="357"/>
      <c r="EL241" s="357"/>
      <c r="EM241" s="357"/>
      <c r="EN241" s="357"/>
      <c r="EO241" s="357"/>
      <c r="EP241" s="357"/>
      <c r="EQ241" s="357"/>
      <c r="ER241" s="357"/>
      <c r="ES241" s="357"/>
      <c r="ET241" s="357"/>
      <c r="EU241" s="357"/>
      <c r="EV241" s="357"/>
      <c r="EW241" s="357"/>
      <c r="EX241" s="357"/>
      <c r="EY241" s="357"/>
      <c r="EZ241" s="357"/>
      <c r="FA241" s="357"/>
      <c r="FB241" s="357"/>
      <c r="FC241" s="357"/>
      <c r="FD241" s="357"/>
      <c r="FE241" s="357"/>
      <c r="FF241" s="357"/>
      <c r="FG241" s="357"/>
      <c r="FH241" s="357"/>
      <c r="FI241" s="357"/>
      <c r="FJ241" s="357"/>
      <c r="FK241" s="357"/>
      <c r="FL241" s="357"/>
      <c r="FM241" s="357"/>
      <c r="FN241" s="357"/>
      <c r="FO241" s="357"/>
      <c r="FP241" s="357"/>
      <c r="FQ241" s="357"/>
      <c r="FR241" s="357"/>
      <c r="FS241" s="357"/>
      <c r="FT241" s="357"/>
      <c r="FU241" s="357"/>
      <c r="FV241" s="357"/>
      <c r="FW241" s="357"/>
      <c r="FX241" s="357"/>
      <c r="FY241" s="357"/>
      <c r="FZ241" s="357"/>
      <c r="GA241" s="357"/>
      <c r="GB241" s="357"/>
      <c r="GC241" s="357"/>
      <c r="GD241" s="357"/>
      <c r="GE241" s="357"/>
      <c r="GF241" s="357"/>
      <c r="GG241" s="357"/>
      <c r="GH241" s="357"/>
      <c r="GI241" s="357"/>
      <c r="GJ241" s="357"/>
      <c r="GK241" s="154"/>
      <c r="GL241" s="154"/>
      <c r="GM241" s="154"/>
      <c r="GN241" s="154"/>
      <c r="GO241" s="154"/>
      <c r="GP241" s="154"/>
      <c r="GQ241" s="154"/>
      <c r="GR241" s="154"/>
      <c r="GS241" s="154"/>
      <c r="GT241" s="154"/>
      <c r="GU241" s="154"/>
      <c r="GV241" s="154"/>
      <c r="GW241" s="154"/>
      <c r="GX241" s="154"/>
    </row>
    <row r="242" spans="7:206">
      <c r="G242" s="154"/>
      <c r="H242" s="154"/>
      <c r="I242" s="154"/>
      <c r="J242" s="154"/>
      <c r="K242" s="154"/>
      <c r="L242" s="154"/>
      <c r="M242" s="154"/>
      <c r="N242" s="154"/>
      <c r="O242" s="154"/>
      <c r="P242" s="154"/>
      <c r="Q242" s="154"/>
      <c r="R242" s="154"/>
      <c r="S242" s="154"/>
      <c r="T242" s="154"/>
      <c r="U242" s="154"/>
      <c r="V242" s="154"/>
      <c r="W242" s="154"/>
      <c r="X242" s="154"/>
      <c r="Y242" s="154"/>
      <c r="Z242" s="357"/>
      <c r="AA242" s="357"/>
      <c r="AB242" s="357"/>
      <c r="AC242" s="357"/>
      <c r="AD242" s="357"/>
      <c r="AE242" s="357"/>
      <c r="AF242" s="357"/>
      <c r="AG242" s="357"/>
      <c r="AH242" s="357"/>
      <c r="AI242" s="357"/>
      <c r="AJ242" s="357"/>
      <c r="AK242" s="357"/>
      <c r="AL242" s="357"/>
      <c r="AM242" s="357"/>
      <c r="AN242" s="357"/>
      <c r="AO242" s="357"/>
      <c r="AP242" s="357"/>
      <c r="AQ242" s="357"/>
      <c r="AR242" s="357"/>
      <c r="AS242" s="357"/>
      <c r="AT242" s="357"/>
      <c r="AU242" s="357"/>
      <c r="AV242" s="357"/>
      <c r="AW242" s="357"/>
      <c r="AX242" s="357"/>
      <c r="AY242" s="357"/>
      <c r="AZ242" s="357"/>
      <c r="BA242" s="357"/>
      <c r="BB242" s="357"/>
      <c r="BC242" s="357"/>
      <c r="BD242" s="357"/>
      <c r="BE242" s="357"/>
      <c r="BF242" s="357"/>
      <c r="BG242" s="357"/>
      <c r="BH242" s="357"/>
      <c r="BI242" s="357"/>
      <c r="BJ242" s="357"/>
      <c r="BK242" s="357"/>
      <c r="BL242" s="357"/>
      <c r="BM242" s="357"/>
      <c r="BN242" s="357"/>
      <c r="BO242" s="357"/>
      <c r="BP242" s="357"/>
      <c r="BQ242" s="357"/>
      <c r="BR242" s="357"/>
      <c r="BS242" s="357"/>
      <c r="BT242" s="357"/>
      <c r="BU242" s="357"/>
      <c r="BV242" s="357"/>
      <c r="BW242" s="357"/>
      <c r="BX242" s="357"/>
      <c r="BY242" s="357"/>
      <c r="BZ242" s="357"/>
      <c r="CA242" s="357"/>
      <c r="CB242" s="357"/>
      <c r="CC242" s="357"/>
      <c r="CD242" s="357"/>
      <c r="CE242" s="357"/>
      <c r="CF242" s="357"/>
      <c r="CG242" s="357"/>
      <c r="CH242" s="357"/>
      <c r="CI242" s="357"/>
      <c r="CJ242" s="357"/>
      <c r="CK242" s="357"/>
      <c r="CL242" s="357"/>
      <c r="CM242" s="357"/>
      <c r="CN242" s="357"/>
      <c r="CO242" s="357"/>
      <c r="CP242" s="357"/>
      <c r="CQ242" s="357"/>
      <c r="CR242" s="357"/>
      <c r="CS242" s="357"/>
      <c r="CT242" s="357"/>
      <c r="CU242" s="357"/>
      <c r="CV242" s="357"/>
      <c r="CW242" s="357"/>
      <c r="CX242" s="357"/>
      <c r="CY242" s="357"/>
      <c r="CZ242" s="357"/>
      <c r="DA242" s="357"/>
      <c r="DB242" s="357"/>
      <c r="DC242" s="357"/>
      <c r="DD242" s="357"/>
      <c r="DE242" s="357"/>
      <c r="DF242" s="357"/>
      <c r="DG242" s="357"/>
      <c r="DH242" s="357"/>
      <c r="DI242" s="357"/>
      <c r="DJ242" s="357"/>
      <c r="DK242" s="357"/>
      <c r="DL242" s="357"/>
      <c r="DM242" s="357"/>
      <c r="DN242" s="357"/>
      <c r="DO242" s="357"/>
      <c r="DP242" s="357"/>
      <c r="DQ242" s="357"/>
      <c r="DR242" s="357"/>
      <c r="DS242" s="357"/>
      <c r="DT242" s="357"/>
      <c r="DU242" s="357"/>
      <c r="DV242" s="357"/>
      <c r="DW242" s="357"/>
      <c r="DX242" s="357"/>
      <c r="DY242" s="357"/>
      <c r="DZ242" s="357"/>
      <c r="EA242" s="357"/>
      <c r="EB242" s="357"/>
      <c r="EC242" s="357"/>
      <c r="ED242" s="357"/>
      <c r="EE242" s="357"/>
      <c r="EF242" s="357"/>
      <c r="EG242" s="357"/>
      <c r="EH242" s="357"/>
      <c r="EI242" s="357"/>
      <c r="EJ242" s="357"/>
      <c r="EK242" s="357"/>
      <c r="EL242" s="357"/>
      <c r="EM242" s="357"/>
      <c r="EN242" s="357"/>
      <c r="EO242" s="357"/>
      <c r="EP242" s="357"/>
      <c r="EQ242" s="357"/>
      <c r="ER242" s="357"/>
      <c r="ES242" s="357"/>
      <c r="ET242" s="357"/>
      <c r="EU242" s="357"/>
      <c r="EV242" s="357"/>
      <c r="EW242" s="357"/>
      <c r="EX242" s="357"/>
      <c r="EY242" s="357"/>
      <c r="EZ242" s="357"/>
      <c r="FA242" s="357"/>
      <c r="FB242" s="357"/>
      <c r="FC242" s="357"/>
      <c r="FD242" s="357"/>
      <c r="FE242" s="357"/>
      <c r="FF242" s="357"/>
      <c r="FG242" s="357"/>
      <c r="FH242" s="357"/>
      <c r="FI242" s="357"/>
      <c r="FJ242" s="357"/>
      <c r="FK242" s="357"/>
      <c r="FL242" s="357"/>
      <c r="FM242" s="357"/>
      <c r="FN242" s="357"/>
      <c r="FO242" s="357"/>
      <c r="FP242" s="357"/>
      <c r="FQ242" s="357"/>
      <c r="FR242" s="357"/>
      <c r="FS242" s="357"/>
      <c r="FT242" s="357"/>
      <c r="FU242" s="357"/>
      <c r="FV242" s="357"/>
      <c r="FW242" s="357"/>
      <c r="FX242" s="357"/>
      <c r="FY242" s="357"/>
      <c r="FZ242" s="357"/>
      <c r="GA242" s="357"/>
      <c r="GB242" s="357"/>
      <c r="GC242" s="357"/>
      <c r="GD242" s="357"/>
      <c r="GE242" s="357"/>
      <c r="GF242" s="357"/>
      <c r="GG242" s="357"/>
      <c r="GH242" s="357"/>
      <c r="GI242" s="357"/>
      <c r="GJ242" s="357"/>
      <c r="GK242" s="154"/>
      <c r="GL242" s="154"/>
      <c r="GM242" s="154"/>
      <c r="GN242" s="154"/>
      <c r="GO242" s="154"/>
      <c r="GP242" s="154"/>
      <c r="GQ242" s="154"/>
      <c r="GR242" s="154"/>
      <c r="GS242" s="154"/>
      <c r="GT242" s="154"/>
      <c r="GU242" s="154"/>
      <c r="GV242" s="154"/>
      <c r="GW242" s="154"/>
      <c r="GX242" s="154"/>
    </row>
    <row r="243" spans="7:206">
      <c r="G243" s="154"/>
      <c r="H243" s="154"/>
      <c r="I243" s="154"/>
      <c r="J243" s="154"/>
      <c r="K243" s="154"/>
      <c r="L243" s="154"/>
      <c r="M243" s="154"/>
      <c r="N243" s="154"/>
      <c r="O243" s="154"/>
      <c r="P243" s="154"/>
      <c r="Q243" s="154"/>
      <c r="R243" s="154"/>
      <c r="S243" s="154"/>
      <c r="T243" s="154"/>
      <c r="U243" s="154"/>
      <c r="V243" s="154"/>
      <c r="W243" s="154"/>
      <c r="X243" s="154"/>
      <c r="Y243" s="154"/>
      <c r="Z243" s="357"/>
      <c r="AA243" s="357"/>
      <c r="AB243" s="357"/>
      <c r="AC243" s="357"/>
      <c r="AD243" s="357"/>
      <c r="AE243" s="357"/>
      <c r="AF243" s="357"/>
      <c r="AG243" s="357"/>
      <c r="AH243" s="357"/>
      <c r="AI243" s="357"/>
      <c r="AJ243" s="357"/>
      <c r="AK243" s="357"/>
      <c r="AL243" s="357"/>
      <c r="AM243" s="357"/>
      <c r="AN243" s="357"/>
      <c r="AO243" s="357"/>
      <c r="AP243" s="357"/>
      <c r="AQ243" s="357"/>
      <c r="AR243" s="357"/>
      <c r="AS243" s="357"/>
      <c r="AT243" s="357"/>
      <c r="AU243" s="357"/>
      <c r="AV243" s="357"/>
      <c r="AW243" s="357"/>
      <c r="AX243" s="357"/>
      <c r="AY243" s="357"/>
      <c r="AZ243" s="357"/>
      <c r="BA243" s="357"/>
      <c r="BB243" s="357"/>
      <c r="BC243" s="357"/>
      <c r="BD243" s="357"/>
      <c r="BE243" s="357"/>
      <c r="BF243" s="357"/>
      <c r="BG243" s="357"/>
      <c r="BH243" s="357"/>
      <c r="BI243" s="357"/>
      <c r="BJ243" s="357"/>
      <c r="BK243" s="357"/>
      <c r="BL243" s="357"/>
      <c r="BM243" s="357"/>
      <c r="BN243" s="357"/>
      <c r="BO243" s="357"/>
      <c r="BP243" s="357"/>
      <c r="BQ243" s="357"/>
      <c r="BR243" s="357"/>
      <c r="BS243" s="357"/>
      <c r="BT243" s="357"/>
      <c r="BU243" s="357"/>
      <c r="BV243" s="357"/>
      <c r="BW243" s="357"/>
      <c r="BX243" s="357"/>
      <c r="BY243" s="357"/>
      <c r="BZ243" s="357"/>
      <c r="CA243" s="357"/>
      <c r="CB243" s="357"/>
      <c r="CC243" s="357"/>
      <c r="CD243" s="357"/>
      <c r="CE243" s="357"/>
      <c r="CF243" s="357"/>
      <c r="CG243" s="357"/>
      <c r="CH243" s="357"/>
      <c r="CI243" s="357"/>
      <c r="CJ243" s="357"/>
      <c r="CK243" s="357"/>
      <c r="CL243" s="357"/>
      <c r="CM243" s="357"/>
      <c r="CN243" s="357"/>
      <c r="CO243" s="357"/>
      <c r="CP243" s="357"/>
      <c r="CQ243" s="357"/>
      <c r="CR243" s="357"/>
      <c r="CS243" s="357"/>
      <c r="CT243" s="357"/>
      <c r="CU243" s="357"/>
      <c r="CV243" s="357"/>
      <c r="CW243" s="357"/>
      <c r="CX243" s="357"/>
      <c r="CY243" s="357"/>
      <c r="CZ243" s="357"/>
      <c r="DA243" s="357"/>
      <c r="DB243" s="357"/>
      <c r="DC243" s="357"/>
      <c r="DD243" s="357"/>
      <c r="DE243" s="357"/>
      <c r="DF243" s="357"/>
      <c r="DG243" s="357"/>
      <c r="DH243" s="357"/>
      <c r="DI243" s="357"/>
      <c r="DJ243" s="357"/>
      <c r="DK243" s="357"/>
      <c r="DL243" s="357"/>
      <c r="DM243" s="357"/>
      <c r="DN243" s="357"/>
      <c r="DO243" s="357"/>
      <c r="DP243" s="357"/>
      <c r="DQ243" s="357"/>
      <c r="DR243" s="357"/>
      <c r="DS243" s="357"/>
      <c r="DT243" s="357"/>
      <c r="DU243" s="357"/>
      <c r="DV243" s="357"/>
      <c r="DW243" s="357"/>
      <c r="DX243" s="357"/>
      <c r="DY243" s="357"/>
      <c r="DZ243" s="357"/>
      <c r="EA243" s="357"/>
      <c r="EB243" s="357"/>
      <c r="EC243" s="357"/>
      <c r="ED243" s="357"/>
      <c r="EE243" s="357"/>
      <c r="EF243" s="357"/>
      <c r="EG243" s="357"/>
      <c r="EH243" s="357"/>
      <c r="EI243" s="357"/>
      <c r="EJ243" s="357"/>
      <c r="EK243" s="357"/>
      <c r="EL243" s="357"/>
      <c r="EM243" s="357"/>
      <c r="EN243" s="357"/>
      <c r="EO243" s="357"/>
      <c r="EP243" s="357"/>
      <c r="EQ243" s="357"/>
      <c r="ER243" s="357"/>
      <c r="ES243" s="357"/>
      <c r="ET243" s="357"/>
      <c r="EU243" s="357"/>
      <c r="EV243" s="357"/>
      <c r="EW243" s="357"/>
      <c r="EX243" s="357"/>
      <c r="EY243" s="357"/>
      <c r="EZ243" s="357"/>
      <c r="FA243" s="357"/>
      <c r="FB243" s="357"/>
      <c r="FC243" s="357"/>
      <c r="FD243" s="357"/>
      <c r="FE243" s="357"/>
      <c r="FF243" s="357"/>
      <c r="FG243" s="357"/>
      <c r="FH243" s="357"/>
      <c r="FI243" s="357"/>
      <c r="FJ243" s="357"/>
      <c r="FK243" s="357"/>
      <c r="FL243" s="357"/>
      <c r="FM243" s="357"/>
      <c r="FN243" s="357"/>
      <c r="FO243" s="357"/>
      <c r="FP243" s="357"/>
      <c r="FQ243" s="357"/>
      <c r="FR243" s="357"/>
      <c r="FS243" s="357"/>
      <c r="FT243" s="357"/>
      <c r="FU243" s="357"/>
      <c r="FV243" s="357"/>
      <c r="FW243" s="357"/>
      <c r="FX243" s="357"/>
      <c r="FY243" s="357"/>
      <c r="FZ243" s="357"/>
      <c r="GA243" s="357"/>
      <c r="GB243" s="357"/>
      <c r="GC243" s="357"/>
      <c r="GD243" s="357"/>
      <c r="GE243" s="357"/>
      <c r="GF243" s="357"/>
      <c r="GG243" s="357"/>
      <c r="GH243" s="357"/>
      <c r="GI243" s="357"/>
      <c r="GJ243" s="357"/>
      <c r="GK243" s="154"/>
      <c r="GL243" s="154"/>
      <c r="GM243" s="154"/>
      <c r="GN243" s="154"/>
      <c r="GO243" s="154"/>
      <c r="GP243" s="154"/>
      <c r="GQ243" s="154"/>
      <c r="GR243" s="154"/>
      <c r="GS243" s="154"/>
      <c r="GT243" s="154"/>
      <c r="GU243" s="154"/>
      <c r="GV243" s="154"/>
      <c r="GW243" s="154"/>
      <c r="GX243" s="154"/>
    </row>
    <row r="244" spans="7:206">
      <c r="G244" s="154"/>
      <c r="H244" s="154"/>
      <c r="I244" s="154"/>
      <c r="J244" s="154"/>
      <c r="K244" s="154"/>
      <c r="L244" s="154"/>
      <c r="M244" s="154"/>
      <c r="N244" s="154"/>
      <c r="O244" s="154"/>
      <c r="P244" s="154"/>
      <c r="Q244" s="154"/>
      <c r="R244" s="154"/>
      <c r="S244" s="154"/>
      <c r="T244" s="154"/>
      <c r="U244" s="154"/>
      <c r="V244" s="154"/>
      <c r="W244" s="154"/>
      <c r="X244" s="154"/>
      <c r="Y244" s="154"/>
      <c r="Z244" s="357"/>
      <c r="AA244" s="357"/>
      <c r="AB244" s="357"/>
      <c r="AC244" s="357"/>
      <c r="AD244" s="357"/>
      <c r="AE244" s="357"/>
      <c r="AF244" s="357"/>
      <c r="AG244" s="357"/>
      <c r="AH244" s="357"/>
      <c r="AI244" s="357"/>
      <c r="AJ244" s="357"/>
      <c r="AK244" s="357"/>
      <c r="AL244" s="357"/>
      <c r="AM244" s="357"/>
      <c r="AN244" s="357"/>
      <c r="AO244" s="357"/>
      <c r="AP244" s="357"/>
      <c r="AQ244" s="357"/>
      <c r="AR244" s="357"/>
      <c r="AS244" s="357"/>
      <c r="AT244" s="357"/>
      <c r="AU244" s="357"/>
      <c r="AV244" s="357"/>
      <c r="AW244" s="357"/>
      <c r="AX244" s="357"/>
      <c r="AY244" s="357"/>
      <c r="AZ244" s="357"/>
      <c r="BA244" s="357"/>
      <c r="BB244" s="357"/>
      <c r="BC244" s="357"/>
      <c r="BD244" s="357"/>
      <c r="BE244" s="357"/>
      <c r="BF244" s="357"/>
      <c r="BG244" s="357"/>
      <c r="BH244" s="357"/>
      <c r="BI244" s="357"/>
      <c r="BJ244" s="357"/>
      <c r="BK244" s="357"/>
      <c r="BL244" s="357"/>
      <c r="BM244" s="357"/>
      <c r="BN244" s="357"/>
      <c r="BO244" s="357"/>
      <c r="BP244" s="357"/>
      <c r="BQ244" s="357"/>
      <c r="BR244" s="357"/>
      <c r="BS244" s="357"/>
      <c r="BT244" s="357"/>
      <c r="BU244" s="357"/>
      <c r="BV244" s="357"/>
      <c r="BW244" s="357"/>
      <c r="BX244" s="357"/>
      <c r="BY244" s="357"/>
      <c r="BZ244" s="357"/>
      <c r="CA244" s="357"/>
      <c r="CB244" s="357"/>
      <c r="CC244" s="357"/>
      <c r="CD244" s="357"/>
      <c r="CE244" s="357"/>
      <c r="CF244" s="357"/>
      <c r="CG244" s="357"/>
      <c r="CH244" s="357"/>
      <c r="CI244" s="357"/>
      <c r="CJ244" s="357"/>
      <c r="CK244" s="357"/>
      <c r="CL244" s="357"/>
      <c r="CM244" s="357"/>
      <c r="CN244" s="357"/>
      <c r="CO244" s="357"/>
      <c r="CP244" s="357"/>
      <c r="CQ244" s="357"/>
      <c r="CR244" s="357"/>
      <c r="CS244" s="357"/>
      <c r="CT244" s="357"/>
      <c r="CU244" s="357"/>
      <c r="CV244" s="357"/>
      <c r="CW244" s="357"/>
      <c r="CX244" s="357"/>
      <c r="CY244" s="357"/>
      <c r="CZ244" s="357"/>
      <c r="DA244" s="357"/>
      <c r="DB244" s="357"/>
      <c r="DC244" s="357"/>
      <c r="DD244" s="357"/>
      <c r="DE244" s="357"/>
      <c r="DF244" s="357"/>
      <c r="DG244" s="357"/>
      <c r="DH244" s="357"/>
      <c r="DI244" s="357"/>
      <c r="DJ244" s="357"/>
      <c r="DK244" s="357"/>
      <c r="DL244" s="357"/>
      <c r="DM244" s="357"/>
      <c r="DN244" s="357"/>
      <c r="DO244" s="357"/>
      <c r="DP244" s="357"/>
      <c r="DQ244" s="357"/>
      <c r="DR244" s="357"/>
      <c r="DS244" s="357"/>
      <c r="DT244" s="357"/>
      <c r="DU244" s="357"/>
      <c r="DV244" s="357"/>
      <c r="DW244" s="357"/>
      <c r="DX244" s="357"/>
      <c r="DY244" s="357"/>
      <c r="DZ244" s="357"/>
      <c r="EA244" s="357"/>
      <c r="EB244" s="357"/>
      <c r="EC244" s="357"/>
      <c r="ED244" s="357"/>
      <c r="EE244" s="357"/>
      <c r="EF244" s="357"/>
      <c r="EG244" s="357"/>
      <c r="EH244" s="357"/>
      <c r="EI244" s="357"/>
      <c r="EJ244" s="357"/>
      <c r="EK244" s="357"/>
      <c r="EL244" s="357"/>
      <c r="EM244" s="357"/>
      <c r="EN244" s="357"/>
      <c r="EO244" s="357"/>
      <c r="EP244" s="357"/>
      <c r="EQ244" s="357"/>
      <c r="ER244" s="357"/>
      <c r="ES244" s="357"/>
      <c r="ET244" s="357"/>
      <c r="EU244" s="357"/>
      <c r="EV244" s="357"/>
      <c r="EW244" s="357"/>
      <c r="EX244" s="357"/>
      <c r="EY244" s="357"/>
      <c r="EZ244" s="357"/>
      <c r="FA244" s="357"/>
      <c r="FB244" s="357"/>
      <c r="FC244" s="357"/>
      <c r="FD244" s="357"/>
      <c r="FE244" s="357"/>
      <c r="FF244" s="357"/>
      <c r="FG244" s="357"/>
      <c r="FH244" s="357"/>
      <c r="FI244" s="357"/>
      <c r="FJ244" s="357"/>
      <c r="FK244" s="357"/>
      <c r="FL244" s="357"/>
      <c r="FM244" s="357"/>
      <c r="FN244" s="357"/>
      <c r="FO244" s="357"/>
      <c r="FP244" s="357"/>
      <c r="FQ244" s="357"/>
      <c r="FR244" s="357"/>
      <c r="FS244" s="357"/>
      <c r="FT244" s="357"/>
      <c r="FU244" s="357"/>
      <c r="FV244" s="357"/>
      <c r="FW244" s="357"/>
      <c r="FX244" s="357"/>
      <c r="FY244" s="357"/>
      <c r="FZ244" s="357"/>
      <c r="GA244" s="357"/>
      <c r="GB244" s="357"/>
      <c r="GC244" s="357"/>
      <c r="GD244" s="357"/>
      <c r="GE244" s="357"/>
      <c r="GF244" s="357"/>
      <c r="GG244" s="357"/>
      <c r="GH244" s="357"/>
      <c r="GI244" s="357"/>
      <c r="GJ244" s="357"/>
      <c r="GK244" s="154"/>
      <c r="GL244" s="154"/>
      <c r="GM244" s="154"/>
      <c r="GN244" s="154"/>
      <c r="GO244" s="154"/>
      <c r="GP244" s="154"/>
      <c r="GQ244" s="154"/>
      <c r="GR244" s="154"/>
      <c r="GS244" s="154"/>
      <c r="GT244" s="154"/>
      <c r="GU244" s="154"/>
      <c r="GV244" s="154"/>
      <c r="GW244" s="154"/>
      <c r="GX244" s="154"/>
    </row>
    <row r="245" spans="7:206">
      <c r="G245" s="154"/>
      <c r="H245" s="154"/>
      <c r="I245" s="154"/>
      <c r="J245" s="154"/>
      <c r="K245" s="154"/>
      <c r="L245" s="154"/>
      <c r="M245" s="154"/>
      <c r="N245" s="154"/>
      <c r="O245" s="154"/>
      <c r="P245" s="154"/>
      <c r="Q245" s="154"/>
      <c r="R245" s="154"/>
      <c r="S245" s="154"/>
      <c r="T245" s="154"/>
      <c r="U245" s="154"/>
      <c r="V245" s="154"/>
      <c r="W245" s="154"/>
      <c r="X245" s="154"/>
      <c r="Y245" s="154"/>
      <c r="Z245" s="357"/>
      <c r="AA245" s="357"/>
      <c r="AB245" s="357"/>
      <c r="AC245" s="357"/>
      <c r="AD245" s="357"/>
      <c r="AE245" s="357"/>
      <c r="AF245" s="357"/>
      <c r="AG245" s="357"/>
      <c r="AH245" s="357"/>
      <c r="AI245" s="357"/>
      <c r="AJ245" s="357"/>
      <c r="AK245" s="357"/>
      <c r="AL245" s="357"/>
      <c r="AM245" s="357"/>
      <c r="AN245" s="357"/>
      <c r="AO245" s="357"/>
      <c r="AP245" s="357"/>
      <c r="AQ245" s="357"/>
      <c r="AR245" s="357"/>
      <c r="AS245" s="357"/>
      <c r="AT245" s="357"/>
      <c r="AU245" s="357"/>
      <c r="AV245" s="357"/>
      <c r="AW245" s="357"/>
      <c r="AX245" s="357"/>
      <c r="AY245" s="357"/>
      <c r="AZ245" s="357"/>
      <c r="BA245" s="357"/>
      <c r="BB245" s="357"/>
      <c r="BC245" s="357"/>
      <c r="BD245" s="357"/>
      <c r="BE245" s="357"/>
      <c r="BF245" s="357"/>
      <c r="BG245" s="357"/>
      <c r="BH245" s="357"/>
      <c r="BI245" s="357"/>
      <c r="BJ245" s="357"/>
      <c r="BK245" s="357"/>
      <c r="BL245" s="357"/>
      <c r="BM245" s="357"/>
      <c r="BN245" s="357"/>
      <c r="BO245" s="357"/>
      <c r="BP245" s="357"/>
      <c r="BQ245" s="357"/>
      <c r="BR245" s="357"/>
      <c r="BS245" s="357"/>
      <c r="BT245" s="357"/>
      <c r="BU245" s="357"/>
      <c r="BV245" s="357"/>
      <c r="BW245" s="357"/>
      <c r="BX245" s="357"/>
      <c r="BY245" s="357"/>
      <c r="BZ245" s="357"/>
      <c r="CA245" s="357"/>
      <c r="CB245" s="357"/>
      <c r="CC245" s="357"/>
      <c r="CD245" s="357"/>
      <c r="CE245" s="357"/>
      <c r="CF245" s="357"/>
      <c r="CG245" s="357"/>
      <c r="CH245" s="357"/>
      <c r="CI245" s="357"/>
      <c r="CJ245" s="357"/>
      <c r="CK245" s="357"/>
      <c r="CL245" s="357"/>
      <c r="CM245" s="357"/>
      <c r="CN245" s="357"/>
      <c r="CO245" s="357"/>
      <c r="CP245" s="357"/>
      <c r="CQ245" s="357"/>
      <c r="CR245" s="357"/>
      <c r="CS245" s="357"/>
      <c r="CT245" s="357"/>
      <c r="CU245" s="357"/>
      <c r="CV245" s="357"/>
      <c r="CW245" s="357"/>
      <c r="CX245" s="357"/>
      <c r="CY245" s="357"/>
      <c r="CZ245" s="357"/>
      <c r="DA245" s="357"/>
      <c r="DB245" s="357"/>
      <c r="DC245" s="357"/>
      <c r="DD245" s="357"/>
      <c r="DE245" s="357"/>
      <c r="DF245" s="357"/>
      <c r="DG245" s="357"/>
      <c r="DH245" s="357"/>
      <c r="DI245" s="357"/>
      <c r="DJ245" s="357"/>
      <c r="DK245" s="357"/>
      <c r="DL245" s="357"/>
      <c r="DM245" s="357"/>
      <c r="DN245" s="357"/>
      <c r="DO245" s="357"/>
      <c r="DP245" s="357"/>
      <c r="DQ245" s="357"/>
      <c r="DR245" s="357"/>
      <c r="DS245" s="357"/>
      <c r="DT245" s="357"/>
      <c r="DU245" s="357"/>
      <c r="DV245" s="357"/>
      <c r="DW245" s="357"/>
      <c r="DX245" s="357"/>
      <c r="DY245" s="357"/>
      <c r="DZ245" s="357"/>
      <c r="EA245" s="357"/>
      <c r="EB245" s="357"/>
      <c r="EC245" s="357"/>
      <c r="ED245" s="357"/>
      <c r="EE245" s="357"/>
      <c r="EF245" s="357"/>
      <c r="EG245" s="357"/>
      <c r="EH245" s="357"/>
      <c r="EI245" s="357"/>
      <c r="EJ245" s="357"/>
      <c r="EK245" s="357"/>
      <c r="EL245" s="357"/>
      <c r="EM245" s="357"/>
      <c r="EN245" s="357"/>
      <c r="EO245" s="357"/>
      <c r="EP245" s="357"/>
      <c r="EQ245" s="357"/>
      <c r="ER245" s="357"/>
      <c r="ES245" s="357"/>
      <c r="ET245" s="357"/>
      <c r="EU245" s="357"/>
      <c r="EV245" s="357"/>
      <c r="EW245" s="357"/>
      <c r="EX245" s="357"/>
      <c r="EY245" s="357"/>
      <c r="EZ245" s="357"/>
      <c r="FA245" s="357"/>
      <c r="FB245" s="357"/>
      <c r="FC245" s="357"/>
      <c r="FD245" s="357"/>
      <c r="FE245" s="357"/>
      <c r="FF245" s="357"/>
      <c r="FG245" s="357"/>
      <c r="FH245" s="357"/>
      <c r="FI245" s="357"/>
      <c r="FJ245" s="357"/>
      <c r="FK245" s="357"/>
      <c r="FL245" s="357"/>
      <c r="FM245" s="357"/>
      <c r="FN245" s="357"/>
      <c r="FO245" s="357"/>
      <c r="FP245" s="357"/>
      <c r="FQ245" s="357"/>
      <c r="FR245" s="357"/>
      <c r="FS245" s="357"/>
      <c r="FT245" s="357"/>
      <c r="FU245" s="357"/>
      <c r="FV245" s="357"/>
      <c r="FW245" s="357"/>
      <c r="FX245" s="357"/>
      <c r="FY245" s="357"/>
      <c r="FZ245" s="357"/>
      <c r="GA245" s="357"/>
      <c r="GB245" s="357"/>
      <c r="GC245" s="357"/>
      <c r="GD245" s="357"/>
      <c r="GE245" s="357"/>
      <c r="GF245" s="357"/>
      <c r="GG245" s="357"/>
      <c r="GH245" s="357"/>
      <c r="GI245" s="357"/>
      <c r="GJ245" s="357"/>
      <c r="GK245" s="154"/>
      <c r="GL245" s="154"/>
      <c r="GM245" s="154"/>
      <c r="GN245" s="154"/>
      <c r="GO245" s="154"/>
      <c r="GP245" s="154"/>
      <c r="GQ245" s="154"/>
      <c r="GR245" s="154"/>
      <c r="GS245" s="154"/>
      <c r="GT245" s="154"/>
      <c r="GU245" s="154"/>
      <c r="GV245" s="154"/>
      <c r="GW245" s="154"/>
      <c r="GX245" s="154"/>
    </row>
    <row r="246" spans="7:206">
      <c r="G246" s="154"/>
      <c r="H246" s="154"/>
      <c r="I246" s="154"/>
      <c r="J246" s="154"/>
      <c r="K246" s="154"/>
      <c r="L246" s="154"/>
      <c r="M246" s="154"/>
      <c r="N246" s="154"/>
      <c r="O246" s="154"/>
      <c r="P246" s="154"/>
      <c r="Q246" s="154"/>
      <c r="R246" s="154"/>
      <c r="S246" s="154"/>
      <c r="T246" s="154"/>
      <c r="U246" s="154"/>
      <c r="V246" s="154"/>
      <c r="W246" s="154"/>
      <c r="X246" s="154"/>
      <c r="Y246" s="154"/>
      <c r="Z246" s="357"/>
      <c r="AA246" s="357"/>
      <c r="AB246" s="357"/>
      <c r="AC246" s="357"/>
      <c r="AD246" s="357"/>
      <c r="AE246" s="357"/>
      <c r="AF246" s="357"/>
      <c r="AG246" s="357"/>
      <c r="AH246" s="357"/>
      <c r="AI246" s="357"/>
      <c r="AJ246" s="357"/>
      <c r="AK246" s="357"/>
      <c r="AL246" s="357"/>
      <c r="AM246" s="357"/>
      <c r="AN246" s="357"/>
      <c r="AO246" s="357"/>
      <c r="AP246" s="357"/>
      <c r="AQ246" s="357"/>
      <c r="AR246" s="357"/>
      <c r="AS246" s="357"/>
      <c r="AT246" s="357"/>
      <c r="AU246" s="357"/>
      <c r="AV246" s="357"/>
      <c r="AW246" s="357"/>
      <c r="AX246" s="357"/>
      <c r="AY246" s="357"/>
      <c r="AZ246" s="357"/>
      <c r="BA246" s="357"/>
      <c r="BB246" s="357"/>
      <c r="BC246" s="357"/>
      <c r="BD246" s="357"/>
      <c r="BE246" s="357"/>
      <c r="BF246" s="357"/>
      <c r="BG246" s="357"/>
      <c r="BH246" s="357"/>
      <c r="BI246" s="357"/>
      <c r="BJ246" s="357"/>
      <c r="BK246" s="357"/>
      <c r="BL246" s="357"/>
      <c r="BM246" s="357"/>
      <c r="BN246" s="357"/>
      <c r="BO246" s="357"/>
      <c r="BP246" s="357"/>
      <c r="BQ246" s="357"/>
      <c r="BR246" s="357"/>
      <c r="BS246" s="357"/>
      <c r="BT246" s="357"/>
      <c r="BU246" s="357"/>
      <c r="BV246" s="357"/>
      <c r="BW246" s="357"/>
      <c r="BX246" s="357"/>
      <c r="BY246" s="357"/>
      <c r="BZ246" s="357"/>
      <c r="CA246" s="357"/>
      <c r="CB246" s="357"/>
      <c r="CC246" s="357"/>
      <c r="CD246" s="357"/>
      <c r="CE246" s="357"/>
      <c r="CF246" s="357"/>
      <c r="CG246" s="357"/>
      <c r="CH246" s="357"/>
      <c r="CI246" s="357"/>
      <c r="CJ246" s="357"/>
      <c r="CK246" s="357"/>
      <c r="CL246" s="357"/>
      <c r="CM246" s="357"/>
      <c r="CN246" s="357"/>
      <c r="CO246" s="357"/>
      <c r="CP246" s="357"/>
      <c r="CQ246" s="357"/>
      <c r="CR246" s="357"/>
      <c r="CS246" s="357"/>
      <c r="CT246" s="357"/>
      <c r="CU246" s="357"/>
      <c r="CV246" s="357"/>
      <c r="CW246" s="357"/>
      <c r="CX246" s="357"/>
      <c r="CY246" s="357"/>
      <c r="CZ246" s="357"/>
      <c r="DA246" s="357"/>
      <c r="DB246" s="357"/>
      <c r="DC246" s="357"/>
      <c r="DD246" s="357"/>
      <c r="DE246" s="357"/>
      <c r="DF246" s="357"/>
      <c r="DG246" s="357"/>
      <c r="DH246" s="357"/>
      <c r="DI246" s="357"/>
      <c r="DJ246" s="357"/>
      <c r="DK246" s="357"/>
      <c r="DL246" s="357"/>
      <c r="DM246" s="357"/>
      <c r="DN246" s="357"/>
      <c r="DO246" s="357"/>
      <c r="DP246" s="357"/>
      <c r="DQ246" s="357"/>
      <c r="DR246" s="357"/>
      <c r="DS246" s="357"/>
      <c r="DT246" s="357"/>
      <c r="DU246" s="357"/>
      <c r="DV246" s="357"/>
      <c r="DW246" s="357"/>
      <c r="DX246" s="357"/>
      <c r="DY246" s="357"/>
      <c r="DZ246" s="357"/>
      <c r="EA246" s="357"/>
      <c r="EB246" s="357"/>
      <c r="EC246" s="357"/>
      <c r="ED246" s="357"/>
      <c r="EE246" s="357"/>
      <c r="EF246" s="357"/>
      <c r="EG246" s="357"/>
      <c r="EH246" s="357"/>
      <c r="EI246" s="357"/>
      <c r="EJ246" s="357"/>
      <c r="EK246" s="357"/>
      <c r="EL246" s="357"/>
      <c r="EM246" s="357"/>
      <c r="EN246" s="357"/>
      <c r="EO246" s="357"/>
      <c r="EP246" s="357"/>
      <c r="EQ246" s="357"/>
      <c r="ER246" s="357"/>
      <c r="ES246" s="357"/>
      <c r="ET246" s="357"/>
      <c r="EU246" s="357"/>
      <c r="EV246" s="357"/>
      <c r="EW246" s="357"/>
      <c r="EX246" s="357"/>
      <c r="EY246" s="357"/>
      <c r="EZ246" s="357"/>
      <c r="FA246" s="357"/>
      <c r="FB246" s="357"/>
      <c r="FC246" s="357"/>
      <c r="FD246" s="357"/>
      <c r="FE246" s="357"/>
      <c r="FF246" s="357"/>
      <c r="FG246" s="357"/>
      <c r="FH246" s="357"/>
      <c r="FI246" s="357"/>
      <c r="FJ246" s="357"/>
      <c r="FK246" s="357"/>
      <c r="FL246" s="357"/>
      <c r="FM246" s="357"/>
      <c r="FN246" s="357"/>
      <c r="FO246" s="357"/>
      <c r="FP246" s="357"/>
      <c r="FQ246" s="357"/>
      <c r="FR246" s="357"/>
      <c r="FS246" s="357"/>
      <c r="FT246" s="357"/>
      <c r="FU246" s="357"/>
      <c r="FV246" s="357"/>
      <c r="FW246" s="357"/>
      <c r="FX246" s="357"/>
      <c r="FY246" s="357"/>
      <c r="FZ246" s="357"/>
      <c r="GA246" s="357"/>
      <c r="GB246" s="357"/>
      <c r="GC246" s="357"/>
      <c r="GD246" s="357"/>
      <c r="GE246" s="357"/>
      <c r="GF246" s="357"/>
      <c r="GG246" s="357"/>
      <c r="GH246" s="357"/>
      <c r="GI246" s="357"/>
      <c r="GJ246" s="357"/>
      <c r="GK246" s="154"/>
      <c r="GL246" s="154"/>
      <c r="GM246" s="154"/>
      <c r="GN246" s="154"/>
      <c r="GO246" s="154"/>
      <c r="GP246" s="154"/>
      <c r="GQ246" s="154"/>
      <c r="GR246" s="154"/>
      <c r="GS246" s="154"/>
      <c r="GT246" s="154"/>
      <c r="GU246" s="154"/>
      <c r="GV246" s="154"/>
      <c r="GW246" s="154"/>
      <c r="GX246" s="154"/>
    </row>
    <row r="247" spans="7:206">
      <c r="G247" s="154"/>
      <c r="H247" s="154"/>
      <c r="I247" s="154"/>
      <c r="J247" s="154"/>
      <c r="K247" s="154"/>
      <c r="L247" s="154"/>
      <c r="M247" s="154"/>
      <c r="N247" s="154"/>
      <c r="O247" s="154"/>
      <c r="P247" s="154"/>
      <c r="Q247" s="154"/>
      <c r="R247" s="154"/>
      <c r="S247" s="154"/>
      <c r="T247" s="154"/>
      <c r="U247" s="154"/>
      <c r="V247" s="154"/>
      <c r="W247" s="154"/>
      <c r="X247" s="154"/>
      <c r="Y247" s="154"/>
      <c r="Z247" s="357"/>
      <c r="AA247" s="357"/>
      <c r="AB247" s="357"/>
      <c r="AC247" s="357"/>
      <c r="AD247" s="357"/>
      <c r="AE247" s="357"/>
      <c r="AF247" s="357"/>
      <c r="AG247" s="357"/>
      <c r="AH247" s="357"/>
      <c r="AI247" s="357"/>
      <c r="AJ247" s="357"/>
      <c r="AK247" s="357"/>
      <c r="AL247" s="357"/>
      <c r="AM247" s="357"/>
      <c r="AN247" s="357"/>
      <c r="AO247" s="357"/>
      <c r="AP247" s="357"/>
      <c r="AQ247" s="357"/>
      <c r="AR247" s="357"/>
      <c r="AS247" s="357"/>
      <c r="AT247" s="357"/>
      <c r="AU247" s="357"/>
      <c r="AV247" s="357"/>
      <c r="AW247" s="357"/>
      <c r="AX247" s="357"/>
      <c r="AY247" s="357"/>
      <c r="AZ247" s="357"/>
      <c r="BA247" s="357"/>
      <c r="BB247" s="357"/>
      <c r="BC247" s="357"/>
      <c r="BD247" s="357"/>
      <c r="BE247" s="357"/>
      <c r="BF247" s="357"/>
      <c r="BG247" s="357"/>
      <c r="BH247" s="357"/>
      <c r="BI247" s="357"/>
      <c r="BJ247" s="357"/>
      <c r="BK247" s="357"/>
      <c r="BL247" s="357"/>
      <c r="BM247" s="357"/>
      <c r="BN247" s="357"/>
      <c r="BO247" s="357"/>
      <c r="BP247" s="357"/>
      <c r="BQ247" s="357"/>
      <c r="BR247" s="357"/>
      <c r="BS247" s="357"/>
      <c r="BT247" s="357"/>
      <c r="BU247" s="357"/>
      <c r="BV247" s="357"/>
      <c r="BW247" s="357"/>
      <c r="BX247" s="357"/>
      <c r="BY247" s="357"/>
      <c r="BZ247" s="357"/>
      <c r="CA247" s="357"/>
      <c r="CB247" s="357"/>
      <c r="CC247" s="357"/>
      <c r="CD247" s="357"/>
      <c r="CE247" s="357"/>
      <c r="CF247" s="357"/>
      <c r="CG247" s="357"/>
      <c r="CH247" s="357"/>
      <c r="CI247" s="357"/>
      <c r="CJ247" s="357"/>
      <c r="CK247" s="357"/>
      <c r="CL247" s="357"/>
      <c r="CM247" s="357"/>
      <c r="CN247" s="357"/>
      <c r="CO247" s="357"/>
      <c r="CP247" s="357"/>
      <c r="CQ247" s="357"/>
      <c r="CR247" s="357"/>
      <c r="CS247" s="357"/>
      <c r="CT247" s="357"/>
      <c r="CU247" s="357"/>
      <c r="CV247" s="357"/>
      <c r="CW247" s="357"/>
      <c r="CX247" s="357"/>
      <c r="CY247" s="357"/>
      <c r="CZ247" s="357"/>
      <c r="DA247" s="357"/>
      <c r="DB247" s="357"/>
      <c r="DC247" s="357"/>
      <c r="DD247" s="357"/>
      <c r="DE247" s="357"/>
      <c r="DF247" s="357"/>
      <c r="DG247" s="357"/>
      <c r="DH247" s="357"/>
      <c r="DI247" s="357"/>
      <c r="DJ247" s="357"/>
      <c r="DK247" s="357"/>
      <c r="DL247" s="357"/>
      <c r="DM247" s="357"/>
      <c r="DN247" s="357"/>
      <c r="DO247" s="357"/>
      <c r="DP247" s="357"/>
      <c r="DQ247" s="357"/>
      <c r="DR247" s="357"/>
      <c r="DS247" s="357"/>
      <c r="DT247" s="357"/>
      <c r="DU247" s="357"/>
      <c r="DV247" s="357"/>
      <c r="DW247" s="357"/>
      <c r="DX247" s="357"/>
      <c r="DY247" s="357"/>
      <c r="DZ247" s="357"/>
      <c r="EA247" s="357"/>
      <c r="EB247" s="357"/>
      <c r="EC247" s="357"/>
      <c r="ED247" s="357"/>
      <c r="EE247" s="357"/>
      <c r="EF247" s="357"/>
      <c r="EG247" s="357"/>
      <c r="EH247" s="357"/>
      <c r="EI247" s="357"/>
      <c r="EJ247" s="357"/>
      <c r="EK247" s="357"/>
      <c r="EL247" s="357"/>
      <c r="EM247" s="357"/>
      <c r="EN247" s="357"/>
      <c r="EO247" s="357"/>
      <c r="EP247" s="357"/>
      <c r="EQ247" s="357"/>
      <c r="ER247" s="357"/>
      <c r="ES247" s="357"/>
      <c r="ET247" s="357"/>
      <c r="EU247" s="357"/>
      <c r="EV247" s="357"/>
      <c r="EW247" s="357"/>
      <c r="EX247" s="357"/>
      <c r="EY247" s="357"/>
      <c r="EZ247" s="357"/>
      <c r="FA247" s="357"/>
      <c r="FB247" s="357"/>
      <c r="FC247" s="357"/>
      <c r="FD247" s="357"/>
      <c r="FE247" s="357"/>
      <c r="FF247" s="357"/>
      <c r="FG247" s="357"/>
      <c r="FH247" s="357"/>
      <c r="FI247" s="357"/>
      <c r="FJ247" s="357"/>
      <c r="FK247" s="357"/>
      <c r="FL247" s="357"/>
      <c r="FM247" s="357"/>
      <c r="FN247" s="357"/>
      <c r="FO247" s="357"/>
      <c r="FP247" s="357"/>
      <c r="FQ247" s="357"/>
      <c r="FR247" s="357"/>
      <c r="FS247" s="357"/>
      <c r="FT247" s="357"/>
      <c r="FU247" s="357"/>
      <c r="FV247" s="357"/>
      <c r="FW247" s="357"/>
      <c r="FX247" s="357"/>
      <c r="FY247" s="357"/>
      <c r="FZ247" s="357"/>
      <c r="GA247" s="357"/>
      <c r="GB247" s="357"/>
      <c r="GC247" s="357"/>
      <c r="GD247" s="357"/>
      <c r="GE247" s="357"/>
      <c r="GF247" s="357"/>
      <c r="GG247" s="357"/>
      <c r="GH247" s="357"/>
      <c r="GI247" s="357"/>
      <c r="GJ247" s="357"/>
      <c r="GK247" s="154"/>
      <c r="GL247" s="154"/>
      <c r="GM247" s="154"/>
      <c r="GN247" s="154"/>
      <c r="GO247" s="154"/>
      <c r="GP247" s="154"/>
      <c r="GQ247" s="154"/>
      <c r="GR247" s="154"/>
      <c r="GS247" s="154"/>
      <c r="GT247" s="154"/>
      <c r="GU247" s="154"/>
      <c r="GV247" s="154"/>
      <c r="GW247" s="154"/>
      <c r="GX247" s="154"/>
    </row>
    <row r="248" spans="7:206">
      <c r="G248" s="154"/>
      <c r="H248" s="154"/>
      <c r="I248" s="154"/>
      <c r="J248" s="154"/>
      <c r="K248" s="154"/>
      <c r="L248" s="154"/>
      <c r="M248" s="154"/>
      <c r="N248" s="154"/>
      <c r="O248" s="154"/>
      <c r="P248" s="154"/>
      <c r="Q248" s="154"/>
      <c r="R248" s="154"/>
      <c r="S248" s="154"/>
      <c r="T248" s="154"/>
      <c r="U248" s="154"/>
      <c r="V248" s="154"/>
      <c r="W248" s="154"/>
      <c r="X248" s="154"/>
      <c r="Y248" s="154"/>
      <c r="Z248" s="357"/>
      <c r="AA248" s="357"/>
      <c r="AB248" s="357"/>
      <c r="AC248" s="357"/>
      <c r="AD248" s="357"/>
      <c r="AE248" s="357"/>
      <c r="AF248" s="357"/>
      <c r="AG248" s="357"/>
      <c r="AH248" s="357"/>
      <c r="AI248" s="357"/>
      <c r="AJ248" s="357"/>
      <c r="AK248" s="357"/>
      <c r="AL248" s="357"/>
      <c r="AM248" s="357"/>
      <c r="AN248" s="357"/>
      <c r="AO248" s="357"/>
      <c r="AP248" s="357"/>
      <c r="AQ248" s="357"/>
      <c r="AR248" s="357"/>
      <c r="AS248" s="357"/>
      <c r="AT248" s="357"/>
      <c r="AU248" s="357"/>
      <c r="AV248" s="357"/>
      <c r="AW248" s="357"/>
      <c r="AX248" s="357"/>
      <c r="AY248" s="357"/>
      <c r="AZ248" s="357"/>
      <c r="BA248" s="357"/>
      <c r="BB248" s="357"/>
      <c r="BC248" s="357"/>
      <c r="BD248" s="357"/>
      <c r="BE248" s="357"/>
      <c r="BF248" s="357"/>
      <c r="BG248" s="357"/>
      <c r="BH248" s="357"/>
      <c r="BI248" s="357"/>
      <c r="BJ248" s="357"/>
      <c r="BK248" s="357"/>
      <c r="BL248" s="357"/>
      <c r="BM248" s="357"/>
      <c r="BN248" s="357"/>
      <c r="BO248" s="357"/>
      <c r="BP248" s="357"/>
      <c r="BQ248" s="357"/>
      <c r="BR248" s="357"/>
      <c r="BS248" s="357"/>
      <c r="BT248" s="357"/>
      <c r="BU248" s="357"/>
      <c r="BV248" s="357"/>
      <c r="BW248" s="357"/>
      <c r="BX248" s="357"/>
      <c r="BY248" s="357"/>
      <c r="BZ248" s="357"/>
      <c r="CA248" s="357"/>
      <c r="CB248" s="357"/>
      <c r="CC248" s="357"/>
      <c r="CD248" s="357"/>
      <c r="CE248" s="357"/>
      <c r="CF248" s="357"/>
      <c r="CG248" s="357"/>
      <c r="CH248" s="357"/>
      <c r="CI248" s="357"/>
      <c r="CJ248" s="357"/>
      <c r="CK248" s="357"/>
      <c r="CL248" s="357"/>
      <c r="CM248" s="357"/>
      <c r="CN248" s="357"/>
      <c r="CO248" s="357"/>
      <c r="CP248" s="357"/>
      <c r="CQ248" s="357"/>
      <c r="CR248" s="357"/>
      <c r="CS248" s="357"/>
      <c r="CT248" s="357"/>
      <c r="CU248" s="357"/>
      <c r="CV248" s="357"/>
      <c r="CW248" s="357"/>
      <c r="CX248" s="357"/>
      <c r="CY248" s="357"/>
      <c r="CZ248" s="357"/>
      <c r="DA248" s="357"/>
      <c r="DB248" s="357"/>
      <c r="DC248" s="357"/>
      <c r="DD248" s="357"/>
      <c r="DE248" s="357"/>
      <c r="DF248" s="357"/>
      <c r="DG248" s="357"/>
      <c r="DH248" s="357"/>
      <c r="DI248" s="357"/>
      <c r="DJ248" s="357"/>
      <c r="DK248" s="357"/>
      <c r="DL248" s="357"/>
      <c r="DM248" s="357"/>
      <c r="DN248" s="357"/>
      <c r="DO248" s="357"/>
      <c r="DP248" s="357"/>
      <c r="DQ248" s="357"/>
      <c r="DR248" s="357"/>
      <c r="DS248" s="357"/>
      <c r="DT248" s="357"/>
      <c r="DU248" s="357"/>
      <c r="DV248" s="357"/>
      <c r="DW248" s="357"/>
      <c r="DX248" s="357"/>
      <c r="DY248" s="357"/>
      <c r="DZ248" s="357"/>
      <c r="EA248" s="357"/>
      <c r="EB248" s="357"/>
      <c r="EC248" s="357"/>
      <c r="ED248" s="357"/>
      <c r="EE248" s="357"/>
      <c r="EF248" s="357"/>
      <c r="EG248" s="357"/>
      <c r="EH248" s="357"/>
      <c r="EI248" s="357"/>
      <c r="EJ248" s="357"/>
      <c r="EK248" s="357"/>
      <c r="EL248" s="357"/>
      <c r="EM248" s="357"/>
      <c r="EN248" s="357"/>
      <c r="EO248" s="357"/>
      <c r="EP248" s="357"/>
      <c r="EQ248" s="357"/>
      <c r="ER248" s="357"/>
      <c r="ES248" s="357"/>
      <c r="ET248" s="357"/>
      <c r="EU248" s="357"/>
      <c r="EV248" s="357"/>
      <c r="EW248" s="357"/>
      <c r="EX248" s="357"/>
      <c r="EY248" s="357"/>
      <c r="EZ248" s="357"/>
      <c r="FA248" s="357"/>
      <c r="FB248" s="357"/>
      <c r="FC248" s="357"/>
      <c r="FD248" s="357"/>
      <c r="FE248" s="357"/>
      <c r="FF248" s="357"/>
      <c r="FG248" s="357"/>
      <c r="FH248" s="357"/>
      <c r="FI248" s="357"/>
      <c r="FJ248" s="357"/>
      <c r="FK248" s="357"/>
      <c r="FL248" s="357"/>
      <c r="FM248" s="357"/>
      <c r="FN248" s="357"/>
      <c r="FO248" s="357"/>
      <c r="FP248" s="357"/>
      <c r="FQ248" s="357"/>
      <c r="FR248" s="357"/>
      <c r="FS248" s="357"/>
      <c r="FT248" s="357"/>
      <c r="FU248" s="357"/>
      <c r="FV248" s="357"/>
      <c r="FW248" s="357"/>
      <c r="FX248" s="357"/>
      <c r="FY248" s="357"/>
      <c r="FZ248" s="357"/>
      <c r="GA248" s="357"/>
      <c r="GB248" s="357"/>
      <c r="GC248" s="357"/>
      <c r="GD248" s="357"/>
      <c r="GE248" s="357"/>
      <c r="GF248" s="357"/>
      <c r="GG248" s="357"/>
      <c r="GH248" s="357"/>
      <c r="GI248" s="357"/>
      <c r="GJ248" s="357"/>
      <c r="GK248" s="154"/>
      <c r="GL248" s="154"/>
      <c r="GM248" s="154"/>
      <c r="GN248" s="154"/>
      <c r="GO248" s="154"/>
      <c r="GP248" s="154"/>
      <c r="GQ248" s="154"/>
      <c r="GR248" s="154"/>
      <c r="GS248" s="154"/>
      <c r="GT248" s="154"/>
      <c r="GU248" s="154"/>
      <c r="GV248" s="154"/>
      <c r="GW248" s="154"/>
      <c r="GX248" s="154"/>
    </row>
    <row r="249" spans="7:206">
      <c r="G249" s="154"/>
      <c r="H249" s="154"/>
      <c r="I249" s="154"/>
      <c r="J249" s="154"/>
      <c r="K249" s="154"/>
      <c r="L249" s="154"/>
      <c r="M249" s="154"/>
      <c r="N249" s="154"/>
      <c r="O249" s="154"/>
      <c r="P249" s="154"/>
      <c r="Q249" s="154"/>
      <c r="R249" s="154"/>
      <c r="S249" s="154"/>
      <c r="T249" s="154"/>
      <c r="U249" s="154"/>
      <c r="V249" s="154"/>
      <c r="W249" s="154"/>
      <c r="X249" s="154"/>
      <c r="Y249" s="154"/>
      <c r="Z249" s="357"/>
      <c r="AA249" s="357"/>
      <c r="AB249" s="357"/>
      <c r="AC249" s="357"/>
      <c r="AD249" s="357"/>
      <c r="AE249" s="357"/>
      <c r="AF249" s="357"/>
      <c r="AG249" s="357"/>
      <c r="AH249" s="357"/>
      <c r="AI249" s="357"/>
      <c r="AJ249" s="357"/>
      <c r="AK249" s="357"/>
      <c r="AL249" s="357"/>
      <c r="AM249" s="357"/>
      <c r="AN249" s="357"/>
      <c r="AO249" s="357"/>
      <c r="AP249" s="357"/>
      <c r="AQ249" s="357"/>
      <c r="AR249" s="357"/>
      <c r="AS249" s="357"/>
      <c r="AT249" s="357"/>
      <c r="AU249" s="357"/>
      <c r="AV249" s="357"/>
      <c r="AW249" s="357"/>
      <c r="AX249" s="357"/>
      <c r="AY249" s="357"/>
      <c r="AZ249" s="357"/>
      <c r="BA249" s="357"/>
      <c r="BB249" s="357"/>
      <c r="BC249" s="357"/>
      <c r="BD249" s="357"/>
      <c r="BE249" s="357"/>
      <c r="BF249" s="357"/>
      <c r="BG249" s="357"/>
      <c r="BH249" s="357"/>
      <c r="BI249" s="357"/>
      <c r="BJ249" s="357"/>
      <c r="BK249" s="357"/>
      <c r="BL249" s="357"/>
      <c r="BM249" s="357"/>
      <c r="BN249" s="357"/>
      <c r="BO249" s="357"/>
      <c r="BP249" s="357"/>
      <c r="BQ249" s="357"/>
      <c r="BR249" s="357"/>
      <c r="BS249" s="357"/>
      <c r="BT249" s="357"/>
      <c r="BU249" s="357"/>
      <c r="BV249" s="357"/>
      <c r="BW249" s="357"/>
      <c r="BX249" s="357"/>
      <c r="BY249" s="357"/>
      <c r="BZ249" s="357"/>
      <c r="CA249" s="357"/>
      <c r="CB249" s="357"/>
      <c r="CC249" s="357"/>
      <c r="CD249" s="357"/>
      <c r="CE249" s="357"/>
      <c r="CF249" s="357"/>
      <c r="CG249" s="357"/>
      <c r="CH249" s="357"/>
      <c r="CI249" s="357"/>
      <c r="CJ249" s="357"/>
      <c r="CK249" s="357"/>
      <c r="CL249" s="357"/>
      <c r="CM249" s="357"/>
      <c r="CN249" s="357"/>
      <c r="CO249" s="357"/>
      <c r="CP249" s="357"/>
      <c r="CQ249" s="357"/>
      <c r="CR249" s="357"/>
      <c r="CS249" s="357"/>
      <c r="CT249" s="357"/>
      <c r="CU249" s="357"/>
      <c r="CV249" s="357"/>
      <c r="CW249" s="357"/>
      <c r="CX249" s="357"/>
      <c r="CY249" s="357"/>
      <c r="CZ249" s="357"/>
      <c r="DA249" s="357"/>
      <c r="DB249" s="357"/>
      <c r="DC249" s="357"/>
      <c r="DD249" s="357"/>
      <c r="DE249" s="357"/>
      <c r="DF249" s="357"/>
      <c r="DG249" s="357"/>
      <c r="DH249" s="357"/>
      <c r="DI249" s="357"/>
      <c r="DJ249" s="357"/>
      <c r="DK249" s="357"/>
      <c r="DL249" s="357"/>
      <c r="DM249" s="357"/>
      <c r="DN249" s="357"/>
      <c r="DO249" s="357"/>
      <c r="DP249" s="357"/>
      <c r="DQ249" s="357"/>
      <c r="DR249" s="357"/>
      <c r="DS249" s="357"/>
      <c r="DT249" s="357"/>
      <c r="DU249" s="357"/>
      <c r="DV249" s="357"/>
      <c r="DW249" s="357"/>
      <c r="DX249" s="357"/>
      <c r="DY249" s="357"/>
      <c r="DZ249" s="357"/>
      <c r="EA249" s="357"/>
      <c r="EB249" s="357"/>
      <c r="EC249" s="357"/>
      <c r="ED249" s="357"/>
      <c r="EE249" s="357"/>
      <c r="EF249" s="357"/>
      <c r="EG249" s="357"/>
      <c r="EH249" s="357"/>
      <c r="EI249" s="357"/>
      <c r="EJ249" s="357"/>
      <c r="EK249" s="357"/>
      <c r="EL249" s="357"/>
      <c r="EM249" s="357"/>
      <c r="EN249" s="357"/>
      <c r="EO249" s="357"/>
      <c r="EP249" s="357"/>
      <c r="EQ249" s="357"/>
      <c r="ER249" s="357"/>
      <c r="ES249" s="357"/>
      <c r="ET249" s="357"/>
      <c r="EU249" s="357"/>
      <c r="EV249" s="357"/>
      <c r="EW249" s="357"/>
      <c r="EX249" s="357"/>
      <c r="EY249" s="357"/>
      <c r="EZ249" s="357"/>
      <c r="FA249" s="357"/>
      <c r="FB249" s="357"/>
      <c r="FC249" s="357"/>
      <c r="FD249" s="357"/>
      <c r="FE249" s="357"/>
      <c r="FF249" s="357"/>
      <c r="FG249" s="357"/>
      <c r="FH249" s="357"/>
      <c r="FI249" s="357"/>
      <c r="FJ249" s="357"/>
      <c r="FK249" s="357"/>
      <c r="FL249" s="357"/>
      <c r="FM249" s="357"/>
      <c r="FN249" s="357"/>
      <c r="FO249" s="357"/>
      <c r="FP249" s="357"/>
      <c r="FQ249" s="357"/>
      <c r="FR249" s="357"/>
      <c r="FS249" s="357"/>
      <c r="FT249" s="357"/>
      <c r="FU249" s="357"/>
      <c r="FV249" s="357"/>
      <c r="FW249" s="357"/>
      <c r="FX249" s="357"/>
      <c r="FY249" s="357"/>
      <c r="FZ249" s="357"/>
      <c r="GA249" s="357"/>
      <c r="GB249" s="357"/>
      <c r="GC249" s="357"/>
      <c r="GD249" s="357"/>
      <c r="GE249" s="357"/>
      <c r="GF249" s="357"/>
      <c r="GG249" s="357"/>
      <c r="GH249" s="357"/>
      <c r="GI249" s="357"/>
      <c r="GJ249" s="357"/>
      <c r="GK249" s="154"/>
      <c r="GL249" s="154"/>
      <c r="GM249" s="154"/>
      <c r="GN249" s="154"/>
      <c r="GO249" s="154"/>
      <c r="GP249" s="154"/>
      <c r="GQ249" s="154"/>
      <c r="GR249" s="154"/>
      <c r="GS249" s="154"/>
      <c r="GT249" s="154"/>
      <c r="GU249" s="154"/>
      <c r="GV249" s="154"/>
      <c r="GW249" s="154"/>
      <c r="GX249" s="154"/>
    </row>
    <row r="250" spans="7:206">
      <c r="G250" s="154"/>
      <c r="H250" s="154"/>
      <c r="I250" s="154"/>
      <c r="J250" s="154"/>
      <c r="K250" s="154"/>
      <c r="L250" s="154"/>
      <c r="M250" s="154"/>
      <c r="N250" s="154"/>
      <c r="O250" s="154"/>
      <c r="P250" s="154"/>
      <c r="Q250" s="154"/>
      <c r="R250" s="154"/>
      <c r="S250" s="154"/>
      <c r="T250" s="154"/>
      <c r="U250" s="154"/>
      <c r="V250" s="154"/>
      <c r="W250" s="154"/>
      <c r="X250" s="154"/>
      <c r="Y250" s="154"/>
      <c r="Z250" s="357"/>
      <c r="AA250" s="357"/>
      <c r="AB250" s="357"/>
      <c r="AC250" s="357"/>
      <c r="AD250" s="357"/>
      <c r="AE250" s="357"/>
      <c r="AF250" s="357"/>
      <c r="AG250" s="357"/>
      <c r="AH250" s="357"/>
      <c r="AI250" s="357"/>
      <c r="AJ250" s="357"/>
      <c r="AK250" s="357"/>
      <c r="AL250" s="357"/>
      <c r="AM250" s="357"/>
      <c r="AN250" s="357"/>
      <c r="AO250" s="357"/>
      <c r="AP250" s="357"/>
      <c r="AQ250" s="357"/>
      <c r="AR250" s="357"/>
      <c r="AS250" s="357"/>
      <c r="AT250" s="357"/>
      <c r="AU250" s="357"/>
      <c r="AV250" s="357"/>
      <c r="AW250" s="357"/>
      <c r="AX250" s="357"/>
      <c r="AY250" s="357"/>
      <c r="AZ250" s="357"/>
      <c r="BA250" s="357"/>
      <c r="BB250" s="357"/>
      <c r="BC250" s="357"/>
      <c r="BD250" s="357"/>
      <c r="BE250" s="357"/>
      <c r="BF250" s="357"/>
      <c r="BG250" s="357"/>
      <c r="BH250" s="357"/>
      <c r="BI250" s="357"/>
      <c r="BJ250" s="357"/>
      <c r="BK250" s="357"/>
      <c r="BL250" s="357"/>
      <c r="BM250" s="357"/>
      <c r="BN250" s="357"/>
      <c r="BO250" s="357"/>
      <c r="BP250" s="357"/>
      <c r="BQ250" s="357"/>
      <c r="BR250" s="357"/>
      <c r="BS250" s="357"/>
      <c r="BT250" s="357"/>
      <c r="BU250" s="357"/>
      <c r="BV250" s="357"/>
      <c r="BW250" s="357"/>
      <c r="BX250" s="357"/>
      <c r="BY250" s="357"/>
      <c r="BZ250" s="357"/>
      <c r="CA250" s="357"/>
      <c r="CB250" s="357"/>
      <c r="CC250" s="357"/>
      <c r="CD250" s="357"/>
      <c r="CE250" s="357"/>
      <c r="CF250" s="357"/>
      <c r="CG250" s="357"/>
      <c r="CH250" s="357"/>
      <c r="CI250" s="357"/>
      <c r="CJ250" s="357"/>
      <c r="CK250" s="357"/>
      <c r="CL250" s="357"/>
      <c r="CM250" s="357"/>
      <c r="CN250" s="357"/>
      <c r="CO250" s="357"/>
      <c r="CP250" s="357"/>
      <c r="CQ250" s="357"/>
      <c r="CR250" s="357"/>
      <c r="CS250" s="357"/>
      <c r="CT250" s="357"/>
      <c r="CU250" s="357"/>
      <c r="CV250" s="357"/>
      <c r="CW250" s="357"/>
      <c r="CX250" s="357"/>
      <c r="CY250" s="357"/>
      <c r="CZ250" s="357"/>
      <c r="DA250" s="357"/>
      <c r="DB250" s="357"/>
      <c r="DC250" s="357"/>
      <c r="DD250" s="357"/>
      <c r="DE250" s="357"/>
      <c r="DF250" s="357"/>
      <c r="DG250" s="357"/>
      <c r="DH250" s="357"/>
      <c r="DI250" s="357"/>
      <c r="DJ250" s="357"/>
      <c r="DK250" s="357"/>
      <c r="DL250" s="357"/>
      <c r="DM250" s="357"/>
      <c r="DN250" s="357"/>
      <c r="DO250" s="357"/>
      <c r="DP250" s="357"/>
      <c r="DQ250" s="357"/>
      <c r="DR250" s="357"/>
      <c r="DS250" s="357"/>
      <c r="DT250" s="357"/>
      <c r="DU250" s="357"/>
      <c r="DV250" s="357"/>
      <c r="DW250" s="357"/>
      <c r="DX250" s="357"/>
      <c r="DY250" s="357"/>
      <c r="DZ250" s="357"/>
      <c r="EA250" s="357"/>
      <c r="EB250" s="357"/>
      <c r="EC250" s="357"/>
      <c r="ED250" s="357"/>
      <c r="EE250" s="357"/>
      <c r="EF250" s="357"/>
      <c r="EG250" s="357"/>
      <c r="EH250" s="357"/>
      <c r="EI250" s="357"/>
      <c r="EJ250" s="357"/>
      <c r="EK250" s="357"/>
      <c r="EL250" s="357"/>
      <c r="EM250" s="357"/>
      <c r="EN250" s="357"/>
      <c r="EO250" s="357"/>
      <c r="EP250" s="357"/>
      <c r="EQ250" s="357"/>
      <c r="ER250" s="357"/>
      <c r="ES250" s="357"/>
      <c r="ET250" s="357"/>
      <c r="EU250" s="357"/>
      <c r="EV250" s="357"/>
      <c r="EW250" s="357"/>
      <c r="EX250" s="357"/>
      <c r="EY250" s="357"/>
      <c r="EZ250" s="357"/>
      <c r="FA250" s="357"/>
      <c r="FB250" s="357"/>
      <c r="FC250" s="357"/>
      <c r="FD250" s="357"/>
      <c r="FE250" s="357"/>
      <c r="FF250" s="357"/>
      <c r="FG250" s="357"/>
      <c r="FH250" s="357"/>
      <c r="FI250" s="357"/>
      <c r="FJ250" s="357"/>
      <c r="FK250" s="357"/>
      <c r="FL250" s="357"/>
      <c r="FM250" s="357"/>
      <c r="FN250" s="357"/>
      <c r="FO250" s="357"/>
      <c r="FP250" s="357"/>
      <c r="FQ250" s="357"/>
      <c r="FR250" s="357"/>
      <c r="FS250" s="357"/>
      <c r="FT250" s="357"/>
      <c r="FU250" s="357"/>
      <c r="FV250" s="357"/>
      <c r="FW250" s="357"/>
      <c r="FX250" s="357"/>
      <c r="FY250" s="357"/>
      <c r="FZ250" s="357"/>
      <c r="GA250" s="357"/>
      <c r="GB250" s="357"/>
      <c r="GC250" s="357"/>
      <c r="GD250" s="357"/>
      <c r="GE250" s="357"/>
      <c r="GF250" s="357"/>
      <c r="GG250" s="357"/>
      <c r="GH250" s="357"/>
      <c r="GI250" s="357"/>
      <c r="GJ250" s="357"/>
      <c r="GK250" s="154"/>
      <c r="GL250" s="154"/>
      <c r="GM250" s="154"/>
      <c r="GN250" s="154"/>
      <c r="GO250" s="154"/>
      <c r="GP250" s="154"/>
      <c r="GQ250" s="154"/>
      <c r="GR250" s="154"/>
      <c r="GS250" s="154"/>
      <c r="GT250" s="154"/>
      <c r="GU250" s="154"/>
      <c r="GV250" s="154"/>
      <c r="GW250" s="154"/>
      <c r="GX250" s="154"/>
    </row>
    <row r="251" spans="7:206">
      <c r="G251" s="154"/>
      <c r="H251" s="154"/>
      <c r="I251" s="154"/>
      <c r="J251" s="154"/>
      <c r="K251" s="154"/>
      <c r="L251" s="154"/>
      <c r="M251" s="154"/>
      <c r="N251" s="154"/>
      <c r="O251" s="154"/>
      <c r="P251" s="154"/>
      <c r="Q251" s="154"/>
      <c r="R251" s="154"/>
      <c r="S251" s="154"/>
      <c r="T251" s="154"/>
      <c r="U251" s="154"/>
      <c r="V251" s="154"/>
      <c r="W251" s="154"/>
      <c r="X251" s="154"/>
      <c r="Y251" s="154"/>
      <c r="Z251" s="357"/>
      <c r="AA251" s="357"/>
      <c r="AB251" s="357"/>
      <c r="AC251" s="357"/>
      <c r="AD251" s="357"/>
      <c r="AE251" s="357"/>
      <c r="AF251" s="357"/>
      <c r="AG251" s="357"/>
      <c r="AH251" s="357"/>
      <c r="AI251" s="357"/>
      <c r="AJ251" s="357"/>
      <c r="AK251" s="357"/>
      <c r="AL251" s="357"/>
      <c r="AM251" s="357"/>
      <c r="AN251" s="357"/>
      <c r="AO251" s="357"/>
      <c r="AP251" s="357"/>
      <c r="AQ251" s="357"/>
      <c r="AR251" s="357"/>
      <c r="AS251" s="357"/>
      <c r="AT251" s="357"/>
      <c r="AU251" s="357"/>
      <c r="AV251" s="357"/>
      <c r="AW251" s="357"/>
      <c r="AX251" s="357"/>
      <c r="AY251" s="357"/>
      <c r="AZ251" s="357"/>
      <c r="BA251" s="357"/>
      <c r="BB251" s="357"/>
      <c r="BC251" s="357"/>
      <c r="BD251" s="357"/>
      <c r="BE251" s="357"/>
      <c r="BF251" s="357"/>
      <c r="BG251" s="357"/>
      <c r="BH251" s="357"/>
      <c r="BI251" s="357"/>
      <c r="BJ251" s="357"/>
      <c r="BK251" s="357"/>
      <c r="BL251" s="357"/>
      <c r="BM251" s="357"/>
      <c r="BN251" s="357"/>
      <c r="BO251" s="357"/>
      <c r="BP251" s="357"/>
      <c r="BQ251" s="357"/>
      <c r="BR251" s="357"/>
      <c r="BS251" s="357"/>
      <c r="BT251" s="357"/>
      <c r="BU251" s="357"/>
      <c r="BV251" s="357"/>
      <c r="BW251" s="357"/>
      <c r="BX251" s="357"/>
      <c r="BY251" s="357"/>
      <c r="BZ251" s="357"/>
      <c r="CA251" s="357"/>
      <c r="CB251" s="357"/>
      <c r="CC251" s="357"/>
      <c r="CD251" s="357"/>
      <c r="CE251" s="357"/>
      <c r="CF251" s="357"/>
      <c r="CG251" s="357"/>
      <c r="CH251" s="357"/>
      <c r="CI251" s="357"/>
      <c r="CJ251" s="357"/>
      <c r="CK251" s="357"/>
      <c r="CL251" s="357"/>
      <c r="CM251" s="357"/>
      <c r="CN251" s="357"/>
      <c r="CO251" s="357"/>
      <c r="CP251" s="357"/>
      <c r="CQ251" s="357"/>
      <c r="CR251" s="357"/>
      <c r="CS251" s="357"/>
      <c r="CT251" s="357"/>
      <c r="CU251" s="357"/>
      <c r="CV251" s="357"/>
      <c r="CW251" s="357"/>
      <c r="CX251" s="357"/>
      <c r="CY251" s="357"/>
      <c r="CZ251" s="357"/>
      <c r="DA251" s="357"/>
      <c r="DB251" s="357"/>
      <c r="DC251" s="357"/>
      <c r="DD251" s="357"/>
      <c r="DE251" s="357"/>
      <c r="DF251" s="357"/>
      <c r="DG251" s="357"/>
      <c r="DH251" s="357"/>
      <c r="DI251" s="357"/>
      <c r="DJ251" s="357"/>
      <c r="DK251" s="357"/>
      <c r="DL251" s="357"/>
      <c r="DM251" s="357"/>
      <c r="DN251" s="357"/>
      <c r="DO251" s="357"/>
      <c r="DP251" s="357"/>
      <c r="DQ251" s="357"/>
      <c r="DR251" s="357"/>
      <c r="DS251" s="357"/>
      <c r="DT251" s="357"/>
      <c r="DU251" s="357"/>
      <c r="DV251" s="357"/>
      <c r="DW251" s="357"/>
      <c r="DX251" s="357"/>
      <c r="DY251" s="357"/>
      <c r="DZ251" s="357"/>
      <c r="EA251" s="357"/>
      <c r="EB251" s="357"/>
      <c r="EC251" s="357"/>
      <c r="ED251" s="357"/>
      <c r="EE251" s="357"/>
      <c r="EF251" s="357"/>
      <c r="EG251" s="357"/>
      <c r="EH251" s="357"/>
      <c r="EI251" s="357"/>
      <c r="EJ251" s="357"/>
      <c r="EK251" s="357"/>
      <c r="EL251" s="357"/>
      <c r="EM251" s="357"/>
      <c r="EN251" s="357"/>
      <c r="EO251" s="357"/>
      <c r="EP251" s="357"/>
      <c r="EQ251" s="357"/>
      <c r="ER251" s="357"/>
      <c r="ES251" s="357"/>
      <c r="ET251" s="357"/>
      <c r="EU251" s="357"/>
      <c r="EV251" s="357"/>
      <c r="EW251" s="357"/>
      <c r="EX251" s="357"/>
      <c r="EY251" s="357"/>
      <c r="EZ251" s="357"/>
      <c r="FA251" s="357"/>
      <c r="FB251" s="357"/>
      <c r="FC251" s="357"/>
      <c r="FD251" s="357"/>
      <c r="FE251" s="357"/>
      <c r="FF251" s="357"/>
      <c r="FG251" s="357"/>
      <c r="FH251" s="357"/>
      <c r="FI251" s="357"/>
      <c r="FJ251" s="357"/>
      <c r="FK251" s="357"/>
      <c r="FL251" s="357"/>
      <c r="FM251" s="357"/>
      <c r="FN251" s="357"/>
      <c r="FO251" s="357"/>
      <c r="FP251" s="357"/>
      <c r="FQ251" s="357"/>
      <c r="FR251" s="357"/>
      <c r="FS251" s="357"/>
      <c r="FT251" s="357"/>
      <c r="FU251" s="357"/>
      <c r="FV251" s="357"/>
      <c r="FW251" s="357"/>
      <c r="FX251" s="357"/>
      <c r="FY251" s="357"/>
      <c r="FZ251" s="357"/>
      <c r="GA251" s="357"/>
      <c r="GB251" s="357"/>
      <c r="GC251" s="357"/>
      <c r="GD251" s="357"/>
      <c r="GE251" s="357"/>
      <c r="GF251" s="357"/>
      <c r="GG251" s="357"/>
      <c r="GH251" s="357"/>
      <c r="GI251" s="357"/>
      <c r="GJ251" s="357"/>
      <c r="GK251" s="154"/>
      <c r="GL251" s="154"/>
      <c r="GM251" s="154"/>
      <c r="GN251" s="154"/>
      <c r="GO251" s="154"/>
      <c r="GP251" s="154"/>
      <c r="GQ251" s="154"/>
      <c r="GR251" s="154"/>
      <c r="GS251" s="154"/>
      <c r="GT251" s="154"/>
      <c r="GU251" s="154"/>
      <c r="GV251" s="154"/>
      <c r="GW251" s="154"/>
      <c r="GX251" s="154"/>
    </row>
    <row r="252" spans="7:206">
      <c r="G252" s="154"/>
      <c r="H252" s="154"/>
      <c r="I252" s="154"/>
      <c r="J252" s="154"/>
      <c r="K252" s="154"/>
      <c r="L252" s="154"/>
      <c r="M252" s="154"/>
      <c r="N252" s="154"/>
      <c r="O252" s="154"/>
      <c r="P252" s="154"/>
      <c r="Q252" s="154"/>
      <c r="R252" s="154"/>
      <c r="S252" s="154"/>
      <c r="T252" s="154"/>
      <c r="U252" s="154"/>
      <c r="V252" s="154"/>
      <c r="W252" s="154"/>
      <c r="X252" s="154"/>
      <c r="Y252" s="154"/>
      <c r="Z252" s="357"/>
      <c r="AA252" s="357"/>
      <c r="AB252" s="357"/>
      <c r="AC252" s="357"/>
      <c r="AD252" s="357"/>
      <c r="AE252" s="357"/>
      <c r="AF252" s="357"/>
      <c r="AG252" s="357"/>
      <c r="AH252" s="357"/>
      <c r="AI252" s="357"/>
      <c r="AJ252" s="357"/>
      <c r="AK252" s="357"/>
      <c r="AL252" s="357"/>
      <c r="AM252" s="357"/>
      <c r="AN252" s="357"/>
      <c r="AO252" s="357"/>
      <c r="AP252" s="357"/>
      <c r="AQ252" s="357"/>
      <c r="AR252" s="357"/>
      <c r="AS252" s="357"/>
      <c r="AT252" s="357"/>
      <c r="AU252" s="357"/>
      <c r="AV252" s="357"/>
      <c r="AW252" s="357"/>
      <c r="AX252" s="357"/>
      <c r="AY252" s="357"/>
      <c r="AZ252" s="357"/>
      <c r="BA252" s="357"/>
      <c r="BB252" s="357"/>
      <c r="BC252" s="357"/>
      <c r="BD252" s="357"/>
      <c r="BE252" s="357"/>
      <c r="BF252" s="357"/>
      <c r="BG252" s="357"/>
      <c r="BH252" s="357"/>
      <c r="BI252" s="357"/>
      <c r="BJ252" s="357"/>
      <c r="BK252" s="357"/>
      <c r="BL252" s="357"/>
      <c r="BM252" s="357"/>
      <c r="BN252" s="357"/>
      <c r="BO252" s="357"/>
      <c r="BP252" s="357"/>
      <c r="BQ252" s="357"/>
      <c r="BR252" s="357"/>
      <c r="BS252" s="357"/>
      <c r="BT252" s="357"/>
      <c r="BU252" s="357"/>
      <c r="BV252" s="357"/>
      <c r="BW252" s="357"/>
      <c r="BX252" s="357"/>
      <c r="BY252" s="357"/>
      <c r="BZ252" s="357"/>
      <c r="CA252" s="357"/>
      <c r="CB252" s="357"/>
      <c r="CC252" s="357"/>
      <c r="CD252" s="357"/>
      <c r="CE252" s="357"/>
      <c r="CF252" s="357"/>
      <c r="CG252" s="357"/>
      <c r="CH252" s="357"/>
      <c r="CI252" s="357"/>
      <c r="CJ252" s="357"/>
      <c r="CK252" s="357"/>
      <c r="CL252" s="357"/>
      <c r="CM252" s="357"/>
      <c r="CN252" s="357"/>
      <c r="CO252" s="357"/>
      <c r="CP252" s="357"/>
      <c r="CQ252" s="357"/>
      <c r="CR252" s="357"/>
      <c r="CS252" s="357"/>
      <c r="CT252" s="357"/>
      <c r="CU252" s="357"/>
      <c r="CV252" s="357"/>
      <c r="CW252" s="357"/>
      <c r="CX252" s="357"/>
      <c r="CY252" s="357"/>
      <c r="CZ252" s="357"/>
      <c r="DA252" s="357"/>
      <c r="DB252" s="357"/>
      <c r="DC252" s="357"/>
      <c r="DD252" s="357"/>
      <c r="DE252" s="357"/>
      <c r="DF252" s="357"/>
      <c r="DG252" s="357"/>
      <c r="DH252" s="357"/>
      <c r="DI252" s="357"/>
      <c r="DJ252" s="357"/>
      <c r="DK252" s="357"/>
      <c r="DL252" s="357"/>
      <c r="DM252" s="357"/>
      <c r="DN252" s="357"/>
      <c r="DO252" s="357"/>
      <c r="DP252" s="357"/>
      <c r="DQ252" s="357"/>
      <c r="DR252" s="357"/>
      <c r="DS252" s="357"/>
      <c r="DT252" s="357"/>
      <c r="DU252" s="357"/>
      <c r="DV252" s="357"/>
      <c r="DW252" s="357"/>
      <c r="DX252" s="357"/>
      <c r="DY252" s="357"/>
      <c r="DZ252" s="357"/>
      <c r="EA252" s="357"/>
      <c r="EB252" s="357"/>
      <c r="EC252" s="357"/>
      <c r="ED252" s="357"/>
      <c r="EE252" s="357"/>
      <c r="EF252" s="357"/>
      <c r="EG252" s="357"/>
      <c r="EH252" s="357"/>
      <c r="EI252" s="357"/>
      <c r="EJ252" s="357"/>
      <c r="EK252" s="357"/>
      <c r="EL252" s="357"/>
      <c r="EM252" s="357"/>
      <c r="EN252" s="357"/>
      <c r="EO252" s="357"/>
      <c r="EP252" s="357"/>
      <c r="EQ252" s="357"/>
      <c r="ER252" s="357"/>
      <c r="ES252" s="357"/>
      <c r="ET252" s="357"/>
      <c r="EU252" s="357"/>
      <c r="EV252" s="357"/>
      <c r="EW252" s="357"/>
      <c r="EX252" s="357"/>
      <c r="EY252" s="357"/>
      <c r="EZ252" s="357"/>
      <c r="FA252" s="357"/>
      <c r="FB252" s="357"/>
      <c r="FC252" s="357"/>
      <c r="FD252" s="357"/>
      <c r="FE252" s="357"/>
      <c r="FF252" s="357"/>
      <c r="FG252" s="357"/>
      <c r="FH252" s="357"/>
      <c r="FI252" s="357"/>
      <c r="FJ252" s="357"/>
      <c r="FK252" s="357"/>
      <c r="FL252" s="357"/>
      <c r="FM252" s="357"/>
      <c r="FN252" s="357"/>
      <c r="FO252" s="357"/>
      <c r="FP252" s="357"/>
      <c r="FQ252" s="357"/>
      <c r="FR252" s="357"/>
      <c r="FS252" s="357"/>
      <c r="FT252" s="357"/>
      <c r="FU252" s="357"/>
      <c r="FV252" s="357"/>
      <c r="FW252" s="357"/>
      <c r="FX252" s="357"/>
      <c r="FY252" s="357"/>
      <c r="FZ252" s="357"/>
      <c r="GA252" s="357"/>
      <c r="GB252" s="357"/>
      <c r="GC252" s="357"/>
      <c r="GD252" s="357"/>
      <c r="GE252" s="357"/>
      <c r="GF252" s="357"/>
      <c r="GG252" s="357"/>
      <c r="GH252" s="357"/>
      <c r="GI252" s="357"/>
      <c r="GJ252" s="357"/>
      <c r="GK252" s="154"/>
      <c r="GL252" s="154"/>
      <c r="GM252" s="154"/>
      <c r="GN252" s="154"/>
      <c r="GO252" s="154"/>
      <c r="GP252" s="154"/>
      <c r="GQ252" s="154"/>
      <c r="GR252" s="154"/>
      <c r="GS252" s="154"/>
      <c r="GT252" s="154"/>
      <c r="GU252" s="154"/>
      <c r="GV252" s="154"/>
      <c r="GW252" s="154"/>
      <c r="GX252" s="154"/>
    </row>
    <row r="253" spans="7:206">
      <c r="G253" s="154"/>
      <c r="H253" s="154"/>
      <c r="I253" s="154"/>
      <c r="J253" s="154"/>
      <c r="K253" s="154"/>
      <c r="L253" s="154"/>
      <c r="M253" s="154"/>
      <c r="N253" s="154"/>
      <c r="O253" s="154"/>
      <c r="P253" s="154"/>
      <c r="Q253" s="154"/>
      <c r="R253" s="154"/>
      <c r="S253" s="154"/>
      <c r="T253" s="154"/>
      <c r="U253" s="154"/>
      <c r="V253" s="154"/>
      <c r="W253" s="154"/>
      <c r="X253" s="154"/>
      <c r="Y253" s="154"/>
      <c r="Z253" s="357"/>
      <c r="AA253" s="357"/>
      <c r="AB253" s="357"/>
      <c r="AC253" s="357"/>
      <c r="AD253" s="357"/>
      <c r="AE253" s="357"/>
      <c r="AF253" s="357"/>
      <c r="AG253" s="357"/>
      <c r="AH253" s="357"/>
      <c r="AI253" s="357"/>
      <c r="AJ253" s="357"/>
      <c r="AK253" s="357"/>
      <c r="AL253" s="357"/>
      <c r="AM253" s="357"/>
      <c r="AN253" s="357"/>
      <c r="AO253" s="357"/>
      <c r="AP253" s="357"/>
      <c r="AQ253" s="357"/>
      <c r="AR253" s="357"/>
      <c r="AS253" s="357"/>
      <c r="AT253" s="357"/>
      <c r="AU253" s="357"/>
      <c r="AV253" s="357"/>
      <c r="AW253" s="357"/>
      <c r="AX253" s="357"/>
      <c r="AY253" s="357"/>
      <c r="AZ253" s="357"/>
      <c r="BA253" s="357"/>
      <c r="BB253" s="357"/>
      <c r="BC253" s="357"/>
      <c r="BD253" s="357"/>
      <c r="BE253" s="357"/>
      <c r="BF253" s="357"/>
      <c r="BG253" s="357"/>
      <c r="BH253" s="357"/>
      <c r="BI253" s="357"/>
      <c r="BJ253" s="357"/>
      <c r="BK253" s="357"/>
      <c r="BL253" s="357"/>
      <c r="BM253" s="357"/>
      <c r="BN253" s="357"/>
      <c r="BO253" s="357"/>
      <c r="BP253" s="357"/>
      <c r="BQ253" s="357"/>
      <c r="BR253" s="357"/>
      <c r="BS253" s="357"/>
      <c r="BT253" s="357"/>
      <c r="BU253" s="357"/>
      <c r="BV253" s="357"/>
      <c r="BW253" s="357"/>
      <c r="BX253" s="357"/>
      <c r="BY253" s="357"/>
      <c r="BZ253" s="357"/>
      <c r="CA253" s="357"/>
      <c r="CB253" s="357"/>
      <c r="CC253" s="357"/>
      <c r="CD253" s="357"/>
      <c r="CE253" s="357"/>
      <c r="CF253" s="357"/>
      <c r="CG253" s="357"/>
      <c r="CH253" s="357"/>
      <c r="CI253" s="357"/>
      <c r="CJ253" s="357"/>
      <c r="CK253" s="357"/>
      <c r="CL253" s="357"/>
      <c r="CM253" s="357"/>
      <c r="CN253" s="357"/>
      <c r="CO253" s="357"/>
      <c r="CP253" s="357"/>
      <c r="CQ253" s="357"/>
      <c r="CR253" s="357"/>
      <c r="CS253" s="357"/>
      <c r="CT253" s="357"/>
      <c r="CU253" s="357"/>
      <c r="CV253" s="357"/>
      <c r="CW253" s="357"/>
      <c r="CX253" s="357"/>
      <c r="CY253" s="357"/>
      <c r="CZ253" s="357"/>
      <c r="DA253" s="357"/>
      <c r="DB253" s="357"/>
      <c r="DC253" s="357"/>
      <c r="DD253" s="357"/>
      <c r="DE253" s="357"/>
      <c r="DF253" s="357"/>
      <c r="DG253" s="357"/>
      <c r="DH253" s="357"/>
      <c r="DI253" s="357"/>
      <c r="DJ253" s="357"/>
      <c r="DK253" s="357"/>
      <c r="DL253" s="357"/>
      <c r="DM253" s="357"/>
      <c r="DN253" s="357"/>
      <c r="DO253" s="357"/>
      <c r="DP253" s="357"/>
      <c r="DQ253" s="357"/>
      <c r="DR253" s="357"/>
      <c r="DS253" s="357"/>
      <c r="DT253" s="357"/>
      <c r="DU253" s="357"/>
      <c r="DV253" s="357"/>
      <c r="DW253" s="357"/>
      <c r="DX253" s="357"/>
      <c r="DY253" s="357"/>
      <c r="DZ253" s="357"/>
      <c r="EA253" s="357"/>
      <c r="EB253" s="357"/>
      <c r="EC253" s="357"/>
      <c r="ED253" s="357"/>
      <c r="EE253" s="357"/>
      <c r="EF253" s="357"/>
      <c r="EG253" s="357"/>
      <c r="EH253" s="357"/>
      <c r="EI253" s="357"/>
      <c r="EJ253" s="357"/>
      <c r="EK253" s="357"/>
      <c r="EL253" s="357"/>
      <c r="EM253" s="357"/>
      <c r="EN253" s="357"/>
      <c r="EO253" s="357"/>
      <c r="EP253" s="357"/>
      <c r="EQ253" s="357"/>
      <c r="ER253" s="357"/>
      <c r="ES253" s="357"/>
      <c r="ET253" s="357"/>
      <c r="EU253" s="357"/>
      <c r="EV253" s="357"/>
      <c r="EW253" s="357"/>
      <c r="EX253" s="357"/>
      <c r="EY253" s="357"/>
      <c r="EZ253" s="357"/>
      <c r="FA253" s="357"/>
      <c r="FB253" s="357"/>
      <c r="FC253" s="357"/>
      <c r="FD253" s="357"/>
      <c r="FE253" s="357"/>
      <c r="FF253" s="357"/>
      <c r="FG253" s="357"/>
      <c r="FH253" s="357"/>
      <c r="FI253" s="357"/>
      <c r="FJ253" s="357"/>
      <c r="FK253" s="357"/>
      <c r="FL253" s="357"/>
      <c r="FM253" s="357"/>
      <c r="FN253" s="357"/>
      <c r="FO253" s="357"/>
      <c r="FP253" s="357"/>
      <c r="FQ253" s="357"/>
      <c r="FR253" s="357"/>
      <c r="FS253" s="357"/>
      <c r="FT253" s="357"/>
      <c r="FU253" s="357"/>
      <c r="FV253" s="357"/>
      <c r="FW253" s="357"/>
      <c r="FX253" s="357"/>
      <c r="FY253" s="357"/>
      <c r="FZ253" s="357"/>
      <c r="GA253" s="357"/>
      <c r="GB253" s="357"/>
      <c r="GC253" s="357"/>
      <c r="GD253" s="357"/>
      <c r="GE253" s="357"/>
      <c r="GF253" s="357"/>
      <c r="GG253" s="357"/>
      <c r="GH253" s="357"/>
      <c r="GI253" s="357"/>
      <c r="GJ253" s="357"/>
      <c r="GK253" s="154"/>
      <c r="GL253" s="154"/>
      <c r="GM253" s="154"/>
      <c r="GN253" s="154"/>
      <c r="GO253" s="154"/>
      <c r="GP253" s="154"/>
      <c r="GQ253" s="154"/>
      <c r="GR253" s="154"/>
      <c r="GS253" s="154"/>
      <c r="GT253" s="154"/>
      <c r="GU253" s="154"/>
      <c r="GV253" s="154"/>
      <c r="GW253" s="154"/>
      <c r="GX253" s="154"/>
    </row>
    <row r="254" spans="7:206">
      <c r="G254" s="154"/>
      <c r="H254" s="154"/>
      <c r="I254" s="154"/>
      <c r="J254" s="154"/>
      <c r="K254" s="154"/>
      <c r="L254" s="154"/>
      <c r="M254" s="154"/>
      <c r="N254" s="154"/>
      <c r="O254" s="154"/>
      <c r="P254" s="154"/>
      <c r="Q254" s="154"/>
      <c r="R254" s="154"/>
      <c r="S254" s="154"/>
      <c r="T254" s="154"/>
      <c r="U254" s="154"/>
      <c r="V254" s="154"/>
      <c r="W254" s="154"/>
      <c r="X254" s="154"/>
      <c r="Y254" s="154"/>
      <c r="Z254" s="357"/>
      <c r="AA254" s="357"/>
      <c r="AB254" s="357"/>
      <c r="AC254" s="357"/>
      <c r="AD254" s="357"/>
      <c r="AE254" s="357"/>
      <c r="AF254" s="357"/>
      <c r="AG254" s="357"/>
      <c r="AH254" s="357"/>
      <c r="AI254" s="357"/>
      <c r="AJ254" s="357"/>
      <c r="AK254" s="357"/>
      <c r="AL254" s="357"/>
      <c r="AM254" s="357"/>
      <c r="AN254" s="357"/>
      <c r="AO254" s="357"/>
      <c r="AP254" s="357"/>
      <c r="AQ254" s="357"/>
      <c r="AR254" s="357"/>
      <c r="AS254" s="357"/>
      <c r="AT254" s="357"/>
      <c r="AU254" s="357"/>
      <c r="AV254" s="357"/>
      <c r="AW254" s="357"/>
      <c r="AX254" s="357"/>
      <c r="AY254" s="357"/>
      <c r="AZ254" s="357"/>
      <c r="BA254" s="357"/>
      <c r="BB254" s="357"/>
      <c r="BC254" s="357"/>
      <c r="BD254" s="357"/>
      <c r="BE254" s="357"/>
      <c r="BF254" s="357"/>
      <c r="BG254" s="357"/>
      <c r="BH254" s="357"/>
      <c r="BI254" s="357"/>
      <c r="BJ254" s="357"/>
      <c r="BK254" s="357"/>
      <c r="BL254" s="357"/>
      <c r="BM254" s="357"/>
      <c r="BN254" s="357"/>
      <c r="BO254" s="357"/>
      <c r="BP254" s="357"/>
      <c r="BQ254" s="357"/>
      <c r="BR254" s="357"/>
      <c r="BS254" s="357"/>
      <c r="BT254" s="357"/>
      <c r="BU254" s="357"/>
      <c r="BV254" s="357"/>
      <c r="BW254" s="357"/>
      <c r="BX254" s="357"/>
      <c r="BY254" s="357"/>
      <c r="BZ254" s="357"/>
      <c r="CA254" s="357"/>
      <c r="CB254" s="357"/>
      <c r="CC254" s="357"/>
      <c r="CD254" s="357"/>
      <c r="CE254" s="357"/>
      <c r="CF254" s="357"/>
      <c r="CG254" s="357"/>
      <c r="CH254" s="357"/>
      <c r="CI254" s="357"/>
      <c r="CJ254" s="357"/>
      <c r="CK254" s="357"/>
      <c r="CL254" s="357"/>
      <c r="CM254" s="357"/>
      <c r="CN254" s="357"/>
      <c r="CO254" s="357"/>
      <c r="CP254" s="357"/>
      <c r="CQ254" s="357"/>
      <c r="CR254" s="357"/>
      <c r="CS254" s="357"/>
      <c r="CT254" s="357"/>
      <c r="CU254" s="357"/>
      <c r="CV254" s="357"/>
      <c r="CW254" s="357"/>
      <c r="CX254" s="357"/>
      <c r="CY254" s="357"/>
      <c r="CZ254" s="357"/>
      <c r="DA254" s="357"/>
      <c r="DB254" s="357"/>
      <c r="DC254" s="357"/>
      <c r="DD254" s="357"/>
      <c r="DE254" s="357"/>
      <c r="DF254" s="357"/>
      <c r="DG254" s="357"/>
      <c r="DH254" s="357"/>
      <c r="DI254" s="357"/>
      <c r="DJ254" s="357"/>
      <c r="DK254" s="357"/>
      <c r="DL254" s="357"/>
      <c r="DM254" s="357"/>
      <c r="DN254" s="357"/>
      <c r="DO254" s="357"/>
      <c r="DP254" s="357"/>
      <c r="DQ254" s="357"/>
      <c r="DR254" s="357"/>
      <c r="DS254" s="357"/>
      <c r="DT254" s="357"/>
      <c r="DU254" s="357"/>
      <c r="DV254" s="357"/>
      <c r="DW254" s="357"/>
      <c r="DX254" s="357"/>
      <c r="DY254" s="357"/>
      <c r="DZ254" s="357"/>
      <c r="EA254" s="357"/>
      <c r="EB254" s="357"/>
      <c r="EC254" s="357"/>
      <c r="ED254" s="357"/>
      <c r="EE254" s="357"/>
      <c r="EF254" s="357"/>
      <c r="EG254" s="357"/>
      <c r="EH254" s="357"/>
      <c r="EI254" s="357"/>
      <c r="EJ254" s="357"/>
      <c r="EK254" s="357"/>
      <c r="EL254" s="357"/>
      <c r="EM254" s="357"/>
      <c r="EN254" s="357"/>
      <c r="EO254" s="357"/>
      <c r="EP254" s="357"/>
      <c r="EQ254" s="357"/>
      <c r="ER254" s="357"/>
      <c r="ES254" s="357"/>
      <c r="ET254" s="357"/>
      <c r="EU254" s="357"/>
      <c r="EV254" s="357"/>
      <c r="EW254" s="357"/>
      <c r="EX254" s="357"/>
      <c r="EY254" s="357"/>
      <c r="EZ254" s="357"/>
      <c r="FA254" s="357"/>
      <c r="FB254" s="357"/>
      <c r="FC254" s="357"/>
      <c r="FD254" s="357"/>
      <c r="FE254" s="357"/>
      <c r="FF254" s="357"/>
      <c r="FG254" s="357"/>
      <c r="FH254" s="357"/>
      <c r="FI254" s="357"/>
      <c r="FJ254" s="357"/>
      <c r="FK254" s="357"/>
      <c r="FL254" s="357"/>
      <c r="FM254" s="357"/>
      <c r="FN254" s="357"/>
      <c r="FO254" s="357"/>
      <c r="FP254" s="357"/>
      <c r="FQ254" s="357"/>
      <c r="FR254" s="357"/>
      <c r="FS254" s="357"/>
      <c r="FT254" s="357"/>
      <c r="FU254" s="357"/>
      <c r="FV254" s="357"/>
      <c r="FW254" s="357"/>
      <c r="FX254" s="357"/>
      <c r="FY254" s="357"/>
      <c r="FZ254" s="357"/>
      <c r="GA254" s="357"/>
      <c r="GB254" s="357"/>
      <c r="GC254" s="357"/>
      <c r="GD254" s="357"/>
      <c r="GE254" s="357"/>
      <c r="GF254" s="357"/>
      <c r="GG254" s="357"/>
      <c r="GH254" s="357"/>
      <c r="GI254" s="357"/>
      <c r="GJ254" s="357"/>
      <c r="GK254" s="154"/>
      <c r="GL254" s="154"/>
      <c r="GM254" s="154"/>
      <c r="GN254" s="154"/>
      <c r="GO254" s="154"/>
      <c r="GP254" s="154"/>
      <c r="GQ254" s="154"/>
      <c r="GR254" s="154"/>
      <c r="GS254" s="154"/>
      <c r="GT254" s="154"/>
      <c r="GU254" s="154"/>
      <c r="GV254" s="154"/>
      <c r="GW254" s="154"/>
      <c r="GX254" s="154"/>
    </row>
    <row r="255" spans="7:206">
      <c r="G255" s="154"/>
      <c r="H255" s="154"/>
      <c r="I255" s="154"/>
      <c r="J255" s="154"/>
      <c r="K255" s="154"/>
      <c r="L255" s="154"/>
      <c r="M255" s="154"/>
      <c r="N255" s="154"/>
      <c r="O255" s="154"/>
      <c r="P255" s="154"/>
      <c r="Q255" s="154"/>
      <c r="R255" s="154"/>
      <c r="S255" s="154"/>
      <c r="T255" s="154"/>
      <c r="U255" s="154"/>
      <c r="V255" s="154"/>
      <c r="W255" s="154"/>
      <c r="X255" s="154"/>
      <c r="Y255" s="154"/>
      <c r="Z255" s="357"/>
      <c r="AA255" s="357"/>
      <c r="AB255" s="357"/>
      <c r="AC255" s="357"/>
      <c r="AD255" s="357"/>
      <c r="AE255" s="357"/>
      <c r="AF255" s="357"/>
      <c r="AG255" s="357"/>
      <c r="AH255" s="357"/>
      <c r="AI255" s="357"/>
      <c r="AJ255" s="357"/>
      <c r="AK255" s="357"/>
      <c r="AL255" s="357"/>
      <c r="AM255" s="357"/>
      <c r="AN255" s="357"/>
      <c r="AO255" s="357"/>
      <c r="AP255" s="357"/>
      <c r="AQ255" s="357"/>
      <c r="AR255" s="357"/>
      <c r="AS255" s="357"/>
      <c r="AT255" s="357"/>
      <c r="AU255" s="357"/>
      <c r="AV255" s="357"/>
      <c r="AW255" s="357"/>
      <c r="AX255" s="357"/>
      <c r="AY255" s="357"/>
      <c r="AZ255" s="357"/>
      <c r="BA255" s="357"/>
      <c r="BB255" s="357"/>
      <c r="BC255" s="357"/>
      <c r="BD255" s="357"/>
      <c r="BE255" s="357"/>
      <c r="BF255" s="357"/>
      <c r="BG255" s="357"/>
      <c r="BH255" s="357"/>
      <c r="BI255" s="357"/>
      <c r="BJ255" s="357"/>
      <c r="BK255" s="357"/>
      <c r="BL255" s="357"/>
      <c r="BM255" s="357"/>
      <c r="BN255" s="357"/>
      <c r="BO255" s="357"/>
      <c r="BP255" s="357"/>
      <c r="BQ255" s="357"/>
      <c r="BR255" s="357"/>
      <c r="BS255" s="357"/>
      <c r="BT255" s="357"/>
      <c r="BU255" s="357"/>
      <c r="BV255" s="357"/>
      <c r="BW255" s="357"/>
      <c r="BX255" s="357"/>
      <c r="BY255" s="357"/>
      <c r="BZ255" s="357"/>
      <c r="CA255" s="357"/>
      <c r="CB255" s="357"/>
      <c r="CC255" s="357"/>
      <c r="CD255" s="357"/>
      <c r="CE255" s="357"/>
      <c r="CF255" s="357"/>
      <c r="CG255" s="357"/>
      <c r="CH255" s="357"/>
      <c r="CI255" s="357"/>
      <c r="CJ255" s="357"/>
      <c r="CK255" s="357"/>
      <c r="CL255" s="357"/>
      <c r="CM255" s="357"/>
      <c r="CN255" s="357"/>
      <c r="CO255" s="357"/>
      <c r="CP255" s="357"/>
      <c r="CQ255" s="357"/>
      <c r="CR255" s="357"/>
      <c r="CS255" s="357"/>
      <c r="CT255" s="357"/>
      <c r="CU255" s="357"/>
      <c r="CV255" s="357"/>
      <c r="CW255" s="357"/>
      <c r="CX255" s="357"/>
      <c r="CY255" s="357"/>
      <c r="CZ255" s="357"/>
      <c r="DA255" s="357"/>
      <c r="DB255" s="357"/>
      <c r="DC255" s="357"/>
      <c r="DD255" s="357"/>
      <c r="DE255" s="357"/>
      <c r="DF255" s="357"/>
      <c r="DG255" s="357"/>
      <c r="DH255" s="357"/>
      <c r="DI255" s="357"/>
      <c r="DJ255" s="357"/>
      <c r="DK255" s="357"/>
      <c r="DL255" s="357"/>
      <c r="DM255" s="357"/>
      <c r="DN255" s="357"/>
      <c r="DO255" s="357"/>
      <c r="DP255" s="357"/>
      <c r="DQ255" s="357"/>
      <c r="DR255" s="357"/>
      <c r="DS255" s="357"/>
      <c r="DT255" s="357"/>
      <c r="DU255" s="357"/>
      <c r="DV255" s="357"/>
      <c r="DW255" s="357"/>
      <c r="DX255" s="357"/>
      <c r="DY255" s="357"/>
      <c r="DZ255" s="357"/>
      <c r="EA255" s="357"/>
      <c r="EB255" s="357"/>
      <c r="EC255" s="357"/>
      <c r="ED255" s="357"/>
      <c r="EE255" s="357"/>
      <c r="EF255" s="357"/>
      <c r="EG255" s="357"/>
      <c r="EH255" s="357"/>
      <c r="EI255" s="357"/>
      <c r="EJ255" s="357"/>
      <c r="EK255" s="357"/>
      <c r="EL255" s="357"/>
      <c r="EM255" s="357"/>
      <c r="EN255" s="357"/>
      <c r="EO255" s="357"/>
      <c r="EP255" s="357"/>
      <c r="EQ255" s="357"/>
      <c r="ER255" s="357"/>
      <c r="ES255" s="357"/>
      <c r="ET255" s="357"/>
      <c r="EU255" s="357"/>
      <c r="EV255" s="357"/>
      <c r="EW255" s="357"/>
      <c r="EX255" s="357"/>
      <c r="EY255" s="357"/>
      <c r="EZ255" s="357"/>
      <c r="FA255" s="357"/>
      <c r="FB255" s="357"/>
      <c r="FC255" s="357"/>
      <c r="FD255" s="357"/>
      <c r="FE255" s="357"/>
      <c r="FF255" s="357"/>
      <c r="FG255" s="357"/>
      <c r="FH255" s="357"/>
      <c r="FI255" s="357"/>
      <c r="FJ255" s="357"/>
      <c r="FK255" s="357"/>
      <c r="FL255" s="357"/>
      <c r="FM255" s="357"/>
      <c r="FN255" s="357"/>
      <c r="FO255" s="357"/>
      <c r="FP255" s="357"/>
      <c r="FQ255" s="357"/>
      <c r="FR255" s="357"/>
      <c r="FS255" s="357"/>
      <c r="FT255" s="357"/>
      <c r="FU255" s="357"/>
      <c r="FV255" s="357"/>
      <c r="FW255" s="357"/>
      <c r="FX255" s="357"/>
      <c r="FY255" s="357"/>
      <c r="FZ255" s="357"/>
      <c r="GA255" s="357"/>
      <c r="GB255" s="357"/>
      <c r="GC255" s="357"/>
      <c r="GD255" s="357"/>
      <c r="GE255" s="357"/>
      <c r="GF255" s="357"/>
      <c r="GG255" s="357"/>
      <c r="GH255" s="357"/>
      <c r="GI255" s="357"/>
      <c r="GJ255" s="357"/>
      <c r="GK255" s="154"/>
      <c r="GL255" s="154"/>
      <c r="GM255" s="154"/>
      <c r="GN255" s="154"/>
      <c r="GO255" s="154"/>
      <c r="GP255" s="154"/>
      <c r="GQ255" s="154"/>
      <c r="GR255" s="154"/>
      <c r="GS255" s="154"/>
      <c r="GT255" s="154"/>
      <c r="GU255" s="154"/>
      <c r="GV255" s="154"/>
      <c r="GW255" s="154"/>
      <c r="GX255" s="154"/>
    </row>
    <row r="256" spans="7:206">
      <c r="G256" s="154"/>
      <c r="H256" s="154"/>
      <c r="I256" s="154"/>
      <c r="J256" s="154"/>
      <c r="K256" s="154"/>
      <c r="L256" s="154"/>
      <c r="M256" s="154"/>
      <c r="N256" s="154"/>
      <c r="O256" s="154"/>
      <c r="P256" s="154"/>
      <c r="Q256" s="154"/>
      <c r="R256" s="154"/>
      <c r="S256" s="154"/>
      <c r="T256" s="154"/>
      <c r="U256" s="154"/>
      <c r="V256" s="154"/>
      <c r="W256" s="154"/>
      <c r="X256" s="154"/>
      <c r="Y256" s="154"/>
      <c r="Z256" s="357"/>
      <c r="AA256" s="357"/>
      <c r="AB256" s="357"/>
      <c r="AC256" s="357"/>
      <c r="AD256" s="357"/>
      <c r="AE256" s="357"/>
      <c r="AF256" s="357"/>
      <c r="AG256" s="357"/>
      <c r="AH256" s="357"/>
      <c r="AI256" s="357"/>
      <c r="AJ256" s="357"/>
      <c r="AK256" s="357"/>
      <c r="AL256" s="357"/>
      <c r="AM256" s="357"/>
      <c r="AN256" s="357"/>
      <c r="AO256" s="357"/>
      <c r="AP256" s="357"/>
      <c r="AQ256" s="357"/>
      <c r="AR256" s="357"/>
      <c r="AS256" s="357"/>
      <c r="AT256" s="357"/>
      <c r="AU256" s="357"/>
      <c r="AV256" s="357"/>
      <c r="AW256" s="357"/>
      <c r="AX256" s="357"/>
      <c r="AY256" s="357"/>
      <c r="AZ256" s="357"/>
      <c r="BA256" s="357"/>
      <c r="BB256" s="357"/>
      <c r="BC256" s="357"/>
      <c r="BD256" s="357"/>
      <c r="BE256" s="357"/>
      <c r="BF256" s="357"/>
      <c r="BG256" s="357"/>
      <c r="BH256" s="357"/>
      <c r="BI256" s="357"/>
      <c r="BJ256" s="357"/>
      <c r="BK256" s="357"/>
      <c r="BL256" s="357"/>
      <c r="BM256" s="357"/>
      <c r="BN256" s="357"/>
      <c r="BO256" s="357"/>
      <c r="BP256" s="357"/>
      <c r="BQ256" s="357"/>
      <c r="BR256" s="357"/>
      <c r="BS256" s="357"/>
      <c r="BT256" s="357"/>
      <c r="BU256" s="357"/>
      <c r="BV256" s="357"/>
      <c r="BW256" s="357"/>
      <c r="BX256" s="357"/>
      <c r="BY256" s="357"/>
      <c r="BZ256" s="357"/>
      <c r="CA256" s="357"/>
      <c r="CB256" s="357"/>
      <c r="CC256" s="357"/>
      <c r="CD256" s="357"/>
      <c r="CE256" s="357"/>
      <c r="CF256" s="357"/>
      <c r="CG256" s="357"/>
      <c r="CH256" s="357"/>
      <c r="CI256" s="357"/>
      <c r="CJ256" s="357"/>
      <c r="CK256" s="357"/>
      <c r="CL256" s="357"/>
      <c r="CM256" s="357"/>
      <c r="CN256" s="357"/>
      <c r="CO256" s="357"/>
      <c r="CP256" s="357"/>
      <c r="CQ256" s="357"/>
      <c r="CR256" s="357"/>
      <c r="CS256" s="357"/>
      <c r="CT256" s="357"/>
      <c r="CU256" s="357"/>
      <c r="CV256" s="357"/>
      <c r="CW256" s="357"/>
      <c r="CX256" s="357"/>
      <c r="CY256" s="357"/>
      <c r="CZ256" s="357"/>
      <c r="DA256" s="357"/>
      <c r="DB256" s="357"/>
      <c r="DC256" s="357"/>
      <c r="DD256" s="357"/>
      <c r="DE256" s="357"/>
      <c r="DF256" s="357"/>
      <c r="DG256" s="357"/>
      <c r="DH256" s="357"/>
      <c r="DI256" s="357"/>
      <c r="DJ256" s="357"/>
      <c r="DK256" s="357"/>
      <c r="DL256" s="357"/>
      <c r="DM256" s="357"/>
      <c r="DN256" s="357"/>
      <c r="DO256" s="357"/>
      <c r="DP256" s="357"/>
      <c r="DQ256" s="357"/>
      <c r="DR256" s="357"/>
      <c r="DS256" s="357"/>
      <c r="DT256" s="357"/>
      <c r="DU256" s="357"/>
      <c r="DV256" s="357"/>
      <c r="DW256" s="357"/>
      <c r="DX256" s="357"/>
      <c r="DY256" s="357"/>
      <c r="DZ256" s="357"/>
      <c r="EA256" s="357"/>
      <c r="EB256" s="357"/>
      <c r="EC256" s="357"/>
      <c r="ED256" s="357"/>
      <c r="EE256" s="357"/>
      <c r="EF256" s="357"/>
      <c r="EG256" s="357"/>
      <c r="EH256" s="357"/>
      <c r="EI256" s="357"/>
      <c r="EJ256" s="357"/>
      <c r="EK256" s="357"/>
      <c r="EL256" s="357"/>
      <c r="EM256" s="357"/>
      <c r="EN256" s="357"/>
      <c r="EO256" s="357"/>
      <c r="EP256" s="357"/>
      <c r="EQ256" s="357"/>
      <c r="ER256" s="357"/>
      <c r="ES256" s="357"/>
      <c r="ET256" s="357"/>
      <c r="EU256" s="357"/>
      <c r="EV256" s="357"/>
      <c r="EW256" s="357"/>
      <c r="EX256" s="357"/>
      <c r="EY256" s="357"/>
      <c r="EZ256" s="357"/>
      <c r="FA256" s="357"/>
      <c r="FB256" s="357"/>
      <c r="FC256" s="357"/>
      <c r="FD256" s="357"/>
      <c r="FE256" s="357"/>
      <c r="FF256" s="357"/>
      <c r="FG256" s="357"/>
      <c r="FH256" s="357"/>
      <c r="FI256" s="357"/>
      <c r="FJ256" s="357"/>
      <c r="FK256" s="357"/>
      <c r="FL256" s="357"/>
      <c r="FM256" s="357"/>
      <c r="FN256" s="357"/>
      <c r="FO256" s="357"/>
      <c r="FP256" s="357"/>
      <c r="FQ256" s="357"/>
      <c r="FR256" s="357"/>
      <c r="FS256" s="357"/>
      <c r="FT256" s="357"/>
      <c r="FU256" s="357"/>
      <c r="FV256" s="357"/>
      <c r="FW256" s="357"/>
      <c r="FX256" s="357"/>
      <c r="FY256" s="357"/>
      <c r="FZ256" s="357"/>
      <c r="GA256" s="357"/>
      <c r="GB256" s="357"/>
      <c r="GC256" s="357"/>
      <c r="GD256" s="357"/>
      <c r="GE256" s="357"/>
      <c r="GF256" s="357"/>
      <c r="GG256" s="357"/>
      <c r="GH256" s="357"/>
      <c r="GI256" s="357"/>
      <c r="GJ256" s="357"/>
      <c r="GK256" s="154"/>
      <c r="GL256" s="154"/>
      <c r="GM256" s="154"/>
      <c r="GN256" s="154"/>
      <c r="GO256" s="154"/>
      <c r="GP256" s="154"/>
      <c r="GQ256" s="154"/>
      <c r="GR256" s="154"/>
      <c r="GS256" s="154"/>
      <c r="GT256" s="154"/>
      <c r="GU256" s="154"/>
      <c r="GV256" s="154"/>
      <c r="GW256" s="154"/>
      <c r="GX256" s="154"/>
    </row>
    <row r="257" spans="7:206">
      <c r="G257" s="154"/>
      <c r="H257" s="154"/>
      <c r="I257" s="154"/>
      <c r="J257" s="154"/>
      <c r="K257" s="154"/>
      <c r="L257" s="154"/>
      <c r="M257" s="154"/>
      <c r="N257" s="154"/>
      <c r="O257" s="154"/>
      <c r="P257" s="154"/>
      <c r="Q257" s="154"/>
      <c r="R257" s="154"/>
      <c r="S257" s="154"/>
      <c r="T257" s="154"/>
      <c r="U257" s="154"/>
      <c r="V257" s="154"/>
      <c r="W257" s="154"/>
      <c r="X257" s="154"/>
      <c r="Y257" s="154"/>
      <c r="Z257" s="357"/>
      <c r="AA257" s="357"/>
      <c r="AB257" s="357"/>
      <c r="AC257" s="357"/>
      <c r="AD257" s="357"/>
      <c r="AE257" s="357"/>
      <c r="AF257" s="357"/>
      <c r="AG257" s="357"/>
      <c r="AH257" s="357"/>
      <c r="AI257" s="357"/>
      <c r="AJ257" s="357"/>
      <c r="AK257" s="357"/>
      <c r="AL257" s="357"/>
      <c r="AM257" s="357"/>
      <c r="AN257" s="357"/>
      <c r="AO257" s="357"/>
      <c r="AP257" s="357"/>
      <c r="AQ257" s="357"/>
      <c r="AR257" s="357"/>
      <c r="AS257" s="357"/>
      <c r="AT257" s="357"/>
      <c r="AU257" s="357"/>
      <c r="AV257" s="357"/>
      <c r="AW257" s="357"/>
      <c r="AX257" s="357"/>
      <c r="AY257" s="357"/>
      <c r="AZ257" s="357"/>
      <c r="BA257" s="357"/>
      <c r="BB257" s="357"/>
      <c r="BC257" s="357"/>
      <c r="BD257" s="357"/>
      <c r="BE257" s="357"/>
      <c r="BF257" s="357"/>
      <c r="BG257" s="357"/>
      <c r="BH257" s="357"/>
      <c r="BI257" s="357"/>
      <c r="BJ257" s="357"/>
      <c r="BK257" s="357"/>
      <c r="BL257" s="357"/>
      <c r="BM257" s="357"/>
      <c r="BN257" s="357"/>
      <c r="BO257" s="357"/>
      <c r="BP257" s="357"/>
      <c r="BQ257" s="357"/>
      <c r="BR257" s="357"/>
      <c r="BS257" s="357"/>
      <c r="BT257" s="357"/>
      <c r="BU257" s="357"/>
      <c r="BV257" s="357"/>
      <c r="BW257" s="357"/>
      <c r="BX257" s="357"/>
      <c r="BY257" s="357"/>
      <c r="BZ257" s="357"/>
      <c r="CA257" s="357"/>
      <c r="CB257" s="357"/>
      <c r="CC257" s="357"/>
      <c r="CD257" s="357"/>
      <c r="CE257" s="357"/>
      <c r="CF257" s="357"/>
      <c r="CG257" s="357"/>
      <c r="CH257" s="357"/>
      <c r="CI257" s="357"/>
      <c r="CJ257" s="357"/>
      <c r="CK257" s="357"/>
      <c r="CL257" s="357"/>
      <c r="CM257" s="357"/>
      <c r="CN257" s="357"/>
      <c r="CO257" s="357"/>
      <c r="CP257" s="357"/>
      <c r="CQ257" s="357"/>
      <c r="CR257" s="357"/>
      <c r="CS257" s="357"/>
      <c r="CT257" s="357"/>
      <c r="CU257" s="357"/>
      <c r="CV257" s="357"/>
      <c r="CW257" s="357"/>
      <c r="CX257" s="357"/>
      <c r="CY257" s="357"/>
      <c r="CZ257" s="357"/>
      <c r="DA257" s="357"/>
      <c r="DB257" s="357"/>
      <c r="DC257" s="357"/>
      <c r="DD257" s="357"/>
      <c r="DE257" s="357"/>
      <c r="DF257" s="357"/>
      <c r="DG257" s="357"/>
      <c r="DH257" s="357"/>
      <c r="DI257" s="357"/>
      <c r="DJ257" s="357"/>
      <c r="DK257" s="357"/>
      <c r="DL257" s="357"/>
      <c r="DM257" s="357"/>
      <c r="DN257" s="357"/>
      <c r="DO257" s="357"/>
      <c r="DP257" s="357"/>
      <c r="DQ257" s="357"/>
      <c r="DR257" s="357"/>
      <c r="DS257" s="357"/>
      <c r="DT257" s="357"/>
      <c r="DU257" s="357"/>
      <c r="DV257" s="357"/>
      <c r="DW257" s="357"/>
      <c r="DX257" s="357"/>
      <c r="DY257" s="357"/>
      <c r="DZ257" s="357"/>
      <c r="EA257" s="357"/>
      <c r="EB257" s="357"/>
      <c r="EC257" s="357"/>
      <c r="ED257" s="357"/>
      <c r="EE257" s="357"/>
      <c r="EF257" s="357"/>
      <c r="EG257" s="357"/>
      <c r="EH257" s="357"/>
      <c r="EI257" s="357"/>
      <c r="EJ257" s="357"/>
      <c r="EK257" s="357"/>
      <c r="EL257" s="357"/>
      <c r="EM257" s="357"/>
      <c r="EN257" s="357"/>
      <c r="EO257" s="357"/>
      <c r="EP257" s="357"/>
      <c r="EQ257" s="357"/>
      <c r="ER257" s="357"/>
      <c r="ES257" s="357"/>
      <c r="ET257" s="357"/>
      <c r="EU257" s="357"/>
      <c r="EV257" s="357"/>
      <c r="EW257" s="357"/>
      <c r="EX257" s="357"/>
      <c r="EY257" s="357"/>
      <c r="EZ257" s="357"/>
      <c r="FA257" s="357"/>
      <c r="FB257" s="357"/>
      <c r="FC257" s="357"/>
      <c r="FD257" s="357"/>
      <c r="FE257" s="357"/>
      <c r="FF257" s="357"/>
      <c r="FG257" s="357"/>
      <c r="FH257" s="357"/>
      <c r="FI257" s="357"/>
      <c r="FJ257" s="357"/>
      <c r="FK257" s="357"/>
      <c r="FL257" s="357"/>
      <c r="FM257" s="357"/>
      <c r="FN257" s="357"/>
      <c r="FO257" s="357"/>
      <c r="FP257" s="357"/>
      <c r="FQ257" s="357"/>
      <c r="FR257" s="357"/>
      <c r="FS257" s="357"/>
      <c r="FT257" s="357"/>
      <c r="FU257" s="357"/>
      <c r="FV257" s="357"/>
      <c r="FW257" s="357"/>
      <c r="FX257" s="357"/>
      <c r="FY257" s="357"/>
      <c r="FZ257" s="357"/>
      <c r="GA257" s="357"/>
      <c r="GB257" s="357"/>
      <c r="GC257" s="357"/>
      <c r="GD257" s="357"/>
      <c r="GE257" s="357"/>
      <c r="GF257" s="357"/>
      <c r="GG257" s="357"/>
      <c r="GH257" s="357"/>
      <c r="GI257" s="357"/>
      <c r="GJ257" s="357"/>
      <c r="GK257" s="154"/>
      <c r="GL257" s="154"/>
      <c r="GM257" s="154"/>
      <c r="GN257" s="154"/>
      <c r="GO257" s="154"/>
      <c r="GP257" s="154"/>
      <c r="GQ257" s="154"/>
      <c r="GR257" s="154"/>
      <c r="GS257" s="154"/>
      <c r="GT257" s="154"/>
      <c r="GU257" s="154"/>
      <c r="GV257" s="154"/>
      <c r="GW257" s="154"/>
      <c r="GX257" s="154"/>
    </row>
    <row r="258" spans="7:206">
      <c r="G258" s="154"/>
      <c r="H258" s="154"/>
      <c r="I258" s="154"/>
      <c r="J258" s="154"/>
      <c r="K258" s="154"/>
      <c r="L258" s="154"/>
      <c r="M258" s="154"/>
      <c r="N258" s="154"/>
      <c r="O258" s="154"/>
      <c r="P258" s="154"/>
      <c r="Q258" s="154"/>
      <c r="R258" s="154"/>
      <c r="S258" s="154"/>
      <c r="T258" s="154"/>
      <c r="U258" s="154"/>
      <c r="V258" s="154"/>
      <c r="W258" s="154"/>
      <c r="X258" s="154"/>
      <c r="Y258" s="154"/>
      <c r="Z258" s="357"/>
      <c r="AA258" s="357"/>
      <c r="AB258" s="357"/>
      <c r="AC258" s="357"/>
      <c r="AD258" s="357"/>
      <c r="AE258" s="357"/>
      <c r="AF258" s="357"/>
      <c r="AG258" s="357"/>
      <c r="AH258" s="357"/>
      <c r="AI258" s="357"/>
      <c r="AJ258" s="357"/>
      <c r="AK258" s="357"/>
      <c r="AL258" s="357"/>
      <c r="AM258" s="357"/>
      <c r="AN258" s="357"/>
      <c r="AO258" s="357"/>
      <c r="AP258" s="357"/>
      <c r="AQ258" s="357"/>
      <c r="AR258" s="357"/>
      <c r="AS258" s="357"/>
      <c r="AT258" s="357"/>
      <c r="AU258" s="357"/>
      <c r="AV258" s="357"/>
      <c r="AW258" s="357"/>
      <c r="AX258" s="357"/>
      <c r="AY258" s="357"/>
      <c r="AZ258" s="357"/>
      <c r="BA258" s="357"/>
      <c r="BB258" s="357"/>
      <c r="BC258" s="357"/>
      <c r="BD258" s="357"/>
      <c r="BE258" s="357"/>
      <c r="BF258" s="357"/>
      <c r="BG258" s="357"/>
      <c r="BH258" s="357"/>
      <c r="BI258" s="357"/>
      <c r="BJ258" s="357"/>
      <c r="BK258" s="357"/>
      <c r="BL258" s="357"/>
      <c r="BM258" s="357"/>
      <c r="BN258" s="357"/>
      <c r="BO258" s="357"/>
      <c r="BP258" s="357"/>
      <c r="BQ258" s="357"/>
      <c r="BR258" s="357"/>
      <c r="BS258" s="357"/>
      <c r="BT258" s="357"/>
      <c r="BU258" s="357"/>
      <c r="BV258" s="357"/>
      <c r="BW258" s="357"/>
      <c r="BX258" s="357"/>
      <c r="BY258" s="357"/>
      <c r="BZ258" s="357"/>
      <c r="CA258" s="357"/>
      <c r="CB258" s="357"/>
      <c r="CC258" s="357"/>
      <c r="CD258" s="357"/>
      <c r="CE258" s="357"/>
      <c r="CF258" s="357"/>
      <c r="CG258" s="357"/>
      <c r="CH258" s="357"/>
      <c r="CI258" s="357"/>
      <c r="CJ258" s="357"/>
      <c r="CK258" s="357"/>
      <c r="CL258" s="357"/>
      <c r="CM258" s="357"/>
      <c r="CN258" s="357"/>
      <c r="CO258" s="357"/>
      <c r="CP258" s="357"/>
      <c r="CQ258" s="357"/>
      <c r="CR258" s="357"/>
      <c r="CS258" s="357"/>
      <c r="CT258" s="357"/>
      <c r="CU258" s="357"/>
      <c r="CV258" s="357"/>
      <c r="CW258" s="357"/>
      <c r="CX258" s="357"/>
      <c r="CY258" s="357"/>
      <c r="CZ258" s="357"/>
      <c r="DA258" s="357"/>
      <c r="DB258" s="357"/>
      <c r="DC258" s="357"/>
      <c r="DD258" s="357"/>
      <c r="DE258" s="357"/>
      <c r="DF258" s="357"/>
      <c r="DG258" s="357"/>
      <c r="DH258" s="357"/>
      <c r="DI258" s="357"/>
      <c r="DJ258" s="357"/>
      <c r="DK258" s="357"/>
      <c r="DL258" s="357"/>
      <c r="DM258" s="357"/>
      <c r="DN258" s="357"/>
      <c r="DO258" s="357"/>
      <c r="DP258" s="357"/>
      <c r="DQ258" s="357"/>
      <c r="DR258" s="357"/>
      <c r="DS258" s="357"/>
      <c r="DT258" s="357"/>
      <c r="DU258" s="357"/>
      <c r="DV258" s="357"/>
      <c r="DW258" s="357"/>
      <c r="DX258" s="357"/>
      <c r="DY258" s="357"/>
      <c r="DZ258" s="357"/>
      <c r="EA258" s="357"/>
      <c r="EB258" s="357"/>
      <c r="EC258" s="357"/>
      <c r="ED258" s="357"/>
      <c r="EE258" s="357"/>
      <c r="EF258" s="357"/>
      <c r="EG258" s="357"/>
      <c r="EH258" s="357"/>
      <c r="EI258" s="357"/>
      <c r="EJ258" s="357"/>
      <c r="EK258" s="357"/>
      <c r="EL258" s="357"/>
      <c r="EM258" s="357"/>
      <c r="EN258" s="357"/>
      <c r="EO258" s="357"/>
      <c r="EP258" s="357"/>
      <c r="EQ258" s="357"/>
      <c r="ER258" s="357"/>
      <c r="ES258" s="357"/>
      <c r="ET258" s="357"/>
      <c r="EU258" s="357"/>
      <c r="EV258" s="357"/>
      <c r="EW258" s="357"/>
      <c r="EX258" s="357"/>
      <c r="EY258" s="357"/>
      <c r="EZ258" s="357"/>
      <c r="FA258" s="357"/>
      <c r="FB258" s="357"/>
      <c r="FC258" s="357"/>
      <c r="FD258" s="357"/>
      <c r="FE258" s="357"/>
      <c r="FF258" s="357"/>
      <c r="FG258" s="357"/>
      <c r="FH258" s="357"/>
      <c r="FI258" s="357"/>
      <c r="FJ258" s="357"/>
      <c r="FK258" s="357"/>
      <c r="FL258" s="357"/>
      <c r="FM258" s="357"/>
      <c r="FN258" s="357"/>
      <c r="FO258" s="357"/>
      <c r="FP258" s="357"/>
      <c r="FQ258" s="357"/>
      <c r="FR258" s="357"/>
      <c r="FS258" s="357"/>
      <c r="FT258" s="357"/>
      <c r="FU258" s="357"/>
      <c r="FV258" s="357"/>
      <c r="FW258" s="357"/>
      <c r="FX258" s="357"/>
      <c r="FY258" s="357"/>
      <c r="FZ258" s="357"/>
      <c r="GA258" s="357"/>
      <c r="GB258" s="357"/>
      <c r="GC258" s="357"/>
      <c r="GD258" s="357"/>
      <c r="GE258" s="357"/>
      <c r="GF258" s="357"/>
      <c r="GG258" s="357"/>
      <c r="GH258" s="357"/>
      <c r="GI258" s="357"/>
      <c r="GJ258" s="357"/>
      <c r="GK258" s="154"/>
      <c r="GL258" s="154"/>
      <c r="GM258" s="154"/>
      <c r="GN258" s="154"/>
      <c r="GO258" s="154"/>
      <c r="GP258" s="154"/>
      <c r="GQ258" s="154"/>
      <c r="GR258" s="154"/>
      <c r="GS258" s="154"/>
      <c r="GT258" s="154"/>
      <c r="GU258" s="154"/>
      <c r="GV258" s="154"/>
      <c r="GW258" s="154"/>
      <c r="GX258" s="154"/>
    </row>
    <row r="259" spans="7:206">
      <c r="G259" s="154"/>
      <c r="H259" s="154"/>
      <c r="I259" s="154"/>
      <c r="J259" s="154"/>
      <c r="K259" s="154"/>
      <c r="L259" s="154"/>
      <c r="M259" s="154"/>
      <c r="N259" s="154"/>
      <c r="O259" s="154"/>
      <c r="P259" s="154"/>
      <c r="Q259" s="154"/>
      <c r="R259" s="154"/>
      <c r="S259" s="154"/>
      <c r="T259" s="154"/>
      <c r="U259" s="154"/>
      <c r="V259" s="154"/>
      <c r="W259" s="154"/>
      <c r="X259" s="154"/>
      <c r="Y259" s="154"/>
      <c r="Z259" s="357"/>
      <c r="AA259" s="357"/>
      <c r="AB259" s="357"/>
      <c r="AC259" s="357"/>
      <c r="AD259" s="357"/>
      <c r="AE259" s="357"/>
      <c r="AF259" s="357"/>
      <c r="AG259" s="357"/>
      <c r="AH259" s="357"/>
      <c r="AI259" s="357"/>
      <c r="AJ259" s="357"/>
      <c r="AK259" s="357"/>
      <c r="AL259" s="357"/>
      <c r="AM259" s="357"/>
      <c r="AN259" s="357"/>
      <c r="AO259" s="357"/>
      <c r="AP259" s="357"/>
      <c r="AQ259" s="357"/>
      <c r="AR259" s="357"/>
      <c r="AS259" s="357"/>
      <c r="AT259" s="357"/>
      <c r="AU259" s="357"/>
      <c r="AV259" s="357"/>
      <c r="AW259" s="357"/>
      <c r="AX259" s="357"/>
      <c r="AY259" s="357"/>
      <c r="AZ259" s="357"/>
      <c r="BA259" s="357"/>
      <c r="BB259" s="357"/>
      <c r="BC259" s="357"/>
      <c r="BD259" s="357"/>
      <c r="BE259" s="357"/>
      <c r="BF259" s="357"/>
      <c r="BG259" s="357"/>
      <c r="BH259" s="357"/>
      <c r="BI259" s="357"/>
      <c r="BJ259" s="357"/>
      <c r="BK259" s="357"/>
      <c r="BL259" s="357"/>
      <c r="BM259" s="357"/>
      <c r="BN259" s="357"/>
      <c r="BO259" s="357"/>
      <c r="BP259" s="357"/>
      <c r="BQ259" s="357"/>
      <c r="BR259" s="357"/>
      <c r="BS259" s="357"/>
      <c r="BT259" s="357"/>
      <c r="BU259" s="357"/>
      <c r="BV259" s="357"/>
      <c r="BW259" s="357"/>
      <c r="BX259" s="357"/>
      <c r="BY259" s="357"/>
      <c r="BZ259" s="357"/>
      <c r="CA259" s="357"/>
      <c r="CB259" s="357"/>
      <c r="CC259" s="357"/>
      <c r="CD259" s="357"/>
      <c r="CE259" s="357"/>
      <c r="CF259" s="357"/>
      <c r="CG259" s="357"/>
      <c r="CH259" s="357"/>
      <c r="CI259" s="357"/>
      <c r="CJ259" s="357"/>
      <c r="CK259" s="357"/>
      <c r="CL259" s="357"/>
      <c r="CM259" s="357"/>
      <c r="CN259" s="357"/>
      <c r="CO259" s="357"/>
      <c r="CP259" s="357"/>
      <c r="CQ259" s="357"/>
      <c r="CR259" s="357"/>
      <c r="CS259" s="357"/>
      <c r="CT259" s="357"/>
      <c r="CU259" s="357"/>
      <c r="CV259" s="357"/>
      <c r="CW259" s="357"/>
      <c r="CX259" s="357"/>
      <c r="CY259" s="357"/>
      <c r="CZ259" s="357"/>
      <c r="DA259" s="357"/>
      <c r="DB259" s="357"/>
      <c r="DC259" s="357"/>
      <c r="DD259" s="357"/>
      <c r="DE259" s="357"/>
      <c r="DF259" s="357"/>
      <c r="DG259" s="357"/>
      <c r="DH259" s="357"/>
      <c r="DI259" s="357"/>
      <c r="DJ259" s="357"/>
      <c r="DK259" s="357"/>
      <c r="DL259" s="357"/>
      <c r="DM259" s="357"/>
      <c r="DN259" s="357"/>
      <c r="DO259" s="357"/>
      <c r="DP259" s="357"/>
      <c r="DQ259" s="357"/>
      <c r="DR259" s="357"/>
      <c r="DS259" s="357"/>
      <c r="DT259" s="357"/>
      <c r="DU259" s="357"/>
      <c r="DV259" s="357"/>
      <c r="DW259" s="357"/>
      <c r="DX259" s="357"/>
      <c r="DY259" s="357"/>
      <c r="DZ259" s="357"/>
      <c r="EA259" s="357"/>
      <c r="EB259" s="357"/>
      <c r="EC259" s="357"/>
      <c r="ED259" s="357"/>
      <c r="EE259" s="357"/>
      <c r="EF259" s="357"/>
      <c r="EG259" s="357"/>
      <c r="EH259" s="357"/>
      <c r="EI259" s="357"/>
      <c r="EJ259" s="357"/>
      <c r="EK259" s="357"/>
      <c r="EL259" s="357"/>
      <c r="EM259" s="357"/>
      <c r="EN259" s="357"/>
      <c r="EO259" s="357"/>
      <c r="EP259" s="357"/>
      <c r="EQ259" s="357"/>
      <c r="ER259" s="357"/>
      <c r="ES259" s="357"/>
      <c r="ET259" s="357"/>
      <c r="EU259" s="357"/>
      <c r="EV259" s="357"/>
      <c r="EW259" s="357"/>
      <c r="EX259" s="357"/>
      <c r="EY259" s="357"/>
      <c r="EZ259" s="357"/>
      <c r="FA259" s="357"/>
      <c r="FB259" s="357"/>
      <c r="FC259" s="357"/>
      <c r="FD259" s="357"/>
      <c r="FE259" s="357"/>
      <c r="FF259" s="357"/>
      <c r="FG259" s="357"/>
      <c r="FH259" s="357"/>
      <c r="FI259" s="357"/>
      <c r="FJ259" s="357"/>
      <c r="FK259" s="357"/>
      <c r="FL259" s="357"/>
      <c r="FM259" s="357"/>
      <c r="FN259" s="357"/>
      <c r="FO259" s="357"/>
      <c r="FP259" s="357"/>
      <c r="FQ259" s="357"/>
      <c r="FR259" s="357"/>
      <c r="FS259" s="357"/>
      <c r="FT259" s="357"/>
      <c r="FU259" s="357"/>
      <c r="FV259" s="357"/>
      <c r="FW259" s="357"/>
      <c r="FX259" s="357"/>
      <c r="FY259" s="357"/>
      <c r="FZ259" s="357"/>
      <c r="GA259" s="357"/>
      <c r="GB259" s="357"/>
      <c r="GC259" s="357"/>
      <c r="GD259" s="357"/>
      <c r="GE259" s="357"/>
      <c r="GF259" s="357"/>
      <c r="GG259" s="357"/>
      <c r="GH259" s="357"/>
      <c r="GI259" s="357"/>
      <c r="GJ259" s="357"/>
      <c r="GK259" s="154"/>
      <c r="GL259" s="154"/>
      <c r="GM259" s="154"/>
      <c r="GN259" s="154"/>
      <c r="GO259" s="154"/>
      <c r="GP259" s="154"/>
      <c r="GQ259" s="154"/>
      <c r="GR259" s="154"/>
      <c r="GS259" s="154"/>
      <c r="GT259" s="154"/>
      <c r="GU259" s="154"/>
      <c r="GV259" s="154"/>
      <c r="GW259" s="154"/>
      <c r="GX259" s="154"/>
    </row>
    <row r="260" spans="7:206">
      <c r="G260" s="154"/>
      <c r="H260" s="154"/>
      <c r="I260" s="154"/>
      <c r="J260" s="154"/>
      <c r="K260" s="154"/>
      <c r="L260" s="154"/>
      <c r="M260" s="154"/>
      <c r="N260" s="154"/>
      <c r="O260" s="154"/>
      <c r="P260" s="154"/>
      <c r="Q260" s="154"/>
      <c r="R260" s="154"/>
      <c r="S260" s="154"/>
      <c r="T260" s="154"/>
      <c r="U260" s="154"/>
      <c r="V260" s="154"/>
      <c r="W260" s="154"/>
      <c r="X260" s="154"/>
      <c r="Y260" s="154"/>
      <c r="Z260" s="357"/>
      <c r="AA260" s="357"/>
      <c r="AB260" s="357"/>
      <c r="AC260" s="357"/>
      <c r="AD260" s="357"/>
      <c r="AE260" s="357"/>
      <c r="AF260" s="357"/>
      <c r="AG260" s="357"/>
      <c r="AH260" s="357"/>
      <c r="AI260" s="357"/>
      <c r="AJ260" s="357"/>
      <c r="AK260" s="357"/>
      <c r="AL260" s="357"/>
      <c r="AM260" s="357"/>
      <c r="AN260" s="357"/>
      <c r="AO260" s="357"/>
      <c r="AP260" s="357"/>
      <c r="AQ260" s="357"/>
      <c r="AR260" s="357"/>
      <c r="AS260" s="357"/>
      <c r="AT260" s="357"/>
      <c r="AU260" s="357"/>
      <c r="AV260" s="357"/>
      <c r="AW260" s="357"/>
      <c r="AX260" s="357"/>
      <c r="AY260" s="357"/>
      <c r="AZ260" s="357"/>
      <c r="BA260" s="357"/>
      <c r="BB260" s="357"/>
      <c r="BC260" s="357"/>
      <c r="BD260" s="357"/>
      <c r="BE260" s="357"/>
      <c r="BF260" s="357"/>
      <c r="BG260" s="357"/>
      <c r="BH260" s="357"/>
      <c r="BI260" s="357"/>
      <c r="BJ260" s="357"/>
      <c r="BK260" s="357"/>
      <c r="BL260" s="357"/>
      <c r="BM260" s="357"/>
      <c r="BN260" s="357"/>
      <c r="BO260" s="357"/>
      <c r="BP260" s="357"/>
      <c r="BQ260" s="357"/>
      <c r="BR260" s="357"/>
      <c r="BS260" s="357"/>
      <c r="BT260" s="357"/>
      <c r="BU260" s="357"/>
      <c r="BV260" s="357"/>
      <c r="BW260" s="357"/>
      <c r="BX260" s="357"/>
      <c r="BY260" s="357"/>
      <c r="BZ260" s="357"/>
      <c r="CA260" s="357"/>
      <c r="CB260" s="357"/>
      <c r="CC260" s="357"/>
      <c r="CD260" s="357"/>
      <c r="CE260" s="357"/>
      <c r="CF260" s="357"/>
      <c r="CG260" s="357"/>
      <c r="CH260" s="357"/>
      <c r="CI260" s="357"/>
      <c r="CJ260" s="357"/>
      <c r="CK260" s="357"/>
      <c r="CL260" s="357"/>
      <c r="CM260" s="357"/>
      <c r="CN260" s="357"/>
      <c r="CO260" s="357"/>
      <c r="CP260" s="357"/>
      <c r="CQ260" s="357"/>
      <c r="CR260" s="357"/>
      <c r="CS260" s="357"/>
      <c r="CT260" s="357"/>
      <c r="CU260" s="357"/>
      <c r="CV260" s="357"/>
      <c r="CW260" s="357"/>
      <c r="CX260" s="357"/>
      <c r="CY260" s="357"/>
      <c r="CZ260" s="357"/>
      <c r="DA260" s="357"/>
      <c r="DB260" s="357"/>
      <c r="DC260" s="357"/>
      <c r="DD260" s="357"/>
      <c r="DE260" s="357"/>
      <c r="DF260" s="357"/>
      <c r="DG260" s="357"/>
      <c r="DH260" s="357"/>
      <c r="DI260" s="357"/>
      <c r="DJ260" s="357"/>
      <c r="DK260" s="357"/>
      <c r="DL260" s="357"/>
      <c r="DM260" s="357"/>
      <c r="DN260" s="357"/>
      <c r="DO260" s="357"/>
      <c r="DP260" s="357"/>
      <c r="DQ260" s="357"/>
      <c r="DR260" s="357"/>
      <c r="DS260" s="357"/>
      <c r="DT260" s="357"/>
      <c r="DU260" s="357"/>
      <c r="DV260" s="357"/>
      <c r="DW260" s="357"/>
      <c r="DX260" s="357"/>
      <c r="DY260" s="357"/>
      <c r="DZ260" s="357"/>
      <c r="EA260" s="357"/>
      <c r="EB260" s="357"/>
      <c r="EC260" s="357"/>
      <c r="ED260" s="357"/>
      <c r="EE260" s="357"/>
      <c r="EF260" s="357"/>
      <c r="EG260" s="357"/>
      <c r="EH260" s="357"/>
      <c r="EI260" s="357"/>
      <c r="EJ260" s="357"/>
      <c r="EK260" s="357"/>
      <c r="EL260" s="357"/>
      <c r="EM260" s="357"/>
      <c r="EN260" s="357"/>
      <c r="EO260" s="357"/>
      <c r="EP260" s="357"/>
      <c r="EQ260" s="357"/>
      <c r="ER260" s="357"/>
      <c r="ES260" s="357"/>
      <c r="ET260" s="357"/>
      <c r="EU260" s="357"/>
      <c r="EV260" s="357"/>
      <c r="EW260" s="357"/>
      <c r="EX260" s="357"/>
      <c r="EY260" s="357"/>
      <c r="EZ260" s="357"/>
      <c r="FA260" s="357"/>
      <c r="FB260" s="357"/>
      <c r="FC260" s="357"/>
      <c r="FD260" s="357"/>
      <c r="FE260" s="357"/>
      <c r="FF260" s="357"/>
      <c r="FG260" s="357"/>
      <c r="FH260" s="357"/>
      <c r="FI260" s="357"/>
      <c r="FJ260" s="357"/>
      <c r="FK260" s="357"/>
      <c r="FL260" s="357"/>
      <c r="FM260" s="357"/>
      <c r="FN260" s="357"/>
      <c r="FO260" s="357"/>
      <c r="FP260" s="357"/>
      <c r="FQ260" s="357"/>
      <c r="FR260" s="357"/>
      <c r="FS260" s="357"/>
      <c r="FT260" s="357"/>
      <c r="FU260" s="357"/>
      <c r="FV260" s="357"/>
      <c r="FW260" s="357"/>
      <c r="FX260" s="357"/>
      <c r="FY260" s="357"/>
      <c r="FZ260" s="357"/>
      <c r="GA260" s="357"/>
      <c r="GB260" s="357"/>
      <c r="GC260" s="357"/>
      <c r="GD260" s="357"/>
      <c r="GE260" s="357"/>
      <c r="GF260" s="357"/>
      <c r="GG260" s="357"/>
      <c r="GH260" s="357"/>
      <c r="GI260" s="357"/>
      <c r="GJ260" s="357"/>
      <c r="GK260" s="154"/>
      <c r="GL260" s="154"/>
      <c r="GM260" s="154"/>
      <c r="GN260" s="154"/>
      <c r="GO260" s="154"/>
      <c r="GP260" s="154"/>
      <c r="GQ260" s="154"/>
      <c r="GR260" s="154"/>
      <c r="GS260" s="154"/>
      <c r="GT260" s="154"/>
      <c r="GU260" s="154"/>
      <c r="GV260" s="154"/>
      <c r="GW260" s="154"/>
      <c r="GX260" s="154"/>
    </row>
    <row r="261" spans="7:206">
      <c r="G261" s="154"/>
      <c r="H261" s="154"/>
      <c r="I261" s="154"/>
      <c r="J261" s="154"/>
      <c r="K261" s="154"/>
      <c r="L261" s="154"/>
      <c r="M261" s="154"/>
      <c r="N261" s="154"/>
      <c r="O261" s="154"/>
      <c r="P261" s="154"/>
      <c r="Q261" s="154"/>
      <c r="R261" s="154"/>
      <c r="S261" s="154"/>
      <c r="T261" s="154"/>
      <c r="U261" s="154"/>
      <c r="V261" s="154"/>
      <c r="W261" s="154"/>
      <c r="X261" s="154"/>
      <c r="Y261" s="154"/>
      <c r="Z261" s="357"/>
      <c r="AA261" s="357"/>
      <c r="AB261" s="357"/>
      <c r="AC261" s="357"/>
      <c r="AD261" s="357"/>
      <c r="AE261" s="357"/>
      <c r="AF261" s="357"/>
      <c r="AG261" s="357"/>
      <c r="AH261" s="357"/>
      <c r="AI261" s="357"/>
      <c r="AJ261" s="357"/>
      <c r="AK261" s="357"/>
      <c r="AL261" s="357"/>
      <c r="AM261" s="357"/>
      <c r="AN261" s="357"/>
      <c r="AO261" s="357"/>
      <c r="AP261" s="357"/>
      <c r="AQ261" s="357"/>
      <c r="AR261" s="357"/>
      <c r="AS261" s="357"/>
      <c r="AT261" s="357"/>
      <c r="AU261" s="357"/>
      <c r="AV261" s="357"/>
      <c r="AW261" s="357"/>
      <c r="AX261" s="357"/>
      <c r="AY261" s="357"/>
      <c r="AZ261" s="357"/>
      <c r="BA261" s="357"/>
      <c r="BB261" s="357"/>
      <c r="BC261" s="357"/>
      <c r="BD261" s="357"/>
      <c r="BE261" s="357"/>
      <c r="BF261" s="357"/>
      <c r="BG261" s="357"/>
      <c r="BH261" s="357"/>
      <c r="BI261" s="357"/>
      <c r="BJ261" s="357"/>
      <c r="BK261" s="357"/>
      <c r="BL261" s="357"/>
      <c r="BM261" s="357"/>
      <c r="BN261" s="357"/>
      <c r="BO261" s="357"/>
      <c r="BP261" s="357"/>
      <c r="BQ261" s="357"/>
      <c r="BR261" s="357"/>
      <c r="BS261" s="357"/>
      <c r="BT261" s="357"/>
      <c r="BU261" s="357"/>
      <c r="BV261" s="357"/>
      <c r="BW261" s="357"/>
      <c r="BX261" s="357"/>
      <c r="BY261" s="357"/>
      <c r="BZ261" s="357"/>
      <c r="CA261" s="357"/>
      <c r="CB261" s="357"/>
      <c r="CC261" s="357"/>
      <c r="CD261" s="357"/>
      <c r="CE261" s="357"/>
      <c r="CF261" s="357"/>
      <c r="CG261" s="357"/>
      <c r="CH261" s="357"/>
      <c r="CI261" s="357"/>
      <c r="CJ261" s="357"/>
      <c r="CK261" s="357"/>
      <c r="CL261" s="357"/>
      <c r="CM261" s="357"/>
      <c r="CN261" s="357"/>
      <c r="CO261" s="357"/>
      <c r="CP261" s="357"/>
      <c r="CQ261" s="357"/>
      <c r="CR261" s="357"/>
      <c r="CS261" s="357"/>
      <c r="CT261" s="357"/>
      <c r="CU261" s="357"/>
      <c r="CV261" s="357"/>
      <c r="CW261" s="357"/>
      <c r="CX261" s="357"/>
      <c r="CY261" s="357"/>
      <c r="CZ261" s="357"/>
      <c r="DA261" s="357"/>
      <c r="DB261" s="357"/>
      <c r="DC261" s="357"/>
      <c r="DD261" s="357"/>
      <c r="DE261" s="357"/>
      <c r="DF261" s="357"/>
      <c r="DG261" s="357"/>
      <c r="DH261" s="357"/>
      <c r="DI261" s="357"/>
      <c r="DJ261" s="357"/>
      <c r="DK261" s="357"/>
      <c r="DL261" s="357"/>
      <c r="DM261" s="357"/>
      <c r="DN261" s="357"/>
      <c r="DO261" s="357"/>
      <c r="DP261" s="357"/>
      <c r="DQ261" s="357"/>
      <c r="DR261" s="357"/>
      <c r="DS261" s="357"/>
      <c r="DT261" s="357"/>
      <c r="DU261" s="357"/>
      <c r="DV261" s="357"/>
      <c r="DW261" s="357"/>
      <c r="DX261" s="357"/>
      <c r="DY261" s="357"/>
      <c r="DZ261" s="357"/>
      <c r="EA261" s="357"/>
      <c r="EB261" s="357"/>
      <c r="EC261" s="357"/>
      <c r="ED261" s="357"/>
      <c r="EE261" s="357"/>
      <c r="EF261" s="357"/>
      <c r="EG261" s="357"/>
      <c r="EH261" s="357"/>
      <c r="EI261" s="357"/>
      <c r="EJ261" s="357"/>
      <c r="EK261" s="357"/>
      <c r="EL261" s="357"/>
      <c r="EM261" s="357"/>
      <c r="EN261" s="357"/>
      <c r="EO261" s="357"/>
      <c r="EP261" s="357"/>
      <c r="EQ261" s="357"/>
      <c r="ER261" s="357"/>
      <c r="ES261" s="357"/>
      <c r="ET261" s="357"/>
      <c r="EU261" s="357"/>
      <c r="EV261" s="357"/>
      <c r="EW261" s="357"/>
      <c r="EX261" s="357"/>
      <c r="EY261" s="357"/>
      <c r="EZ261" s="357"/>
      <c r="FA261" s="357"/>
      <c r="FB261" s="357"/>
      <c r="FC261" s="357"/>
      <c r="FD261" s="357"/>
      <c r="FE261" s="357"/>
      <c r="FF261" s="357"/>
      <c r="FG261" s="357"/>
      <c r="FH261" s="357"/>
      <c r="FI261" s="357"/>
      <c r="FJ261" s="357"/>
      <c r="FK261" s="357"/>
      <c r="FL261" s="357"/>
      <c r="FM261" s="357"/>
      <c r="FN261" s="357"/>
      <c r="FO261" s="357"/>
      <c r="FP261" s="357"/>
      <c r="FQ261" s="357"/>
      <c r="FR261" s="357"/>
      <c r="FS261" s="357"/>
      <c r="FT261" s="357"/>
      <c r="FU261" s="357"/>
      <c r="FV261" s="357"/>
      <c r="FW261" s="357"/>
      <c r="FX261" s="357"/>
      <c r="FY261" s="357"/>
      <c r="FZ261" s="357"/>
      <c r="GA261" s="357"/>
      <c r="GB261" s="357"/>
      <c r="GC261" s="357"/>
      <c r="GD261" s="357"/>
      <c r="GE261" s="357"/>
      <c r="GF261" s="357"/>
      <c r="GG261" s="357"/>
      <c r="GH261" s="357"/>
      <c r="GI261" s="357"/>
      <c r="GJ261" s="357"/>
      <c r="GK261" s="154"/>
      <c r="GL261" s="154"/>
      <c r="GM261" s="154"/>
      <c r="GN261" s="154"/>
      <c r="GO261" s="154"/>
      <c r="GP261" s="154"/>
      <c r="GQ261" s="154"/>
      <c r="GR261" s="154"/>
      <c r="GS261" s="154"/>
      <c r="GT261" s="154"/>
      <c r="GU261" s="154"/>
      <c r="GV261" s="154"/>
      <c r="GW261" s="154"/>
      <c r="GX261" s="154"/>
    </row>
    <row r="262" spans="7:206">
      <c r="G262" s="154"/>
      <c r="H262" s="154"/>
      <c r="I262" s="154"/>
      <c r="J262" s="154"/>
      <c r="K262" s="154"/>
      <c r="L262" s="154"/>
      <c r="M262" s="154"/>
      <c r="N262" s="154"/>
      <c r="O262" s="154"/>
      <c r="P262" s="154"/>
      <c r="Q262" s="154"/>
      <c r="R262" s="154"/>
      <c r="S262" s="154"/>
      <c r="T262" s="154"/>
      <c r="U262" s="154"/>
      <c r="V262" s="154"/>
      <c r="W262" s="154"/>
      <c r="X262" s="154"/>
      <c r="Y262" s="154"/>
      <c r="Z262" s="357"/>
      <c r="AA262" s="357"/>
      <c r="AB262" s="357"/>
      <c r="AC262" s="357"/>
      <c r="AD262" s="357"/>
      <c r="AE262" s="357"/>
      <c r="AF262" s="357"/>
      <c r="AG262" s="357"/>
      <c r="AH262" s="357"/>
      <c r="AI262" s="357"/>
      <c r="AJ262" s="357"/>
      <c r="AK262" s="357"/>
      <c r="AL262" s="357"/>
      <c r="AM262" s="357"/>
      <c r="AN262" s="357"/>
      <c r="AO262" s="357"/>
      <c r="AP262" s="357"/>
      <c r="AQ262" s="357"/>
      <c r="AR262" s="357"/>
      <c r="AS262" s="357"/>
      <c r="AT262" s="357"/>
      <c r="AU262" s="357"/>
      <c r="AV262" s="357"/>
      <c r="AW262" s="357"/>
      <c r="AX262" s="357"/>
      <c r="AY262" s="357"/>
      <c r="AZ262" s="357"/>
      <c r="BA262" s="357"/>
      <c r="BB262" s="357"/>
      <c r="BC262" s="357"/>
      <c r="BD262" s="357"/>
      <c r="BE262" s="357"/>
      <c r="BF262" s="357"/>
      <c r="BG262" s="357"/>
      <c r="BH262" s="357"/>
      <c r="BI262" s="357"/>
      <c r="BJ262" s="357"/>
      <c r="BK262" s="357"/>
      <c r="BL262" s="357"/>
      <c r="BM262" s="357"/>
      <c r="BN262" s="357"/>
      <c r="BO262" s="357"/>
      <c r="BP262" s="357"/>
      <c r="BQ262" s="357"/>
      <c r="BR262" s="357"/>
      <c r="BS262" s="357"/>
      <c r="BT262" s="357"/>
      <c r="BU262" s="357"/>
      <c r="BV262" s="357"/>
      <c r="BW262" s="357"/>
      <c r="BX262" s="357"/>
      <c r="BY262" s="357"/>
      <c r="BZ262" s="357"/>
      <c r="CA262" s="357"/>
      <c r="CB262" s="357"/>
      <c r="CC262" s="357"/>
      <c r="CD262" s="357"/>
      <c r="CE262" s="357"/>
      <c r="CF262" s="357"/>
      <c r="CG262" s="357"/>
      <c r="CH262" s="357"/>
      <c r="CI262" s="357"/>
      <c r="CJ262" s="357"/>
      <c r="CK262" s="357"/>
      <c r="CL262" s="357"/>
      <c r="CM262" s="357"/>
      <c r="CN262" s="357"/>
      <c r="CO262" s="357"/>
      <c r="CP262" s="357"/>
      <c r="CQ262" s="357"/>
      <c r="CR262" s="357"/>
      <c r="CS262" s="357"/>
      <c r="CT262" s="357"/>
      <c r="CU262" s="357"/>
      <c r="CV262" s="357"/>
      <c r="CW262" s="357"/>
      <c r="CX262" s="357"/>
      <c r="CY262" s="357"/>
      <c r="CZ262" s="357"/>
      <c r="DA262" s="357"/>
      <c r="DB262" s="357"/>
      <c r="DC262" s="357"/>
      <c r="DD262" s="357"/>
      <c r="DE262" s="357"/>
      <c r="DF262" s="357"/>
      <c r="DG262" s="357"/>
      <c r="DH262" s="357"/>
      <c r="DI262" s="357"/>
      <c r="DJ262" s="357"/>
      <c r="DK262" s="357"/>
      <c r="DL262" s="357"/>
      <c r="DM262" s="357"/>
      <c r="DN262" s="357"/>
      <c r="DO262" s="357"/>
      <c r="DP262" s="357"/>
      <c r="DQ262" s="357"/>
      <c r="DR262" s="357"/>
      <c r="DS262" s="357"/>
      <c r="DT262" s="357"/>
      <c r="DU262" s="357"/>
      <c r="DV262" s="357"/>
      <c r="DW262" s="357"/>
      <c r="DX262" s="357"/>
      <c r="DY262" s="357"/>
      <c r="DZ262" s="357"/>
      <c r="EA262" s="357"/>
      <c r="EB262" s="357"/>
      <c r="EC262" s="357"/>
      <c r="ED262" s="357"/>
      <c r="EE262" s="357"/>
      <c r="EF262" s="357"/>
      <c r="EG262" s="357"/>
      <c r="EH262" s="357"/>
      <c r="EI262" s="357"/>
      <c r="EJ262" s="357"/>
      <c r="EK262" s="357"/>
      <c r="EL262" s="357"/>
      <c r="EM262" s="357"/>
      <c r="EN262" s="357"/>
      <c r="EO262" s="357"/>
      <c r="EP262" s="357"/>
      <c r="EQ262" s="357"/>
      <c r="ER262" s="357"/>
      <c r="ES262" s="357"/>
      <c r="ET262" s="357"/>
      <c r="EU262" s="357"/>
      <c r="EV262" s="357"/>
      <c r="EW262" s="357"/>
      <c r="EX262" s="357"/>
      <c r="EY262" s="357"/>
      <c r="EZ262" s="357"/>
      <c r="FA262" s="357"/>
      <c r="FB262" s="357"/>
      <c r="FC262" s="357"/>
      <c r="FD262" s="357"/>
      <c r="FE262" s="357"/>
      <c r="FF262" s="357"/>
      <c r="FG262" s="357"/>
      <c r="FH262" s="357"/>
      <c r="FI262" s="357"/>
      <c r="FJ262" s="357"/>
      <c r="FK262" s="357"/>
      <c r="FL262" s="357"/>
      <c r="FM262" s="357"/>
      <c r="FN262" s="357"/>
      <c r="FO262" s="357"/>
      <c r="FP262" s="357"/>
      <c r="FQ262" s="357"/>
      <c r="FR262" s="357"/>
      <c r="FS262" s="357"/>
      <c r="FT262" s="357"/>
      <c r="FU262" s="357"/>
      <c r="FV262" s="357"/>
      <c r="FW262" s="357"/>
      <c r="FX262" s="357"/>
      <c r="FY262" s="357"/>
      <c r="FZ262" s="357"/>
      <c r="GA262" s="357"/>
      <c r="GB262" s="357"/>
      <c r="GC262" s="357"/>
      <c r="GD262" s="357"/>
      <c r="GE262" s="357"/>
      <c r="GF262" s="357"/>
      <c r="GG262" s="357"/>
      <c r="GH262" s="357"/>
      <c r="GI262" s="357"/>
      <c r="GJ262" s="357"/>
      <c r="GK262" s="154"/>
      <c r="GL262" s="154"/>
      <c r="GM262" s="154"/>
      <c r="GN262" s="154"/>
      <c r="GO262" s="154"/>
      <c r="GP262" s="154"/>
      <c r="GQ262" s="154"/>
      <c r="GR262" s="154"/>
      <c r="GS262" s="154"/>
      <c r="GT262" s="154"/>
      <c r="GU262" s="154"/>
      <c r="GV262" s="154"/>
      <c r="GW262" s="154"/>
      <c r="GX262" s="154"/>
    </row>
    <row r="263" spans="7:206">
      <c r="G263" s="154"/>
      <c r="H263" s="154"/>
      <c r="I263" s="154"/>
      <c r="J263" s="154"/>
      <c r="K263" s="154"/>
      <c r="L263" s="154"/>
      <c r="M263" s="154"/>
      <c r="N263" s="154"/>
      <c r="O263" s="154"/>
      <c r="P263" s="154"/>
      <c r="Q263" s="154"/>
      <c r="R263" s="154"/>
      <c r="S263" s="154"/>
      <c r="T263" s="154"/>
      <c r="U263" s="154"/>
      <c r="V263" s="154"/>
      <c r="W263" s="154"/>
      <c r="X263" s="154"/>
      <c r="Y263" s="154"/>
      <c r="Z263" s="357"/>
      <c r="AA263" s="357"/>
      <c r="AB263" s="357"/>
      <c r="AC263" s="357"/>
      <c r="AD263" s="357"/>
      <c r="AE263" s="357"/>
      <c r="AF263" s="357"/>
      <c r="AG263" s="357"/>
      <c r="AH263" s="357"/>
      <c r="AI263" s="357"/>
      <c r="AJ263" s="357"/>
      <c r="AK263" s="357"/>
      <c r="AL263" s="357"/>
      <c r="AM263" s="357"/>
      <c r="AN263" s="357"/>
      <c r="AO263" s="357"/>
      <c r="AP263" s="357"/>
      <c r="AQ263" s="357"/>
      <c r="AR263" s="357"/>
      <c r="AS263" s="357"/>
      <c r="AT263" s="357"/>
      <c r="AU263" s="357"/>
      <c r="AV263" s="357"/>
      <c r="AW263" s="357"/>
      <c r="AX263" s="357"/>
      <c r="AY263" s="357"/>
      <c r="AZ263" s="357"/>
      <c r="BA263" s="357"/>
      <c r="BB263" s="357"/>
      <c r="BC263" s="357"/>
      <c r="BD263" s="357"/>
      <c r="BE263" s="357"/>
      <c r="BF263" s="357"/>
      <c r="BG263" s="357"/>
      <c r="BH263" s="357"/>
      <c r="BI263" s="357"/>
      <c r="BJ263" s="357"/>
      <c r="BK263" s="357"/>
      <c r="BL263" s="357"/>
      <c r="BM263" s="357"/>
      <c r="BN263" s="357"/>
      <c r="BO263" s="357"/>
      <c r="BP263" s="357"/>
      <c r="BQ263" s="357"/>
      <c r="BR263" s="357"/>
      <c r="BS263" s="357"/>
      <c r="BT263" s="357"/>
      <c r="BU263" s="357"/>
      <c r="BV263" s="357"/>
      <c r="BW263" s="357"/>
      <c r="BX263" s="357"/>
      <c r="BY263" s="357"/>
      <c r="BZ263" s="357"/>
      <c r="CA263" s="357"/>
      <c r="CB263" s="357"/>
      <c r="CC263" s="357"/>
      <c r="CD263" s="357"/>
      <c r="CE263" s="357"/>
      <c r="CF263" s="357"/>
      <c r="CG263" s="357"/>
      <c r="CH263" s="357"/>
      <c r="CI263" s="357"/>
      <c r="CJ263" s="357"/>
      <c r="CK263" s="357"/>
      <c r="CL263" s="357"/>
      <c r="CM263" s="357"/>
      <c r="CN263" s="357"/>
      <c r="CO263" s="357"/>
      <c r="CP263" s="357"/>
      <c r="CQ263" s="357"/>
      <c r="CR263" s="357"/>
      <c r="CS263" s="357"/>
      <c r="CT263" s="357"/>
      <c r="CU263" s="357"/>
      <c r="CV263" s="357"/>
      <c r="CW263" s="357"/>
      <c r="CX263" s="357"/>
      <c r="CY263" s="357"/>
      <c r="CZ263" s="357"/>
      <c r="DA263" s="357"/>
      <c r="DB263" s="357"/>
      <c r="DC263" s="357"/>
      <c r="DD263" s="357"/>
      <c r="DE263" s="357"/>
      <c r="DF263" s="357"/>
      <c r="DG263" s="357"/>
      <c r="DH263" s="357"/>
      <c r="DI263" s="357"/>
      <c r="DJ263" s="357"/>
      <c r="DK263" s="357"/>
      <c r="DL263" s="357"/>
      <c r="DM263" s="357"/>
      <c r="DN263" s="357"/>
      <c r="DO263" s="357"/>
      <c r="DP263" s="357"/>
      <c r="DQ263" s="357"/>
      <c r="DR263" s="357"/>
      <c r="DS263" s="357"/>
      <c r="DT263" s="357"/>
      <c r="DU263" s="357"/>
      <c r="DV263" s="357"/>
      <c r="DW263" s="357"/>
      <c r="DX263" s="357"/>
      <c r="DY263" s="357"/>
      <c r="DZ263" s="357"/>
      <c r="EA263" s="357"/>
      <c r="EB263" s="357"/>
      <c r="EC263" s="357"/>
      <c r="ED263" s="357"/>
      <c r="EE263" s="357"/>
      <c r="EF263" s="357"/>
      <c r="EG263" s="357"/>
      <c r="EH263" s="357"/>
      <c r="EI263" s="357"/>
      <c r="EJ263" s="357"/>
      <c r="EK263" s="357"/>
      <c r="EL263" s="357"/>
      <c r="EM263" s="357"/>
      <c r="EN263" s="357"/>
      <c r="EO263" s="357"/>
      <c r="EP263" s="357"/>
      <c r="EQ263" s="357"/>
      <c r="ER263" s="357"/>
      <c r="ES263" s="357"/>
      <c r="ET263" s="357"/>
      <c r="EU263" s="357"/>
      <c r="EV263" s="357"/>
      <c r="EW263" s="357"/>
      <c r="EX263" s="357"/>
      <c r="EY263" s="357"/>
      <c r="EZ263" s="357"/>
      <c r="FA263" s="357"/>
      <c r="FB263" s="357"/>
      <c r="FC263" s="357"/>
      <c r="FD263" s="357"/>
      <c r="FE263" s="357"/>
      <c r="FF263" s="357"/>
      <c r="FG263" s="357"/>
      <c r="FH263" s="357"/>
      <c r="FI263" s="357"/>
      <c r="FJ263" s="357"/>
      <c r="FK263" s="357"/>
      <c r="FL263" s="357"/>
      <c r="FM263" s="357"/>
      <c r="FN263" s="357"/>
      <c r="FO263" s="357"/>
      <c r="FP263" s="357"/>
      <c r="FQ263" s="357"/>
      <c r="FR263" s="357"/>
      <c r="FS263" s="357"/>
      <c r="FT263" s="357"/>
      <c r="FU263" s="357"/>
      <c r="FV263" s="357"/>
      <c r="FW263" s="357"/>
      <c r="FX263" s="357"/>
      <c r="FY263" s="357"/>
      <c r="FZ263" s="357"/>
      <c r="GA263" s="357"/>
      <c r="GB263" s="357"/>
      <c r="GC263" s="357"/>
      <c r="GD263" s="357"/>
      <c r="GE263" s="357"/>
      <c r="GF263" s="357"/>
      <c r="GG263" s="357"/>
      <c r="GH263" s="357"/>
      <c r="GI263" s="357"/>
      <c r="GJ263" s="357"/>
      <c r="GK263" s="154"/>
      <c r="GL263" s="154"/>
      <c r="GM263" s="154"/>
      <c r="GN263" s="154"/>
      <c r="GO263" s="154"/>
      <c r="GP263" s="154"/>
      <c r="GQ263" s="154"/>
      <c r="GR263" s="154"/>
      <c r="GS263" s="154"/>
      <c r="GT263" s="154"/>
      <c r="GU263" s="154"/>
      <c r="GV263" s="154"/>
      <c r="GW263" s="154"/>
      <c r="GX263" s="154"/>
    </row>
    <row r="264" spans="7:206">
      <c r="G264" s="154"/>
      <c r="H264" s="154"/>
      <c r="I264" s="154"/>
      <c r="J264" s="154"/>
      <c r="K264" s="154"/>
      <c r="L264" s="154"/>
      <c r="M264" s="154"/>
      <c r="N264" s="154"/>
      <c r="O264" s="154"/>
      <c r="P264" s="154"/>
      <c r="Q264" s="154"/>
      <c r="R264" s="154"/>
      <c r="S264" s="154"/>
      <c r="T264" s="154"/>
      <c r="U264" s="154"/>
      <c r="V264" s="154"/>
      <c r="W264" s="154"/>
      <c r="X264" s="154"/>
      <c r="Y264" s="154"/>
      <c r="Z264" s="357"/>
      <c r="AA264" s="357"/>
      <c r="AB264" s="357"/>
      <c r="AC264" s="357"/>
      <c r="AD264" s="357"/>
      <c r="AE264" s="357"/>
      <c r="AF264" s="357"/>
      <c r="AG264" s="357"/>
      <c r="AH264" s="357"/>
      <c r="AI264" s="357"/>
      <c r="AJ264" s="357"/>
      <c r="AK264" s="357"/>
      <c r="AL264" s="357"/>
      <c r="AM264" s="357"/>
      <c r="AN264" s="357"/>
      <c r="AO264" s="357"/>
      <c r="AP264" s="357"/>
      <c r="AQ264" s="357"/>
      <c r="AR264" s="357"/>
      <c r="AS264" s="357"/>
      <c r="AT264" s="357"/>
      <c r="AU264" s="357"/>
      <c r="AV264" s="357"/>
      <c r="AW264" s="357"/>
      <c r="AX264" s="357"/>
      <c r="AY264" s="357"/>
      <c r="AZ264" s="357"/>
      <c r="BA264" s="357"/>
      <c r="BB264" s="357"/>
      <c r="BC264" s="357"/>
      <c r="BD264" s="357"/>
      <c r="BE264" s="357"/>
      <c r="BF264" s="357"/>
      <c r="BG264" s="357"/>
      <c r="BH264" s="357"/>
      <c r="BI264" s="357"/>
      <c r="BJ264" s="357"/>
      <c r="BK264" s="357"/>
      <c r="BL264" s="357"/>
      <c r="BM264" s="357"/>
      <c r="BN264" s="357"/>
      <c r="BO264" s="357"/>
      <c r="BP264" s="357"/>
      <c r="BQ264" s="357"/>
      <c r="BR264" s="357"/>
      <c r="BS264" s="357"/>
      <c r="BT264" s="357"/>
      <c r="BU264" s="357"/>
      <c r="BV264" s="357"/>
      <c r="BW264" s="357"/>
      <c r="BX264" s="357"/>
      <c r="BY264" s="357"/>
      <c r="BZ264" s="357"/>
      <c r="CA264" s="357"/>
      <c r="CB264" s="357"/>
      <c r="CC264" s="357"/>
      <c r="CD264" s="357"/>
      <c r="CE264" s="357"/>
      <c r="CF264" s="357"/>
      <c r="CG264" s="357"/>
      <c r="CH264" s="357"/>
      <c r="CI264" s="357"/>
      <c r="CJ264" s="357"/>
      <c r="CK264" s="357"/>
      <c r="CL264" s="357"/>
      <c r="CM264" s="357"/>
      <c r="CN264" s="357"/>
      <c r="CO264" s="357"/>
      <c r="CP264" s="357"/>
      <c r="CQ264" s="357"/>
      <c r="CR264" s="357"/>
      <c r="CS264" s="357"/>
      <c r="CT264" s="357"/>
      <c r="CU264" s="357"/>
      <c r="CV264" s="357"/>
      <c r="CW264" s="357"/>
      <c r="CX264" s="357"/>
      <c r="CY264" s="357"/>
      <c r="CZ264" s="357"/>
      <c r="DA264" s="357"/>
      <c r="DB264" s="357"/>
      <c r="DC264" s="357"/>
      <c r="DD264" s="357"/>
      <c r="DE264" s="357"/>
      <c r="DF264" s="357"/>
      <c r="DG264" s="357"/>
      <c r="DH264" s="357"/>
      <c r="DI264" s="357"/>
      <c r="DJ264" s="357"/>
      <c r="DK264" s="357"/>
      <c r="DL264" s="357"/>
      <c r="DM264" s="357"/>
      <c r="DN264" s="357"/>
      <c r="DO264" s="357"/>
      <c r="DP264" s="357"/>
      <c r="DQ264" s="357"/>
      <c r="DR264" s="357"/>
      <c r="DS264" s="357"/>
      <c r="DT264" s="357"/>
      <c r="DU264" s="357"/>
      <c r="DV264" s="357"/>
      <c r="DW264" s="357"/>
      <c r="DX264" s="357"/>
      <c r="DY264" s="357"/>
      <c r="DZ264" s="357"/>
      <c r="EA264" s="357"/>
      <c r="EB264" s="357"/>
      <c r="EC264" s="357"/>
      <c r="ED264" s="357"/>
      <c r="EE264" s="357"/>
      <c r="EF264" s="357"/>
      <c r="EG264" s="357"/>
      <c r="EH264" s="357"/>
      <c r="EI264" s="357"/>
      <c r="EJ264" s="357"/>
      <c r="EK264" s="357"/>
      <c r="EL264" s="357"/>
      <c r="EM264" s="357"/>
      <c r="EN264" s="357"/>
      <c r="EO264" s="357"/>
      <c r="EP264" s="357"/>
      <c r="EQ264" s="357"/>
      <c r="ER264" s="357"/>
      <c r="ES264" s="357"/>
      <c r="ET264" s="357"/>
      <c r="EU264" s="357"/>
      <c r="EV264" s="357"/>
      <c r="EW264" s="357"/>
      <c r="EX264" s="357"/>
      <c r="EY264" s="357"/>
      <c r="EZ264" s="357"/>
      <c r="FA264" s="357"/>
      <c r="FB264" s="357"/>
      <c r="FC264" s="357"/>
      <c r="FD264" s="357"/>
      <c r="FE264" s="357"/>
      <c r="FF264" s="357"/>
      <c r="FG264" s="357"/>
      <c r="FH264" s="357"/>
      <c r="FI264" s="357"/>
      <c r="FJ264" s="357"/>
      <c r="FK264" s="357"/>
      <c r="FL264" s="357"/>
      <c r="FM264" s="357"/>
      <c r="FN264" s="357"/>
      <c r="FO264" s="357"/>
      <c r="FP264" s="357"/>
      <c r="FQ264" s="357"/>
      <c r="FR264" s="357"/>
      <c r="FS264" s="357"/>
      <c r="FT264" s="357"/>
      <c r="FU264" s="357"/>
      <c r="FV264" s="357"/>
      <c r="FW264" s="357"/>
      <c r="FX264" s="357"/>
      <c r="FY264" s="357"/>
      <c r="FZ264" s="357"/>
      <c r="GA264" s="357"/>
      <c r="GB264" s="357"/>
      <c r="GC264" s="357"/>
      <c r="GD264" s="357"/>
      <c r="GE264" s="357"/>
      <c r="GF264" s="357"/>
      <c r="GG264" s="357"/>
      <c r="GH264" s="357"/>
      <c r="GI264" s="357"/>
      <c r="GJ264" s="357"/>
      <c r="GK264" s="154"/>
      <c r="GL264" s="154"/>
      <c r="GM264" s="154"/>
      <c r="GN264" s="154"/>
      <c r="GO264" s="154"/>
      <c r="GP264" s="154"/>
      <c r="GQ264" s="154"/>
      <c r="GR264" s="154"/>
      <c r="GS264" s="154"/>
      <c r="GT264" s="154"/>
      <c r="GU264" s="154"/>
      <c r="GV264" s="154"/>
      <c r="GW264" s="154"/>
      <c r="GX264" s="154"/>
    </row>
    <row r="265" spans="7:206">
      <c r="G265" s="154"/>
      <c r="H265" s="154"/>
      <c r="I265" s="154"/>
      <c r="J265" s="154"/>
      <c r="K265" s="154"/>
      <c r="L265" s="154"/>
      <c r="M265" s="154"/>
      <c r="N265" s="154"/>
      <c r="O265" s="154"/>
      <c r="P265" s="154"/>
      <c r="Q265" s="154"/>
      <c r="R265" s="154"/>
      <c r="S265" s="154"/>
      <c r="T265" s="154"/>
      <c r="U265" s="154"/>
      <c r="V265" s="154"/>
      <c r="W265" s="154"/>
      <c r="X265" s="154"/>
      <c r="Y265" s="154"/>
      <c r="Z265" s="357"/>
      <c r="AA265" s="357"/>
      <c r="AB265" s="357"/>
      <c r="AC265" s="357"/>
      <c r="AD265" s="357"/>
      <c r="AE265" s="357"/>
      <c r="AF265" s="357"/>
      <c r="AG265" s="357"/>
      <c r="AH265" s="357"/>
      <c r="AI265" s="357"/>
      <c r="AJ265" s="357"/>
      <c r="AK265" s="357"/>
      <c r="AL265" s="357"/>
      <c r="AM265" s="357"/>
      <c r="AN265" s="357"/>
      <c r="AO265" s="357"/>
      <c r="AP265" s="357"/>
      <c r="AQ265" s="357"/>
      <c r="AR265" s="357"/>
      <c r="AS265" s="357"/>
      <c r="AT265" s="357"/>
      <c r="AU265" s="357"/>
      <c r="AV265" s="357"/>
      <c r="AW265" s="357"/>
      <c r="AX265" s="357"/>
      <c r="AY265" s="357"/>
      <c r="AZ265" s="357"/>
      <c r="BA265" s="357"/>
      <c r="BB265" s="357"/>
      <c r="BC265" s="357"/>
      <c r="BD265" s="357"/>
      <c r="BE265" s="357"/>
      <c r="BF265" s="357"/>
      <c r="BG265" s="357"/>
      <c r="BH265" s="357"/>
      <c r="BI265" s="357"/>
      <c r="BJ265" s="357"/>
      <c r="BK265" s="357"/>
      <c r="BL265" s="357"/>
      <c r="BM265" s="357"/>
      <c r="BN265" s="357"/>
      <c r="BO265" s="357"/>
      <c r="BP265" s="357"/>
      <c r="BQ265" s="357"/>
      <c r="BR265" s="357"/>
      <c r="BS265" s="357"/>
      <c r="BT265" s="357"/>
      <c r="BU265" s="357"/>
      <c r="BV265" s="357"/>
      <c r="BW265" s="357"/>
      <c r="BX265" s="357"/>
      <c r="BY265" s="357"/>
      <c r="BZ265" s="357"/>
      <c r="CA265" s="357"/>
      <c r="CB265" s="357"/>
      <c r="CC265" s="357"/>
      <c r="CD265" s="357"/>
      <c r="CE265" s="357"/>
      <c r="CF265" s="357"/>
      <c r="CG265" s="357"/>
      <c r="CH265" s="357"/>
      <c r="CI265" s="357"/>
      <c r="CJ265" s="357"/>
      <c r="CK265" s="357"/>
      <c r="CL265" s="357"/>
      <c r="CM265" s="357"/>
      <c r="CN265" s="357"/>
      <c r="CO265" s="357"/>
      <c r="CP265" s="357"/>
      <c r="CQ265" s="357"/>
      <c r="CR265" s="357"/>
      <c r="CS265" s="357"/>
      <c r="CT265" s="357"/>
      <c r="CU265" s="357"/>
      <c r="CV265" s="357"/>
      <c r="CW265" s="357"/>
      <c r="CX265" s="357"/>
      <c r="CY265" s="357"/>
      <c r="CZ265" s="357"/>
      <c r="DA265" s="357"/>
      <c r="DB265" s="357"/>
      <c r="DC265" s="357"/>
      <c r="DD265" s="357"/>
      <c r="DE265" s="357"/>
      <c r="DF265" s="357"/>
      <c r="DG265" s="357"/>
      <c r="DH265" s="357"/>
      <c r="DI265" s="357"/>
      <c r="DJ265" s="357"/>
      <c r="DK265" s="357"/>
      <c r="DL265" s="357"/>
      <c r="DM265" s="357"/>
      <c r="DN265" s="357"/>
      <c r="DO265" s="357"/>
      <c r="DP265" s="357"/>
      <c r="DQ265" s="357"/>
      <c r="DR265" s="357"/>
      <c r="DS265" s="357"/>
      <c r="DT265" s="357"/>
      <c r="DU265" s="357"/>
      <c r="DV265" s="357"/>
      <c r="DW265" s="357"/>
      <c r="DX265" s="357"/>
      <c r="DY265" s="357"/>
      <c r="DZ265" s="357"/>
      <c r="EA265" s="357"/>
      <c r="EB265" s="357"/>
      <c r="EC265" s="357"/>
      <c r="ED265" s="357"/>
      <c r="EE265" s="357"/>
      <c r="EF265" s="357"/>
      <c r="EG265" s="357"/>
      <c r="EH265" s="357"/>
      <c r="EI265" s="357"/>
      <c r="EJ265" s="357"/>
      <c r="EK265" s="357"/>
      <c r="EL265" s="357"/>
      <c r="EM265" s="357"/>
      <c r="EN265" s="357"/>
      <c r="EO265" s="357"/>
      <c r="EP265" s="357"/>
      <c r="EQ265" s="357"/>
      <c r="ER265" s="357"/>
      <c r="ES265" s="357"/>
      <c r="ET265" s="357"/>
      <c r="EU265" s="357"/>
      <c r="EV265" s="357"/>
      <c r="EW265" s="357"/>
      <c r="EX265" s="357"/>
      <c r="EY265" s="357"/>
      <c r="EZ265" s="357"/>
      <c r="FA265" s="357"/>
      <c r="FB265" s="357"/>
      <c r="FC265" s="357"/>
      <c r="FD265" s="357"/>
      <c r="FE265" s="357"/>
      <c r="FF265" s="357"/>
      <c r="FG265" s="357"/>
      <c r="FH265" s="357"/>
      <c r="FI265" s="357"/>
      <c r="FJ265" s="357"/>
      <c r="FK265" s="357"/>
      <c r="FL265" s="357"/>
      <c r="FM265" s="357"/>
      <c r="FN265" s="357"/>
      <c r="FO265" s="357"/>
      <c r="FP265" s="357"/>
      <c r="FQ265" s="357"/>
      <c r="FR265" s="357"/>
      <c r="FS265" s="357"/>
      <c r="FT265" s="357"/>
      <c r="FU265" s="357"/>
      <c r="FV265" s="357"/>
      <c r="FW265" s="357"/>
      <c r="FX265" s="357"/>
      <c r="FY265" s="357"/>
      <c r="FZ265" s="357"/>
      <c r="GA265" s="357"/>
      <c r="GB265" s="357"/>
      <c r="GC265" s="357"/>
      <c r="GD265" s="357"/>
      <c r="GE265" s="357"/>
      <c r="GF265" s="357"/>
      <c r="GG265" s="357"/>
      <c r="GH265" s="357"/>
      <c r="GI265" s="357"/>
      <c r="GJ265" s="357"/>
      <c r="GK265" s="154"/>
      <c r="GL265" s="154"/>
      <c r="GM265" s="154"/>
      <c r="GN265" s="154"/>
      <c r="GO265" s="154"/>
      <c r="GP265" s="154"/>
      <c r="GQ265" s="154"/>
      <c r="GR265" s="154"/>
      <c r="GS265" s="154"/>
      <c r="GT265" s="154"/>
      <c r="GU265" s="154"/>
      <c r="GV265" s="154"/>
      <c r="GW265" s="154"/>
      <c r="GX265" s="154"/>
    </row>
    <row r="266" spans="7:206">
      <c r="G266" s="154"/>
      <c r="H266" s="154"/>
      <c r="I266" s="154"/>
      <c r="J266" s="154"/>
      <c r="K266" s="154"/>
      <c r="L266" s="154"/>
      <c r="M266" s="154"/>
      <c r="N266" s="154"/>
      <c r="O266" s="154"/>
      <c r="P266" s="154"/>
      <c r="Q266" s="154"/>
      <c r="R266" s="154"/>
      <c r="S266" s="154"/>
      <c r="T266" s="154"/>
      <c r="U266" s="154"/>
      <c r="V266" s="154"/>
      <c r="W266" s="154"/>
      <c r="X266" s="154"/>
      <c r="Y266" s="154"/>
      <c r="Z266" s="357"/>
      <c r="AA266" s="357"/>
      <c r="AB266" s="357"/>
      <c r="AC266" s="357"/>
      <c r="AD266" s="357"/>
      <c r="AE266" s="357"/>
      <c r="AF266" s="357"/>
      <c r="AG266" s="357"/>
      <c r="AH266" s="357"/>
      <c r="AI266" s="357"/>
      <c r="AJ266" s="357"/>
      <c r="AK266" s="357"/>
      <c r="AL266" s="357"/>
      <c r="AM266" s="357"/>
      <c r="AN266" s="357"/>
      <c r="AO266" s="357"/>
      <c r="AP266" s="357"/>
      <c r="AQ266" s="357"/>
      <c r="AR266" s="357"/>
      <c r="AS266" s="357"/>
      <c r="AT266" s="357"/>
      <c r="AU266" s="357"/>
      <c r="AV266" s="357"/>
      <c r="AW266" s="357"/>
      <c r="AX266" s="357"/>
      <c r="AY266" s="357"/>
      <c r="AZ266" s="357"/>
      <c r="BA266" s="357"/>
      <c r="BB266" s="357"/>
      <c r="BC266" s="357"/>
      <c r="BD266" s="357"/>
      <c r="BE266" s="357"/>
      <c r="BF266" s="357"/>
      <c r="BG266" s="357"/>
      <c r="BH266" s="357"/>
      <c r="BI266" s="357"/>
      <c r="BJ266" s="357"/>
      <c r="BK266" s="357"/>
      <c r="BL266" s="357"/>
      <c r="BM266" s="357"/>
      <c r="BN266" s="357"/>
      <c r="BO266" s="357"/>
      <c r="BP266" s="357"/>
      <c r="BQ266" s="357"/>
      <c r="BR266" s="357"/>
      <c r="BS266" s="357"/>
      <c r="BT266" s="357"/>
      <c r="BU266" s="357"/>
      <c r="BV266" s="357"/>
      <c r="BW266" s="357"/>
      <c r="BX266" s="357"/>
      <c r="BY266" s="357"/>
      <c r="BZ266" s="357"/>
      <c r="CA266" s="357"/>
      <c r="CB266" s="357"/>
      <c r="CC266" s="357"/>
      <c r="CD266" s="357"/>
      <c r="CE266" s="357"/>
      <c r="CF266" s="357"/>
      <c r="CG266" s="357"/>
      <c r="CH266" s="357"/>
      <c r="CI266" s="357"/>
      <c r="CJ266" s="357"/>
      <c r="CK266" s="357"/>
      <c r="CL266" s="357"/>
      <c r="CM266" s="357"/>
      <c r="CN266" s="357"/>
      <c r="CO266" s="357"/>
      <c r="CP266" s="357"/>
      <c r="CQ266" s="357"/>
      <c r="CR266" s="357"/>
      <c r="CS266" s="357"/>
      <c r="CT266" s="357"/>
      <c r="CU266" s="357"/>
      <c r="CV266" s="357"/>
      <c r="CW266" s="357"/>
      <c r="CX266" s="357"/>
      <c r="CY266" s="357"/>
      <c r="CZ266" s="357"/>
      <c r="DA266" s="357"/>
      <c r="DB266" s="357"/>
      <c r="DC266" s="357"/>
      <c r="DD266" s="357"/>
      <c r="DE266" s="357"/>
      <c r="DF266" s="357"/>
      <c r="DG266" s="357"/>
      <c r="DH266" s="357"/>
      <c r="DI266" s="357"/>
      <c r="DJ266" s="357"/>
      <c r="DK266" s="357"/>
      <c r="DL266" s="357"/>
      <c r="DM266" s="357"/>
      <c r="DN266" s="357"/>
      <c r="DO266" s="357"/>
      <c r="DP266" s="357"/>
      <c r="DQ266" s="357"/>
      <c r="DR266" s="357"/>
      <c r="DS266" s="357"/>
      <c r="DT266" s="357"/>
      <c r="DU266" s="357"/>
      <c r="DV266" s="357"/>
      <c r="DW266" s="357"/>
      <c r="DX266" s="357"/>
      <c r="DY266" s="357"/>
      <c r="DZ266" s="357"/>
      <c r="EA266" s="357"/>
      <c r="EB266" s="357"/>
      <c r="EC266" s="357"/>
      <c r="ED266" s="357"/>
      <c r="EE266" s="357"/>
      <c r="EF266" s="357"/>
      <c r="EG266" s="357"/>
      <c r="EH266" s="357"/>
      <c r="EI266" s="357"/>
      <c r="EJ266" s="357"/>
      <c r="EK266" s="357"/>
      <c r="EL266" s="357"/>
      <c r="EM266" s="357"/>
      <c r="EN266" s="357"/>
      <c r="EO266" s="357"/>
      <c r="EP266" s="357"/>
      <c r="EQ266" s="357"/>
      <c r="ER266" s="357"/>
      <c r="ES266" s="357"/>
      <c r="ET266" s="357"/>
      <c r="EU266" s="357"/>
      <c r="EV266" s="357"/>
      <c r="EW266" s="357"/>
      <c r="EX266" s="357"/>
      <c r="EY266" s="357"/>
      <c r="EZ266" s="357"/>
      <c r="FA266" s="357"/>
      <c r="FB266" s="357"/>
      <c r="FC266" s="357"/>
      <c r="FD266" s="357"/>
      <c r="FE266" s="357"/>
      <c r="FF266" s="357"/>
      <c r="FG266" s="357"/>
      <c r="FH266" s="357"/>
      <c r="FI266" s="357"/>
      <c r="FJ266" s="357"/>
      <c r="FK266" s="357"/>
      <c r="FL266" s="357"/>
      <c r="FM266" s="357"/>
      <c r="FN266" s="357"/>
      <c r="FO266" s="357"/>
      <c r="FP266" s="357"/>
      <c r="FQ266" s="357"/>
      <c r="FR266" s="357"/>
      <c r="FS266" s="357"/>
      <c r="FT266" s="357"/>
      <c r="FU266" s="357"/>
      <c r="FV266" s="357"/>
      <c r="FW266" s="357"/>
      <c r="FX266" s="357"/>
      <c r="FY266" s="357"/>
      <c r="FZ266" s="357"/>
      <c r="GA266" s="357"/>
      <c r="GB266" s="357"/>
      <c r="GC266" s="357"/>
      <c r="GD266" s="357"/>
      <c r="GE266" s="357"/>
      <c r="GF266" s="357"/>
      <c r="GG266" s="357"/>
      <c r="GH266" s="357"/>
      <c r="GI266" s="357"/>
      <c r="GJ266" s="357"/>
      <c r="GK266" s="154"/>
      <c r="GL266" s="154"/>
      <c r="GM266" s="154"/>
      <c r="GN266" s="154"/>
      <c r="GO266" s="154"/>
      <c r="GP266" s="154"/>
      <c r="GQ266" s="154"/>
      <c r="GR266" s="154"/>
      <c r="GS266" s="154"/>
      <c r="GT266" s="154"/>
      <c r="GU266" s="154"/>
      <c r="GV266" s="154"/>
      <c r="GW266" s="154"/>
      <c r="GX266" s="154"/>
    </row>
    <row r="267" spans="7:206">
      <c r="G267" s="154"/>
      <c r="H267" s="154"/>
      <c r="I267" s="154"/>
      <c r="J267" s="154"/>
      <c r="K267" s="154"/>
      <c r="L267" s="154"/>
      <c r="M267" s="154"/>
      <c r="N267" s="154"/>
      <c r="O267" s="154"/>
      <c r="P267" s="154"/>
      <c r="Q267" s="154"/>
      <c r="R267" s="154"/>
      <c r="S267" s="154"/>
      <c r="T267" s="154"/>
      <c r="U267" s="154"/>
      <c r="V267" s="154"/>
      <c r="W267" s="154"/>
      <c r="X267" s="154"/>
      <c r="Y267" s="154"/>
      <c r="Z267" s="357"/>
      <c r="AA267" s="357"/>
      <c r="AB267" s="357"/>
      <c r="AC267" s="357"/>
      <c r="AD267" s="357"/>
      <c r="AE267" s="357"/>
      <c r="AF267" s="357"/>
      <c r="AG267" s="357"/>
      <c r="AH267" s="357"/>
      <c r="AI267" s="357"/>
      <c r="AJ267" s="357"/>
      <c r="AK267" s="357"/>
      <c r="AL267" s="357"/>
      <c r="AM267" s="357"/>
      <c r="AN267" s="357"/>
      <c r="AO267" s="357"/>
      <c r="AP267" s="357"/>
      <c r="AQ267" s="357"/>
      <c r="AR267" s="357"/>
      <c r="AS267" s="357"/>
      <c r="AT267" s="357"/>
      <c r="AU267" s="357"/>
      <c r="AV267" s="357"/>
      <c r="AW267" s="357"/>
      <c r="AX267" s="357"/>
      <c r="AY267" s="357"/>
      <c r="AZ267" s="357"/>
      <c r="BA267" s="357"/>
      <c r="BB267" s="357"/>
      <c r="BC267" s="357"/>
      <c r="BD267" s="357"/>
      <c r="BE267" s="357"/>
      <c r="BF267" s="357"/>
      <c r="BG267" s="357"/>
      <c r="BH267" s="357"/>
      <c r="BI267" s="357"/>
      <c r="BJ267" s="357"/>
      <c r="BK267" s="357"/>
      <c r="BL267" s="357"/>
      <c r="BM267" s="357"/>
      <c r="BN267" s="357"/>
      <c r="BO267" s="357"/>
      <c r="BP267" s="357"/>
      <c r="BQ267" s="357"/>
      <c r="BR267" s="357"/>
      <c r="BS267" s="357"/>
      <c r="BT267" s="357"/>
      <c r="BU267" s="357"/>
      <c r="BV267" s="357"/>
      <c r="BW267" s="357"/>
      <c r="BX267" s="357"/>
      <c r="BY267" s="357"/>
      <c r="BZ267" s="357"/>
      <c r="CA267" s="357"/>
      <c r="CB267" s="357"/>
      <c r="CC267" s="357"/>
      <c r="CD267" s="357"/>
      <c r="CE267" s="357"/>
      <c r="CF267" s="357"/>
      <c r="CG267" s="357"/>
      <c r="CH267" s="357"/>
      <c r="CI267" s="357"/>
      <c r="CJ267" s="357"/>
      <c r="CK267" s="357"/>
      <c r="CL267" s="357"/>
      <c r="CM267" s="357"/>
      <c r="CN267" s="357"/>
      <c r="CO267" s="357"/>
      <c r="CP267" s="357"/>
      <c r="CQ267" s="357"/>
      <c r="CR267" s="357"/>
      <c r="CS267" s="357"/>
      <c r="CT267" s="357"/>
      <c r="CU267" s="357"/>
      <c r="CV267" s="357"/>
      <c r="CW267" s="357"/>
      <c r="CX267" s="357"/>
      <c r="CY267" s="357"/>
      <c r="CZ267" s="357"/>
      <c r="DA267" s="357"/>
      <c r="DB267" s="357"/>
      <c r="DC267" s="357"/>
      <c r="DD267" s="357"/>
      <c r="DE267" s="357"/>
      <c r="DF267" s="357"/>
      <c r="DG267" s="357"/>
      <c r="DH267" s="357"/>
      <c r="DI267" s="357"/>
      <c r="DJ267" s="357"/>
      <c r="DK267" s="357"/>
      <c r="DL267" s="357"/>
      <c r="DM267" s="357"/>
      <c r="DN267" s="357"/>
      <c r="DO267" s="357"/>
      <c r="DP267" s="357"/>
      <c r="DQ267" s="357"/>
      <c r="DR267" s="357"/>
      <c r="DS267" s="357"/>
      <c r="DT267" s="357"/>
      <c r="DU267" s="357"/>
      <c r="DV267" s="357"/>
      <c r="DW267" s="357"/>
      <c r="DX267" s="357"/>
      <c r="DY267" s="357"/>
      <c r="DZ267" s="357"/>
      <c r="EA267" s="357"/>
      <c r="EB267" s="357"/>
      <c r="EC267" s="357"/>
      <c r="ED267" s="357"/>
      <c r="EE267" s="357"/>
      <c r="EF267" s="357"/>
      <c r="EG267" s="357"/>
      <c r="EH267" s="357"/>
      <c r="EI267" s="357"/>
      <c r="EJ267" s="357"/>
      <c r="EK267" s="357"/>
      <c r="EL267" s="357"/>
      <c r="EM267" s="357"/>
      <c r="EN267" s="357"/>
      <c r="EO267" s="357"/>
      <c r="EP267" s="357"/>
      <c r="EQ267" s="357"/>
      <c r="ER267" s="357"/>
      <c r="ES267" s="357"/>
      <c r="ET267" s="357"/>
      <c r="EU267" s="357"/>
      <c r="EV267" s="357"/>
      <c r="EW267" s="357"/>
      <c r="EX267" s="357"/>
      <c r="EY267" s="357"/>
      <c r="EZ267" s="357"/>
      <c r="FA267" s="357"/>
      <c r="FB267" s="357"/>
      <c r="FC267" s="357"/>
      <c r="FD267" s="357"/>
      <c r="FE267" s="357"/>
      <c r="FF267" s="357"/>
      <c r="FG267" s="357"/>
      <c r="FH267" s="357"/>
      <c r="FI267" s="357"/>
      <c r="FJ267" s="357"/>
      <c r="FK267" s="357"/>
      <c r="FL267" s="357"/>
      <c r="FM267" s="357"/>
      <c r="FN267" s="357"/>
      <c r="FO267" s="357"/>
      <c r="FP267" s="357"/>
      <c r="FQ267" s="357"/>
      <c r="FR267" s="357"/>
      <c r="FS267" s="357"/>
      <c r="FT267" s="357"/>
      <c r="FU267" s="357"/>
      <c r="FV267" s="357"/>
      <c r="FW267" s="357"/>
      <c r="FX267" s="357"/>
      <c r="FY267" s="357"/>
      <c r="FZ267" s="357"/>
      <c r="GA267" s="357"/>
      <c r="GB267" s="357"/>
      <c r="GC267" s="357"/>
      <c r="GD267" s="357"/>
      <c r="GE267" s="357"/>
      <c r="GF267" s="357"/>
      <c r="GG267" s="357"/>
      <c r="GH267" s="357"/>
      <c r="GI267" s="357"/>
      <c r="GJ267" s="357"/>
      <c r="GK267" s="154"/>
      <c r="GL267" s="154"/>
      <c r="GM267" s="154"/>
      <c r="GN267" s="154"/>
      <c r="GO267" s="154"/>
      <c r="GP267" s="154"/>
      <c r="GQ267" s="154"/>
      <c r="GR267" s="154"/>
      <c r="GS267" s="154"/>
      <c r="GT267" s="154"/>
      <c r="GU267" s="154"/>
      <c r="GV267" s="154"/>
      <c r="GW267" s="154"/>
      <c r="GX267" s="154"/>
    </row>
    <row r="268" spans="7:206">
      <c r="G268" s="154"/>
      <c r="H268" s="154"/>
      <c r="I268" s="154"/>
      <c r="J268" s="154"/>
      <c r="K268" s="154"/>
      <c r="L268" s="154"/>
      <c r="M268" s="154"/>
      <c r="N268" s="154"/>
      <c r="O268" s="154"/>
      <c r="P268" s="154"/>
      <c r="Q268" s="154"/>
      <c r="R268" s="154"/>
      <c r="S268" s="154"/>
      <c r="T268" s="154"/>
      <c r="U268" s="154"/>
      <c r="V268" s="154"/>
      <c r="W268" s="154"/>
      <c r="X268" s="154"/>
      <c r="Y268" s="154"/>
      <c r="Z268" s="357"/>
      <c r="AA268" s="357"/>
      <c r="AB268" s="357"/>
      <c r="AC268" s="357"/>
      <c r="AD268" s="357"/>
      <c r="AE268" s="357"/>
      <c r="AF268" s="357"/>
      <c r="AG268" s="357"/>
      <c r="AH268" s="357"/>
      <c r="AI268" s="357"/>
      <c r="AJ268" s="357"/>
      <c r="AK268" s="357"/>
      <c r="AL268" s="357"/>
      <c r="AM268" s="357"/>
      <c r="AN268" s="357"/>
      <c r="AO268" s="357"/>
      <c r="AP268" s="357"/>
      <c r="AQ268" s="357"/>
      <c r="AR268" s="357"/>
      <c r="AS268" s="357"/>
      <c r="AT268" s="357"/>
      <c r="AU268" s="357"/>
      <c r="AV268" s="357"/>
      <c r="AW268" s="357"/>
      <c r="AX268" s="357"/>
      <c r="AY268" s="357"/>
      <c r="AZ268" s="357"/>
      <c r="BA268" s="357"/>
      <c r="BB268" s="357"/>
      <c r="BC268" s="357"/>
      <c r="BD268" s="357"/>
      <c r="BE268" s="357"/>
      <c r="BF268" s="357"/>
      <c r="BG268" s="357"/>
      <c r="BH268" s="357"/>
      <c r="BI268" s="357"/>
      <c r="BJ268" s="357"/>
      <c r="BK268" s="357"/>
      <c r="BL268" s="357"/>
      <c r="BM268" s="357"/>
      <c r="BN268" s="357"/>
      <c r="BO268" s="357"/>
      <c r="BP268" s="357"/>
      <c r="BQ268" s="357"/>
      <c r="BR268" s="357"/>
      <c r="BS268" s="357"/>
      <c r="BT268" s="357"/>
      <c r="BU268" s="357"/>
      <c r="BV268" s="357"/>
      <c r="BW268" s="357"/>
      <c r="BX268" s="357"/>
      <c r="BY268" s="357"/>
      <c r="BZ268" s="357"/>
      <c r="CA268" s="357"/>
      <c r="CB268" s="357"/>
      <c r="CC268" s="357"/>
      <c r="CD268" s="357"/>
      <c r="CE268" s="357"/>
      <c r="CF268" s="357"/>
      <c r="CG268" s="357"/>
      <c r="CH268" s="357"/>
      <c r="CI268" s="357"/>
      <c r="CJ268" s="357"/>
      <c r="CK268" s="357"/>
      <c r="CL268" s="357"/>
      <c r="CM268" s="357"/>
      <c r="CN268" s="357"/>
      <c r="CO268" s="357"/>
      <c r="CP268" s="357"/>
      <c r="CQ268" s="357"/>
      <c r="CR268" s="357"/>
      <c r="CS268" s="357"/>
      <c r="CT268" s="357"/>
      <c r="CU268" s="357"/>
      <c r="CV268" s="357"/>
      <c r="CW268" s="357"/>
      <c r="CX268" s="357"/>
      <c r="CY268" s="357"/>
      <c r="CZ268" s="357"/>
      <c r="DA268" s="357"/>
      <c r="DB268" s="357"/>
      <c r="DC268" s="357"/>
      <c r="DD268" s="357"/>
      <c r="DE268" s="357"/>
      <c r="DF268" s="357"/>
      <c r="DG268" s="357"/>
      <c r="DH268" s="357"/>
      <c r="DI268" s="357"/>
      <c r="DJ268" s="357"/>
      <c r="DK268" s="357"/>
      <c r="DL268" s="357"/>
      <c r="DM268" s="357"/>
      <c r="DN268" s="357"/>
      <c r="DO268" s="357"/>
      <c r="DP268" s="357"/>
      <c r="DQ268" s="357"/>
      <c r="DR268" s="357"/>
      <c r="DS268" s="357"/>
      <c r="DT268" s="357"/>
      <c r="DU268" s="357"/>
      <c r="DV268" s="357"/>
      <c r="DW268" s="357"/>
      <c r="DX268" s="357"/>
      <c r="DY268" s="357"/>
      <c r="DZ268" s="357"/>
      <c r="EA268" s="357"/>
      <c r="EB268" s="357"/>
      <c r="EC268" s="357"/>
      <c r="ED268" s="357"/>
      <c r="EE268" s="357"/>
      <c r="EF268" s="357"/>
      <c r="EG268" s="357"/>
      <c r="EH268" s="357"/>
      <c r="EI268" s="357"/>
      <c r="EJ268" s="357"/>
      <c r="EK268" s="357"/>
      <c r="EL268" s="357"/>
      <c r="EM268" s="357"/>
      <c r="EN268" s="357"/>
      <c r="EO268" s="357"/>
      <c r="EP268" s="357"/>
      <c r="EQ268" s="357"/>
      <c r="ER268" s="357"/>
      <c r="ES268" s="357"/>
      <c r="ET268" s="357"/>
      <c r="EU268" s="357"/>
      <c r="EV268" s="357"/>
      <c r="EW268" s="357"/>
      <c r="EX268" s="357"/>
      <c r="EY268" s="357"/>
      <c r="EZ268" s="357"/>
      <c r="FA268" s="357"/>
      <c r="FB268" s="357"/>
      <c r="FC268" s="357"/>
      <c r="FD268" s="357"/>
      <c r="FE268" s="357"/>
      <c r="FF268" s="357"/>
      <c r="FG268" s="357"/>
      <c r="FH268" s="357"/>
      <c r="FI268" s="357"/>
      <c r="FJ268" s="357"/>
      <c r="FK268" s="357"/>
      <c r="FL268" s="357"/>
      <c r="FM268" s="357"/>
      <c r="FN268" s="357"/>
      <c r="FO268" s="357"/>
      <c r="FP268" s="357"/>
      <c r="FQ268" s="357"/>
      <c r="FR268" s="357"/>
      <c r="FS268" s="357"/>
      <c r="FT268" s="357"/>
      <c r="FU268" s="357"/>
      <c r="FV268" s="357"/>
      <c r="FW268" s="357"/>
      <c r="FX268" s="357"/>
      <c r="FY268" s="357"/>
      <c r="FZ268" s="357"/>
      <c r="GA268" s="357"/>
      <c r="GB268" s="357"/>
      <c r="GC268" s="357"/>
      <c r="GD268" s="357"/>
      <c r="GE268" s="357"/>
      <c r="GF268" s="357"/>
      <c r="GG268" s="357"/>
      <c r="GH268" s="357"/>
      <c r="GI268" s="357"/>
      <c r="GJ268" s="357"/>
      <c r="GK268" s="154"/>
      <c r="GL268" s="154"/>
      <c r="GM268" s="154"/>
      <c r="GN268" s="154"/>
      <c r="GO268" s="154"/>
      <c r="GP268" s="154"/>
      <c r="GQ268" s="154"/>
      <c r="GR268" s="154"/>
      <c r="GS268" s="154"/>
      <c r="GT268" s="154"/>
      <c r="GU268" s="154"/>
      <c r="GV268" s="154"/>
      <c r="GW268" s="154"/>
      <c r="GX268" s="154"/>
    </row>
    <row r="269" spans="7:206">
      <c r="G269" s="154"/>
      <c r="H269" s="154"/>
      <c r="I269" s="154"/>
      <c r="J269" s="154"/>
      <c r="K269" s="154"/>
      <c r="L269" s="154"/>
      <c r="M269" s="154"/>
      <c r="N269" s="154"/>
      <c r="O269" s="154"/>
      <c r="P269" s="154"/>
      <c r="Q269" s="154"/>
      <c r="R269" s="154"/>
      <c r="S269" s="154"/>
      <c r="T269" s="154"/>
      <c r="U269" s="154"/>
      <c r="V269" s="154"/>
      <c r="W269" s="154"/>
      <c r="X269" s="154"/>
      <c r="Y269" s="154"/>
      <c r="Z269" s="357"/>
      <c r="AA269" s="357"/>
      <c r="AB269" s="357"/>
      <c r="AC269" s="357"/>
      <c r="AD269" s="357"/>
      <c r="AE269" s="357"/>
      <c r="AF269" s="357"/>
      <c r="AG269" s="357"/>
      <c r="AH269" s="357"/>
      <c r="AI269" s="357"/>
      <c r="AJ269" s="357"/>
      <c r="AK269" s="357"/>
      <c r="AL269" s="357"/>
      <c r="AM269" s="357"/>
      <c r="AN269" s="357"/>
      <c r="AO269" s="357"/>
      <c r="AP269" s="357"/>
      <c r="AQ269" s="357"/>
      <c r="AR269" s="357"/>
      <c r="AS269" s="357"/>
      <c r="AT269" s="357"/>
      <c r="AU269" s="357"/>
      <c r="AV269" s="357"/>
      <c r="AW269" s="357"/>
      <c r="AX269" s="357"/>
      <c r="AY269" s="357"/>
      <c r="AZ269" s="357"/>
      <c r="BA269" s="357"/>
      <c r="BB269" s="357"/>
      <c r="BC269" s="357"/>
      <c r="BD269" s="357"/>
      <c r="BE269" s="357"/>
      <c r="BF269" s="357"/>
      <c r="BG269" s="357"/>
      <c r="BH269" s="357"/>
      <c r="BI269" s="357"/>
      <c r="BJ269" s="357"/>
      <c r="BK269" s="357"/>
      <c r="BL269" s="357"/>
      <c r="BM269" s="357"/>
      <c r="BN269" s="357"/>
      <c r="BO269" s="357"/>
      <c r="BP269" s="357"/>
      <c r="BQ269" s="357"/>
      <c r="BR269" s="357"/>
      <c r="BS269" s="357"/>
      <c r="BT269" s="357"/>
      <c r="BU269" s="357"/>
      <c r="BV269" s="357"/>
      <c r="BW269" s="357"/>
      <c r="BX269" s="357"/>
      <c r="BY269" s="357"/>
      <c r="BZ269" s="357"/>
      <c r="CA269" s="357"/>
      <c r="CB269" s="357"/>
      <c r="CC269" s="357"/>
      <c r="CD269" s="357"/>
      <c r="CE269" s="357"/>
      <c r="CF269" s="357"/>
      <c r="CG269" s="357"/>
      <c r="CH269" s="357"/>
      <c r="CI269" s="357"/>
      <c r="CJ269" s="357"/>
      <c r="CK269" s="357"/>
      <c r="CL269" s="357"/>
      <c r="CM269" s="357"/>
      <c r="CN269" s="357"/>
      <c r="CO269" s="357"/>
      <c r="CP269" s="357"/>
      <c r="CQ269" s="357"/>
      <c r="CR269" s="357"/>
      <c r="CS269" s="357"/>
      <c r="CT269" s="357"/>
      <c r="CU269" s="357"/>
      <c r="CV269" s="357"/>
      <c r="CW269" s="357"/>
      <c r="CX269" s="357"/>
      <c r="CY269" s="357"/>
      <c r="CZ269" s="357"/>
      <c r="DA269" s="357"/>
      <c r="DB269" s="357"/>
      <c r="DC269" s="357"/>
      <c r="DD269" s="357"/>
      <c r="DE269" s="357"/>
      <c r="DF269" s="357"/>
      <c r="DG269" s="357"/>
      <c r="DH269" s="357"/>
      <c r="DI269" s="357"/>
      <c r="DJ269" s="357"/>
      <c r="DK269" s="357"/>
      <c r="DL269" s="357"/>
      <c r="DM269" s="357"/>
      <c r="DN269" s="357"/>
      <c r="DO269" s="357"/>
      <c r="DP269" s="357"/>
      <c r="DQ269" s="357"/>
      <c r="DR269" s="357"/>
      <c r="DS269" s="357"/>
      <c r="DT269" s="357"/>
      <c r="DU269" s="357"/>
      <c r="DV269" s="357"/>
      <c r="DW269" s="357"/>
      <c r="DX269" s="357"/>
      <c r="DY269" s="357"/>
      <c r="DZ269" s="357"/>
      <c r="EA269" s="357"/>
      <c r="EB269" s="357"/>
      <c r="EC269" s="357"/>
      <c r="ED269" s="357"/>
      <c r="EE269" s="357"/>
      <c r="EF269" s="357"/>
      <c r="EG269" s="357"/>
      <c r="EH269" s="357"/>
      <c r="EI269" s="357"/>
      <c r="EJ269" s="357"/>
      <c r="EK269" s="357"/>
      <c r="EL269" s="357"/>
      <c r="EM269" s="357"/>
      <c r="EN269" s="357"/>
      <c r="EO269" s="357"/>
      <c r="EP269" s="357"/>
      <c r="EQ269" s="357"/>
      <c r="ER269" s="357"/>
      <c r="ES269" s="357"/>
      <c r="ET269" s="357"/>
      <c r="EU269" s="357"/>
      <c r="EV269" s="357"/>
      <c r="EW269" s="357"/>
      <c r="EX269" s="357"/>
      <c r="EY269" s="357"/>
      <c r="EZ269" s="357"/>
      <c r="FA269" s="357"/>
      <c r="FB269" s="357"/>
      <c r="FC269" s="357"/>
      <c r="FD269" s="357"/>
      <c r="FE269" s="357"/>
      <c r="FF269" s="357"/>
      <c r="FG269" s="357"/>
      <c r="FH269" s="357"/>
      <c r="FI269" s="357"/>
      <c r="FJ269" s="357"/>
      <c r="FK269" s="357"/>
      <c r="FL269" s="357"/>
      <c r="FM269" s="357"/>
      <c r="FN269" s="357"/>
      <c r="FO269" s="357"/>
      <c r="FP269" s="357"/>
      <c r="FQ269" s="357"/>
      <c r="FR269" s="357"/>
      <c r="FS269" s="357"/>
      <c r="FT269" s="357"/>
      <c r="FU269" s="357"/>
      <c r="FV269" s="357"/>
      <c r="FW269" s="357"/>
      <c r="FX269" s="357"/>
      <c r="FY269" s="357"/>
      <c r="FZ269" s="357"/>
      <c r="GA269" s="357"/>
      <c r="GB269" s="357"/>
      <c r="GC269" s="357"/>
      <c r="GD269" s="357"/>
      <c r="GE269" s="357"/>
      <c r="GF269" s="357"/>
      <c r="GG269" s="357"/>
      <c r="GH269" s="357"/>
      <c r="GI269" s="357"/>
      <c r="GJ269" s="357"/>
      <c r="GK269" s="154"/>
      <c r="GL269" s="154"/>
      <c r="GM269" s="154"/>
      <c r="GN269" s="154"/>
      <c r="GO269" s="154"/>
      <c r="GP269" s="154"/>
      <c r="GQ269" s="154"/>
      <c r="GR269" s="154"/>
      <c r="GS269" s="154"/>
      <c r="GT269" s="154"/>
      <c r="GU269" s="154"/>
      <c r="GV269" s="154"/>
      <c r="GW269" s="154"/>
      <c r="GX269" s="154"/>
    </row>
    <row r="270" spans="7:206">
      <c r="G270" s="154"/>
      <c r="H270" s="154"/>
      <c r="I270" s="154"/>
      <c r="J270" s="154"/>
      <c r="K270" s="154"/>
      <c r="L270" s="154"/>
      <c r="M270" s="154"/>
      <c r="N270" s="154"/>
      <c r="O270" s="154"/>
      <c r="P270" s="154"/>
      <c r="Q270" s="154"/>
      <c r="R270" s="154"/>
      <c r="S270" s="154"/>
      <c r="T270" s="154"/>
      <c r="U270" s="154"/>
      <c r="V270" s="154"/>
      <c r="W270" s="154"/>
      <c r="X270" s="154"/>
      <c r="Y270" s="154"/>
      <c r="Z270" s="357"/>
      <c r="AA270" s="357"/>
      <c r="AB270" s="357"/>
      <c r="AC270" s="357"/>
      <c r="AD270" s="357"/>
      <c r="AE270" s="357"/>
      <c r="AF270" s="357"/>
      <c r="AG270" s="357"/>
      <c r="AH270" s="357"/>
      <c r="AI270" s="357"/>
      <c r="AJ270" s="357"/>
      <c r="AK270" s="357"/>
      <c r="AL270" s="357"/>
      <c r="AM270" s="357"/>
      <c r="AN270" s="357"/>
      <c r="AO270" s="357"/>
      <c r="AP270" s="357"/>
      <c r="AQ270" s="357"/>
      <c r="AR270" s="357"/>
      <c r="AS270" s="357"/>
      <c r="AT270" s="357"/>
      <c r="AU270" s="357"/>
      <c r="AV270" s="357"/>
      <c r="AW270" s="357"/>
      <c r="AX270" s="357"/>
      <c r="AY270" s="357"/>
      <c r="AZ270" s="357"/>
      <c r="BA270" s="357"/>
      <c r="BB270" s="357"/>
      <c r="BC270" s="357"/>
      <c r="BD270" s="357"/>
      <c r="BE270" s="357"/>
      <c r="BF270" s="357"/>
      <c r="BG270" s="357"/>
      <c r="BH270" s="357"/>
      <c r="BI270" s="357"/>
      <c r="BJ270" s="357"/>
      <c r="BK270" s="357"/>
      <c r="BL270" s="357"/>
      <c r="BM270" s="357"/>
      <c r="BN270" s="357"/>
      <c r="BO270" s="357"/>
      <c r="BP270" s="357"/>
      <c r="BQ270" s="357"/>
      <c r="BR270" s="357"/>
      <c r="BS270" s="357"/>
      <c r="BT270" s="357"/>
      <c r="BU270" s="357"/>
      <c r="BV270" s="357"/>
      <c r="BW270" s="357"/>
      <c r="BX270" s="357"/>
      <c r="BY270" s="357"/>
      <c r="BZ270" s="357"/>
      <c r="CA270" s="357"/>
      <c r="CB270" s="357"/>
      <c r="CC270" s="357"/>
      <c r="CD270" s="357"/>
      <c r="CE270" s="357"/>
      <c r="CF270" s="357"/>
      <c r="CG270" s="357"/>
      <c r="CH270" s="357"/>
      <c r="CI270" s="357"/>
      <c r="CJ270" s="357"/>
      <c r="CK270" s="357"/>
      <c r="CL270" s="357"/>
      <c r="CM270" s="357"/>
      <c r="CN270" s="357"/>
      <c r="CO270" s="357"/>
      <c r="CP270" s="357"/>
      <c r="CQ270" s="357"/>
      <c r="CR270" s="357"/>
      <c r="CS270" s="357"/>
      <c r="CT270" s="357"/>
      <c r="CU270" s="357"/>
      <c r="CV270" s="357"/>
      <c r="CW270" s="357"/>
      <c r="CX270" s="357"/>
      <c r="CY270" s="357"/>
      <c r="CZ270" s="357"/>
      <c r="DA270" s="357"/>
      <c r="DB270" s="357"/>
      <c r="DC270" s="357"/>
      <c r="DD270" s="357"/>
      <c r="DE270" s="357"/>
      <c r="DF270" s="357"/>
      <c r="DG270" s="357"/>
      <c r="DH270" s="357"/>
      <c r="DI270" s="357"/>
      <c r="DJ270" s="357"/>
      <c r="DK270" s="357"/>
      <c r="DL270" s="357"/>
      <c r="DM270" s="357"/>
      <c r="DN270" s="357"/>
      <c r="DO270" s="357"/>
      <c r="DP270" s="357"/>
      <c r="DQ270" s="357"/>
      <c r="DR270" s="357"/>
      <c r="DS270" s="357"/>
      <c r="DT270" s="357"/>
      <c r="DU270" s="357"/>
      <c r="DV270" s="357"/>
      <c r="DW270" s="357"/>
      <c r="DX270" s="357"/>
      <c r="DY270" s="357"/>
      <c r="DZ270" s="357"/>
      <c r="EA270" s="357"/>
      <c r="EB270" s="357"/>
      <c r="EC270" s="357"/>
      <c r="ED270" s="357"/>
      <c r="EE270" s="357"/>
      <c r="EF270" s="357"/>
      <c r="EG270" s="357"/>
      <c r="EH270" s="357"/>
      <c r="EI270" s="357"/>
      <c r="EJ270" s="357"/>
      <c r="EK270" s="357"/>
      <c r="EL270" s="357"/>
      <c r="EM270" s="357"/>
      <c r="EN270" s="357"/>
      <c r="EO270" s="357"/>
      <c r="EP270" s="357"/>
      <c r="EQ270" s="357"/>
      <c r="ER270" s="357"/>
      <c r="ES270" s="357"/>
      <c r="ET270" s="357"/>
      <c r="EU270" s="357"/>
      <c r="EV270" s="357"/>
      <c r="EW270" s="357"/>
      <c r="EX270" s="357"/>
      <c r="EY270" s="357"/>
      <c r="EZ270" s="357"/>
      <c r="FA270" s="357"/>
      <c r="FB270" s="357"/>
      <c r="FC270" s="357"/>
      <c r="FD270" s="357"/>
      <c r="FE270" s="357"/>
      <c r="FF270" s="357"/>
      <c r="FG270" s="357"/>
      <c r="FH270" s="357"/>
      <c r="FI270" s="357"/>
      <c r="FJ270" s="357"/>
      <c r="FK270" s="357"/>
      <c r="FL270" s="357"/>
      <c r="FM270" s="357"/>
      <c r="FN270" s="357"/>
      <c r="FO270" s="357"/>
      <c r="FP270" s="357"/>
      <c r="FQ270" s="357"/>
      <c r="FR270" s="357"/>
      <c r="FS270" s="357"/>
      <c r="FT270" s="357"/>
      <c r="FU270" s="357"/>
      <c r="FV270" s="357"/>
      <c r="FW270" s="357"/>
      <c r="FX270" s="357"/>
      <c r="FY270" s="357"/>
      <c r="FZ270" s="357"/>
      <c r="GA270" s="357"/>
      <c r="GB270" s="357"/>
      <c r="GC270" s="357"/>
      <c r="GD270" s="357"/>
      <c r="GE270" s="357"/>
      <c r="GF270" s="357"/>
      <c r="GG270" s="357"/>
      <c r="GH270" s="357"/>
      <c r="GI270" s="357"/>
      <c r="GJ270" s="357"/>
      <c r="GK270" s="154"/>
      <c r="GL270" s="154"/>
      <c r="GM270" s="154"/>
      <c r="GN270" s="154"/>
      <c r="GO270" s="154"/>
      <c r="GP270" s="154"/>
      <c r="GQ270" s="154"/>
      <c r="GR270" s="154"/>
      <c r="GS270" s="154"/>
      <c r="GT270" s="154"/>
      <c r="GU270" s="154"/>
      <c r="GV270" s="154"/>
      <c r="GW270" s="154"/>
      <c r="GX270" s="154"/>
    </row>
    <row r="271" spans="7:206">
      <c r="G271" s="154"/>
      <c r="H271" s="154"/>
      <c r="I271" s="154"/>
      <c r="J271" s="154"/>
      <c r="K271" s="154"/>
      <c r="L271" s="154"/>
      <c r="M271" s="154"/>
      <c r="N271" s="154"/>
      <c r="O271" s="154"/>
      <c r="P271" s="154"/>
      <c r="Q271" s="154"/>
      <c r="R271" s="154"/>
      <c r="S271" s="154"/>
      <c r="T271" s="154"/>
      <c r="U271" s="154"/>
      <c r="V271" s="154"/>
      <c r="W271" s="154"/>
      <c r="X271" s="154"/>
      <c r="Y271" s="154"/>
      <c r="Z271" s="357"/>
      <c r="AA271" s="357"/>
      <c r="AB271" s="357"/>
      <c r="AC271" s="357"/>
      <c r="AD271" s="357"/>
      <c r="AE271" s="357"/>
      <c r="AF271" s="357"/>
      <c r="AG271" s="357"/>
      <c r="AH271" s="357"/>
      <c r="AI271" s="357"/>
      <c r="AJ271" s="357"/>
      <c r="AK271" s="357"/>
      <c r="AL271" s="357"/>
      <c r="AM271" s="357"/>
      <c r="AN271" s="357"/>
      <c r="AO271" s="357"/>
      <c r="AP271" s="357"/>
      <c r="AQ271" s="357"/>
      <c r="AR271" s="357"/>
      <c r="AS271" s="357"/>
      <c r="AT271" s="357"/>
      <c r="AU271" s="357"/>
      <c r="AV271" s="357"/>
      <c r="AW271" s="357"/>
      <c r="AX271" s="357"/>
      <c r="AY271" s="357"/>
      <c r="AZ271" s="357"/>
      <c r="BA271" s="357"/>
      <c r="BB271" s="357"/>
      <c r="BC271" s="357"/>
      <c r="BD271" s="357"/>
      <c r="BE271" s="357"/>
      <c r="BF271" s="357"/>
      <c r="BG271" s="357"/>
      <c r="BH271" s="357"/>
      <c r="BI271" s="357"/>
      <c r="BJ271" s="357"/>
      <c r="BK271" s="357"/>
      <c r="BL271" s="357"/>
      <c r="BM271" s="357"/>
      <c r="BN271" s="357"/>
      <c r="BO271" s="357"/>
      <c r="BP271" s="357"/>
      <c r="BQ271" s="357"/>
      <c r="BR271" s="357"/>
      <c r="BS271" s="357"/>
      <c r="BT271" s="357"/>
      <c r="BU271" s="357"/>
      <c r="BV271" s="357"/>
      <c r="BW271" s="357"/>
      <c r="BX271" s="357"/>
      <c r="BY271" s="357"/>
      <c r="BZ271" s="357"/>
      <c r="CA271" s="357"/>
      <c r="CB271" s="357"/>
      <c r="CC271" s="357"/>
      <c r="CD271" s="357"/>
      <c r="CE271" s="357"/>
      <c r="CF271" s="357"/>
      <c r="CG271" s="357"/>
      <c r="CH271" s="357"/>
      <c r="CI271" s="357"/>
      <c r="CJ271" s="357"/>
      <c r="CK271" s="357"/>
      <c r="CL271" s="357"/>
      <c r="CM271" s="357"/>
      <c r="CN271" s="357"/>
      <c r="CO271" s="357"/>
      <c r="CP271" s="357"/>
      <c r="CQ271" s="357"/>
      <c r="CR271" s="357"/>
      <c r="CS271" s="357"/>
      <c r="CT271" s="357"/>
      <c r="CU271" s="357"/>
      <c r="CV271" s="357"/>
      <c r="CW271" s="357"/>
      <c r="CX271" s="357"/>
      <c r="CY271" s="357"/>
      <c r="CZ271" s="357"/>
      <c r="DA271" s="357"/>
      <c r="DB271" s="357"/>
      <c r="DC271" s="357"/>
      <c r="DD271" s="357"/>
      <c r="DE271" s="357"/>
      <c r="DF271" s="357"/>
      <c r="DG271" s="357"/>
      <c r="DH271" s="357"/>
      <c r="DI271" s="357"/>
      <c r="DJ271" s="357"/>
      <c r="DK271" s="357"/>
      <c r="DL271" s="357"/>
      <c r="DM271" s="357"/>
      <c r="DN271" s="357"/>
      <c r="DO271" s="357"/>
      <c r="DP271" s="357"/>
      <c r="DQ271" s="357"/>
      <c r="DR271" s="357"/>
      <c r="DS271" s="357"/>
      <c r="DT271" s="357"/>
      <c r="DU271" s="357"/>
      <c r="DV271" s="357"/>
      <c r="DW271" s="357"/>
      <c r="DX271" s="357"/>
      <c r="DY271" s="357"/>
      <c r="DZ271" s="357"/>
      <c r="EA271" s="357"/>
      <c r="EB271" s="357"/>
      <c r="EC271" s="357"/>
      <c r="ED271" s="357"/>
      <c r="EE271" s="357"/>
      <c r="EF271" s="357"/>
      <c r="EG271" s="357"/>
      <c r="EH271" s="357"/>
      <c r="EI271" s="357"/>
      <c r="EJ271" s="357"/>
      <c r="EK271" s="357"/>
      <c r="EL271" s="357"/>
      <c r="EM271" s="357"/>
      <c r="EN271" s="357"/>
      <c r="EO271" s="357"/>
      <c r="EP271" s="357"/>
      <c r="EQ271" s="357"/>
      <c r="ER271" s="357"/>
      <c r="ES271" s="357"/>
      <c r="ET271" s="357"/>
      <c r="EU271" s="357"/>
      <c r="EV271" s="357"/>
      <c r="EW271" s="357"/>
      <c r="EX271" s="357"/>
      <c r="EY271" s="357"/>
      <c r="EZ271" s="357"/>
      <c r="FA271" s="357"/>
      <c r="FB271" s="357"/>
      <c r="FC271" s="357"/>
      <c r="FD271" s="357"/>
      <c r="FE271" s="357"/>
      <c r="FF271" s="357"/>
      <c r="FG271" s="357"/>
      <c r="FH271" s="357"/>
      <c r="FI271" s="357"/>
      <c r="FJ271" s="357"/>
      <c r="FK271" s="357"/>
      <c r="FL271" s="357"/>
      <c r="FM271" s="357"/>
      <c r="FN271" s="357"/>
      <c r="FO271" s="357"/>
      <c r="FP271" s="357"/>
      <c r="FQ271" s="357"/>
      <c r="FR271" s="357"/>
      <c r="FS271" s="357"/>
      <c r="FT271" s="357"/>
      <c r="FU271" s="357"/>
      <c r="FV271" s="357"/>
      <c r="FW271" s="357"/>
      <c r="FX271" s="357"/>
      <c r="FY271" s="357"/>
      <c r="FZ271" s="357"/>
      <c r="GA271" s="357"/>
      <c r="GB271" s="357"/>
      <c r="GC271" s="357"/>
      <c r="GD271" s="357"/>
      <c r="GE271" s="357"/>
      <c r="GF271" s="357"/>
      <c r="GG271" s="357"/>
      <c r="GH271" s="357"/>
      <c r="GI271" s="357"/>
      <c r="GJ271" s="357"/>
      <c r="GK271" s="154"/>
      <c r="GL271" s="154"/>
      <c r="GM271" s="154"/>
      <c r="GN271" s="154"/>
      <c r="GO271" s="154"/>
      <c r="GP271" s="154"/>
      <c r="GQ271" s="154"/>
      <c r="GR271" s="154"/>
      <c r="GS271" s="154"/>
      <c r="GT271" s="154"/>
      <c r="GU271" s="154"/>
      <c r="GV271" s="154"/>
      <c r="GW271" s="154"/>
      <c r="GX271" s="154"/>
    </row>
    <row r="272" spans="7:206">
      <c r="G272" s="154"/>
      <c r="H272" s="154"/>
      <c r="I272" s="154"/>
      <c r="J272" s="154"/>
      <c r="K272" s="154"/>
      <c r="L272" s="154"/>
      <c r="M272" s="154"/>
      <c r="N272" s="154"/>
      <c r="O272" s="154"/>
      <c r="P272" s="154"/>
      <c r="Q272" s="154"/>
      <c r="R272" s="154"/>
      <c r="S272" s="154"/>
      <c r="T272" s="154"/>
      <c r="U272" s="154"/>
      <c r="V272" s="154"/>
      <c r="W272" s="154"/>
      <c r="X272" s="154"/>
      <c r="Y272" s="154"/>
      <c r="Z272" s="357"/>
      <c r="AA272" s="357"/>
      <c r="AB272" s="357"/>
      <c r="AC272" s="357"/>
      <c r="AD272" s="357"/>
      <c r="AE272" s="357"/>
      <c r="AF272" s="357"/>
      <c r="AG272" s="357"/>
      <c r="AH272" s="357"/>
      <c r="AI272" s="357"/>
      <c r="AJ272" s="357"/>
      <c r="AK272" s="357"/>
      <c r="AL272" s="357"/>
      <c r="AM272" s="357"/>
      <c r="AN272" s="357"/>
      <c r="AO272" s="357"/>
      <c r="AP272" s="357"/>
      <c r="AQ272" s="357"/>
      <c r="AR272" s="357"/>
      <c r="AS272" s="357"/>
      <c r="AT272" s="357"/>
      <c r="AU272" s="357"/>
      <c r="AV272" s="357"/>
      <c r="AW272" s="357"/>
      <c r="AX272" s="357"/>
      <c r="AY272" s="357"/>
      <c r="AZ272" s="357"/>
      <c r="BA272" s="357"/>
      <c r="BB272" s="357"/>
      <c r="BC272" s="357"/>
      <c r="BD272" s="357"/>
      <c r="BE272" s="357"/>
      <c r="BF272" s="357"/>
      <c r="BG272" s="357"/>
      <c r="BH272" s="357"/>
      <c r="BI272" s="357"/>
      <c r="BJ272" s="357"/>
      <c r="BK272" s="357"/>
      <c r="BL272" s="357"/>
      <c r="BM272" s="357"/>
      <c r="BN272" s="357"/>
      <c r="BO272" s="357"/>
      <c r="BP272" s="357"/>
      <c r="BQ272" s="357"/>
      <c r="BR272" s="357"/>
      <c r="BS272" s="357"/>
      <c r="BT272" s="357"/>
      <c r="BU272" s="357"/>
      <c r="BV272" s="357"/>
      <c r="BW272" s="357"/>
      <c r="BX272" s="357"/>
      <c r="BY272" s="357"/>
      <c r="BZ272" s="357"/>
      <c r="CA272" s="357"/>
      <c r="CB272" s="357"/>
      <c r="CC272" s="357"/>
      <c r="CD272" s="357"/>
      <c r="CE272" s="357"/>
      <c r="CF272" s="357"/>
      <c r="CG272" s="357"/>
      <c r="CH272" s="357"/>
      <c r="CI272" s="357"/>
      <c r="CJ272" s="357"/>
      <c r="CK272" s="357"/>
      <c r="CL272" s="357"/>
      <c r="CM272" s="357"/>
      <c r="CN272" s="357"/>
      <c r="CO272" s="357"/>
      <c r="CP272" s="357"/>
      <c r="CQ272" s="357"/>
      <c r="CR272" s="357"/>
      <c r="CS272" s="357"/>
      <c r="CT272" s="357"/>
      <c r="CU272" s="357"/>
      <c r="CV272" s="357"/>
      <c r="CW272" s="357"/>
      <c r="CX272" s="357"/>
      <c r="CY272" s="357"/>
      <c r="CZ272" s="357"/>
      <c r="DA272" s="357"/>
      <c r="DB272" s="357"/>
      <c r="DC272" s="357"/>
      <c r="DD272" s="357"/>
      <c r="DE272" s="357"/>
      <c r="DF272" s="357"/>
      <c r="DG272" s="357"/>
      <c r="DH272" s="357"/>
      <c r="DI272" s="357"/>
      <c r="DJ272" s="357"/>
      <c r="DK272" s="357"/>
      <c r="DL272" s="357"/>
      <c r="DM272" s="357"/>
      <c r="DN272" s="357"/>
      <c r="DO272" s="357"/>
      <c r="DP272" s="357"/>
      <c r="DQ272" s="357"/>
      <c r="DR272" s="357"/>
      <c r="DS272" s="357"/>
      <c r="DT272" s="357"/>
      <c r="DU272" s="357"/>
      <c r="DV272" s="357"/>
      <c r="DW272" s="357"/>
      <c r="DX272" s="357"/>
      <c r="DY272" s="357"/>
      <c r="DZ272" s="357"/>
      <c r="EA272" s="357"/>
      <c r="EB272" s="357"/>
      <c r="EC272" s="357"/>
      <c r="ED272" s="357"/>
      <c r="EE272" s="357"/>
      <c r="EF272" s="357"/>
      <c r="EG272" s="357"/>
      <c r="EH272" s="357"/>
      <c r="EI272" s="357"/>
      <c r="EJ272" s="357"/>
      <c r="EK272" s="357"/>
      <c r="EL272" s="357"/>
      <c r="EM272" s="357"/>
      <c r="EN272" s="357"/>
      <c r="EO272" s="357"/>
      <c r="EP272" s="357"/>
      <c r="EQ272" s="357"/>
      <c r="ER272" s="357"/>
      <c r="ES272" s="357"/>
      <c r="ET272" s="357"/>
      <c r="EU272" s="357"/>
      <c r="EV272" s="357"/>
      <c r="EW272" s="357"/>
      <c r="EX272" s="357"/>
      <c r="EY272" s="357"/>
      <c r="EZ272" s="357"/>
      <c r="FA272" s="357"/>
      <c r="FB272" s="357"/>
      <c r="FC272" s="357"/>
      <c r="FD272" s="357"/>
      <c r="FE272" s="357"/>
      <c r="FF272" s="357"/>
      <c r="FG272" s="357"/>
      <c r="FH272" s="357"/>
      <c r="FI272" s="357"/>
      <c r="FJ272" s="357"/>
      <c r="FK272" s="357"/>
      <c r="FL272" s="357"/>
      <c r="FM272" s="357"/>
      <c r="FN272" s="357"/>
      <c r="FO272" s="357"/>
      <c r="FP272" s="357"/>
      <c r="FQ272" s="357"/>
      <c r="FR272" s="357"/>
      <c r="FS272" s="357"/>
      <c r="FT272" s="357"/>
      <c r="FU272" s="357"/>
      <c r="FV272" s="357"/>
      <c r="FW272" s="357"/>
      <c r="FX272" s="357"/>
      <c r="FY272" s="357"/>
      <c r="FZ272" s="357"/>
      <c r="GA272" s="357"/>
      <c r="GB272" s="357"/>
      <c r="GC272" s="357"/>
      <c r="GD272" s="357"/>
      <c r="GE272" s="357"/>
      <c r="GF272" s="357"/>
      <c r="GG272" s="357"/>
      <c r="GH272" s="357"/>
      <c r="GI272" s="357"/>
      <c r="GJ272" s="357"/>
      <c r="GK272" s="154"/>
      <c r="GL272" s="154"/>
      <c r="GM272" s="154"/>
      <c r="GN272" s="154"/>
      <c r="GO272" s="154"/>
      <c r="GP272" s="154"/>
      <c r="GQ272" s="154"/>
      <c r="GR272" s="154"/>
      <c r="GS272" s="154"/>
      <c r="GT272" s="154"/>
      <c r="GU272" s="154"/>
      <c r="GV272" s="154"/>
      <c r="GW272" s="154"/>
      <c r="GX272" s="154"/>
    </row>
    <row r="273" spans="7:206">
      <c r="G273" s="154"/>
      <c r="H273" s="154"/>
      <c r="I273" s="154"/>
      <c r="J273" s="154"/>
      <c r="K273" s="154"/>
      <c r="L273" s="154"/>
      <c r="M273" s="154"/>
      <c r="N273" s="154"/>
      <c r="O273" s="154"/>
      <c r="P273" s="154"/>
      <c r="Q273" s="154"/>
      <c r="R273" s="154"/>
      <c r="S273" s="154"/>
      <c r="T273" s="154"/>
      <c r="U273" s="154"/>
      <c r="V273" s="154"/>
      <c r="W273" s="154"/>
      <c r="X273" s="154"/>
      <c r="Y273" s="154"/>
      <c r="Z273" s="357"/>
      <c r="AA273" s="357"/>
      <c r="AB273" s="357"/>
      <c r="AC273" s="357"/>
      <c r="AD273" s="357"/>
      <c r="AE273" s="357"/>
      <c r="AF273" s="357"/>
      <c r="AG273" s="357"/>
      <c r="AH273" s="357"/>
      <c r="AI273" s="357"/>
      <c r="AJ273" s="357"/>
      <c r="AK273" s="357"/>
      <c r="AL273" s="357"/>
      <c r="AM273" s="357"/>
      <c r="AN273" s="357"/>
      <c r="AO273" s="357"/>
      <c r="AP273" s="357"/>
      <c r="AQ273" s="357"/>
      <c r="AR273" s="357"/>
      <c r="AS273" s="357"/>
      <c r="AT273" s="357"/>
      <c r="AU273" s="357"/>
      <c r="AV273" s="357"/>
      <c r="AW273" s="357"/>
      <c r="AX273" s="357"/>
      <c r="AY273" s="357"/>
      <c r="AZ273" s="357"/>
      <c r="BA273" s="357"/>
      <c r="BB273" s="357"/>
      <c r="BC273" s="357"/>
      <c r="BD273" s="357"/>
      <c r="BE273" s="357"/>
      <c r="BF273" s="357"/>
      <c r="BG273" s="357"/>
      <c r="BH273" s="357"/>
      <c r="BI273" s="357"/>
      <c r="BJ273" s="357"/>
      <c r="BK273" s="357"/>
      <c r="BL273" s="357"/>
      <c r="BM273" s="357"/>
      <c r="BN273" s="357"/>
      <c r="BO273" s="357"/>
      <c r="BP273" s="357"/>
      <c r="BQ273" s="357"/>
      <c r="BR273" s="357"/>
      <c r="BS273" s="357"/>
      <c r="BT273" s="357"/>
      <c r="BU273" s="357"/>
      <c r="BV273" s="357"/>
      <c r="BW273" s="357"/>
      <c r="BX273" s="357"/>
      <c r="BY273" s="357"/>
      <c r="BZ273" s="357"/>
      <c r="CA273" s="357"/>
      <c r="CB273" s="357"/>
      <c r="CC273" s="357"/>
      <c r="CD273" s="357"/>
      <c r="CE273" s="357"/>
      <c r="CF273" s="357"/>
      <c r="CG273" s="357"/>
      <c r="CH273" s="357"/>
      <c r="CI273" s="357"/>
      <c r="CJ273" s="357"/>
      <c r="CK273" s="357"/>
      <c r="CL273" s="357"/>
      <c r="CM273" s="357"/>
      <c r="CN273" s="357"/>
      <c r="CO273" s="357"/>
      <c r="CP273" s="357"/>
      <c r="CQ273" s="357"/>
      <c r="CR273" s="357"/>
      <c r="CS273" s="357"/>
      <c r="CT273" s="357"/>
      <c r="CU273" s="357"/>
      <c r="CV273" s="357"/>
      <c r="CW273" s="357"/>
      <c r="CX273" s="357"/>
      <c r="CY273" s="357"/>
      <c r="CZ273" s="357"/>
      <c r="DA273" s="357"/>
      <c r="DB273" s="357"/>
      <c r="DC273" s="357"/>
      <c r="DD273" s="357"/>
      <c r="DE273" s="357"/>
      <c r="DF273" s="357"/>
      <c r="DG273" s="357"/>
      <c r="DH273" s="357"/>
      <c r="DI273" s="357"/>
      <c r="DJ273" s="357"/>
      <c r="DK273" s="357"/>
      <c r="DL273" s="357"/>
      <c r="DM273" s="357"/>
      <c r="DN273" s="357"/>
      <c r="DO273" s="357"/>
      <c r="DP273" s="357"/>
      <c r="DQ273" s="357"/>
      <c r="DR273" s="357"/>
      <c r="DS273" s="357"/>
      <c r="DT273" s="357"/>
      <c r="DU273" s="357"/>
      <c r="DV273" s="357"/>
      <c r="DW273" s="357"/>
      <c r="DX273" s="357"/>
      <c r="DY273" s="357"/>
      <c r="DZ273" s="357"/>
      <c r="EA273" s="357"/>
      <c r="EB273" s="357"/>
      <c r="EC273" s="357"/>
      <c r="ED273" s="357"/>
      <c r="EE273" s="357"/>
      <c r="EF273" s="357"/>
      <c r="EG273" s="357"/>
      <c r="EH273" s="357"/>
      <c r="EI273" s="357"/>
      <c r="EJ273" s="357"/>
      <c r="EK273" s="357"/>
      <c r="EL273" s="357"/>
      <c r="EM273" s="357"/>
      <c r="EN273" s="357"/>
      <c r="EO273" s="357"/>
      <c r="EP273" s="357"/>
      <c r="EQ273" s="357"/>
      <c r="ER273" s="357"/>
      <c r="ES273" s="357"/>
      <c r="ET273" s="357"/>
      <c r="EU273" s="357"/>
      <c r="EV273" s="357"/>
      <c r="EW273" s="357"/>
      <c r="EX273" s="357"/>
      <c r="EY273" s="357"/>
      <c r="EZ273" s="357"/>
      <c r="FA273" s="357"/>
      <c r="FB273" s="357"/>
      <c r="FC273" s="357"/>
      <c r="FD273" s="357"/>
      <c r="FE273" s="357"/>
      <c r="FF273" s="357"/>
      <c r="FG273" s="357"/>
      <c r="FH273" s="357"/>
      <c r="FI273" s="357"/>
      <c r="FJ273" s="357"/>
      <c r="FK273" s="357"/>
      <c r="FL273" s="357"/>
      <c r="FM273" s="357"/>
      <c r="FN273" s="357"/>
      <c r="FO273" s="357"/>
      <c r="FP273" s="357"/>
      <c r="FQ273" s="357"/>
      <c r="FR273" s="357"/>
      <c r="FS273" s="357"/>
      <c r="FT273" s="357"/>
      <c r="FU273" s="357"/>
      <c r="FV273" s="357"/>
      <c r="FW273" s="357"/>
      <c r="FX273" s="357"/>
      <c r="FY273" s="357"/>
      <c r="FZ273" s="357"/>
      <c r="GA273" s="357"/>
      <c r="GB273" s="357"/>
      <c r="GC273" s="357"/>
      <c r="GD273" s="357"/>
      <c r="GE273" s="357"/>
      <c r="GF273" s="357"/>
      <c r="GG273" s="357"/>
      <c r="GH273" s="357"/>
      <c r="GI273" s="357"/>
      <c r="GJ273" s="357"/>
      <c r="GK273" s="154"/>
      <c r="GL273" s="154"/>
      <c r="GM273" s="154"/>
      <c r="GN273" s="154"/>
      <c r="GO273" s="154"/>
      <c r="GP273" s="154"/>
      <c r="GQ273" s="154"/>
      <c r="GR273" s="154"/>
      <c r="GS273" s="154"/>
      <c r="GT273" s="154"/>
      <c r="GU273" s="154"/>
      <c r="GV273" s="154"/>
      <c r="GW273" s="154"/>
      <c r="GX273" s="154"/>
    </row>
    <row r="274" spans="7:206">
      <c r="G274" s="154"/>
      <c r="H274" s="154"/>
      <c r="I274" s="154"/>
      <c r="J274" s="154"/>
      <c r="K274" s="154"/>
      <c r="L274" s="154"/>
      <c r="M274" s="154"/>
      <c r="N274" s="154"/>
      <c r="O274" s="154"/>
      <c r="P274" s="154"/>
      <c r="Q274" s="154"/>
      <c r="R274" s="154"/>
      <c r="S274" s="154"/>
      <c r="T274" s="154"/>
      <c r="U274" s="154"/>
      <c r="V274" s="154"/>
      <c r="W274" s="154"/>
      <c r="X274" s="154"/>
      <c r="Y274" s="154"/>
      <c r="Z274" s="357"/>
      <c r="AA274" s="357"/>
      <c r="AB274" s="357"/>
      <c r="AC274" s="357"/>
      <c r="AD274" s="357"/>
      <c r="AE274" s="357"/>
      <c r="AF274" s="357"/>
      <c r="AG274" s="357"/>
      <c r="AH274" s="357"/>
      <c r="AI274" s="357"/>
      <c r="AJ274" s="357"/>
      <c r="AK274" s="357"/>
      <c r="AL274" s="357"/>
      <c r="AM274" s="357"/>
      <c r="AN274" s="357"/>
      <c r="AO274" s="357"/>
      <c r="AP274" s="357"/>
      <c r="AQ274" s="357"/>
      <c r="AR274" s="357"/>
      <c r="AS274" s="357"/>
      <c r="AT274" s="357"/>
      <c r="AU274" s="357"/>
      <c r="AV274" s="357"/>
      <c r="AW274" s="357"/>
      <c r="AX274" s="357"/>
      <c r="AY274" s="357"/>
      <c r="AZ274" s="357"/>
      <c r="BA274" s="357"/>
      <c r="BB274" s="357"/>
      <c r="BC274" s="357"/>
      <c r="BD274" s="357"/>
      <c r="BE274" s="357"/>
      <c r="BF274" s="357"/>
      <c r="BG274" s="357"/>
      <c r="BH274" s="357"/>
      <c r="BI274" s="357"/>
      <c r="BJ274" s="357"/>
      <c r="BK274" s="357"/>
      <c r="BL274" s="357"/>
      <c r="BM274" s="357"/>
      <c r="BN274" s="357"/>
      <c r="BO274" s="357"/>
      <c r="BP274" s="357"/>
      <c r="BQ274" s="357"/>
      <c r="BR274" s="357"/>
      <c r="BS274" s="357"/>
      <c r="BT274" s="357"/>
      <c r="BU274" s="357"/>
      <c r="BV274" s="357"/>
      <c r="BW274" s="357"/>
      <c r="BX274" s="357"/>
      <c r="BY274" s="357"/>
      <c r="BZ274" s="357"/>
      <c r="CA274" s="357"/>
      <c r="CB274" s="357"/>
      <c r="CC274" s="357"/>
      <c r="CD274" s="357"/>
      <c r="CE274" s="357"/>
      <c r="CF274" s="357"/>
      <c r="CG274" s="357"/>
      <c r="CH274" s="357"/>
      <c r="CI274" s="357"/>
      <c r="CJ274" s="357"/>
      <c r="CK274" s="357"/>
      <c r="CL274" s="357"/>
      <c r="CM274" s="357"/>
      <c r="CN274" s="357"/>
      <c r="CO274" s="357"/>
      <c r="CP274" s="357"/>
      <c r="CQ274" s="357"/>
      <c r="CR274" s="357"/>
      <c r="CS274" s="357"/>
      <c r="CT274" s="357"/>
      <c r="CU274" s="357"/>
      <c r="CV274" s="357"/>
      <c r="CW274" s="357"/>
      <c r="CX274" s="357"/>
      <c r="CY274" s="357"/>
      <c r="CZ274" s="357"/>
      <c r="DA274" s="357"/>
      <c r="DB274" s="357"/>
      <c r="DC274" s="357"/>
      <c r="DD274" s="357"/>
      <c r="DE274" s="357"/>
      <c r="DF274" s="357"/>
      <c r="DG274" s="357"/>
      <c r="DH274" s="357"/>
      <c r="DI274" s="357"/>
      <c r="DJ274" s="357"/>
      <c r="DK274" s="357"/>
      <c r="DL274" s="357"/>
      <c r="DM274" s="357"/>
      <c r="DN274" s="357"/>
      <c r="DO274" s="357"/>
      <c r="DP274" s="357"/>
      <c r="DQ274" s="357"/>
      <c r="DR274" s="357"/>
      <c r="DS274" s="357"/>
      <c r="DT274" s="357"/>
      <c r="DU274" s="357"/>
      <c r="DV274" s="357"/>
      <c r="DW274" s="357"/>
      <c r="DX274" s="357"/>
      <c r="DY274" s="357"/>
      <c r="DZ274" s="357"/>
      <c r="EA274" s="357"/>
      <c r="EB274" s="357"/>
      <c r="EC274" s="357"/>
      <c r="ED274" s="357"/>
      <c r="EE274" s="357"/>
      <c r="EF274" s="357"/>
      <c r="EG274" s="357"/>
      <c r="EH274" s="357"/>
      <c r="EI274" s="357"/>
      <c r="EJ274" s="357"/>
      <c r="EK274" s="357"/>
      <c r="EL274" s="357"/>
      <c r="EM274" s="357"/>
      <c r="EN274" s="357"/>
      <c r="EO274" s="357"/>
      <c r="EP274" s="357"/>
      <c r="EQ274" s="357"/>
      <c r="ER274" s="357"/>
      <c r="ES274" s="357"/>
      <c r="ET274" s="357"/>
      <c r="EU274" s="357"/>
      <c r="EV274" s="357"/>
      <c r="EW274" s="357"/>
      <c r="EX274" s="357"/>
      <c r="EY274" s="357"/>
      <c r="EZ274" s="357"/>
      <c r="FA274" s="357"/>
      <c r="FB274" s="357"/>
      <c r="FC274" s="357"/>
      <c r="FD274" s="357"/>
      <c r="FE274" s="357"/>
      <c r="FF274" s="357"/>
      <c r="FG274" s="357"/>
      <c r="FH274" s="357"/>
      <c r="FI274" s="357"/>
      <c r="FJ274" s="357"/>
      <c r="FK274" s="357"/>
      <c r="FL274" s="357"/>
      <c r="FM274" s="357"/>
      <c r="FN274" s="357"/>
      <c r="FO274" s="357"/>
      <c r="FP274" s="357"/>
      <c r="FQ274" s="357"/>
      <c r="FR274" s="357"/>
      <c r="FS274" s="357"/>
      <c r="FT274" s="357"/>
      <c r="FU274" s="357"/>
      <c r="FV274" s="357"/>
      <c r="FW274" s="357"/>
      <c r="FX274" s="357"/>
      <c r="FY274" s="357"/>
      <c r="FZ274" s="357"/>
      <c r="GA274" s="357"/>
      <c r="GB274" s="357"/>
      <c r="GC274" s="357"/>
      <c r="GD274" s="357"/>
      <c r="GE274" s="357"/>
      <c r="GF274" s="357"/>
      <c r="GG274" s="357"/>
      <c r="GH274" s="357"/>
      <c r="GI274" s="357"/>
      <c r="GJ274" s="357"/>
      <c r="GK274" s="154"/>
      <c r="GL274" s="154"/>
      <c r="GM274" s="154"/>
      <c r="GN274" s="154"/>
      <c r="GO274" s="154"/>
      <c r="GP274" s="154"/>
      <c r="GQ274" s="154"/>
      <c r="GR274" s="154"/>
      <c r="GS274" s="154"/>
      <c r="GT274" s="154"/>
      <c r="GU274" s="154"/>
      <c r="GV274" s="154"/>
      <c r="GW274" s="154"/>
      <c r="GX274" s="154"/>
    </row>
    <row r="275" spans="7:206">
      <c r="G275" s="154"/>
      <c r="H275" s="154"/>
      <c r="I275" s="154"/>
      <c r="J275" s="154"/>
      <c r="K275" s="154"/>
      <c r="L275" s="154"/>
      <c r="M275" s="154"/>
      <c r="N275" s="154"/>
      <c r="O275" s="154"/>
      <c r="P275" s="154"/>
      <c r="Q275" s="154"/>
      <c r="R275" s="154"/>
      <c r="S275" s="154"/>
      <c r="T275" s="154"/>
      <c r="U275" s="154"/>
      <c r="V275" s="154"/>
      <c r="W275" s="154"/>
      <c r="X275" s="154"/>
      <c r="Y275" s="154"/>
      <c r="Z275" s="357"/>
      <c r="AA275" s="357"/>
      <c r="AB275" s="357"/>
      <c r="AC275" s="357"/>
      <c r="AD275" s="357"/>
      <c r="AE275" s="357"/>
      <c r="AF275" s="357"/>
      <c r="AG275" s="357"/>
      <c r="AH275" s="357"/>
      <c r="AI275" s="357"/>
      <c r="AJ275" s="357"/>
      <c r="AK275" s="357"/>
      <c r="AL275" s="357"/>
      <c r="AM275" s="357"/>
      <c r="AN275" s="357"/>
      <c r="AO275" s="357"/>
      <c r="AP275" s="357"/>
      <c r="AQ275" s="357"/>
      <c r="AR275" s="357"/>
      <c r="AS275" s="357"/>
      <c r="AT275" s="357"/>
      <c r="AU275" s="357"/>
      <c r="AV275" s="357"/>
      <c r="AW275" s="357"/>
      <c r="AX275" s="357"/>
      <c r="AY275" s="357"/>
      <c r="AZ275" s="357"/>
      <c r="BA275" s="357"/>
      <c r="BB275" s="357"/>
      <c r="BC275" s="357"/>
      <c r="BD275" s="357"/>
      <c r="BE275" s="357"/>
      <c r="BF275" s="357"/>
      <c r="BG275" s="357"/>
      <c r="BH275" s="357"/>
      <c r="BI275" s="357"/>
      <c r="BJ275" s="357"/>
      <c r="BK275" s="357"/>
      <c r="BL275" s="357"/>
      <c r="BM275" s="357"/>
      <c r="BN275" s="357"/>
      <c r="BO275" s="357"/>
      <c r="BP275" s="357"/>
      <c r="BQ275" s="357"/>
      <c r="BR275" s="357"/>
      <c r="BS275" s="357"/>
      <c r="BT275" s="357"/>
      <c r="BU275" s="357"/>
      <c r="BV275" s="357"/>
      <c r="BW275" s="357"/>
      <c r="BX275" s="357"/>
      <c r="BY275" s="357"/>
      <c r="BZ275" s="357"/>
      <c r="CA275" s="357"/>
      <c r="CB275" s="357"/>
      <c r="CC275" s="357"/>
      <c r="CD275" s="357"/>
      <c r="CE275" s="357"/>
      <c r="CF275" s="357"/>
      <c r="CG275" s="357"/>
      <c r="CH275" s="357"/>
      <c r="CI275" s="357"/>
      <c r="CJ275" s="357"/>
      <c r="CK275" s="357"/>
      <c r="CL275" s="357"/>
      <c r="CM275" s="357"/>
      <c r="CN275" s="357"/>
      <c r="CO275" s="357"/>
      <c r="CP275" s="357"/>
      <c r="CQ275" s="357"/>
      <c r="CR275" s="357"/>
      <c r="CS275" s="357"/>
      <c r="CT275" s="357"/>
      <c r="CU275" s="357"/>
      <c r="CV275" s="357"/>
      <c r="CW275" s="357"/>
      <c r="CX275" s="357"/>
      <c r="CY275" s="357"/>
      <c r="CZ275" s="357"/>
      <c r="DA275" s="357"/>
      <c r="DB275" s="357"/>
      <c r="DC275" s="357"/>
      <c r="DD275" s="357"/>
      <c r="DE275" s="357"/>
      <c r="DF275" s="357"/>
      <c r="DG275" s="357"/>
      <c r="DH275" s="357"/>
      <c r="DI275" s="357"/>
      <c r="DJ275" s="357"/>
      <c r="DK275" s="357"/>
      <c r="DL275" s="357"/>
      <c r="DM275" s="357"/>
      <c r="DN275" s="357"/>
      <c r="DO275" s="357"/>
      <c r="DP275" s="357"/>
      <c r="DQ275" s="357"/>
      <c r="DR275" s="357"/>
      <c r="DS275" s="357"/>
      <c r="DT275" s="357"/>
      <c r="DU275" s="357"/>
      <c r="DV275" s="357"/>
      <c r="DW275" s="357"/>
      <c r="DX275" s="357"/>
      <c r="DY275" s="357"/>
      <c r="DZ275" s="357"/>
      <c r="EA275" s="357"/>
      <c r="EB275" s="357"/>
      <c r="EC275" s="357"/>
      <c r="ED275" s="357"/>
      <c r="EE275" s="357"/>
      <c r="EF275" s="357"/>
      <c r="EG275" s="357"/>
      <c r="EH275" s="357"/>
      <c r="EI275" s="357"/>
      <c r="EJ275" s="357"/>
      <c r="EK275" s="357"/>
      <c r="EL275" s="357"/>
      <c r="EM275" s="357"/>
      <c r="EN275" s="357"/>
      <c r="EO275" s="357"/>
      <c r="EP275" s="357"/>
      <c r="EQ275" s="357"/>
      <c r="ER275" s="357"/>
      <c r="ES275" s="357"/>
      <c r="ET275" s="357"/>
      <c r="EU275" s="357"/>
      <c r="EV275" s="357"/>
      <c r="EW275" s="357"/>
      <c r="EX275" s="357"/>
      <c r="EY275" s="357"/>
      <c r="EZ275" s="357"/>
      <c r="FA275" s="357"/>
      <c r="FB275" s="357"/>
      <c r="FC275" s="357"/>
      <c r="FD275" s="357"/>
      <c r="FE275" s="357"/>
      <c r="FF275" s="357"/>
      <c r="FG275" s="357"/>
      <c r="FH275" s="357"/>
      <c r="FI275" s="357"/>
      <c r="FJ275" s="357"/>
      <c r="FK275" s="357"/>
      <c r="FL275" s="357"/>
      <c r="FM275" s="357"/>
      <c r="FN275" s="357"/>
      <c r="FO275" s="357"/>
      <c r="FP275" s="357"/>
      <c r="FQ275" s="357"/>
      <c r="FR275" s="357"/>
      <c r="FS275" s="357"/>
      <c r="FT275" s="357"/>
      <c r="FU275" s="357"/>
      <c r="FV275" s="357"/>
      <c r="FW275" s="357"/>
      <c r="FX275" s="357"/>
      <c r="FY275" s="357"/>
      <c r="FZ275" s="357"/>
      <c r="GA275" s="357"/>
      <c r="GB275" s="357"/>
      <c r="GC275" s="357"/>
      <c r="GD275" s="357"/>
      <c r="GE275" s="357"/>
      <c r="GF275" s="357"/>
      <c r="GG275" s="357"/>
      <c r="GH275" s="357"/>
      <c r="GI275" s="357"/>
      <c r="GJ275" s="357"/>
      <c r="GK275" s="154"/>
      <c r="GL275" s="154"/>
      <c r="GM275" s="154"/>
      <c r="GN275" s="154"/>
      <c r="GO275" s="154"/>
      <c r="GP275" s="154"/>
      <c r="GQ275" s="154"/>
      <c r="GR275" s="154"/>
      <c r="GS275" s="154"/>
      <c r="GT275" s="154"/>
      <c r="GU275" s="154"/>
      <c r="GV275" s="154"/>
      <c r="GW275" s="154"/>
      <c r="GX275" s="154"/>
    </row>
    <row r="276" spans="7:206">
      <c r="G276" s="154"/>
      <c r="H276" s="154"/>
      <c r="I276" s="154"/>
      <c r="J276" s="154"/>
      <c r="K276" s="154"/>
      <c r="L276" s="154"/>
      <c r="M276" s="154"/>
      <c r="N276" s="154"/>
      <c r="O276" s="154"/>
      <c r="P276" s="154"/>
      <c r="Q276" s="154"/>
      <c r="R276" s="154"/>
      <c r="S276" s="154"/>
      <c r="T276" s="154"/>
      <c r="U276" s="154"/>
      <c r="V276" s="154"/>
      <c r="W276" s="154"/>
      <c r="X276" s="154"/>
      <c r="Y276" s="154"/>
      <c r="Z276" s="357"/>
      <c r="AA276" s="357"/>
      <c r="AB276" s="357"/>
      <c r="AC276" s="357"/>
      <c r="AD276" s="357"/>
      <c r="AE276" s="357"/>
      <c r="AF276" s="357"/>
      <c r="AG276" s="357"/>
      <c r="AH276" s="357"/>
      <c r="AI276" s="357"/>
      <c r="AJ276" s="357"/>
      <c r="AK276" s="357"/>
      <c r="AL276" s="357"/>
      <c r="AM276" s="357"/>
      <c r="AN276" s="357"/>
      <c r="AO276" s="357"/>
      <c r="AP276" s="357"/>
      <c r="AQ276" s="357"/>
      <c r="AR276" s="357"/>
      <c r="AS276" s="357"/>
      <c r="AT276" s="357"/>
      <c r="AU276" s="357"/>
      <c r="AV276" s="357"/>
      <c r="AW276" s="357"/>
      <c r="AX276" s="357"/>
      <c r="AY276" s="357"/>
      <c r="AZ276" s="357"/>
      <c r="BA276" s="357"/>
      <c r="BB276" s="357"/>
      <c r="BC276" s="357"/>
      <c r="BD276" s="357"/>
      <c r="BE276" s="357"/>
      <c r="BF276" s="357"/>
      <c r="BG276" s="357"/>
      <c r="BH276" s="357"/>
      <c r="BI276" s="357"/>
      <c r="BJ276" s="357"/>
      <c r="BK276" s="357"/>
      <c r="BL276" s="357"/>
      <c r="BM276" s="357"/>
      <c r="BN276" s="357"/>
      <c r="BO276" s="357"/>
      <c r="BP276" s="357"/>
      <c r="BQ276" s="357"/>
      <c r="BR276" s="357"/>
      <c r="BS276" s="357"/>
      <c r="BT276" s="357"/>
      <c r="BU276" s="357"/>
      <c r="BV276" s="357"/>
      <c r="BW276" s="357"/>
      <c r="BX276" s="357"/>
      <c r="BY276" s="357"/>
      <c r="BZ276" s="357"/>
      <c r="CA276" s="357"/>
      <c r="CB276" s="357"/>
      <c r="CC276" s="357"/>
      <c r="CD276" s="357"/>
      <c r="CE276" s="357"/>
      <c r="CF276" s="357"/>
      <c r="CG276" s="357"/>
      <c r="CH276" s="357"/>
      <c r="CI276" s="357"/>
      <c r="CJ276" s="357"/>
      <c r="CK276" s="357"/>
      <c r="CL276" s="357"/>
      <c r="CM276" s="357"/>
      <c r="CN276" s="357"/>
      <c r="CO276" s="357"/>
      <c r="CP276" s="357"/>
      <c r="CQ276" s="357"/>
      <c r="CR276" s="357"/>
      <c r="CS276" s="357"/>
      <c r="CT276" s="357"/>
      <c r="CU276" s="357"/>
      <c r="CV276" s="357"/>
      <c r="CW276" s="357"/>
      <c r="CX276" s="357"/>
      <c r="CY276" s="357"/>
      <c r="CZ276" s="357"/>
      <c r="DA276" s="357"/>
      <c r="DB276" s="357"/>
      <c r="DC276" s="357"/>
      <c r="DD276" s="357"/>
      <c r="DE276" s="357"/>
      <c r="DF276" s="357"/>
      <c r="DG276" s="357"/>
      <c r="DH276" s="357"/>
      <c r="DI276" s="357"/>
      <c r="DJ276" s="357"/>
      <c r="DK276" s="357"/>
      <c r="DL276" s="357"/>
      <c r="DM276" s="357"/>
      <c r="DN276" s="357"/>
      <c r="DO276" s="357"/>
      <c r="DP276" s="357"/>
      <c r="DQ276" s="357"/>
      <c r="DR276" s="357"/>
      <c r="DS276" s="357"/>
      <c r="DT276" s="357"/>
      <c r="DU276" s="357"/>
      <c r="DV276" s="357"/>
      <c r="DW276" s="357"/>
      <c r="DX276" s="357"/>
      <c r="DY276" s="357"/>
      <c r="DZ276" s="357"/>
      <c r="EA276" s="357"/>
      <c r="EB276" s="357"/>
      <c r="EC276" s="357"/>
      <c r="ED276" s="357"/>
      <c r="EE276" s="357"/>
      <c r="EF276" s="357"/>
      <c r="EG276" s="357"/>
      <c r="EH276" s="357"/>
      <c r="EI276" s="357"/>
      <c r="EJ276" s="357"/>
      <c r="EK276" s="357"/>
      <c r="EL276" s="357"/>
      <c r="EM276" s="357"/>
      <c r="EN276" s="357"/>
      <c r="EO276" s="357"/>
      <c r="EP276" s="357"/>
      <c r="EQ276" s="357"/>
      <c r="ER276" s="357"/>
      <c r="ES276" s="357"/>
      <c r="ET276" s="357"/>
      <c r="EU276" s="357"/>
      <c r="EV276" s="357"/>
      <c r="EW276" s="357"/>
      <c r="EX276" s="357"/>
      <c r="EY276" s="357"/>
      <c r="EZ276" s="357"/>
      <c r="FA276" s="357"/>
      <c r="FB276" s="357"/>
      <c r="FC276" s="357"/>
      <c r="FD276" s="357"/>
      <c r="FE276" s="357"/>
      <c r="FF276" s="357"/>
      <c r="FG276" s="357"/>
      <c r="FH276" s="357"/>
      <c r="FI276" s="357"/>
      <c r="FJ276" s="357"/>
      <c r="FK276" s="357"/>
      <c r="FL276" s="357"/>
      <c r="FM276" s="357"/>
      <c r="FN276" s="357"/>
      <c r="FO276" s="357"/>
      <c r="FP276" s="357"/>
      <c r="FQ276" s="357"/>
      <c r="FR276" s="357"/>
      <c r="FS276" s="357"/>
      <c r="FT276" s="357"/>
      <c r="FU276" s="357"/>
      <c r="FV276" s="357"/>
      <c r="FW276" s="357"/>
      <c r="FX276" s="357"/>
      <c r="FY276" s="357"/>
      <c r="FZ276" s="357"/>
      <c r="GA276" s="357"/>
      <c r="GB276" s="357"/>
      <c r="GC276" s="357"/>
      <c r="GD276" s="357"/>
      <c r="GE276" s="357"/>
      <c r="GF276" s="357"/>
      <c r="GG276" s="357"/>
      <c r="GH276" s="357"/>
      <c r="GI276" s="357"/>
      <c r="GJ276" s="357"/>
      <c r="GK276" s="154"/>
      <c r="GL276" s="154"/>
      <c r="GM276" s="154"/>
      <c r="GN276" s="154"/>
      <c r="GO276" s="154"/>
      <c r="GP276" s="154"/>
      <c r="GQ276" s="154"/>
      <c r="GR276" s="154"/>
      <c r="GS276" s="154"/>
      <c r="GT276" s="154"/>
      <c r="GU276" s="154"/>
      <c r="GV276" s="154"/>
      <c r="GW276" s="154"/>
      <c r="GX276" s="154"/>
    </row>
    <row r="277" spans="7:206">
      <c r="G277" s="154"/>
      <c r="H277" s="154"/>
      <c r="I277" s="154"/>
      <c r="J277" s="154"/>
      <c r="K277" s="154"/>
      <c r="L277" s="154"/>
      <c r="M277" s="154"/>
      <c r="N277" s="154"/>
      <c r="O277" s="154"/>
      <c r="P277" s="154"/>
      <c r="Q277" s="154"/>
      <c r="R277" s="154"/>
      <c r="S277" s="154"/>
      <c r="T277" s="154"/>
      <c r="U277" s="154"/>
      <c r="V277" s="154"/>
      <c r="W277" s="154"/>
      <c r="X277" s="154"/>
      <c r="Y277" s="154"/>
      <c r="Z277" s="357"/>
      <c r="AA277" s="357"/>
      <c r="AB277" s="357"/>
      <c r="AC277" s="357"/>
      <c r="AD277" s="357"/>
      <c r="AE277" s="357"/>
      <c r="AF277" s="357"/>
      <c r="AG277" s="357"/>
      <c r="AH277" s="357"/>
      <c r="AI277" s="357"/>
      <c r="AJ277" s="357"/>
      <c r="AK277" s="357"/>
      <c r="AL277" s="357"/>
      <c r="AM277" s="357"/>
      <c r="AN277" s="357"/>
      <c r="AO277" s="357"/>
      <c r="AP277" s="357"/>
      <c r="AQ277" s="357"/>
      <c r="AR277" s="357"/>
      <c r="AS277" s="357"/>
      <c r="AT277" s="357"/>
      <c r="AU277" s="357"/>
      <c r="AV277" s="357"/>
      <c r="AW277" s="357"/>
      <c r="AX277" s="357"/>
      <c r="AY277" s="357"/>
      <c r="AZ277" s="357"/>
      <c r="BA277" s="357"/>
      <c r="BB277" s="357"/>
      <c r="BC277" s="357"/>
      <c r="BD277" s="357"/>
      <c r="BE277" s="357"/>
      <c r="BF277" s="357"/>
      <c r="BG277" s="357"/>
      <c r="BH277" s="357"/>
      <c r="BI277" s="357"/>
      <c r="BJ277" s="357"/>
      <c r="BK277" s="357"/>
      <c r="BL277" s="357"/>
      <c r="BM277" s="357"/>
      <c r="BN277" s="357"/>
      <c r="BO277" s="357"/>
      <c r="BP277" s="357"/>
      <c r="BQ277" s="357"/>
      <c r="BR277" s="357"/>
      <c r="BS277" s="357"/>
      <c r="BT277" s="357"/>
      <c r="BU277" s="357"/>
      <c r="BV277" s="357"/>
      <c r="BW277" s="357"/>
      <c r="BX277" s="357"/>
      <c r="BY277" s="357"/>
      <c r="BZ277" s="357"/>
      <c r="CA277" s="357"/>
      <c r="CB277" s="357"/>
      <c r="CC277" s="357"/>
      <c r="CD277" s="357"/>
      <c r="CE277" s="357"/>
      <c r="CF277" s="357"/>
      <c r="CG277" s="357"/>
      <c r="CH277" s="357"/>
      <c r="CI277" s="357"/>
      <c r="CJ277" s="357"/>
      <c r="CK277" s="357"/>
      <c r="CL277" s="357"/>
      <c r="CM277" s="357"/>
      <c r="CN277" s="357"/>
      <c r="CO277" s="357"/>
      <c r="CP277" s="357"/>
      <c r="CQ277" s="357"/>
      <c r="CR277" s="357"/>
      <c r="CS277" s="357"/>
      <c r="CT277" s="357"/>
      <c r="CU277" s="357"/>
      <c r="CV277" s="357"/>
      <c r="CW277" s="357"/>
      <c r="CX277" s="357"/>
      <c r="CY277" s="357"/>
      <c r="CZ277" s="357"/>
      <c r="DA277" s="357"/>
      <c r="DB277" s="357"/>
      <c r="DC277" s="357"/>
      <c r="DD277" s="357"/>
      <c r="DE277" s="357"/>
      <c r="DF277" s="357"/>
      <c r="DG277" s="357"/>
      <c r="DH277" s="357"/>
      <c r="DI277" s="357"/>
      <c r="DJ277" s="357"/>
      <c r="DK277" s="357"/>
      <c r="DL277" s="357"/>
      <c r="DM277" s="357"/>
      <c r="DN277" s="357"/>
      <c r="DO277" s="357"/>
      <c r="DP277" s="357"/>
      <c r="DQ277" s="357"/>
      <c r="DR277" s="357"/>
      <c r="DS277" s="357"/>
      <c r="DT277" s="357"/>
      <c r="DU277" s="357"/>
      <c r="DV277" s="357"/>
      <c r="DW277" s="357"/>
      <c r="DX277" s="357"/>
      <c r="DY277" s="357"/>
      <c r="DZ277" s="357"/>
      <c r="EA277" s="357"/>
      <c r="EB277" s="357"/>
      <c r="EC277" s="357"/>
      <c r="ED277" s="357"/>
      <c r="EE277" s="357"/>
      <c r="EF277" s="357"/>
      <c r="EG277" s="357"/>
      <c r="EH277" s="357"/>
      <c r="EI277" s="357"/>
      <c r="EJ277" s="357"/>
      <c r="EK277" s="357"/>
      <c r="EL277" s="357"/>
      <c r="EM277" s="357"/>
      <c r="EN277" s="357"/>
      <c r="EO277" s="357"/>
      <c r="EP277" s="357"/>
      <c r="EQ277" s="357"/>
      <c r="ER277" s="357"/>
      <c r="ES277" s="357"/>
      <c r="ET277" s="357"/>
      <c r="EU277" s="357"/>
      <c r="EV277" s="357"/>
      <c r="EW277" s="357"/>
      <c r="EX277" s="357"/>
      <c r="EY277" s="357"/>
      <c r="EZ277" s="357"/>
      <c r="FA277" s="357"/>
      <c r="FB277" s="357"/>
      <c r="FC277" s="357"/>
      <c r="FD277" s="357"/>
      <c r="FE277" s="357"/>
      <c r="FF277" s="357"/>
      <c r="FG277" s="357"/>
      <c r="FH277" s="357"/>
      <c r="FI277" s="357"/>
      <c r="FJ277" s="357"/>
      <c r="FK277" s="357"/>
      <c r="FL277" s="357"/>
      <c r="FM277" s="357"/>
      <c r="FN277" s="357"/>
      <c r="FO277" s="357"/>
      <c r="FP277" s="357"/>
      <c r="FQ277" s="357"/>
      <c r="FR277" s="357"/>
      <c r="FS277" s="357"/>
      <c r="FT277" s="357"/>
      <c r="FU277" s="357"/>
      <c r="FV277" s="357"/>
      <c r="FW277" s="357"/>
      <c r="FX277" s="357"/>
      <c r="FY277" s="357"/>
      <c r="FZ277" s="357"/>
      <c r="GA277" s="357"/>
      <c r="GB277" s="357"/>
      <c r="GC277" s="357"/>
      <c r="GD277" s="357"/>
      <c r="GE277" s="357"/>
      <c r="GF277" s="357"/>
      <c r="GG277" s="357"/>
      <c r="GH277" s="357"/>
      <c r="GI277" s="357"/>
      <c r="GJ277" s="357"/>
      <c r="GK277" s="154"/>
      <c r="GL277" s="154"/>
      <c r="GM277" s="154"/>
      <c r="GN277" s="154"/>
      <c r="GO277" s="154"/>
      <c r="GP277" s="154"/>
      <c r="GQ277" s="154"/>
      <c r="GR277" s="154"/>
      <c r="GS277" s="154"/>
      <c r="GT277" s="154"/>
      <c r="GU277" s="154"/>
      <c r="GV277" s="154"/>
      <c r="GW277" s="154"/>
      <c r="GX277" s="154"/>
    </row>
    <row r="278" spans="7:206">
      <c r="G278" s="154"/>
      <c r="H278" s="154"/>
      <c r="I278" s="154"/>
      <c r="J278" s="154"/>
      <c r="K278" s="154"/>
      <c r="L278" s="154"/>
      <c r="M278" s="154"/>
      <c r="N278" s="154"/>
      <c r="O278" s="154"/>
      <c r="P278" s="154"/>
      <c r="Q278" s="154"/>
      <c r="R278" s="154"/>
      <c r="S278" s="154"/>
      <c r="T278" s="154"/>
      <c r="U278" s="154"/>
      <c r="V278" s="154"/>
      <c r="W278" s="154"/>
      <c r="X278" s="154"/>
      <c r="Y278" s="154"/>
      <c r="Z278" s="357"/>
      <c r="AA278" s="357"/>
      <c r="AB278" s="357"/>
      <c r="AC278" s="357"/>
      <c r="AD278" s="357"/>
      <c r="AE278" s="357"/>
      <c r="AF278" s="357"/>
      <c r="AG278" s="357"/>
      <c r="AH278" s="357"/>
      <c r="AI278" s="357"/>
      <c r="AJ278" s="357"/>
      <c r="AK278" s="357"/>
      <c r="AL278" s="357"/>
      <c r="AM278" s="357"/>
      <c r="AN278" s="357"/>
      <c r="AO278" s="357"/>
      <c r="AP278" s="357"/>
      <c r="AQ278" s="357"/>
      <c r="AR278" s="357"/>
      <c r="AS278" s="357"/>
      <c r="AT278" s="357"/>
      <c r="AU278" s="357"/>
      <c r="AV278" s="357"/>
      <c r="AW278" s="357"/>
      <c r="AX278" s="357"/>
      <c r="AY278" s="357"/>
      <c r="AZ278" s="357"/>
      <c r="BA278" s="357"/>
      <c r="BB278" s="357"/>
      <c r="BC278" s="357"/>
      <c r="BD278" s="357"/>
      <c r="BE278" s="357"/>
      <c r="BF278" s="357"/>
      <c r="BG278" s="357"/>
      <c r="BH278" s="357"/>
      <c r="BI278" s="357"/>
      <c r="BJ278" s="357"/>
      <c r="BK278" s="357"/>
      <c r="BL278" s="357"/>
      <c r="BM278" s="357"/>
      <c r="BN278" s="357"/>
      <c r="BO278" s="357"/>
      <c r="BP278" s="357"/>
      <c r="BQ278" s="357"/>
      <c r="BR278" s="357"/>
      <c r="BS278" s="357"/>
      <c r="BT278" s="357"/>
      <c r="BU278" s="357"/>
      <c r="BV278" s="357"/>
      <c r="BW278" s="357"/>
      <c r="BX278" s="357"/>
      <c r="BY278" s="357"/>
      <c r="BZ278" s="357"/>
      <c r="CA278" s="357"/>
      <c r="CB278" s="357"/>
      <c r="CC278" s="357"/>
      <c r="CD278" s="357"/>
      <c r="CE278" s="357"/>
      <c r="CF278" s="357"/>
      <c r="CG278" s="357"/>
      <c r="CH278" s="357"/>
      <c r="CI278" s="357"/>
      <c r="CJ278" s="357"/>
      <c r="CK278" s="357"/>
      <c r="CL278" s="357"/>
      <c r="CM278" s="357"/>
      <c r="CN278" s="357"/>
      <c r="CO278" s="357"/>
      <c r="CP278" s="357"/>
      <c r="CQ278" s="357"/>
      <c r="CR278" s="357"/>
      <c r="CS278" s="357"/>
      <c r="CT278" s="357"/>
      <c r="CU278" s="357"/>
      <c r="CV278" s="357"/>
      <c r="CW278" s="357"/>
      <c r="CX278" s="357"/>
      <c r="CY278" s="357"/>
      <c r="CZ278" s="357"/>
      <c r="DA278" s="357"/>
      <c r="DB278" s="357"/>
      <c r="DC278" s="357"/>
      <c r="DD278" s="357"/>
      <c r="DE278" s="357"/>
      <c r="DF278" s="357"/>
      <c r="DG278" s="357"/>
      <c r="DH278" s="357"/>
      <c r="DI278" s="357"/>
      <c r="DJ278" s="357"/>
      <c r="DK278" s="357"/>
      <c r="DL278" s="357"/>
      <c r="DM278" s="357"/>
      <c r="DN278" s="357"/>
      <c r="DO278" s="357"/>
      <c r="DP278" s="357"/>
      <c r="DQ278" s="357"/>
      <c r="DR278" s="357"/>
      <c r="DS278" s="357"/>
      <c r="DT278" s="357"/>
      <c r="DU278" s="357"/>
      <c r="DV278" s="357"/>
      <c r="DW278" s="357"/>
      <c r="DX278" s="357"/>
      <c r="DY278" s="357"/>
      <c r="DZ278" s="357"/>
      <c r="EA278" s="357"/>
      <c r="EB278" s="357"/>
      <c r="EC278" s="357"/>
      <c r="ED278" s="357"/>
      <c r="EE278" s="357"/>
      <c r="EF278" s="357"/>
      <c r="EG278" s="357"/>
      <c r="EH278" s="357"/>
      <c r="EI278" s="357"/>
      <c r="EJ278" s="357"/>
      <c r="EK278" s="357"/>
      <c r="EL278" s="357"/>
      <c r="EM278" s="357"/>
      <c r="EN278" s="357"/>
      <c r="EO278" s="357"/>
      <c r="EP278" s="357"/>
      <c r="EQ278" s="357"/>
      <c r="ER278" s="357"/>
      <c r="ES278" s="357"/>
      <c r="ET278" s="357"/>
      <c r="EU278" s="357"/>
      <c r="EV278" s="357"/>
      <c r="EW278" s="357"/>
      <c r="EX278" s="357"/>
      <c r="EY278" s="357"/>
      <c r="EZ278" s="357"/>
      <c r="FA278" s="357"/>
      <c r="FB278" s="357"/>
      <c r="FC278" s="357"/>
      <c r="FD278" s="357"/>
      <c r="FE278" s="357"/>
      <c r="FF278" s="357"/>
      <c r="FG278" s="357"/>
      <c r="FH278" s="357"/>
      <c r="FI278" s="357"/>
      <c r="FJ278" s="357"/>
      <c r="FK278" s="357"/>
      <c r="FL278" s="357"/>
      <c r="FM278" s="357"/>
      <c r="FN278" s="357"/>
      <c r="FO278" s="357"/>
      <c r="FP278" s="357"/>
      <c r="FQ278" s="357"/>
      <c r="FR278" s="357"/>
      <c r="FS278" s="357"/>
      <c r="FT278" s="357"/>
      <c r="FU278" s="357"/>
      <c r="FV278" s="357"/>
      <c r="FW278" s="357"/>
      <c r="FX278" s="357"/>
      <c r="FY278" s="357"/>
      <c r="FZ278" s="357"/>
      <c r="GA278" s="357"/>
      <c r="GB278" s="357"/>
      <c r="GC278" s="357"/>
      <c r="GD278" s="357"/>
      <c r="GE278" s="357"/>
      <c r="GF278" s="357"/>
      <c r="GG278" s="357"/>
      <c r="GH278" s="357"/>
      <c r="GI278" s="357"/>
      <c r="GJ278" s="357"/>
      <c r="GK278" s="154"/>
      <c r="GL278" s="154"/>
      <c r="GM278" s="154"/>
      <c r="GN278" s="154"/>
      <c r="GO278" s="154"/>
      <c r="GP278" s="154"/>
      <c r="GQ278" s="154"/>
      <c r="GR278" s="154"/>
      <c r="GS278" s="154"/>
      <c r="GT278" s="154"/>
      <c r="GU278" s="154"/>
      <c r="GV278" s="154"/>
      <c r="GW278" s="154"/>
      <c r="GX278" s="154"/>
    </row>
    <row r="279" spans="7:206">
      <c r="G279" s="154"/>
      <c r="H279" s="154"/>
      <c r="I279" s="154"/>
      <c r="J279" s="154"/>
      <c r="K279" s="154"/>
      <c r="L279" s="154"/>
      <c r="M279" s="154"/>
      <c r="N279" s="154"/>
      <c r="O279" s="154"/>
      <c r="P279" s="154"/>
      <c r="Q279" s="154"/>
      <c r="R279" s="154"/>
      <c r="S279" s="154"/>
      <c r="T279" s="154"/>
      <c r="U279" s="154"/>
      <c r="V279" s="154"/>
      <c r="W279" s="154"/>
      <c r="X279" s="154"/>
      <c r="Y279" s="154"/>
      <c r="Z279" s="357"/>
      <c r="AA279" s="357"/>
      <c r="AB279" s="357"/>
      <c r="AC279" s="357"/>
      <c r="AD279" s="357"/>
      <c r="AE279" s="357"/>
      <c r="AF279" s="357"/>
      <c r="AG279" s="357"/>
      <c r="AH279" s="357"/>
      <c r="AI279" s="357"/>
      <c r="AJ279" s="357"/>
      <c r="AK279" s="357"/>
      <c r="AL279" s="357"/>
      <c r="AM279" s="357"/>
      <c r="AN279" s="357"/>
      <c r="AO279" s="357"/>
      <c r="AP279" s="357"/>
      <c r="AQ279" s="357"/>
      <c r="AR279" s="357"/>
      <c r="AS279" s="357"/>
      <c r="AT279" s="357"/>
      <c r="AU279" s="357"/>
      <c r="AV279" s="357"/>
      <c r="AW279" s="357"/>
      <c r="AX279" s="357"/>
      <c r="AY279" s="357"/>
      <c r="AZ279" s="357"/>
      <c r="BA279" s="357"/>
      <c r="BB279" s="357"/>
      <c r="BC279" s="357"/>
      <c r="BD279" s="357"/>
      <c r="BE279" s="357"/>
      <c r="BF279" s="357"/>
      <c r="BG279" s="357"/>
      <c r="BH279" s="357"/>
      <c r="BI279" s="357"/>
      <c r="BJ279" s="357"/>
      <c r="BK279" s="357"/>
      <c r="BL279" s="357"/>
      <c r="BM279" s="357"/>
      <c r="BN279" s="357"/>
      <c r="BO279" s="357"/>
      <c r="BP279" s="357"/>
      <c r="BQ279" s="357"/>
      <c r="BR279" s="357"/>
      <c r="BS279" s="357"/>
      <c r="BT279" s="357"/>
      <c r="BU279" s="357"/>
      <c r="BV279" s="357"/>
      <c r="BW279" s="357"/>
      <c r="BX279" s="357"/>
      <c r="BY279" s="357"/>
      <c r="BZ279" s="357"/>
      <c r="CA279" s="357"/>
      <c r="CB279" s="357"/>
      <c r="CC279" s="357"/>
      <c r="CD279" s="357"/>
      <c r="CE279" s="357"/>
      <c r="CF279" s="357"/>
      <c r="CG279" s="357"/>
      <c r="CH279" s="357"/>
      <c r="CI279" s="357"/>
      <c r="CJ279" s="357"/>
      <c r="CK279" s="357"/>
      <c r="CL279" s="357"/>
      <c r="CM279" s="357"/>
      <c r="CN279" s="357"/>
      <c r="CO279" s="357"/>
      <c r="CP279" s="357"/>
      <c r="CQ279" s="357"/>
      <c r="CR279" s="357"/>
      <c r="CS279" s="357"/>
      <c r="CT279" s="357"/>
      <c r="CU279" s="357"/>
      <c r="CV279" s="357"/>
      <c r="CW279" s="357"/>
      <c r="CX279" s="357"/>
      <c r="CY279" s="357"/>
      <c r="CZ279" s="357"/>
      <c r="DA279" s="357"/>
      <c r="DB279" s="357"/>
      <c r="DC279" s="357"/>
      <c r="DD279" s="357"/>
      <c r="DE279" s="357"/>
      <c r="DF279" s="357"/>
      <c r="DG279" s="357"/>
      <c r="DH279" s="357"/>
      <c r="DI279" s="357"/>
      <c r="DJ279" s="357"/>
      <c r="DK279" s="357"/>
      <c r="DL279" s="357"/>
      <c r="DM279" s="357"/>
      <c r="DN279" s="357"/>
      <c r="DO279" s="357"/>
      <c r="DP279" s="357"/>
      <c r="DQ279" s="357"/>
      <c r="DR279" s="357"/>
      <c r="DS279" s="357"/>
      <c r="DT279" s="357"/>
      <c r="DU279" s="357"/>
      <c r="DV279" s="357"/>
      <c r="DW279" s="357"/>
      <c r="DX279" s="357"/>
      <c r="DY279" s="357"/>
      <c r="DZ279" s="357"/>
      <c r="EA279" s="357"/>
      <c r="EB279" s="357"/>
      <c r="EC279" s="357"/>
      <c r="ED279" s="357"/>
      <c r="EE279" s="357"/>
      <c r="EF279" s="357"/>
      <c r="EG279" s="357"/>
      <c r="EH279" s="357"/>
      <c r="EI279" s="357"/>
      <c r="EJ279" s="357"/>
      <c r="EK279" s="357"/>
      <c r="EL279" s="357"/>
      <c r="EM279" s="357"/>
      <c r="EN279" s="357"/>
      <c r="EO279" s="357"/>
      <c r="EP279" s="357"/>
      <c r="EQ279" s="357"/>
      <c r="ER279" s="357"/>
      <c r="ES279" s="357"/>
      <c r="ET279" s="357"/>
      <c r="EU279" s="357"/>
      <c r="EV279" s="357"/>
      <c r="EW279" s="357"/>
      <c r="EX279" s="357"/>
      <c r="EY279" s="357"/>
      <c r="EZ279" s="357"/>
      <c r="FA279" s="357"/>
      <c r="FB279" s="357"/>
      <c r="FC279" s="357"/>
      <c r="FD279" s="357"/>
      <c r="FE279" s="357"/>
      <c r="FF279" s="357"/>
      <c r="FG279" s="357"/>
      <c r="FH279" s="357"/>
      <c r="FI279" s="357"/>
      <c r="FJ279" s="357"/>
      <c r="FK279" s="357"/>
      <c r="FL279" s="357"/>
      <c r="FM279" s="357"/>
      <c r="FN279" s="357"/>
      <c r="FO279" s="357"/>
      <c r="FP279" s="357"/>
      <c r="FQ279" s="357"/>
      <c r="FR279" s="357"/>
      <c r="FS279" s="357"/>
      <c r="FT279" s="357"/>
      <c r="FU279" s="357"/>
      <c r="FV279" s="357"/>
      <c r="FW279" s="357"/>
      <c r="FX279" s="357"/>
      <c r="FY279" s="357"/>
      <c r="FZ279" s="357"/>
      <c r="GA279" s="357"/>
      <c r="GB279" s="357"/>
      <c r="GC279" s="357"/>
      <c r="GD279" s="357"/>
      <c r="GE279" s="357"/>
      <c r="GF279" s="357"/>
      <c r="GG279" s="357"/>
      <c r="GH279" s="357"/>
      <c r="GI279" s="357"/>
      <c r="GJ279" s="357"/>
      <c r="GK279" s="154"/>
      <c r="GL279" s="154"/>
      <c r="GM279" s="154"/>
      <c r="GN279" s="154"/>
      <c r="GO279" s="154"/>
      <c r="GP279" s="154"/>
      <c r="GQ279" s="154"/>
      <c r="GR279" s="154"/>
      <c r="GS279" s="154"/>
      <c r="GT279" s="154"/>
      <c r="GU279" s="154"/>
      <c r="GV279" s="154"/>
      <c r="GW279" s="154"/>
      <c r="GX279" s="154"/>
    </row>
    <row r="280" spans="7:206">
      <c r="G280" s="154"/>
      <c r="H280" s="154"/>
      <c r="I280" s="154"/>
      <c r="J280" s="154"/>
      <c r="K280" s="154"/>
      <c r="L280" s="154"/>
      <c r="M280" s="154"/>
      <c r="N280" s="154"/>
      <c r="O280" s="154"/>
      <c r="P280" s="154"/>
      <c r="Q280" s="154"/>
      <c r="R280" s="154"/>
      <c r="S280" s="154"/>
      <c r="T280" s="154"/>
      <c r="U280" s="154"/>
      <c r="V280" s="154"/>
      <c r="W280" s="154"/>
      <c r="X280" s="154"/>
      <c r="Y280" s="154"/>
      <c r="Z280" s="357"/>
      <c r="AA280" s="357"/>
      <c r="AB280" s="357"/>
      <c r="AC280" s="357"/>
      <c r="AD280" s="357"/>
      <c r="AE280" s="357"/>
      <c r="AF280" s="357"/>
      <c r="AG280" s="357"/>
      <c r="AH280" s="357"/>
      <c r="AI280" s="357"/>
      <c r="AJ280" s="357"/>
      <c r="AK280" s="357"/>
      <c r="AL280" s="357"/>
      <c r="AM280" s="357"/>
      <c r="AN280" s="357"/>
      <c r="AO280" s="357"/>
      <c r="AP280" s="357"/>
      <c r="AQ280" s="357"/>
      <c r="AR280" s="357"/>
      <c r="AS280" s="357"/>
      <c r="AT280" s="357"/>
      <c r="AU280" s="357"/>
      <c r="AV280" s="357"/>
      <c r="AW280" s="357"/>
      <c r="AX280" s="357"/>
      <c r="AY280" s="357"/>
      <c r="AZ280" s="357"/>
      <c r="BA280" s="357"/>
      <c r="BB280" s="357"/>
      <c r="BC280" s="357"/>
      <c r="BD280" s="357"/>
      <c r="BE280" s="357"/>
      <c r="BF280" s="357"/>
      <c r="BG280" s="357"/>
      <c r="BH280" s="357"/>
      <c r="BI280" s="357"/>
      <c r="BJ280" s="357"/>
      <c r="BK280" s="357"/>
      <c r="BL280" s="357"/>
      <c r="BM280" s="357"/>
      <c r="BN280" s="357"/>
      <c r="BO280" s="357"/>
      <c r="BP280" s="357"/>
      <c r="BQ280" s="357"/>
      <c r="BR280" s="357"/>
      <c r="BS280" s="357"/>
      <c r="BT280" s="357"/>
      <c r="BU280" s="357"/>
      <c r="BV280" s="357"/>
      <c r="BW280" s="357"/>
      <c r="BX280" s="357"/>
      <c r="BY280" s="357"/>
      <c r="BZ280" s="357"/>
      <c r="CA280" s="357"/>
      <c r="CB280" s="357"/>
      <c r="CC280" s="357"/>
      <c r="CD280" s="357"/>
      <c r="CE280" s="357"/>
      <c r="CF280" s="357"/>
      <c r="CG280" s="357"/>
      <c r="CH280" s="357"/>
      <c r="CI280" s="357"/>
      <c r="CJ280" s="357"/>
      <c r="CK280" s="357"/>
      <c r="CL280" s="357"/>
      <c r="CM280" s="357"/>
      <c r="CN280" s="357"/>
      <c r="CO280" s="357"/>
      <c r="CP280" s="357"/>
      <c r="CQ280" s="357"/>
      <c r="CR280" s="357"/>
      <c r="CS280" s="357"/>
      <c r="CT280" s="357"/>
      <c r="CU280" s="357"/>
      <c r="CV280" s="357"/>
      <c r="CW280" s="357"/>
      <c r="CX280" s="357"/>
      <c r="CY280" s="357"/>
      <c r="CZ280" s="357"/>
      <c r="DA280" s="357"/>
      <c r="DB280" s="357"/>
      <c r="DC280" s="357"/>
      <c r="DD280" s="357"/>
      <c r="DE280" s="357"/>
      <c r="DF280" s="357"/>
      <c r="DG280" s="357"/>
      <c r="DH280" s="357"/>
      <c r="DI280" s="357"/>
      <c r="DJ280" s="357"/>
      <c r="DK280" s="357"/>
      <c r="DL280" s="357"/>
      <c r="DM280" s="357"/>
      <c r="DN280" s="357"/>
      <c r="DO280" s="357"/>
      <c r="DP280" s="357"/>
      <c r="DQ280" s="357"/>
      <c r="DR280" s="357"/>
      <c r="DS280" s="357"/>
      <c r="DT280" s="357"/>
      <c r="DU280" s="357"/>
      <c r="DV280" s="357"/>
      <c r="DW280" s="357"/>
      <c r="DX280" s="357"/>
      <c r="DY280" s="357"/>
      <c r="DZ280" s="357"/>
      <c r="EA280" s="357"/>
      <c r="EB280" s="357"/>
      <c r="EC280" s="357"/>
      <c r="ED280" s="357"/>
      <c r="EE280" s="357"/>
      <c r="EF280" s="357"/>
      <c r="EG280" s="357"/>
      <c r="EH280" s="357"/>
      <c r="EI280" s="357"/>
      <c r="EJ280" s="357"/>
      <c r="EK280" s="357"/>
      <c r="EL280" s="357"/>
      <c r="EM280" s="357"/>
      <c r="EN280" s="357"/>
      <c r="EO280" s="357"/>
      <c r="EP280" s="357"/>
      <c r="EQ280" s="357"/>
      <c r="ER280" s="357"/>
      <c r="ES280" s="357"/>
      <c r="ET280" s="357"/>
      <c r="EU280" s="357"/>
      <c r="EV280" s="357"/>
      <c r="EW280" s="357"/>
      <c r="EX280" s="357"/>
      <c r="EY280" s="357"/>
      <c r="EZ280" s="357"/>
      <c r="FA280" s="357"/>
      <c r="FB280" s="357"/>
      <c r="FC280" s="357"/>
      <c r="FD280" s="357"/>
      <c r="FE280" s="357"/>
      <c r="FF280" s="357"/>
      <c r="FG280" s="357"/>
      <c r="FH280" s="357"/>
      <c r="FI280" s="357"/>
      <c r="FJ280" s="357"/>
      <c r="FK280" s="357"/>
      <c r="FL280" s="357"/>
      <c r="FM280" s="357"/>
      <c r="FN280" s="357"/>
      <c r="FO280" s="357"/>
      <c r="FP280" s="357"/>
      <c r="FQ280" s="357"/>
      <c r="FR280" s="357"/>
      <c r="FS280" s="357"/>
      <c r="FT280" s="357"/>
      <c r="FU280" s="357"/>
      <c r="FV280" s="357"/>
      <c r="FW280" s="357"/>
      <c r="FX280" s="357"/>
      <c r="FY280" s="357"/>
      <c r="FZ280" s="357"/>
      <c r="GA280" s="357"/>
      <c r="GB280" s="357"/>
      <c r="GC280" s="357"/>
      <c r="GD280" s="357"/>
      <c r="GE280" s="357"/>
      <c r="GF280" s="357"/>
      <c r="GG280" s="357"/>
      <c r="GH280" s="357"/>
      <c r="GI280" s="357"/>
      <c r="GJ280" s="357"/>
      <c r="GK280" s="154"/>
      <c r="GL280" s="154"/>
      <c r="GM280" s="154"/>
      <c r="GN280" s="154"/>
      <c r="GO280" s="154"/>
      <c r="GP280" s="154"/>
      <c r="GQ280" s="154"/>
      <c r="GR280" s="154"/>
      <c r="GS280" s="154"/>
      <c r="GT280" s="154"/>
      <c r="GU280" s="154"/>
      <c r="GV280" s="154"/>
      <c r="GW280" s="154"/>
      <c r="GX280" s="154"/>
    </row>
    <row r="281" spans="7:206">
      <c r="G281" s="154"/>
      <c r="H281" s="154"/>
      <c r="I281" s="154"/>
      <c r="J281" s="154"/>
      <c r="K281" s="154"/>
      <c r="L281" s="154"/>
      <c r="M281" s="154"/>
      <c r="N281" s="154"/>
      <c r="O281" s="154"/>
      <c r="P281" s="154"/>
      <c r="Q281" s="154"/>
      <c r="R281" s="154"/>
      <c r="S281" s="154"/>
      <c r="T281" s="154"/>
      <c r="U281" s="154"/>
      <c r="V281" s="154"/>
      <c r="W281" s="154"/>
      <c r="X281" s="154"/>
      <c r="Y281" s="154"/>
      <c r="Z281" s="357"/>
      <c r="AA281" s="357"/>
      <c r="AB281" s="357"/>
      <c r="AC281" s="357"/>
      <c r="AD281" s="357"/>
      <c r="AE281" s="357"/>
      <c r="AF281" s="357"/>
      <c r="AG281" s="357"/>
      <c r="AH281" s="357"/>
      <c r="AI281" s="357"/>
      <c r="AJ281" s="357"/>
      <c r="AK281" s="357"/>
      <c r="AL281" s="357"/>
      <c r="AM281" s="357"/>
      <c r="AN281" s="357"/>
      <c r="AO281" s="357"/>
      <c r="AP281" s="357"/>
      <c r="AQ281" s="357"/>
      <c r="AR281" s="357"/>
      <c r="AS281" s="357"/>
      <c r="AT281" s="357"/>
      <c r="AU281" s="357"/>
      <c r="AV281" s="357"/>
      <c r="AW281" s="357"/>
      <c r="AX281" s="357"/>
      <c r="AY281" s="357"/>
      <c r="AZ281" s="357"/>
      <c r="BA281" s="357"/>
      <c r="BB281" s="357"/>
      <c r="BC281" s="357"/>
      <c r="BD281" s="357"/>
      <c r="BE281" s="357"/>
      <c r="BF281" s="357"/>
      <c r="BG281" s="357"/>
      <c r="BH281" s="357"/>
      <c r="BI281" s="357"/>
      <c r="BJ281" s="357"/>
      <c r="BK281" s="357"/>
      <c r="BL281" s="357"/>
      <c r="BM281" s="357"/>
      <c r="BN281" s="357"/>
      <c r="BO281" s="357"/>
      <c r="BP281" s="357"/>
      <c r="BQ281" s="357"/>
      <c r="BR281" s="357"/>
      <c r="BS281" s="357"/>
      <c r="BT281" s="357"/>
      <c r="BU281" s="357"/>
      <c r="BV281" s="357"/>
      <c r="BW281" s="357"/>
      <c r="BX281" s="357"/>
      <c r="BY281" s="357"/>
      <c r="BZ281" s="357"/>
      <c r="CA281" s="357"/>
      <c r="CB281" s="357"/>
      <c r="CC281" s="357"/>
      <c r="CD281" s="357"/>
      <c r="CE281" s="357"/>
      <c r="CF281" s="357"/>
      <c r="CG281" s="357"/>
      <c r="CH281" s="357"/>
      <c r="CI281" s="357"/>
      <c r="CJ281" s="357"/>
      <c r="CK281" s="357"/>
      <c r="CL281" s="357"/>
      <c r="CM281" s="357"/>
      <c r="CN281" s="357"/>
      <c r="CO281" s="357"/>
      <c r="CP281" s="357"/>
      <c r="CQ281" s="357"/>
      <c r="CR281" s="357"/>
      <c r="CS281" s="357"/>
      <c r="CT281" s="357"/>
      <c r="CU281" s="357"/>
      <c r="CV281" s="357"/>
      <c r="CW281" s="357"/>
      <c r="CX281" s="357"/>
      <c r="CY281" s="357"/>
      <c r="CZ281" s="357"/>
      <c r="DA281" s="357"/>
      <c r="DB281" s="357"/>
      <c r="DC281" s="357"/>
      <c r="DD281" s="357"/>
      <c r="DE281" s="357"/>
      <c r="DF281" s="357"/>
      <c r="DG281" s="357"/>
      <c r="DH281" s="357"/>
      <c r="DI281" s="357"/>
      <c r="DJ281" s="357"/>
      <c r="DK281" s="357"/>
      <c r="DL281" s="357"/>
      <c r="DM281" s="357"/>
      <c r="DN281" s="357"/>
      <c r="DO281" s="357"/>
      <c r="DP281" s="357"/>
      <c r="DQ281" s="357"/>
      <c r="DR281" s="357"/>
      <c r="DS281" s="357"/>
      <c r="DT281" s="357"/>
      <c r="DU281" s="357"/>
      <c r="DV281" s="357"/>
      <c r="DW281" s="357"/>
      <c r="DX281" s="357"/>
      <c r="DY281" s="357"/>
      <c r="DZ281" s="357"/>
      <c r="EA281" s="357"/>
      <c r="EB281" s="357"/>
      <c r="EC281" s="357"/>
      <c r="ED281" s="357"/>
      <c r="EE281" s="357"/>
      <c r="EF281" s="357"/>
      <c r="EG281" s="357"/>
      <c r="EH281" s="357"/>
      <c r="EI281" s="357"/>
      <c r="EJ281" s="357"/>
      <c r="EK281" s="357"/>
      <c r="EL281" s="357"/>
      <c r="EM281" s="357"/>
      <c r="EN281" s="357"/>
      <c r="EO281" s="357"/>
      <c r="EP281" s="357"/>
      <c r="EQ281" s="357"/>
      <c r="ER281" s="357"/>
      <c r="ES281" s="357"/>
      <c r="ET281" s="357"/>
      <c r="EU281" s="357"/>
      <c r="EV281" s="357"/>
      <c r="EW281" s="357"/>
      <c r="EX281" s="357"/>
      <c r="EY281" s="357"/>
      <c r="EZ281" s="357"/>
      <c r="FA281" s="357"/>
      <c r="FB281" s="357"/>
      <c r="FC281" s="357"/>
      <c r="FD281" s="357"/>
      <c r="FE281" s="357"/>
      <c r="FF281" s="357"/>
      <c r="FG281" s="357"/>
      <c r="FH281" s="357"/>
      <c r="FI281" s="357"/>
      <c r="FJ281" s="357"/>
      <c r="FK281" s="357"/>
      <c r="FL281" s="357"/>
      <c r="FM281" s="357"/>
      <c r="FN281" s="357"/>
      <c r="FO281" s="357"/>
      <c r="FP281" s="357"/>
      <c r="FQ281" s="357"/>
      <c r="FR281" s="357"/>
      <c r="FS281" s="357"/>
      <c r="FT281" s="357"/>
      <c r="FU281" s="357"/>
      <c r="FV281" s="357"/>
      <c r="FW281" s="357"/>
      <c r="FX281" s="357"/>
      <c r="FY281" s="357"/>
      <c r="FZ281" s="357"/>
      <c r="GA281" s="357"/>
      <c r="GB281" s="357"/>
      <c r="GC281" s="357"/>
      <c r="GD281" s="357"/>
      <c r="GE281" s="357"/>
      <c r="GF281" s="357"/>
      <c r="GG281" s="357"/>
      <c r="GH281" s="357"/>
      <c r="GI281" s="357"/>
      <c r="GJ281" s="357"/>
      <c r="GK281" s="154"/>
      <c r="GL281" s="154"/>
      <c r="GM281" s="154"/>
      <c r="GN281" s="154"/>
      <c r="GO281" s="154"/>
      <c r="GP281" s="154"/>
      <c r="GQ281" s="154"/>
      <c r="GR281" s="154"/>
      <c r="GS281" s="154"/>
      <c r="GT281" s="154"/>
      <c r="GU281" s="154"/>
      <c r="GV281" s="154"/>
      <c r="GW281" s="154"/>
      <c r="GX281" s="154"/>
    </row>
    <row r="282" spans="7:206">
      <c r="G282" s="154"/>
      <c r="H282" s="154"/>
      <c r="I282" s="154"/>
      <c r="J282" s="154"/>
      <c r="K282" s="154"/>
      <c r="L282" s="154"/>
      <c r="M282" s="154"/>
      <c r="N282" s="154"/>
      <c r="O282" s="154"/>
      <c r="P282" s="154"/>
      <c r="Q282" s="154"/>
      <c r="R282" s="154"/>
      <c r="S282" s="154"/>
      <c r="T282" s="154"/>
      <c r="U282" s="154"/>
      <c r="V282" s="154"/>
      <c r="W282" s="154"/>
      <c r="X282" s="154"/>
      <c r="Y282" s="154"/>
      <c r="Z282" s="357"/>
      <c r="AA282" s="357"/>
      <c r="AB282" s="357"/>
      <c r="AC282" s="357"/>
      <c r="AD282" s="357"/>
      <c r="AE282" s="357"/>
      <c r="AF282" s="357"/>
      <c r="AG282" s="357"/>
      <c r="AH282" s="357"/>
      <c r="AI282" s="357"/>
      <c r="AJ282" s="357"/>
      <c r="AK282" s="357"/>
      <c r="AL282" s="357"/>
      <c r="AM282" s="357"/>
      <c r="AN282" s="357"/>
      <c r="AO282" s="357"/>
      <c r="AP282" s="357"/>
      <c r="AQ282" s="357"/>
      <c r="AR282" s="357"/>
      <c r="AS282" s="357"/>
      <c r="AT282" s="357"/>
      <c r="AU282" s="357"/>
      <c r="AV282" s="357"/>
      <c r="AW282" s="357"/>
      <c r="AX282" s="357"/>
      <c r="AY282" s="357"/>
      <c r="AZ282" s="357"/>
      <c r="BA282" s="357"/>
      <c r="BB282" s="357"/>
      <c r="BC282" s="357"/>
      <c r="BD282" s="357"/>
      <c r="BE282" s="357"/>
      <c r="BF282" s="357"/>
      <c r="BG282" s="357"/>
      <c r="BH282" s="357"/>
      <c r="BI282" s="357"/>
      <c r="BJ282" s="357"/>
      <c r="BK282" s="357"/>
      <c r="BL282" s="357"/>
      <c r="BM282" s="357"/>
      <c r="BN282" s="357"/>
      <c r="BO282" s="357"/>
      <c r="BP282" s="357"/>
      <c r="BQ282" s="357"/>
      <c r="BR282" s="357"/>
      <c r="BS282" s="357"/>
      <c r="BT282" s="357"/>
      <c r="BU282" s="357"/>
      <c r="BV282" s="357"/>
      <c r="BW282" s="357"/>
      <c r="BX282" s="357"/>
      <c r="BY282" s="357"/>
      <c r="BZ282" s="357"/>
      <c r="CA282" s="357"/>
      <c r="CB282" s="357"/>
      <c r="CC282" s="357"/>
      <c r="CD282" s="357"/>
      <c r="CE282" s="357"/>
      <c r="CF282" s="357"/>
      <c r="CG282" s="357"/>
      <c r="CH282" s="357"/>
      <c r="CI282" s="357"/>
      <c r="CJ282" s="357"/>
      <c r="CK282" s="357"/>
      <c r="CL282" s="357"/>
      <c r="CM282" s="357"/>
      <c r="CN282" s="357"/>
      <c r="CO282" s="357"/>
      <c r="CP282" s="357"/>
      <c r="CQ282" s="357"/>
      <c r="CR282" s="357"/>
      <c r="CS282" s="357"/>
      <c r="CT282" s="357"/>
      <c r="CU282" s="357"/>
      <c r="CV282" s="357"/>
      <c r="CW282" s="357"/>
      <c r="CX282" s="357"/>
      <c r="CY282" s="357"/>
      <c r="CZ282" s="357"/>
      <c r="DA282" s="357"/>
      <c r="DB282" s="357"/>
      <c r="DC282" s="357"/>
      <c r="DD282" s="357"/>
      <c r="DE282" s="357"/>
      <c r="DF282" s="357"/>
      <c r="DG282" s="357"/>
      <c r="DH282" s="357"/>
      <c r="DI282" s="357"/>
      <c r="DJ282" s="357"/>
      <c r="DK282" s="357"/>
      <c r="DL282" s="357"/>
      <c r="DM282" s="357"/>
      <c r="DN282" s="357"/>
      <c r="DO282" s="357"/>
      <c r="DP282" s="357"/>
      <c r="DQ282" s="357"/>
      <c r="DR282" s="357"/>
      <c r="DS282" s="357"/>
      <c r="DT282" s="357"/>
      <c r="DU282" s="357"/>
      <c r="DV282" s="357"/>
      <c r="DW282" s="357"/>
      <c r="DX282" s="357"/>
      <c r="DY282" s="357"/>
      <c r="DZ282" s="357"/>
      <c r="EA282" s="357"/>
      <c r="EB282" s="357"/>
      <c r="EC282" s="357"/>
      <c r="ED282" s="357"/>
      <c r="EE282" s="357"/>
      <c r="EF282" s="357"/>
      <c r="EG282" s="357"/>
      <c r="EH282" s="357"/>
      <c r="EI282" s="357"/>
      <c r="EJ282" s="357"/>
      <c r="EK282" s="357"/>
      <c r="EL282" s="357"/>
      <c r="EM282" s="357"/>
      <c r="EN282" s="357"/>
      <c r="EO282" s="357"/>
      <c r="EP282" s="357"/>
      <c r="EQ282" s="357"/>
      <c r="ER282" s="357"/>
      <c r="ES282" s="357"/>
      <c r="ET282" s="357"/>
      <c r="EU282" s="357"/>
      <c r="EV282" s="357"/>
      <c r="EW282" s="357"/>
      <c r="EX282" s="357"/>
      <c r="EY282" s="357"/>
      <c r="EZ282" s="357"/>
      <c r="FA282" s="357"/>
      <c r="FB282" s="357"/>
      <c r="FC282" s="357"/>
      <c r="FD282" s="357"/>
      <c r="FE282" s="357"/>
      <c r="FF282" s="357"/>
      <c r="FG282" s="357"/>
      <c r="FH282" s="357"/>
      <c r="FI282" s="357"/>
      <c r="FJ282" s="357"/>
      <c r="FK282" s="357"/>
      <c r="FL282" s="357"/>
      <c r="FM282" s="357"/>
      <c r="FN282" s="357"/>
      <c r="FO282" s="357"/>
      <c r="FP282" s="357"/>
      <c r="FQ282" s="357"/>
      <c r="FR282" s="357"/>
      <c r="FS282" s="357"/>
      <c r="FT282" s="357"/>
      <c r="FU282" s="357"/>
      <c r="FV282" s="357"/>
      <c r="FW282" s="357"/>
      <c r="FX282" s="357"/>
      <c r="FY282" s="357"/>
      <c r="FZ282" s="357"/>
      <c r="GA282" s="357"/>
      <c r="GB282" s="357"/>
      <c r="GC282" s="357"/>
      <c r="GD282" s="357"/>
      <c r="GE282" s="357"/>
      <c r="GF282" s="357"/>
      <c r="GG282" s="357"/>
      <c r="GH282" s="357"/>
      <c r="GI282" s="357"/>
      <c r="GJ282" s="357"/>
      <c r="GK282" s="154"/>
      <c r="GL282" s="154"/>
      <c r="GM282" s="154"/>
      <c r="GN282" s="154"/>
      <c r="GO282" s="154"/>
      <c r="GP282" s="154"/>
      <c r="GQ282" s="154"/>
      <c r="GR282" s="154"/>
      <c r="GS282" s="154"/>
      <c r="GT282" s="154"/>
      <c r="GU282" s="154"/>
      <c r="GV282" s="154"/>
      <c r="GW282" s="154"/>
      <c r="GX282" s="154"/>
    </row>
    <row r="283" spans="7:206">
      <c r="G283" s="154"/>
      <c r="H283" s="154"/>
      <c r="I283" s="154"/>
      <c r="J283" s="154"/>
      <c r="K283" s="154"/>
      <c r="L283" s="154"/>
      <c r="M283" s="154"/>
      <c r="N283" s="154"/>
      <c r="O283" s="154"/>
      <c r="P283" s="154"/>
      <c r="Q283" s="154"/>
      <c r="R283" s="154"/>
      <c r="S283" s="154"/>
      <c r="T283" s="154"/>
      <c r="U283" s="154"/>
      <c r="V283" s="154"/>
      <c r="W283" s="154"/>
      <c r="X283" s="154"/>
      <c r="Y283" s="154"/>
      <c r="Z283" s="357"/>
      <c r="AA283" s="357"/>
      <c r="AB283" s="357"/>
      <c r="AC283" s="357"/>
      <c r="AD283" s="357"/>
      <c r="AE283" s="357"/>
      <c r="AF283" s="357"/>
      <c r="AG283" s="357"/>
      <c r="AH283" s="357"/>
      <c r="AI283" s="357"/>
      <c r="AJ283" s="357"/>
      <c r="AK283" s="357"/>
      <c r="AL283" s="357"/>
      <c r="AM283" s="357"/>
      <c r="AN283" s="357"/>
      <c r="AO283" s="357"/>
      <c r="AP283" s="357"/>
      <c r="AQ283" s="357"/>
      <c r="AR283" s="357"/>
      <c r="AS283" s="357"/>
      <c r="AT283" s="357"/>
      <c r="AU283" s="357"/>
      <c r="AV283" s="357"/>
      <c r="AW283" s="357"/>
      <c r="AX283" s="357"/>
      <c r="AY283" s="357"/>
      <c r="AZ283" s="357"/>
      <c r="BA283" s="357"/>
      <c r="BB283" s="357"/>
      <c r="BC283" s="357"/>
      <c r="BD283" s="357"/>
      <c r="BE283" s="357"/>
      <c r="BF283" s="357"/>
      <c r="BG283" s="357"/>
      <c r="BH283" s="357"/>
      <c r="BI283" s="357"/>
      <c r="BJ283" s="357"/>
      <c r="BK283" s="357"/>
      <c r="BL283" s="357"/>
      <c r="BM283" s="357"/>
      <c r="BN283" s="357"/>
      <c r="BO283" s="357"/>
      <c r="BP283" s="357"/>
      <c r="BQ283" s="357"/>
      <c r="BR283" s="357"/>
      <c r="BS283" s="357"/>
      <c r="BT283" s="357"/>
      <c r="BU283" s="357"/>
      <c r="BV283" s="357"/>
      <c r="BW283" s="357"/>
      <c r="BX283" s="357"/>
      <c r="BY283" s="357"/>
      <c r="BZ283" s="357"/>
      <c r="CA283" s="357"/>
      <c r="CB283" s="357"/>
      <c r="CC283" s="357"/>
      <c r="CD283" s="357"/>
      <c r="CE283" s="357"/>
      <c r="CF283" s="357"/>
      <c r="CG283" s="357"/>
      <c r="CH283" s="357"/>
      <c r="CI283" s="357"/>
      <c r="CJ283" s="357"/>
      <c r="CK283" s="357"/>
      <c r="CL283" s="357"/>
      <c r="CM283" s="357"/>
      <c r="CN283" s="357"/>
      <c r="CO283" s="357"/>
      <c r="CP283" s="357"/>
      <c r="CQ283" s="357"/>
      <c r="CR283" s="357"/>
      <c r="CS283" s="357"/>
      <c r="CT283" s="357"/>
      <c r="CU283" s="357"/>
      <c r="CV283" s="357"/>
      <c r="CW283" s="357"/>
      <c r="CX283" s="357"/>
      <c r="CY283" s="357"/>
      <c r="CZ283" s="357"/>
      <c r="DA283" s="357"/>
      <c r="DB283" s="357"/>
      <c r="DC283" s="357"/>
      <c r="DD283" s="357"/>
      <c r="DE283" s="357"/>
      <c r="DF283" s="357"/>
      <c r="DG283" s="357"/>
      <c r="DH283" s="357"/>
      <c r="DI283" s="357"/>
      <c r="DJ283" s="357"/>
      <c r="DK283" s="357"/>
      <c r="DL283" s="357"/>
      <c r="DM283" s="357"/>
      <c r="DN283" s="357"/>
      <c r="DO283" s="357"/>
      <c r="DP283" s="357"/>
      <c r="DQ283" s="357"/>
      <c r="DR283" s="357"/>
      <c r="DS283" s="357"/>
      <c r="DT283" s="357"/>
      <c r="DU283" s="357"/>
      <c r="DV283" s="357"/>
      <c r="DW283" s="357"/>
      <c r="DX283" s="357"/>
      <c r="DY283" s="357"/>
      <c r="DZ283" s="357"/>
      <c r="EA283" s="357"/>
      <c r="EB283" s="357"/>
      <c r="EC283" s="357"/>
      <c r="ED283" s="357"/>
      <c r="EE283" s="357"/>
      <c r="EF283" s="357"/>
      <c r="EG283" s="357"/>
      <c r="EH283" s="357"/>
      <c r="EI283" s="357"/>
      <c r="EJ283" s="357"/>
      <c r="EK283" s="357"/>
      <c r="EL283" s="357"/>
      <c r="EM283" s="357"/>
      <c r="EN283" s="357"/>
      <c r="EO283" s="357"/>
      <c r="EP283" s="357"/>
      <c r="EQ283" s="357"/>
      <c r="ER283" s="357"/>
      <c r="ES283" s="357"/>
      <c r="ET283" s="357"/>
      <c r="EU283" s="357"/>
      <c r="EV283" s="357"/>
      <c r="EW283" s="357"/>
      <c r="EX283" s="357"/>
      <c r="EY283" s="357"/>
      <c r="EZ283" s="357"/>
      <c r="FA283" s="357"/>
      <c r="FB283" s="357"/>
      <c r="FC283" s="357"/>
      <c r="FD283" s="357"/>
      <c r="FE283" s="357"/>
      <c r="FF283" s="357"/>
      <c r="FG283" s="357"/>
      <c r="FH283" s="357"/>
      <c r="FI283" s="357"/>
      <c r="FJ283" s="357"/>
      <c r="FK283" s="357"/>
      <c r="FL283" s="357"/>
      <c r="FM283" s="357"/>
      <c r="FN283" s="357"/>
      <c r="FO283" s="357"/>
      <c r="FP283" s="357"/>
      <c r="FQ283" s="357"/>
      <c r="FR283" s="357"/>
      <c r="FS283" s="357"/>
      <c r="FT283" s="357"/>
      <c r="FU283" s="357"/>
      <c r="FV283" s="357"/>
      <c r="FW283" s="357"/>
      <c r="FX283" s="357"/>
      <c r="FY283" s="357"/>
      <c r="FZ283" s="357"/>
      <c r="GA283" s="357"/>
      <c r="GB283" s="357"/>
      <c r="GC283" s="357"/>
      <c r="GD283" s="357"/>
      <c r="GE283" s="357"/>
      <c r="GF283" s="357"/>
      <c r="GG283" s="357"/>
      <c r="GH283" s="357"/>
      <c r="GI283" s="357"/>
      <c r="GJ283" s="357"/>
      <c r="GK283" s="154"/>
      <c r="GL283" s="154"/>
      <c r="GM283" s="154"/>
      <c r="GN283" s="154"/>
      <c r="GO283" s="154"/>
      <c r="GP283" s="154"/>
      <c r="GQ283" s="154"/>
      <c r="GR283" s="154"/>
      <c r="GS283" s="154"/>
      <c r="GT283" s="154"/>
      <c r="GU283" s="154"/>
      <c r="GV283" s="154"/>
      <c r="GW283" s="154"/>
      <c r="GX283" s="154"/>
    </row>
    <row r="284" spans="7:206">
      <c r="G284" s="154"/>
      <c r="H284" s="154"/>
      <c r="I284" s="154"/>
      <c r="J284" s="154"/>
      <c r="K284" s="154"/>
      <c r="L284" s="154"/>
      <c r="M284" s="154"/>
      <c r="N284" s="154"/>
      <c r="O284" s="154"/>
      <c r="P284" s="154"/>
      <c r="Q284" s="154"/>
      <c r="R284" s="154"/>
      <c r="S284" s="154"/>
      <c r="T284" s="154"/>
      <c r="U284" s="154"/>
      <c r="V284" s="154"/>
      <c r="W284" s="154"/>
      <c r="X284" s="154"/>
      <c r="Y284" s="154"/>
      <c r="Z284" s="357"/>
      <c r="AA284" s="357"/>
      <c r="AB284" s="357"/>
      <c r="AC284" s="357"/>
      <c r="AD284" s="357"/>
      <c r="AE284" s="357"/>
      <c r="AF284" s="357"/>
      <c r="AG284" s="357"/>
      <c r="AH284" s="357"/>
      <c r="AI284" s="357"/>
      <c r="AJ284" s="357"/>
      <c r="AK284" s="357"/>
      <c r="AL284" s="357"/>
      <c r="AM284" s="357"/>
      <c r="AN284" s="357"/>
      <c r="AO284" s="357"/>
      <c r="AP284" s="357"/>
      <c r="AQ284" s="357"/>
      <c r="AR284" s="357"/>
      <c r="AS284" s="357"/>
      <c r="AT284" s="357"/>
      <c r="AU284" s="357"/>
      <c r="AV284" s="357"/>
      <c r="AW284" s="357"/>
      <c r="AX284" s="357"/>
      <c r="AY284" s="357"/>
      <c r="AZ284" s="357"/>
      <c r="BA284" s="357"/>
      <c r="BB284" s="357"/>
      <c r="BC284" s="357"/>
      <c r="BD284" s="357"/>
      <c r="BE284" s="357"/>
      <c r="BF284" s="357"/>
      <c r="BG284" s="357"/>
      <c r="BH284" s="357"/>
      <c r="BI284" s="357"/>
      <c r="BJ284" s="357"/>
      <c r="BK284" s="357"/>
      <c r="BL284" s="357"/>
      <c r="BM284" s="357"/>
      <c r="BN284" s="357"/>
      <c r="BO284" s="357"/>
      <c r="BP284" s="357"/>
      <c r="BQ284" s="357"/>
      <c r="BR284" s="357"/>
      <c r="BS284" s="357"/>
      <c r="BT284" s="357"/>
      <c r="BU284" s="357"/>
      <c r="BV284" s="357"/>
      <c r="BW284" s="357"/>
      <c r="BX284" s="357"/>
      <c r="BY284" s="357"/>
      <c r="BZ284" s="357"/>
      <c r="CA284" s="357"/>
      <c r="CB284" s="357"/>
      <c r="CC284" s="357"/>
      <c r="CD284" s="357"/>
      <c r="CE284" s="357"/>
      <c r="CF284" s="357"/>
      <c r="CG284" s="357"/>
      <c r="CH284" s="357"/>
      <c r="CI284" s="357"/>
      <c r="CJ284" s="357"/>
      <c r="CK284" s="357"/>
      <c r="CL284" s="357"/>
      <c r="CM284" s="357"/>
      <c r="CN284" s="357"/>
      <c r="CO284" s="357"/>
      <c r="CP284" s="357"/>
      <c r="CQ284" s="357"/>
      <c r="CR284" s="357"/>
      <c r="CS284" s="357"/>
      <c r="CT284" s="357"/>
      <c r="CU284" s="357"/>
      <c r="CV284" s="357"/>
      <c r="CW284" s="357"/>
      <c r="CX284" s="357"/>
      <c r="CY284" s="357"/>
      <c r="CZ284" s="357"/>
      <c r="DA284" s="357"/>
      <c r="DB284" s="357"/>
      <c r="DC284" s="357"/>
      <c r="DD284" s="357"/>
      <c r="DE284" s="357"/>
      <c r="DF284" s="357"/>
      <c r="DG284" s="357"/>
      <c r="DH284" s="357"/>
      <c r="DI284" s="357"/>
      <c r="DJ284" s="357"/>
      <c r="DK284" s="357"/>
      <c r="DL284" s="357"/>
      <c r="DM284" s="357"/>
      <c r="DN284" s="357"/>
      <c r="DO284" s="357"/>
      <c r="DP284" s="357"/>
      <c r="DQ284" s="357"/>
      <c r="DR284" s="357"/>
      <c r="DS284" s="357"/>
      <c r="DT284" s="357"/>
      <c r="DU284" s="357"/>
      <c r="DV284" s="357"/>
      <c r="DW284" s="357"/>
      <c r="DX284" s="357"/>
      <c r="DY284" s="357"/>
      <c r="DZ284" s="357"/>
      <c r="EA284" s="357"/>
      <c r="EB284" s="357"/>
      <c r="EC284" s="357"/>
      <c r="ED284" s="357"/>
      <c r="EE284" s="357"/>
      <c r="EF284" s="357"/>
      <c r="EG284" s="357"/>
      <c r="EH284" s="357"/>
      <c r="EI284" s="357"/>
      <c r="EJ284" s="357"/>
      <c r="EK284" s="357"/>
      <c r="EL284" s="357"/>
      <c r="EM284" s="357"/>
      <c r="EN284" s="357"/>
      <c r="EO284" s="357"/>
      <c r="EP284" s="357"/>
      <c r="EQ284" s="357"/>
      <c r="ER284" s="357"/>
      <c r="ES284" s="357"/>
      <c r="ET284" s="357"/>
      <c r="EU284" s="357"/>
      <c r="EV284" s="357"/>
      <c r="EW284" s="357"/>
      <c r="EX284" s="357"/>
      <c r="EY284" s="357"/>
      <c r="EZ284" s="357"/>
      <c r="FA284" s="357"/>
      <c r="FB284" s="357"/>
      <c r="FC284" s="357"/>
      <c r="FD284" s="357"/>
      <c r="FE284" s="357"/>
      <c r="FF284" s="357"/>
      <c r="FG284" s="357"/>
      <c r="FH284" s="357"/>
      <c r="FI284" s="357"/>
      <c r="FJ284" s="357"/>
      <c r="FK284" s="357"/>
      <c r="FL284" s="357"/>
      <c r="FM284" s="357"/>
      <c r="FN284" s="357"/>
      <c r="FO284" s="357"/>
      <c r="FP284" s="357"/>
      <c r="FQ284" s="357"/>
      <c r="FR284" s="357"/>
      <c r="FS284" s="357"/>
      <c r="FT284" s="357"/>
      <c r="FU284" s="357"/>
      <c r="FV284" s="357"/>
      <c r="FW284" s="357"/>
      <c r="FX284" s="357"/>
      <c r="FY284" s="357"/>
      <c r="FZ284" s="357"/>
      <c r="GA284" s="357"/>
      <c r="GB284" s="357"/>
      <c r="GC284" s="357"/>
      <c r="GD284" s="357"/>
      <c r="GE284" s="357"/>
      <c r="GF284" s="357"/>
      <c r="GG284" s="357"/>
      <c r="GH284" s="357"/>
      <c r="GI284" s="357"/>
      <c r="GJ284" s="357"/>
      <c r="GK284" s="154"/>
      <c r="GL284" s="154"/>
      <c r="GM284" s="154"/>
      <c r="GN284" s="154"/>
      <c r="GO284" s="154"/>
      <c r="GP284" s="154"/>
      <c r="GQ284" s="154"/>
      <c r="GR284" s="154"/>
      <c r="GS284" s="154"/>
      <c r="GT284" s="154"/>
      <c r="GU284" s="154"/>
      <c r="GV284" s="154"/>
      <c r="GW284" s="154"/>
      <c r="GX284" s="154"/>
    </row>
    <row r="285" spans="7:206">
      <c r="G285" s="154"/>
      <c r="H285" s="154"/>
      <c r="I285" s="154"/>
      <c r="J285" s="154"/>
      <c r="K285" s="154"/>
      <c r="L285" s="154"/>
      <c r="M285" s="154"/>
      <c r="N285" s="154"/>
      <c r="O285" s="154"/>
      <c r="P285" s="154"/>
      <c r="Q285" s="154"/>
      <c r="R285" s="154"/>
      <c r="S285" s="154"/>
      <c r="T285" s="154"/>
      <c r="U285" s="154"/>
      <c r="V285" s="154"/>
      <c r="W285" s="154"/>
      <c r="X285" s="154"/>
      <c r="Y285" s="154"/>
      <c r="Z285" s="357"/>
      <c r="AA285" s="357"/>
      <c r="AB285" s="357"/>
      <c r="AC285" s="357"/>
      <c r="AD285" s="357"/>
      <c r="AE285" s="357"/>
      <c r="AF285" s="357"/>
      <c r="AG285" s="357"/>
      <c r="AH285" s="357"/>
      <c r="AI285" s="357"/>
      <c r="AJ285" s="357"/>
      <c r="AK285" s="357"/>
      <c r="AL285" s="357"/>
      <c r="AM285" s="357"/>
      <c r="AN285" s="357"/>
      <c r="AO285" s="357"/>
      <c r="AP285" s="357"/>
      <c r="AQ285" s="357"/>
      <c r="AR285" s="357"/>
      <c r="AS285" s="357"/>
      <c r="AT285" s="357"/>
      <c r="AU285" s="357"/>
      <c r="AV285" s="357"/>
      <c r="AW285" s="357"/>
      <c r="AX285" s="357"/>
      <c r="AY285" s="357"/>
      <c r="AZ285" s="357"/>
      <c r="BA285" s="357"/>
      <c r="BB285" s="357"/>
      <c r="BC285" s="357"/>
      <c r="BD285" s="357"/>
      <c r="BE285" s="357"/>
      <c r="BF285" s="357"/>
      <c r="BG285" s="357"/>
      <c r="BH285" s="357"/>
      <c r="BI285" s="357"/>
      <c r="BJ285" s="357"/>
      <c r="BK285" s="357"/>
      <c r="BL285" s="357"/>
      <c r="BM285" s="357"/>
      <c r="BN285" s="357"/>
      <c r="BO285" s="357"/>
      <c r="BP285" s="357"/>
      <c r="BQ285" s="357"/>
      <c r="BR285" s="357"/>
      <c r="BS285" s="357"/>
      <c r="BT285" s="357"/>
      <c r="BU285" s="357"/>
      <c r="BV285" s="357"/>
      <c r="BW285" s="357"/>
      <c r="BX285" s="357"/>
      <c r="BY285" s="357"/>
      <c r="BZ285" s="357"/>
      <c r="CA285" s="357"/>
      <c r="CB285" s="357"/>
      <c r="CC285" s="357"/>
      <c r="CD285" s="357"/>
      <c r="CE285" s="357"/>
      <c r="CF285" s="357"/>
      <c r="CG285" s="357"/>
      <c r="CH285" s="357"/>
      <c r="CI285" s="357"/>
      <c r="CJ285" s="357"/>
      <c r="CK285" s="357"/>
      <c r="CL285" s="357"/>
      <c r="CM285" s="357"/>
      <c r="CN285" s="357"/>
      <c r="CO285" s="357"/>
      <c r="CP285" s="357"/>
      <c r="CQ285" s="357"/>
      <c r="CR285" s="357"/>
      <c r="CS285" s="357"/>
      <c r="CT285" s="357"/>
      <c r="CU285" s="357"/>
      <c r="CV285" s="357"/>
      <c r="CW285" s="357"/>
      <c r="CX285" s="357"/>
      <c r="CY285" s="357"/>
      <c r="CZ285" s="357"/>
      <c r="DA285" s="357"/>
      <c r="DB285" s="357"/>
      <c r="DC285" s="357"/>
      <c r="DD285" s="357"/>
      <c r="DE285" s="357"/>
      <c r="DF285" s="357"/>
      <c r="DG285" s="357"/>
      <c r="DH285" s="357"/>
      <c r="DI285" s="357"/>
      <c r="DJ285" s="357"/>
      <c r="DK285" s="357"/>
      <c r="DL285" s="357"/>
      <c r="DM285" s="357"/>
      <c r="DN285" s="357"/>
      <c r="DO285" s="357"/>
      <c r="DP285" s="357"/>
      <c r="DQ285" s="357"/>
      <c r="DR285" s="357"/>
      <c r="DS285" s="357"/>
      <c r="DT285" s="357"/>
      <c r="DU285" s="357"/>
      <c r="DV285" s="357"/>
      <c r="DW285" s="357"/>
      <c r="DX285" s="357"/>
      <c r="DY285" s="357"/>
      <c r="DZ285" s="357"/>
      <c r="EA285" s="357"/>
      <c r="EB285" s="357"/>
      <c r="EC285" s="357"/>
      <c r="ED285" s="357"/>
      <c r="EE285" s="357"/>
      <c r="EF285" s="357"/>
      <c r="EG285" s="357"/>
      <c r="EH285" s="357"/>
      <c r="EI285" s="357"/>
      <c r="EJ285" s="357"/>
      <c r="EK285" s="357"/>
      <c r="EL285" s="357"/>
      <c r="EM285" s="357"/>
      <c r="EN285" s="357"/>
      <c r="EO285" s="357"/>
      <c r="EP285" s="357"/>
      <c r="EQ285" s="357"/>
      <c r="ER285" s="357"/>
      <c r="ES285" s="357"/>
      <c r="ET285" s="357"/>
      <c r="EU285" s="357"/>
      <c r="EV285" s="357"/>
      <c r="EW285" s="357"/>
      <c r="EX285" s="357"/>
      <c r="EY285" s="357"/>
      <c r="EZ285" s="357"/>
      <c r="FA285" s="357"/>
      <c r="FB285" s="357"/>
      <c r="FC285" s="357"/>
      <c r="FD285" s="357"/>
      <c r="FE285" s="357"/>
      <c r="FF285" s="357"/>
      <c r="FG285" s="357"/>
      <c r="FH285" s="357"/>
      <c r="FI285" s="357"/>
      <c r="FJ285" s="357"/>
      <c r="FK285" s="357"/>
      <c r="FL285" s="357"/>
      <c r="FM285" s="357"/>
      <c r="FN285" s="357"/>
      <c r="FO285" s="357"/>
      <c r="FP285" s="357"/>
      <c r="FQ285" s="357"/>
      <c r="FR285" s="357"/>
      <c r="FS285" s="357"/>
      <c r="FT285" s="357"/>
      <c r="FU285" s="357"/>
      <c r="FV285" s="357"/>
      <c r="FW285" s="357"/>
      <c r="FX285" s="357"/>
      <c r="FY285" s="357"/>
      <c r="FZ285" s="357"/>
      <c r="GA285" s="357"/>
      <c r="GB285" s="357"/>
      <c r="GC285" s="357"/>
      <c r="GD285" s="357"/>
      <c r="GE285" s="357"/>
      <c r="GF285" s="357"/>
      <c r="GG285" s="357"/>
      <c r="GH285" s="357"/>
      <c r="GI285" s="357"/>
      <c r="GJ285" s="357"/>
      <c r="GK285" s="154"/>
      <c r="GL285" s="154"/>
      <c r="GM285" s="154"/>
      <c r="GN285" s="154"/>
      <c r="GO285" s="154"/>
      <c r="GP285" s="154"/>
      <c r="GQ285" s="154"/>
      <c r="GR285" s="154"/>
      <c r="GS285" s="154"/>
      <c r="GT285" s="154"/>
      <c r="GU285" s="154"/>
      <c r="GV285" s="154"/>
      <c r="GW285" s="154"/>
      <c r="GX285" s="154"/>
    </row>
    <row r="286" spans="7:206">
      <c r="G286" s="154"/>
      <c r="H286" s="154"/>
      <c r="I286" s="154"/>
      <c r="J286" s="154"/>
      <c r="K286" s="154"/>
      <c r="L286" s="154"/>
      <c r="M286" s="154"/>
      <c r="N286" s="154"/>
      <c r="O286" s="154"/>
      <c r="P286" s="154"/>
      <c r="Q286" s="154"/>
      <c r="R286" s="154"/>
      <c r="S286" s="154"/>
      <c r="T286" s="154"/>
      <c r="U286" s="154"/>
      <c r="V286" s="154"/>
      <c r="W286" s="154"/>
      <c r="X286" s="154"/>
      <c r="Y286" s="154"/>
      <c r="Z286" s="357"/>
      <c r="AA286" s="357"/>
      <c r="AB286" s="357"/>
      <c r="AC286" s="357"/>
      <c r="AD286" s="357"/>
      <c r="AE286" s="357"/>
      <c r="AF286" s="357"/>
      <c r="AG286" s="357"/>
      <c r="AH286" s="357"/>
      <c r="AI286" s="357"/>
      <c r="AJ286" s="357"/>
      <c r="AK286" s="357"/>
      <c r="AL286" s="357"/>
      <c r="AM286" s="357"/>
      <c r="AN286" s="357"/>
      <c r="AO286" s="357"/>
      <c r="AP286" s="357"/>
      <c r="AQ286" s="357"/>
      <c r="AR286" s="357"/>
      <c r="AS286" s="357"/>
      <c r="AT286" s="357"/>
      <c r="AU286" s="357"/>
      <c r="AV286" s="357"/>
      <c r="AW286" s="357"/>
      <c r="AX286" s="357"/>
      <c r="AY286" s="357"/>
      <c r="AZ286" s="357"/>
      <c r="BA286" s="357"/>
      <c r="BB286" s="357"/>
      <c r="BC286" s="357"/>
      <c r="BD286" s="357"/>
      <c r="BE286" s="357"/>
      <c r="BF286" s="357"/>
      <c r="BG286" s="357"/>
      <c r="BH286" s="357"/>
      <c r="BI286" s="357"/>
      <c r="BJ286" s="357"/>
      <c r="BK286" s="357"/>
      <c r="BL286" s="357"/>
      <c r="BM286" s="357"/>
      <c r="BN286" s="357"/>
      <c r="BO286" s="357"/>
      <c r="BP286" s="357"/>
      <c r="BQ286" s="357"/>
      <c r="BR286" s="357"/>
      <c r="BS286" s="357"/>
      <c r="BT286" s="357"/>
      <c r="BU286" s="357"/>
      <c r="BV286" s="357"/>
      <c r="BW286" s="357"/>
      <c r="BX286" s="357"/>
      <c r="BY286" s="357"/>
      <c r="BZ286" s="357"/>
      <c r="CA286" s="357"/>
      <c r="CB286" s="357"/>
      <c r="CC286" s="357"/>
      <c r="CD286" s="357"/>
      <c r="CE286" s="357"/>
      <c r="CF286" s="357"/>
      <c r="CG286" s="357"/>
      <c r="CH286" s="357"/>
      <c r="CI286" s="357"/>
      <c r="CJ286" s="357"/>
      <c r="CK286" s="357"/>
      <c r="CL286" s="357"/>
      <c r="CM286" s="357"/>
      <c r="CN286" s="357"/>
      <c r="CO286" s="357"/>
      <c r="CP286" s="357"/>
      <c r="CQ286" s="357"/>
      <c r="CR286" s="357"/>
      <c r="CS286" s="357"/>
      <c r="CT286" s="357"/>
      <c r="CU286" s="357"/>
      <c r="CV286" s="357"/>
      <c r="CW286" s="357"/>
      <c r="CX286" s="357"/>
      <c r="CY286" s="357"/>
      <c r="CZ286" s="357"/>
      <c r="DA286" s="357"/>
      <c r="DB286" s="357"/>
      <c r="DC286" s="357"/>
      <c r="DD286" s="357"/>
      <c r="DE286" s="357"/>
      <c r="DF286" s="357"/>
      <c r="DG286" s="357"/>
      <c r="DH286" s="357"/>
      <c r="DI286" s="357"/>
      <c r="DJ286" s="357"/>
      <c r="DK286" s="357"/>
      <c r="DL286" s="357"/>
      <c r="DM286" s="357"/>
      <c r="DN286" s="357"/>
      <c r="DO286" s="357"/>
      <c r="DP286" s="357"/>
      <c r="DQ286" s="357"/>
      <c r="DR286" s="357"/>
      <c r="DS286" s="357"/>
      <c r="DT286" s="357"/>
      <c r="DU286" s="357"/>
      <c r="DV286" s="357"/>
      <c r="DW286" s="357"/>
      <c r="DX286" s="357"/>
      <c r="DY286" s="357"/>
      <c r="DZ286" s="357"/>
      <c r="EA286" s="357"/>
      <c r="EB286" s="357"/>
      <c r="EC286" s="357"/>
      <c r="ED286" s="357"/>
      <c r="EE286" s="357"/>
      <c r="EF286" s="357"/>
      <c r="EG286" s="357"/>
      <c r="EH286" s="357"/>
      <c r="EI286" s="357"/>
      <c r="EJ286" s="357"/>
      <c r="EK286" s="357"/>
      <c r="EL286" s="357"/>
      <c r="EM286" s="357"/>
      <c r="EN286" s="357"/>
      <c r="EO286" s="357"/>
      <c r="EP286" s="357"/>
      <c r="EQ286" s="357"/>
      <c r="ER286" s="357"/>
      <c r="ES286" s="357"/>
      <c r="ET286" s="357"/>
      <c r="EU286" s="357"/>
      <c r="EV286" s="357"/>
      <c r="EW286" s="357"/>
      <c r="EX286" s="357"/>
      <c r="EY286" s="357"/>
      <c r="EZ286" s="357"/>
      <c r="FA286" s="357"/>
      <c r="FB286" s="357"/>
      <c r="FC286" s="357"/>
      <c r="FD286" s="357"/>
      <c r="FE286" s="357"/>
      <c r="FF286" s="357"/>
      <c r="FG286" s="357"/>
      <c r="FH286" s="357"/>
      <c r="FI286" s="357"/>
      <c r="FJ286" s="357"/>
      <c r="FK286" s="357"/>
      <c r="FL286" s="357"/>
      <c r="FM286" s="357"/>
      <c r="FN286" s="357"/>
      <c r="FO286" s="357"/>
      <c r="FP286" s="357"/>
      <c r="FQ286" s="357"/>
      <c r="FR286" s="357"/>
      <c r="FS286" s="357"/>
      <c r="FT286" s="357"/>
      <c r="FU286" s="357"/>
      <c r="FV286" s="357"/>
      <c r="FW286" s="357"/>
      <c r="FX286" s="357"/>
      <c r="FY286" s="357"/>
      <c r="FZ286" s="357"/>
      <c r="GA286" s="357"/>
      <c r="GB286" s="357"/>
      <c r="GC286" s="357"/>
      <c r="GD286" s="357"/>
      <c r="GE286" s="357"/>
      <c r="GF286" s="357"/>
      <c r="GG286" s="357"/>
      <c r="GH286" s="357"/>
      <c r="GI286" s="357"/>
      <c r="GJ286" s="357"/>
      <c r="GK286" s="154"/>
      <c r="GL286" s="154"/>
      <c r="GM286" s="154"/>
      <c r="GN286" s="154"/>
      <c r="GO286" s="154"/>
      <c r="GP286" s="154"/>
      <c r="GQ286" s="154"/>
      <c r="GR286" s="154"/>
      <c r="GS286" s="154"/>
      <c r="GT286" s="154"/>
      <c r="GU286" s="154"/>
      <c r="GV286" s="154"/>
      <c r="GW286" s="154"/>
      <c r="GX286" s="154"/>
    </row>
    <row r="287" spans="7:206">
      <c r="G287" s="154"/>
      <c r="H287" s="154"/>
      <c r="I287" s="154"/>
      <c r="J287" s="154"/>
      <c r="K287" s="154"/>
      <c r="L287" s="154"/>
      <c r="M287" s="154"/>
      <c r="N287" s="154"/>
      <c r="O287" s="154"/>
      <c r="P287" s="154"/>
      <c r="Q287" s="154"/>
      <c r="R287" s="154"/>
      <c r="S287" s="154"/>
      <c r="T287" s="154"/>
      <c r="U287" s="154"/>
      <c r="V287" s="154"/>
      <c r="W287" s="154"/>
      <c r="X287" s="154"/>
      <c r="Y287" s="154"/>
      <c r="Z287" s="357"/>
      <c r="AA287" s="357"/>
      <c r="AB287" s="357"/>
      <c r="AC287" s="357"/>
      <c r="AD287" s="357"/>
      <c r="AE287" s="357"/>
      <c r="AF287" s="357"/>
      <c r="AG287" s="357"/>
      <c r="AH287" s="357"/>
      <c r="AI287" s="357"/>
      <c r="AJ287" s="357"/>
      <c r="AK287" s="357"/>
      <c r="AL287" s="357"/>
      <c r="AM287" s="357"/>
      <c r="AN287" s="357"/>
      <c r="AO287" s="357"/>
      <c r="AP287" s="357"/>
      <c r="AQ287" s="357"/>
      <c r="AR287" s="357"/>
      <c r="AS287" s="357"/>
      <c r="AT287" s="357"/>
      <c r="AU287" s="357"/>
      <c r="AV287" s="357"/>
      <c r="AW287" s="357"/>
      <c r="AX287" s="357"/>
      <c r="AY287" s="357"/>
      <c r="AZ287" s="357"/>
      <c r="BA287" s="357"/>
      <c r="BB287" s="357"/>
      <c r="BC287" s="357"/>
      <c r="BD287" s="357"/>
      <c r="BE287" s="357"/>
      <c r="BF287" s="357"/>
      <c r="BG287" s="357"/>
      <c r="BH287" s="357"/>
      <c r="BI287" s="357"/>
      <c r="BJ287" s="357"/>
      <c r="BK287" s="357"/>
      <c r="BL287" s="357"/>
      <c r="BM287" s="357"/>
      <c r="BN287" s="357"/>
      <c r="BO287" s="357"/>
      <c r="BP287" s="357"/>
      <c r="BQ287" s="357"/>
      <c r="BR287" s="357"/>
      <c r="BS287" s="357"/>
      <c r="BT287" s="357"/>
      <c r="BU287" s="357"/>
      <c r="BV287" s="357"/>
      <c r="BW287" s="357"/>
      <c r="BX287" s="357"/>
      <c r="BY287" s="357"/>
      <c r="BZ287" s="357"/>
      <c r="CA287" s="357"/>
      <c r="CB287" s="357"/>
      <c r="CC287" s="357"/>
      <c r="CD287" s="357"/>
      <c r="CE287" s="357"/>
      <c r="CF287" s="357"/>
      <c r="CG287" s="357"/>
      <c r="CH287" s="357"/>
      <c r="CI287" s="357"/>
      <c r="CJ287" s="357"/>
      <c r="CK287" s="357"/>
      <c r="CL287" s="357"/>
      <c r="CM287" s="357"/>
      <c r="CN287" s="357"/>
      <c r="CO287" s="357"/>
      <c r="CP287" s="357"/>
      <c r="CQ287" s="357"/>
      <c r="CR287" s="357"/>
      <c r="CS287" s="357"/>
      <c r="CT287" s="357"/>
      <c r="CU287" s="357"/>
      <c r="CV287" s="357"/>
      <c r="CW287" s="357"/>
      <c r="CX287" s="357"/>
      <c r="CY287" s="357"/>
      <c r="CZ287" s="357"/>
      <c r="DA287" s="357"/>
      <c r="DB287" s="357"/>
      <c r="DC287" s="357"/>
      <c r="DD287" s="357"/>
      <c r="DE287" s="357"/>
      <c r="DF287" s="357"/>
      <c r="DG287" s="357"/>
      <c r="DH287" s="357"/>
      <c r="DI287" s="357"/>
      <c r="DJ287" s="357"/>
      <c r="DK287" s="357"/>
      <c r="DL287" s="357"/>
      <c r="DM287" s="357"/>
      <c r="DN287" s="357"/>
      <c r="DO287" s="357"/>
      <c r="DP287" s="357"/>
      <c r="DQ287" s="357"/>
      <c r="DR287" s="357"/>
      <c r="DS287" s="357"/>
      <c r="DT287" s="357"/>
      <c r="DU287" s="357"/>
      <c r="DV287" s="357"/>
      <c r="DW287" s="357"/>
      <c r="DX287" s="357"/>
      <c r="DY287" s="357"/>
      <c r="DZ287" s="357"/>
      <c r="EA287" s="357"/>
      <c r="EB287" s="357"/>
      <c r="EC287" s="357"/>
      <c r="ED287" s="357"/>
      <c r="EE287" s="357"/>
      <c r="EF287" s="357"/>
      <c r="EG287" s="357"/>
      <c r="EH287" s="357"/>
      <c r="EI287" s="357"/>
      <c r="EJ287" s="357"/>
      <c r="EK287" s="357"/>
      <c r="EL287" s="357"/>
      <c r="EM287" s="357"/>
      <c r="EN287" s="357"/>
      <c r="EO287" s="357"/>
      <c r="EP287" s="357"/>
      <c r="EQ287" s="357"/>
      <c r="ER287" s="357"/>
      <c r="ES287" s="357"/>
      <c r="ET287" s="357"/>
      <c r="EU287" s="357"/>
      <c r="EV287" s="357"/>
      <c r="EW287" s="357"/>
      <c r="EX287" s="357"/>
      <c r="EY287" s="357"/>
      <c r="EZ287" s="357"/>
      <c r="FA287" s="357"/>
      <c r="FB287" s="357"/>
      <c r="FC287" s="357"/>
      <c r="FD287" s="357"/>
      <c r="FE287" s="357"/>
      <c r="FF287" s="357"/>
      <c r="FG287" s="357"/>
      <c r="FH287" s="357"/>
      <c r="FI287" s="357"/>
      <c r="FJ287" s="357"/>
      <c r="FK287" s="357"/>
      <c r="FL287" s="357"/>
      <c r="FM287" s="357"/>
      <c r="FN287" s="357"/>
      <c r="FO287" s="357"/>
      <c r="FP287" s="357"/>
      <c r="FQ287" s="357"/>
      <c r="FR287" s="357"/>
      <c r="FS287" s="357"/>
      <c r="FT287" s="357"/>
      <c r="FU287" s="357"/>
      <c r="FV287" s="357"/>
      <c r="FW287" s="357"/>
      <c r="FX287" s="357"/>
      <c r="FY287" s="357"/>
      <c r="FZ287" s="357"/>
      <c r="GA287" s="357"/>
      <c r="GB287" s="357"/>
      <c r="GC287" s="357"/>
      <c r="GD287" s="357"/>
      <c r="GE287" s="357"/>
      <c r="GF287" s="357"/>
      <c r="GG287" s="357"/>
      <c r="GH287" s="357"/>
      <c r="GI287" s="357"/>
      <c r="GJ287" s="357"/>
      <c r="GK287" s="154"/>
      <c r="GL287" s="154"/>
      <c r="GM287" s="154"/>
      <c r="GN287" s="154"/>
      <c r="GO287" s="154"/>
      <c r="GP287" s="154"/>
      <c r="GQ287" s="154"/>
      <c r="GR287" s="154"/>
      <c r="GS287" s="154"/>
      <c r="GT287" s="154"/>
      <c r="GU287" s="154"/>
      <c r="GV287" s="154"/>
      <c r="GW287" s="154"/>
      <c r="GX287" s="154"/>
    </row>
    <row r="288" spans="7:206">
      <c r="G288" s="154"/>
      <c r="H288" s="154"/>
      <c r="I288" s="154"/>
      <c r="J288" s="154"/>
      <c r="K288" s="154"/>
      <c r="L288" s="154"/>
      <c r="M288" s="154"/>
      <c r="N288" s="154"/>
      <c r="O288" s="154"/>
      <c r="P288" s="154"/>
      <c r="Q288" s="154"/>
      <c r="R288" s="154"/>
      <c r="S288" s="154"/>
      <c r="T288" s="154"/>
      <c r="U288" s="154"/>
      <c r="V288" s="154"/>
      <c r="W288" s="154"/>
      <c r="X288" s="154"/>
      <c r="Y288" s="154"/>
      <c r="Z288" s="357"/>
      <c r="AA288" s="357"/>
      <c r="AB288" s="357"/>
      <c r="AC288" s="357"/>
      <c r="AD288" s="357"/>
      <c r="AE288" s="357"/>
      <c r="AF288" s="357"/>
      <c r="AG288" s="357"/>
      <c r="AH288" s="357"/>
      <c r="AI288" s="357"/>
      <c r="AJ288" s="357"/>
      <c r="AK288" s="357"/>
      <c r="AL288" s="357"/>
      <c r="AM288" s="357"/>
      <c r="AN288" s="357"/>
      <c r="AO288" s="357"/>
      <c r="AP288" s="357"/>
      <c r="AQ288" s="357"/>
      <c r="AR288" s="357"/>
      <c r="AS288" s="357"/>
      <c r="AT288" s="357"/>
      <c r="AU288" s="357"/>
      <c r="AV288" s="357"/>
      <c r="AW288" s="357"/>
      <c r="AX288" s="357"/>
      <c r="AY288" s="357"/>
      <c r="AZ288" s="357"/>
      <c r="BA288" s="357"/>
      <c r="BB288" s="357"/>
      <c r="BC288" s="357"/>
      <c r="BD288" s="357"/>
      <c r="BE288" s="357"/>
      <c r="BF288" s="357"/>
      <c r="BG288" s="357"/>
      <c r="BH288" s="357"/>
      <c r="BI288" s="357"/>
      <c r="BJ288" s="357"/>
      <c r="BK288" s="357"/>
      <c r="BL288" s="357"/>
      <c r="BM288" s="357"/>
      <c r="BN288" s="357"/>
      <c r="BO288" s="357"/>
      <c r="BP288" s="357"/>
      <c r="BQ288" s="357"/>
      <c r="BR288" s="357"/>
      <c r="BS288" s="357"/>
      <c r="BT288" s="357"/>
      <c r="BU288" s="357"/>
      <c r="BV288" s="357"/>
      <c r="BW288" s="357"/>
      <c r="BX288" s="357"/>
      <c r="BY288" s="357"/>
      <c r="BZ288" s="357"/>
      <c r="CA288" s="357"/>
      <c r="CB288" s="357"/>
      <c r="CC288" s="357"/>
      <c r="CD288" s="357"/>
      <c r="CE288" s="357"/>
      <c r="CF288" s="357"/>
      <c r="CG288" s="357"/>
      <c r="CH288" s="357"/>
      <c r="CI288" s="357"/>
      <c r="CJ288" s="357"/>
      <c r="CK288" s="357"/>
      <c r="CL288" s="357"/>
      <c r="CM288" s="357"/>
      <c r="CN288" s="357"/>
      <c r="CO288" s="357"/>
      <c r="CP288" s="357"/>
      <c r="CQ288" s="357"/>
      <c r="CR288" s="357"/>
      <c r="CS288" s="357"/>
      <c r="CT288" s="357"/>
      <c r="CU288" s="357"/>
      <c r="CV288" s="357"/>
      <c r="CW288" s="357"/>
      <c r="CX288" s="357"/>
      <c r="CY288" s="357"/>
      <c r="CZ288" s="357"/>
      <c r="DA288" s="357"/>
      <c r="DB288" s="357"/>
      <c r="DC288" s="357"/>
      <c r="DD288" s="357"/>
      <c r="DE288" s="357"/>
      <c r="DF288" s="357"/>
      <c r="DG288" s="357"/>
      <c r="DH288" s="357"/>
      <c r="DI288" s="357"/>
      <c r="DJ288" s="357"/>
      <c r="DK288" s="357"/>
      <c r="DL288" s="357"/>
      <c r="DM288" s="357"/>
      <c r="DN288" s="357"/>
      <c r="DO288" s="357"/>
      <c r="DP288" s="357"/>
      <c r="DQ288" s="357"/>
      <c r="DR288" s="357"/>
      <c r="DS288" s="357"/>
      <c r="DT288" s="357"/>
      <c r="DU288" s="357"/>
      <c r="DV288" s="357"/>
      <c r="DW288" s="357"/>
      <c r="DX288" s="357"/>
      <c r="DY288" s="357"/>
      <c r="DZ288" s="357"/>
      <c r="EA288" s="357"/>
      <c r="EB288" s="357"/>
      <c r="EC288" s="357"/>
      <c r="ED288" s="357"/>
      <c r="EE288" s="357"/>
      <c r="EF288" s="357"/>
      <c r="EG288" s="357"/>
      <c r="EH288" s="357"/>
      <c r="EI288" s="357"/>
      <c r="EJ288" s="357"/>
      <c r="EK288" s="357"/>
      <c r="EL288" s="357"/>
      <c r="EM288" s="357"/>
      <c r="EN288" s="357"/>
      <c r="EO288" s="357"/>
      <c r="EP288" s="357"/>
      <c r="EQ288" s="357"/>
      <c r="ER288" s="357"/>
      <c r="ES288" s="357"/>
      <c r="ET288" s="357"/>
      <c r="EU288" s="357"/>
      <c r="EV288" s="357"/>
      <c r="EW288" s="357"/>
      <c r="EX288" s="357"/>
      <c r="EY288" s="357"/>
      <c r="EZ288" s="357"/>
      <c r="FA288" s="357"/>
      <c r="FB288" s="357"/>
      <c r="FC288" s="357"/>
      <c r="FD288" s="357"/>
      <c r="FE288" s="357"/>
      <c r="FF288" s="357"/>
      <c r="FG288" s="357"/>
      <c r="FH288" s="357"/>
      <c r="FI288" s="357"/>
      <c r="FJ288" s="357"/>
      <c r="FK288" s="357"/>
      <c r="FL288" s="357"/>
      <c r="FM288" s="357"/>
      <c r="FN288" s="357"/>
      <c r="FO288" s="357"/>
      <c r="FP288" s="357"/>
      <c r="FQ288" s="357"/>
      <c r="FR288" s="357"/>
      <c r="FS288" s="357"/>
      <c r="FT288" s="357"/>
      <c r="FU288" s="357"/>
      <c r="FV288" s="357"/>
      <c r="FW288" s="357"/>
      <c r="FX288" s="357"/>
      <c r="FY288" s="357"/>
      <c r="FZ288" s="357"/>
      <c r="GA288" s="357"/>
      <c r="GB288" s="357"/>
      <c r="GC288" s="357"/>
      <c r="GD288" s="357"/>
      <c r="GE288" s="357"/>
      <c r="GF288" s="357"/>
      <c r="GG288" s="357"/>
      <c r="GH288" s="357"/>
      <c r="GI288" s="357"/>
      <c r="GJ288" s="357"/>
      <c r="GK288" s="154"/>
      <c r="GL288" s="154"/>
      <c r="GM288" s="154"/>
      <c r="GN288" s="154"/>
      <c r="GO288" s="154"/>
      <c r="GP288" s="154"/>
      <c r="GQ288" s="154"/>
      <c r="GR288" s="154"/>
      <c r="GS288" s="154"/>
      <c r="GT288" s="154"/>
      <c r="GU288" s="154"/>
      <c r="GV288" s="154"/>
      <c r="GW288" s="154"/>
      <c r="GX288" s="154"/>
    </row>
    <row r="289" spans="7:206">
      <c r="G289" s="154"/>
      <c r="H289" s="154"/>
      <c r="I289" s="154"/>
      <c r="J289" s="154"/>
      <c r="K289" s="154"/>
      <c r="L289" s="154"/>
      <c r="M289" s="154"/>
      <c r="N289" s="154"/>
      <c r="O289" s="154"/>
      <c r="P289" s="154"/>
      <c r="Q289" s="154"/>
      <c r="R289" s="154"/>
      <c r="S289" s="154"/>
      <c r="T289" s="154"/>
      <c r="U289" s="154"/>
      <c r="V289" s="154"/>
      <c r="W289" s="154"/>
      <c r="X289" s="154"/>
      <c r="Y289" s="154"/>
      <c r="Z289" s="357"/>
      <c r="AA289" s="357"/>
      <c r="AB289" s="357"/>
      <c r="AC289" s="357"/>
      <c r="AD289" s="357"/>
      <c r="AE289" s="357"/>
      <c r="AF289" s="357"/>
      <c r="AG289" s="357"/>
      <c r="AH289" s="357"/>
      <c r="AI289" s="357"/>
      <c r="AJ289" s="357"/>
      <c r="AK289" s="357"/>
      <c r="AL289" s="357"/>
      <c r="AM289" s="357"/>
      <c r="AN289" s="357"/>
      <c r="AO289" s="357"/>
      <c r="AP289" s="357"/>
      <c r="AQ289" s="357"/>
      <c r="AR289" s="357"/>
      <c r="AS289" s="357"/>
      <c r="AT289" s="357"/>
      <c r="AU289" s="357"/>
      <c r="AV289" s="357"/>
      <c r="AW289" s="357"/>
      <c r="AX289" s="357"/>
      <c r="AY289" s="357"/>
      <c r="AZ289" s="357"/>
      <c r="BA289" s="357"/>
      <c r="BB289" s="357"/>
      <c r="BC289" s="357"/>
      <c r="BD289" s="357"/>
      <c r="BE289" s="357"/>
      <c r="BF289" s="357"/>
      <c r="BG289" s="357"/>
      <c r="BH289" s="357"/>
      <c r="BI289" s="357"/>
      <c r="BJ289" s="357"/>
      <c r="BK289" s="357"/>
      <c r="BL289" s="357"/>
      <c r="BM289" s="357"/>
      <c r="BN289" s="357"/>
      <c r="BO289" s="357"/>
      <c r="BP289" s="357"/>
      <c r="BQ289" s="357"/>
      <c r="BR289" s="357"/>
      <c r="BS289" s="357"/>
      <c r="BT289" s="357"/>
      <c r="BU289" s="357"/>
      <c r="BV289" s="357"/>
      <c r="BW289" s="357"/>
      <c r="BX289" s="357"/>
      <c r="BY289" s="357"/>
      <c r="BZ289" s="357"/>
      <c r="CA289" s="357"/>
      <c r="CB289" s="357"/>
      <c r="CC289" s="357"/>
      <c r="CD289" s="357"/>
      <c r="CE289" s="357"/>
      <c r="CF289" s="357"/>
      <c r="CG289" s="357"/>
      <c r="CH289" s="357"/>
      <c r="CI289" s="357"/>
      <c r="CJ289" s="357"/>
      <c r="CK289" s="357"/>
      <c r="CL289" s="357"/>
      <c r="CM289" s="357"/>
      <c r="CN289" s="357"/>
      <c r="CO289" s="357"/>
      <c r="CP289" s="357"/>
      <c r="CQ289" s="357"/>
      <c r="CR289" s="357"/>
      <c r="CS289" s="357"/>
      <c r="CT289" s="357"/>
      <c r="CU289" s="357"/>
      <c r="CV289" s="357"/>
      <c r="CW289" s="357"/>
      <c r="CX289" s="357"/>
      <c r="CY289" s="357"/>
      <c r="CZ289" s="357"/>
      <c r="DA289" s="357"/>
      <c r="DB289" s="357"/>
      <c r="DC289" s="357"/>
      <c r="DD289" s="357"/>
      <c r="DE289" s="357"/>
      <c r="DF289" s="357"/>
      <c r="DG289" s="357"/>
      <c r="DH289" s="357"/>
      <c r="DI289" s="357"/>
      <c r="DJ289" s="357"/>
      <c r="DK289" s="357"/>
      <c r="DL289" s="357"/>
      <c r="DM289" s="357"/>
      <c r="DN289" s="357"/>
      <c r="DO289" s="357"/>
      <c r="DP289" s="357"/>
      <c r="DQ289" s="357"/>
      <c r="DR289" s="357"/>
      <c r="DS289" s="357"/>
      <c r="DT289" s="357"/>
      <c r="DU289" s="357"/>
      <c r="DV289" s="357"/>
      <c r="DW289" s="357"/>
      <c r="DX289" s="357"/>
      <c r="DY289" s="357"/>
      <c r="DZ289" s="357"/>
      <c r="EA289" s="357"/>
      <c r="EB289" s="357"/>
      <c r="EC289" s="357"/>
      <c r="ED289" s="357"/>
      <c r="EE289" s="357"/>
      <c r="EF289" s="357"/>
      <c r="EG289" s="357"/>
      <c r="EH289" s="357"/>
      <c r="EI289" s="357"/>
      <c r="EJ289" s="357"/>
      <c r="EK289" s="357"/>
      <c r="EL289" s="357"/>
      <c r="EM289" s="357"/>
      <c r="EN289" s="357"/>
      <c r="EO289" s="357"/>
      <c r="EP289" s="357"/>
      <c r="EQ289" s="357"/>
      <c r="ER289" s="357"/>
      <c r="ES289" s="357"/>
      <c r="ET289" s="357"/>
      <c r="EU289" s="357"/>
      <c r="EV289" s="357"/>
      <c r="EW289" s="357"/>
      <c r="EX289" s="357"/>
      <c r="EY289" s="357"/>
      <c r="EZ289" s="357"/>
      <c r="FA289" s="357"/>
      <c r="FB289" s="357"/>
      <c r="FC289" s="357"/>
      <c r="FD289" s="357"/>
      <c r="FE289" s="357"/>
      <c r="FF289" s="357"/>
      <c r="FG289" s="357"/>
      <c r="FH289" s="357"/>
      <c r="FI289" s="357"/>
      <c r="FJ289" s="357"/>
      <c r="FK289" s="357"/>
      <c r="FL289" s="357"/>
      <c r="FM289" s="357"/>
      <c r="FN289" s="357"/>
      <c r="FO289" s="357"/>
      <c r="FP289" s="357"/>
      <c r="FQ289" s="357"/>
      <c r="FR289" s="357"/>
      <c r="FS289" s="357"/>
      <c r="FT289" s="357"/>
      <c r="FU289" s="357"/>
      <c r="FV289" s="357"/>
      <c r="FW289" s="357"/>
      <c r="FX289" s="357"/>
      <c r="FY289" s="357"/>
      <c r="FZ289" s="357"/>
      <c r="GA289" s="357"/>
      <c r="GB289" s="357"/>
      <c r="GC289" s="357"/>
      <c r="GD289" s="357"/>
      <c r="GE289" s="357"/>
      <c r="GF289" s="357"/>
      <c r="GG289" s="357"/>
      <c r="GH289" s="357"/>
      <c r="GI289" s="357"/>
      <c r="GJ289" s="357"/>
      <c r="GK289" s="154"/>
      <c r="GL289" s="154"/>
      <c r="GM289" s="154"/>
      <c r="GN289" s="154"/>
      <c r="GO289" s="154"/>
      <c r="GP289" s="154"/>
      <c r="GQ289" s="154"/>
      <c r="GR289" s="154"/>
      <c r="GS289" s="154"/>
      <c r="GT289" s="154"/>
      <c r="GU289" s="154"/>
      <c r="GV289" s="154"/>
      <c r="GW289" s="154"/>
      <c r="GX289" s="154"/>
    </row>
    <row r="290" spans="7:206">
      <c r="G290" s="154"/>
      <c r="H290" s="154"/>
      <c r="I290" s="154"/>
      <c r="J290" s="154"/>
      <c r="K290" s="154"/>
      <c r="L290" s="154"/>
      <c r="M290" s="154"/>
      <c r="N290" s="154"/>
      <c r="O290" s="154"/>
      <c r="P290" s="154"/>
      <c r="Q290" s="154"/>
      <c r="R290" s="154"/>
      <c r="S290" s="154"/>
      <c r="T290" s="154"/>
      <c r="U290" s="154"/>
      <c r="V290" s="154"/>
      <c r="W290" s="154"/>
      <c r="X290" s="154"/>
      <c r="Y290" s="154"/>
      <c r="Z290" s="357"/>
      <c r="AA290" s="357"/>
      <c r="AB290" s="357"/>
      <c r="AC290" s="357"/>
      <c r="AD290" s="357"/>
      <c r="AE290" s="357"/>
      <c r="AF290" s="357"/>
      <c r="AG290" s="357"/>
      <c r="AH290" s="357"/>
      <c r="AI290" s="357"/>
      <c r="AJ290" s="357"/>
      <c r="AK290" s="357"/>
      <c r="AL290" s="357"/>
      <c r="AM290" s="357"/>
      <c r="AN290" s="357"/>
      <c r="AO290" s="357"/>
      <c r="AP290" s="357"/>
      <c r="AQ290" s="357"/>
      <c r="AR290" s="357"/>
      <c r="AS290" s="357"/>
      <c r="AT290" s="357"/>
      <c r="AU290" s="357"/>
      <c r="AV290" s="357"/>
      <c r="AW290" s="357"/>
      <c r="AX290" s="357"/>
      <c r="AY290" s="357"/>
      <c r="AZ290" s="357"/>
      <c r="BA290" s="357"/>
      <c r="BB290" s="357"/>
      <c r="BC290" s="357"/>
      <c r="BD290" s="357"/>
      <c r="BE290" s="357"/>
      <c r="BF290" s="357"/>
      <c r="BG290" s="357"/>
      <c r="BH290" s="357"/>
      <c r="BI290" s="357"/>
      <c r="BJ290" s="357"/>
      <c r="BK290" s="357"/>
      <c r="BL290" s="357"/>
      <c r="BM290" s="357"/>
      <c r="BN290" s="357"/>
      <c r="BO290" s="357"/>
      <c r="BP290" s="357"/>
      <c r="BQ290" s="357"/>
      <c r="BR290" s="357"/>
      <c r="BS290" s="357"/>
      <c r="BT290" s="357"/>
      <c r="BU290" s="357"/>
      <c r="BV290" s="357"/>
      <c r="BW290" s="357"/>
      <c r="BX290" s="357"/>
      <c r="BY290" s="357"/>
      <c r="BZ290" s="357"/>
      <c r="CA290" s="357"/>
      <c r="CB290" s="357"/>
      <c r="CC290" s="357"/>
      <c r="CD290" s="357"/>
      <c r="CE290" s="357"/>
      <c r="CF290" s="357"/>
      <c r="CG290" s="357"/>
      <c r="CH290" s="357"/>
      <c r="CI290" s="357"/>
      <c r="CJ290" s="357"/>
      <c r="CK290" s="357"/>
      <c r="CL290" s="357"/>
      <c r="CM290" s="357"/>
      <c r="CN290" s="357"/>
      <c r="CO290" s="357"/>
      <c r="CP290" s="357"/>
      <c r="CQ290" s="357"/>
      <c r="CR290" s="357"/>
      <c r="CS290" s="357"/>
      <c r="CT290" s="357"/>
      <c r="CU290" s="357"/>
      <c r="CV290" s="357"/>
      <c r="CW290" s="357"/>
      <c r="CX290" s="357"/>
      <c r="CY290" s="357"/>
      <c r="CZ290" s="357"/>
      <c r="DA290" s="357"/>
      <c r="DB290" s="357"/>
      <c r="DC290" s="357"/>
      <c r="DD290" s="357"/>
      <c r="DE290" s="357"/>
      <c r="DF290" s="357"/>
      <c r="DG290" s="357"/>
      <c r="DH290" s="357"/>
      <c r="DI290" s="357"/>
      <c r="DJ290" s="357"/>
      <c r="DK290" s="357"/>
      <c r="DL290" s="357"/>
      <c r="DM290" s="357"/>
      <c r="DN290" s="357"/>
      <c r="DO290" s="357"/>
      <c r="DP290" s="357"/>
      <c r="DQ290" s="357"/>
      <c r="DR290" s="357"/>
      <c r="DS290" s="357"/>
      <c r="DT290" s="357"/>
      <c r="DU290" s="357"/>
      <c r="DV290" s="357"/>
      <c r="DW290" s="357"/>
      <c r="DX290" s="357"/>
      <c r="DY290" s="357"/>
      <c r="DZ290" s="357"/>
      <c r="EA290" s="357"/>
      <c r="EB290" s="357"/>
      <c r="EC290" s="357"/>
      <c r="ED290" s="357"/>
      <c r="EE290" s="357"/>
      <c r="EF290" s="357"/>
      <c r="EG290" s="357"/>
      <c r="EH290" s="357"/>
      <c r="EI290" s="357"/>
      <c r="EJ290" s="357"/>
      <c r="EK290" s="357"/>
      <c r="EL290" s="357"/>
      <c r="EM290" s="357"/>
      <c r="EN290" s="357"/>
      <c r="EO290" s="357"/>
      <c r="EP290" s="357"/>
      <c r="EQ290" s="357"/>
      <c r="ER290" s="357"/>
      <c r="ES290" s="357"/>
      <c r="ET290" s="357"/>
      <c r="EU290" s="357"/>
      <c r="EV290" s="357"/>
      <c r="EW290" s="357"/>
      <c r="EX290" s="357"/>
      <c r="EY290" s="357"/>
      <c r="EZ290" s="357"/>
      <c r="FA290" s="357"/>
      <c r="FB290" s="357"/>
      <c r="FC290" s="357"/>
      <c r="FD290" s="357"/>
      <c r="FE290" s="357"/>
      <c r="FF290" s="357"/>
      <c r="FG290" s="357"/>
      <c r="FH290" s="357"/>
      <c r="FI290" s="357"/>
      <c r="FJ290" s="357"/>
      <c r="FK290" s="357"/>
      <c r="FL290" s="357"/>
      <c r="FM290" s="357"/>
      <c r="FN290" s="357"/>
      <c r="FO290" s="357"/>
      <c r="FP290" s="357"/>
      <c r="FQ290" s="357"/>
      <c r="FR290" s="357"/>
      <c r="FS290" s="357"/>
      <c r="FT290" s="357"/>
      <c r="FU290" s="357"/>
      <c r="FV290" s="357"/>
      <c r="FW290" s="357"/>
      <c r="FX290" s="357"/>
      <c r="FY290" s="357"/>
      <c r="FZ290" s="357"/>
      <c r="GA290" s="357"/>
      <c r="GB290" s="357"/>
      <c r="GC290" s="357"/>
      <c r="GD290" s="357"/>
      <c r="GE290" s="357"/>
      <c r="GF290" s="357"/>
      <c r="GG290" s="357"/>
      <c r="GH290" s="357"/>
      <c r="GI290" s="357"/>
      <c r="GJ290" s="357"/>
      <c r="GK290" s="154"/>
      <c r="GL290" s="154"/>
      <c r="GM290" s="154"/>
      <c r="GN290" s="154"/>
      <c r="GO290" s="154"/>
      <c r="GP290" s="154"/>
      <c r="GQ290" s="154"/>
      <c r="GR290" s="154"/>
      <c r="GS290" s="154"/>
      <c r="GT290" s="154"/>
      <c r="GU290" s="154"/>
      <c r="GV290" s="154"/>
      <c r="GW290" s="154"/>
      <c r="GX290" s="154"/>
    </row>
    <row r="291" spans="7:206">
      <c r="G291" s="154"/>
      <c r="H291" s="154"/>
      <c r="I291" s="154"/>
      <c r="J291" s="154"/>
      <c r="K291" s="154"/>
      <c r="L291" s="154"/>
      <c r="M291" s="154"/>
      <c r="N291" s="154"/>
      <c r="O291" s="154"/>
      <c r="P291" s="154"/>
      <c r="Q291" s="154"/>
      <c r="R291" s="154"/>
      <c r="S291" s="154"/>
      <c r="T291" s="154"/>
      <c r="U291" s="154"/>
      <c r="V291" s="154"/>
      <c r="W291" s="154"/>
      <c r="X291" s="154"/>
      <c r="Y291" s="154"/>
      <c r="Z291" s="357"/>
      <c r="AA291" s="357"/>
      <c r="AB291" s="357"/>
      <c r="AC291" s="357"/>
      <c r="AD291" s="357"/>
      <c r="AE291" s="357"/>
      <c r="AF291" s="357"/>
      <c r="AG291" s="357"/>
      <c r="AH291" s="357"/>
      <c r="AI291" s="357"/>
      <c r="AJ291" s="357"/>
      <c r="AK291" s="357"/>
      <c r="AL291" s="357"/>
      <c r="AM291" s="357"/>
      <c r="AN291" s="357"/>
      <c r="AO291" s="357"/>
      <c r="AP291" s="357"/>
      <c r="AQ291" s="357"/>
      <c r="AR291" s="357"/>
      <c r="AS291" s="357"/>
      <c r="AT291" s="357"/>
      <c r="AU291" s="357"/>
      <c r="AV291" s="357"/>
      <c r="AW291" s="357"/>
      <c r="AX291" s="357"/>
      <c r="AY291" s="357"/>
      <c r="AZ291" s="357"/>
      <c r="BA291" s="357"/>
      <c r="BB291" s="357"/>
      <c r="BC291" s="357"/>
      <c r="BD291" s="357"/>
      <c r="BE291" s="357"/>
      <c r="BF291" s="357"/>
      <c r="BG291" s="357"/>
      <c r="BH291" s="357"/>
      <c r="BI291" s="357"/>
      <c r="BJ291" s="357"/>
      <c r="BK291" s="357"/>
      <c r="BL291" s="357"/>
      <c r="BM291" s="357"/>
      <c r="BN291" s="357"/>
      <c r="BO291" s="357"/>
      <c r="BP291" s="357"/>
      <c r="BQ291" s="357"/>
      <c r="BR291" s="357"/>
      <c r="BS291" s="357"/>
      <c r="BT291" s="357"/>
      <c r="BU291" s="357"/>
      <c r="BV291" s="357"/>
      <c r="BW291" s="357"/>
      <c r="BX291" s="357"/>
      <c r="BY291" s="357"/>
      <c r="BZ291" s="357"/>
      <c r="CA291" s="357"/>
      <c r="CB291" s="357"/>
      <c r="CC291" s="357"/>
      <c r="CD291" s="357"/>
      <c r="CE291" s="357"/>
      <c r="CF291" s="357"/>
      <c r="CG291" s="357"/>
      <c r="CH291" s="357"/>
      <c r="CI291" s="357"/>
      <c r="CJ291" s="357"/>
      <c r="CK291" s="357"/>
      <c r="CL291" s="357"/>
      <c r="CM291" s="357"/>
      <c r="CN291" s="357"/>
      <c r="CO291" s="357"/>
      <c r="CP291" s="357"/>
      <c r="CQ291" s="357"/>
      <c r="CR291" s="357"/>
      <c r="CS291" s="357"/>
      <c r="CT291" s="357"/>
      <c r="CU291" s="357"/>
      <c r="CV291" s="357"/>
      <c r="CW291" s="357"/>
      <c r="CX291" s="357"/>
      <c r="CY291" s="357"/>
      <c r="CZ291" s="357"/>
      <c r="DA291" s="357"/>
      <c r="DB291" s="357"/>
      <c r="DC291" s="357"/>
      <c r="DD291" s="357"/>
      <c r="DE291" s="357"/>
      <c r="DF291" s="357"/>
      <c r="DG291" s="357"/>
      <c r="DH291" s="357"/>
      <c r="DI291" s="357"/>
      <c r="DJ291" s="357"/>
      <c r="DK291" s="357"/>
      <c r="DL291" s="357"/>
      <c r="DM291" s="357"/>
      <c r="DN291" s="357"/>
      <c r="DO291" s="357"/>
      <c r="DP291" s="357"/>
      <c r="DQ291" s="357"/>
      <c r="DR291" s="357"/>
      <c r="DS291" s="357"/>
      <c r="DT291" s="357"/>
      <c r="DU291" s="357"/>
      <c r="DV291" s="357"/>
      <c r="DW291" s="357"/>
      <c r="DX291" s="357"/>
      <c r="DY291" s="357"/>
      <c r="DZ291" s="357"/>
      <c r="EA291" s="357"/>
      <c r="EB291" s="357"/>
      <c r="EC291" s="357"/>
      <c r="ED291" s="357"/>
      <c r="EE291" s="357"/>
      <c r="EF291" s="357"/>
      <c r="EG291" s="357"/>
      <c r="EH291" s="357"/>
      <c r="EI291" s="357"/>
      <c r="EJ291" s="357"/>
      <c r="EK291" s="357"/>
      <c r="EL291" s="357"/>
      <c r="EM291" s="357"/>
      <c r="EN291" s="357"/>
      <c r="EO291" s="357"/>
      <c r="EP291" s="357"/>
      <c r="EQ291" s="357"/>
      <c r="ER291" s="357"/>
      <c r="ES291" s="357"/>
      <c r="ET291" s="357"/>
      <c r="EU291" s="357"/>
      <c r="EV291" s="357"/>
      <c r="EW291" s="357"/>
      <c r="EX291" s="357"/>
      <c r="EY291" s="357"/>
      <c r="EZ291" s="357"/>
      <c r="FA291" s="357"/>
      <c r="FB291" s="357"/>
      <c r="FC291" s="357"/>
      <c r="FD291" s="357"/>
      <c r="FE291" s="357"/>
      <c r="FF291" s="357"/>
      <c r="FG291" s="357"/>
      <c r="FH291" s="357"/>
      <c r="FI291" s="357"/>
      <c r="FJ291" s="357"/>
      <c r="FK291" s="357"/>
      <c r="FL291" s="357"/>
      <c r="FM291" s="357"/>
      <c r="FN291" s="357"/>
      <c r="FO291" s="357"/>
      <c r="FP291" s="357"/>
      <c r="FQ291" s="357"/>
      <c r="FR291" s="357"/>
      <c r="FS291" s="357"/>
      <c r="FT291" s="357"/>
      <c r="FU291" s="357"/>
      <c r="FV291" s="357"/>
      <c r="FW291" s="357"/>
      <c r="FX291" s="357"/>
      <c r="FY291" s="357"/>
      <c r="FZ291" s="357"/>
      <c r="GA291" s="357"/>
      <c r="GB291" s="357"/>
      <c r="GC291" s="357"/>
      <c r="GD291" s="357"/>
      <c r="GE291" s="357"/>
      <c r="GF291" s="357"/>
      <c r="GG291" s="357"/>
      <c r="GH291" s="357"/>
      <c r="GI291" s="357"/>
      <c r="GJ291" s="357"/>
      <c r="GK291" s="154"/>
      <c r="GL291" s="154"/>
      <c r="GM291" s="154"/>
      <c r="GN291" s="154"/>
      <c r="GO291" s="154"/>
      <c r="GP291" s="154"/>
      <c r="GQ291" s="154"/>
      <c r="GR291" s="154"/>
      <c r="GS291" s="154"/>
      <c r="GT291" s="154"/>
      <c r="GU291" s="154"/>
      <c r="GV291" s="154"/>
      <c r="GW291" s="154"/>
      <c r="GX291" s="154"/>
    </row>
    <row r="292" spans="7:206">
      <c r="G292" s="154"/>
      <c r="H292" s="154"/>
      <c r="I292" s="154"/>
      <c r="J292" s="154"/>
      <c r="K292" s="154"/>
      <c r="L292" s="154"/>
      <c r="M292" s="154"/>
      <c r="N292" s="154"/>
      <c r="O292" s="154"/>
      <c r="P292" s="154"/>
      <c r="Q292" s="154"/>
      <c r="R292" s="154"/>
      <c r="S292" s="154"/>
      <c r="T292" s="154"/>
      <c r="U292" s="154"/>
      <c r="V292" s="154"/>
      <c r="W292" s="154"/>
      <c r="X292" s="154"/>
      <c r="Y292" s="154"/>
      <c r="Z292" s="357"/>
      <c r="AA292" s="357"/>
      <c r="AB292" s="357"/>
      <c r="AC292" s="357"/>
      <c r="AD292" s="357"/>
      <c r="AE292" s="357"/>
      <c r="AF292" s="357"/>
      <c r="AG292" s="357"/>
      <c r="AH292" s="357"/>
      <c r="AI292" s="357"/>
      <c r="AJ292" s="357"/>
      <c r="AK292" s="357"/>
      <c r="AL292" s="357"/>
      <c r="AM292" s="357"/>
      <c r="AN292" s="357"/>
      <c r="AO292" s="357"/>
      <c r="AP292" s="357"/>
      <c r="AQ292" s="357"/>
      <c r="AR292" s="357"/>
      <c r="AS292" s="357"/>
      <c r="AT292" s="357"/>
      <c r="AU292" s="357"/>
      <c r="AV292" s="357"/>
      <c r="AW292" s="357"/>
      <c r="AX292" s="357"/>
      <c r="AY292" s="357"/>
      <c r="AZ292" s="357"/>
      <c r="BA292" s="357"/>
      <c r="BB292" s="357"/>
      <c r="BC292" s="357"/>
      <c r="BD292" s="357"/>
      <c r="BE292" s="357"/>
      <c r="BF292" s="357"/>
      <c r="BG292" s="357"/>
      <c r="BH292" s="357"/>
      <c r="BI292" s="357"/>
      <c r="BJ292" s="357"/>
      <c r="BK292" s="357"/>
      <c r="BL292" s="357"/>
      <c r="BM292" s="357"/>
      <c r="BN292" s="357"/>
      <c r="BO292" s="357"/>
      <c r="BP292" s="357"/>
      <c r="BQ292" s="357"/>
      <c r="BR292" s="357"/>
      <c r="BS292" s="357"/>
      <c r="BT292" s="357"/>
      <c r="BU292" s="357"/>
      <c r="BV292" s="357"/>
      <c r="BW292" s="357"/>
      <c r="BX292" s="357"/>
      <c r="BY292" s="357"/>
      <c r="BZ292" s="357"/>
      <c r="CA292" s="357"/>
      <c r="CB292" s="357"/>
      <c r="CC292" s="357"/>
      <c r="CD292" s="357"/>
      <c r="CE292" s="357"/>
      <c r="CF292" s="357"/>
      <c r="CG292" s="357"/>
      <c r="CH292" s="357"/>
      <c r="CI292" s="357"/>
      <c r="CJ292" s="357"/>
      <c r="CK292" s="357"/>
      <c r="CL292" s="357"/>
      <c r="CM292" s="357"/>
      <c r="CN292" s="357"/>
      <c r="CO292" s="357"/>
      <c r="CP292" s="357"/>
      <c r="CQ292" s="357"/>
      <c r="CR292" s="357"/>
      <c r="CS292" s="357"/>
      <c r="CT292" s="357"/>
      <c r="CU292" s="357"/>
      <c r="CV292" s="357"/>
      <c r="CW292" s="357"/>
      <c r="CX292" s="357"/>
      <c r="CY292" s="357"/>
      <c r="CZ292" s="357"/>
      <c r="DA292" s="357"/>
      <c r="DB292" s="357"/>
      <c r="DC292" s="357"/>
      <c r="DD292" s="357"/>
      <c r="DE292" s="357"/>
      <c r="DF292" s="357"/>
      <c r="DG292" s="357"/>
      <c r="DH292" s="357"/>
      <c r="DI292" s="357"/>
      <c r="DJ292" s="357"/>
      <c r="DK292" s="357"/>
      <c r="DL292" s="357"/>
      <c r="DM292" s="357"/>
      <c r="DN292" s="357"/>
      <c r="DO292" s="357"/>
      <c r="DP292" s="357"/>
      <c r="DQ292" s="357"/>
      <c r="DR292" s="357"/>
      <c r="DS292" s="357"/>
      <c r="DT292" s="357"/>
      <c r="DU292" s="357"/>
      <c r="DV292" s="357"/>
      <c r="DW292" s="357"/>
      <c r="DX292" s="357"/>
      <c r="DY292" s="357"/>
      <c r="DZ292" s="357"/>
      <c r="EA292" s="357"/>
      <c r="EB292" s="357"/>
      <c r="EC292" s="357"/>
      <c r="ED292" s="357"/>
      <c r="EE292" s="357"/>
      <c r="EF292" s="357"/>
      <c r="EG292" s="357"/>
      <c r="EH292" s="357"/>
      <c r="EI292" s="357"/>
      <c r="EJ292" s="357"/>
      <c r="EK292" s="357"/>
      <c r="EL292" s="357"/>
      <c r="EM292" s="357"/>
      <c r="EN292" s="357"/>
      <c r="EO292" s="357"/>
      <c r="EP292" s="357"/>
      <c r="EQ292" s="357"/>
      <c r="ER292" s="357"/>
      <c r="ES292" s="357"/>
      <c r="ET292" s="357"/>
      <c r="EU292" s="357"/>
      <c r="EV292" s="357"/>
      <c r="EW292" s="357"/>
      <c r="EX292" s="357"/>
      <c r="EY292" s="357"/>
      <c r="EZ292" s="357"/>
      <c r="FA292" s="357"/>
      <c r="FB292" s="357"/>
      <c r="FC292" s="357"/>
      <c r="FD292" s="357"/>
      <c r="FE292" s="357"/>
      <c r="FF292" s="357"/>
      <c r="FG292" s="357"/>
      <c r="FH292" s="357"/>
      <c r="FI292" s="357"/>
      <c r="FJ292" s="357"/>
      <c r="FK292" s="357"/>
      <c r="FL292" s="357"/>
      <c r="FM292" s="357"/>
      <c r="FN292" s="357"/>
      <c r="FO292" s="357"/>
      <c r="FP292" s="357"/>
      <c r="FQ292" s="357"/>
      <c r="FR292" s="357"/>
      <c r="FS292" s="357"/>
      <c r="FT292" s="357"/>
      <c r="FU292" s="357"/>
      <c r="FV292" s="357"/>
      <c r="FW292" s="357"/>
      <c r="FX292" s="357"/>
      <c r="FY292" s="357"/>
      <c r="FZ292" s="357"/>
      <c r="GA292" s="357"/>
      <c r="GB292" s="357"/>
      <c r="GC292" s="357"/>
      <c r="GD292" s="357"/>
      <c r="GE292" s="357"/>
      <c r="GF292" s="357"/>
      <c r="GG292" s="357"/>
      <c r="GH292" s="357"/>
      <c r="GI292" s="357"/>
      <c r="GJ292" s="357"/>
      <c r="GK292" s="154"/>
      <c r="GL292" s="154"/>
      <c r="GM292" s="154"/>
      <c r="GN292" s="154"/>
      <c r="GO292" s="154"/>
      <c r="GP292" s="154"/>
      <c r="GQ292" s="154"/>
      <c r="GR292" s="154"/>
      <c r="GS292" s="154"/>
      <c r="GT292" s="154"/>
      <c r="GU292" s="154"/>
      <c r="GV292" s="154"/>
      <c r="GW292" s="154"/>
      <c r="GX292" s="154"/>
    </row>
    <row r="293" spans="7:206">
      <c r="G293" s="154"/>
      <c r="H293" s="154"/>
      <c r="I293" s="154"/>
      <c r="J293" s="154"/>
      <c r="K293" s="154"/>
      <c r="L293" s="154"/>
      <c r="M293" s="154"/>
      <c r="N293" s="154"/>
      <c r="O293" s="154"/>
      <c r="P293" s="154"/>
      <c r="Q293" s="154"/>
      <c r="R293" s="154"/>
      <c r="S293" s="154"/>
      <c r="T293" s="154"/>
      <c r="U293" s="154"/>
      <c r="V293" s="154"/>
      <c r="W293" s="154"/>
      <c r="X293" s="154"/>
      <c r="Y293" s="154"/>
      <c r="Z293" s="357"/>
      <c r="AA293" s="357"/>
      <c r="AB293" s="357"/>
      <c r="AC293" s="357"/>
      <c r="AD293" s="357"/>
      <c r="AE293" s="357"/>
      <c r="AF293" s="357"/>
      <c r="AG293" s="357"/>
      <c r="AH293" s="357"/>
      <c r="AI293" s="357"/>
      <c r="AJ293" s="357"/>
      <c r="AK293" s="357"/>
      <c r="AL293" s="357"/>
      <c r="AM293" s="357"/>
      <c r="AN293" s="357"/>
      <c r="AO293" s="357"/>
      <c r="AP293" s="357"/>
      <c r="AQ293" s="357"/>
      <c r="AR293" s="357"/>
      <c r="AS293" s="357"/>
      <c r="AT293" s="357"/>
      <c r="AU293" s="357"/>
      <c r="AV293" s="357"/>
      <c r="AW293" s="357"/>
      <c r="AX293" s="357"/>
      <c r="AY293" s="357"/>
      <c r="AZ293" s="357"/>
      <c r="BA293" s="357"/>
      <c r="BB293" s="357"/>
      <c r="BC293" s="357"/>
      <c r="BD293" s="357"/>
      <c r="BE293" s="357"/>
      <c r="BF293" s="357"/>
      <c r="BG293" s="357"/>
      <c r="BH293" s="357"/>
      <c r="BI293" s="357"/>
      <c r="BJ293" s="357"/>
      <c r="BK293" s="357"/>
      <c r="BL293" s="357"/>
      <c r="BM293" s="357"/>
      <c r="BN293" s="357"/>
      <c r="BO293" s="357"/>
      <c r="BP293" s="357"/>
      <c r="BQ293" s="357"/>
      <c r="BR293" s="357"/>
      <c r="BS293" s="357"/>
      <c r="BT293" s="357"/>
      <c r="BU293" s="357"/>
      <c r="BV293" s="357"/>
      <c r="BW293" s="357"/>
      <c r="BX293" s="357"/>
      <c r="BY293" s="357"/>
      <c r="BZ293" s="357"/>
      <c r="CA293" s="357"/>
      <c r="CB293" s="357"/>
      <c r="CC293" s="357"/>
      <c r="CD293" s="357"/>
      <c r="CE293" s="357"/>
      <c r="CF293" s="357"/>
      <c r="CG293" s="357"/>
      <c r="CH293" s="357"/>
      <c r="CI293" s="357"/>
      <c r="CJ293" s="357"/>
      <c r="CK293" s="357"/>
      <c r="CL293" s="357"/>
      <c r="CM293" s="357"/>
      <c r="CN293" s="357"/>
      <c r="CO293" s="357"/>
      <c r="CP293" s="357"/>
      <c r="CQ293" s="357"/>
      <c r="CR293" s="357"/>
      <c r="CS293" s="357"/>
      <c r="CT293" s="357"/>
      <c r="CU293" s="357"/>
      <c r="CV293" s="357"/>
      <c r="CW293" s="357"/>
      <c r="CX293" s="357"/>
      <c r="CY293" s="357"/>
      <c r="CZ293" s="357"/>
      <c r="DA293" s="357"/>
      <c r="DB293" s="357"/>
      <c r="DC293" s="357"/>
      <c r="DD293" s="357"/>
      <c r="DE293" s="357"/>
      <c r="DF293" s="357"/>
      <c r="DG293" s="357"/>
      <c r="DH293" s="357"/>
      <c r="DI293" s="357"/>
      <c r="DJ293" s="357"/>
      <c r="DK293" s="357"/>
      <c r="DL293" s="357"/>
      <c r="DM293" s="357"/>
      <c r="DN293" s="357"/>
      <c r="DO293" s="357"/>
      <c r="DP293" s="357"/>
      <c r="DQ293" s="357"/>
      <c r="DR293" s="357"/>
      <c r="DS293" s="357"/>
      <c r="DT293" s="357"/>
      <c r="DU293" s="357"/>
      <c r="DV293" s="357"/>
      <c r="DW293" s="357"/>
      <c r="DX293" s="357"/>
      <c r="DY293" s="357"/>
      <c r="DZ293" s="357"/>
      <c r="EA293" s="357"/>
      <c r="EB293" s="357"/>
      <c r="EC293" s="357"/>
      <c r="ED293" s="357"/>
      <c r="EE293" s="357"/>
      <c r="EF293" s="357"/>
      <c r="EG293" s="357"/>
      <c r="EH293" s="357"/>
      <c r="EI293" s="357"/>
      <c r="EJ293" s="357"/>
      <c r="EK293" s="357"/>
      <c r="EL293" s="357"/>
      <c r="EM293" s="357"/>
      <c r="EN293" s="357"/>
      <c r="EO293" s="357"/>
      <c r="EP293" s="357"/>
      <c r="EQ293" s="357"/>
      <c r="ER293" s="357"/>
      <c r="ES293" s="357"/>
      <c r="ET293" s="357"/>
      <c r="EU293" s="357"/>
      <c r="EV293" s="357"/>
      <c r="EW293" s="357"/>
      <c r="EX293" s="357"/>
      <c r="EY293" s="357"/>
      <c r="EZ293" s="357"/>
      <c r="FA293" s="357"/>
      <c r="FB293" s="357"/>
      <c r="FC293" s="357"/>
      <c r="FD293" s="357"/>
      <c r="FE293" s="357"/>
      <c r="FF293" s="357"/>
      <c r="FG293" s="357"/>
      <c r="FH293" s="357"/>
      <c r="FI293" s="357"/>
      <c r="FJ293" s="357"/>
      <c r="FK293" s="357"/>
      <c r="FL293" s="357"/>
      <c r="FM293" s="357"/>
      <c r="FN293" s="357"/>
      <c r="FO293" s="357"/>
      <c r="FP293" s="357"/>
      <c r="FQ293" s="357"/>
      <c r="FR293" s="357"/>
      <c r="FS293" s="357"/>
      <c r="FT293" s="357"/>
      <c r="FU293" s="357"/>
      <c r="FV293" s="357"/>
      <c r="FW293" s="357"/>
      <c r="FX293" s="357"/>
      <c r="FY293" s="357"/>
      <c r="FZ293" s="357"/>
      <c r="GA293" s="357"/>
      <c r="GB293" s="357"/>
      <c r="GC293" s="357"/>
      <c r="GD293" s="357"/>
      <c r="GE293" s="357"/>
      <c r="GF293" s="357"/>
      <c r="GG293" s="357"/>
      <c r="GH293" s="357"/>
      <c r="GI293" s="357"/>
      <c r="GJ293" s="357"/>
      <c r="GK293" s="154"/>
      <c r="GL293" s="154"/>
      <c r="GM293" s="154"/>
      <c r="GN293" s="154"/>
      <c r="GO293" s="154"/>
      <c r="GP293" s="154"/>
      <c r="GQ293" s="154"/>
      <c r="GR293" s="154"/>
      <c r="GS293" s="154"/>
      <c r="GT293" s="154"/>
      <c r="GU293" s="154"/>
      <c r="GV293" s="154"/>
      <c r="GW293" s="154"/>
      <c r="GX293" s="154"/>
    </row>
    <row r="294" spans="7:206">
      <c r="G294" s="154"/>
      <c r="H294" s="154"/>
      <c r="I294" s="154"/>
      <c r="J294" s="154"/>
      <c r="K294" s="154"/>
      <c r="L294" s="154"/>
      <c r="M294" s="154"/>
      <c r="N294" s="154"/>
      <c r="O294" s="154"/>
      <c r="P294" s="154"/>
      <c r="Q294" s="154"/>
      <c r="R294" s="154"/>
      <c r="S294" s="154"/>
      <c r="T294" s="154"/>
      <c r="U294" s="154"/>
      <c r="V294" s="154"/>
      <c r="W294" s="154"/>
      <c r="X294" s="154"/>
      <c r="Y294" s="154"/>
      <c r="Z294" s="357"/>
      <c r="AA294" s="357"/>
      <c r="AB294" s="357"/>
      <c r="AC294" s="357"/>
      <c r="AD294" s="357"/>
      <c r="AE294" s="357"/>
      <c r="AF294" s="357"/>
      <c r="AG294" s="357"/>
      <c r="AH294" s="357"/>
      <c r="AI294" s="357"/>
      <c r="AJ294" s="357"/>
      <c r="AK294" s="357"/>
      <c r="AL294" s="357"/>
      <c r="AM294" s="357"/>
      <c r="AN294" s="357"/>
      <c r="AO294" s="357"/>
      <c r="AP294" s="357"/>
      <c r="AQ294" s="357"/>
      <c r="AR294" s="357"/>
      <c r="AS294" s="357"/>
      <c r="AT294" s="357"/>
      <c r="AU294" s="357"/>
      <c r="AV294" s="357"/>
      <c r="AW294" s="357"/>
      <c r="AX294" s="357"/>
      <c r="AY294" s="357"/>
      <c r="AZ294" s="357"/>
      <c r="BA294" s="357"/>
      <c r="BB294" s="357"/>
      <c r="BC294" s="357"/>
      <c r="BD294" s="357"/>
      <c r="BE294" s="357"/>
      <c r="BF294" s="357"/>
      <c r="BG294" s="357"/>
      <c r="BH294" s="357"/>
      <c r="BI294" s="357"/>
      <c r="BJ294" s="357"/>
      <c r="BK294" s="357"/>
      <c r="BL294" s="357"/>
      <c r="BM294" s="357"/>
      <c r="BN294" s="357"/>
      <c r="BO294" s="357"/>
      <c r="BP294" s="357"/>
      <c r="BQ294" s="357"/>
      <c r="BR294" s="357"/>
      <c r="BS294" s="357"/>
      <c r="BT294" s="357"/>
      <c r="BU294" s="357"/>
      <c r="BV294" s="357"/>
      <c r="BW294" s="357"/>
      <c r="BX294" s="357"/>
      <c r="BY294" s="357"/>
      <c r="BZ294" s="357"/>
      <c r="CA294" s="357"/>
      <c r="CB294" s="357"/>
      <c r="CC294" s="357"/>
      <c r="CD294" s="357"/>
      <c r="CE294" s="357"/>
      <c r="CF294" s="357"/>
      <c r="CG294" s="357"/>
      <c r="CH294" s="357"/>
      <c r="CI294" s="357"/>
      <c r="CJ294" s="357"/>
      <c r="CK294" s="357"/>
      <c r="CL294" s="357"/>
      <c r="CM294" s="357"/>
      <c r="CN294" s="357"/>
      <c r="CO294" s="357"/>
      <c r="CP294" s="357"/>
      <c r="CQ294" s="357"/>
      <c r="CR294" s="357"/>
      <c r="CS294" s="357"/>
      <c r="CT294" s="357"/>
      <c r="CU294" s="357"/>
      <c r="CV294" s="357"/>
      <c r="CW294" s="357"/>
      <c r="CX294" s="357"/>
      <c r="CY294" s="357"/>
      <c r="CZ294" s="357"/>
      <c r="DA294" s="357"/>
      <c r="DB294" s="357"/>
      <c r="DC294" s="357"/>
      <c r="DD294" s="357"/>
      <c r="DE294" s="357"/>
      <c r="DF294" s="357"/>
      <c r="DG294" s="357"/>
      <c r="DH294" s="357"/>
      <c r="DI294" s="357"/>
      <c r="DJ294" s="357"/>
      <c r="DK294" s="357"/>
      <c r="DL294" s="357"/>
      <c r="DM294" s="357"/>
      <c r="DN294" s="357"/>
      <c r="DO294" s="357"/>
      <c r="DP294" s="357"/>
      <c r="DQ294" s="357"/>
      <c r="DR294" s="357"/>
      <c r="DS294" s="357"/>
      <c r="DT294" s="357"/>
      <c r="DU294" s="357"/>
      <c r="DV294" s="357"/>
      <c r="DW294" s="357"/>
      <c r="DX294" s="357"/>
      <c r="DY294" s="357"/>
      <c r="DZ294" s="357"/>
      <c r="EA294" s="357"/>
      <c r="EB294" s="357"/>
      <c r="EC294" s="357"/>
      <c r="ED294" s="357"/>
      <c r="EE294" s="357"/>
      <c r="EF294" s="357"/>
      <c r="EG294" s="357"/>
      <c r="EH294" s="357"/>
      <c r="EI294" s="357"/>
      <c r="EJ294" s="357"/>
      <c r="EK294" s="357"/>
      <c r="EL294" s="357"/>
      <c r="EM294" s="357"/>
      <c r="EN294" s="357"/>
      <c r="EO294" s="357"/>
      <c r="EP294" s="357"/>
      <c r="EQ294" s="357"/>
      <c r="ER294" s="357"/>
      <c r="ES294" s="357"/>
      <c r="ET294" s="357"/>
      <c r="EU294" s="357"/>
      <c r="EV294" s="357"/>
      <c r="EW294" s="357"/>
      <c r="EX294" s="357"/>
      <c r="EY294" s="357"/>
      <c r="EZ294" s="357"/>
      <c r="FA294" s="357"/>
      <c r="FB294" s="357"/>
      <c r="FC294" s="357"/>
      <c r="FD294" s="357"/>
      <c r="FE294" s="357"/>
      <c r="FF294" s="357"/>
      <c r="FG294" s="357"/>
      <c r="FH294" s="357"/>
      <c r="FI294" s="357"/>
      <c r="FJ294" s="357"/>
      <c r="FK294" s="357"/>
      <c r="FL294" s="357"/>
      <c r="FM294" s="357"/>
      <c r="FN294" s="357"/>
      <c r="FO294" s="357"/>
      <c r="FP294" s="357"/>
      <c r="FQ294" s="357"/>
      <c r="FR294" s="357"/>
      <c r="FS294" s="357"/>
      <c r="FT294" s="357"/>
      <c r="FU294" s="357"/>
      <c r="FV294" s="357"/>
      <c r="FW294" s="357"/>
      <c r="FX294" s="357"/>
      <c r="FY294" s="357"/>
      <c r="FZ294" s="357"/>
      <c r="GA294" s="357"/>
      <c r="GB294" s="357"/>
      <c r="GC294" s="357"/>
      <c r="GD294" s="357"/>
      <c r="GE294" s="357"/>
      <c r="GF294" s="357"/>
      <c r="GG294" s="357"/>
      <c r="GH294" s="357"/>
      <c r="GI294" s="357"/>
      <c r="GJ294" s="357"/>
      <c r="GK294" s="154"/>
      <c r="GL294" s="154"/>
      <c r="GM294" s="154"/>
      <c r="GN294" s="154"/>
      <c r="GO294" s="154"/>
      <c r="GP294" s="154"/>
      <c r="GQ294" s="154"/>
      <c r="GR294" s="154"/>
      <c r="GS294" s="154"/>
      <c r="GT294" s="154"/>
      <c r="GU294" s="154"/>
      <c r="GV294" s="154"/>
      <c r="GW294" s="154"/>
      <c r="GX294" s="154"/>
    </row>
    <row r="295" spans="7:206">
      <c r="G295" s="154"/>
      <c r="H295" s="154"/>
      <c r="I295" s="154"/>
      <c r="J295" s="154"/>
      <c r="K295" s="154"/>
      <c r="L295" s="154"/>
      <c r="M295" s="154"/>
      <c r="N295" s="154"/>
      <c r="O295" s="154"/>
      <c r="P295" s="154"/>
      <c r="Q295" s="154"/>
      <c r="R295" s="154"/>
      <c r="S295" s="154"/>
      <c r="T295" s="154"/>
      <c r="U295" s="154"/>
      <c r="V295" s="154"/>
      <c r="W295" s="154"/>
      <c r="X295" s="154"/>
      <c r="Y295" s="154"/>
      <c r="Z295" s="357"/>
      <c r="AA295" s="357"/>
      <c r="AB295" s="357"/>
      <c r="AC295" s="357"/>
      <c r="AD295" s="357"/>
      <c r="AE295" s="357"/>
      <c r="AF295" s="357"/>
      <c r="AG295" s="357"/>
      <c r="AH295" s="357"/>
      <c r="AI295" s="357"/>
      <c r="AJ295" s="357"/>
      <c r="AK295" s="357"/>
      <c r="AL295" s="357"/>
      <c r="AM295" s="357"/>
      <c r="AN295" s="357"/>
      <c r="AO295" s="357"/>
      <c r="AP295" s="357"/>
      <c r="AQ295" s="357"/>
      <c r="AR295" s="357"/>
      <c r="AS295" s="357"/>
      <c r="AT295" s="357"/>
      <c r="AU295" s="357"/>
      <c r="AV295" s="357"/>
      <c r="AW295" s="357"/>
      <c r="AX295" s="357"/>
      <c r="AY295" s="357"/>
      <c r="AZ295" s="357"/>
      <c r="BA295" s="357"/>
      <c r="BB295" s="357"/>
      <c r="BC295" s="357"/>
      <c r="BD295" s="357"/>
      <c r="BE295" s="357"/>
      <c r="BF295" s="357"/>
      <c r="BG295" s="357"/>
      <c r="BH295" s="357"/>
      <c r="BI295" s="357"/>
      <c r="BJ295" s="357"/>
      <c r="BK295" s="357"/>
      <c r="BL295" s="357"/>
      <c r="BM295" s="357"/>
      <c r="BN295" s="357"/>
      <c r="BO295" s="357"/>
      <c r="BP295" s="357"/>
      <c r="BQ295" s="357"/>
      <c r="BR295" s="357"/>
      <c r="BS295" s="357"/>
      <c r="BT295" s="357"/>
      <c r="BU295" s="357"/>
      <c r="BV295" s="357"/>
      <c r="BW295" s="357"/>
      <c r="BX295" s="357"/>
      <c r="BY295" s="357"/>
      <c r="BZ295" s="357"/>
      <c r="CA295" s="357"/>
      <c r="CB295" s="357"/>
      <c r="CC295" s="357"/>
      <c r="CD295" s="357"/>
      <c r="CE295" s="357"/>
      <c r="CF295" s="357"/>
      <c r="CG295" s="357"/>
      <c r="CH295" s="357"/>
      <c r="CI295" s="357"/>
      <c r="CJ295" s="357"/>
      <c r="CK295" s="357"/>
      <c r="CL295" s="357"/>
      <c r="CM295" s="357"/>
      <c r="CN295" s="357"/>
      <c r="CO295" s="357"/>
      <c r="CP295" s="357"/>
      <c r="CQ295" s="357"/>
      <c r="CR295" s="357"/>
      <c r="CS295" s="357"/>
      <c r="CT295" s="357"/>
      <c r="CU295" s="357"/>
      <c r="CV295" s="357"/>
      <c r="CW295" s="357"/>
      <c r="CX295" s="357"/>
      <c r="CY295" s="357"/>
      <c r="CZ295" s="357"/>
      <c r="DA295" s="357"/>
      <c r="DB295" s="357"/>
      <c r="DC295" s="357"/>
      <c r="DD295" s="357"/>
      <c r="DE295" s="357"/>
      <c r="DF295" s="357"/>
      <c r="DG295" s="357"/>
      <c r="DH295" s="357"/>
      <c r="DI295" s="357"/>
      <c r="DJ295" s="357"/>
      <c r="DK295" s="357"/>
      <c r="DL295" s="357"/>
      <c r="DM295" s="357"/>
      <c r="DN295" s="357"/>
      <c r="DO295" s="357"/>
      <c r="DP295" s="357"/>
      <c r="DQ295" s="357"/>
      <c r="DR295" s="357"/>
      <c r="DS295" s="357"/>
      <c r="DT295" s="357"/>
      <c r="DU295" s="357"/>
      <c r="DV295" s="357"/>
      <c r="DW295" s="357"/>
      <c r="DX295" s="357"/>
      <c r="DY295" s="357"/>
      <c r="DZ295" s="357"/>
      <c r="EA295" s="357"/>
      <c r="EB295" s="357"/>
      <c r="EC295" s="357"/>
      <c r="ED295" s="357"/>
      <c r="EE295" s="357"/>
      <c r="EF295" s="357"/>
      <c r="EG295" s="357"/>
      <c r="EH295" s="357"/>
      <c r="EI295" s="357"/>
      <c r="EJ295" s="357"/>
      <c r="EK295" s="357"/>
      <c r="EL295" s="357"/>
      <c r="EM295" s="357"/>
      <c r="EN295" s="357"/>
      <c r="EO295" s="357"/>
      <c r="EP295" s="357"/>
      <c r="EQ295" s="357"/>
      <c r="ER295" s="357"/>
      <c r="ES295" s="357"/>
      <c r="ET295" s="357"/>
      <c r="EU295" s="357"/>
      <c r="EV295" s="357"/>
      <c r="EW295" s="357"/>
      <c r="EX295" s="357"/>
      <c r="EY295" s="357"/>
      <c r="EZ295" s="357"/>
      <c r="FA295" s="357"/>
      <c r="FB295" s="357"/>
      <c r="FC295" s="357"/>
      <c r="FD295" s="357"/>
      <c r="FE295" s="357"/>
      <c r="FF295" s="357"/>
      <c r="FG295" s="357"/>
      <c r="FH295" s="357"/>
      <c r="FI295" s="357"/>
      <c r="FJ295" s="357"/>
      <c r="FK295" s="357"/>
      <c r="FL295" s="357"/>
      <c r="FM295" s="357"/>
      <c r="FN295" s="357"/>
      <c r="FO295" s="357"/>
      <c r="FP295" s="357"/>
      <c r="FQ295" s="357"/>
      <c r="FR295" s="357"/>
      <c r="FS295" s="357"/>
      <c r="FT295" s="357"/>
      <c r="FU295" s="357"/>
      <c r="FV295" s="357"/>
      <c r="FW295" s="357"/>
      <c r="FX295" s="357"/>
      <c r="FY295" s="357"/>
      <c r="FZ295" s="357"/>
      <c r="GA295" s="357"/>
      <c r="GB295" s="357"/>
      <c r="GC295" s="357"/>
      <c r="GD295" s="357"/>
      <c r="GE295" s="357"/>
      <c r="GF295" s="357"/>
      <c r="GG295" s="357"/>
      <c r="GH295" s="357"/>
      <c r="GI295" s="357"/>
      <c r="GJ295" s="357"/>
      <c r="GK295" s="154"/>
      <c r="GL295" s="154"/>
      <c r="GM295" s="154"/>
      <c r="GN295" s="154"/>
      <c r="GO295" s="154"/>
      <c r="GP295" s="154"/>
      <c r="GQ295" s="154"/>
      <c r="GR295" s="154"/>
      <c r="GS295" s="154"/>
      <c r="GT295" s="154"/>
      <c r="GU295" s="154"/>
      <c r="GV295" s="154"/>
      <c r="GW295" s="154"/>
      <c r="GX295" s="154"/>
    </row>
    <row r="296" spans="7:206">
      <c r="G296" s="154"/>
      <c r="H296" s="154"/>
      <c r="I296" s="154"/>
      <c r="J296" s="154"/>
      <c r="K296" s="154"/>
      <c r="L296" s="154"/>
      <c r="M296" s="154"/>
      <c r="N296" s="154"/>
      <c r="O296" s="154"/>
      <c r="P296" s="154"/>
      <c r="Q296" s="154"/>
      <c r="R296" s="154"/>
      <c r="S296" s="154"/>
      <c r="T296" s="154"/>
      <c r="U296" s="154"/>
      <c r="V296" s="154"/>
      <c r="W296" s="154"/>
      <c r="X296" s="154"/>
      <c r="Y296" s="154"/>
      <c r="Z296" s="357"/>
      <c r="AA296" s="357"/>
      <c r="AB296" s="357"/>
      <c r="AC296" s="357"/>
      <c r="AD296" s="357"/>
      <c r="AE296" s="357"/>
      <c r="AF296" s="357"/>
      <c r="AG296" s="357"/>
      <c r="AH296" s="357"/>
      <c r="AI296" s="357"/>
      <c r="AJ296" s="357"/>
      <c r="AK296" s="357"/>
      <c r="AL296" s="357"/>
      <c r="AM296" s="357"/>
      <c r="AN296" s="357"/>
      <c r="AO296" s="357"/>
      <c r="AP296" s="357"/>
      <c r="AQ296" s="357"/>
      <c r="AR296" s="357"/>
      <c r="AS296" s="357"/>
      <c r="AT296" s="357"/>
      <c r="AU296" s="357"/>
      <c r="AV296" s="357"/>
      <c r="AW296" s="357"/>
      <c r="AX296" s="357"/>
      <c r="AY296" s="357"/>
      <c r="AZ296" s="357"/>
      <c r="BA296" s="357"/>
      <c r="BB296" s="357"/>
      <c r="BC296" s="357"/>
      <c r="BD296" s="357"/>
      <c r="BE296" s="357"/>
      <c r="BF296" s="357"/>
      <c r="BG296" s="357"/>
      <c r="BH296" s="357"/>
      <c r="BI296" s="357"/>
      <c r="BJ296" s="357"/>
      <c r="BK296" s="357"/>
      <c r="BL296" s="357"/>
      <c r="BM296" s="357"/>
      <c r="BN296" s="357"/>
      <c r="BO296" s="357"/>
      <c r="BP296" s="357"/>
      <c r="BQ296" s="357"/>
      <c r="BR296" s="357"/>
      <c r="BS296" s="357"/>
      <c r="BT296" s="357"/>
      <c r="BU296" s="357"/>
      <c r="BV296" s="357"/>
      <c r="BW296" s="357"/>
      <c r="BX296" s="357"/>
      <c r="BY296" s="357"/>
      <c r="BZ296" s="357"/>
      <c r="CA296" s="357"/>
      <c r="CB296" s="357"/>
      <c r="CC296" s="357"/>
      <c r="CD296" s="357"/>
      <c r="CE296" s="357"/>
      <c r="CF296" s="357"/>
      <c r="CG296" s="357"/>
      <c r="CH296" s="357"/>
      <c r="CI296" s="357"/>
      <c r="CJ296" s="357"/>
      <c r="CK296" s="357"/>
      <c r="CL296" s="357"/>
      <c r="CM296" s="357"/>
      <c r="CN296" s="357"/>
      <c r="CO296" s="357"/>
      <c r="CP296" s="357"/>
      <c r="CQ296" s="357"/>
      <c r="CR296" s="357"/>
      <c r="CS296" s="357"/>
      <c r="CT296" s="357"/>
      <c r="CU296" s="357"/>
      <c r="CV296" s="357"/>
      <c r="CW296" s="357"/>
      <c r="CX296" s="357"/>
      <c r="CY296" s="357"/>
      <c r="CZ296" s="357"/>
      <c r="DA296" s="357"/>
      <c r="DB296" s="357"/>
      <c r="DC296" s="357"/>
      <c r="DD296" s="357"/>
      <c r="DE296" s="357"/>
      <c r="DF296" s="357"/>
      <c r="DG296" s="357"/>
      <c r="DH296" s="357"/>
      <c r="DI296" s="357"/>
      <c r="DJ296" s="357"/>
      <c r="DK296" s="357"/>
      <c r="DL296" s="357"/>
      <c r="DM296" s="357"/>
      <c r="DN296" s="357"/>
      <c r="DO296" s="357"/>
      <c r="DP296" s="357"/>
      <c r="DQ296" s="357"/>
      <c r="DR296" s="357"/>
      <c r="DS296" s="357"/>
      <c r="DT296" s="357"/>
      <c r="DU296" s="357"/>
      <c r="DV296" s="357"/>
      <c r="DW296" s="357"/>
      <c r="DX296" s="357"/>
      <c r="DY296" s="357"/>
      <c r="DZ296" s="357"/>
      <c r="EA296" s="357"/>
      <c r="EB296" s="357"/>
      <c r="EC296" s="357"/>
      <c r="ED296" s="357"/>
      <c r="EE296" s="357"/>
      <c r="EF296" s="357"/>
      <c r="EG296" s="357"/>
      <c r="EH296" s="357"/>
      <c r="EI296" s="357"/>
      <c r="EJ296" s="357"/>
      <c r="EK296" s="357"/>
      <c r="EL296" s="357"/>
      <c r="EM296" s="357"/>
      <c r="EN296" s="357"/>
      <c r="EO296" s="357"/>
      <c r="EP296" s="357"/>
      <c r="EQ296" s="357"/>
      <c r="ER296" s="357"/>
      <c r="ES296" s="357"/>
      <c r="ET296" s="357"/>
      <c r="EU296" s="357"/>
      <c r="EV296" s="357"/>
      <c r="EW296" s="357"/>
      <c r="EX296" s="357"/>
      <c r="EY296" s="357"/>
      <c r="EZ296" s="357"/>
      <c r="FA296" s="357"/>
      <c r="FB296" s="357"/>
      <c r="FC296" s="357"/>
      <c r="FD296" s="357"/>
      <c r="FE296" s="357"/>
      <c r="FF296" s="357"/>
      <c r="FG296" s="357"/>
      <c r="FH296" s="357"/>
      <c r="FI296" s="357"/>
      <c r="FJ296" s="357"/>
      <c r="FK296" s="357"/>
      <c r="FL296" s="357"/>
      <c r="FM296" s="357"/>
      <c r="FN296" s="357"/>
      <c r="FO296" s="357"/>
      <c r="FP296" s="357"/>
      <c r="FQ296" s="357"/>
      <c r="FR296" s="357"/>
      <c r="FS296" s="357"/>
      <c r="FT296" s="357"/>
      <c r="FU296" s="357"/>
      <c r="FV296" s="357"/>
      <c r="FW296" s="357"/>
      <c r="FX296" s="357"/>
      <c r="FY296" s="357"/>
      <c r="FZ296" s="357"/>
      <c r="GA296" s="357"/>
      <c r="GB296" s="357"/>
      <c r="GC296" s="357"/>
      <c r="GD296" s="357"/>
      <c r="GE296" s="357"/>
      <c r="GF296" s="357"/>
      <c r="GG296" s="357"/>
      <c r="GH296" s="357"/>
      <c r="GI296" s="357"/>
      <c r="GJ296" s="357"/>
      <c r="GK296" s="154"/>
      <c r="GL296" s="154"/>
      <c r="GM296" s="154"/>
      <c r="GN296" s="154"/>
      <c r="GO296" s="154"/>
      <c r="GP296" s="154"/>
      <c r="GQ296" s="154"/>
      <c r="GR296" s="154"/>
      <c r="GS296" s="154"/>
      <c r="GT296" s="154"/>
      <c r="GU296" s="154"/>
      <c r="GV296" s="154"/>
      <c r="GW296" s="154"/>
      <c r="GX296" s="154"/>
    </row>
    <row r="297" spans="7:206">
      <c r="G297" s="154"/>
      <c r="H297" s="154"/>
      <c r="I297" s="154"/>
      <c r="J297" s="154"/>
      <c r="K297" s="154"/>
      <c r="L297" s="154"/>
      <c r="M297" s="154"/>
      <c r="N297" s="154"/>
      <c r="O297" s="154"/>
      <c r="P297" s="154"/>
      <c r="Q297" s="154"/>
      <c r="R297" s="154"/>
      <c r="S297" s="154"/>
      <c r="T297" s="154"/>
      <c r="U297" s="154"/>
      <c r="V297" s="154"/>
      <c r="W297" s="154"/>
      <c r="X297" s="154"/>
      <c r="Y297" s="154"/>
      <c r="Z297" s="357"/>
      <c r="AA297" s="357"/>
      <c r="AB297" s="357"/>
      <c r="AC297" s="357"/>
      <c r="AD297" s="357"/>
      <c r="AE297" s="357"/>
      <c r="AF297" s="357"/>
      <c r="AG297" s="357"/>
      <c r="AH297" s="357"/>
      <c r="AI297" s="357"/>
      <c r="AJ297" s="357"/>
      <c r="AK297" s="357"/>
      <c r="AL297" s="357"/>
      <c r="AM297" s="357"/>
      <c r="AN297" s="357"/>
      <c r="AO297" s="357"/>
      <c r="AP297" s="357"/>
      <c r="AQ297" s="357"/>
      <c r="AR297" s="357"/>
      <c r="AS297" s="357"/>
      <c r="AT297" s="357"/>
      <c r="AU297" s="357"/>
      <c r="AV297" s="357"/>
      <c r="AW297" s="357"/>
      <c r="AX297" s="357"/>
      <c r="AY297" s="357"/>
      <c r="AZ297" s="357"/>
      <c r="BA297" s="357"/>
      <c r="BB297" s="357"/>
      <c r="BC297" s="357"/>
      <c r="BD297" s="357"/>
      <c r="BE297" s="357"/>
      <c r="BF297" s="357"/>
      <c r="BG297" s="357"/>
      <c r="BH297" s="357"/>
      <c r="BI297" s="357"/>
      <c r="BJ297" s="357"/>
      <c r="BK297" s="357"/>
      <c r="BL297" s="357"/>
      <c r="BM297" s="357"/>
      <c r="BN297" s="357"/>
      <c r="BO297" s="357"/>
      <c r="BP297" s="357"/>
      <c r="BQ297" s="357"/>
      <c r="BR297" s="357"/>
      <c r="BS297" s="357"/>
      <c r="BT297" s="357"/>
      <c r="BU297" s="357"/>
      <c r="BV297" s="357"/>
      <c r="BW297" s="357"/>
      <c r="BX297" s="357"/>
      <c r="BY297" s="357"/>
      <c r="BZ297" s="357"/>
      <c r="CA297" s="357"/>
      <c r="CB297" s="357"/>
      <c r="CC297" s="357"/>
      <c r="CD297" s="357"/>
      <c r="CE297" s="357"/>
      <c r="CF297" s="357"/>
      <c r="CG297" s="357"/>
      <c r="CH297" s="357"/>
      <c r="CI297" s="357"/>
      <c r="CJ297" s="357"/>
      <c r="CK297" s="357"/>
      <c r="CL297" s="357"/>
      <c r="CM297" s="357"/>
      <c r="CN297" s="357"/>
      <c r="CO297" s="357"/>
      <c r="CP297" s="357"/>
      <c r="CQ297" s="357"/>
      <c r="CR297" s="357"/>
      <c r="CS297" s="357"/>
      <c r="CT297" s="357"/>
      <c r="CU297" s="357"/>
      <c r="CV297" s="357"/>
      <c r="CW297" s="357"/>
      <c r="CX297" s="357"/>
      <c r="CY297" s="357"/>
      <c r="CZ297" s="357"/>
      <c r="DA297" s="357"/>
      <c r="DB297" s="357"/>
      <c r="DC297" s="357"/>
      <c r="DD297" s="357"/>
      <c r="DE297" s="357"/>
      <c r="DF297" s="357"/>
      <c r="DG297" s="357"/>
      <c r="DH297" s="357"/>
      <c r="DI297" s="357"/>
      <c r="DJ297" s="357"/>
      <c r="DK297" s="357"/>
      <c r="DL297" s="357"/>
      <c r="DM297" s="357"/>
      <c r="DN297" s="357"/>
      <c r="DO297" s="357"/>
      <c r="DP297" s="357"/>
      <c r="DQ297" s="357"/>
      <c r="DR297" s="357"/>
      <c r="DS297" s="357"/>
      <c r="DT297" s="357"/>
      <c r="DU297" s="357"/>
      <c r="DV297" s="357"/>
      <c r="DW297" s="357"/>
      <c r="DX297" s="357"/>
      <c r="DY297" s="357"/>
      <c r="DZ297" s="357"/>
      <c r="EA297" s="357"/>
      <c r="EB297" s="357"/>
      <c r="EC297" s="357"/>
      <c r="ED297" s="357"/>
      <c r="EE297" s="357"/>
      <c r="EF297" s="357"/>
      <c r="EG297" s="357"/>
      <c r="EH297" s="357"/>
      <c r="EI297" s="357"/>
      <c r="EJ297" s="357"/>
      <c r="EK297" s="357"/>
      <c r="EL297" s="357"/>
      <c r="EM297" s="357"/>
      <c r="EN297" s="357"/>
      <c r="EO297" s="357"/>
      <c r="EP297" s="357"/>
      <c r="EQ297" s="357"/>
      <c r="ER297" s="357"/>
      <c r="ES297" s="357"/>
      <c r="ET297" s="357"/>
      <c r="EU297" s="357"/>
      <c r="EV297" s="357"/>
      <c r="EW297" s="357"/>
      <c r="EX297" s="357"/>
      <c r="EY297" s="357"/>
      <c r="EZ297" s="357"/>
      <c r="FA297" s="357"/>
      <c r="FB297" s="357"/>
      <c r="FC297" s="357"/>
      <c r="FD297" s="357"/>
      <c r="FE297" s="357"/>
      <c r="FF297" s="357"/>
      <c r="FG297" s="357"/>
      <c r="FH297" s="357"/>
      <c r="FI297" s="357"/>
      <c r="FJ297" s="357"/>
      <c r="FK297" s="357"/>
      <c r="FL297" s="357"/>
      <c r="FM297" s="357"/>
      <c r="FN297" s="357"/>
      <c r="FO297" s="357"/>
      <c r="FP297" s="357"/>
      <c r="FQ297" s="357"/>
      <c r="FR297" s="357"/>
      <c r="FS297" s="357"/>
      <c r="FT297" s="357"/>
      <c r="FU297" s="357"/>
      <c r="FV297" s="357"/>
      <c r="FW297" s="357"/>
      <c r="FX297" s="357"/>
      <c r="FY297" s="357"/>
      <c r="FZ297" s="357"/>
      <c r="GA297" s="357"/>
      <c r="GB297" s="357"/>
      <c r="GC297" s="357"/>
      <c r="GD297" s="357"/>
      <c r="GE297" s="357"/>
      <c r="GF297" s="357"/>
      <c r="GG297" s="357"/>
      <c r="GH297" s="357"/>
      <c r="GI297" s="357"/>
      <c r="GJ297" s="357"/>
      <c r="GK297" s="154"/>
      <c r="GL297" s="154"/>
      <c r="GM297" s="154"/>
      <c r="GN297" s="154"/>
      <c r="GO297" s="154"/>
      <c r="GP297" s="154"/>
      <c r="GQ297" s="154"/>
      <c r="GR297" s="154"/>
      <c r="GS297" s="154"/>
      <c r="GT297" s="154"/>
      <c r="GU297" s="154"/>
      <c r="GV297" s="154"/>
      <c r="GW297" s="154"/>
      <c r="GX297" s="154"/>
    </row>
    <row r="298" spans="7:206">
      <c r="G298" s="154"/>
      <c r="H298" s="154"/>
      <c r="I298" s="154"/>
      <c r="J298" s="154"/>
      <c r="K298" s="154"/>
      <c r="L298" s="154"/>
      <c r="M298" s="154"/>
      <c r="N298" s="154"/>
      <c r="O298" s="154"/>
      <c r="P298" s="154"/>
      <c r="Q298" s="154"/>
      <c r="R298" s="154"/>
      <c r="S298" s="154"/>
      <c r="T298" s="154"/>
      <c r="U298" s="154"/>
      <c r="V298" s="154"/>
      <c r="W298" s="154"/>
      <c r="X298" s="154"/>
      <c r="Y298" s="154"/>
      <c r="Z298" s="357"/>
      <c r="AA298" s="357"/>
      <c r="AB298" s="357"/>
      <c r="AC298" s="357"/>
      <c r="AD298" s="357"/>
      <c r="AE298" s="357"/>
      <c r="AF298" s="357"/>
      <c r="AG298" s="357"/>
      <c r="AH298" s="357"/>
      <c r="AI298" s="357"/>
      <c r="AJ298" s="357"/>
      <c r="AK298" s="357"/>
      <c r="AL298" s="357"/>
      <c r="AM298" s="357"/>
      <c r="AN298" s="357"/>
      <c r="AO298" s="357"/>
      <c r="AP298" s="357"/>
      <c r="AQ298" s="357"/>
      <c r="AR298" s="357"/>
      <c r="AS298" s="357"/>
      <c r="AT298" s="357"/>
      <c r="AU298" s="357"/>
      <c r="AV298" s="357"/>
      <c r="AW298" s="357"/>
      <c r="AX298" s="357"/>
      <c r="AY298" s="357"/>
      <c r="AZ298" s="357"/>
      <c r="BA298" s="357"/>
      <c r="BB298" s="357"/>
      <c r="BC298" s="357"/>
      <c r="BD298" s="357"/>
      <c r="BE298" s="357"/>
      <c r="BF298" s="357"/>
      <c r="BG298" s="357"/>
      <c r="BH298" s="357"/>
      <c r="BI298" s="357"/>
      <c r="BJ298" s="357"/>
      <c r="BK298" s="357"/>
      <c r="BL298" s="357"/>
      <c r="BM298" s="357"/>
      <c r="BN298" s="357"/>
      <c r="BO298" s="357"/>
      <c r="BP298" s="357"/>
      <c r="BQ298" s="357"/>
      <c r="BR298" s="357"/>
      <c r="BS298" s="357"/>
      <c r="BT298" s="357"/>
      <c r="BU298" s="357"/>
      <c r="BV298" s="357"/>
      <c r="BW298" s="357"/>
      <c r="BX298" s="357"/>
      <c r="BY298" s="357"/>
      <c r="BZ298" s="357"/>
      <c r="CA298" s="357"/>
      <c r="CB298" s="357"/>
      <c r="CC298" s="357"/>
      <c r="CD298" s="357"/>
      <c r="CE298" s="357"/>
      <c r="CF298" s="357"/>
      <c r="CG298" s="357"/>
      <c r="CH298" s="357"/>
      <c r="CI298" s="357"/>
      <c r="CJ298" s="357"/>
      <c r="CK298" s="357"/>
      <c r="CL298" s="357"/>
      <c r="CM298" s="357"/>
      <c r="CN298" s="357"/>
      <c r="CO298" s="357"/>
      <c r="CP298" s="357"/>
      <c r="CQ298" s="357"/>
      <c r="CR298" s="357"/>
      <c r="CS298" s="357"/>
      <c r="CT298" s="357"/>
      <c r="CU298" s="357"/>
      <c r="CV298" s="357"/>
      <c r="CW298" s="357"/>
      <c r="CX298" s="357"/>
      <c r="CY298" s="357"/>
      <c r="CZ298" s="357"/>
      <c r="DA298" s="357"/>
      <c r="DB298" s="357"/>
      <c r="DC298" s="357"/>
      <c r="DD298" s="357"/>
      <c r="DE298" s="357"/>
      <c r="DF298" s="357"/>
      <c r="DG298" s="357"/>
      <c r="DH298" s="357"/>
      <c r="DI298" s="357"/>
      <c r="DJ298" s="357"/>
      <c r="DK298" s="357"/>
      <c r="DL298" s="357"/>
      <c r="DM298" s="357"/>
      <c r="DN298" s="357"/>
      <c r="DO298" s="357"/>
      <c r="DP298" s="357"/>
      <c r="DQ298" s="357"/>
      <c r="DR298" s="357"/>
      <c r="DS298" s="357"/>
      <c r="DT298" s="357"/>
      <c r="DU298" s="357"/>
      <c r="DV298" s="357"/>
      <c r="DW298" s="357"/>
      <c r="DX298" s="357"/>
      <c r="DY298" s="357"/>
      <c r="DZ298" s="357"/>
      <c r="EA298" s="357"/>
      <c r="EB298" s="357"/>
      <c r="EC298" s="357"/>
      <c r="ED298" s="357"/>
      <c r="EE298" s="357"/>
      <c r="EF298" s="357"/>
      <c r="EG298" s="357"/>
      <c r="EH298" s="357"/>
      <c r="EI298" s="357"/>
      <c r="EJ298" s="357"/>
      <c r="EK298" s="357"/>
      <c r="EL298" s="357"/>
      <c r="EM298" s="357"/>
      <c r="EN298" s="357"/>
      <c r="EO298" s="357"/>
      <c r="EP298" s="357"/>
      <c r="EQ298" s="357"/>
      <c r="ER298" s="357"/>
      <c r="ES298" s="357"/>
      <c r="ET298" s="357"/>
      <c r="EU298" s="357"/>
      <c r="EV298" s="357"/>
      <c r="EW298" s="357"/>
      <c r="EX298" s="357"/>
      <c r="EY298" s="357"/>
      <c r="EZ298" s="357"/>
      <c r="FA298" s="357"/>
      <c r="FB298" s="357"/>
      <c r="FC298" s="357"/>
      <c r="FD298" s="357"/>
      <c r="FE298" s="357"/>
      <c r="FF298" s="357"/>
      <c r="FG298" s="357"/>
      <c r="FH298" s="357"/>
      <c r="FI298" s="357"/>
      <c r="FJ298" s="357"/>
      <c r="FK298" s="357"/>
      <c r="FL298" s="357"/>
      <c r="FM298" s="357"/>
      <c r="FN298" s="357"/>
      <c r="FO298" s="357"/>
      <c r="FP298" s="357"/>
      <c r="FQ298" s="357"/>
      <c r="FR298" s="357"/>
      <c r="FS298" s="357"/>
      <c r="FT298" s="357"/>
      <c r="FU298" s="357"/>
      <c r="FV298" s="357"/>
      <c r="FW298" s="357"/>
      <c r="FX298" s="357"/>
      <c r="FY298" s="357"/>
      <c r="FZ298" s="357"/>
      <c r="GA298" s="357"/>
      <c r="GB298" s="357"/>
      <c r="GC298" s="357"/>
      <c r="GD298" s="357"/>
      <c r="GE298" s="357"/>
      <c r="GF298" s="357"/>
      <c r="GG298" s="357"/>
      <c r="GH298" s="357"/>
      <c r="GI298" s="357"/>
      <c r="GJ298" s="357"/>
      <c r="GK298" s="154"/>
      <c r="GL298" s="154"/>
      <c r="GM298" s="154"/>
      <c r="GN298" s="154"/>
      <c r="GO298" s="154"/>
      <c r="GP298" s="154"/>
      <c r="GQ298" s="154"/>
      <c r="GR298" s="154"/>
      <c r="GS298" s="154"/>
      <c r="GT298" s="154"/>
      <c r="GU298" s="154"/>
      <c r="GV298" s="154"/>
      <c r="GW298" s="154"/>
      <c r="GX298" s="154"/>
    </row>
    <row r="299" spans="7:206">
      <c r="G299" s="154"/>
      <c r="H299" s="154"/>
      <c r="I299" s="154"/>
      <c r="J299" s="154"/>
      <c r="K299" s="154"/>
      <c r="L299" s="154"/>
      <c r="M299" s="154"/>
      <c r="N299" s="154"/>
      <c r="O299" s="154"/>
      <c r="P299" s="154"/>
      <c r="Q299" s="154"/>
      <c r="R299" s="154"/>
      <c r="S299" s="154"/>
      <c r="T299" s="154"/>
      <c r="U299" s="154"/>
      <c r="V299" s="154"/>
      <c r="W299" s="154"/>
      <c r="X299" s="154"/>
      <c r="Y299" s="154"/>
      <c r="Z299" s="357"/>
      <c r="AA299" s="357"/>
      <c r="AB299" s="357"/>
      <c r="AC299" s="357"/>
      <c r="AD299" s="357"/>
      <c r="AE299" s="357"/>
      <c r="AF299" s="357"/>
      <c r="AG299" s="357"/>
      <c r="AH299" s="357"/>
      <c r="AI299" s="357"/>
      <c r="AJ299" s="357"/>
      <c r="AK299" s="357"/>
      <c r="AL299" s="357"/>
      <c r="AM299" s="357"/>
      <c r="AN299" s="357"/>
      <c r="AO299" s="357"/>
      <c r="AP299" s="357"/>
      <c r="AQ299" s="357"/>
      <c r="AR299" s="357"/>
      <c r="AS299" s="357"/>
      <c r="AT299" s="357"/>
      <c r="AU299" s="357"/>
      <c r="AV299" s="357"/>
      <c r="AW299" s="357"/>
      <c r="AX299" s="357"/>
      <c r="AY299" s="357"/>
      <c r="AZ299" s="357"/>
      <c r="BA299" s="357"/>
      <c r="BB299" s="357"/>
      <c r="BC299" s="357"/>
      <c r="BD299" s="357"/>
      <c r="BE299" s="357"/>
      <c r="BF299" s="357"/>
      <c r="BG299" s="357"/>
      <c r="BH299" s="357"/>
      <c r="BI299" s="357"/>
      <c r="BJ299" s="357"/>
      <c r="BK299" s="357"/>
      <c r="BL299" s="357"/>
      <c r="BM299" s="357"/>
      <c r="BN299" s="357"/>
      <c r="BO299" s="357"/>
      <c r="BP299" s="357"/>
      <c r="BQ299" s="357"/>
      <c r="BR299" s="357"/>
      <c r="BS299" s="357"/>
      <c r="BT299" s="357"/>
      <c r="BU299" s="357"/>
      <c r="BV299" s="357"/>
      <c r="BW299" s="357"/>
      <c r="BX299" s="357"/>
      <c r="BY299" s="357"/>
      <c r="BZ299" s="357"/>
      <c r="CA299" s="357"/>
      <c r="CB299" s="357"/>
      <c r="CC299" s="357"/>
      <c r="CD299" s="357"/>
      <c r="CE299" s="357"/>
      <c r="CF299" s="357"/>
      <c r="CG299" s="357"/>
      <c r="CH299" s="357"/>
      <c r="CI299" s="357"/>
      <c r="CJ299" s="357"/>
      <c r="CK299" s="357"/>
      <c r="CL299" s="357"/>
      <c r="CM299" s="357"/>
      <c r="CN299" s="357"/>
      <c r="CO299" s="357"/>
      <c r="CP299" s="357"/>
      <c r="CQ299" s="357"/>
      <c r="CR299" s="357"/>
      <c r="CS299" s="357"/>
      <c r="CT299" s="357"/>
      <c r="CU299" s="357"/>
      <c r="CV299" s="357"/>
      <c r="CW299" s="357"/>
      <c r="CX299" s="357"/>
      <c r="CY299" s="357"/>
      <c r="CZ299" s="357"/>
      <c r="DA299" s="357"/>
      <c r="DB299" s="357"/>
      <c r="DC299" s="357"/>
      <c r="DD299" s="357"/>
      <c r="DE299" s="357"/>
      <c r="DF299" s="357"/>
      <c r="DG299" s="357"/>
      <c r="DH299" s="357"/>
      <c r="DI299" s="357"/>
      <c r="DJ299" s="357"/>
      <c r="DK299" s="357"/>
      <c r="DL299" s="357"/>
      <c r="DM299" s="357"/>
      <c r="DN299" s="357"/>
      <c r="DO299" s="357"/>
      <c r="DP299" s="357"/>
      <c r="DQ299" s="357"/>
      <c r="DR299" s="357"/>
      <c r="DS299" s="357"/>
      <c r="DT299" s="357"/>
      <c r="DU299" s="357"/>
      <c r="DV299" s="357"/>
      <c r="DW299" s="357"/>
      <c r="DX299" s="357"/>
      <c r="DY299" s="357"/>
      <c r="DZ299" s="357"/>
      <c r="EA299" s="357"/>
      <c r="EB299" s="357"/>
      <c r="EC299" s="357"/>
      <c r="ED299" s="357"/>
      <c r="EE299" s="357"/>
      <c r="EF299" s="357"/>
      <c r="EG299" s="357"/>
      <c r="EH299" s="357"/>
      <c r="EI299" s="357"/>
      <c r="EJ299" s="357"/>
      <c r="EK299" s="357"/>
      <c r="EL299" s="357"/>
      <c r="EM299" s="357"/>
      <c r="EN299" s="357"/>
      <c r="EO299" s="357"/>
      <c r="EP299" s="357"/>
      <c r="EQ299" s="357"/>
      <c r="ER299" s="357"/>
      <c r="ES299" s="357"/>
      <c r="ET299" s="357"/>
      <c r="EU299" s="357"/>
      <c r="EV299" s="357"/>
      <c r="EW299" s="357"/>
      <c r="EX299" s="357"/>
      <c r="EY299" s="357"/>
      <c r="EZ299" s="357"/>
      <c r="FA299" s="357"/>
      <c r="FB299" s="357"/>
      <c r="FC299" s="357"/>
      <c r="FD299" s="357"/>
      <c r="FE299" s="357"/>
      <c r="FF299" s="357"/>
      <c r="FG299" s="357"/>
      <c r="FH299" s="357"/>
      <c r="FI299" s="357"/>
      <c r="FJ299" s="357"/>
      <c r="FK299" s="357"/>
      <c r="FL299" s="357"/>
      <c r="FM299" s="357"/>
      <c r="FN299" s="357"/>
      <c r="FO299" s="357"/>
      <c r="FP299" s="357"/>
      <c r="FQ299" s="357"/>
      <c r="FR299" s="357"/>
      <c r="FS299" s="357"/>
      <c r="FT299" s="357"/>
      <c r="FU299" s="357"/>
      <c r="FV299" s="357"/>
      <c r="FW299" s="357"/>
      <c r="FX299" s="357"/>
      <c r="FY299" s="357"/>
      <c r="FZ299" s="357"/>
      <c r="GA299" s="357"/>
      <c r="GB299" s="357"/>
      <c r="GC299" s="357"/>
      <c r="GD299" s="357"/>
      <c r="GE299" s="357"/>
      <c r="GF299" s="357"/>
      <c r="GG299" s="357"/>
      <c r="GH299" s="357"/>
      <c r="GI299" s="357"/>
      <c r="GJ299" s="357"/>
      <c r="GK299" s="154"/>
      <c r="GL299" s="154"/>
      <c r="GM299" s="154"/>
      <c r="GN299" s="154"/>
      <c r="GO299" s="154"/>
      <c r="GP299" s="154"/>
      <c r="GQ299" s="154"/>
      <c r="GR299" s="154"/>
      <c r="GS299" s="154"/>
      <c r="GT299" s="154"/>
      <c r="GU299" s="154"/>
      <c r="GV299" s="154"/>
      <c r="GW299" s="154"/>
      <c r="GX299" s="154"/>
    </row>
    <row r="300" spans="7:206">
      <c r="G300" s="154"/>
      <c r="H300" s="154"/>
      <c r="I300" s="154"/>
      <c r="J300" s="154"/>
      <c r="K300" s="154"/>
      <c r="L300" s="154"/>
      <c r="M300" s="154"/>
      <c r="N300" s="154"/>
      <c r="O300" s="154"/>
      <c r="P300" s="154"/>
      <c r="Q300" s="154"/>
      <c r="R300" s="154"/>
      <c r="S300" s="154"/>
      <c r="T300" s="154"/>
      <c r="U300" s="154"/>
      <c r="V300" s="154"/>
      <c r="W300" s="154"/>
      <c r="X300" s="154"/>
      <c r="Y300" s="154"/>
      <c r="Z300" s="357"/>
      <c r="AA300" s="357"/>
      <c r="AB300" s="357"/>
      <c r="AC300" s="357"/>
      <c r="AD300" s="357"/>
      <c r="AE300" s="357"/>
      <c r="AF300" s="357"/>
      <c r="AG300" s="357"/>
      <c r="AH300" s="357"/>
      <c r="AI300" s="357"/>
      <c r="AJ300" s="357"/>
      <c r="AK300" s="357"/>
      <c r="AL300" s="357"/>
      <c r="AM300" s="357"/>
      <c r="AN300" s="357"/>
      <c r="AO300" s="357"/>
      <c r="AP300" s="357"/>
      <c r="AQ300" s="357"/>
      <c r="AR300" s="357"/>
      <c r="AS300" s="357"/>
      <c r="AT300" s="357"/>
      <c r="AU300" s="357"/>
      <c r="AV300" s="357"/>
      <c r="AW300" s="357"/>
      <c r="AX300" s="357"/>
      <c r="AY300" s="357"/>
      <c r="AZ300" s="357"/>
      <c r="BA300" s="357"/>
      <c r="BB300" s="357"/>
      <c r="BC300" s="357"/>
      <c r="BD300" s="357"/>
      <c r="BE300" s="357"/>
      <c r="BF300" s="357"/>
      <c r="BG300" s="357"/>
      <c r="BH300" s="357"/>
      <c r="BI300" s="357"/>
      <c r="BJ300" s="357"/>
      <c r="BK300" s="357"/>
      <c r="BL300" s="357"/>
      <c r="BM300" s="357"/>
      <c r="BN300" s="357"/>
      <c r="BO300" s="357"/>
      <c r="BP300" s="357"/>
      <c r="BQ300" s="357"/>
      <c r="BR300" s="357"/>
      <c r="BS300" s="357"/>
      <c r="BT300" s="357"/>
      <c r="BU300" s="357"/>
      <c r="BV300" s="357"/>
      <c r="BW300" s="357"/>
      <c r="BX300" s="357"/>
      <c r="BY300" s="357"/>
      <c r="BZ300" s="357"/>
      <c r="CA300" s="357"/>
      <c r="CB300" s="357"/>
      <c r="CC300" s="357"/>
      <c r="CD300" s="357"/>
      <c r="CE300" s="357"/>
      <c r="CF300" s="357"/>
      <c r="CG300" s="357"/>
      <c r="CH300" s="357"/>
      <c r="CI300" s="357"/>
      <c r="CJ300" s="357"/>
      <c r="CK300" s="357"/>
      <c r="CL300" s="357"/>
      <c r="CM300" s="357"/>
      <c r="CN300" s="357"/>
      <c r="CO300" s="357"/>
      <c r="CP300" s="357"/>
      <c r="CQ300" s="357"/>
      <c r="CR300" s="357"/>
      <c r="CS300" s="357"/>
      <c r="CT300" s="357"/>
      <c r="CU300" s="357"/>
      <c r="CV300" s="357"/>
      <c r="CW300" s="357"/>
      <c r="CX300" s="357"/>
      <c r="CY300" s="357"/>
      <c r="CZ300" s="357"/>
      <c r="DA300" s="357"/>
      <c r="DB300" s="357"/>
      <c r="DC300" s="357"/>
      <c r="DD300" s="357"/>
      <c r="DE300" s="357"/>
      <c r="DF300" s="357"/>
      <c r="DG300" s="357"/>
      <c r="DH300" s="357"/>
      <c r="DI300" s="357"/>
      <c r="DJ300" s="357"/>
      <c r="DK300" s="357"/>
      <c r="DL300" s="357"/>
      <c r="DM300" s="357"/>
      <c r="DN300" s="357"/>
      <c r="DO300" s="357"/>
      <c r="DP300" s="357"/>
      <c r="DQ300" s="357"/>
      <c r="DR300" s="357"/>
      <c r="DS300" s="357"/>
      <c r="DT300" s="357"/>
      <c r="DU300" s="357"/>
      <c r="DV300" s="357"/>
      <c r="DW300" s="357"/>
      <c r="DX300" s="357"/>
      <c r="DY300" s="357"/>
      <c r="DZ300" s="357"/>
      <c r="EA300" s="357"/>
      <c r="EB300" s="357"/>
      <c r="EC300" s="357"/>
      <c r="ED300" s="357"/>
      <c r="EE300" s="357"/>
      <c r="EF300" s="357"/>
      <c r="EG300" s="357"/>
      <c r="EH300" s="357"/>
      <c r="EI300" s="357"/>
      <c r="EJ300" s="357"/>
      <c r="EK300" s="357"/>
      <c r="EL300" s="357"/>
      <c r="EM300" s="357"/>
      <c r="EN300" s="357"/>
      <c r="EO300" s="357"/>
      <c r="EP300" s="357"/>
      <c r="EQ300" s="357"/>
      <c r="ER300" s="357"/>
      <c r="ES300" s="357"/>
      <c r="ET300" s="357"/>
      <c r="EU300" s="357"/>
      <c r="EV300" s="357"/>
      <c r="EW300" s="357"/>
      <c r="EX300" s="357"/>
      <c r="EY300" s="357"/>
      <c r="EZ300" s="357"/>
      <c r="FA300" s="357"/>
      <c r="FB300" s="357"/>
      <c r="FC300" s="357"/>
      <c r="FD300" s="357"/>
      <c r="FE300" s="357"/>
      <c r="FF300" s="357"/>
      <c r="FG300" s="357"/>
      <c r="FH300" s="357"/>
      <c r="FI300" s="357"/>
      <c r="FJ300" s="357"/>
      <c r="FK300" s="357"/>
      <c r="FL300" s="357"/>
      <c r="FM300" s="357"/>
      <c r="FN300" s="357"/>
      <c r="FO300" s="357"/>
      <c r="FP300" s="357"/>
      <c r="FQ300" s="357"/>
      <c r="FR300" s="357"/>
      <c r="FS300" s="357"/>
      <c r="FT300" s="357"/>
      <c r="FU300" s="357"/>
      <c r="FV300" s="357"/>
      <c r="FW300" s="357"/>
      <c r="FX300" s="357"/>
      <c r="FY300" s="357"/>
      <c r="FZ300" s="357"/>
      <c r="GA300" s="357"/>
      <c r="GB300" s="357"/>
      <c r="GC300" s="357"/>
      <c r="GD300" s="357"/>
      <c r="GE300" s="357"/>
      <c r="GF300" s="357"/>
      <c r="GG300" s="357"/>
      <c r="GH300" s="357"/>
      <c r="GI300" s="357"/>
      <c r="GJ300" s="357"/>
      <c r="GK300" s="154"/>
      <c r="GL300" s="154"/>
      <c r="GM300" s="154"/>
      <c r="GN300" s="154"/>
      <c r="GO300" s="154"/>
      <c r="GP300" s="154"/>
      <c r="GQ300" s="154"/>
      <c r="GR300" s="154"/>
      <c r="GS300" s="154"/>
      <c r="GT300" s="154"/>
      <c r="GU300" s="154"/>
      <c r="GV300" s="154"/>
      <c r="GW300" s="154"/>
      <c r="GX300" s="154"/>
    </row>
    <row r="301" spans="7:206">
      <c r="G301" s="154"/>
      <c r="H301" s="154"/>
      <c r="I301" s="154"/>
      <c r="J301" s="154"/>
      <c r="K301" s="154"/>
      <c r="L301" s="154"/>
      <c r="M301" s="154"/>
      <c r="N301" s="154"/>
      <c r="O301" s="154"/>
      <c r="P301" s="154"/>
      <c r="Q301" s="154"/>
      <c r="R301" s="154"/>
      <c r="S301" s="154"/>
      <c r="T301" s="154"/>
      <c r="U301" s="154"/>
      <c r="V301" s="154"/>
      <c r="W301" s="154"/>
      <c r="X301" s="154"/>
      <c r="Y301" s="154"/>
      <c r="Z301" s="357"/>
      <c r="AA301" s="357"/>
      <c r="AB301" s="357"/>
      <c r="AC301" s="357"/>
      <c r="AD301" s="357"/>
      <c r="AE301" s="357"/>
      <c r="AF301" s="357"/>
      <c r="AG301" s="357"/>
      <c r="AH301" s="357"/>
      <c r="AI301" s="357"/>
      <c r="AJ301" s="357"/>
      <c r="AK301" s="357"/>
      <c r="AL301" s="357"/>
      <c r="AM301" s="357"/>
      <c r="AN301" s="357"/>
      <c r="AO301" s="357"/>
      <c r="AP301" s="357"/>
      <c r="AQ301" s="357"/>
      <c r="AR301" s="357"/>
      <c r="AS301" s="357"/>
      <c r="AT301" s="357"/>
      <c r="AU301" s="357"/>
      <c r="AV301" s="357"/>
      <c r="AW301" s="357"/>
      <c r="AX301" s="357"/>
      <c r="AY301" s="357"/>
      <c r="AZ301" s="357"/>
      <c r="BA301" s="357"/>
      <c r="BB301" s="357"/>
      <c r="BC301" s="357"/>
      <c r="BD301" s="357"/>
      <c r="BE301" s="357"/>
      <c r="BF301" s="357"/>
      <c r="BG301" s="357"/>
      <c r="BH301" s="357"/>
      <c r="BI301" s="357"/>
      <c r="BJ301" s="357"/>
      <c r="BK301" s="357"/>
      <c r="BL301" s="357"/>
      <c r="BM301" s="357"/>
      <c r="BN301" s="357"/>
      <c r="BO301" s="357"/>
      <c r="BP301" s="357"/>
      <c r="BQ301" s="357"/>
      <c r="BR301" s="357"/>
      <c r="BS301" s="357"/>
      <c r="BT301" s="357"/>
      <c r="BU301" s="357"/>
      <c r="BV301" s="357"/>
      <c r="BW301" s="357"/>
      <c r="BX301" s="357"/>
      <c r="BY301" s="357"/>
      <c r="BZ301" s="357"/>
      <c r="CA301" s="357"/>
      <c r="CB301" s="357"/>
      <c r="CC301" s="357"/>
      <c r="CD301" s="357"/>
      <c r="CE301" s="357"/>
      <c r="CF301" s="357"/>
      <c r="CG301" s="357"/>
      <c r="CH301" s="357"/>
      <c r="CI301" s="357"/>
      <c r="CJ301" s="357"/>
      <c r="CK301" s="357"/>
      <c r="CL301" s="357"/>
      <c r="CM301" s="357"/>
      <c r="CN301" s="357"/>
      <c r="CO301" s="357"/>
      <c r="CP301" s="357"/>
      <c r="CQ301" s="357"/>
      <c r="CR301" s="357"/>
      <c r="CS301" s="357"/>
      <c r="CT301" s="357"/>
      <c r="CU301" s="357"/>
      <c r="CV301" s="357"/>
      <c r="CW301" s="357"/>
      <c r="CX301" s="357"/>
      <c r="CY301" s="357"/>
      <c r="CZ301" s="357"/>
      <c r="DA301" s="357"/>
      <c r="DB301" s="357"/>
      <c r="DC301" s="357"/>
      <c r="DD301" s="357"/>
      <c r="DE301" s="357"/>
      <c r="DF301" s="357"/>
      <c r="DG301" s="357"/>
      <c r="DH301" s="357"/>
      <c r="DI301" s="357"/>
      <c r="DJ301" s="357"/>
      <c r="DK301" s="357"/>
      <c r="DL301" s="357"/>
      <c r="DM301" s="357"/>
      <c r="DN301" s="357"/>
      <c r="DO301" s="357"/>
      <c r="DP301" s="357"/>
      <c r="DQ301" s="357"/>
      <c r="DR301" s="357"/>
      <c r="DS301" s="357"/>
      <c r="DT301" s="357"/>
      <c r="DU301" s="357"/>
      <c r="DV301" s="357"/>
      <c r="DW301" s="357"/>
      <c r="DX301" s="357"/>
      <c r="DY301" s="357"/>
      <c r="DZ301" s="357"/>
      <c r="EA301" s="357"/>
      <c r="EB301" s="357"/>
      <c r="EC301" s="357"/>
      <c r="ED301" s="357"/>
      <c r="EE301" s="357"/>
      <c r="EF301" s="357"/>
      <c r="EG301" s="357"/>
      <c r="EH301" s="357"/>
      <c r="EI301" s="357"/>
      <c r="EJ301" s="357"/>
      <c r="EK301" s="357"/>
      <c r="EL301" s="357"/>
      <c r="EM301" s="357"/>
      <c r="EN301" s="357"/>
      <c r="EO301" s="357"/>
      <c r="EP301" s="357"/>
      <c r="EQ301" s="357"/>
      <c r="ER301" s="357"/>
      <c r="ES301" s="357"/>
      <c r="ET301" s="357"/>
      <c r="EU301" s="357"/>
      <c r="EV301" s="357"/>
      <c r="EW301" s="357"/>
      <c r="EX301" s="357"/>
      <c r="EY301" s="357"/>
      <c r="EZ301" s="357"/>
      <c r="FA301" s="357"/>
      <c r="FB301" s="357"/>
      <c r="FC301" s="357"/>
      <c r="FD301" s="357"/>
      <c r="FE301" s="357"/>
      <c r="FF301" s="357"/>
      <c r="FG301" s="357"/>
      <c r="FH301" s="357"/>
      <c r="FI301" s="357"/>
      <c r="FJ301" s="357"/>
      <c r="FK301" s="357"/>
      <c r="FL301" s="357"/>
      <c r="FM301" s="357"/>
      <c r="FN301" s="357"/>
      <c r="FO301" s="357"/>
      <c r="FP301" s="357"/>
      <c r="FQ301" s="357"/>
      <c r="FR301" s="357"/>
      <c r="FS301" s="357"/>
      <c r="FT301" s="357"/>
      <c r="FU301" s="357"/>
      <c r="FV301" s="357"/>
      <c r="FW301" s="357"/>
      <c r="FX301" s="357"/>
      <c r="FY301" s="357"/>
      <c r="FZ301" s="357"/>
      <c r="GA301" s="357"/>
      <c r="GB301" s="357"/>
      <c r="GC301" s="357"/>
      <c r="GD301" s="357"/>
      <c r="GE301" s="357"/>
      <c r="GF301" s="357"/>
      <c r="GG301" s="357"/>
      <c r="GH301" s="357"/>
      <c r="GI301" s="357"/>
      <c r="GJ301" s="357"/>
      <c r="GK301" s="154"/>
      <c r="GL301" s="154"/>
      <c r="GM301" s="154"/>
      <c r="GN301" s="154"/>
      <c r="GO301" s="154"/>
      <c r="GP301" s="154"/>
      <c r="GQ301" s="154"/>
      <c r="GR301" s="154"/>
      <c r="GS301" s="154"/>
      <c r="GT301" s="154"/>
      <c r="GU301" s="154"/>
      <c r="GV301" s="154"/>
      <c r="GW301" s="154"/>
      <c r="GX301" s="154"/>
    </row>
    <row r="302" spans="7:206">
      <c r="G302" s="154"/>
      <c r="H302" s="154"/>
      <c r="I302" s="154"/>
      <c r="J302" s="154"/>
      <c r="K302" s="154"/>
      <c r="L302" s="154"/>
      <c r="M302" s="154"/>
      <c r="N302" s="154"/>
      <c r="O302" s="154"/>
      <c r="P302" s="154"/>
      <c r="Q302" s="154"/>
      <c r="R302" s="154"/>
      <c r="S302" s="154"/>
      <c r="T302" s="154"/>
      <c r="U302" s="154"/>
      <c r="V302" s="154"/>
      <c r="W302" s="154"/>
      <c r="X302" s="154"/>
      <c r="Y302" s="154"/>
      <c r="Z302" s="357"/>
      <c r="AA302" s="357"/>
      <c r="AB302" s="357"/>
      <c r="AC302" s="357"/>
      <c r="AD302" s="357"/>
      <c r="AE302" s="357"/>
      <c r="AF302" s="357"/>
      <c r="AG302" s="357"/>
      <c r="AH302" s="357"/>
      <c r="AI302" s="357"/>
      <c r="AJ302" s="357"/>
      <c r="AK302" s="357"/>
      <c r="AL302" s="357"/>
      <c r="AM302" s="357"/>
      <c r="AN302" s="357"/>
      <c r="AO302" s="357"/>
      <c r="AP302" s="357"/>
      <c r="AQ302" s="357"/>
      <c r="AR302" s="357"/>
      <c r="AS302" s="357"/>
      <c r="AT302" s="357"/>
      <c r="AU302" s="357"/>
      <c r="AV302" s="357"/>
      <c r="AW302" s="357"/>
      <c r="AX302" s="357"/>
      <c r="AY302" s="357"/>
      <c r="AZ302" s="357"/>
      <c r="BA302" s="357"/>
      <c r="BB302" s="357"/>
      <c r="BC302" s="357"/>
      <c r="BD302" s="357"/>
      <c r="BE302" s="357"/>
      <c r="BF302" s="357"/>
      <c r="BG302" s="357"/>
      <c r="BH302" s="357"/>
      <c r="BI302" s="357"/>
      <c r="BJ302" s="357"/>
      <c r="BK302" s="357"/>
      <c r="BL302" s="357"/>
      <c r="BM302" s="357"/>
      <c r="BN302" s="357"/>
      <c r="BO302" s="357"/>
      <c r="BP302" s="357"/>
      <c r="BQ302" s="357"/>
      <c r="BR302" s="357"/>
      <c r="BS302" s="357"/>
      <c r="BT302" s="357"/>
      <c r="BU302" s="357"/>
      <c r="BV302" s="357"/>
      <c r="BW302" s="357"/>
      <c r="BX302" s="357"/>
      <c r="BY302" s="357"/>
      <c r="BZ302" s="357"/>
      <c r="CA302" s="357"/>
      <c r="CB302" s="357"/>
      <c r="CC302" s="357"/>
      <c r="CD302" s="357"/>
      <c r="CE302" s="357"/>
      <c r="CF302" s="357"/>
      <c r="CG302" s="357"/>
      <c r="CH302" s="357"/>
      <c r="CI302" s="357"/>
      <c r="CJ302" s="357"/>
      <c r="CK302" s="357"/>
      <c r="CL302" s="357"/>
      <c r="CM302" s="357"/>
      <c r="CN302" s="357"/>
      <c r="CO302" s="357"/>
      <c r="CP302" s="357"/>
      <c r="CQ302" s="357"/>
      <c r="CR302" s="357"/>
      <c r="CS302" s="357"/>
      <c r="CT302" s="357"/>
      <c r="CU302" s="357"/>
      <c r="CV302" s="357"/>
      <c r="CW302" s="357"/>
      <c r="CX302" s="357"/>
      <c r="CY302" s="357"/>
      <c r="CZ302" s="357"/>
      <c r="DA302" s="357"/>
      <c r="DB302" s="357"/>
      <c r="DC302" s="357"/>
      <c r="DD302" s="357"/>
      <c r="DE302" s="357"/>
      <c r="DF302" s="357"/>
      <c r="DG302" s="357"/>
      <c r="DH302" s="357"/>
      <c r="DI302" s="357"/>
      <c r="DJ302" s="357"/>
      <c r="DK302" s="357"/>
      <c r="DL302" s="357"/>
      <c r="DM302" s="357"/>
      <c r="DN302" s="357"/>
      <c r="DO302" s="357"/>
      <c r="DP302" s="357"/>
      <c r="DQ302" s="357"/>
      <c r="DR302" s="357"/>
      <c r="DS302" s="357"/>
      <c r="DT302" s="357"/>
      <c r="DU302" s="357"/>
      <c r="DV302" s="357"/>
      <c r="DW302" s="357"/>
      <c r="DX302" s="357"/>
      <c r="DY302" s="357"/>
      <c r="DZ302" s="357"/>
      <c r="EA302" s="357"/>
      <c r="EB302" s="357"/>
      <c r="EC302" s="357"/>
      <c r="ED302" s="357"/>
      <c r="EE302" s="357"/>
      <c r="EF302" s="357"/>
      <c r="EG302" s="357"/>
      <c r="EH302" s="357"/>
      <c r="EI302" s="357"/>
      <c r="EJ302" s="357"/>
      <c r="EK302" s="357"/>
      <c r="EL302" s="357"/>
      <c r="EM302" s="357"/>
      <c r="EN302" s="357"/>
      <c r="EO302" s="357"/>
      <c r="EP302" s="357"/>
      <c r="EQ302" s="357"/>
      <c r="ER302" s="357"/>
      <c r="ES302" s="357"/>
      <c r="ET302" s="357"/>
      <c r="EU302" s="357"/>
      <c r="EV302" s="357"/>
      <c r="EW302" s="357"/>
      <c r="EX302" s="357"/>
      <c r="EY302" s="357"/>
      <c r="EZ302" s="357"/>
      <c r="FA302" s="357"/>
      <c r="FB302" s="357"/>
      <c r="FC302" s="357"/>
      <c r="FD302" s="357"/>
      <c r="FE302" s="357"/>
      <c r="FF302" s="357"/>
      <c r="FG302" s="357"/>
      <c r="FH302" s="357"/>
      <c r="FI302" s="357"/>
      <c r="FJ302" s="357"/>
      <c r="FK302" s="357"/>
      <c r="FL302" s="357"/>
      <c r="FM302" s="357"/>
      <c r="FN302" s="357"/>
      <c r="FO302" s="357"/>
      <c r="FP302" s="357"/>
      <c r="FQ302" s="357"/>
      <c r="FR302" s="357"/>
      <c r="FS302" s="357"/>
      <c r="FT302" s="357"/>
      <c r="FU302" s="357"/>
      <c r="FV302" s="357"/>
      <c r="FW302" s="357"/>
      <c r="FX302" s="357"/>
      <c r="FY302" s="357"/>
      <c r="FZ302" s="357"/>
      <c r="GA302" s="357"/>
      <c r="GB302" s="357"/>
      <c r="GC302" s="357"/>
      <c r="GD302" s="357"/>
      <c r="GE302" s="357"/>
      <c r="GF302" s="357"/>
      <c r="GG302" s="357"/>
      <c r="GH302" s="357"/>
      <c r="GI302" s="357"/>
      <c r="GJ302" s="357"/>
      <c r="GK302" s="154"/>
      <c r="GL302" s="154"/>
      <c r="GM302" s="154"/>
      <c r="GN302" s="154"/>
      <c r="GO302" s="154"/>
      <c r="GP302" s="154"/>
      <c r="GQ302" s="154"/>
      <c r="GR302" s="154"/>
      <c r="GS302" s="154"/>
      <c r="GT302" s="154"/>
      <c r="GU302" s="154"/>
      <c r="GV302" s="154"/>
      <c r="GW302" s="154"/>
      <c r="GX302" s="154"/>
    </row>
    <row r="303" spans="7:206">
      <c r="G303" s="154"/>
      <c r="H303" s="154"/>
      <c r="I303" s="154"/>
      <c r="J303" s="154"/>
      <c r="K303" s="154"/>
      <c r="L303" s="154"/>
      <c r="M303" s="154"/>
      <c r="N303" s="154"/>
      <c r="O303" s="154"/>
      <c r="P303" s="154"/>
      <c r="Q303" s="154"/>
      <c r="R303" s="154"/>
      <c r="S303" s="154"/>
      <c r="T303" s="154"/>
      <c r="U303" s="154"/>
      <c r="V303" s="154"/>
      <c r="W303" s="154"/>
      <c r="X303" s="154"/>
      <c r="Y303" s="154"/>
      <c r="Z303" s="357"/>
      <c r="AA303" s="357"/>
      <c r="AB303" s="357"/>
      <c r="AC303" s="357"/>
      <c r="AD303" s="357"/>
      <c r="AE303" s="357"/>
      <c r="AF303" s="357"/>
      <c r="AG303" s="357"/>
      <c r="AH303" s="357"/>
      <c r="AI303" s="357"/>
      <c r="AJ303" s="357"/>
      <c r="AK303" s="357"/>
      <c r="AL303" s="357"/>
      <c r="AM303" s="357"/>
      <c r="AN303" s="357"/>
      <c r="AO303" s="357"/>
      <c r="AP303" s="357"/>
      <c r="AQ303" s="357"/>
      <c r="AR303" s="357"/>
      <c r="AS303" s="357"/>
      <c r="AT303" s="357"/>
      <c r="AU303" s="357"/>
      <c r="AV303" s="357"/>
      <c r="AW303" s="357"/>
      <c r="AX303" s="357"/>
      <c r="AY303" s="357"/>
      <c r="AZ303" s="357"/>
      <c r="BA303" s="357"/>
      <c r="BB303" s="357"/>
      <c r="BC303" s="357"/>
      <c r="BD303" s="357"/>
      <c r="BE303" s="357"/>
      <c r="BF303" s="357"/>
      <c r="BG303" s="357"/>
      <c r="BH303" s="357"/>
      <c r="BI303" s="357"/>
      <c r="BJ303" s="357"/>
      <c r="BK303" s="357"/>
      <c r="BL303" s="357"/>
      <c r="BM303" s="357"/>
      <c r="BN303" s="357"/>
      <c r="BO303" s="357"/>
      <c r="BP303" s="357"/>
      <c r="BQ303" s="357"/>
      <c r="BR303" s="357"/>
      <c r="BS303" s="357"/>
      <c r="BT303" s="357"/>
      <c r="BU303" s="357"/>
      <c r="BV303" s="357"/>
      <c r="BW303" s="357"/>
      <c r="BX303" s="357"/>
      <c r="BY303" s="357"/>
      <c r="BZ303" s="357"/>
      <c r="CA303" s="357"/>
      <c r="CB303" s="357"/>
      <c r="CC303" s="357"/>
      <c r="CD303" s="357"/>
      <c r="CE303" s="357"/>
      <c r="CF303" s="357"/>
      <c r="CG303" s="357"/>
      <c r="CH303" s="357"/>
      <c r="CI303" s="357"/>
      <c r="CJ303" s="357"/>
      <c r="CK303" s="357"/>
      <c r="CL303" s="357"/>
      <c r="CM303" s="357"/>
      <c r="CN303" s="357"/>
      <c r="CO303" s="357"/>
      <c r="CP303" s="357"/>
      <c r="CQ303" s="357"/>
      <c r="CR303" s="357"/>
      <c r="CS303" s="357"/>
      <c r="CT303" s="357"/>
      <c r="CU303" s="357"/>
      <c r="CV303" s="357"/>
      <c r="CW303" s="357"/>
      <c r="CX303" s="357"/>
      <c r="CY303" s="357"/>
      <c r="CZ303" s="357"/>
      <c r="DA303" s="357"/>
      <c r="DB303" s="357"/>
      <c r="DC303" s="357"/>
      <c r="DD303" s="357"/>
      <c r="DE303" s="357"/>
      <c r="DF303" s="357"/>
      <c r="DG303" s="357"/>
      <c r="DH303" s="357"/>
      <c r="DI303" s="357"/>
      <c r="DJ303" s="357"/>
      <c r="DK303" s="357"/>
      <c r="DL303" s="357"/>
      <c r="DM303" s="357"/>
      <c r="DN303" s="357"/>
      <c r="DO303" s="357"/>
      <c r="DP303" s="357"/>
      <c r="DQ303" s="357"/>
      <c r="DR303" s="357"/>
      <c r="DS303" s="357"/>
      <c r="DT303" s="357"/>
      <c r="DU303" s="357"/>
      <c r="DV303" s="357"/>
      <c r="DW303" s="357"/>
      <c r="DX303" s="357"/>
      <c r="DY303" s="357"/>
      <c r="DZ303" s="357"/>
      <c r="EA303" s="357"/>
      <c r="EB303" s="357"/>
      <c r="EC303" s="357"/>
      <c r="ED303" s="357"/>
      <c r="EE303" s="357"/>
      <c r="EF303" s="357"/>
      <c r="EG303" s="357"/>
      <c r="EH303" s="357"/>
      <c r="EI303" s="357"/>
      <c r="EJ303" s="357"/>
      <c r="EK303" s="357"/>
      <c r="EL303" s="357"/>
      <c r="EM303" s="357"/>
      <c r="EN303" s="357"/>
      <c r="EO303" s="357"/>
      <c r="EP303" s="357"/>
      <c r="EQ303" s="357"/>
      <c r="ER303" s="357"/>
      <c r="ES303" s="357"/>
      <c r="ET303" s="357"/>
      <c r="EU303" s="357"/>
      <c r="EV303" s="357"/>
      <c r="EW303" s="357"/>
      <c r="EX303" s="357"/>
      <c r="EY303" s="357"/>
      <c r="EZ303" s="357"/>
      <c r="FA303" s="357"/>
      <c r="FB303" s="357"/>
      <c r="FC303" s="357"/>
      <c r="FD303" s="357"/>
      <c r="FE303" s="357"/>
      <c r="FF303" s="357"/>
      <c r="FG303" s="357"/>
      <c r="FH303" s="357"/>
      <c r="FI303" s="357"/>
      <c r="FJ303" s="357"/>
      <c r="FK303" s="357"/>
      <c r="FL303" s="357"/>
      <c r="FM303" s="357"/>
      <c r="FN303" s="357"/>
      <c r="FO303" s="357"/>
      <c r="FP303" s="357"/>
      <c r="FQ303" s="357"/>
      <c r="FR303" s="357"/>
      <c r="FS303" s="357"/>
      <c r="FT303" s="357"/>
      <c r="FU303" s="357"/>
      <c r="FV303" s="357"/>
      <c r="FW303" s="357"/>
      <c r="FX303" s="357"/>
      <c r="FY303" s="357"/>
      <c r="FZ303" s="357"/>
      <c r="GA303" s="357"/>
      <c r="GB303" s="357"/>
      <c r="GC303" s="357"/>
      <c r="GD303" s="357"/>
      <c r="GE303" s="357"/>
      <c r="GF303" s="357"/>
      <c r="GG303" s="357"/>
      <c r="GH303" s="357"/>
      <c r="GI303" s="357"/>
      <c r="GJ303" s="357"/>
      <c r="GK303" s="154"/>
      <c r="GL303" s="154"/>
      <c r="GM303" s="154"/>
      <c r="GN303" s="154"/>
      <c r="GO303" s="154"/>
      <c r="GP303" s="154"/>
      <c r="GQ303" s="154"/>
      <c r="GR303" s="154"/>
      <c r="GS303" s="154"/>
      <c r="GT303" s="154"/>
      <c r="GU303" s="154"/>
      <c r="GV303" s="154"/>
      <c r="GW303" s="154"/>
      <c r="GX303" s="154"/>
    </row>
    <row r="304" spans="7:206">
      <c r="G304" s="154"/>
      <c r="H304" s="154"/>
      <c r="I304" s="154"/>
      <c r="J304" s="154"/>
      <c r="K304" s="154"/>
      <c r="L304" s="154"/>
      <c r="M304" s="154"/>
      <c r="N304" s="154"/>
      <c r="O304" s="154"/>
      <c r="P304" s="154"/>
      <c r="Q304" s="154"/>
      <c r="R304" s="154"/>
      <c r="S304" s="154"/>
      <c r="T304" s="154"/>
      <c r="U304" s="154"/>
      <c r="V304" s="154"/>
      <c r="W304" s="154"/>
      <c r="X304" s="154"/>
      <c r="Y304" s="154"/>
      <c r="Z304" s="357"/>
      <c r="AA304" s="357"/>
      <c r="AB304" s="357"/>
      <c r="AC304" s="357"/>
      <c r="AD304" s="357"/>
      <c r="AE304" s="357"/>
      <c r="AF304" s="357"/>
      <c r="AG304" s="357"/>
      <c r="AH304" s="357"/>
      <c r="AI304" s="357"/>
      <c r="AJ304" s="357"/>
      <c r="AK304" s="357"/>
      <c r="AL304" s="357"/>
      <c r="AM304" s="357"/>
      <c r="AN304" s="357"/>
      <c r="AO304" s="357"/>
      <c r="AP304" s="357"/>
      <c r="AQ304" s="357"/>
      <c r="AR304" s="357"/>
      <c r="AS304" s="357"/>
      <c r="AT304" s="357"/>
      <c r="AU304" s="357"/>
      <c r="AV304" s="357"/>
      <c r="AW304" s="357"/>
      <c r="AX304" s="357"/>
      <c r="AY304" s="357"/>
      <c r="AZ304" s="357"/>
      <c r="BA304" s="357"/>
      <c r="BB304" s="357"/>
      <c r="BC304" s="357"/>
      <c r="BD304" s="357"/>
      <c r="BE304" s="357"/>
      <c r="BF304" s="357"/>
      <c r="BG304" s="357"/>
      <c r="BH304" s="357"/>
      <c r="BI304" s="357"/>
      <c r="BJ304" s="357"/>
      <c r="BK304" s="357"/>
      <c r="BL304" s="357"/>
      <c r="BM304" s="357"/>
      <c r="BN304" s="357"/>
      <c r="BO304" s="357"/>
      <c r="BP304" s="357"/>
      <c r="BQ304" s="357"/>
      <c r="BR304" s="357"/>
      <c r="BS304" s="357"/>
      <c r="BT304" s="357"/>
      <c r="BU304" s="357"/>
      <c r="BV304" s="357"/>
      <c r="BW304" s="357"/>
      <c r="BX304" s="357"/>
      <c r="BY304" s="357"/>
      <c r="BZ304" s="357"/>
      <c r="CA304" s="357"/>
      <c r="CB304" s="357"/>
      <c r="CC304" s="357"/>
      <c r="CD304" s="357"/>
      <c r="CE304" s="357"/>
      <c r="CF304" s="357"/>
      <c r="CG304" s="357"/>
      <c r="CH304" s="357"/>
      <c r="CI304" s="357"/>
      <c r="CJ304" s="357"/>
      <c r="CK304" s="357"/>
      <c r="CL304" s="357"/>
      <c r="CM304" s="357"/>
      <c r="CN304" s="357"/>
      <c r="CO304" s="357"/>
      <c r="CP304" s="357"/>
      <c r="CQ304" s="357"/>
      <c r="CR304" s="357"/>
      <c r="CS304" s="357"/>
      <c r="CT304" s="357"/>
      <c r="CU304" s="357"/>
      <c r="CV304" s="357"/>
      <c r="CW304" s="357"/>
      <c r="CX304" s="357"/>
      <c r="CY304" s="357"/>
      <c r="CZ304" s="357"/>
      <c r="DA304" s="357"/>
      <c r="DB304" s="357"/>
      <c r="DC304" s="357"/>
      <c r="DD304" s="357"/>
      <c r="DE304" s="357"/>
      <c r="DF304" s="357"/>
      <c r="DG304" s="357"/>
      <c r="DH304" s="357"/>
      <c r="DI304" s="357"/>
      <c r="DJ304" s="357"/>
      <c r="DK304" s="357"/>
      <c r="DL304" s="357"/>
      <c r="DM304" s="357"/>
      <c r="DN304" s="357"/>
      <c r="DO304" s="357"/>
      <c r="DP304" s="357"/>
      <c r="DQ304" s="357"/>
      <c r="DR304" s="357"/>
      <c r="DS304" s="357"/>
      <c r="DT304" s="357"/>
      <c r="DU304" s="357"/>
      <c r="DV304" s="357"/>
      <c r="DW304" s="357"/>
      <c r="DX304" s="357"/>
      <c r="DY304" s="357"/>
      <c r="DZ304" s="357"/>
      <c r="EA304" s="357"/>
      <c r="EB304" s="357"/>
      <c r="EC304" s="357"/>
      <c r="ED304" s="357"/>
      <c r="EE304" s="357"/>
      <c r="EF304" s="357"/>
      <c r="EG304" s="357"/>
      <c r="EH304" s="357"/>
      <c r="EI304" s="357"/>
      <c r="EJ304" s="357"/>
      <c r="EK304" s="357"/>
      <c r="EL304" s="357"/>
      <c r="EM304" s="357"/>
      <c r="EN304" s="357"/>
      <c r="EO304" s="357"/>
      <c r="EP304" s="357"/>
      <c r="EQ304" s="357"/>
      <c r="ER304" s="357"/>
      <c r="ES304" s="357"/>
      <c r="ET304" s="357"/>
      <c r="EU304" s="357"/>
      <c r="EV304" s="357"/>
      <c r="EW304" s="357"/>
      <c r="EX304" s="357"/>
      <c r="EY304" s="357"/>
      <c r="EZ304" s="357"/>
      <c r="FA304" s="357"/>
      <c r="FB304" s="357"/>
      <c r="FC304" s="357"/>
      <c r="FD304" s="357"/>
      <c r="FE304" s="357"/>
      <c r="FF304" s="357"/>
      <c r="FG304" s="357"/>
      <c r="FH304" s="357"/>
      <c r="FI304" s="357"/>
      <c r="FJ304" s="357"/>
      <c r="FK304" s="357"/>
      <c r="FL304" s="357"/>
      <c r="FM304" s="357"/>
      <c r="FN304" s="357"/>
      <c r="FO304" s="357"/>
      <c r="FP304" s="357"/>
      <c r="FQ304" s="357"/>
      <c r="FR304" s="357"/>
      <c r="FS304" s="357"/>
      <c r="FT304" s="357"/>
      <c r="FU304" s="357"/>
      <c r="FV304" s="357"/>
      <c r="FW304" s="357"/>
      <c r="FX304" s="357"/>
      <c r="FY304" s="357"/>
      <c r="FZ304" s="357"/>
      <c r="GA304" s="357"/>
      <c r="GB304" s="357"/>
      <c r="GC304" s="357"/>
      <c r="GD304" s="357"/>
      <c r="GE304" s="357"/>
      <c r="GF304" s="357"/>
      <c r="GG304" s="357"/>
      <c r="GH304" s="357"/>
      <c r="GI304" s="357"/>
      <c r="GJ304" s="357"/>
      <c r="GK304" s="154"/>
      <c r="GL304" s="154"/>
      <c r="GM304" s="154"/>
      <c r="GN304" s="154"/>
      <c r="GO304" s="154"/>
      <c r="GP304" s="154"/>
      <c r="GQ304" s="154"/>
      <c r="GR304" s="154"/>
      <c r="GS304" s="154"/>
      <c r="GT304" s="154"/>
      <c r="GU304" s="154"/>
      <c r="GV304" s="154"/>
      <c r="GW304" s="154"/>
      <c r="GX304" s="154"/>
    </row>
    <row r="305" spans="7:206">
      <c r="G305" s="154"/>
      <c r="H305" s="154"/>
      <c r="I305" s="154"/>
      <c r="J305" s="154"/>
      <c r="K305" s="154"/>
      <c r="L305" s="154"/>
      <c r="M305" s="154"/>
      <c r="N305" s="154"/>
      <c r="O305" s="154"/>
      <c r="P305" s="154"/>
      <c r="Q305" s="154"/>
      <c r="R305" s="154"/>
      <c r="S305" s="154"/>
      <c r="T305" s="154"/>
      <c r="U305" s="154"/>
      <c r="V305" s="154"/>
      <c r="W305" s="154"/>
      <c r="X305" s="154"/>
      <c r="Y305" s="154"/>
      <c r="Z305" s="357"/>
      <c r="AA305" s="357"/>
      <c r="AB305" s="357"/>
      <c r="AC305" s="357"/>
      <c r="AD305" s="357"/>
      <c r="AE305" s="357"/>
      <c r="AF305" s="357"/>
      <c r="AG305" s="357"/>
      <c r="AH305" s="357"/>
      <c r="AI305" s="357"/>
      <c r="AJ305" s="357"/>
      <c r="AK305" s="357"/>
      <c r="AL305" s="357"/>
      <c r="AM305" s="357"/>
      <c r="AN305" s="357"/>
      <c r="AO305" s="357"/>
      <c r="AP305" s="357"/>
      <c r="AQ305" s="357"/>
      <c r="AR305" s="357"/>
      <c r="AS305" s="357"/>
      <c r="AT305" s="357"/>
      <c r="AU305" s="357"/>
      <c r="AV305" s="357"/>
      <c r="AW305" s="357"/>
      <c r="AX305" s="357"/>
      <c r="AY305" s="357"/>
      <c r="AZ305" s="357"/>
      <c r="BA305" s="357"/>
      <c r="BB305" s="357"/>
      <c r="BC305" s="357"/>
      <c r="BD305" s="357"/>
      <c r="BE305" s="357"/>
      <c r="BF305" s="357"/>
      <c r="BG305" s="357"/>
      <c r="BH305" s="357"/>
      <c r="BI305" s="357"/>
      <c r="BJ305" s="357"/>
      <c r="BK305" s="357"/>
      <c r="BL305" s="357"/>
      <c r="BM305" s="357"/>
      <c r="BN305" s="357"/>
      <c r="BO305" s="357"/>
      <c r="BP305" s="357"/>
      <c r="BQ305" s="357"/>
      <c r="BR305" s="357"/>
      <c r="BS305" s="357"/>
      <c r="BT305" s="357"/>
      <c r="BU305" s="357"/>
      <c r="BV305" s="357"/>
      <c r="BW305" s="357"/>
      <c r="BX305" s="357"/>
      <c r="BY305" s="357"/>
      <c r="BZ305" s="357"/>
      <c r="CA305" s="357"/>
      <c r="CB305" s="357"/>
      <c r="CC305" s="357"/>
      <c r="CD305" s="357"/>
      <c r="CE305" s="357"/>
      <c r="CF305" s="357"/>
      <c r="CG305" s="357"/>
      <c r="CH305" s="357"/>
      <c r="CI305" s="357"/>
      <c r="CJ305" s="357"/>
      <c r="CK305" s="357"/>
      <c r="CL305" s="357"/>
      <c r="CM305" s="357"/>
      <c r="CN305" s="357"/>
      <c r="CO305" s="357"/>
      <c r="CP305" s="357"/>
      <c r="CQ305" s="357"/>
      <c r="CR305" s="357"/>
      <c r="CS305" s="357"/>
      <c r="CT305" s="357"/>
      <c r="CU305" s="357"/>
      <c r="CV305" s="357"/>
      <c r="CW305" s="357"/>
      <c r="CX305" s="357"/>
      <c r="CY305" s="357"/>
      <c r="CZ305" s="357"/>
      <c r="DA305" s="357"/>
      <c r="DB305" s="357"/>
      <c r="DC305" s="357"/>
      <c r="DD305" s="357"/>
      <c r="DE305" s="357"/>
      <c r="DF305" s="357"/>
      <c r="DG305" s="357"/>
      <c r="DH305" s="357"/>
      <c r="DI305" s="357"/>
      <c r="DJ305" s="357"/>
      <c r="DK305" s="357"/>
      <c r="DL305" s="357"/>
      <c r="DM305" s="357"/>
      <c r="DN305" s="357"/>
      <c r="DO305" s="357"/>
      <c r="DP305" s="357"/>
      <c r="DQ305" s="357"/>
      <c r="DR305" s="357"/>
      <c r="DS305" s="357"/>
      <c r="DT305" s="357"/>
      <c r="DU305" s="357"/>
      <c r="DV305" s="357"/>
      <c r="DW305" s="357"/>
      <c r="DX305" s="357"/>
      <c r="DY305" s="357"/>
      <c r="DZ305" s="357"/>
      <c r="EA305" s="357"/>
      <c r="EB305" s="357"/>
      <c r="EC305" s="357"/>
      <c r="ED305" s="357"/>
      <c r="EE305" s="357"/>
      <c r="EF305" s="357"/>
      <c r="EG305" s="357"/>
      <c r="EH305" s="357"/>
      <c r="EI305" s="357"/>
      <c r="EJ305" s="357"/>
      <c r="EK305" s="357"/>
      <c r="EL305" s="357"/>
      <c r="EM305" s="357"/>
      <c r="EN305" s="357"/>
      <c r="EO305" s="357"/>
      <c r="EP305" s="357"/>
      <c r="EQ305" s="357"/>
      <c r="ER305" s="357"/>
      <c r="ES305" s="357"/>
      <c r="ET305" s="357"/>
      <c r="EU305" s="357"/>
      <c r="EV305" s="357"/>
      <c r="EW305" s="357"/>
      <c r="EX305" s="357"/>
      <c r="EY305" s="357"/>
      <c r="EZ305" s="357"/>
      <c r="FA305" s="357"/>
      <c r="FB305" s="357"/>
      <c r="FC305" s="357"/>
      <c r="FD305" s="357"/>
      <c r="FE305" s="357"/>
      <c r="FF305" s="357"/>
      <c r="FG305" s="357"/>
      <c r="FH305" s="357"/>
      <c r="FI305" s="357"/>
      <c r="FJ305" s="357"/>
      <c r="FK305" s="357"/>
      <c r="FL305" s="357"/>
      <c r="FM305" s="357"/>
      <c r="FN305" s="357"/>
      <c r="FO305" s="357"/>
      <c r="FP305" s="357"/>
      <c r="FQ305" s="357"/>
      <c r="FR305" s="357"/>
      <c r="FS305" s="357"/>
      <c r="FT305" s="357"/>
      <c r="FU305" s="357"/>
      <c r="FV305" s="357"/>
      <c r="FW305" s="357"/>
      <c r="FX305" s="357"/>
      <c r="FY305" s="357"/>
      <c r="FZ305" s="357"/>
      <c r="GA305" s="357"/>
      <c r="GB305" s="357"/>
      <c r="GC305" s="357"/>
      <c r="GD305" s="357"/>
      <c r="GE305" s="357"/>
      <c r="GF305" s="357"/>
      <c r="GG305" s="357"/>
      <c r="GH305" s="357"/>
      <c r="GI305" s="357"/>
      <c r="GJ305" s="357"/>
      <c r="GK305" s="154"/>
      <c r="GL305" s="154"/>
      <c r="GM305" s="154"/>
      <c r="GN305" s="154"/>
      <c r="GO305" s="154"/>
      <c r="GP305" s="154"/>
      <c r="GQ305" s="154"/>
      <c r="GR305" s="154"/>
      <c r="GS305" s="154"/>
      <c r="GT305" s="154"/>
      <c r="GU305" s="154"/>
      <c r="GV305" s="154"/>
      <c r="GW305" s="154"/>
      <c r="GX305" s="154"/>
    </row>
    <row r="306" spans="7:206">
      <c r="G306" s="154"/>
      <c r="H306" s="154"/>
      <c r="I306" s="154"/>
      <c r="J306" s="154"/>
      <c r="K306" s="154"/>
      <c r="L306" s="154"/>
      <c r="M306" s="154"/>
      <c r="N306" s="154"/>
      <c r="O306" s="154"/>
      <c r="P306" s="154"/>
      <c r="Q306" s="154"/>
      <c r="R306" s="154"/>
      <c r="S306" s="154"/>
      <c r="T306" s="154"/>
      <c r="U306" s="154"/>
      <c r="V306" s="154"/>
      <c r="W306" s="154"/>
      <c r="X306" s="154"/>
      <c r="Y306" s="154"/>
      <c r="Z306" s="357"/>
      <c r="AA306" s="357"/>
      <c r="AB306" s="357"/>
      <c r="AC306" s="357"/>
      <c r="AD306" s="357"/>
      <c r="AE306" s="357"/>
      <c r="AF306" s="357"/>
      <c r="AG306" s="357"/>
      <c r="AH306" s="357"/>
      <c r="AI306" s="357"/>
      <c r="AJ306" s="357"/>
      <c r="AK306" s="357"/>
      <c r="AL306" s="357"/>
      <c r="AM306" s="357"/>
      <c r="AN306" s="357"/>
      <c r="AO306" s="357"/>
      <c r="AP306" s="357"/>
      <c r="AQ306" s="357"/>
      <c r="AR306" s="357"/>
      <c r="AS306" s="357"/>
      <c r="AT306" s="357"/>
      <c r="AU306" s="357"/>
      <c r="AV306" s="357"/>
      <c r="AW306" s="357"/>
      <c r="AX306" s="357"/>
      <c r="AY306" s="357"/>
      <c r="AZ306" s="357"/>
      <c r="BA306" s="357"/>
      <c r="BB306" s="357"/>
      <c r="BC306" s="357"/>
      <c r="BD306" s="357"/>
      <c r="BE306" s="357"/>
      <c r="BF306" s="357"/>
      <c r="BG306" s="357"/>
      <c r="BH306" s="357"/>
      <c r="BI306" s="357"/>
      <c r="BJ306" s="357"/>
      <c r="BK306" s="357"/>
      <c r="BL306" s="357"/>
      <c r="BM306" s="357"/>
      <c r="BN306" s="357"/>
      <c r="BO306" s="357"/>
      <c r="BP306" s="357"/>
      <c r="BQ306" s="357"/>
      <c r="BR306" s="357"/>
      <c r="BS306" s="357"/>
      <c r="BT306" s="357"/>
      <c r="BU306" s="357"/>
      <c r="BV306" s="357"/>
      <c r="BW306" s="357"/>
      <c r="BX306" s="357"/>
      <c r="BY306" s="357"/>
      <c r="BZ306" s="357"/>
      <c r="CA306" s="357"/>
      <c r="CB306" s="357"/>
      <c r="CC306" s="357"/>
      <c r="CD306" s="357"/>
      <c r="CE306" s="357"/>
      <c r="CF306" s="357"/>
      <c r="CG306" s="357"/>
      <c r="CH306" s="357"/>
      <c r="CI306" s="357"/>
      <c r="CJ306" s="357"/>
      <c r="CK306" s="357"/>
      <c r="CL306" s="357"/>
      <c r="CM306" s="357"/>
      <c r="CN306" s="357"/>
      <c r="CO306" s="357"/>
      <c r="CP306" s="357"/>
      <c r="CQ306" s="357"/>
      <c r="CR306" s="357"/>
      <c r="CS306" s="357"/>
      <c r="CT306" s="357"/>
      <c r="CU306" s="357"/>
      <c r="CV306" s="357"/>
      <c r="CW306" s="357"/>
      <c r="CX306" s="357"/>
      <c r="CY306" s="357"/>
      <c r="CZ306" s="357"/>
      <c r="DA306" s="357"/>
      <c r="DB306" s="357"/>
      <c r="DC306" s="357"/>
      <c r="DD306" s="357"/>
      <c r="DE306" s="357"/>
      <c r="DF306" s="357"/>
      <c r="DG306" s="357"/>
      <c r="DH306" s="357"/>
      <c r="DI306" s="357"/>
      <c r="DJ306" s="357"/>
      <c r="DK306" s="357"/>
      <c r="DL306" s="357"/>
      <c r="DM306" s="357"/>
      <c r="DN306" s="357"/>
      <c r="DO306" s="357"/>
      <c r="DP306" s="357"/>
      <c r="DQ306" s="357"/>
      <c r="DR306" s="357"/>
      <c r="DS306" s="357"/>
      <c r="DT306" s="357"/>
      <c r="DU306" s="357"/>
      <c r="DV306" s="357"/>
      <c r="DW306" s="357"/>
      <c r="DX306" s="357"/>
      <c r="DY306" s="357"/>
      <c r="DZ306" s="357"/>
      <c r="EA306" s="357"/>
      <c r="EB306" s="357"/>
      <c r="EC306" s="357"/>
      <c r="ED306" s="357"/>
      <c r="EE306" s="357"/>
      <c r="EF306" s="357"/>
      <c r="EG306" s="357"/>
      <c r="EH306" s="357"/>
      <c r="EI306" s="357"/>
      <c r="EJ306" s="357"/>
      <c r="EK306" s="357"/>
      <c r="EL306" s="357"/>
      <c r="EM306" s="357"/>
      <c r="EN306" s="357"/>
      <c r="EO306" s="357"/>
      <c r="EP306" s="357"/>
      <c r="EQ306" s="357"/>
      <c r="ER306" s="357"/>
      <c r="ES306" s="357"/>
      <c r="ET306" s="357"/>
      <c r="EU306" s="357"/>
      <c r="EV306" s="357"/>
      <c r="EW306" s="357"/>
      <c r="EX306" s="357"/>
      <c r="EY306" s="357"/>
      <c r="EZ306" s="357"/>
      <c r="FA306" s="357"/>
      <c r="FB306" s="357"/>
      <c r="FC306" s="357"/>
      <c r="FD306" s="357"/>
      <c r="FE306" s="357"/>
      <c r="FF306" s="357"/>
      <c r="FG306" s="357"/>
      <c r="FH306" s="357"/>
      <c r="FI306" s="357"/>
      <c r="FJ306" s="357"/>
      <c r="FK306" s="357"/>
      <c r="FL306" s="357"/>
      <c r="FM306" s="357"/>
      <c r="FN306" s="357"/>
      <c r="FO306" s="357"/>
      <c r="FP306" s="357"/>
      <c r="FQ306" s="357"/>
      <c r="FR306" s="357"/>
      <c r="FS306" s="357"/>
      <c r="FT306" s="357"/>
      <c r="FU306" s="357"/>
      <c r="FV306" s="357"/>
      <c r="FW306" s="357"/>
      <c r="FX306" s="357"/>
      <c r="FY306" s="357"/>
      <c r="FZ306" s="357"/>
      <c r="GA306" s="357"/>
      <c r="GB306" s="357"/>
      <c r="GC306" s="357"/>
      <c r="GD306" s="357"/>
      <c r="GE306" s="357"/>
      <c r="GF306" s="357"/>
      <c r="GG306" s="357"/>
      <c r="GH306" s="357"/>
      <c r="GI306" s="357"/>
      <c r="GJ306" s="357"/>
      <c r="GK306" s="154"/>
      <c r="GL306" s="154"/>
      <c r="GM306" s="154"/>
      <c r="GN306" s="154"/>
      <c r="GO306" s="154"/>
      <c r="GP306" s="154"/>
      <c r="GQ306" s="154"/>
      <c r="GR306" s="154"/>
      <c r="GS306" s="154"/>
      <c r="GT306" s="154"/>
      <c r="GU306" s="154"/>
      <c r="GV306" s="154"/>
      <c r="GW306" s="154"/>
      <c r="GX306" s="154"/>
    </row>
    <row r="307" spans="7:206">
      <c r="G307" s="154"/>
      <c r="H307" s="154"/>
      <c r="I307" s="154"/>
      <c r="J307" s="154"/>
      <c r="K307" s="154"/>
      <c r="L307" s="154"/>
      <c r="M307" s="154"/>
      <c r="N307" s="154"/>
      <c r="O307" s="154"/>
      <c r="P307" s="154"/>
      <c r="Q307" s="154"/>
      <c r="R307" s="154"/>
      <c r="S307" s="154"/>
      <c r="T307" s="154"/>
      <c r="U307" s="154"/>
      <c r="V307" s="154"/>
      <c r="W307" s="154"/>
      <c r="X307" s="154"/>
      <c r="Y307" s="154"/>
      <c r="Z307" s="357"/>
      <c r="AA307" s="357"/>
      <c r="AB307" s="357"/>
      <c r="AC307" s="357"/>
      <c r="AD307" s="357"/>
      <c r="AE307" s="357"/>
      <c r="AF307" s="357"/>
      <c r="AG307" s="357"/>
      <c r="AH307" s="357"/>
      <c r="AI307" s="357"/>
      <c r="AJ307" s="357"/>
      <c r="AK307" s="357"/>
      <c r="AL307" s="357"/>
      <c r="AM307" s="357"/>
      <c r="AN307" s="357"/>
      <c r="AO307" s="357"/>
      <c r="AP307" s="357"/>
      <c r="AQ307" s="357"/>
      <c r="AR307" s="357"/>
      <c r="AS307" s="357"/>
      <c r="AT307" s="357"/>
      <c r="AU307" s="357"/>
      <c r="AV307" s="357"/>
      <c r="AW307" s="357"/>
      <c r="AX307" s="357"/>
      <c r="AY307" s="357"/>
      <c r="AZ307" s="357"/>
      <c r="BA307" s="357"/>
      <c r="BB307" s="357"/>
      <c r="BC307" s="357"/>
      <c r="BD307" s="357"/>
      <c r="BE307" s="357"/>
      <c r="BF307" s="357"/>
      <c r="BG307" s="357"/>
      <c r="BH307" s="357"/>
      <c r="BI307" s="357"/>
      <c r="BJ307" s="357"/>
      <c r="BK307" s="357"/>
      <c r="BL307" s="357"/>
      <c r="BM307" s="357"/>
      <c r="BN307" s="357"/>
      <c r="BO307" s="357"/>
      <c r="BP307" s="357"/>
      <c r="BQ307" s="357"/>
      <c r="BR307" s="357"/>
      <c r="BS307" s="357"/>
      <c r="BT307" s="357"/>
      <c r="BU307" s="357"/>
      <c r="BV307" s="357"/>
      <c r="BW307" s="357"/>
      <c r="BX307" s="357"/>
      <c r="BY307" s="357"/>
      <c r="BZ307" s="357"/>
      <c r="CA307" s="357"/>
      <c r="CB307" s="357"/>
      <c r="CC307" s="357"/>
      <c r="CD307" s="357"/>
      <c r="CE307" s="357"/>
      <c r="CF307" s="357"/>
      <c r="CG307" s="357"/>
      <c r="CH307" s="357"/>
      <c r="CI307" s="357"/>
      <c r="CJ307" s="357"/>
      <c r="CK307" s="357"/>
      <c r="CL307" s="357"/>
      <c r="CM307" s="357"/>
      <c r="CN307" s="357"/>
      <c r="CO307" s="357"/>
      <c r="CP307" s="357"/>
      <c r="CQ307" s="357"/>
      <c r="CR307" s="357"/>
      <c r="CS307" s="357"/>
      <c r="CT307" s="357"/>
      <c r="CU307" s="357"/>
      <c r="CV307" s="357"/>
      <c r="CW307" s="357"/>
      <c r="CX307" s="357"/>
      <c r="CY307" s="357"/>
      <c r="CZ307" s="357"/>
      <c r="DA307" s="357"/>
      <c r="DB307" s="357"/>
      <c r="DC307" s="357"/>
      <c r="DD307" s="357"/>
      <c r="DE307" s="357"/>
      <c r="DF307" s="357"/>
      <c r="DG307" s="357"/>
      <c r="DH307" s="357"/>
      <c r="DI307" s="357"/>
      <c r="DJ307" s="357"/>
      <c r="DK307" s="357"/>
      <c r="DL307" s="357"/>
      <c r="DM307" s="357"/>
      <c r="DN307" s="357"/>
      <c r="DO307" s="357"/>
      <c r="DP307" s="357"/>
      <c r="DQ307" s="357"/>
      <c r="DR307" s="357"/>
      <c r="DS307" s="357"/>
      <c r="DT307" s="357"/>
      <c r="DU307" s="357"/>
      <c r="DV307" s="357"/>
      <c r="DW307" s="357"/>
      <c r="DX307" s="357"/>
      <c r="DY307" s="357"/>
      <c r="DZ307" s="357"/>
      <c r="EA307" s="357"/>
      <c r="EB307" s="357"/>
      <c r="EC307" s="357"/>
      <c r="ED307" s="357"/>
      <c r="EE307" s="357"/>
      <c r="EF307" s="357"/>
      <c r="EG307" s="357"/>
      <c r="EH307" s="357"/>
      <c r="EI307" s="357"/>
      <c r="EJ307" s="357"/>
      <c r="EK307" s="357"/>
      <c r="EL307" s="357"/>
      <c r="EM307" s="357"/>
      <c r="EN307" s="357"/>
      <c r="EO307" s="357"/>
      <c r="EP307" s="357"/>
      <c r="EQ307" s="357"/>
      <c r="ER307" s="357"/>
      <c r="ES307" s="357"/>
      <c r="ET307" s="357"/>
      <c r="EU307" s="357"/>
      <c r="EV307" s="357"/>
      <c r="EW307" s="357"/>
      <c r="EX307" s="357"/>
      <c r="EY307" s="357"/>
      <c r="EZ307" s="357"/>
      <c r="FA307" s="357"/>
      <c r="FB307" s="357"/>
      <c r="FC307" s="357"/>
      <c r="FD307" s="357"/>
      <c r="FE307" s="357"/>
      <c r="FF307" s="357"/>
      <c r="FG307" s="357"/>
      <c r="FH307" s="357"/>
      <c r="FI307" s="357"/>
      <c r="FJ307" s="357"/>
      <c r="FK307" s="357"/>
      <c r="FL307" s="357"/>
      <c r="FM307" s="357"/>
      <c r="FN307" s="357"/>
      <c r="FO307" s="357"/>
      <c r="FP307" s="357"/>
      <c r="FQ307" s="357"/>
      <c r="FR307" s="357"/>
      <c r="FS307" s="357"/>
      <c r="FT307" s="357"/>
      <c r="FU307" s="357"/>
      <c r="FV307" s="357"/>
      <c r="FW307" s="357"/>
      <c r="FX307" s="357"/>
      <c r="FY307" s="357"/>
      <c r="FZ307" s="357"/>
      <c r="GA307" s="357"/>
      <c r="GB307" s="357"/>
      <c r="GC307" s="357"/>
      <c r="GD307" s="357"/>
      <c r="GE307" s="357"/>
      <c r="GF307" s="357"/>
      <c r="GG307" s="357"/>
      <c r="GH307" s="357"/>
      <c r="GI307" s="357"/>
      <c r="GJ307" s="357"/>
      <c r="GK307" s="154"/>
      <c r="GL307" s="154"/>
      <c r="GM307" s="154"/>
      <c r="GN307" s="154"/>
      <c r="GO307" s="154"/>
      <c r="GP307" s="154"/>
      <c r="GQ307" s="154"/>
      <c r="GR307" s="154"/>
      <c r="GS307" s="154"/>
      <c r="GT307" s="154"/>
      <c r="GU307" s="154"/>
      <c r="GV307" s="154"/>
      <c r="GW307" s="154"/>
      <c r="GX307" s="154"/>
    </row>
    <row r="308" spans="7:206">
      <c r="G308" s="154"/>
      <c r="H308" s="154"/>
      <c r="I308" s="154"/>
      <c r="J308" s="154"/>
      <c r="K308" s="154"/>
      <c r="L308" s="154"/>
      <c r="M308" s="154"/>
      <c r="N308" s="154"/>
      <c r="O308" s="154"/>
      <c r="P308" s="154"/>
      <c r="Q308" s="154"/>
      <c r="R308" s="154"/>
      <c r="S308" s="154"/>
      <c r="T308" s="154"/>
      <c r="U308" s="154"/>
      <c r="V308" s="154"/>
      <c r="W308" s="154"/>
      <c r="X308" s="154"/>
      <c r="Y308" s="154"/>
      <c r="Z308" s="357"/>
      <c r="AA308" s="357"/>
      <c r="AB308" s="357"/>
      <c r="AC308" s="357"/>
      <c r="AD308" s="357"/>
      <c r="AE308" s="357"/>
      <c r="AF308" s="357"/>
      <c r="AG308" s="357"/>
      <c r="AH308" s="357"/>
      <c r="AI308" s="357"/>
      <c r="AJ308" s="357"/>
      <c r="AK308" s="357"/>
      <c r="AL308" s="357"/>
      <c r="AM308" s="357"/>
      <c r="AN308" s="357"/>
      <c r="AO308" s="357"/>
      <c r="AP308" s="357"/>
      <c r="AQ308" s="357"/>
      <c r="AR308" s="357"/>
      <c r="AS308" s="357"/>
      <c r="AT308" s="357"/>
      <c r="AU308" s="357"/>
      <c r="AV308" s="357"/>
      <c r="AW308" s="357"/>
      <c r="AX308" s="357"/>
      <c r="AY308" s="357"/>
      <c r="AZ308" s="357"/>
      <c r="BA308" s="357"/>
      <c r="BB308" s="357"/>
      <c r="BC308" s="357"/>
      <c r="BD308" s="357"/>
      <c r="BE308" s="357"/>
      <c r="BF308" s="357"/>
      <c r="BG308" s="357"/>
      <c r="BH308" s="357"/>
      <c r="BI308" s="357"/>
      <c r="BJ308" s="357"/>
      <c r="BK308" s="357"/>
      <c r="BL308" s="357"/>
      <c r="BM308" s="357"/>
      <c r="BN308" s="357"/>
      <c r="BO308" s="357"/>
      <c r="BP308" s="357"/>
      <c r="BQ308" s="357"/>
      <c r="BR308" s="357"/>
      <c r="BS308" s="357"/>
      <c r="BT308" s="357"/>
      <c r="BU308" s="357"/>
      <c r="BV308" s="357"/>
      <c r="BW308" s="357"/>
      <c r="BX308" s="357"/>
      <c r="BY308" s="357"/>
      <c r="BZ308" s="357"/>
      <c r="CA308" s="357"/>
      <c r="CB308" s="357"/>
      <c r="CC308" s="357"/>
      <c r="CD308" s="357"/>
      <c r="CE308" s="357"/>
      <c r="CF308" s="357"/>
      <c r="CG308" s="357"/>
      <c r="CH308" s="357"/>
      <c r="CI308" s="357"/>
      <c r="CJ308" s="357"/>
      <c r="CK308" s="357"/>
      <c r="CL308" s="357"/>
      <c r="CM308" s="357"/>
      <c r="CN308" s="357"/>
      <c r="CO308" s="357"/>
      <c r="CP308" s="357"/>
      <c r="CQ308" s="357"/>
      <c r="CR308" s="357"/>
      <c r="CS308" s="357"/>
      <c r="CT308" s="357"/>
      <c r="CU308" s="357"/>
      <c r="CV308" s="357"/>
      <c r="CW308" s="357"/>
      <c r="CX308" s="357"/>
      <c r="CY308" s="357"/>
      <c r="CZ308" s="357"/>
      <c r="DA308" s="357"/>
      <c r="DB308" s="357"/>
      <c r="DC308" s="357"/>
      <c r="DD308" s="357"/>
      <c r="DE308" s="357"/>
      <c r="DF308" s="357"/>
      <c r="DG308" s="357"/>
      <c r="DH308" s="357"/>
      <c r="DI308" s="357"/>
      <c r="DJ308" s="357"/>
      <c r="DK308" s="357"/>
      <c r="DL308" s="357"/>
      <c r="DM308" s="357"/>
      <c r="DN308" s="357"/>
      <c r="DO308" s="357"/>
      <c r="DP308" s="357"/>
      <c r="DQ308" s="357"/>
      <c r="DR308" s="357"/>
      <c r="DS308" s="357"/>
      <c r="DT308" s="357"/>
      <c r="DU308" s="357"/>
      <c r="DV308" s="357"/>
      <c r="DW308" s="357"/>
      <c r="DX308" s="357"/>
      <c r="DY308" s="357"/>
      <c r="DZ308" s="357"/>
      <c r="EA308" s="357"/>
      <c r="EB308" s="357"/>
      <c r="EC308" s="357"/>
      <c r="ED308" s="357"/>
      <c r="EE308" s="357"/>
      <c r="EF308" s="357"/>
      <c r="EG308" s="357"/>
      <c r="EH308" s="357"/>
      <c r="EI308" s="357"/>
      <c r="EJ308" s="357"/>
      <c r="EK308" s="357"/>
      <c r="EL308" s="357"/>
      <c r="EM308" s="357"/>
      <c r="EN308" s="357"/>
      <c r="EO308" s="357"/>
      <c r="EP308" s="357"/>
      <c r="EQ308" s="357"/>
      <c r="ER308" s="357"/>
      <c r="ES308" s="357"/>
      <c r="ET308" s="357"/>
      <c r="EU308" s="357"/>
      <c r="EV308" s="357"/>
      <c r="EW308" s="357"/>
      <c r="EX308" s="357"/>
      <c r="EY308" s="357"/>
      <c r="EZ308" s="357"/>
      <c r="FA308" s="357"/>
      <c r="FB308" s="357"/>
      <c r="FC308" s="357"/>
      <c r="FD308" s="357"/>
      <c r="FE308" s="357"/>
      <c r="FF308" s="357"/>
      <c r="FG308" s="357"/>
      <c r="FH308" s="357"/>
      <c r="FI308" s="357"/>
      <c r="FJ308" s="357"/>
      <c r="FK308" s="357"/>
      <c r="FL308" s="357"/>
      <c r="FM308" s="357"/>
      <c r="FN308" s="357"/>
      <c r="FO308" s="357"/>
      <c r="FP308" s="357"/>
      <c r="FQ308" s="357"/>
      <c r="FR308" s="357"/>
      <c r="FS308" s="357"/>
      <c r="FT308" s="357"/>
      <c r="FU308" s="357"/>
      <c r="FV308" s="357"/>
      <c r="FW308" s="357"/>
      <c r="FX308" s="357"/>
      <c r="FY308" s="357"/>
      <c r="FZ308" s="357"/>
      <c r="GA308" s="357"/>
      <c r="GB308" s="357"/>
      <c r="GC308" s="357"/>
      <c r="GD308" s="357"/>
      <c r="GE308" s="357"/>
      <c r="GF308" s="357"/>
      <c r="GG308" s="357"/>
      <c r="GH308" s="357"/>
      <c r="GI308" s="357"/>
      <c r="GJ308" s="357"/>
      <c r="GK308" s="154"/>
      <c r="GL308" s="154"/>
      <c r="GM308" s="154"/>
      <c r="GN308" s="154"/>
      <c r="GO308" s="154"/>
      <c r="GP308" s="154"/>
      <c r="GQ308" s="154"/>
      <c r="GR308" s="154"/>
      <c r="GS308" s="154"/>
      <c r="GT308" s="154"/>
      <c r="GU308" s="154"/>
      <c r="GV308" s="154"/>
      <c r="GW308" s="154"/>
      <c r="GX308" s="154"/>
    </row>
    <row r="309" spans="7:206">
      <c r="G309" s="154"/>
      <c r="H309" s="154"/>
      <c r="I309" s="154"/>
      <c r="J309" s="154"/>
      <c r="K309" s="154"/>
      <c r="L309" s="154"/>
      <c r="M309" s="154"/>
      <c r="N309" s="154"/>
      <c r="O309" s="154"/>
      <c r="P309" s="154"/>
      <c r="Q309" s="154"/>
      <c r="R309" s="154"/>
      <c r="S309" s="154"/>
      <c r="T309" s="154"/>
      <c r="U309" s="154"/>
      <c r="V309" s="154"/>
      <c r="W309" s="154"/>
      <c r="X309" s="154"/>
      <c r="Y309" s="154"/>
      <c r="Z309" s="357"/>
      <c r="AA309" s="357"/>
      <c r="AB309" s="357"/>
      <c r="AC309" s="357"/>
      <c r="AD309" s="357"/>
      <c r="AE309" s="357"/>
      <c r="AF309" s="357"/>
      <c r="AG309" s="357"/>
      <c r="AH309" s="357"/>
      <c r="AI309" s="357"/>
      <c r="AJ309" s="357"/>
      <c r="AK309" s="357"/>
      <c r="AL309" s="357"/>
      <c r="AM309" s="357"/>
      <c r="AN309" s="357"/>
      <c r="AO309" s="357"/>
      <c r="AP309" s="357"/>
      <c r="AQ309" s="357"/>
      <c r="AR309" s="357"/>
      <c r="AS309" s="357"/>
      <c r="AT309" s="357"/>
      <c r="AU309" s="357"/>
      <c r="AV309" s="357"/>
      <c r="AW309" s="357"/>
      <c r="AX309" s="357"/>
      <c r="AY309" s="357"/>
      <c r="AZ309" s="357"/>
      <c r="BA309" s="357"/>
      <c r="BB309" s="357"/>
      <c r="BC309" s="357"/>
      <c r="BD309" s="357"/>
      <c r="BE309" s="357"/>
      <c r="BF309" s="357"/>
      <c r="BG309" s="357"/>
      <c r="BH309" s="357"/>
      <c r="BI309" s="357"/>
      <c r="BJ309" s="357"/>
      <c r="BK309" s="357"/>
      <c r="BL309" s="357"/>
      <c r="BM309" s="357"/>
      <c r="BN309" s="357"/>
      <c r="BO309" s="357"/>
      <c r="BP309" s="357"/>
      <c r="BQ309" s="357"/>
      <c r="BR309" s="357"/>
      <c r="BS309" s="357"/>
      <c r="BT309" s="357"/>
      <c r="BU309" s="357"/>
      <c r="BV309" s="357"/>
      <c r="BW309" s="357"/>
      <c r="BX309" s="357"/>
      <c r="BY309" s="357"/>
      <c r="BZ309" s="357"/>
      <c r="CA309" s="357"/>
      <c r="CB309" s="357"/>
      <c r="CC309" s="357"/>
      <c r="CD309" s="357"/>
      <c r="CE309" s="357"/>
      <c r="CF309" s="357"/>
      <c r="CG309" s="357"/>
      <c r="CH309" s="357"/>
      <c r="CI309" s="357"/>
      <c r="CJ309" s="357"/>
      <c r="CK309" s="357"/>
      <c r="CL309" s="357"/>
      <c r="CM309" s="357"/>
      <c r="CN309" s="357"/>
      <c r="CO309" s="357"/>
      <c r="CP309" s="357"/>
      <c r="CQ309" s="357"/>
      <c r="CR309" s="357"/>
      <c r="CS309" s="357"/>
      <c r="CT309" s="357"/>
      <c r="CU309" s="357"/>
      <c r="CV309" s="357"/>
      <c r="CW309" s="357"/>
      <c r="CX309" s="357"/>
      <c r="CY309" s="357"/>
      <c r="CZ309" s="357"/>
      <c r="DA309" s="357"/>
      <c r="DB309" s="357"/>
      <c r="DC309" s="357"/>
      <c r="DD309" s="357"/>
      <c r="DE309" s="357"/>
      <c r="DF309" s="357"/>
      <c r="DG309" s="357"/>
      <c r="DH309" s="357"/>
      <c r="DI309" s="357"/>
      <c r="DJ309" s="357"/>
      <c r="DK309" s="357"/>
      <c r="DL309" s="357"/>
      <c r="DM309" s="357"/>
      <c r="DN309" s="357"/>
      <c r="DO309" s="357"/>
      <c r="DP309" s="357"/>
      <c r="DQ309" s="357"/>
      <c r="DR309" s="357"/>
      <c r="DS309" s="357"/>
      <c r="DT309" s="357"/>
      <c r="DU309" s="357"/>
      <c r="DV309" s="357"/>
      <c r="DW309" s="357"/>
      <c r="DX309" s="357"/>
      <c r="DY309" s="357"/>
      <c r="DZ309" s="357"/>
      <c r="EA309" s="357"/>
      <c r="EB309" s="357"/>
      <c r="EC309" s="357"/>
      <c r="ED309" s="357"/>
      <c r="EE309" s="357"/>
      <c r="EF309" s="357"/>
      <c r="EG309" s="357"/>
      <c r="EH309" s="357"/>
      <c r="EI309" s="357"/>
      <c r="EJ309" s="357"/>
      <c r="EK309" s="357"/>
      <c r="EL309" s="357"/>
      <c r="EM309" s="357"/>
      <c r="EN309" s="357"/>
      <c r="EO309" s="357"/>
      <c r="EP309" s="357"/>
      <c r="EQ309" s="357"/>
      <c r="ER309" s="357"/>
      <c r="ES309" s="357"/>
      <c r="ET309" s="357"/>
      <c r="EU309" s="357"/>
      <c r="EV309" s="357"/>
      <c r="EW309" s="357"/>
      <c r="EX309" s="357"/>
      <c r="EY309" s="357"/>
      <c r="EZ309" s="357"/>
      <c r="FA309" s="357"/>
      <c r="FB309" s="357"/>
      <c r="FC309" s="357"/>
      <c r="FD309" s="357"/>
      <c r="FE309" s="357"/>
      <c r="FF309" s="357"/>
      <c r="FG309" s="357"/>
      <c r="FH309" s="357"/>
      <c r="FI309" s="357"/>
      <c r="FJ309" s="357"/>
      <c r="FK309" s="357"/>
      <c r="FL309" s="357"/>
      <c r="FM309" s="357"/>
      <c r="FN309" s="357"/>
      <c r="FO309" s="357"/>
      <c r="FP309" s="357"/>
      <c r="FQ309" s="357"/>
      <c r="FR309" s="357"/>
      <c r="FS309" s="357"/>
      <c r="FT309" s="357"/>
      <c r="FU309" s="357"/>
      <c r="FV309" s="357"/>
      <c r="FW309" s="357"/>
      <c r="FX309" s="357"/>
      <c r="FY309" s="357"/>
      <c r="FZ309" s="357"/>
      <c r="GA309" s="357"/>
      <c r="GB309" s="357"/>
      <c r="GC309" s="357"/>
      <c r="GD309" s="357"/>
      <c r="GE309" s="357"/>
      <c r="GF309" s="357"/>
      <c r="GG309" s="357"/>
      <c r="GH309" s="357"/>
      <c r="GI309" s="357"/>
      <c r="GJ309" s="357"/>
      <c r="GK309" s="154"/>
      <c r="GL309" s="154"/>
      <c r="GM309" s="154"/>
      <c r="GN309" s="154"/>
      <c r="GO309" s="154"/>
      <c r="GP309" s="154"/>
      <c r="GQ309" s="154"/>
      <c r="GR309" s="154"/>
      <c r="GS309" s="154"/>
      <c r="GT309" s="154"/>
      <c r="GU309" s="154"/>
      <c r="GV309" s="154"/>
      <c r="GW309" s="154"/>
      <c r="GX309" s="154"/>
    </row>
    <row r="310" spans="7:206">
      <c r="G310" s="154"/>
      <c r="H310" s="154"/>
      <c r="I310" s="154"/>
      <c r="J310" s="154"/>
      <c r="K310" s="154"/>
      <c r="L310" s="154"/>
      <c r="M310" s="154"/>
      <c r="N310" s="154"/>
      <c r="O310" s="154"/>
      <c r="P310" s="154"/>
      <c r="Q310" s="154"/>
      <c r="R310" s="154"/>
      <c r="S310" s="154"/>
      <c r="T310" s="154"/>
      <c r="U310" s="154"/>
      <c r="V310" s="154"/>
      <c r="W310" s="154"/>
      <c r="X310" s="154"/>
      <c r="Y310" s="154"/>
      <c r="Z310" s="357"/>
      <c r="AA310" s="357"/>
      <c r="AB310" s="357"/>
      <c r="AC310" s="357"/>
      <c r="AD310" s="357"/>
      <c r="AE310" s="357"/>
      <c r="AF310" s="357"/>
      <c r="AG310" s="357"/>
      <c r="AH310" s="357"/>
      <c r="AI310" s="357"/>
      <c r="AJ310" s="357"/>
      <c r="AK310" s="357"/>
      <c r="AL310" s="357"/>
      <c r="AM310" s="357"/>
      <c r="AN310" s="357"/>
      <c r="AO310" s="357"/>
      <c r="AP310" s="357"/>
      <c r="AQ310" s="357"/>
      <c r="AR310" s="357"/>
      <c r="AS310" s="357"/>
      <c r="AT310" s="357"/>
      <c r="AU310" s="357"/>
      <c r="AV310" s="357"/>
      <c r="AW310" s="357"/>
      <c r="AX310" s="357"/>
      <c r="AY310" s="357"/>
      <c r="AZ310" s="357"/>
      <c r="BA310" s="357"/>
      <c r="BB310" s="357"/>
      <c r="BC310" s="357"/>
      <c r="BD310" s="357"/>
      <c r="BE310" s="357"/>
      <c r="BF310" s="357"/>
      <c r="BG310" s="357"/>
      <c r="BH310" s="357"/>
      <c r="BI310" s="357"/>
      <c r="BJ310" s="357"/>
      <c r="BK310" s="357"/>
      <c r="BL310" s="357"/>
      <c r="BM310" s="357"/>
      <c r="BN310" s="357"/>
      <c r="BO310" s="357"/>
      <c r="BP310" s="357"/>
      <c r="BQ310" s="357"/>
      <c r="BR310" s="357"/>
      <c r="BS310" s="357"/>
      <c r="BT310" s="357"/>
      <c r="BU310" s="357"/>
      <c r="BV310" s="357"/>
      <c r="BW310" s="357"/>
      <c r="BX310" s="357"/>
      <c r="BY310" s="357"/>
      <c r="BZ310" s="357"/>
      <c r="CA310" s="357"/>
      <c r="CB310" s="357"/>
      <c r="CC310" s="357"/>
      <c r="CD310" s="357"/>
      <c r="CE310" s="357"/>
      <c r="CF310" s="357"/>
      <c r="CG310" s="357"/>
      <c r="CH310" s="357"/>
      <c r="CI310" s="357"/>
      <c r="CJ310" s="357"/>
      <c r="CK310" s="357"/>
      <c r="CL310" s="357"/>
      <c r="CM310" s="357"/>
      <c r="CN310" s="357"/>
      <c r="CO310" s="357"/>
      <c r="CP310" s="357"/>
      <c r="CQ310" s="357"/>
      <c r="CR310" s="357"/>
      <c r="CS310" s="357"/>
      <c r="CT310" s="357"/>
      <c r="CU310" s="357"/>
      <c r="CV310" s="357"/>
      <c r="CW310" s="357"/>
      <c r="CX310" s="357"/>
      <c r="CY310" s="357"/>
      <c r="CZ310" s="357"/>
      <c r="DA310" s="357"/>
      <c r="DB310" s="357"/>
      <c r="DC310" s="357"/>
      <c r="DD310" s="357"/>
      <c r="DE310" s="357"/>
      <c r="DF310" s="357"/>
      <c r="DG310" s="357"/>
      <c r="DH310" s="357"/>
      <c r="DI310" s="357"/>
      <c r="DJ310" s="357"/>
      <c r="DK310" s="357"/>
      <c r="DL310" s="357"/>
      <c r="DM310" s="357"/>
      <c r="DN310" s="357"/>
      <c r="DO310" s="357"/>
      <c r="DP310" s="357"/>
      <c r="DQ310" s="357"/>
      <c r="DR310" s="357"/>
      <c r="DS310" s="357"/>
      <c r="DT310" s="357"/>
      <c r="DU310" s="357"/>
      <c r="DV310" s="357"/>
      <c r="DW310" s="357"/>
      <c r="DX310" s="357"/>
      <c r="DY310" s="357"/>
      <c r="DZ310" s="357"/>
      <c r="EA310" s="357"/>
      <c r="EB310" s="357"/>
      <c r="EC310" s="357"/>
      <c r="ED310" s="357"/>
      <c r="EE310" s="357"/>
      <c r="EF310" s="357"/>
      <c r="EG310" s="357"/>
      <c r="EH310" s="357"/>
      <c r="EI310" s="357"/>
      <c r="EJ310" s="357"/>
      <c r="EK310" s="357"/>
      <c r="EL310" s="357"/>
      <c r="EM310" s="357"/>
      <c r="EN310" s="357"/>
      <c r="EO310" s="357"/>
      <c r="EP310" s="357"/>
      <c r="EQ310" s="357"/>
      <c r="ER310" s="357"/>
      <c r="ES310" s="357"/>
      <c r="ET310" s="357"/>
      <c r="EU310" s="357"/>
      <c r="EV310" s="357"/>
      <c r="EW310" s="357"/>
      <c r="EX310" s="357"/>
      <c r="EY310" s="357"/>
      <c r="EZ310" s="357"/>
      <c r="FA310" s="357"/>
      <c r="FB310" s="357"/>
      <c r="FC310" s="357"/>
      <c r="FD310" s="357"/>
      <c r="FE310" s="357"/>
      <c r="FF310" s="357"/>
      <c r="FG310" s="357"/>
      <c r="FH310" s="357"/>
      <c r="FI310" s="357"/>
      <c r="FJ310" s="357"/>
      <c r="FK310" s="357"/>
      <c r="FL310" s="357"/>
      <c r="FM310" s="357"/>
      <c r="FN310" s="357"/>
      <c r="FO310" s="357"/>
      <c r="FP310" s="357"/>
      <c r="FQ310" s="357"/>
      <c r="FR310" s="357"/>
      <c r="FS310" s="357"/>
      <c r="FT310" s="357"/>
      <c r="FU310" s="357"/>
      <c r="FV310" s="357"/>
      <c r="FW310" s="357"/>
      <c r="FX310" s="357"/>
      <c r="FY310" s="357"/>
      <c r="FZ310" s="357"/>
      <c r="GA310" s="357"/>
      <c r="GB310" s="357"/>
      <c r="GC310" s="357"/>
      <c r="GD310" s="357"/>
      <c r="GE310" s="357"/>
      <c r="GF310" s="357"/>
      <c r="GG310" s="357"/>
      <c r="GH310" s="357"/>
      <c r="GI310" s="357"/>
      <c r="GJ310" s="357"/>
      <c r="GK310" s="154"/>
      <c r="GL310" s="154"/>
      <c r="GM310" s="154"/>
      <c r="GN310" s="154"/>
      <c r="GO310" s="154"/>
      <c r="GP310" s="154"/>
      <c r="GQ310" s="154"/>
      <c r="GR310" s="154"/>
      <c r="GS310" s="154"/>
      <c r="GT310" s="154"/>
      <c r="GU310" s="154"/>
      <c r="GV310" s="154"/>
      <c r="GW310" s="154"/>
      <c r="GX310" s="154"/>
    </row>
    <row r="311" spans="7:206">
      <c r="G311" s="154"/>
      <c r="H311" s="154"/>
      <c r="I311" s="154"/>
      <c r="J311" s="154"/>
      <c r="K311" s="154"/>
      <c r="L311" s="154"/>
      <c r="M311" s="154"/>
      <c r="N311" s="154"/>
      <c r="O311" s="154"/>
      <c r="P311" s="154"/>
      <c r="Q311" s="154"/>
      <c r="R311" s="154"/>
      <c r="S311" s="154"/>
      <c r="T311" s="154"/>
      <c r="U311" s="154"/>
      <c r="V311" s="154"/>
      <c r="W311" s="154"/>
      <c r="X311" s="154"/>
      <c r="Y311" s="154"/>
      <c r="Z311" s="357"/>
      <c r="AA311" s="357"/>
      <c r="AB311" s="357"/>
      <c r="AC311" s="357"/>
      <c r="AD311" s="357"/>
      <c r="AE311" s="357"/>
      <c r="AF311" s="357"/>
      <c r="AG311" s="357"/>
      <c r="AH311" s="357"/>
      <c r="AI311" s="357"/>
      <c r="AJ311" s="357"/>
      <c r="AK311" s="357"/>
      <c r="AL311" s="357"/>
      <c r="AM311" s="357"/>
      <c r="AN311" s="357"/>
      <c r="AO311" s="357"/>
      <c r="AP311" s="357"/>
      <c r="AQ311" s="357"/>
      <c r="AR311" s="357"/>
      <c r="AS311" s="357"/>
      <c r="AT311" s="357"/>
      <c r="AU311" s="357"/>
      <c r="AV311" s="357"/>
      <c r="AW311" s="357"/>
      <c r="AX311" s="357"/>
      <c r="AY311" s="357"/>
      <c r="AZ311" s="357"/>
      <c r="BA311" s="357"/>
      <c r="BB311" s="357"/>
      <c r="BC311" s="357"/>
      <c r="BD311" s="357"/>
      <c r="BE311" s="357"/>
      <c r="BF311" s="357"/>
      <c r="BG311" s="357"/>
      <c r="BH311" s="357"/>
      <c r="BI311" s="357"/>
      <c r="BJ311" s="357"/>
      <c r="BK311" s="357"/>
      <c r="BL311" s="357"/>
      <c r="BM311" s="357"/>
      <c r="BN311" s="357"/>
      <c r="BO311" s="357"/>
      <c r="BP311" s="357"/>
      <c r="BQ311" s="357"/>
      <c r="BR311" s="357"/>
      <c r="BS311" s="357"/>
      <c r="BT311" s="357"/>
      <c r="BU311" s="357"/>
      <c r="BV311" s="357"/>
      <c r="BW311" s="357"/>
      <c r="BX311" s="357"/>
      <c r="BY311" s="357"/>
      <c r="BZ311" s="357"/>
      <c r="CA311" s="357"/>
      <c r="CB311" s="357"/>
      <c r="CC311" s="357"/>
      <c r="CD311" s="357"/>
      <c r="CE311" s="357"/>
      <c r="CF311" s="357"/>
      <c r="CG311" s="357"/>
      <c r="CH311" s="357"/>
      <c r="CI311" s="357"/>
      <c r="CJ311" s="357"/>
      <c r="CK311" s="357"/>
      <c r="CL311" s="357"/>
      <c r="CM311" s="357"/>
      <c r="CN311" s="357"/>
      <c r="CO311" s="357"/>
      <c r="CP311" s="357"/>
      <c r="CQ311" s="357"/>
      <c r="CR311" s="357"/>
      <c r="CS311" s="357"/>
      <c r="CT311" s="357"/>
      <c r="CU311" s="357"/>
      <c r="CV311" s="357"/>
      <c r="CW311" s="357"/>
      <c r="CX311" s="357"/>
      <c r="CY311" s="357"/>
      <c r="CZ311" s="357"/>
      <c r="DA311" s="357"/>
      <c r="DB311" s="357"/>
      <c r="DC311" s="357"/>
      <c r="DD311" s="357"/>
      <c r="DE311" s="357"/>
      <c r="DF311" s="357"/>
      <c r="DG311" s="357"/>
      <c r="DH311" s="357"/>
      <c r="DI311" s="357"/>
      <c r="DJ311" s="357"/>
      <c r="DK311" s="357"/>
      <c r="DL311" s="357"/>
      <c r="DM311" s="357"/>
      <c r="DN311" s="357"/>
      <c r="DO311" s="357"/>
      <c r="DP311" s="357"/>
      <c r="DQ311" s="357"/>
      <c r="DR311" s="357"/>
      <c r="DS311" s="357"/>
      <c r="DT311" s="357"/>
      <c r="DU311" s="357"/>
      <c r="DV311" s="357"/>
      <c r="DW311" s="357"/>
      <c r="DX311" s="357"/>
      <c r="DY311" s="357"/>
      <c r="DZ311" s="357"/>
      <c r="EA311" s="357"/>
      <c r="EB311" s="357"/>
      <c r="EC311" s="357"/>
      <c r="ED311" s="357"/>
      <c r="EE311" s="357"/>
      <c r="EF311" s="357"/>
      <c r="EG311" s="357"/>
      <c r="EH311" s="357"/>
      <c r="EI311" s="357"/>
      <c r="EJ311" s="357"/>
      <c r="EK311" s="357"/>
      <c r="EL311" s="357"/>
      <c r="EM311" s="357"/>
      <c r="EN311" s="357"/>
      <c r="EO311" s="357"/>
      <c r="EP311" s="357"/>
      <c r="EQ311" s="357"/>
      <c r="ER311" s="357"/>
      <c r="ES311" s="357"/>
      <c r="ET311" s="357"/>
      <c r="EU311" s="357"/>
      <c r="EV311" s="357"/>
      <c r="EW311" s="357"/>
      <c r="EX311" s="357"/>
      <c r="EY311" s="357"/>
      <c r="EZ311" s="357"/>
      <c r="FA311" s="357"/>
      <c r="FB311" s="357"/>
      <c r="FC311" s="357"/>
      <c r="FD311" s="357"/>
      <c r="FE311" s="357"/>
      <c r="FF311" s="357"/>
      <c r="FG311" s="357"/>
      <c r="FH311" s="357"/>
      <c r="FI311" s="357"/>
      <c r="FJ311" s="357"/>
      <c r="FK311" s="357"/>
      <c r="FL311" s="357"/>
      <c r="FM311" s="357"/>
      <c r="FN311" s="357"/>
      <c r="FO311" s="357"/>
      <c r="FP311" s="357"/>
      <c r="FQ311" s="357"/>
      <c r="FR311" s="357"/>
      <c r="FS311" s="357"/>
      <c r="FT311" s="357"/>
      <c r="FU311" s="357"/>
      <c r="FV311" s="357"/>
      <c r="FW311" s="357"/>
      <c r="FX311" s="357"/>
      <c r="FY311" s="357"/>
      <c r="FZ311" s="357"/>
      <c r="GA311" s="357"/>
      <c r="GB311" s="357"/>
      <c r="GC311" s="357"/>
      <c r="GD311" s="357"/>
      <c r="GE311" s="357"/>
      <c r="GF311" s="357"/>
      <c r="GG311" s="357"/>
      <c r="GH311" s="357"/>
      <c r="GI311" s="357"/>
      <c r="GJ311" s="357"/>
      <c r="GK311" s="154"/>
      <c r="GL311" s="154"/>
      <c r="GM311" s="154"/>
      <c r="GN311" s="154"/>
      <c r="GO311" s="154"/>
      <c r="GP311" s="154"/>
      <c r="GQ311" s="154"/>
      <c r="GR311" s="154"/>
      <c r="GS311" s="154"/>
      <c r="GT311" s="154"/>
      <c r="GU311" s="154"/>
      <c r="GV311" s="154"/>
      <c r="GW311" s="154"/>
      <c r="GX311" s="154"/>
    </row>
    <row r="312" spans="7:206">
      <c r="G312" s="154"/>
      <c r="H312" s="154"/>
      <c r="I312" s="154"/>
      <c r="J312" s="154"/>
      <c r="K312" s="154"/>
      <c r="L312" s="154"/>
      <c r="M312" s="154"/>
      <c r="N312" s="154"/>
      <c r="O312" s="154"/>
      <c r="P312" s="154"/>
      <c r="Q312" s="154"/>
      <c r="R312" s="154"/>
      <c r="S312" s="154"/>
      <c r="T312" s="154"/>
      <c r="U312" s="154"/>
      <c r="V312" s="154"/>
      <c r="W312" s="154"/>
      <c r="X312" s="154"/>
      <c r="Y312" s="154"/>
      <c r="Z312" s="357"/>
      <c r="AA312" s="357"/>
      <c r="AB312" s="357"/>
      <c r="AC312" s="357"/>
      <c r="AD312" s="357"/>
      <c r="AE312" s="357"/>
      <c r="AF312" s="357"/>
      <c r="AG312" s="357"/>
      <c r="AH312" s="357"/>
      <c r="AI312" s="357"/>
      <c r="AJ312" s="357"/>
      <c r="AK312" s="357"/>
      <c r="AL312" s="357"/>
      <c r="AM312" s="357"/>
      <c r="AN312" s="357"/>
      <c r="AO312" s="357"/>
      <c r="AP312" s="357"/>
      <c r="AQ312" s="357"/>
      <c r="AR312" s="357"/>
      <c r="AS312" s="357"/>
      <c r="AT312" s="357"/>
      <c r="AU312" s="357"/>
      <c r="AV312" s="357"/>
      <c r="AW312" s="357"/>
      <c r="AX312" s="357"/>
      <c r="AY312" s="357"/>
      <c r="AZ312" s="357"/>
      <c r="BA312" s="357"/>
      <c r="BB312" s="357"/>
      <c r="BC312" s="357"/>
      <c r="BD312" s="357"/>
      <c r="BE312" s="357"/>
      <c r="BF312" s="357"/>
      <c r="BG312" s="357"/>
      <c r="BH312" s="357"/>
      <c r="BI312" s="357"/>
      <c r="BJ312" s="357"/>
      <c r="BK312" s="357"/>
      <c r="BL312" s="357"/>
      <c r="BM312" s="357"/>
      <c r="BN312" s="357"/>
      <c r="BO312" s="357"/>
      <c r="BP312" s="357"/>
      <c r="BQ312" s="357"/>
      <c r="BR312" s="357"/>
      <c r="BS312" s="357"/>
      <c r="BT312" s="357"/>
      <c r="BU312" s="357"/>
      <c r="BV312" s="357"/>
      <c r="BW312" s="357"/>
      <c r="BX312" s="357"/>
      <c r="BY312" s="357"/>
      <c r="BZ312" s="357"/>
      <c r="CA312" s="357"/>
      <c r="CB312" s="357"/>
      <c r="CC312" s="357"/>
      <c r="CD312" s="357"/>
      <c r="CE312" s="357"/>
      <c r="CF312" s="357"/>
      <c r="CG312" s="357"/>
      <c r="CH312" s="357"/>
      <c r="CI312" s="357"/>
      <c r="CJ312" s="357"/>
      <c r="CK312" s="357"/>
      <c r="CL312" s="357"/>
      <c r="CM312" s="357"/>
      <c r="CN312" s="357"/>
      <c r="CO312" s="357"/>
      <c r="CP312" s="357"/>
      <c r="CQ312" s="357"/>
      <c r="CR312" s="357"/>
      <c r="CS312" s="357"/>
      <c r="CT312" s="357"/>
      <c r="CU312" s="357"/>
      <c r="CV312" s="357"/>
      <c r="CW312" s="357"/>
      <c r="CX312" s="357"/>
      <c r="CY312" s="357"/>
      <c r="CZ312" s="357"/>
      <c r="DA312" s="357"/>
      <c r="DB312" s="357"/>
      <c r="DC312" s="357"/>
      <c r="DD312" s="357"/>
      <c r="DE312" s="357"/>
      <c r="DF312" s="357"/>
      <c r="DG312" s="357"/>
      <c r="DH312" s="357"/>
      <c r="DI312" s="357"/>
      <c r="DJ312" s="357"/>
      <c r="DK312" s="357"/>
      <c r="DL312" s="357"/>
      <c r="DM312" s="357"/>
      <c r="DN312" s="357"/>
      <c r="DO312" s="357"/>
      <c r="DP312" s="357"/>
      <c r="DQ312" s="357"/>
      <c r="DR312" s="357"/>
      <c r="DS312" s="357"/>
      <c r="DT312" s="357"/>
      <c r="DU312" s="357"/>
      <c r="DV312" s="357"/>
      <c r="DW312" s="357"/>
      <c r="DX312" s="357"/>
      <c r="DY312" s="357"/>
      <c r="DZ312" s="357"/>
      <c r="EA312" s="357"/>
      <c r="EB312" s="357"/>
      <c r="EC312" s="357"/>
      <c r="ED312" s="357"/>
      <c r="EE312" s="357"/>
      <c r="EF312" s="357"/>
      <c r="EG312" s="357"/>
      <c r="EH312" s="357"/>
      <c r="EI312" s="357"/>
      <c r="EJ312" s="357"/>
      <c r="EK312" s="357"/>
      <c r="EL312" s="357"/>
      <c r="EM312" s="357"/>
      <c r="EN312" s="357"/>
      <c r="EO312" s="357"/>
      <c r="EP312" s="357"/>
      <c r="EQ312" s="357"/>
      <c r="ER312" s="357"/>
      <c r="ES312" s="357"/>
      <c r="ET312" s="357"/>
      <c r="EU312" s="357"/>
      <c r="EV312" s="357"/>
      <c r="EW312" s="357"/>
      <c r="EX312" s="357"/>
      <c r="EY312" s="357"/>
      <c r="EZ312" s="357"/>
      <c r="FA312" s="357"/>
      <c r="FB312" s="357"/>
      <c r="FC312" s="357"/>
      <c r="FD312" s="357"/>
      <c r="FE312" s="357"/>
      <c r="FF312" s="357"/>
      <c r="FG312" s="357"/>
      <c r="FH312" s="357"/>
      <c r="FI312" s="357"/>
      <c r="FJ312" s="357"/>
      <c r="FK312" s="357"/>
      <c r="FL312" s="357"/>
      <c r="FM312" s="357"/>
      <c r="FN312" s="357"/>
      <c r="FO312" s="357"/>
      <c r="FP312" s="357"/>
      <c r="FQ312" s="357"/>
      <c r="FR312" s="357"/>
      <c r="FS312" s="357"/>
      <c r="FT312" s="357"/>
      <c r="FU312" s="357"/>
      <c r="FV312" s="357"/>
      <c r="FW312" s="357"/>
      <c r="FX312" s="357"/>
      <c r="FY312" s="357"/>
      <c r="FZ312" s="357"/>
      <c r="GA312" s="357"/>
      <c r="GB312" s="357"/>
      <c r="GC312" s="357"/>
      <c r="GD312" s="357"/>
      <c r="GE312" s="357"/>
      <c r="GF312" s="357"/>
      <c r="GG312" s="357"/>
      <c r="GH312" s="357"/>
      <c r="GI312" s="357"/>
      <c r="GJ312" s="357"/>
      <c r="GK312" s="154"/>
      <c r="GL312" s="154"/>
      <c r="GM312" s="154"/>
      <c r="GN312" s="154"/>
      <c r="GO312" s="154"/>
      <c r="GP312" s="154"/>
      <c r="GQ312" s="154"/>
      <c r="GR312" s="154"/>
      <c r="GS312" s="154"/>
      <c r="GT312" s="154"/>
      <c r="GU312" s="154"/>
      <c r="GV312" s="154"/>
      <c r="GW312" s="154"/>
      <c r="GX312" s="154"/>
    </row>
    <row r="313" spans="7:206">
      <c r="G313" s="154"/>
      <c r="H313" s="154"/>
      <c r="I313" s="154"/>
      <c r="J313" s="154"/>
      <c r="K313" s="154"/>
      <c r="L313" s="154"/>
      <c r="M313" s="154"/>
      <c r="N313" s="154"/>
      <c r="O313" s="154"/>
      <c r="P313" s="154"/>
      <c r="Q313" s="154"/>
      <c r="R313" s="154"/>
      <c r="S313" s="154"/>
      <c r="T313" s="154"/>
      <c r="U313" s="154"/>
      <c r="V313" s="154"/>
      <c r="W313" s="154"/>
      <c r="X313" s="154"/>
      <c r="Y313" s="154"/>
      <c r="Z313" s="357"/>
      <c r="AA313" s="357"/>
      <c r="AB313" s="357"/>
      <c r="AC313" s="357"/>
      <c r="AD313" s="357"/>
      <c r="AE313" s="357"/>
      <c r="AF313" s="357"/>
      <c r="AG313" s="357"/>
      <c r="AH313" s="357"/>
      <c r="AI313" s="357"/>
      <c r="AJ313" s="357"/>
      <c r="AK313" s="357"/>
      <c r="AL313" s="357"/>
      <c r="AM313" s="357"/>
      <c r="AN313" s="357"/>
      <c r="AO313" s="357"/>
      <c r="AP313" s="357"/>
      <c r="AQ313" s="357"/>
      <c r="AR313" s="357"/>
      <c r="AS313" s="357"/>
      <c r="AT313" s="357"/>
      <c r="AU313" s="357"/>
      <c r="AV313" s="357"/>
      <c r="AW313" s="357"/>
      <c r="AX313" s="357"/>
      <c r="AY313" s="357"/>
      <c r="AZ313" s="357"/>
      <c r="BA313" s="357"/>
      <c r="BB313" s="357"/>
      <c r="BC313" s="357"/>
      <c r="BD313" s="357"/>
      <c r="BE313" s="357"/>
      <c r="BF313" s="357"/>
      <c r="BG313" s="357"/>
      <c r="BH313" s="357"/>
      <c r="BI313" s="357"/>
      <c r="BJ313" s="357"/>
      <c r="BK313" s="357"/>
      <c r="BL313" s="357"/>
      <c r="BM313" s="357"/>
      <c r="BN313" s="357"/>
      <c r="BO313" s="357"/>
      <c r="BP313" s="357"/>
      <c r="BQ313" s="357"/>
      <c r="BR313" s="357"/>
      <c r="BS313" s="357"/>
      <c r="BT313" s="357"/>
      <c r="BU313" s="357"/>
      <c r="BV313" s="357"/>
      <c r="BW313" s="357"/>
      <c r="BX313" s="357"/>
      <c r="BY313" s="357"/>
      <c r="BZ313" s="357"/>
      <c r="CA313" s="357"/>
      <c r="CB313" s="357"/>
      <c r="CC313" s="357"/>
      <c r="CD313" s="357"/>
      <c r="CE313" s="357"/>
      <c r="CF313" s="357"/>
      <c r="CG313" s="357"/>
      <c r="CH313" s="357"/>
      <c r="CI313" s="357"/>
      <c r="CJ313" s="357"/>
      <c r="CK313" s="357"/>
      <c r="CL313" s="357"/>
      <c r="CM313" s="357"/>
      <c r="CN313" s="357"/>
      <c r="CO313" s="357"/>
      <c r="CP313" s="357"/>
      <c r="CQ313" s="357"/>
      <c r="CR313" s="357"/>
      <c r="CS313" s="357"/>
      <c r="CT313" s="357"/>
      <c r="CU313" s="357"/>
      <c r="CV313" s="357"/>
      <c r="CW313" s="357"/>
      <c r="CX313" s="357"/>
      <c r="CY313" s="357"/>
      <c r="CZ313" s="357"/>
      <c r="DA313" s="357"/>
      <c r="DB313" s="357"/>
      <c r="DC313" s="357"/>
      <c r="DD313" s="357"/>
      <c r="DE313" s="357"/>
      <c r="DF313" s="357"/>
      <c r="DG313" s="357"/>
      <c r="DH313" s="357"/>
      <c r="DI313" s="357"/>
      <c r="DJ313" s="357"/>
      <c r="DK313" s="357"/>
      <c r="DL313" s="357"/>
      <c r="DM313" s="357"/>
      <c r="DN313" s="357"/>
      <c r="DO313" s="357"/>
      <c r="DP313" s="357"/>
      <c r="DQ313" s="357"/>
      <c r="DR313" s="357"/>
      <c r="DS313" s="357"/>
      <c r="DT313" s="357"/>
      <c r="DU313" s="357"/>
      <c r="DV313" s="357"/>
      <c r="DW313" s="357"/>
      <c r="DX313" s="357"/>
      <c r="DY313" s="357"/>
      <c r="DZ313" s="357"/>
      <c r="EA313" s="357"/>
      <c r="EB313" s="357"/>
      <c r="EC313" s="357"/>
      <c r="ED313" s="357"/>
      <c r="EE313" s="357"/>
      <c r="EF313" s="357"/>
      <c r="EG313" s="357"/>
      <c r="EH313" s="357"/>
      <c r="EI313" s="357"/>
      <c r="EJ313" s="357"/>
      <c r="EK313" s="357"/>
      <c r="EL313" s="357"/>
      <c r="EM313" s="357"/>
      <c r="EN313" s="357"/>
      <c r="EO313" s="357"/>
      <c r="EP313" s="357"/>
      <c r="EQ313" s="357"/>
      <c r="ER313" s="357"/>
      <c r="ES313" s="357"/>
      <c r="ET313" s="357"/>
      <c r="EU313" s="357"/>
      <c r="EV313" s="357"/>
      <c r="EW313" s="357"/>
      <c r="EX313" s="357"/>
      <c r="EY313" s="357"/>
      <c r="EZ313" s="357"/>
      <c r="FA313" s="357"/>
      <c r="FB313" s="357"/>
      <c r="FC313" s="357"/>
      <c r="FD313" s="357"/>
      <c r="FE313" s="357"/>
      <c r="FF313" s="357"/>
      <c r="FG313" s="357"/>
      <c r="FH313" s="357"/>
      <c r="FI313" s="357"/>
      <c r="FJ313" s="357"/>
      <c r="FK313" s="357"/>
      <c r="FL313" s="357"/>
      <c r="FM313" s="357"/>
      <c r="FN313" s="357"/>
      <c r="FO313" s="357"/>
      <c r="FP313" s="357"/>
      <c r="FQ313" s="357"/>
      <c r="FR313" s="357"/>
      <c r="FS313" s="357"/>
      <c r="FT313" s="357"/>
      <c r="FU313" s="357"/>
      <c r="FV313" s="357"/>
      <c r="FW313" s="357"/>
      <c r="FX313" s="357"/>
      <c r="FY313" s="357"/>
      <c r="FZ313" s="357"/>
      <c r="GA313" s="357"/>
      <c r="GB313" s="357"/>
      <c r="GC313" s="357"/>
      <c r="GD313" s="357"/>
      <c r="GE313" s="357"/>
      <c r="GF313" s="357"/>
      <c r="GG313" s="357"/>
      <c r="GH313" s="357"/>
      <c r="GI313" s="357"/>
      <c r="GJ313" s="357"/>
      <c r="GK313" s="154"/>
      <c r="GL313" s="154"/>
      <c r="GM313" s="154"/>
      <c r="GN313" s="154"/>
      <c r="GO313" s="154"/>
      <c r="GP313" s="154"/>
      <c r="GQ313" s="154"/>
      <c r="GR313" s="154"/>
      <c r="GS313" s="154"/>
      <c r="GT313" s="154"/>
      <c r="GU313" s="154"/>
      <c r="GV313" s="154"/>
      <c r="GW313" s="154"/>
      <c r="GX313" s="154"/>
    </row>
    <row r="314" spans="7:206">
      <c r="G314" s="154"/>
      <c r="H314" s="154"/>
      <c r="I314" s="154"/>
      <c r="J314" s="154"/>
      <c r="K314" s="154"/>
      <c r="L314" s="154"/>
      <c r="M314" s="154"/>
      <c r="N314" s="154"/>
      <c r="O314" s="154"/>
      <c r="P314" s="154"/>
      <c r="Q314" s="154"/>
      <c r="R314" s="154"/>
      <c r="S314" s="154"/>
      <c r="T314" s="154"/>
      <c r="U314" s="154"/>
      <c r="V314" s="154"/>
      <c r="W314" s="154"/>
      <c r="X314" s="154"/>
      <c r="Y314" s="154"/>
      <c r="Z314" s="357"/>
      <c r="AA314" s="357"/>
      <c r="AB314" s="357"/>
      <c r="AC314" s="357"/>
      <c r="AD314" s="357"/>
      <c r="AE314" s="357"/>
      <c r="AF314" s="357"/>
      <c r="AG314" s="357"/>
      <c r="AH314" s="357"/>
      <c r="AI314" s="357"/>
      <c r="AJ314" s="357"/>
      <c r="AK314" s="357"/>
      <c r="AL314" s="357"/>
      <c r="AM314" s="357"/>
      <c r="AN314" s="357"/>
      <c r="AO314" s="357"/>
      <c r="AP314" s="357"/>
      <c r="AQ314" s="357"/>
      <c r="AR314" s="357"/>
      <c r="AS314" s="357"/>
      <c r="AT314" s="357"/>
      <c r="AU314" s="357"/>
      <c r="AV314" s="357"/>
      <c r="AW314" s="357"/>
      <c r="AX314" s="357"/>
      <c r="AY314" s="357"/>
      <c r="AZ314" s="357"/>
      <c r="BA314" s="357"/>
      <c r="BB314" s="357"/>
      <c r="BC314" s="357"/>
      <c r="BD314" s="357"/>
      <c r="BE314" s="357"/>
      <c r="BF314" s="357"/>
      <c r="BG314" s="357"/>
      <c r="BH314" s="357"/>
      <c r="BI314" s="357"/>
      <c r="BJ314" s="357"/>
      <c r="BK314" s="357"/>
      <c r="BL314" s="357"/>
      <c r="BM314" s="357"/>
      <c r="BN314" s="357"/>
      <c r="BO314" s="357"/>
      <c r="BP314" s="357"/>
      <c r="BQ314" s="357"/>
      <c r="BR314" s="357"/>
      <c r="BS314" s="357"/>
      <c r="BT314" s="357"/>
      <c r="BU314" s="357"/>
      <c r="BV314" s="357"/>
      <c r="BW314" s="357"/>
      <c r="BX314" s="357"/>
      <c r="BY314" s="357"/>
      <c r="BZ314" s="357"/>
      <c r="CA314" s="357"/>
      <c r="CB314" s="357"/>
      <c r="CC314" s="357"/>
      <c r="CD314" s="357"/>
      <c r="CE314" s="357"/>
      <c r="CF314" s="357"/>
      <c r="CG314" s="357"/>
      <c r="CH314" s="357"/>
      <c r="CI314" s="357"/>
      <c r="CJ314" s="357"/>
      <c r="CK314" s="357"/>
      <c r="CL314" s="357"/>
      <c r="CM314" s="357"/>
      <c r="CN314" s="357"/>
      <c r="CO314" s="357"/>
      <c r="CP314" s="357"/>
      <c r="CQ314" s="357"/>
      <c r="CR314" s="357"/>
      <c r="CS314" s="357"/>
      <c r="CT314" s="357"/>
      <c r="CU314" s="357"/>
      <c r="CV314" s="357"/>
      <c r="CW314" s="357"/>
      <c r="CX314" s="357"/>
      <c r="CY314" s="357"/>
      <c r="CZ314" s="357"/>
      <c r="DA314" s="357"/>
      <c r="DB314" s="357"/>
      <c r="DC314" s="357"/>
      <c r="DD314" s="357"/>
      <c r="DE314" s="357"/>
      <c r="DF314" s="357"/>
      <c r="DG314" s="357"/>
      <c r="DH314" s="357"/>
      <c r="DI314" s="357"/>
      <c r="DJ314" s="357"/>
      <c r="DK314" s="357"/>
      <c r="DL314" s="357"/>
      <c r="DM314" s="357"/>
      <c r="DN314" s="357"/>
      <c r="DO314" s="357"/>
      <c r="DP314" s="357"/>
      <c r="DQ314" s="357"/>
      <c r="DR314" s="357"/>
      <c r="DS314" s="357"/>
      <c r="DT314" s="357"/>
      <c r="DU314" s="357"/>
      <c r="DV314" s="357"/>
      <c r="DW314" s="357"/>
      <c r="DX314" s="357"/>
      <c r="DY314" s="357"/>
      <c r="DZ314" s="357"/>
      <c r="EA314" s="357"/>
      <c r="EB314" s="357"/>
      <c r="EC314" s="357"/>
      <c r="ED314" s="357"/>
      <c r="EE314" s="357"/>
      <c r="EF314" s="357"/>
      <c r="EG314" s="357"/>
      <c r="EH314" s="357"/>
      <c r="EI314" s="357"/>
      <c r="EJ314" s="357"/>
      <c r="EK314" s="357"/>
      <c r="EL314" s="357"/>
      <c r="EM314" s="357"/>
      <c r="EN314" s="357"/>
      <c r="EO314" s="357"/>
      <c r="EP314" s="357"/>
      <c r="EQ314" s="357"/>
      <c r="ER314" s="357"/>
      <c r="ES314" s="357"/>
      <c r="ET314" s="357"/>
      <c r="EU314" s="357"/>
      <c r="EV314" s="357"/>
      <c r="EW314" s="357"/>
      <c r="EX314" s="357"/>
      <c r="EY314" s="357"/>
      <c r="EZ314" s="357"/>
      <c r="FA314" s="357"/>
      <c r="FB314" s="357"/>
      <c r="FC314" s="357"/>
      <c r="FD314" s="357"/>
      <c r="FE314" s="357"/>
      <c r="FF314" s="357"/>
      <c r="FG314" s="357"/>
      <c r="FH314" s="357"/>
      <c r="FI314" s="357"/>
      <c r="FJ314" s="357"/>
      <c r="FK314" s="357"/>
      <c r="FL314" s="357"/>
      <c r="FM314" s="357"/>
      <c r="FN314" s="357"/>
      <c r="FO314" s="357"/>
      <c r="FP314" s="357"/>
      <c r="FQ314" s="357"/>
      <c r="FR314" s="357"/>
      <c r="FS314" s="357"/>
      <c r="FT314" s="357"/>
      <c r="FU314" s="357"/>
      <c r="FV314" s="357"/>
      <c r="FW314" s="357"/>
      <c r="FX314" s="357"/>
      <c r="FY314" s="357"/>
      <c r="FZ314" s="357"/>
      <c r="GA314" s="357"/>
      <c r="GB314" s="357"/>
      <c r="GC314" s="357"/>
      <c r="GD314" s="357"/>
      <c r="GE314" s="357"/>
      <c r="GF314" s="357"/>
      <c r="GG314" s="357"/>
      <c r="GH314" s="357"/>
      <c r="GI314" s="357"/>
      <c r="GJ314" s="357"/>
      <c r="GK314" s="154"/>
      <c r="GL314" s="154"/>
      <c r="GM314" s="154"/>
      <c r="GN314" s="154"/>
      <c r="GO314" s="154"/>
      <c r="GP314" s="154"/>
      <c r="GQ314" s="154"/>
      <c r="GR314" s="154"/>
      <c r="GS314" s="154"/>
      <c r="GT314" s="154"/>
      <c r="GU314" s="154"/>
      <c r="GV314" s="154"/>
      <c r="GW314" s="154"/>
      <c r="GX314" s="154"/>
    </row>
    <row r="315" spans="7:206">
      <c r="G315" s="154"/>
      <c r="H315" s="154"/>
      <c r="I315" s="154"/>
      <c r="J315" s="154"/>
      <c r="K315" s="154"/>
      <c r="L315" s="154"/>
      <c r="M315" s="154"/>
      <c r="N315" s="154"/>
      <c r="O315" s="154"/>
      <c r="P315" s="154"/>
      <c r="Q315" s="154"/>
      <c r="R315" s="154"/>
      <c r="S315" s="154"/>
      <c r="T315" s="154"/>
      <c r="U315" s="154"/>
      <c r="V315" s="154"/>
      <c r="W315" s="154"/>
      <c r="X315" s="154"/>
      <c r="Y315" s="154"/>
      <c r="Z315" s="357"/>
      <c r="AA315" s="357"/>
      <c r="AB315" s="357"/>
      <c r="AC315" s="357"/>
      <c r="AD315" s="357"/>
      <c r="AE315" s="357"/>
      <c r="AF315" s="357"/>
      <c r="AG315" s="357"/>
      <c r="AH315" s="357"/>
      <c r="AI315" s="357"/>
      <c r="AJ315" s="357"/>
      <c r="AK315" s="357"/>
      <c r="AL315" s="357"/>
      <c r="AM315" s="357"/>
      <c r="AN315" s="357"/>
      <c r="AO315" s="357"/>
      <c r="AP315" s="357"/>
      <c r="AQ315" s="357"/>
      <c r="AR315" s="357"/>
      <c r="AS315" s="357"/>
      <c r="AT315" s="357"/>
      <c r="AU315" s="357"/>
      <c r="AV315" s="357"/>
      <c r="AW315" s="357"/>
      <c r="AX315" s="357"/>
      <c r="AY315" s="357"/>
      <c r="AZ315" s="357"/>
      <c r="BA315" s="357"/>
      <c r="BB315" s="357"/>
      <c r="BC315" s="357"/>
      <c r="BD315" s="357"/>
      <c r="BE315" s="357"/>
      <c r="BF315" s="357"/>
      <c r="BG315" s="357"/>
      <c r="BH315" s="357"/>
      <c r="BI315" s="357"/>
      <c r="BJ315" s="357"/>
      <c r="BK315" s="357"/>
      <c r="BL315" s="357"/>
      <c r="BM315" s="357"/>
      <c r="BN315" s="357"/>
      <c r="BO315" s="357"/>
      <c r="BP315" s="357"/>
      <c r="BQ315" s="357"/>
      <c r="BR315" s="357"/>
      <c r="BS315" s="357"/>
      <c r="BT315" s="357"/>
      <c r="BU315" s="357"/>
      <c r="BV315" s="357"/>
      <c r="BW315" s="357"/>
      <c r="BX315" s="357"/>
      <c r="BY315" s="357"/>
      <c r="BZ315" s="357"/>
      <c r="CA315" s="357"/>
      <c r="CB315" s="357"/>
      <c r="CC315" s="357"/>
      <c r="CD315" s="357"/>
      <c r="CE315" s="357"/>
      <c r="CF315" s="357"/>
      <c r="CG315" s="357"/>
      <c r="CH315" s="357"/>
      <c r="CI315" s="357"/>
      <c r="CJ315" s="357"/>
      <c r="CK315" s="357"/>
      <c r="CL315" s="357"/>
      <c r="CM315" s="357"/>
      <c r="CN315" s="357"/>
      <c r="CO315" s="357"/>
      <c r="CP315" s="357"/>
      <c r="CQ315" s="357"/>
      <c r="CR315" s="357"/>
      <c r="CS315" s="357"/>
      <c r="CT315" s="357"/>
      <c r="CU315" s="357"/>
      <c r="CV315" s="357"/>
      <c r="CW315" s="357"/>
      <c r="CX315" s="357"/>
      <c r="CY315" s="357"/>
      <c r="CZ315" s="357"/>
      <c r="DA315" s="357"/>
      <c r="DB315" s="357"/>
      <c r="DC315" s="357"/>
      <c r="DD315" s="357"/>
      <c r="DE315" s="357"/>
      <c r="DF315" s="357"/>
      <c r="DG315" s="357"/>
      <c r="DH315" s="357"/>
      <c r="DI315" s="357"/>
      <c r="DJ315" s="357"/>
      <c r="DK315" s="357"/>
      <c r="DL315" s="357"/>
      <c r="DM315" s="357"/>
      <c r="DN315" s="357"/>
      <c r="DO315" s="357"/>
      <c r="DP315" s="357"/>
      <c r="DQ315" s="357"/>
      <c r="DR315" s="357"/>
      <c r="DS315" s="357"/>
      <c r="DT315" s="357"/>
      <c r="DU315" s="357"/>
      <c r="DV315" s="357"/>
      <c r="DW315" s="357"/>
      <c r="DX315" s="357"/>
      <c r="DY315" s="357"/>
      <c r="DZ315" s="357"/>
      <c r="EA315" s="357"/>
      <c r="EB315" s="357"/>
      <c r="EC315" s="357"/>
      <c r="ED315" s="357"/>
      <c r="EE315" s="357"/>
      <c r="EF315" s="357"/>
      <c r="EG315" s="357"/>
      <c r="EH315" s="357"/>
      <c r="EI315" s="357"/>
      <c r="EJ315" s="357"/>
      <c r="EK315" s="357"/>
      <c r="EL315" s="357"/>
      <c r="EM315" s="357"/>
      <c r="EN315" s="357"/>
      <c r="EO315" s="357"/>
      <c r="EP315" s="357"/>
      <c r="EQ315" s="357"/>
      <c r="ER315" s="357"/>
      <c r="ES315" s="357"/>
      <c r="ET315" s="357"/>
      <c r="EU315" s="357"/>
      <c r="EV315" s="357"/>
      <c r="EW315" s="357"/>
      <c r="EX315" s="357"/>
      <c r="EY315" s="357"/>
      <c r="EZ315" s="357"/>
      <c r="FA315" s="357"/>
      <c r="FB315" s="357"/>
      <c r="FC315" s="357"/>
      <c r="FD315" s="357"/>
      <c r="FE315" s="357"/>
      <c r="FF315" s="357"/>
      <c r="FG315" s="357"/>
      <c r="FH315" s="357"/>
      <c r="FI315" s="357"/>
      <c r="FJ315" s="357"/>
      <c r="FK315" s="357"/>
      <c r="FL315" s="357"/>
      <c r="FM315" s="357"/>
      <c r="FN315" s="357"/>
      <c r="FO315" s="357"/>
      <c r="FP315" s="357"/>
      <c r="FQ315" s="357"/>
      <c r="FR315" s="357"/>
      <c r="FS315" s="357"/>
      <c r="FT315" s="357"/>
      <c r="FU315" s="357"/>
      <c r="FV315" s="357"/>
      <c r="FW315" s="357"/>
      <c r="FX315" s="357"/>
      <c r="FY315" s="357"/>
      <c r="FZ315" s="357"/>
      <c r="GA315" s="357"/>
      <c r="GB315" s="357"/>
      <c r="GC315" s="357"/>
      <c r="GD315" s="357"/>
      <c r="GE315" s="357"/>
      <c r="GF315" s="357"/>
      <c r="GG315" s="357"/>
      <c r="GH315" s="357"/>
      <c r="GI315" s="357"/>
      <c r="GJ315" s="357"/>
      <c r="GK315" s="154"/>
      <c r="GL315" s="154"/>
      <c r="GM315" s="154"/>
      <c r="GN315" s="154"/>
      <c r="GO315" s="154"/>
      <c r="GP315" s="154"/>
      <c r="GQ315" s="154"/>
      <c r="GR315" s="154"/>
      <c r="GS315" s="154"/>
      <c r="GT315" s="154"/>
      <c r="GU315" s="154"/>
      <c r="GV315" s="154"/>
      <c r="GW315" s="154"/>
      <c r="GX315" s="154"/>
    </row>
    <row r="316" spans="7:206">
      <c r="G316" s="154"/>
      <c r="H316" s="154"/>
      <c r="I316" s="154"/>
      <c r="J316" s="154"/>
      <c r="K316" s="154"/>
      <c r="L316" s="154"/>
      <c r="M316" s="154"/>
      <c r="N316" s="154"/>
      <c r="O316" s="154"/>
      <c r="P316" s="154"/>
      <c r="Q316" s="154"/>
      <c r="R316" s="154"/>
      <c r="S316" s="154"/>
      <c r="T316" s="154"/>
      <c r="U316" s="154"/>
      <c r="V316" s="154"/>
      <c r="W316" s="154"/>
      <c r="X316" s="154"/>
      <c r="Y316" s="154"/>
      <c r="Z316" s="357"/>
      <c r="AA316" s="357"/>
      <c r="AB316" s="357"/>
      <c r="AC316" s="357"/>
      <c r="AD316" s="357"/>
      <c r="AE316" s="357"/>
      <c r="AF316" s="357"/>
      <c r="AG316" s="357"/>
      <c r="AH316" s="357"/>
      <c r="AI316" s="357"/>
      <c r="AJ316" s="357"/>
      <c r="AK316" s="357"/>
      <c r="AL316" s="357"/>
      <c r="AM316" s="357"/>
      <c r="AN316" s="357"/>
      <c r="AO316" s="357"/>
      <c r="AP316" s="357"/>
      <c r="AQ316" s="357"/>
      <c r="AR316" s="357"/>
      <c r="AS316" s="357"/>
      <c r="AT316" s="357"/>
      <c r="AU316" s="357"/>
      <c r="AV316" s="357"/>
      <c r="AW316" s="357"/>
      <c r="AX316" s="357"/>
      <c r="AY316" s="357"/>
      <c r="AZ316" s="357"/>
      <c r="BA316" s="357"/>
      <c r="BB316" s="357"/>
      <c r="BC316" s="357"/>
      <c r="BD316" s="357"/>
      <c r="BE316" s="357"/>
      <c r="BF316" s="357"/>
      <c r="BG316" s="357"/>
      <c r="BH316" s="357"/>
      <c r="BI316" s="357"/>
      <c r="BJ316" s="357"/>
      <c r="BK316" s="357"/>
      <c r="BL316" s="357"/>
      <c r="BM316" s="357"/>
      <c r="BN316" s="357"/>
      <c r="BO316" s="357"/>
      <c r="BP316" s="357"/>
      <c r="BQ316" s="357"/>
      <c r="BR316" s="357"/>
      <c r="BS316" s="357"/>
      <c r="BT316" s="357"/>
      <c r="BU316" s="357"/>
      <c r="BV316" s="357"/>
      <c r="BW316" s="357"/>
      <c r="BX316" s="357"/>
      <c r="BY316" s="357"/>
      <c r="BZ316" s="357"/>
      <c r="CA316" s="357"/>
      <c r="CB316" s="357"/>
      <c r="CC316" s="357"/>
      <c r="CD316" s="357"/>
      <c r="CE316" s="357"/>
      <c r="CF316" s="357"/>
      <c r="CG316" s="357"/>
      <c r="CH316" s="357"/>
      <c r="CI316" s="357"/>
      <c r="CJ316" s="357"/>
      <c r="CK316" s="357"/>
      <c r="CL316" s="357"/>
      <c r="CM316" s="357"/>
      <c r="CN316" s="357"/>
      <c r="CO316" s="357"/>
      <c r="CP316" s="357"/>
      <c r="CQ316" s="357"/>
      <c r="CR316" s="357"/>
      <c r="CS316" s="357"/>
      <c r="CT316" s="357"/>
      <c r="CU316" s="357"/>
      <c r="CV316" s="357"/>
      <c r="CW316" s="357"/>
      <c r="CX316" s="357"/>
      <c r="CY316" s="357"/>
      <c r="CZ316" s="357"/>
      <c r="DA316" s="357"/>
      <c r="DB316" s="357"/>
      <c r="DC316" s="357"/>
      <c r="DD316" s="357"/>
      <c r="DE316" s="357"/>
      <c r="DF316" s="357"/>
      <c r="DG316" s="357"/>
      <c r="DH316" s="357"/>
      <c r="DI316" s="357"/>
      <c r="DJ316" s="357"/>
      <c r="DK316" s="357"/>
      <c r="DL316" s="357"/>
      <c r="DM316" s="357"/>
      <c r="DN316" s="357"/>
      <c r="DO316" s="357"/>
      <c r="DP316" s="357"/>
      <c r="DQ316" s="357"/>
      <c r="DR316" s="357"/>
      <c r="DS316" s="357"/>
      <c r="DT316" s="357"/>
      <c r="DU316" s="357"/>
      <c r="DV316" s="357"/>
      <c r="DW316" s="357"/>
      <c r="DX316" s="357"/>
      <c r="DY316" s="357"/>
      <c r="DZ316" s="357"/>
      <c r="EA316" s="357"/>
      <c r="EB316" s="357"/>
      <c r="EC316" s="357"/>
      <c r="ED316" s="357"/>
      <c r="EE316" s="357"/>
      <c r="EF316" s="357"/>
      <c r="EG316" s="357"/>
      <c r="EH316" s="357"/>
      <c r="EI316" s="357"/>
      <c r="EJ316" s="357"/>
      <c r="EK316" s="357"/>
      <c r="EL316" s="357"/>
      <c r="EM316" s="357"/>
      <c r="EN316" s="357"/>
      <c r="EO316" s="357"/>
      <c r="EP316" s="357"/>
      <c r="EQ316" s="357"/>
      <c r="ER316" s="357"/>
      <c r="ES316" s="357"/>
      <c r="ET316" s="357"/>
      <c r="EU316" s="357"/>
      <c r="EV316" s="357"/>
      <c r="EW316" s="357"/>
      <c r="EX316" s="357"/>
      <c r="EY316" s="357"/>
      <c r="EZ316" s="357"/>
      <c r="FA316" s="357"/>
      <c r="FB316" s="357"/>
      <c r="FC316" s="357"/>
      <c r="FD316" s="357"/>
      <c r="FE316" s="357"/>
      <c r="FF316" s="357"/>
      <c r="FG316" s="357"/>
      <c r="FH316" s="357"/>
      <c r="FI316" s="357"/>
      <c r="FJ316" s="357"/>
      <c r="FK316" s="357"/>
      <c r="FL316" s="357"/>
      <c r="FM316" s="357"/>
      <c r="FN316" s="357"/>
      <c r="FO316" s="357"/>
      <c r="FP316" s="357"/>
      <c r="FQ316" s="357"/>
      <c r="FR316" s="357"/>
      <c r="FS316" s="357"/>
      <c r="FT316" s="357"/>
      <c r="FU316" s="357"/>
      <c r="FV316" s="357"/>
      <c r="FW316" s="357"/>
      <c r="FX316" s="357"/>
      <c r="FY316" s="357"/>
      <c r="FZ316" s="357"/>
      <c r="GA316" s="357"/>
      <c r="GB316" s="357"/>
      <c r="GC316" s="357"/>
      <c r="GD316" s="357"/>
      <c r="GE316" s="357"/>
      <c r="GF316" s="357"/>
      <c r="GG316" s="357"/>
      <c r="GH316" s="357"/>
      <c r="GI316" s="357"/>
      <c r="GJ316" s="357"/>
      <c r="GK316" s="154"/>
      <c r="GL316" s="154"/>
      <c r="GM316" s="154"/>
      <c r="GN316" s="154"/>
      <c r="GO316" s="154"/>
      <c r="GP316" s="154"/>
      <c r="GQ316" s="154"/>
      <c r="GR316" s="154"/>
      <c r="GS316" s="154"/>
      <c r="GT316" s="154"/>
      <c r="GU316" s="154"/>
      <c r="GV316" s="154"/>
      <c r="GW316" s="154"/>
      <c r="GX316" s="154"/>
    </row>
    <row r="317" spans="7:206">
      <c r="G317" s="154"/>
      <c r="H317" s="154"/>
      <c r="I317" s="154"/>
      <c r="J317" s="154"/>
      <c r="K317" s="154"/>
      <c r="L317" s="154"/>
      <c r="M317" s="154"/>
      <c r="N317" s="154"/>
      <c r="O317" s="154"/>
      <c r="P317" s="154"/>
      <c r="Q317" s="154"/>
      <c r="R317" s="154"/>
      <c r="S317" s="154"/>
      <c r="T317" s="154"/>
      <c r="U317" s="154"/>
      <c r="V317" s="154"/>
      <c r="W317" s="154"/>
      <c r="X317" s="154"/>
      <c r="Y317" s="154"/>
      <c r="Z317" s="357"/>
      <c r="AA317" s="357"/>
      <c r="AB317" s="357"/>
      <c r="AC317" s="357"/>
      <c r="AD317" s="357"/>
      <c r="AE317" s="357"/>
      <c r="AF317" s="357"/>
      <c r="AG317" s="357"/>
      <c r="AH317" s="357"/>
      <c r="AI317" s="357"/>
      <c r="AJ317" s="357"/>
      <c r="AK317" s="357"/>
      <c r="AL317" s="357"/>
      <c r="AM317" s="357"/>
      <c r="AN317" s="357"/>
      <c r="AO317" s="357"/>
      <c r="AP317" s="357"/>
      <c r="AQ317" s="357"/>
      <c r="AR317" s="357"/>
      <c r="AS317" s="357"/>
      <c r="AT317" s="357"/>
      <c r="AU317" s="357"/>
      <c r="AV317" s="357"/>
      <c r="AW317" s="357"/>
      <c r="AX317" s="357"/>
      <c r="AY317" s="357"/>
      <c r="AZ317" s="357"/>
      <c r="BA317" s="357"/>
      <c r="BB317" s="357"/>
      <c r="BC317" s="357"/>
      <c r="BD317" s="357"/>
      <c r="BE317" s="357"/>
      <c r="BF317" s="357"/>
      <c r="BG317" s="357"/>
      <c r="BH317" s="357"/>
      <c r="BI317" s="357"/>
      <c r="BJ317" s="357"/>
      <c r="BK317" s="357"/>
      <c r="BL317" s="357"/>
      <c r="BM317" s="357"/>
      <c r="BN317" s="357"/>
      <c r="BO317" s="357"/>
      <c r="BP317" s="357"/>
      <c r="BQ317" s="357"/>
      <c r="BR317" s="357"/>
      <c r="BS317" s="357"/>
      <c r="BT317" s="357"/>
      <c r="BU317" s="357"/>
      <c r="BV317" s="357"/>
      <c r="BW317" s="357"/>
      <c r="BX317" s="357"/>
      <c r="BY317" s="357"/>
      <c r="BZ317" s="357"/>
      <c r="CA317" s="357"/>
      <c r="CB317" s="357"/>
      <c r="CC317" s="357"/>
      <c r="CD317" s="357"/>
      <c r="CE317" s="357"/>
      <c r="CF317" s="357"/>
      <c r="CG317" s="357"/>
      <c r="CH317" s="357"/>
      <c r="CI317" s="357"/>
      <c r="CJ317" s="357"/>
      <c r="CK317" s="357"/>
      <c r="CL317" s="357"/>
      <c r="CM317" s="357"/>
      <c r="CN317" s="357"/>
      <c r="CO317" s="357"/>
      <c r="CP317" s="357"/>
      <c r="CQ317" s="357"/>
      <c r="CR317" s="357"/>
      <c r="CS317" s="357"/>
      <c r="CT317" s="357"/>
      <c r="CU317" s="357"/>
      <c r="CV317" s="357"/>
      <c r="CW317" s="357"/>
      <c r="CX317" s="357"/>
      <c r="CY317" s="357"/>
      <c r="CZ317" s="357"/>
      <c r="DA317" s="357"/>
      <c r="DB317" s="357"/>
      <c r="DC317" s="357"/>
      <c r="DD317" s="357"/>
      <c r="DE317" s="357"/>
      <c r="DF317" s="357"/>
      <c r="DG317" s="357"/>
      <c r="DH317" s="357"/>
      <c r="DI317" s="357"/>
      <c r="DJ317" s="357"/>
      <c r="DK317" s="357"/>
      <c r="DL317" s="357"/>
      <c r="DM317" s="357"/>
      <c r="DN317" s="357"/>
      <c r="DO317" s="357"/>
      <c r="DP317" s="357"/>
      <c r="DQ317" s="357"/>
      <c r="DR317" s="357"/>
      <c r="DS317" s="357"/>
      <c r="DT317" s="357"/>
      <c r="DU317" s="357"/>
      <c r="DV317" s="357"/>
      <c r="DW317" s="357"/>
      <c r="DX317" s="357"/>
      <c r="DY317" s="357"/>
      <c r="DZ317" s="357"/>
      <c r="EA317" s="357"/>
      <c r="EB317" s="357"/>
      <c r="EC317" s="357"/>
      <c r="ED317" s="357"/>
      <c r="EE317" s="357"/>
      <c r="EF317" s="357"/>
      <c r="EG317" s="357"/>
      <c r="EH317" s="357"/>
      <c r="EI317" s="357"/>
      <c r="EJ317" s="357"/>
      <c r="EK317" s="357"/>
      <c r="EL317" s="357"/>
      <c r="EM317" s="357"/>
      <c r="EN317" s="357"/>
      <c r="EO317" s="357"/>
      <c r="EP317" s="357"/>
      <c r="EQ317" s="357"/>
      <c r="ER317" s="357"/>
      <c r="ES317" s="357"/>
      <c r="ET317" s="357"/>
      <c r="EU317" s="357"/>
      <c r="EV317" s="357"/>
      <c r="EW317" s="357"/>
      <c r="EX317" s="357"/>
      <c r="EY317" s="357"/>
      <c r="EZ317" s="357"/>
      <c r="FA317" s="357"/>
      <c r="FB317" s="357"/>
      <c r="FC317" s="357"/>
      <c r="FD317" s="357"/>
      <c r="FE317" s="357"/>
      <c r="FF317" s="357"/>
      <c r="FG317" s="357"/>
      <c r="FH317" s="357"/>
      <c r="FI317" s="357"/>
      <c r="FJ317" s="357"/>
      <c r="FK317" s="357"/>
      <c r="FL317" s="357"/>
      <c r="FM317" s="357"/>
      <c r="FN317" s="357"/>
      <c r="FO317" s="357"/>
      <c r="FP317" s="357"/>
      <c r="FQ317" s="357"/>
      <c r="FR317" s="357"/>
      <c r="FS317" s="357"/>
      <c r="FT317" s="357"/>
      <c r="FU317" s="357"/>
      <c r="FV317" s="357"/>
      <c r="FW317" s="357"/>
      <c r="FX317" s="357"/>
      <c r="FY317" s="357"/>
      <c r="FZ317" s="357"/>
      <c r="GA317" s="357"/>
      <c r="GB317" s="357"/>
      <c r="GC317" s="357"/>
      <c r="GD317" s="357"/>
      <c r="GE317" s="357"/>
      <c r="GF317" s="357"/>
      <c r="GG317" s="357"/>
      <c r="GH317" s="357"/>
      <c r="GI317" s="357"/>
      <c r="GJ317" s="357"/>
      <c r="GK317" s="154"/>
      <c r="GL317" s="154"/>
      <c r="GM317" s="154"/>
      <c r="GN317" s="154"/>
      <c r="GO317" s="154"/>
      <c r="GP317" s="154"/>
      <c r="GQ317" s="154"/>
      <c r="GR317" s="154"/>
      <c r="GS317" s="154"/>
      <c r="GT317" s="154"/>
      <c r="GU317" s="154"/>
      <c r="GV317" s="154"/>
      <c r="GW317" s="154"/>
      <c r="GX317" s="154"/>
    </row>
    <row r="318" spans="7:206">
      <c r="G318" s="154"/>
      <c r="H318" s="154"/>
      <c r="I318" s="154"/>
      <c r="J318" s="154"/>
      <c r="K318" s="154"/>
      <c r="L318" s="154"/>
      <c r="M318" s="154"/>
      <c r="N318" s="154"/>
      <c r="O318" s="154"/>
      <c r="P318" s="154"/>
      <c r="Q318" s="154"/>
      <c r="R318" s="154"/>
      <c r="S318" s="154"/>
      <c r="T318" s="154"/>
      <c r="U318" s="154"/>
      <c r="V318" s="154"/>
      <c r="W318" s="154"/>
      <c r="X318" s="154"/>
      <c r="Y318" s="154"/>
      <c r="Z318" s="357"/>
      <c r="AA318" s="357"/>
      <c r="AB318" s="357"/>
      <c r="AC318" s="357"/>
      <c r="AD318" s="357"/>
      <c r="AE318" s="357"/>
      <c r="AF318" s="357"/>
      <c r="AG318" s="357"/>
      <c r="AH318" s="357"/>
      <c r="AI318" s="357"/>
      <c r="AJ318" s="357"/>
      <c r="AK318" s="357"/>
      <c r="AL318" s="357"/>
      <c r="AM318" s="357"/>
      <c r="AN318" s="357"/>
      <c r="AO318" s="357"/>
      <c r="AP318" s="357"/>
      <c r="AQ318" s="357"/>
      <c r="AR318" s="357"/>
      <c r="AS318" s="357"/>
      <c r="AT318" s="357"/>
      <c r="AU318" s="357"/>
      <c r="AV318" s="357"/>
      <c r="AW318" s="357"/>
      <c r="AX318" s="357"/>
      <c r="AY318" s="357"/>
      <c r="AZ318" s="357"/>
      <c r="BA318" s="357"/>
      <c r="BB318" s="357"/>
      <c r="BC318" s="357"/>
      <c r="BD318" s="357"/>
      <c r="BE318" s="357"/>
      <c r="BF318" s="357"/>
      <c r="BG318" s="357"/>
      <c r="BH318" s="357"/>
      <c r="BI318" s="357"/>
      <c r="BJ318" s="357"/>
      <c r="BK318" s="357"/>
      <c r="BL318" s="357"/>
      <c r="BM318" s="357"/>
      <c r="BN318" s="357"/>
      <c r="BO318" s="357"/>
      <c r="BP318" s="357"/>
      <c r="BQ318" s="357"/>
      <c r="BR318" s="357"/>
      <c r="BS318" s="357"/>
      <c r="BT318" s="357"/>
      <c r="BU318" s="357"/>
      <c r="BV318" s="357"/>
      <c r="BW318" s="357"/>
      <c r="BX318" s="357"/>
      <c r="BY318" s="357"/>
      <c r="BZ318" s="357"/>
      <c r="CA318" s="357"/>
      <c r="CB318" s="357"/>
      <c r="CC318" s="357"/>
      <c r="CD318" s="357"/>
      <c r="CE318" s="357"/>
      <c r="CF318" s="357"/>
      <c r="CG318" s="357"/>
      <c r="CH318" s="357"/>
      <c r="CI318" s="357"/>
      <c r="CJ318" s="357"/>
      <c r="CK318" s="357"/>
      <c r="CL318" s="357"/>
      <c r="CM318" s="357"/>
      <c r="CN318" s="357"/>
      <c r="CO318" s="357"/>
      <c r="CP318" s="357"/>
      <c r="CQ318" s="357"/>
      <c r="CR318" s="357"/>
      <c r="CS318" s="357"/>
      <c r="CT318" s="357"/>
      <c r="CU318" s="357"/>
      <c r="CV318" s="357"/>
      <c r="CW318" s="357"/>
      <c r="CX318" s="357"/>
      <c r="CY318" s="357"/>
      <c r="CZ318" s="357"/>
      <c r="DA318" s="357"/>
      <c r="DB318" s="357"/>
      <c r="DC318" s="357"/>
      <c r="DD318" s="357"/>
      <c r="DE318" s="357"/>
      <c r="DF318" s="357"/>
      <c r="DG318" s="357"/>
      <c r="DH318" s="357"/>
      <c r="DI318" s="357"/>
      <c r="DJ318" s="357"/>
      <c r="DK318" s="357"/>
      <c r="DL318" s="357"/>
      <c r="DM318" s="357"/>
      <c r="DN318" s="357"/>
      <c r="DO318" s="357"/>
      <c r="DP318" s="357"/>
      <c r="DQ318" s="357"/>
      <c r="DR318" s="357"/>
      <c r="DS318" s="357"/>
      <c r="DT318" s="357"/>
      <c r="DU318" s="357"/>
      <c r="DV318" s="357"/>
      <c r="DW318" s="357"/>
      <c r="DX318" s="357"/>
      <c r="DY318" s="357"/>
      <c r="DZ318" s="357"/>
      <c r="EA318" s="357"/>
      <c r="EB318" s="357"/>
      <c r="EC318" s="357"/>
      <c r="ED318" s="357"/>
      <c r="EE318" s="357"/>
      <c r="EF318" s="357"/>
      <c r="EG318" s="357"/>
      <c r="EH318" s="357"/>
      <c r="EI318" s="357"/>
      <c r="EJ318" s="357"/>
      <c r="EK318" s="357"/>
      <c r="EL318" s="357"/>
      <c r="EM318" s="357"/>
      <c r="EN318" s="357"/>
      <c r="EO318" s="357"/>
      <c r="EP318" s="357"/>
      <c r="EQ318" s="357"/>
      <c r="ER318" s="357"/>
      <c r="ES318" s="357"/>
      <c r="ET318" s="357"/>
      <c r="EU318" s="357"/>
      <c r="EV318" s="357"/>
      <c r="EW318" s="357"/>
      <c r="EX318" s="357"/>
      <c r="EY318" s="357"/>
      <c r="EZ318" s="357"/>
      <c r="FA318" s="357"/>
      <c r="FB318" s="357"/>
      <c r="FC318" s="357"/>
      <c r="FD318" s="357"/>
      <c r="FE318" s="357"/>
      <c r="FF318" s="357"/>
      <c r="FG318" s="357"/>
      <c r="FH318" s="357"/>
      <c r="FI318" s="357"/>
      <c r="FJ318" s="357"/>
      <c r="FK318" s="357"/>
      <c r="FL318" s="357"/>
      <c r="FM318" s="357"/>
      <c r="FN318" s="357"/>
      <c r="FO318" s="357"/>
      <c r="FP318" s="357"/>
      <c r="FQ318" s="357"/>
      <c r="FR318" s="357"/>
      <c r="FS318" s="357"/>
      <c r="FT318" s="357"/>
      <c r="FU318" s="357"/>
      <c r="FV318" s="357"/>
      <c r="FW318" s="357"/>
      <c r="FX318" s="357"/>
      <c r="FY318" s="357"/>
      <c r="FZ318" s="357"/>
      <c r="GA318" s="357"/>
      <c r="GB318" s="357"/>
      <c r="GC318" s="357"/>
      <c r="GD318" s="357"/>
      <c r="GE318" s="357"/>
      <c r="GF318" s="357"/>
      <c r="GG318" s="357"/>
      <c r="GH318" s="357"/>
      <c r="GI318" s="357"/>
      <c r="GJ318" s="357"/>
      <c r="GK318" s="154"/>
      <c r="GL318" s="154"/>
      <c r="GM318" s="154"/>
      <c r="GN318" s="154"/>
      <c r="GO318" s="154"/>
      <c r="GP318" s="154"/>
      <c r="GQ318" s="154"/>
      <c r="GR318" s="154"/>
      <c r="GS318" s="154"/>
      <c r="GT318" s="154"/>
      <c r="GU318" s="154"/>
      <c r="GV318" s="154"/>
      <c r="GW318" s="154"/>
      <c r="GX318" s="154"/>
    </row>
    <row r="319" spans="7:206">
      <c r="G319" s="154"/>
      <c r="H319" s="154"/>
      <c r="I319" s="154"/>
      <c r="J319" s="154"/>
      <c r="K319" s="154"/>
      <c r="L319" s="154"/>
      <c r="M319" s="154"/>
      <c r="N319" s="154"/>
      <c r="O319" s="154"/>
      <c r="P319" s="154"/>
      <c r="Q319" s="154"/>
      <c r="R319" s="154"/>
      <c r="S319" s="154"/>
      <c r="T319" s="154"/>
      <c r="U319" s="154"/>
      <c r="V319" s="154"/>
      <c r="W319" s="154"/>
      <c r="X319" s="154"/>
      <c r="Y319" s="154"/>
      <c r="Z319" s="357"/>
      <c r="AA319" s="357"/>
      <c r="AB319" s="357"/>
      <c r="AC319" s="357"/>
      <c r="AD319" s="357"/>
      <c r="AE319" s="357"/>
      <c r="AF319" s="357"/>
      <c r="AG319" s="357"/>
      <c r="AH319" s="357"/>
      <c r="AI319" s="357"/>
      <c r="AJ319" s="357"/>
      <c r="AK319" s="357"/>
      <c r="AL319" s="357"/>
      <c r="AM319" s="357"/>
      <c r="AN319" s="357"/>
      <c r="AO319" s="357"/>
      <c r="AP319" s="357"/>
      <c r="AQ319" s="357"/>
      <c r="AR319" s="357"/>
      <c r="AS319" s="357"/>
      <c r="AT319" s="357"/>
      <c r="AU319" s="357"/>
      <c r="AV319" s="357"/>
      <c r="AW319" s="357"/>
      <c r="AX319" s="357"/>
      <c r="AY319" s="357"/>
      <c r="AZ319" s="357"/>
      <c r="BA319" s="357"/>
      <c r="BB319" s="357"/>
      <c r="BC319" s="357"/>
      <c r="BD319" s="357"/>
      <c r="BE319" s="357"/>
      <c r="BF319" s="357"/>
      <c r="BG319" s="357"/>
      <c r="BH319" s="357"/>
      <c r="BI319" s="357"/>
      <c r="BJ319" s="357"/>
      <c r="BK319" s="357"/>
      <c r="BL319" s="357"/>
      <c r="BM319" s="357"/>
      <c r="BN319" s="357"/>
      <c r="BO319" s="357"/>
      <c r="BP319" s="357"/>
      <c r="BQ319" s="357"/>
      <c r="BR319" s="357"/>
      <c r="BS319" s="357"/>
      <c r="BT319" s="357"/>
      <c r="BU319" s="357"/>
      <c r="BV319" s="357"/>
      <c r="BW319" s="357"/>
      <c r="BX319" s="357"/>
      <c r="BY319" s="357"/>
      <c r="BZ319" s="357"/>
      <c r="CA319" s="357"/>
      <c r="CB319" s="357"/>
      <c r="CC319" s="357"/>
      <c r="CD319" s="357"/>
      <c r="CE319" s="357"/>
      <c r="CF319" s="357"/>
      <c r="CG319" s="357"/>
      <c r="CH319" s="357"/>
      <c r="CI319" s="357"/>
      <c r="CJ319" s="357"/>
      <c r="CK319" s="357"/>
      <c r="CL319" s="357"/>
      <c r="CM319" s="357"/>
      <c r="CN319" s="357"/>
      <c r="CO319" s="357"/>
      <c r="CP319" s="357"/>
      <c r="CQ319" s="357"/>
      <c r="CR319" s="357"/>
      <c r="CS319" s="357"/>
      <c r="CT319" s="357"/>
      <c r="CU319" s="357"/>
      <c r="CV319" s="357"/>
      <c r="CW319" s="357"/>
      <c r="CX319" s="357"/>
      <c r="CY319" s="357"/>
      <c r="CZ319" s="357"/>
      <c r="DA319" s="357"/>
      <c r="DB319" s="357"/>
      <c r="DC319" s="357"/>
      <c r="DD319" s="357"/>
      <c r="DE319" s="357"/>
      <c r="DF319" s="357"/>
      <c r="DG319" s="357"/>
      <c r="DH319" s="357"/>
      <c r="DI319" s="357"/>
      <c r="DJ319" s="357"/>
      <c r="DK319" s="357"/>
      <c r="DL319" s="357"/>
      <c r="DM319" s="357"/>
      <c r="DN319" s="357"/>
      <c r="DO319" s="357"/>
      <c r="DP319" s="357"/>
      <c r="DQ319" s="357"/>
      <c r="DR319" s="357"/>
      <c r="DS319" s="357"/>
      <c r="DT319" s="357"/>
      <c r="DU319" s="357"/>
      <c r="DV319" s="357"/>
      <c r="DW319" s="357"/>
      <c r="DX319" s="357"/>
      <c r="DY319" s="357"/>
      <c r="DZ319" s="357"/>
      <c r="EA319" s="357"/>
      <c r="EB319" s="357"/>
      <c r="EC319" s="357"/>
      <c r="ED319" s="357"/>
      <c r="EE319" s="357"/>
      <c r="EF319" s="357"/>
      <c r="EG319" s="357"/>
      <c r="EH319" s="357"/>
      <c r="EI319" s="357"/>
      <c r="EJ319" s="357"/>
      <c r="EK319" s="357"/>
      <c r="EL319" s="357"/>
      <c r="EM319" s="357"/>
      <c r="EN319" s="357"/>
      <c r="EO319" s="357"/>
      <c r="EP319" s="357"/>
      <c r="EQ319" s="357"/>
      <c r="ER319" s="357"/>
      <c r="ES319" s="357"/>
      <c r="ET319" s="357"/>
      <c r="EU319" s="357"/>
      <c r="EV319" s="357"/>
      <c r="EW319" s="357"/>
      <c r="EX319" s="357"/>
      <c r="EY319" s="357"/>
      <c r="EZ319" s="357"/>
      <c r="FA319" s="357"/>
      <c r="FB319" s="357"/>
      <c r="FC319" s="357"/>
      <c r="FD319" s="357"/>
      <c r="FE319" s="357"/>
      <c r="FF319" s="357"/>
      <c r="FG319" s="357"/>
      <c r="FH319" s="357"/>
      <c r="FI319" s="357"/>
      <c r="FJ319" s="357"/>
      <c r="FK319" s="357"/>
      <c r="FL319" s="357"/>
      <c r="FM319" s="357"/>
      <c r="FN319" s="357"/>
      <c r="FO319" s="357"/>
      <c r="FP319" s="357"/>
      <c r="FQ319" s="357"/>
      <c r="FR319" s="357"/>
      <c r="FS319" s="357"/>
      <c r="FT319" s="357"/>
      <c r="FU319" s="357"/>
      <c r="FV319" s="357"/>
      <c r="FW319" s="357"/>
      <c r="FX319" s="357"/>
      <c r="FY319" s="357"/>
      <c r="FZ319" s="357"/>
      <c r="GA319" s="357"/>
      <c r="GB319" s="357"/>
      <c r="GC319" s="357"/>
      <c r="GD319" s="357"/>
      <c r="GE319" s="357"/>
      <c r="GF319" s="357"/>
      <c r="GG319" s="357"/>
      <c r="GH319" s="357"/>
      <c r="GI319" s="357"/>
      <c r="GJ319" s="357"/>
      <c r="GK319" s="154"/>
      <c r="GL319" s="154"/>
      <c r="GM319" s="154"/>
      <c r="GN319" s="154"/>
      <c r="GO319" s="154"/>
      <c r="GP319" s="154"/>
      <c r="GQ319" s="154"/>
      <c r="GR319" s="154"/>
      <c r="GS319" s="154"/>
      <c r="GT319" s="154"/>
      <c r="GU319" s="154"/>
      <c r="GV319" s="154"/>
      <c r="GW319" s="154"/>
      <c r="GX319" s="154"/>
    </row>
    <row r="320" spans="7:206">
      <c r="G320" s="154"/>
      <c r="H320" s="154"/>
      <c r="I320" s="154"/>
      <c r="J320" s="154"/>
      <c r="K320" s="154"/>
      <c r="L320" s="154"/>
      <c r="M320" s="154"/>
      <c r="N320" s="154"/>
      <c r="O320" s="154"/>
      <c r="P320" s="154"/>
      <c r="Q320" s="154"/>
      <c r="R320" s="154"/>
      <c r="S320" s="154"/>
      <c r="T320" s="154"/>
      <c r="U320" s="154"/>
      <c r="V320" s="154"/>
      <c r="W320" s="154"/>
      <c r="X320" s="154"/>
      <c r="Y320" s="154"/>
      <c r="Z320" s="357"/>
      <c r="AA320" s="357"/>
      <c r="AB320" s="357"/>
      <c r="AC320" s="357"/>
      <c r="AD320" s="357"/>
      <c r="AE320" s="357"/>
      <c r="AF320" s="357"/>
      <c r="AG320" s="357"/>
      <c r="AH320" s="357"/>
      <c r="AI320" s="357"/>
      <c r="AJ320" s="357"/>
      <c r="AK320" s="357"/>
      <c r="AL320" s="357"/>
      <c r="AM320" s="357"/>
      <c r="AN320" s="357"/>
      <c r="AO320" s="357"/>
      <c r="AP320" s="357"/>
      <c r="AQ320" s="357"/>
      <c r="AR320" s="357"/>
      <c r="AS320" s="357"/>
      <c r="AT320" s="357"/>
      <c r="AU320" s="357"/>
      <c r="AV320" s="357"/>
      <c r="AW320" s="357"/>
      <c r="AX320" s="357"/>
      <c r="AY320" s="357"/>
      <c r="AZ320" s="357"/>
      <c r="BA320" s="357"/>
      <c r="BB320" s="357"/>
      <c r="BC320" s="357"/>
      <c r="BD320" s="357"/>
      <c r="BE320" s="357"/>
      <c r="BF320" s="357"/>
      <c r="BG320" s="357"/>
      <c r="BH320" s="357"/>
      <c r="BI320" s="357"/>
      <c r="BJ320" s="357"/>
      <c r="BK320" s="357"/>
      <c r="BL320" s="357"/>
      <c r="BM320" s="357"/>
      <c r="BN320" s="357"/>
      <c r="BO320" s="357"/>
      <c r="BP320" s="357"/>
      <c r="BQ320" s="357"/>
      <c r="BR320" s="357"/>
      <c r="BS320" s="357"/>
      <c r="BT320" s="357"/>
      <c r="BU320" s="357"/>
      <c r="BV320" s="357"/>
      <c r="BW320" s="357"/>
      <c r="BX320" s="357"/>
      <c r="BY320" s="357"/>
      <c r="BZ320" s="357"/>
      <c r="CA320" s="357"/>
      <c r="CB320" s="357"/>
      <c r="CC320" s="357"/>
      <c r="CD320" s="357"/>
      <c r="CE320" s="357"/>
      <c r="CF320" s="357"/>
      <c r="CG320" s="357"/>
      <c r="CH320" s="357"/>
      <c r="CI320" s="357"/>
      <c r="CJ320" s="357"/>
      <c r="CK320" s="357"/>
      <c r="CL320" s="357"/>
      <c r="CM320" s="357"/>
      <c r="CN320" s="357"/>
      <c r="CO320" s="357"/>
      <c r="CP320" s="357"/>
      <c r="CQ320" s="357"/>
      <c r="CR320" s="357"/>
      <c r="CS320" s="357"/>
      <c r="CT320" s="357"/>
      <c r="CU320" s="357"/>
      <c r="CV320" s="357"/>
      <c r="CW320" s="357"/>
      <c r="CX320" s="357"/>
      <c r="CY320" s="357"/>
      <c r="CZ320" s="357"/>
      <c r="DA320" s="357"/>
      <c r="DB320" s="357"/>
      <c r="DC320" s="357"/>
      <c r="DD320" s="357"/>
      <c r="DE320" s="357"/>
      <c r="DF320" s="357"/>
      <c r="DG320" s="357"/>
      <c r="DH320" s="357"/>
      <c r="DI320" s="357"/>
      <c r="DJ320" s="357"/>
      <c r="DK320" s="357"/>
      <c r="DL320" s="357"/>
      <c r="DM320" s="357"/>
      <c r="DN320" s="357"/>
      <c r="DO320" s="357"/>
      <c r="DP320" s="357"/>
      <c r="DQ320" s="357"/>
      <c r="DR320" s="357"/>
      <c r="DS320" s="357"/>
      <c r="DT320" s="357"/>
      <c r="DU320" s="357"/>
      <c r="DV320" s="357"/>
      <c r="DW320" s="357"/>
      <c r="DX320" s="357"/>
      <c r="DY320" s="357"/>
      <c r="DZ320" s="357"/>
      <c r="EA320" s="357"/>
      <c r="EB320" s="357"/>
      <c r="EC320" s="357"/>
      <c r="ED320" s="357"/>
      <c r="EE320" s="357"/>
      <c r="EF320" s="357"/>
      <c r="EG320" s="357"/>
      <c r="EH320" s="357"/>
      <c r="EI320" s="357"/>
      <c r="EJ320" s="357"/>
      <c r="EK320" s="357"/>
      <c r="EL320" s="357"/>
      <c r="EM320" s="357"/>
      <c r="EN320" s="357"/>
      <c r="EO320" s="357"/>
      <c r="EP320" s="357"/>
      <c r="EQ320" s="357"/>
      <c r="ER320" s="357"/>
      <c r="ES320" s="357"/>
      <c r="ET320" s="357"/>
      <c r="EU320" s="357"/>
      <c r="EV320" s="357"/>
      <c r="EW320" s="357"/>
      <c r="EX320" s="357"/>
      <c r="EY320" s="357"/>
      <c r="EZ320" s="357"/>
      <c r="FA320" s="357"/>
      <c r="FB320" s="357"/>
      <c r="FC320" s="357"/>
      <c r="FD320" s="357"/>
      <c r="FE320" s="357"/>
      <c r="FF320" s="357"/>
      <c r="FG320" s="357"/>
      <c r="FH320" s="357"/>
      <c r="FI320" s="357"/>
      <c r="FJ320" s="357"/>
      <c r="FK320" s="357"/>
      <c r="FL320" s="357"/>
      <c r="FM320" s="357"/>
      <c r="FN320" s="357"/>
      <c r="FO320" s="357"/>
      <c r="FP320" s="357"/>
      <c r="FQ320" s="357"/>
      <c r="FR320" s="357"/>
      <c r="FS320" s="357"/>
      <c r="FT320" s="357"/>
      <c r="FU320" s="357"/>
      <c r="FV320" s="357"/>
      <c r="FW320" s="357"/>
      <c r="FX320" s="357"/>
      <c r="FY320" s="357"/>
      <c r="FZ320" s="357"/>
      <c r="GA320" s="357"/>
      <c r="GB320" s="357"/>
      <c r="GC320" s="357"/>
      <c r="GD320" s="357"/>
      <c r="GE320" s="357"/>
      <c r="GF320" s="357"/>
      <c r="GG320" s="357"/>
      <c r="GH320" s="357"/>
      <c r="GI320" s="357"/>
      <c r="GJ320" s="357"/>
      <c r="GK320" s="154"/>
      <c r="GL320" s="154"/>
      <c r="GM320" s="154"/>
      <c r="GN320" s="154"/>
      <c r="GO320" s="154"/>
      <c r="GP320" s="154"/>
      <c r="GQ320" s="154"/>
      <c r="GR320" s="154"/>
      <c r="GS320" s="154"/>
      <c r="GT320" s="154"/>
      <c r="GU320" s="154"/>
      <c r="GV320" s="154"/>
      <c r="GW320" s="154"/>
      <c r="GX320" s="154"/>
    </row>
    <row r="321" spans="7:206">
      <c r="G321" s="154"/>
      <c r="H321" s="154"/>
      <c r="I321" s="154"/>
      <c r="J321" s="154"/>
      <c r="K321" s="154"/>
      <c r="L321" s="154"/>
      <c r="M321" s="154"/>
      <c r="N321" s="154"/>
      <c r="O321" s="154"/>
      <c r="P321" s="154"/>
      <c r="Q321" s="154"/>
      <c r="R321" s="154"/>
      <c r="S321" s="154"/>
      <c r="T321" s="154"/>
      <c r="U321" s="154"/>
      <c r="V321" s="154"/>
      <c r="W321" s="154"/>
      <c r="X321" s="154"/>
      <c r="Y321" s="154"/>
      <c r="Z321" s="357"/>
      <c r="AA321" s="357"/>
      <c r="AB321" s="357"/>
      <c r="AC321" s="357"/>
      <c r="AD321" s="357"/>
      <c r="AE321" s="357"/>
      <c r="AF321" s="357"/>
      <c r="AG321" s="357"/>
      <c r="AH321" s="357"/>
      <c r="AI321" s="357"/>
      <c r="AJ321" s="357"/>
      <c r="AK321" s="357"/>
      <c r="AL321" s="357"/>
      <c r="AM321" s="357"/>
      <c r="AN321" s="357"/>
      <c r="AO321" s="357"/>
      <c r="AP321" s="357"/>
      <c r="AQ321" s="357"/>
      <c r="AR321" s="357"/>
      <c r="AS321" s="357"/>
      <c r="AT321" s="357"/>
      <c r="AU321" s="357"/>
      <c r="AV321" s="357"/>
      <c r="AW321" s="357"/>
      <c r="AX321" s="357"/>
      <c r="AY321" s="357"/>
      <c r="AZ321" s="357"/>
      <c r="BA321" s="357"/>
      <c r="BB321" s="357"/>
      <c r="BC321" s="357"/>
      <c r="BD321" s="357"/>
      <c r="BE321" s="357"/>
      <c r="BF321" s="357"/>
      <c r="BG321" s="357"/>
      <c r="BH321" s="357"/>
      <c r="BI321" s="357"/>
      <c r="BJ321" s="357"/>
      <c r="BK321" s="357"/>
      <c r="BL321" s="357"/>
      <c r="BM321" s="357"/>
      <c r="BN321" s="357"/>
      <c r="BO321" s="357"/>
      <c r="BP321" s="357"/>
      <c r="BQ321" s="357"/>
      <c r="BR321" s="357"/>
      <c r="BS321" s="357"/>
      <c r="BT321" s="357"/>
      <c r="BU321" s="357"/>
      <c r="BV321" s="357"/>
      <c r="BW321" s="357"/>
      <c r="BX321" s="357"/>
      <c r="BY321" s="357"/>
      <c r="BZ321" s="357"/>
      <c r="CA321" s="357"/>
      <c r="CB321" s="357"/>
      <c r="CC321" s="357"/>
      <c r="CD321" s="357"/>
      <c r="CE321" s="357"/>
      <c r="CF321" s="357"/>
      <c r="CG321" s="357"/>
      <c r="CH321" s="357"/>
      <c r="CI321" s="357"/>
      <c r="CJ321" s="357"/>
      <c r="CK321" s="357"/>
      <c r="CL321" s="357"/>
      <c r="CM321" s="357"/>
      <c r="CN321" s="357"/>
      <c r="CO321" s="357"/>
      <c r="CP321" s="357"/>
      <c r="CQ321" s="357"/>
      <c r="CR321" s="357"/>
      <c r="CS321" s="357"/>
      <c r="CT321" s="357"/>
      <c r="CU321" s="357"/>
      <c r="CV321" s="357"/>
      <c r="CW321" s="357"/>
      <c r="CX321" s="357"/>
      <c r="CY321" s="357"/>
      <c r="CZ321" s="357"/>
      <c r="DA321" s="357"/>
      <c r="DB321" s="357"/>
      <c r="DC321" s="357"/>
      <c r="DD321" s="357"/>
      <c r="DE321" s="357"/>
      <c r="DF321" s="357"/>
      <c r="DG321" s="357"/>
      <c r="DH321" s="357"/>
      <c r="DI321" s="357"/>
      <c r="DJ321" s="357"/>
      <c r="DK321" s="357"/>
      <c r="DL321" s="357"/>
      <c r="DM321" s="357"/>
      <c r="DN321" s="357"/>
      <c r="DO321" s="357"/>
      <c r="DP321" s="357"/>
      <c r="DQ321" s="357"/>
      <c r="DR321" s="357"/>
      <c r="DS321" s="357"/>
      <c r="DT321" s="357"/>
      <c r="DU321" s="357"/>
      <c r="DV321" s="357"/>
      <c r="DW321" s="357"/>
      <c r="DX321" s="357"/>
      <c r="DY321" s="357"/>
      <c r="DZ321" s="357"/>
      <c r="EA321" s="357"/>
      <c r="EB321" s="357"/>
      <c r="EC321" s="357"/>
      <c r="ED321" s="357"/>
      <c r="EE321" s="357"/>
      <c r="EF321" s="357"/>
      <c r="EG321" s="357"/>
      <c r="EH321" s="357"/>
      <c r="EI321" s="357"/>
      <c r="EJ321" s="357"/>
      <c r="EK321" s="357"/>
      <c r="EL321" s="357"/>
      <c r="EM321" s="357"/>
      <c r="EN321" s="357"/>
      <c r="EO321" s="357"/>
      <c r="EP321" s="357"/>
      <c r="EQ321" s="357"/>
      <c r="ER321" s="357"/>
      <c r="ES321" s="357"/>
      <c r="ET321" s="357"/>
      <c r="EU321" s="357"/>
      <c r="EV321" s="357"/>
      <c r="EW321" s="357"/>
      <c r="EX321" s="357"/>
      <c r="EY321" s="357"/>
      <c r="EZ321" s="357"/>
      <c r="FA321" s="357"/>
      <c r="FB321" s="357"/>
      <c r="FC321" s="357"/>
      <c r="FD321" s="357"/>
      <c r="FE321" s="357"/>
      <c r="FF321" s="357"/>
      <c r="FG321" s="357"/>
      <c r="FH321" s="357"/>
      <c r="FI321" s="357"/>
      <c r="FJ321" s="357"/>
      <c r="FK321" s="357"/>
      <c r="FL321" s="357"/>
      <c r="FM321" s="357"/>
      <c r="FN321" s="357"/>
      <c r="FO321" s="357"/>
      <c r="FP321" s="357"/>
      <c r="FQ321" s="357"/>
      <c r="FR321" s="357"/>
      <c r="FS321" s="357"/>
      <c r="FT321" s="357"/>
      <c r="FU321" s="357"/>
      <c r="FV321" s="357"/>
      <c r="FW321" s="357"/>
      <c r="FX321" s="357"/>
      <c r="FY321" s="357"/>
      <c r="FZ321" s="357"/>
      <c r="GA321" s="357"/>
      <c r="GB321" s="357"/>
      <c r="GC321" s="357"/>
      <c r="GD321" s="357"/>
      <c r="GE321" s="357"/>
      <c r="GF321" s="357"/>
      <c r="GG321" s="357"/>
      <c r="GH321" s="357"/>
      <c r="GI321" s="357"/>
      <c r="GJ321" s="357"/>
      <c r="GK321" s="154"/>
      <c r="GL321" s="154"/>
      <c r="GM321" s="154"/>
      <c r="GN321" s="154"/>
      <c r="GO321" s="154"/>
      <c r="GP321" s="154"/>
      <c r="GQ321" s="154"/>
      <c r="GR321" s="154"/>
      <c r="GS321" s="154"/>
      <c r="GT321" s="154"/>
      <c r="GU321" s="154"/>
      <c r="GV321" s="154"/>
      <c r="GW321" s="154"/>
      <c r="GX321" s="154"/>
    </row>
    <row r="322" spans="7:206">
      <c r="G322" s="154"/>
      <c r="H322" s="154"/>
      <c r="I322" s="154"/>
      <c r="J322" s="154"/>
      <c r="K322" s="154"/>
      <c r="L322" s="154"/>
      <c r="M322" s="154"/>
      <c r="N322" s="154"/>
      <c r="O322" s="154"/>
      <c r="P322" s="154"/>
      <c r="Q322" s="154"/>
      <c r="R322" s="154"/>
      <c r="S322" s="154"/>
      <c r="T322" s="154"/>
      <c r="U322" s="154"/>
      <c r="V322" s="154"/>
      <c r="W322" s="154"/>
      <c r="X322" s="154"/>
      <c r="Y322" s="154"/>
      <c r="Z322" s="357"/>
      <c r="AA322" s="357"/>
      <c r="AB322" s="357"/>
      <c r="AC322" s="357"/>
      <c r="AD322" s="357"/>
      <c r="AE322" s="357"/>
      <c r="AF322" s="357"/>
      <c r="AG322" s="357"/>
      <c r="AH322" s="357"/>
      <c r="AI322" s="357"/>
      <c r="AJ322" s="357"/>
      <c r="AK322" s="357"/>
      <c r="AL322" s="357"/>
      <c r="AM322" s="357"/>
      <c r="AN322" s="357"/>
      <c r="AO322" s="357"/>
      <c r="AP322" s="357"/>
      <c r="AQ322" s="357"/>
      <c r="AR322" s="357"/>
      <c r="AS322" s="357"/>
      <c r="AT322" s="357"/>
      <c r="AU322" s="357"/>
      <c r="AV322" s="357"/>
      <c r="AW322" s="357"/>
      <c r="AX322" s="357"/>
      <c r="AY322" s="357"/>
      <c r="AZ322" s="357"/>
      <c r="BA322" s="357"/>
      <c r="BB322" s="357"/>
      <c r="BC322" s="357"/>
      <c r="BD322" s="357"/>
      <c r="BE322" s="357"/>
      <c r="BF322" s="357"/>
      <c r="BG322" s="357"/>
      <c r="BH322" s="357"/>
      <c r="BI322" s="357"/>
      <c r="BJ322" s="357"/>
      <c r="BK322" s="357"/>
      <c r="BL322" s="357"/>
      <c r="BM322" s="357"/>
      <c r="BN322" s="357"/>
      <c r="BO322" s="357"/>
      <c r="BP322" s="357"/>
      <c r="BQ322" s="357"/>
      <c r="BR322" s="357"/>
      <c r="BS322" s="357"/>
      <c r="BT322" s="357"/>
      <c r="BU322" s="357"/>
      <c r="BV322" s="357"/>
      <c r="BW322" s="357"/>
      <c r="BX322" s="357"/>
      <c r="BY322" s="357"/>
      <c r="BZ322" s="357"/>
      <c r="CA322" s="357"/>
      <c r="CB322" s="357"/>
      <c r="CC322" s="357"/>
      <c r="CD322" s="357"/>
      <c r="CE322" s="357"/>
      <c r="CF322" s="357"/>
      <c r="CG322" s="357"/>
      <c r="CH322" s="357"/>
      <c r="CI322" s="357"/>
      <c r="CJ322" s="357"/>
      <c r="CK322" s="357"/>
      <c r="CL322" s="357"/>
      <c r="CM322" s="357"/>
      <c r="CN322" s="357"/>
      <c r="CO322" s="357"/>
      <c r="CP322" s="357"/>
      <c r="CQ322" s="357"/>
      <c r="CR322" s="357"/>
      <c r="CS322" s="357"/>
      <c r="CT322" s="357"/>
      <c r="CU322" s="357"/>
      <c r="CV322" s="357"/>
      <c r="CW322" s="357"/>
      <c r="CX322" s="357"/>
      <c r="CY322" s="357"/>
      <c r="CZ322" s="357"/>
      <c r="DA322" s="357"/>
      <c r="DB322" s="357"/>
      <c r="DC322" s="357"/>
      <c r="DD322" s="357"/>
      <c r="DE322" s="357"/>
      <c r="DF322" s="357"/>
      <c r="DG322" s="357"/>
      <c r="DH322" s="357"/>
      <c r="DI322" s="357"/>
      <c r="DJ322" s="357"/>
      <c r="DK322" s="357"/>
      <c r="DL322" s="357"/>
      <c r="DM322" s="357"/>
      <c r="DN322" s="357"/>
      <c r="DO322" s="357"/>
      <c r="DP322" s="357"/>
      <c r="DQ322" s="357"/>
      <c r="DR322" s="357"/>
      <c r="DS322" s="357"/>
      <c r="DT322" s="357"/>
      <c r="DU322" s="357"/>
      <c r="DV322" s="357"/>
      <c r="DW322" s="357"/>
      <c r="DX322" s="357"/>
      <c r="DY322" s="357"/>
      <c r="DZ322" s="357"/>
      <c r="EA322" s="357"/>
      <c r="EB322" s="357"/>
      <c r="EC322" s="357"/>
      <c r="ED322" s="357"/>
      <c r="EE322" s="357"/>
      <c r="EF322" s="357"/>
      <c r="EG322" s="357"/>
      <c r="EH322" s="357"/>
      <c r="EI322" s="357"/>
      <c r="EJ322" s="357"/>
      <c r="EK322" s="357"/>
      <c r="EL322" s="357"/>
      <c r="EM322" s="357"/>
      <c r="EN322" s="357"/>
      <c r="EO322" s="357"/>
      <c r="EP322" s="357"/>
      <c r="EQ322" s="357"/>
      <c r="ER322" s="357"/>
      <c r="ES322" s="357"/>
      <c r="ET322" s="357"/>
      <c r="EU322" s="357"/>
      <c r="EV322" s="357"/>
      <c r="EW322" s="357"/>
      <c r="EX322" s="357"/>
      <c r="EY322" s="357"/>
      <c r="EZ322" s="357"/>
      <c r="FA322" s="357"/>
      <c r="FB322" s="357"/>
      <c r="FC322" s="357"/>
      <c r="FD322" s="357"/>
      <c r="FE322" s="357"/>
      <c r="FF322" s="357"/>
      <c r="FG322" s="357"/>
      <c r="FH322" s="357"/>
      <c r="FI322" s="357"/>
      <c r="FJ322" s="357"/>
      <c r="FK322" s="357"/>
      <c r="FL322" s="357"/>
      <c r="FM322" s="357"/>
      <c r="FN322" s="357"/>
      <c r="FO322" s="357"/>
      <c r="FP322" s="357"/>
      <c r="FQ322" s="357"/>
      <c r="FR322" s="357"/>
      <c r="FS322" s="357"/>
      <c r="FT322" s="357"/>
      <c r="FU322" s="357"/>
      <c r="FV322" s="357"/>
      <c r="FW322" s="357"/>
      <c r="FX322" s="357"/>
      <c r="FY322" s="357"/>
      <c r="FZ322" s="357"/>
      <c r="GA322" s="357"/>
      <c r="GB322" s="357"/>
      <c r="GC322" s="357"/>
      <c r="GD322" s="357"/>
      <c r="GE322" s="357"/>
      <c r="GF322" s="357"/>
      <c r="GG322" s="357"/>
      <c r="GH322" s="357"/>
      <c r="GI322" s="357"/>
      <c r="GJ322" s="357"/>
      <c r="GK322" s="154"/>
      <c r="GL322" s="154"/>
      <c r="GM322" s="154"/>
      <c r="GN322" s="154"/>
      <c r="GO322" s="154"/>
      <c r="GP322" s="154"/>
      <c r="GQ322" s="154"/>
      <c r="GR322" s="154"/>
      <c r="GS322" s="154"/>
      <c r="GT322" s="154"/>
      <c r="GU322" s="154"/>
      <c r="GV322" s="154"/>
      <c r="GW322" s="154"/>
      <c r="GX322" s="154"/>
    </row>
    <row r="323" spans="7:206">
      <c r="G323" s="154"/>
      <c r="H323" s="154"/>
      <c r="I323" s="154"/>
      <c r="J323" s="154"/>
      <c r="K323" s="154"/>
      <c r="L323" s="154"/>
      <c r="M323" s="154"/>
      <c r="N323" s="154"/>
      <c r="O323" s="154"/>
      <c r="P323" s="154"/>
      <c r="Q323" s="154"/>
      <c r="R323" s="154"/>
      <c r="S323" s="154"/>
      <c r="T323" s="154"/>
      <c r="U323" s="154"/>
      <c r="V323" s="154"/>
      <c r="W323" s="154"/>
      <c r="X323" s="154"/>
      <c r="Y323" s="154"/>
      <c r="Z323" s="357"/>
      <c r="AA323" s="357"/>
      <c r="AB323" s="357"/>
      <c r="AC323" s="357"/>
      <c r="AD323" s="357"/>
      <c r="AE323" s="357"/>
      <c r="AF323" s="357"/>
      <c r="AG323" s="357"/>
      <c r="AH323" s="357"/>
      <c r="AI323" s="357"/>
      <c r="AJ323" s="357"/>
      <c r="AK323" s="357"/>
      <c r="AL323" s="357"/>
      <c r="AM323" s="357"/>
      <c r="AN323" s="357"/>
      <c r="AO323" s="357"/>
      <c r="AP323" s="357"/>
      <c r="AQ323" s="357"/>
      <c r="AR323" s="357"/>
      <c r="AS323" s="357"/>
      <c r="AT323" s="357"/>
      <c r="AU323" s="357"/>
      <c r="AV323" s="357"/>
      <c r="AW323" s="357"/>
      <c r="AX323" s="357"/>
      <c r="AY323" s="357"/>
      <c r="AZ323" s="357"/>
      <c r="BA323" s="357"/>
      <c r="BB323" s="357"/>
      <c r="BC323" s="357"/>
      <c r="BD323" s="357"/>
      <c r="BE323" s="357"/>
      <c r="BF323" s="357"/>
      <c r="BG323" s="357"/>
      <c r="BH323" s="357"/>
      <c r="BI323" s="357"/>
      <c r="BJ323" s="357"/>
      <c r="BK323" s="357"/>
      <c r="BL323" s="357"/>
      <c r="BM323" s="357"/>
      <c r="BN323" s="357"/>
      <c r="BO323" s="357"/>
      <c r="BP323" s="357"/>
      <c r="BQ323" s="357"/>
      <c r="BR323" s="357"/>
      <c r="BS323" s="357"/>
      <c r="BT323" s="357"/>
      <c r="BU323" s="357"/>
      <c r="BV323" s="357"/>
      <c r="BW323" s="357"/>
      <c r="BX323" s="357"/>
      <c r="BY323" s="357"/>
      <c r="BZ323" s="357"/>
      <c r="CA323" s="357"/>
      <c r="CB323" s="357"/>
      <c r="CC323" s="357"/>
      <c r="CD323" s="357"/>
      <c r="CE323" s="357"/>
      <c r="CF323" s="357"/>
      <c r="CG323" s="357"/>
      <c r="CH323" s="357"/>
      <c r="CI323" s="357"/>
      <c r="CJ323" s="357"/>
      <c r="CK323" s="357"/>
      <c r="CL323" s="357"/>
      <c r="CM323" s="357"/>
      <c r="CN323" s="357"/>
      <c r="CO323" s="357"/>
      <c r="CP323" s="357"/>
      <c r="CQ323" s="357"/>
      <c r="CR323" s="357"/>
      <c r="CS323" s="357"/>
      <c r="CT323" s="357"/>
      <c r="CU323" s="357"/>
      <c r="CV323" s="357"/>
      <c r="CW323" s="357"/>
      <c r="CX323" s="357"/>
      <c r="CY323" s="357"/>
      <c r="CZ323" s="357"/>
      <c r="DA323" s="357"/>
      <c r="DB323" s="357"/>
      <c r="DC323" s="357"/>
      <c r="DD323" s="357"/>
      <c r="DE323" s="357"/>
      <c r="DF323" s="357"/>
      <c r="DG323" s="357"/>
      <c r="DH323" s="357"/>
      <c r="DI323" s="357"/>
      <c r="DJ323" s="357"/>
      <c r="DK323" s="357"/>
      <c r="DL323" s="357"/>
      <c r="DM323" s="357"/>
      <c r="DN323" s="357"/>
      <c r="DO323" s="357"/>
      <c r="DP323" s="357"/>
      <c r="DQ323" s="357"/>
      <c r="DR323" s="357"/>
      <c r="DS323" s="357"/>
      <c r="DT323" s="357"/>
      <c r="DU323" s="357"/>
      <c r="DV323" s="357"/>
      <c r="DW323" s="357"/>
      <c r="DX323" s="357"/>
      <c r="DY323" s="357"/>
      <c r="DZ323" s="357"/>
      <c r="EA323" s="357"/>
      <c r="EB323" s="357"/>
      <c r="EC323" s="357"/>
      <c r="ED323" s="357"/>
      <c r="EE323" s="357"/>
      <c r="EF323" s="357"/>
      <c r="EG323" s="357"/>
      <c r="EH323" s="357"/>
      <c r="EI323" s="357"/>
      <c r="EJ323" s="357"/>
      <c r="EK323" s="357"/>
      <c r="EL323" s="357"/>
      <c r="EM323" s="357"/>
      <c r="EN323" s="357"/>
      <c r="EO323" s="357"/>
      <c r="EP323" s="357"/>
      <c r="EQ323" s="357"/>
      <c r="ER323" s="357"/>
      <c r="ES323" s="357"/>
      <c r="ET323" s="357"/>
      <c r="EU323" s="357"/>
      <c r="EV323" s="357"/>
      <c r="EW323" s="357"/>
      <c r="EX323" s="357"/>
      <c r="EY323" s="357"/>
      <c r="EZ323" s="357"/>
      <c r="FA323" s="357"/>
      <c r="FB323" s="357"/>
      <c r="FC323" s="357"/>
      <c r="FD323" s="357"/>
      <c r="FE323" s="357"/>
      <c r="FF323" s="357"/>
      <c r="FG323" s="357"/>
      <c r="FH323" s="357"/>
      <c r="FI323" s="357"/>
      <c r="FJ323" s="357"/>
      <c r="FK323" s="357"/>
      <c r="FL323" s="357"/>
      <c r="FM323" s="357"/>
      <c r="FN323" s="357"/>
      <c r="FO323" s="357"/>
      <c r="FP323" s="357"/>
      <c r="FQ323" s="357"/>
      <c r="FR323" s="357"/>
      <c r="FS323" s="357"/>
      <c r="FT323" s="357"/>
      <c r="FU323" s="357"/>
      <c r="FV323" s="357"/>
      <c r="FW323" s="357"/>
      <c r="FX323" s="357"/>
      <c r="FY323" s="357"/>
      <c r="FZ323" s="357"/>
      <c r="GA323" s="357"/>
      <c r="GB323" s="357"/>
      <c r="GC323" s="357"/>
      <c r="GD323" s="357"/>
      <c r="GE323" s="357"/>
      <c r="GF323" s="357"/>
      <c r="GG323" s="357"/>
      <c r="GH323" s="357"/>
      <c r="GI323" s="357"/>
      <c r="GJ323" s="357"/>
      <c r="GK323" s="154"/>
      <c r="GL323" s="154"/>
      <c r="GM323" s="154"/>
      <c r="GN323" s="154"/>
      <c r="GO323" s="154"/>
      <c r="GP323" s="154"/>
      <c r="GQ323" s="154"/>
      <c r="GR323" s="154"/>
      <c r="GS323" s="154"/>
      <c r="GT323" s="154"/>
      <c r="GU323" s="154"/>
      <c r="GV323" s="154"/>
      <c r="GW323" s="154"/>
      <c r="GX323" s="154"/>
    </row>
    <row r="324" spans="7:206">
      <c r="G324" s="154"/>
      <c r="H324" s="154"/>
      <c r="I324" s="154"/>
      <c r="J324" s="154"/>
      <c r="K324" s="154"/>
      <c r="L324" s="154"/>
      <c r="M324" s="154"/>
      <c r="N324" s="154"/>
      <c r="O324" s="154"/>
      <c r="P324" s="154"/>
      <c r="Q324" s="154"/>
      <c r="R324" s="154"/>
      <c r="S324" s="154"/>
      <c r="T324" s="154"/>
      <c r="U324" s="154"/>
      <c r="V324" s="154"/>
      <c r="W324" s="154"/>
      <c r="X324" s="154"/>
      <c r="Y324" s="154"/>
      <c r="Z324" s="357"/>
      <c r="AA324" s="357"/>
      <c r="AB324" s="357"/>
      <c r="AC324" s="357"/>
      <c r="AD324" s="357"/>
      <c r="AE324" s="357"/>
      <c r="AF324" s="357"/>
      <c r="AG324" s="357"/>
      <c r="AH324" s="357"/>
      <c r="AI324" s="357"/>
      <c r="AJ324" s="357"/>
      <c r="AK324" s="357"/>
      <c r="AL324" s="357"/>
      <c r="AM324" s="357"/>
      <c r="AN324" s="357"/>
      <c r="AO324" s="357"/>
      <c r="AP324" s="357"/>
      <c r="AQ324" s="357"/>
      <c r="AR324" s="357"/>
      <c r="AS324" s="357"/>
      <c r="AT324" s="357"/>
      <c r="AU324" s="357"/>
      <c r="AV324" s="357"/>
      <c r="AW324" s="357"/>
      <c r="AX324" s="357"/>
      <c r="AY324" s="357"/>
      <c r="AZ324" s="357"/>
      <c r="BA324" s="357"/>
      <c r="BB324" s="357"/>
      <c r="BC324" s="357"/>
      <c r="BD324" s="357"/>
      <c r="BE324" s="357"/>
      <c r="BF324" s="357"/>
      <c r="BG324" s="357"/>
      <c r="BH324" s="357"/>
      <c r="BI324" s="357"/>
      <c r="BJ324" s="357"/>
      <c r="BK324" s="357"/>
      <c r="BL324" s="357"/>
      <c r="BM324" s="357"/>
      <c r="BN324" s="357"/>
      <c r="BO324" s="357"/>
      <c r="BP324" s="357"/>
      <c r="BQ324" s="357"/>
      <c r="BR324" s="357"/>
      <c r="BS324" s="357"/>
      <c r="BT324" s="357"/>
      <c r="BU324" s="357"/>
      <c r="BV324" s="357"/>
      <c r="BW324" s="357"/>
      <c r="BX324" s="357"/>
      <c r="BY324" s="357"/>
      <c r="BZ324" s="357"/>
      <c r="CA324" s="357"/>
      <c r="CB324" s="357"/>
      <c r="CC324" s="357"/>
      <c r="CD324" s="357"/>
      <c r="CE324" s="357"/>
      <c r="CF324" s="357"/>
      <c r="CG324" s="357"/>
      <c r="CH324" s="357"/>
      <c r="CI324" s="357"/>
      <c r="CJ324" s="357"/>
      <c r="CK324" s="357"/>
      <c r="CL324" s="357"/>
      <c r="CM324" s="357"/>
      <c r="CN324" s="357"/>
      <c r="CO324" s="357"/>
      <c r="CP324" s="357"/>
      <c r="CQ324" s="357"/>
      <c r="CR324" s="357"/>
      <c r="CS324" s="357"/>
      <c r="CT324" s="357"/>
      <c r="CU324" s="357"/>
      <c r="CV324" s="357"/>
      <c r="CW324" s="357"/>
      <c r="CX324" s="357"/>
      <c r="CY324" s="357"/>
      <c r="CZ324" s="357"/>
      <c r="DA324" s="357"/>
      <c r="DB324" s="357"/>
      <c r="DC324" s="357"/>
      <c r="DD324" s="357"/>
      <c r="DE324" s="357"/>
      <c r="DF324" s="357"/>
      <c r="DG324" s="357"/>
      <c r="DH324" s="357"/>
      <c r="DI324" s="357"/>
      <c r="DJ324" s="357"/>
      <c r="DK324" s="357"/>
      <c r="DL324" s="357"/>
      <c r="DM324" s="357"/>
      <c r="DN324" s="357"/>
      <c r="DO324" s="357"/>
      <c r="DP324" s="357"/>
      <c r="DQ324" s="357"/>
      <c r="DR324" s="357"/>
      <c r="DS324" s="357"/>
      <c r="DT324" s="357"/>
      <c r="DU324" s="357"/>
      <c r="DV324" s="357"/>
      <c r="DW324" s="357"/>
      <c r="DX324" s="357"/>
      <c r="DY324" s="357"/>
      <c r="DZ324" s="357"/>
      <c r="EA324" s="357"/>
      <c r="EB324" s="357"/>
      <c r="EC324" s="357"/>
      <c r="ED324" s="357"/>
      <c r="EE324" s="357"/>
      <c r="EF324" s="357"/>
      <c r="EG324" s="357"/>
      <c r="EH324" s="357"/>
      <c r="EI324" s="357"/>
      <c r="EJ324" s="357"/>
      <c r="EK324" s="357"/>
      <c r="EL324" s="357"/>
      <c r="EM324" s="357"/>
      <c r="EN324" s="357"/>
      <c r="EO324" s="357"/>
      <c r="EP324" s="357"/>
      <c r="EQ324" s="357"/>
      <c r="ER324" s="357"/>
      <c r="ES324" s="357"/>
      <c r="ET324" s="357"/>
      <c r="EU324" s="357"/>
      <c r="EV324" s="357"/>
      <c r="EW324" s="357"/>
      <c r="EX324" s="357"/>
      <c r="EY324" s="357"/>
      <c r="EZ324" s="357"/>
      <c r="FA324" s="357"/>
      <c r="FB324" s="357"/>
      <c r="FC324" s="357"/>
      <c r="FD324" s="357"/>
      <c r="FE324" s="357"/>
      <c r="FF324" s="357"/>
      <c r="FG324" s="357"/>
      <c r="FH324" s="357"/>
      <c r="FI324" s="357"/>
      <c r="FJ324" s="357"/>
      <c r="FK324" s="357"/>
      <c r="FL324" s="357"/>
      <c r="FM324" s="357"/>
      <c r="FN324" s="357"/>
      <c r="FO324" s="357"/>
      <c r="FP324" s="357"/>
      <c r="FQ324" s="357"/>
      <c r="FR324" s="357"/>
      <c r="FS324" s="357"/>
      <c r="FT324" s="357"/>
      <c r="FU324" s="357"/>
      <c r="FV324" s="357"/>
      <c r="FW324" s="357"/>
      <c r="FX324" s="357"/>
      <c r="FY324" s="357"/>
      <c r="FZ324" s="357"/>
      <c r="GA324" s="357"/>
      <c r="GB324" s="357"/>
      <c r="GC324" s="357"/>
      <c r="GD324" s="357"/>
      <c r="GE324" s="357"/>
      <c r="GF324" s="357"/>
      <c r="GG324" s="357"/>
      <c r="GH324" s="357"/>
      <c r="GI324" s="357"/>
      <c r="GJ324" s="357"/>
      <c r="GK324" s="154"/>
      <c r="GL324" s="154"/>
      <c r="GM324" s="154"/>
      <c r="GN324" s="154"/>
      <c r="GO324" s="154"/>
      <c r="GP324" s="154"/>
      <c r="GQ324" s="154"/>
      <c r="GR324" s="154"/>
      <c r="GS324" s="154"/>
      <c r="GT324" s="154"/>
      <c r="GU324" s="154"/>
      <c r="GV324" s="154"/>
      <c r="GW324" s="154"/>
      <c r="GX324" s="154"/>
    </row>
    <row r="325" spans="7:206">
      <c r="G325" s="154"/>
      <c r="H325" s="154"/>
      <c r="I325" s="154"/>
      <c r="J325" s="154"/>
      <c r="K325" s="154"/>
      <c r="L325" s="154"/>
      <c r="M325" s="154"/>
      <c r="N325" s="154"/>
      <c r="O325" s="154"/>
      <c r="P325" s="154"/>
      <c r="Q325" s="154"/>
      <c r="R325" s="154"/>
      <c r="S325" s="154"/>
      <c r="T325" s="154"/>
      <c r="U325" s="154"/>
      <c r="V325" s="154"/>
      <c r="W325" s="154"/>
      <c r="X325" s="154"/>
      <c r="Y325" s="154"/>
      <c r="Z325" s="357"/>
      <c r="AA325" s="357"/>
      <c r="AB325" s="357"/>
      <c r="AC325" s="357"/>
      <c r="AD325" s="357"/>
      <c r="AE325" s="357"/>
      <c r="AF325" s="357"/>
      <c r="AG325" s="357"/>
      <c r="AH325" s="357"/>
      <c r="AI325" s="357"/>
      <c r="AJ325" s="357"/>
      <c r="AK325" s="357"/>
      <c r="AL325" s="357"/>
      <c r="AM325" s="357"/>
      <c r="AN325" s="357"/>
      <c r="AO325" s="357"/>
      <c r="AP325" s="357"/>
      <c r="AQ325" s="357"/>
      <c r="AR325" s="357"/>
      <c r="AS325" s="357"/>
      <c r="AT325" s="357"/>
      <c r="AU325" s="357"/>
      <c r="AV325" s="357"/>
      <c r="AW325" s="357"/>
      <c r="AX325" s="357"/>
      <c r="AY325" s="357"/>
      <c r="AZ325" s="357"/>
      <c r="BA325" s="357"/>
      <c r="BB325" s="357"/>
      <c r="BC325" s="357"/>
      <c r="BD325" s="357"/>
      <c r="BE325" s="357"/>
      <c r="BF325" s="357"/>
      <c r="BG325" s="357"/>
      <c r="BH325" s="357"/>
      <c r="BI325" s="357"/>
      <c r="BJ325" s="357"/>
      <c r="BK325" s="357"/>
      <c r="BL325" s="357"/>
      <c r="BM325" s="357"/>
      <c r="BN325" s="357"/>
      <c r="BO325" s="357"/>
      <c r="BP325" s="357"/>
      <c r="BQ325" s="357"/>
      <c r="BR325" s="357"/>
      <c r="BS325" s="357"/>
      <c r="BT325" s="357"/>
      <c r="BU325" s="357"/>
      <c r="BV325" s="357"/>
      <c r="BW325" s="357"/>
      <c r="BX325" s="357"/>
      <c r="BY325" s="357"/>
      <c r="BZ325" s="357"/>
      <c r="CA325" s="357"/>
      <c r="CB325" s="357"/>
      <c r="CC325" s="357"/>
      <c r="CD325" s="357"/>
      <c r="CE325" s="357"/>
      <c r="CF325" s="357"/>
      <c r="CG325" s="357"/>
      <c r="CH325" s="357"/>
      <c r="CI325" s="357"/>
      <c r="CJ325" s="357"/>
      <c r="CK325" s="357"/>
      <c r="CL325" s="357"/>
      <c r="CM325" s="357"/>
      <c r="CN325" s="357"/>
      <c r="CO325" s="357"/>
      <c r="CP325" s="357"/>
      <c r="CQ325" s="357"/>
      <c r="CR325" s="357"/>
      <c r="CS325" s="357"/>
      <c r="CT325" s="357"/>
      <c r="CU325" s="357"/>
      <c r="CV325" s="357"/>
      <c r="CW325" s="357"/>
      <c r="CX325" s="357"/>
      <c r="CY325" s="357"/>
      <c r="CZ325" s="357"/>
      <c r="DA325" s="357"/>
      <c r="DB325" s="357"/>
      <c r="DC325" s="357"/>
      <c r="DD325" s="357"/>
      <c r="DE325" s="357"/>
      <c r="DF325" s="357"/>
      <c r="DG325" s="357"/>
      <c r="DH325" s="357"/>
      <c r="DI325" s="357"/>
      <c r="DJ325" s="357"/>
      <c r="DK325" s="357"/>
      <c r="DL325" s="357"/>
      <c r="DM325" s="357"/>
      <c r="DN325" s="357"/>
      <c r="DO325" s="357"/>
      <c r="DP325" s="357"/>
      <c r="DQ325" s="357"/>
      <c r="DR325" s="357"/>
      <c r="DS325" s="357"/>
      <c r="DT325" s="357"/>
      <c r="DU325" s="357"/>
      <c r="DV325" s="357"/>
      <c r="DW325" s="357"/>
      <c r="DX325" s="357"/>
      <c r="DY325" s="357"/>
      <c r="DZ325" s="357"/>
      <c r="EA325" s="357"/>
      <c r="EB325" s="357"/>
      <c r="EC325" s="357"/>
      <c r="ED325" s="357"/>
      <c r="EE325" s="357"/>
      <c r="EF325" s="357"/>
      <c r="EG325" s="357"/>
      <c r="EH325" s="357"/>
      <c r="EI325" s="357"/>
      <c r="EJ325" s="357"/>
      <c r="EK325" s="357"/>
      <c r="EL325" s="357"/>
      <c r="EM325" s="357"/>
      <c r="EN325" s="357"/>
      <c r="EO325" s="357"/>
      <c r="EP325" s="357"/>
      <c r="EQ325" s="357"/>
      <c r="ER325" s="357"/>
      <c r="ES325" s="357"/>
      <c r="ET325" s="357"/>
      <c r="EU325" s="357"/>
      <c r="EV325" s="357"/>
      <c r="EW325" s="357"/>
      <c r="EX325" s="357"/>
      <c r="EY325" s="357"/>
      <c r="EZ325" s="357"/>
      <c r="FA325" s="357"/>
      <c r="FB325" s="357"/>
      <c r="FC325" s="357"/>
      <c r="FD325" s="357"/>
      <c r="FE325" s="357"/>
      <c r="FF325" s="357"/>
      <c r="FG325" s="357"/>
      <c r="FH325" s="357"/>
      <c r="FI325" s="357"/>
      <c r="FJ325" s="357"/>
      <c r="FK325" s="357"/>
      <c r="FL325" s="357"/>
      <c r="FM325" s="357"/>
      <c r="FN325" s="357"/>
      <c r="FO325" s="357"/>
      <c r="FP325" s="357"/>
      <c r="FQ325" s="357"/>
      <c r="FR325" s="357"/>
      <c r="FS325" s="357"/>
      <c r="FT325" s="357"/>
      <c r="FU325" s="357"/>
      <c r="FV325" s="357"/>
      <c r="FW325" s="357"/>
      <c r="FX325" s="357"/>
      <c r="FY325" s="357"/>
      <c r="FZ325" s="357"/>
      <c r="GA325" s="357"/>
      <c r="GB325" s="357"/>
      <c r="GC325" s="357"/>
      <c r="GD325" s="357"/>
      <c r="GE325" s="357"/>
      <c r="GF325" s="357"/>
      <c r="GG325" s="357"/>
      <c r="GH325" s="357"/>
      <c r="GI325" s="357"/>
      <c r="GJ325" s="357"/>
      <c r="GK325" s="154"/>
      <c r="GL325" s="154"/>
      <c r="GM325" s="154"/>
      <c r="GN325" s="154"/>
      <c r="GO325" s="154"/>
      <c r="GP325" s="154"/>
      <c r="GQ325" s="154"/>
      <c r="GR325" s="154"/>
      <c r="GS325" s="154"/>
      <c r="GT325" s="154"/>
      <c r="GU325" s="154"/>
      <c r="GV325" s="154"/>
      <c r="GW325" s="154"/>
      <c r="GX325" s="154"/>
    </row>
    <row r="326" spans="7:206">
      <c r="G326" s="154"/>
      <c r="H326" s="154"/>
      <c r="I326" s="154"/>
      <c r="J326" s="154"/>
      <c r="K326" s="154"/>
      <c r="L326" s="154"/>
      <c r="M326" s="154"/>
      <c r="N326" s="154"/>
      <c r="O326" s="154"/>
      <c r="P326" s="154"/>
      <c r="Q326" s="154"/>
      <c r="R326" s="154"/>
      <c r="S326" s="154"/>
      <c r="T326" s="154"/>
      <c r="U326" s="154"/>
      <c r="V326" s="154"/>
      <c r="W326" s="154"/>
      <c r="X326" s="154"/>
      <c r="Y326" s="154"/>
      <c r="Z326" s="357"/>
      <c r="AA326" s="357"/>
      <c r="AB326" s="357"/>
      <c r="AC326" s="357"/>
      <c r="AD326" s="357"/>
      <c r="AE326" s="357"/>
      <c r="AF326" s="357"/>
      <c r="AG326" s="357"/>
      <c r="AH326" s="357"/>
      <c r="AI326" s="357"/>
      <c r="AJ326" s="357"/>
      <c r="AK326" s="357"/>
      <c r="AL326" s="357"/>
      <c r="AM326" s="357"/>
      <c r="AN326" s="357"/>
      <c r="AO326" s="357"/>
      <c r="AP326" s="357"/>
      <c r="AQ326" s="357"/>
      <c r="AR326" s="357"/>
      <c r="AS326" s="357"/>
      <c r="AT326" s="357"/>
      <c r="AU326" s="357"/>
      <c r="AV326" s="357"/>
      <c r="AW326" s="357"/>
      <c r="AX326" s="357"/>
      <c r="AY326" s="357"/>
      <c r="AZ326" s="357"/>
      <c r="BA326" s="357"/>
      <c r="BB326" s="357"/>
      <c r="BC326" s="357"/>
      <c r="BD326" s="357"/>
      <c r="BE326" s="357"/>
      <c r="BF326" s="357"/>
      <c r="BG326" s="357"/>
      <c r="BH326" s="357"/>
      <c r="BI326" s="357"/>
      <c r="BJ326" s="357"/>
      <c r="BK326" s="357"/>
      <c r="BL326" s="357"/>
      <c r="BM326" s="357"/>
      <c r="BN326" s="357"/>
      <c r="BO326" s="357"/>
      <c r="BP326" s="357"/>
      <c r="BQ326" s="357"/>
      <c r="BR326" s="357"/>
      <c r="BS326" s="357"/>
      <c r="BT326" s="357"/>
      <c r="BU326" s="357"/>
      <c r="BV326" s="357"/>
      <c r="BW326" s="357"/>
      <c r="BX326" s="357"/>
      <c r="BY326" s="357"/>
      <c r="BZ326" s="357"/>
      <c r="CA326" s="357"/>
      <c r="CB326" s="357"/>
      <c r="CC326" s="357"/>
      <c r="CD326" s="357"/>
      <c r="CE326" s="357"/>
      <c r="CF326" s="357"/>
      <c r="CG326" s="357"/>
      <c r="CH326" s="357"/>
      <c r="CI326" s="357"/>
      <c r="CJ326" s="357"/>
      <c r="CK326" s="357"/>
      <c r="CL326" s="357"/>
      <c r="CM326" s="357"/>
      <c r="CN326" s="357"/>
      <c r="CO326" s="357"/>
      <c r="CP326" s="357"/>
      <c r="CQ326" s="357"/>
      <c r="CR326" s="357"/>
      <c r="CS326" s="357"/>
      <c r="CT326" s="357"/>
      <c r="CU326" s="357"/>
      <c r="CV326" s="357"/>
      <c r="CW326" s="357"/>
      <c r="CX326" s="357"/>
      <c r="CY326" s="357"/>
      <c r="CZ326" s="357"/>
      <c r="DA326" s="357"/>
      <c r="DB326" s="357"/>
      <c r="DC326" s="357"/>
      <c r="DD326" s="357"/>
      <c r="DE326" s="357"/>
      <c r="DF326" s="357"/>
      <c r="DG326" s="357"/>
      <c r="DH326" s="357"/>
      <c r="DI326" s="357"/>
      <c r="DJ326" s="357"/>
      <c r="DK326" s="357"/>
      <c r="DL326" s="357"/>
      <c r="DM326" s="357"/>
      <c r="DN326" s="357"/>
      <c r="DO326" s="357"/>
      <c r="DP326" s="357"/>
      <c r="DQ326" s="357"/>
      <c r="DR326" s="357"/>
      <c r="DS326" s="357"/>
      <c r="DT326" s="357"/>
      <c r="DU326" s="357"/>
      <c r="DV326" s="357"/>
      <c r="DW326" s="357"/>
      <c r="DX326" s="357"/>
      <c r="DY326" s="357"/>
      <c r="DZ326" s="357"/>
      <c r="EA326" s="357"/>
      <c r="EB326" s="357"/>
      <c r="EC326" s="357"/>
      <c r="ED326" s="357"/>
      <c r="EE326" s="357"/>
      <c r="EF326" s="357"/>
      <c r="EG326" s="357"/>
      <c r="EH326" s="357"/>
      <c r="EI326" s="357"/>
      <c r="EJ326" s="357"/>
      <c r="EK326" s="357"/>
      <c r="EL326" s="357"/>
      <c r="EM326" s="357"/>
      <c r="EN326" s="357"/>
      <c r="EO326" s="357"/>
      <c r="EP326" s="357"/>
      <c r="EQ326" s="357"/>
      <c r="ER326" s="357"/>
      <c r="ES326" s="357"/>
      <c r="ET326" s="357"/>
      <c r="EU326" s="357"/>
      <c r="EV326" s="357"/>
      <c r="EW326" s="357"/>
      <c r="EX326" s="357"/>
      <c r="EY326" s="357"/>
      <c r="EZ326" s="357"/>
      <c r="FA326" s="357"/>
      <c r="FB326" s="357"/>
      <c r="FC326" s="357"/>
      <c r="FD326" s="357"/>
      <c r="FE326" s="357"/>
      <c r="FF326" s="357"/>
      <c r="FG326" s="357"/>
      <c r="FH326" s="357"/>
      <c r="FI326" s="357"/>
      <c r="FJ326" s="357"/>
      <c r="FK326" s="357"/>
      <c r="FL326" s="357"/>
      <c r="FM326" s="357"/>
      <c r="FN326" s="357"/>
      <c r="FO326" s="357"/>
      <c r="FP326" s="357"/>
      <c r="FQ326" s="357"/>
      <c r="FR326" s="357"/>
      <c r="FS326" s="357"/>
      <c r="FT326" s="357"/>
      <c r="FU326" s="357"/>
      <c r="FV326" s="357"/>
      <c r="FW326" s="357"/>
      <c r="FX326" s="357"/>
      <c r="FY326" s="357"/>
      <c r="FZ326" s="357"/>
      <c r="GA326" s="357"/>
      <c r="GB326" s="357"/>
      <c r="GC326" s="357"/>
      <c r="GD326" s="357"/>
      <c r="GE326" s="357"/>
      <c r="GF326" s="357"/>
      <c r="GG326" s="357"/>
      <c r="GH326" s="357"/>
      <c r="GI326" s="357"/>
      <c r="GJ326" s="357"/>
      <c r="GK326" s="154"/>
      <c r="GL326" s="154"/>
      <c r="GM326" s="154"/>
      <c r="GN326" s="154"/>
      <c r="GO326" s="154"/>
      <c r="GP326" s="154"/>
      <c r="GQ326" s="154"/>
      <c r="GR326" s="154"/>
      <c r="GS326" s="154"/>
      <c r="GT326" s="154"/>
      <c r="GU326" s="154"/>
      <c r="GV326" s="154"/>
      <c r="GW326" s="154"/>
      <c r="GX326" s="154"/>
    </row>
    <row r="327" spans="7:206">
      <c r="G327" s="154"/>
      <c r="H327" s="154"/>
      <c r="I327" s="154"/>
      <c r="J327" s="154"/>
      <c r="K327" s="154"/>
      <c r="L327" s="154"/>
      <c r="M327" s="154"/>
      <c r="N327" s="154"/>
      <c r="O327" s="154"/>
      <c r="P327" s="154"/>
      <c r="Q327" s="154"/>
      <c r="R327" s="154"/>
      <c r="S327" s="154"/>
      <c r="T327" s="154"/>
      <c r="U327" s="154"/>
      <c r="V327" s="154"/>
      <c r="W327" s="154"/>
      <c r="X327" s="154"/>
      <c r="Y327" s="154"/>
      <c r="Z327" s="357"/>
      <c r="AA327" s="357"/>
      <c r="AB327" s="357"/>
      <c r="AC327" s="357"/>
      <c r="AD327" s="357"/>
      <c r="AE327" s="357"/>
      <c r="AF327" s="357"/>
      <c r="AG327" s="357"/>
      <c r="AH327" s="357"/>
      <c r="AI327" s="357"/>
      <c r="AJ327" s="357"/>
      <c r="AK327" s="357"/>
      <c r="AL327" s="357"/>
      <c r="AM327" s="357"/>
      <c r="AN327" s="357"/>
      <c r="AO327" s="357"/>
      <c r="AP327" s="357"/>
      <c r="AQ327" s="357"/>
      <c r="AR327" s="357"/>
      <c r="AS327" s="357"/>
      <c r="AT327" s="357"/>
      <c r="AU327" s="357"/>
      <c r="AV327" s="357"/>
      <c r="AW327" s="357"/>
      <c r="AX327" s="357"/>
      <c r="AY327" s="357"/>
      <c r="AZ327" s="357"/>
      <c r="BA327" s="357"/>
      <c r="BB327" s="357"/>
      <c r="BC327" s="357"/>
      <c r="BD327" s="357"/>
      <c r="BE327" s="357"/>
      <c r="BF327" s="357"/>
      <c r="BG327" s="357"/>
      <c r="BH327" s="357"/>
      <c r="BI327" s="357"/>
      <c r="BJ327" s="357"/>
      <c r="BK327" s="357"/>
      <c r="BL327" s="357"/>
      <c r="BM327" s="357"/>
      <c r="BN327" s="357"/>
      <c r="BO327" s="357"/>
      <c r="BP327" s="357"/>
      <c r="BQ327" s="357"/>
      <c r="BR327" s="357"/>
      <c r="BS327" s="357"/>
      <c r="BT327" s="357"/>
      <c r="BU327" s="357"/>
      <c r="BV327" s="357"/>
      <c r="BW327" s="357"/>
      <c r="BX327" s="357"/>
      <c r="BY327" s="357"/>
      <c r="BZ327" s="357"/>
      <c r="CA327" s="357"/>
      <c r="CB327" s="357"/>
      <c r="CC327" s="357"/>
      <c r="CD327" s="357"/>
      <c r="CE327" s="357"/>
      <c r="CF327" s="357"/>
      <c r="CG327" s="357"/>
      <c r="CH327" s="357"/>
      <c r="CI327" s="357"/>
      <c r="CJ327" s="357"/>
      <c r="CK327" s="357"/>
      <c r="CL327" s="357"/>
      <c r="CM327" s="357"/>
      <c r="CN327" s="357"/>
      <c r="CO327" s="357"/>
      <c r="CP327" s="357"/>
      <c r="CQ327" s="357"/>
      <c r="CR327" s="357"/>
      <c r="CS327" s="357"/>
      <c r="CT327" s="357"/>
      <c r="CU327" s="357"/>
      <c r="CV327" s="357"/>
      <c r="CW327" s="357"/>
      <c r="CX327" s="357"/>
      <c r="CY327" s="357"/>
      <c r="CZ327" s="357"/>
      <c r="DA327" s="357"/>
      <c r="DB327" s="357"/>
      <c r="DC327" s="357"/>
      <c r="DD327" s="357"/>
      <c r="DE327" s="357"/>
      <c r="DF327" s="357"/>
      <c r="DG327" s="357"/>
      <c r="DH327" s="357"/>
      <c r="DI327" s="357"/>
      <c r="DJ327" s="357"/>
      <c r="DK327" s="357"/>
      <c r="DL327" s="357"/>
      <c r="DM327" s="357"/>
      <c r="DN327" s="357"/>
      <c r="DO327" s="357"/>
      <c r="DP327" s="357"/>
      <c r="DQ327" s="357"/>
      <c r="DR327" s="357"/>
      <c r="DS327" s="357"/>
      <c r="DT327" s="357"/>
      <c r="DU327" s="357"/>
      <c r="DV327" s="357"/>
      <c r="DW327" s="357"/>
      <c r="DX327" s="357"/>
      <c r="DY327" s="357"/>
      <c r="DZ327" s="357"/>
      <c r="EA327" s="357"/>
      <c r="EB327" s="357"/>
      <c r="EC327" s="357"/>
      <c r="ED327" s="357"/>
      <c r="EE327" s="357"/>
      <c r="EF327" s="357"/>
      <c r="EG327" s="357"/>
      <c r="EH327" s="357"/>
      <c r="EI327" s="357"/>
      <c r="EJ327" s="357"/>
      <c r="EK327" s="357"/>
      <c r="EL327" s="357"/>
      <c r="EM327" s="357"/>
      <c r="EN327" s="357"/>
      <c r="EO327" s="357"/>
      <c r="EP327" s="357"/>
      <c r="EQ327" s="357"/>
      <c r="ER327" s="357"/>
      <c r="ES327" s="357"/>
      <c r="ET327" s="357"/>
      <c r="EU327" s="357"/>
      <c r="EV327" s="357"/>
      <c r="EW327" s="357"/>
      <c r="EX327" s="357"/>
      <c r="EY327" s="357"/>
      <c r="EZ327" s="357"/>
      <c r="FA327" s="357"/>
      <c r="FB327" s="357"/>
      <c r="FC327" s="357"/>
      <c r="FD327" s="357"/>
      <c r="FE327" s="357"/>
      <c r="FF327" s="357"/>
      <c r="FG327" s="357"/>
      <c r="FH327" s="357"/>
      <c r="FI327" s="357"/>
      <c r="FJ327" s="357"/>
      <c r="FK327" s="357"/>
      <c r="FL327" s="357"/>
      <c r="FM327" s="357"/>
      <c r="FN327" s="357"/>
      <c r="FO327" s="357"/>
      <c r="FP327" s="357"/>
      <c r="FQ327" s="357"/>
      <c r="FR327" s="357"/>
      <c r="FS327" s="357"/>
      <c r="FT327" s="357"/>
      <c r="FU327" s="357"/>
      <c r="FV327" s="357"/>
      <c r="FW327" s="357"/>
      <c r="FX327" s="357"/>
      <c r="FY327" s="357"/>
      <c r="FZ327" s="357"/>
      <c r="GA327" s="357"/>
      <c r="GB327" s="357"/>
      <c r="GC327" s="357"/>
      <c r="GD327" s="357"/>
      <c r="GE327" s="357"/>
      <c r="GF327" s="357"/>
      <c r="GG327" s="357"/>
      <c r="GH327" s="357"/>
      <c r="GI327" s="357"/>
      <c r="GJ327" s="357"/>
      <c r="GK327" s="154"/>
      <c r="GL327" s="154"/>
      <c r="GM327" s="154"/>
      <c r="GN327" s="154"/>
      <c r="GO327" s="154"/>
      <c r="GP327" s="154"/>
      <c r="GQ327" s="154"/>
      <c r="GR327" s="154"/>
      <c r="GS327" s="154"/>
      <c r="GT327" s="154"/>
      <c r="GU327" s="154"/>
      <c r="GV327" s="154"/>
      <c r="GW327" s="154"/>
      <c r="GX327" s="154"/>
    </row>
    <row r="328" spans="7:206">
      <c r="G328" s="154"/>
      <c r="H328" s="154"/>
      <c r="I328" s="154"/>
      <c r="J328" s="154"/>
      <c r="K328" s="154"/>
      <c r="L328" s="154"/>
      <c r="M328" s="154"/>
      <c r="N328" s="154"/>
      <c r="O328" s="154"/>
      <c r="P328" s="154"/>
      <c r="Q328" s="154"/>
      <c r="Z328" s="357"/>
      <c r="AA328" s="357"/>
      <c r="AB328" s="357"/>
      <c r="AC328" s="357"/>
      <c r="AD328" s="357"/>
      <c r="AE328" s="357"/>
      <c r="AF328" s="357"/>
      <c r="AG328" s="357"/>
      <c r="AH328" s="357"/>
      <c r="AI328" s="357"/>
      <c r="AJ328" s="357"/>
      <c r="AK328" s="357"/>
      <c r="AL328" s="357"/>
      <c r="AM328" s="357"/>
      <c r="AN328" s="357"/>
      <c r="AO328" s="357"/>
      <c r="AP328" s="357"/>
      <c r="AQ328" s="357"/>
      <c r="AR328" s="357"/>
      <c r="AS328" s="357"/>
      <c r="AT328" s="357"/>
      <c r="AU328" s="357"/>
      <c r="AV328" s="357"/>
      <c r="AW328" s="357"/>
      <c r="AX328" s="357"/>
      <c r="AY328" s="357"/>
      <c r="AZ328" s="357"/>
      <c r="BA328" s="357"/>
      <c r="BB328" s="357"/>
      <c r="BC328" s="357"/>
      <c r="BD328" s="357"/>
      <c r="BE328" s="357"/>
      <c r="BF328" s="357"/>
      <c r="BG328" s="357"/>
      <c r="BH328" s="357"/>
      <c r="BI328" s="357"/>
      <c r="BJ328" s="357"/>
      <c r="BK328" s="357"/>
      <c r="BL328" s="357"/>
      <c r="BM328" s="357"/>
      <c r="BN328" s="357"/>
      <c r="BO328" s="357"/>
      <c r="BP328" s="357"/>
      <c r="BQ328" s="357"/>
      <c r="BR328" s="357"/>
      <c r="BS328" s="357"/>
      <c r="BT328" s="357"/>
      <c r="BU328" s="357"/>
      <c r="BV328" s="357"/>
      <c r="BW328" s="357"/>
      <c r="BX328" s="357"/>
      <c r="BY328" s="357"/>
      <c r="BZ328" s="357"/>
      <c r="CA328" s="357"/>
      <c r="CB328" s="357"/>
      <c r="CC328" s="357"/>
      <c r="CD328" s="357"/>
      <c r="CE328" s="357"/>
      <c r="CF328" s="357"/>
      <c r="CG328" s="357"/>
      <c r="CH328" s="357"/>
      <c r="CI328" s="357"/>
      <c r="CJ328" s="357"/>
      <c r="CK328" s="357"/>
      <c r="CL328" s="357"/>
      <c r="CM328" s="357"/>
      <c r="CN328" s="357"/>
      <c r="CO328" s="357"/>
      <c r="CP328" s="357"/>
      <c r="CQ328" s="357"/>
      <c r="CR328" s="357"/>
      <c r="CS328" s="357"/>
      <c r="CT328" s="357"/>
      <c r="CU328" s="357"/>
      <c r="CV328" s="357"/>
      <c r="CW328" s="357"/>
      <c r="CX328" s="357"/>
      <c r="CY328" s="357"/>
      <c r="CZ328" s="357"/>
      <c r="DA328" s="357"/>
      <c r="DB328" s="357"/>
      <c r="DC328" s="357"/>
      <c r="DD328" s="357"/>
      <c r="DE328" s="357"/>
      <c r="DF328" s="357"/>
      <c r="DG328" s="357"/>
      <c r="DH328" s="357"/>
      <c r="DI328" s="357"/>
      <c r="DJ328" s="357"/>
      <c r="DK328" s="357"/>
      <c r="DL328" s="357"/>
      <c r="DM328" s="357"/>
      <c r="DN328" s="357"/>
      <c r="DO328" s="357"/>
      <c r="DP328" s="357"/>
      <c r="DQ328" s="357"/>
      <c r="DR328" s="357"/>
      <c r="DS328" s="357"/>
      <c r="DT328" s="357"/>
      <c r="DU328" s="357"/>
      <c r="DV328" s="357"/>
      <c r="DW328" s="357"/>
      <c r="DX328" s="357"/>
      <c r="DY328" s="357"/>
      <c r="DZ328" s="357"/>
      <c r="EA328" s="357"/>
      <c r="EB328" s="357"/>
      <c r="EC328" s="357"/>
      <c r="ED328" s="357"/>
      <c r="EE328" s="357"/>
      <c r="EF328" s="357"/>
      <c r="EG328" s="357"/>
      <c r="EH328" s="357"/>
      <c r="EI328" s="357"/>
      <c r="EJ328" s="357"/>
      <c r="EK328" s="357"/>
      <c r="EL328" s="357"/>
      <c r="EM328" s="357"/>
      <c r="EN328" s="357"/>
      <c r="EO328" s="357"/>
      <c r="EP328" s="357"/>
      <c r="EQ328" s="357"/>
      <c r="ER328" s="357"/>
      <c r="ES328" s="357"/>
      <c r="ET328" s="357"/>
      <c r="EU328" s="357"/>
      <c r="EV328" s="357"/>
      <c r="EW328" s="357"/>
      <c r="EX328" s="357"/>
      <c r="EY328" s="357"/>
      <c r="EZ328" s="357"/>
      <c r="FA328" s="357"/>
      <c r="FB328" s="357"/>
      <c r="FC328" s="357"/>
      <c r="FD328" s="357"/>
      <c r="FE328" s="357"/>
      <c r="FF328" s="357"/>
      <c r="FG328" s="357"/>
      <c r="FH328" s="357"/>
      <c r="FI328" s="357"/>
      <c r="FJ328" s="357"/>
      <c r="FK328" s="357"/>
      <c r="FL328" s="357"/>
      <c r="FM328" s="357"/>
      <c r="FN328" s="357"/>
      <c r="FO328" s="357"/>
      <c r="FP328" s="357"/>
      <c r="FQ328" s="357"/>
      <c r="FR328" s="357"/>
      <c r="FS328" s="357"/>
      <c r="FT328" s="357"/>
      <c r="FU328" s="357"/>
      <c r="FV328" s="357"/>
      <c r="FW328" s="357"/>
      <c r="FX328" s="357"/>
      <c r="FY328" s="357"/>
      <c r="FZ328" s="357"/>
      <c r="GA328" s="357"/>
      <c r="GB328" s="357"/>
      <c r="GC328" s="357"/>
      <c r="GD328" s="357"/>
      <c r="GE328" s="357"/>
      <c r="GF328" s="357"/>
      <c r="GG328" s="357"/>
      <c r="GH328" s="357"/>
      <c r="GI328" s="357"/>
      <c r="GJ328" s="357"/>
      <c r="GK328" s="154"/>
      <c r="GL328" s="154"/>
      <c r="GM328" s="154"/>
      <c r="GN328" s="154"/>
      <c r="GO328" s="154"/>
      <c r="GP328" s="154"/>
      <c r="GQ328" s="154"/>
      <c r="GR328" s="154"/>
      <c r="GS328" s="154"/>
      <c r="GT328" s="154"/>
      <c r="GU328" s="154"/>
      <c r="GV328" s="154"/>
      <c r="GW328" s="154"/>
      <c r="GX328" s="154"/>
    </row>
    <row r="329" spans="7:206">
      <c r="G329" s="154"/>
      <c r="H329" s="154"/>
      <c r="I329" s="154"/>
      <c r="J329" s="154"/>
      <c r="K329" s="154"/>
      <c r="L329" s="154"/>
      <c r="M329" s="154"/>
      <c r="N329" s="154"/>
      <c r="O329" s="154"/>
      <c r="P329" s="154"/>
      <c r="Q329" s="154"/>
      <c r="Z329" s="357"/>
      <c r="AA329" s="357"/>
      <c r="AB329" s="357"/>
      <c r="AC329" s="357"/>
      <c r="AD329" s="357"/>
      <c r="AE329" s="357"/>
      <c r="AF329" s="357"/>
      <c r="AG329" s="357"/>
      <c r="AH329" s="357"/>
      <c r="AI329" s="357"/>
      <c r="AJ329" s="357"/>
      <c r="AK329" s="357"/>
      <c r="AL329" s="357"/>
      <c r="AM329" s="357"/>
      <c r="AN329" s="357"/>
      <c r="AO329" s="357"/>
      <c r="AP329" s="357"/>
      <c r="AQ329" s="357"/>
      <c r="AR329" s="357"/>
      <c r="AS329" s="357"/>
      <c r="AT329" s="357"/>
      <c r="AU329" s="357"/>
      <c r="AV329" s="357"/>
      <c r="AW329" s="357"/>
      <c r="AX329" s="357"/>
      <c r="AY329" s="357"/>
      <c r="AZ329" s="357"/>
      <c r="BA329" s="357"/>
      <c r="BB329" s="357"/>
      <c r="BC329" s="357"/>
      <c r="BD329" s="357"/>
      <c r="BE329" s="357"/>
      <c r="BF329" s="357"/>
      <c r="BG329" s="357"/>
      <c r="BH329" s="357"/>
      <c r="BI329" s="357"/>
      <c r="BJ329" s="357"/>
      <c r="BK329" s="357"/>
      <c r="BL329" s="357"/>
      <c r="BM329" s="357"/>
      <c r="BN329" s="357"/>
      <c r="BO329" s="357"/>
      <c r="BP329" s="357"/>
      <c r="BQ329" s="357"/>
      <c r="BR329" s="357"/>
      <c r="BS329" s="357"/>
      <c r="BT329" s="357"/>
      <c r="BU329" s="357"/>
      <c r="BV329" s="357"/>
      <c r="BW329" s="357"/>
      <c r="BX329" s="357"/>
      <c r="BY329" s="357"/>
      <c r="BZ329" s="357"/>
      <c r="CA329" s="357"/>
      <c r="CB329" s="357"/>
      <c r="CC329" s="357"/>
      <c r="CD329" s="357"/>
      <c r="CE329" s="357"/>
      <c r="CF329" s="357"/>
      <c r="CG329" s="357"/>
      <c r="CH329" s="357"/>
      <c r="CI329" s="357"/>
      <c r="CJ329" s="357"/>
      <c r="CK329" s="357"/>
      <c r="CL329" s="357"/>
      <c r="CM329" s="357"/>
      <c r="CN329" s="357"/>
      <c r="CO329" s="357"/>
      <c r="CP329" s="357"/>
      <c r="CQ329" s="357"/>
      <c r="CR329" s="357"/>
      <c r="CS329" s="357"/>
      <c r="CT329" s="357"/>
      <c r="CU329" s="357"/>
      <c r="CV329" s="357"/>
      <c r="CW329" s="357"/>
      <c r="CX329" s="357"/>
      <c r="CY329" s="357"/>
      <c r="CZ329" s="357"/>
      <c r="DA329" s="357"/>
      <c r="DB329" s="357"/>
      <c r="DC329" s="357"/>
      <c r="DD329" s="357"/>
      <c r="DE329" s="357"/>
      <c r="DF329" s="357"/>
      <c r="DG329" s="357"/>
      <c r="DH329" s="357"/>
      <c r="DI329" s="357"/>
      <c r="DJ329" s="357"/>
      <c r="DK329" s="357"/>
      <c r="DL329" s="357"/>
      <c r="DM329" s="357"/>
      <c r="DN329" s="357"/>
      <c r="DO329" s="357"/>
      <c r="DP329" s="357"/>
      <c r="DQ329" s="357"/>
      <c r="DR329" s="357"/>
      <c r="DS329" s="357"/>
      <c r="DT329" s="357"/>
      <c r="DU329" s="357"/>
      <c r="DV329" s="357"/>
      <c r="DW329" s="357"/>
      <c r="DX329" s="357"/>
      <c r="DY329" s="357"/>
      <c r="DZ329" s="357"/>
      <c r="EA329" s="357"/>
      <c r="EB329" s="357"/>
      <c r="EC329" s="357"/>
      <c r="ED329" s="357"/>
      <c r="EE329" s="357"/>
      <c r="EF329" s="357"/>
      <c r="EG329" s="357"/>
      <c r="EH329" s="357"/>
      <c r="EI329" s="357"/>
      <c r="EJ329" s="357"/>
      <c r="EK329" s="357"/>
      <c r="EL329" s="357"/>
      <c r="EM329" s="357"/>
      <c r="EN329" s="357"/>
      <c r="EO329" s="357"/>
      <c r="EP329" s="357"/>
      <c r="EQ329" s="357"/>
      <c r="ER329" s="357"/>
      <c r="ES329" s="357"/>
      <c r="ET329" s="357"/>
      <c r="EU329" s="357"/>
      <c r="EV329" s="357"/>
      <c r="EW329" s="357"/>
      <c r="EX329" s="357"/>
      <c r="EY329" s="357"/>
      <c r="EZ329" s="357"/>
      <c r="FA329" s="357"/>
      <c r="FB329" s="357"/>
      <c r="FC329" s="357"/>
      <c r="FD329" s="357"/>
      <c r="FE329" s="357"/>
      <c r="FF329" s="357"/>
      <c r="FG329" s="357"/>
      <c r="FH329" s="357"/>
      <c r="FI329" s="357"/>
      <c r="FJ329" s="357"/>
      <c r="FK329" s="357"/>
      <c r="FL329" s="357"/>
      <c r="FM329" s="357"/>
      <c r="FN329" s="357"/>
      <c r="FO329" s="357"/>
      <c r="FP329" s="357"/>
      <c r="FQ329" s="357"/>
      <c r="FR329" s="357"/>
      <c r="FS329" s="357"/>
      <c r="FT329" s="357"/>
      <c r="FU329" s="357"/>
      <c r="FV329" s="357"/>
      <c r="FW329" s="357"/>
      <c r="FX329" s="357"/>
      <c r="FY329" s="357"/>
      <c r="FZ329" s="357"/>
      <c r="GA329" s="357"/>
      <c r="GB329" s="357"/>
      <c r="GC329" s="357"/>
      <c r="GD329" s="357"/>
      <c r="GE329" s="357"/>
      <c r="GF329" s="357"/>
      <c r="GG329" s="357"/>
      <c r="GH329" s="357"/>
      <c r="GI329" s="357"/>
      <c r="GJ329" s="357"/>
      <c r="GK329" s="154"/>
      <c r="GL329" s="154"/>
      <c r="GM329" s="154"/>
      <c r="GN329" s="154"/>
      <c r="GO329" s="154"/>
      <c r="GP329" s="154"/>
      <c r="GQ329" s="154"/>
      <c r="GR329" s="154"/>
      <c r="GS329" s="154"/>
      <c r="GT329" s="154"/>
      <c r="GU329" s="154"/>
      <c r="GV329" s="154"/>
      <c r="GW329" s="154"/>
      <c r="GX329" s="154"/>
    </row>
    <row r="330" spans="7:206">
      <c r="G330" s="154"/>
      <c r="H330" s="154"/>
      <c r="I330" s="154"/>
      <c r="J330" s="154"/>
      <c r="K330" s="154"/>
      <c r="L330" s="154"/>
      <c r="M330" s="154"/>
      <c r="N330" s="154"/>
      <c r="O330" s="154"/>
      <c r="P330" s="154"/>
      <c r="Q330" s="154"/>
      <c r="Z330" s="357"/>
      <c r="AA330" s="357"/>
      <c r="AB330" s="357"/>
      <c r="AC330" s="357"/>
      <c r="AD330" s="357"/>
      <c r="AE330" s="357"/>
      <c r="AF330" s="357"/>
      <c r="AG330" s="357"/>
      <c r="AH330" s="357"/>
      <c r="AI330" s="357"/>
      <c r="AJ330" s="357"/>
      <c r="AK330" s="357"/>
      <c r="AL330" s="357"/>
      <c r="AM330" s="357"/>
      <c r="AN330" s="357"/>
      <c r="AO330" s="357"/>
      <c r="AP330" s="357"/>
      <c r="AQ330" s="357"/>
      <c r="AR330" s="357"/>
      <c r="AS330" s="357"/>
      <c r="AT330" s="357"/>
      <c r="AU330" s="357"/>
      <c r="AV330" s="357"/>
      <c r="AW330" s="357"/>
      <c r="AX330" s="357"/>
      <c r="AY330" s="357"/>
      <c r="AZ330" s="357"/>
      <c r="BA330" s="357"/>
      <c r="BB330" s="357"/>
      <c r="BC330" s="357"/>
      <c r="BD330" s="357"/>
      <c r="BE330" s="357"/>
      <c r="BF330" s="357"/>
      <c r="BG330" s="357"/>
      <c r="BH330" s="357"/>
      <c r="BI330" s="357"/>
      <c r="BJ330" s="357"/>
      <c r="BK330" s="357"/>
      <c r="BL330" s="357"/>
      <c r="BM330" s="357"/>
      <c r="BN330" s="357"/>
      <c r="BO330" s="357"/>
      <c r="BP330" s="357"/>
      <c r="BQ330" s="357"/>
      <c r="BR330" s="357"/>
      <c r="BS330" s="357"/>
      <c r="BT330" s="357"/>
      <c r="BU330" s="357"/>
      <c r="BV330" s="357"/>
      <c r="BW330" s="357"/>
      <c r="BX330" s="357"/>
      <c r="BY330" s="357"/>
      <c r="BZ330" s="357"/>
      <c r="CA330" s="357"/>
      <c r="CB330" s="357"/>
      <c r="CC330" s="357"/>
      <c r="CD330" s="357"/>
      <c r="CE330" s="357"/>
      <c r="CF330" s="357"/>
      <c r="CG330" s="357"/>
      <c r="CH330" s="357"/>
      <c r="CI330" s="357"/>
      <c r="CJ330" s="357"/>
      <c r="CK330" s="357"/>
      <c r="CL330" s="357"/>
      <c r="CM330" s="357"/>
      <c r="CN330" s="357"/>
      <c r="CO330" s="357"/>
      <c r="CP330" s="357"/>
      <c r="CQ330" s="357"/>
      <c r="CR330" s="357"/>
      <c r="CS330" s="357"/>
      <c r="CT330" s="357"/>
      <c r="CU330" s="357"/>
      <c r="CV330" s="357"/>
      <c r="CW330" s="357"/>
      <c r="CX330" s="357"/>
      <c r="CY330" s="357"/>
      <c r="CZ330" s="357"/>
      <c r="DA330" s="357"/>
      <c r="DB330" s="357"/>
      <c r="DC330" s="357"/>
      <c r="DD330" s="357"/>
      <c r="DE330" s="357"/>
      <c r="DF330" s="357"/>
      <c r="DG330" s="357"/>
      <c r="DH330" s="357"/>
      <c r="DI330" s="357"/>
      <c r="DJ330" s="357"/>
      <c r="DK330" s="357"/>
      <c r="DL330" s="357"/>
      <c r="DM330" s="357"/>
      <c r="DN330" s="357"/>
      <c r="DO330" s="357"/>
      <c r="DP330" s="357"/>
      <c r="DQ330" s="357"/>
      <c r="DR330" s="357"/>
      <c r="DS330" s="357"/>
      <c r="DT330" s="357"/>
      <c r="DU330" s="357"/>
      <c r="DV330" s="357"/>
      <c r="DW330" s="357"/>
      <c r="DX330" s="357"/>
      <c r="DY330" s="357"/>
      <c r="DZ330" s="357"/>
      <c r="EA330" s="357"/>
      <c r="EB330" s="357"/>
      <c r="EC330" s="357"/>
      <c r="ED330" s="357"/>
      <c r="EE330" s="357"/>
      <c r="EF330" s="357"/>
      <c r="EG330" s="357"/>
      <c r="EH330" s="357"/>
      <c r="EI330" s="357"/>
      <c r="EJ330" s="357"/>
      <c r="EK330" s="357"/>
      <c r="EL330" s="357"/>
      <c r="EM330" s="357"/>
      <c r="EN330" s="357"/>
      <c r="EO330" s="357"/>
      <c r="EP330" s="357"/>
      <c r="EQ330" s="357"/>
      <c r="ER330" s="357"/>
      <c r="ES330" s="357"/>
      <c r="ET330" s="357"/>
      <c r="EU330" s="357"/>
      <c r="EV330" s="357"/>
      <c r="EW330" s="357"/>
      <c r="EX330" s="357"/>
      <c r="EY330" s="357"/>
      <c r="EZ330" s="357"/>
      <c r="FA330" s="357"/>
      <c r="FB330" s="357"/>
      <c r="FC330" s="357"/>
      <c r="FD330" s="357"/>
      <c r="FE330" s="357"/>
      <c r="FF330" s="357"/>
      <c r="FG330" s="357"/>
      <c r="FH330" s="357"/>
      <c r="FI330" s="357"/>
      <c r="FJ330" s="357"/>
      <c r="FK330" s="357"/>
      <c r="FL330" s="357"/>
      <c r="FM330" s="357"/>
      <c r="FN330" s="357"/>
      <c r="FO330" s="357"/>
      <c r="FP330" s="357"/>
      <c r="FQ330" s="357"/>
      <c r="FR330" s="357"/>
      <c r="FS330" s="357"/>
      <c r="FT330" s="357"/>
      <c r="FU330" s="357"/>
      <c r="FV330" s="357"/>
      <c r="FW330" s="357"/>
      <c r="FX330" s="357"/>
      <c r="FY330" s="357"/>
      <c r="FZ330" s="357"/>
      <c r="GA330" s="357"/>
      <c r="GB330" s="357"/>
      <c r="GC330" s="357"/>
      <c r="GD330" s="357"/>
      <c r="GE330" s="357"/>
      <c r="GF330" s="357"/>
      <c r="GG330" s="357"/>
      <c r="GH330" s="357"/>
      <c r="GI330" s="357"/>
      <c r="GJ330" s="357"/>
      <c r="GK330" s="154"/>
      <c r="GL330" s="154"/>
      <c r="GM330" s="154"/>
      <c r="GN330" s="154"/>
      <c r="GO330" s="154"/>
      <c r="GP330" s="154"/>
      <c r="GQ330" s="154"/>
      <c r="GR330" s="154"/>
      <c r="GS330" s="154"/>
      <c r="GT330" s="154"/>
      <c r="GU330" s="154"/>
      <c r="GV330" s="154"/>
      <c r="GW330" s="154"/>
      <c r="GX330" s="154"/>
    </row>
    <row r="331" spans="7:206">
      <c r="G331" s="154"/>
      <c r="H331" s="154"/>
      <c r="I331" s="154"/>
      <c r="J331" s="154"/>
      <c r="K331" s="154"/>
      <c r="L331" s="154"/>
      <c r="M331" s="154"/>
      <c r="N331" s="154"/>
      <c r="O331" s="154"/>
      <c r="P331" s="154"/>
      <c r="Q331" s="154"/>
      <c r="Z331" s="357"/>
      <c r="AA331" s="357"/>
      <c r="AB331" s="357"/>
      <c r="AC331" s="357"/>
      <c r="AD331" s="357"/>
      <c r="AE331" s="357"/>
      <c r="AF331" s="357"/>
      <c r="AG331" s="357"/>
      <c r="AH331" s="357"/>
      <c r="AI331" s="357"/>
      <c r="AJ331" s="357"/>
      <c r="AK331" s="357"/>
      <c r="AL331" s="357"/>
      <c r="AM331" s="357"/>
      <c r="AN331" s="357"/>
      <c r="AO331" s="357"/>
      <c r="AP331" s="357"/>
      <c r="AQ331" s="357"/>
      <c r="AR331" s="357"/>
      <c r="AS331" s="357"/>
      <c r="AT331" s="357"/>
      <c r="AU331" s="357"/>
      <c r="AV331" s="357"/>
      <c r="AW331" s="357"/>
      <c r="AX331" s="357"/>
      <c r="AY331" s="357"/>
      <c r="AZ331" s="357"/>
      <c r="BA331" s="357"/>
      <c r="BB331" s="357"/>
      <c r="BC331" s="357"/>
      <c r="BD331" s="357"/>
      <c r="BE331" s="357"/>
      <c r="BF331" s="357"/>
      <c r="BG331" s="357"/>
      <c r="BH331" s="357"/>
      <c r="BI331" s="357"/>
      <c r="BJ331" s="357"/>
      <c r="BK331" s="357"/>
      <c r="BL331" s="357"/>
      <c r="BM331" s="357"/>
      <c r="BN331" s="357"/>
      <c r="BO331" s="357"/>
      <c r="BP331" s="357"/>
      <c r="BQ331" s="357"/>
      <c r="BR331" s="357"/>
      <c r="BS331" s="357"/>
      <c r="BT331" s="357"/>
      <c r="BU331" s="357"/>
      <c r="BV331" s="357"/>
      <c r="BW331" s="357"/>
      <c r="BX331" s="357"/>
      <c r="BY331" s="357"/>
      <c r="BZ331" s="357"/>
      <c r="CA331" s="357"/>
      <c r="CB331" s="357"/>
      <c r="CC331" s="357"/>
      <c r="CD331" s="357"/>
      <c r="CE331" s="357"/>
      <c r="CF331" s="357"/>
      <c r="CG331" s="357"/>
      <c r="CH331" s="357"/>
      <c r="CI331" s="357"/>
      <c r="CJ331" s="357"/>
      <c r="CK331" s="357"/>
      <c r="CL331" s="357"/>
      <c r="CM331" s="357"/>
      <c r="CN331" s="357"/>
      <c r="CO331" s="357"/>
      <c r="CP331" s="357"/>
      <c r="CQ331" s="357"/>
      <c r="CR331" s="357"/>
      <c r="CS331" s="357"/>
      <c r="CT331" s="357"/>
      <c r="CU331" s="357"/>
      <c r="CV331" s="357"/>
      <c r="CW331" s="357"/>
      <c r="CX331" s="357"/>
      <c r="CY331" s="357"/>
      <c r="CZ331" s="357"/>
      <c r="DA331" s="357"/>
      <c r="DB331" s="357"/>
      <c r="DC331" s="357"/>
      <c r="DD331" s="357"/>
      <c r="DE331" s="357"/>
      <c r="DF331" s="357"/>
      <c r="DG331" s="357"/>
      <c r="DH331" s="357"/>
      <c r="DI331" s="357"/>
      <c r="DJ331" s="357"/>
      <c r="DK331" s="357"/>
      <c r="DL331" s="357"/>
      <c r="DM331" s="357"/>
      <c r="DN331" s="357"/>
      <c r="DO331" s="357"/>
      <c r="DP331" s="357"/>
      <c r="DQ331" s="357"/>
      <c r="DR331" s="357"/>
      <c r="DS331" s="357"/>
      <c r="DT331" s="357"/>
      <c r="DU331" s="357"/>
      <c r="DV331" s="357"/>
      <c r="DW331" s="357"/>
      <c r="DX331" s="357"/>
      <c r="DY331" s="357"/>
      <c r="DZ331" s="357"/>
      <c r="EA331" s="357"/>
      <c r="EB331" s="357"/>
      <c r="EC331" s="357"/>
      <c r="ED331" s="357"/>
      <c r="EE331" s="357"/>
      <c r="EF331" s="357"/>
      <c r="EG331" s="357"/>
      <c r="EH331" s="357"/>
      <c r="EI331" s="357"/>
      <c r="EJ331" s="357"/>
      <c r="EK331" s="357"/>
      <c r="EL331" s="357"/>
      <c r="EM331" s="357"/>
      <c r="EN331" s="357"/>
      <c r="EO331" s="357"/>
      <c r="EP331" s="357"/>
      <c r="EQ331" s="357"/>
      <c r="ER331" s="357"/>
      <c r="ES331" s="357"/>
      <c r="ET331" s="357"/>
      <c r="EU331" s="357"/>
      <c r="EV331" s="357"/>
      <c r="EW331" s="357"/>
      <c r="EX331" s="357"/>
      <c r="EY331" s="357"/>
      <c r="EZ331" s="357"/>
      <c r="FA331" s="357"/>
      <c r="FB331" s="357"/>
      <c r="FC331" s="357"/>
      <c r="FD331" s="357"/>
      <c r="FE331" s="357"/>
      <c r="FF331" s="357"/>
      <c r="FG331" s="357"/>
      <c r="FH331" s="357"/>
      <c r="FI331" s="357"/>
      <c r="FJ331" s="357"/>
      <c r="FK331" s="357"/>
      <c r="FL331" s="357"/>
      <c r="FM331" s="357"/>
      <c r="FN331" s="357"/>
      <c r="FO331" s="357"/>
      <c r="FP331" s="357"/>
      <c r="FQ331" s="357"/>
      <c r="FR331" s="357"/>
      <c r="FS331" s="357"/>
      <c r="FT331" s="357"/>
      <c r="FU331" s="357"/>
      <c r="FV331" s="357"/>
      <c r="FW331" s="357"/>
      <c r="FX331" s="357"/>
      <c r="FY331" s="357"/>
      <c r="FZ331" s="357"/>
      <c r="GA331" s="357"/>
      <c r="GB331" s="357"/>
      <c r="GC331" s="357"/>
      <c r="GD331" s="357"/>
      <c r="GE331" s="357"/>
      <c r="GF331" s="357"/>
      <c r="GG331" s="357"/>
      <c r="GH331" s="357"/>
      <c r="GI331" s="357"/>
      <c r="GJ331" s="357"/>
      <c r="GK331" s="154"/>
      <c r="GL331" s="154"/>
      <c r="GM331" s="154"/>
      <c r="GN331" s="154"/>
      <c r="GO331" s="154"/>
      <c r="GP331" s="154"/>
      <c r="GQ331" s="154"/>
      <c r="GR331" s="154"/>
      <c r="GS331" s="154"/>
      <c r="GT331" s="154"/>
      <c r="GU331" s="154"/>
      <c r="GV331" s="154"/>
      <c r="GW331" s="154"/>
      <c r="GX331" s="154"/>
    </row>
    <row r="332" spans="7:206">
      <c r="Z332" s="357"/>
      <c r="AA332" s="357"/>
      <c r="AB332" s="357"/>
      <c r="AC332" s="357"/>
      <c r="AD332" s="357"/>
      <c r="AE332" s="357"/>
      <c r="AF332" s="357"/>
      <c r="AG332" s="357"/>
      <c r="AH332" s="357"/>
      <c r="AI332" s="357"/>
      <c r="AJ332" s="357"/>
      <c r="AK332" s="357"/>
      <c r="AL332" s="357"/>
      <c r="AM332" s="357"/>
      <c r="AN332" s="357"/>
      <c r="AO332" s="357"/>
      <c r="AP332" s="357"/>
      <c r="AQ332" s="357"/>
      <c r="AR332" s="357"/>
      <c r="AS332" s="357"/>
      <c r="AT332" s="357"/>
      <c r="AU332" s="357"/>
      <c r="AV332" s="357"/>
      <c r="AW332" s="357"/>
      <c r="AX332" s="357"/>
      <c r="AY332" s="357"/>
      <c r="AZ332" s="357"/>
      <c r="BA332" s="357"/>
      <c r="BB332" s="357"/>
      <c r="BC332" s="357"/>
      <c r="BD332" s="357"/>
      <c r="BE332" s="357"/>
      <c r="BF332" s="357"/>
      <c r="BG332" s="357"/>
      <c r="BH332" s="357"/>
      <c r="BI332" s="357"/>
      <c r="BJ332" s="357"/>
      <c r="BK332" s="357"/>
      <c r="BL332" s="357"/>
      <c r="BM332" s="357"/>
      <c r="BN332" s="357"/>
      <c r="BO332" s="357"/>
      <c r="BP332" s="357"/>
      <c r="BQ332" s="357"/>
      <c r="BR332" s="357"/>
      <c r="BS332" s="357"/>
      <c r="BT332" s="357"/>
      <c r="BU332" s="357"/>
      <c r="BV332" s="357"/>
      <c r="BW332" s="357"/>
      <c r="BX332" s="357"/>
      <c r="BY332" s="357"/>
      <c r="BZ332" s="357"/>
      <c r="CA332" s="357"/>
      <c r="CB332" s="357"/>
      <c r="CC332" s="357"/>
      <c r="CD332" s="357"/>
      <c r="CE332" s="357"/>
      <c r="CF332" s="357"/>
      <c r="CG332" s="357"/>
      <c r="CH332" s="357"/>
      <c r="CI332" s="357"/>
      <c r="CJ332" s="357"/>
      <c r="CK332" s="357"/>
      <c r="CL332" s="357"/>
      <c r="CM332" s="357"/>
      <c r="CN332" s="357"/>
      <c r="CO332" s="357"/>
      <c r="CP332" s="357"/>
      <c r="CQ332" s="357"/>
      <c r="CR332" s="357"/>
      <c r="CS332" s="357"/>
      <c r="CT332" s="357"/>
      <c r="CU332" s="357"/>
      <c r="CV332" s="357"/>
      <c r="CW332" s="357"/>
      <c r="CX332" s="357"/>
      <c r="CY332" s="357"/>
      <c r="CZ332" s="357"/>
      <c r="DA332" s="357"/>
      <c r="DB332" s="357"/>
      <c r="DC332" s="357"/>
      <c r="DD332" s="357"/>
      <c r="DE332" s="357"/>
      <c r="DF332" s="357"/>
      <c r="DG332" s="357"/>
      <c r="DH332" s="357"/>
      <c r="DI332" s="357"/>
      <c r="DJ332" s="357"/>
      <c r="DK332" s="357"/>
      <c r="DL332" s="357"/>
      <c r="DM332" s="357"/>
      <c r="DN332" s="357"/>
      <c r="DO332" s="357"/>
      <c r="DP332" s="357"/>
      <c r="DQ332" s="357"/>
      <c r="DR332" s="357"/>
      <c r="DS332" s="357"/>
      <c r="DT332" s="357"/>
      <c r="DU332" s="357"/>
      <c r="DV332" s="357"/>
      <c r="DW332" s="357"/>
      <c r="DX332" s="357"/>
      <c r="DY332" s="357"/>
      <c r="DZ332" s="357"/>
      <c r="EA332" s="357"/>
      <c r="EB332" s="357"/>
      <c r="EC332" s="357"/>
      <c r="ED332" s="357"/>
      <c r="EE332" s="357"/>
      <c r="EF332" s="357"/>
      <c r="EG332" s="357"/>
      <c r="EH332" s="357"/>
      <c r="EI332" s="357"/>
      <c r="EJ332" s="357"/>
      <c r="EK332" s="357"/>
      <c r="EL332" s="357"/>
      <c r="EM332" s="357"/>
      <c r="EN332" s="357"/>
      <c r="EO332" s="357"/>
      <c r="EP332" s="357"/>
      <c r="EQ332" s="357"/>
      <c r="ER332" s="357"/>
      <c r="ES332" s="357"/>
      <c r="ET332" s="357"/>
      <c r="EU332" s="357"/>
      <c r="EV332" s="357"/>
      <c r="EW332" s="357"/>
      <c r="EX332" s="357"/>
      <c r="EY332" s="357"/>
      <c r="EZ332" s="357"/>
      <c r="FA332" s="357"/>
      <c r="FB332" s="357"/>
      <c r="FC332" s="357"/>
      <c r="FD332" s="357"/>
      <c r="FE332" s="357"/>
      <c r="FF332" s="357"/>
      <c r="FG332" s="357"/>
      <c r="FH332" s="357"/>
      <c r="FI332" s="357"/>
      <c r="FJ332" s="357"/>
      <c r="FK332" s="357"/>
      <c r="FL332" s="357"/>
      <c r="FM332" s="357"/>
      <c r="FN332" s="357"/>
      <c r="FO332" s="357"/>
      <c r="FP332" s="357"/>
      <c r="FQ332" s="357"/>
      <c r="FR332" s="357"/>
      <c r="FS332" s="357"/>
      <c r="FT332" s="357"/>
      <c r="FU332" s="357"/>
      <c r="FV332" s="357"/>
      <c r="FW332" s="357"/>
      <c r="FX332" s="357"/>
      <c r="FY332" s="357"/>
      <c r="FZ332" s="357"/>
      <c r="GA332" s="357"/>
      <c r="GB332" s="357"/>
      <c r="GC332" s="357"/>
      <c r="GD332" s="357"/>
      <c r="GE332" s="357"/>
      <c r="GF332" s="357"/>
      <c r="GG332" s="357"/>
      <c r="GH332" s="357"/>
      <c r="GI332" s="357"/>
      <c r="GJ332" s="357"/>
    </row>
    <row r="333" spans="7:206">
      <c r="Z333" s="357"/>
      <c r="AA333" s="357"/>
      <c r="AB333" s="357"/>
      <c r="AC333" s="357"/>
      <c r="AD333" s="357"/>
      <c r="AE333" s="357"/>
      <c r="AF333" s="357"/>
      <c r="AG333" s="357"/>
      <c r="AH333" s="357"/>
      <c r="AI333" s="357"/>
      <c r="AJ333" s="357"/>
      <c r="AK333" s="357"/>
      <c r="AL333" s="357"/>
      <c r="AM333" s="357"/>
      <c r="AN333" s="357"/>
      <c r="AO333" s="357"/>
      <c r="AP333" s="357"/>
      <c r="AQ333" s="357"/>
      <c r="AR333" s="357"/>
      <c r="AS333" s="357"/>
      <c r="AT333" s="357"/>
      <c r="AU333" s="357"/>
      <c r="AV333" s="357"/>
      <c r="AW333" s="357"/>
      <c r="AX333" s="357"/>
      <c r="AY333" s="357"/>
      <c r="AZ333" s="357"/>
      <c r="BA333" s="357"/>
      <c r="BB333" s="357"/>
      <c r="BC333" s="357"/>
      <c r="BD333" s="357"/>
      <c r="BE333" s="357"/>
      <c r="BF333" s="357"/>
      <c r="BG333" s="357"/>
      <c r="BH333" s="357"/>
      <c r="BI333" s="357"/>
      <c r="BJ333" s="357"/>
      <c r="BK333" s="357"/>
      <c r="BL333" s="357"/>
      <c r="BM333" s="357"/>
      <c r="BN333" s="357"/>
      <c r="BO333" s="357"/>
      <c r="BP333" s="357"/>
      <c r="BQ333" s="357"/>
      <c r="BR333" s="357"/>
      <c r="BS333" s="357"/>
      <c r="BT333" s="357"/>
      <c r="BU333" s="357"/>
      <c r="BV333" s="357"/>
      <c r="BW333" s="357"/>
      <c r="BX333" s="357"/>
      <c r="BY333" s="357"/>
      <c r="BZ333" s="357"/>
      <c r="CA333" s="357"/>
      <c r="CB333" s="357"/>
      <c r="CC333" s="357"/>
      <c r="CD333" s="357"/>
      <c r="CE333" s="357"/>
      <c r="CF333" s="357"/>
      <c r="CG333" s="357"/>
      <c r="CH333" s="357"/>
      <c r="CI333" s="357"/>
      <c r="CJ333" s="357"/>
      <c r="CK333" s="357"/>
      <c r="CL333" s="357"/>
      <c r="CM333" s="357"/>
      <c r="CN333" s="357"/>
      <c r="CO333" s="357"/>
      <c r="CP333" s="357"/>
      <c r="CQ333" s="357"/>
      <c r="CR333" s="357"/>
      <c r="CS333" s="357"/>
      <c r="CT333" s="357"/>
      <c r="CU333" s="357"/>
      <c r="CV333" s="357"/>
      <c r="CW333" s="357"/>
      <c r="CX333" s="357"/>
      <c r="CY333" s="357"/>
      <c r="CZ333" s="357"/>
      <c r="DA333" s="357"/>
      <c r="DB333" s="357"/>
      <c r="DC333" s="357"/>
      <c r="DD333" s="357"/>
      <c r="DE333" s="357"/>
      <c r="DF333" s="357"/>
      <c r="DG333" s="357"/>
      <c r="DH333" s="357"/>
      <c r="DI333" s="357"/>
      <c r="DJ333" s="357"/>
      <c r="DK333" s="357"/>
      <c r="DL333" s="357"/>
      <c r="DM333" s="357"/>
      <c r="DN333" s="357"/>
      <c r="DO333" s="357"/>
      <c r="DP333" s="357"/>
      <c r="DQ333" s="357"/>
      <c r="DR333" s="357"/>
      <c r="DS333" s="357"/>
      <c r="DT333" s="357"/>
      <c r="DU333" s="357"/>
      <c r="DV333" s="357"/>
      <c r="DW333" s="357"/>
      <c r="DX333" s="357"/>
      <c r="DY333" s="357"/>
      <c r="DZ333" s="357"/>
      <c r="EA333" s="357"/>
      <c r="EB333" s="357"/>
      <c r="EC333" s="357"/>
      <c r="ED333" s="357"/>
      <c r="EE333" s="357"/>
      <c r="EF333" s="357"/>
      <c r="EG333" s="357"/>
      <c r="EH333" s="357"/>
      <c r="EI333" s="357"/>
      <c r="EJ333" s="357"/>
      <c r="EK333" s="357"/>
      <c r="EL333" s="357"/>
      <c r="EM333" s="357"/>
      <c r="EN333" s="357"/>
      <c r="EO333" s="357"/>
      <c r="EP333" s="357"/>
      <c r="EQ333" s="357"/>
      <c r="ER333" s="357"/>
      <c r="ES333" s="357"/>
      <c r="ET333" s="357"/>
      <c r="EU333" s="357"/>
      <c r="EV333" s="357"/>
      <c r="EW333" s="357"/>
      <c r="EX333" s="357"/>
      <c r="EY333" s="357"/>
      <c r="EZ333" s="357"/>
      <c r="FA333" s="357"/>
      <c r="FB333" s="357"/>
      <c r="FC333" s="357"/>
      <c r="FD333" s="357"/>
      <c r="FE333" s="357"/>
      <c r="FF333" s="357"/>
      <c r="FG333" s="357"/>
      <c r="FH333" s="357"/>
      <c r="FI333" s="357"/>
      <c r="FJ333" s="357"/>
      <c r="FK333" s="357"/>
      <c r="FL333" s="357"/>
      <c r="FM333" s="357"/>
      <c r="FN333" s="357"/>
      <c r="FO333" s="357"/>
      <c r="FP333" s="357"/>
      <c r="FQ333" s="357"/>
      <c r="FR333" s="357"/>
      <c r="FS333" s="357"/>
      <c r="FT333" s="357"/>
      <c r="FU333" s="357"/>
      <c r="FV333" s="357"/>
      <c r="FW333" s="357"/>
      <c r="FX333" s="357"/>
      <c r="FY333" s="357"/>
      <c r="FZ333" s="357"/>
      <c r="GA333" s="357"/>
      <c r="GB333" s="357"/>
      <c r="GC333" s="357"/>
      <c r="GD333" s="357"/>
      <c r="GE333" s="357"/>
      <c r="GF333" s="357"/>
      <c r="GG333" s="357"/>
      <c r="GH333" s="357"/>
      <c r="GI333" s="357"/>
      <c r="GJ333" s="357"/>
    </row>
    <row r="334" spans="7:206">
      <c r="Z334" s="357"/>
      <c r="AA334" s="357"/>
      <c r="AB334" s="357"/>
      <c r="AC334" s="357"/>
      <c r="AD334" s="357"/>
      <c r="AE334" s="357"/>
      <c r="AF334" s="357"/>
      <c r="AG334" s="357"/>
      <c r="AH334" s="357"/>
      <c r="AI334" s="357"/>
      <c r="AJ334" s="357"/>
      <c r="AK334" s="357"/>
      <c r="AL334" s="357"/>
      <c r="AM334" s="357"/>
      <c r="AN334" s="357"/>
      <c r="AO334" s="357"/>
      <c r="AP334" s="357"/>
      <c r="AQ334" s="357"/>
      <c r="AR334" s="357"/>
      <c r="AS334" s="357"/>
      <c r="AT334" s="357"/>
      <c r="AU334" s="357"/>
      <c r="AV334" s="357"/>
      <c r="AW334" s="357"/>
      <c r="AX334" s="357"/>
      <c r="AY334" s="357"/>
      <c r="AZ334" s="357"/>
      <c r="BA334" s="357"/>
      <c r="BB334" s="357"/>
      <c r="BC334" s="357"/>
      <c r="BD334" s="357"/>
      <c r="BE334" s="357"/>
      <c r="BF334" s="357"/>
      <c r="BG334" s="357"/>
      <c r="BH334" s="357"/>
      <c r="BI334" s="357"/>
      <c r="BJ334" s="357"/>
      <c r="BK334" s="357"/>
      <c r="BL334" s="357"/>
      <c r="BM334" s="357"/>
      <c r="BN334" s="357"/>
      <c r="BO334" s="357"/>
      <c r="BP334" s="357"/>
      <c r="BQ334" s="357"/>
      <c r="BR334" s="357"/>
      <c r="BS334" s="357"/>
      <c r="BT334" s="357"/>
      <c r="BU334" s="357"/>
      <c r="BV334" s="357"/>
      <c r="BW334" s="357"/>
      <c r="BX334" s="357"/>
      <c r="BY334" s="357"/>
      <c r="BZ334" s="357"/>
      <c r="CA334" s="357"/>
      <c r="CB334" s="357"/>
      <c r="CC334" s="357"/>
      <c r="CD334" s="357"/>
      <c r="CE334" s="357"/>
      <c r="CF334" s="357"/>
      <c r="CG334" s="357"/>
      <c r="CH334" s="357"/>
      <c r="CI334" s="357"/>
      <c r="CJ334" s="357"/>
      <c r="CK334" s="357"/>
      <c r="CL334" s="357"/>
      <c r="CM334" s="357"/>
      <c r="CN334" s="357"/>
      <c r="CO334" s="357"/>
      <c r="CP334" s="357"/>
      <c r="CQ334" s="357"/>
      <c r="CR334" s="357"/>
      <c r="CS334" s="357"/>
      <c r="CT334" s="357"/>
      <c r="CU334" s="357"/>
      <c r="CV334" s="357"/>
      <c r="CW334" s="357"/>
      <c r="CX334" s="357"/>
      <c r="CY334" s="357"/>
      <c r="CZ334" s="357"/>
      <c r="DA334" s="357"/>
      <c r="DB334" s="357"/>
      <c r="DC334" s="357"/>
      <c r="DD334" s="357"/>
      <c r="DE334" s="357"/>
      <c r="DF334" s="357"/>
      <c r="DG334" s="357"/>
      <c r="DH334" s="357"/>
      <c r="DI334" s="357"/>
      <c r="DJ334" s="357"/>
      <c r="DK334" s="357"/>
      <c r="DL334" s="357"/>
      <c r="DM334" s="357"/>
      <c r="DN334" s="357"/>
      <c r="DO334" s="357"/>
      <c r="DP334" s="357"/>
      <c r="DQ334" s="357"/>
      <c r="DR334" s="357"/>
      <c r="DS334" s="357"/>
      <c r="DT334" s="357"/>
      <c r="DU334" s="357"/>
      <c r="DV334" s="357"/>
      <c r="DW334" s="357"/>
      <c r="DX334" s="357"/>
      <c r="DY334" s="357"/>
      <c r="DZ334" s="357"/>
      <c r="EA334" s="357"/>
      <c r="EB334" s="357"/>
      <c r="EC334" s="357"/>
      <c r="ED334" s="357"/>
      <c r="EE334" s="357"/>
      <c r="EF334" s="357"/>
      <c r="EG334" s="357"/>
      <c r="EH334" s="357"/>
      <c r="EI334" s="357"/>
      <c r="EJ334" s="357"/>
      <c r="EK334" s="357"/>
      <c r="EL334" s="357"/>
      <c r="EM334" s="357"/>
      <c r="EN334" s="357"/>
      <c r="EO334" s="357"/>
      <c r="EP334" s="357"/>
      <c r="EQ334" s="357"/>
      <c r="ER334" s="357"/>
      <c r="ES334" s="357"/>
      <c r="ET334" s="357"/>
      <c r="EU334" s="357"/>
      <c r="EV334" s="357"/>
      <c r="EW334" s="357"/>
      <c r="EX334" s="357"/>
      <c r="EY334" s="357"/>
      <c r="EZ334" s="357"/>
      <c r="FA334" s="357"/>
      <c r="FB334" s="357"/>
      <c r="FC334" s="357"/>
      <c r="FD334" s="357"/>
      <c r="FE334" s="357"/>
      <c r="FF334" s="357"/>
      <c r="FG334" s="357"/>
      <c r="FH334" s="357"/>
      <c r="FI334" s="357"/>
      <c r="FJ334" s="357"/>
      <c r="FK334" s="357"/>
      <c r="FL334" s="357"/>
      <c r="FM334" s="357"/>
      <c r="FN334" s="357"/>
      <c r="FO334" s="357"/>
      <c r="FP334" s="357"/>
      <c r="FQ334" s="357"/>
      <c r="FR334" s="357"/>
      <c r="FS334" s="357"/>
      <c r="FT334" s="357"/>
      <c r="FU334" s="357"/>
      <c r="FV334" s="357"/>
      <c r="FW334" s="357"/>
      <c r="FX334" s="357"/>
      <c r="FY334" s="357"/>
      <c r="FZ334" s="357"/>
      <c r="GA334" s="357"/>
      <c r="GB334" s="357"/>
      <c r="GC334" s="357"/>
      <c r="GD334" s="357"/>
      <c r="GE334" s="357"/>
      <c r="GF334" s="357"/>
      <c r="GG334" s="357"/>
      <c r="GH334" s="357"/>
      <c r="GI334" s="357"/>
      <c r="GJ334" s="357"/>
    </row>
    <row r="335" spans="7:206">
      <c r="Z335" s="357"/>
      <c r="AA335" s="357"/>
      <c r="AB335" s="357"/>
      <c r="AC335" s="357"/>
      <c r="AD335" s="357"/>
      <c r="AE335" s="357"/>
      <c r="AF335" s="357"/>
      <c r="AG335" s="357"/>
      <c r="AH335" s="357"/>
      <c r="AI335" s="357"/>
      <c r="AJ335" s="357"/>
      <c r="AK335" s="357"/>
      <c r="AL335" s="357"/>
      <c r="AM335" s="357"/>
      <c r="AN335" s="357"/>
      <c r="AO335" s="357"/>
      <c r="AP335" s="357"/>
      <c r="AQ335" s="357"/>
      <c r="AR335" s="357"/>
      <c r="AS335" s="357"/>
      <c r="AT335" s="357"/>
      <c r="AU335" s="357"/>
      <c r="AV335" s="357"/>
      <c r="AW335" s="357"/>
      <c r="AX335" s="357"/>
      <c r="AY335" s="357"/>
      <c r="AZ335" s="357"/>
      <c r="BA335" s="357"/>
      <c r="BB335" s="357"/>
      <c r="BC335" s="357"/>
      <c r="BD335" s="357"/>
      <c r="BE335" s="357"/>
      <c r="BF335" s="357"/>
      <c r="BG335" s="357"/>
      <c r="BH335" s="357"/>
      <c r="BI335" s="357"/>
      <c r="BJ335" s="357"/>
      <c r="BK335" s="357"/>
      <c r="BL335" s="357"/>
      <c r="BM335" s="357"/>
      <c r="BN335" s="357"/>
      <c r="BO335" s="357"/>
      <c r="BP335" s="357"/>
      <c r="BQ335" s="357"/>
      <c r="BR335" s="357"/>
      <c r="BS335" s="357"/>
      <c r="BT335" s="357"/>
      <c r="BU335" s="357"/>
      <c r="BV335" s="357"/>
      <c r="BW335" s="357"/>
      <c r="BX335" s="357"/>
      <c r="BY335" s="357"/>
      <c r="BZ335" s="357"/>
      <c r="CA335" s="357"/>
      <c r="CB335" s="357"/>
      <c r="CC335" s="357"/>
      <c r="CD335" s="357"/>
      <c r="CE335" s="357"/>
      <c r="CF335" s="357"/>
      <c r="CG335" s="357"/>
      <c r="CH335" s="357"/>
      <c r="CI335" s="357"/>
      <c r="CJ335" s="357"/>
      <c r="CK335" s="357"/>
      <c r="CL335" s="357"/>
      <c r="CM335" s="357"/>
      <c r="CN335" s="357"/>
      <c r="CO335" s="357"/>
      <c r="CP335" s="357"/>
      <c r="CQ335" s="357"/>
      <c r="CR335" s="357"/>
      <c r="CS335" s="357"/>
      <c r="CT335" s="357"/>
      <c r="CU335" s="357"/>
      <c r="CV335" s="357"/>
      <c r="CW335" s="357"/>
      <c r="CX335" s="357"/>
      <c r="CY335" s="357"/>
      <c r="CZ335" s="357"/>
      <c r="DA335" s="357"/>
      <c r="DB335" s="357"/>
      <c r="DC335" s="357"/>
      <c r="DD335" s="357"/>
      <c r="DE335" s="357"/>
      <c r="DF335" s="357"/>
      <c r="DG335" s="357"/>
      <c r="DH335" s="357"/>
      <c r="DI335" s="357"/>
      <c r="DJ335" s="357"/>
      <c r="DK335" s="357"/>
      <c r="DL335" s="357"/>
      <c r="DM335" s="357"/>
      <c r="DN335" s="357"/>
      <c r="DO335" s="357"/>
      <c r="DP335" s="357"/>
      <c r="DQ335" s="357"/>
      <c r="DR335" s="357"/>
      <c r="DS335" s="357"/>
      <c r="DT335" s="357"/>
      <c r="DU335" s="357"/>
      <c r="DV335" s="357"/>
      <c r="DW335" s="357"/>
      <c r="DX335" s="357"/>
      <c r="DY335" s="357"/>
      <c r="DZ335" s="357"/>
      <c r="EA335" s="357"/>
      <c r="EB335" s="357"/>
      <c r="EC335" s="357"/>
      <c r="ED335" s="357"/>
      <c r="EE335" s="357"/>
      <c r="EF335" s="357"/>
      <c r="EG335" s="357"/>
      <c r="EH335" s="357"/>
      <c r="EI335" s="357"/>
      <c r="EJ335" s="357"/>
      <c r="EK335" s="357"/>
      <c r="EL335" s="357"/>
      <c r="EM335" s="357"/>
      <c r="EN335" s="357"/>
      <c r="EO335" s="357"/>
      <c r="EP335" s="357"/>
      <c r="EQ335" s="357"/>
      <c r="ER335" s="357"/>
      <c r="ES335" s="357"/>
      <c r="ET335" s="357"/>
      <c r="EU335" s="357"/>
      <c r="EV335" s="357"/>
      <c r="EW335" s="357"/>
      <c r="EX335" s="357"/>
      <c r="EY335" s="357"/>
      <c r="EZ335" s="357"/>
      <c r="FA335" s="357"/>
      <c r="FB335" s="357"/>
      <c r="FC335" s="357"/>
      <c r="FD335" s="357"/>
      <c r="FE335" s="357"/>
      <c r="FF335" s="357"/>
      <c r="FG335" s="357"/>
      <c r="FH335" s="357"/>
      <c r="FI335" s="357"/>
      <c r="FJ335" s="357"/>
      <c r="FK335" s="357"/>
      <c r="FL335" s="357"/>
      <c r="FM335" s="357"/>
      <c r="FN335" s="357"/>
      <c r="FO335" s="357"/>
      <c r="FP335" s="357"/>
      <c r="FQ335" s="357"/>
      <c r="FR335" s="357"/>
      <c r="FS335" s="357"/>
      <c r="FT335" s="357"/>
      <c r="FU335" s="357"/>
      <c r="FV335" s="357"/>
      <c r="FW335" s="357"/>
      <c r="FX335" s="357"/>
      <c r="FY335" s="357"/>
      <c r="FZ335" s="357"/>
      <c r="GA335" s="357"/>
      <c r="GB335" s="357"/>
      <c r="GC335" s="357"/>
      <c r="GD335" s="357"/>
      <c r="GE335" s="357"/>
      <c r="GF335" s="357"/>
      <c r="GG335" s="357"/>
      <c r="GH335" s="357"/>
      <c r="GI335" s="357"/>
      <c r="GJ335" s="357"/>
    </row>
    <row r="336" spans="7:206">
      <c r="Z336" s="357"/>
      <c r="AA336" s="357"/>
      <c r="AB336" s="357"/>
      <c r="AC336" s="357"/>
      <c r="AD336" s="357"/>
      <c r="AE336" s="357"/>
      <c r="AF336" s="357"/>
      <c r="AG336" s="357"/>
      <c r="AH336" s="357"/>
      <c r="AI336" s="357"/>
      <c r="AJ336" s="357"/>
      <c r="AK336" s="357"/>
      <c r="AL336" s="357"/>
      <c r="AM336" s="357"/>
      <c r="AN336" s="357"/>
      <c r="AO336" s="357"/>
      <c r="AP336" s="357"/>
      <c r="AQ336" s="357"/>
      <c r="AR336" s="357"/>
      <c r="AS336" s="357"/>
      <c r="AT336" s="357"/>
      <c r="AU336" s="357"/>
      <c r="AV336" s="357"/>
      <c r="AW336" s="357"/>
      <c r="AX336" s="357"/>
      <c r="AY336" s="357"/>
      <c r="AZ336" s="357"/>
      <c r="BA336" s="357"/>
      <c r="BB336" s="357"/>
      <c r="BC336" s="357"/>
      <c r="BD336" s="357"/>
      <c r="BE336" s="357"/>
      <c r="BF336" s="357"/>
      <c r="BG336" s="357"/>
      <c r="BH336" s="357"/>
      <c r="BI336" s="357"/>
      <c r="BJ336" s="357"/>
      <c r="BK336" s="357"/>
      <c r="BL336" s="357"/>
      <c r="BM336" s="357"/>
      <c r="BN336" s="357"/>
      <c r="BO336" s="357"/>
      <c r="BP336" s="357"/>
      <c r="BQ336" s="357"/>
      <c r="BR336" s="357"/>
      <c r="BS336" s="357"/>
      <c r="BT336" s="357"/>
      <c r="BU336" s="357"/>
      <c r="BV336" s="357"/>
      <c r="BW336" s="357"/>
      <c r="BX336" s="357"/>
      <c r="BY336" s="357"/>
      <c r="BZ336" s="357"/>
      <c r="CA336" s="357"/>
      <c r="CB336" s="357"/>
      <c r="CC336" s="357"/>
      <c r="CD336" s="357"/>
      <c r="CE336" s="357"/>
      <c r="CF336" s="357"/>
      <c r="CG336" s="357"/>
      <c r="CH336" s="357"/>
      <c r="CI336" s="357"/>
      <c r="CJ336" s="357"/>
      <c r="CK336" s="357"/>
      <c r="CL336" s="357"/>
      <c r="CM336" s="357"/>
      <c r="CN336" s="357"/>
      <c r="CO336" s="357"/>
      <c r="CP336" s="357"/>
      <c r="CQ336" s="357"/>
      <c r="CR336" s="357"/>
      <c r="CS336" s="357"/>
      <c r="CT336" s="357"/>
      <c r="CU336" s="357"/>
      <c r="CV336" s="357"/>
      <c r="CW336" s="357"/>
      <c r="CX336" s="357"/>
      <c r="CY336" s="357"/>
      <c r="CZ336" s="357"/>
      <c r="DA336" s="357"/>
      <c r="DB336" s="357"/>
      <c r="DC336" s="357"/>
      <c r="DD336" s="357"/>
      <c r="DE336" s="357"/>
      <c r="DF336" s="357"/>
      <c r="DG336" s="357"/>
      <c r="DH336" s="357"/>
      <c r="DI336" s="357"/>
      <c r="DJ336" s="357"/>
      <c r="DK336" s="357"/>
      <c r="DL336" s="357"/>
      <c r="DM336" s="357"/>
      <c r="DN336" s="357"/>
      <c r="DO336" s="357"/>
      <c r="DP336" s="357"/>
      <c r="DQ336" s="357"/>
      <c r="DR336" s="357"/>
      <c r="DS336" s="357"/>
      <c r="DT336" s="357"/>
      <c r="DU336" s="357"/>
      <c r="DV336" s="357"/>
      <c r="DW336" s="357"/>
      <c r="DX336" s="357"/>
      <c r="DY336" s="357"/>
      <c r="DZ336" s="357"/>
      <c r="EA336" s="357"/>
      <c r="EB336" s="357"/>
      <c r="EC336" s="357"/>
      <c r="ED336" s="357"/>
      <c r="EE336" s="357"/>
      <c r="EF336" s="357"/>
      <c r="EG336" s="357"/>
      <c r="EH336" s="357"/>
      <c r="EI336" s="357"/>
      <c r="EJ336" s="357"/>
      <c r="EK336" s="357"/>
      <c r="EL336" s="357"/>
      <c r="EM336" s="357"/>
      <c r="EN336" s="357"/>
      <c r="EO336" s="357"/>
      <c r="EP336" s="357"/>
      <c r="EQ336" s="357"/>
      <c r="ER336" s="357"/>
      <c r="ES336" s="357"/>
      <c r="ET336" s="357"/>
      <c r="EU336" s="357"/>
      <c r="EV336" s="357"/>
      <c r="EW336" s="357"/>
      <c r="EX336" s="357"/>
      <c r="EY336" s="357"/>
      <c r="EZ336" s="357"/>
      <c r="FA336" s="357"/>
      <c r="FB336" s="357"/>
      <c r="FC336" s="357"/>
      <c r="FD336" s="357"/>
      <c r="FE336" s="357"/>
      <c r="FF336" s="357"/>
      <c r="FG336" s="357"/>
      <c r="FH336" s="357"/>
      <c r="FI336" s="357"/>
      <c r="FJ336" s="357"/>
      <c r="FK336" s="357"/>
      <c r="FL336" s="357"/>
      <c r="FM336" s="357"/>
      <c r="FN336" s="357"/>
      <c r="FO336" s="357"/>
      <c r="FP336" s="357"/>
      <c r="FQ336" s="357"/>
      <c r="FR336" s="357"/>
      <c r="FS336" s="357"/>
      <c r="FT336" s="357"/>
      <c r="FU336" s="357"/>
      <c r="FV336" s="357"/>
      <c r="FW336" s="357"/>
      <c r="FX336" s="357"/>
      <c r="FY336" s="357"/>
      <c r="FZ336" s="357"/>
      <c r="GA336" s="357"/>
      <c r="GB336" s="357"/>
      <c r="GC336" s="357"/>
      <c r="GD336" s="357"/>
      <c r="GE336" s="357"/>
      <c r="GF336" s="357"/>
      <c r="GG336" s="357"/>
      <c r="GH336" s="357"/>
      <c r="GI336" s="357"/>
      <c r="GJ336" s="357"/>
    </row>
    <row r="337" spans="26:192">
      <c r="Z337" s="357"/>
      <c r="AA337" s="357"/>
      <c r="AB337" s="357"/>
      <c r="AC337" s="357"/>
      <c r="AD337" s="357"/>
      <c r="AE337" s="357"/>
      <c r="AF337" s="357"/>
      <c r="AG337" s="357"/>
      <c r="AH337" s="357"/>
      <c r="AI337" s="357"/>
      <c r="AJ337" s="357"/>
      <c r="AK337" s="357"/>
      <c r="AL337" s="357"/>
      <c r="AM337" s="357"/>
      <c r="AN337" s="357"/>
      <c r="AO337" s="357"/>
      <c r="AP337" s="357"/>
      <c r="AQ337" s="357"/>
      <c r="AR337" s="357"/>
      <c r="AS337" s="357"/>
      <c r="AT337" s="357"/>
      <c r="AU337" s="357"/>
      <c r="AV337" s="357"/>
      <c r="AW337" s="357"/>
      <c r="AX337" s="357"/>
      <c r="AY337" s="357"/>
      <c r="AZ337" s="357"/>
      <c r="BA337" s="357"/>
      <c r="BB337" s="357"/>
      <c r="BC337" s="357"/>
      <c r="BD337" s="357"/>
      <c r="BE337" s="357"/>
      <c r="BF337" s="357"/>
      <c r="BG337" s="357"/>
      <c r="BH337" s="357"/>
      <c r="BI337" s="357"/>
      <c r="BJ337" s="357"/>
      <c r="BK337" s="357"/>
      <c r="BL337" s="357"/>
      <c r="BM337" s="357"/>
      <c r="BN337" s="357"/>
      <c r="BO337" s="357"/>
      <c r="BP337" s="357"/>
      <c r="BQ337" s="357"/>
      <c r="BR337" s="357"/>
      <c r="BS337" s="357"/>
      <c r="BT337" s="357"/>
      <c r="BU337" s="357"/>
      <c r="BV337" s="357"/>
      <c r="BW337" s="357"/>
      <c r="BX337" s="357"/>
      <c r="BY337" s="357"/>
      <c r="BZ337" s="357"/>
      <c r="CA337" s="357"/>
      <c r="CB337" s="357"/>
      <c r="CC337" s="357"/>
      <c r="CD337" s="357"/>
      <c r="CE337" s="357"/>
      <c r="CF337" s="357"/>
      <c r="CG337" s="357"/>
      <c r="CH337" s="357"/>
      <c r="CI337" s="357"/>
      <c r="CJ337" s="357"/>
      <c r="CK337" s="357"/>
      <c r="CL337" s="357"/>
      <c r="CM337" s="357"/>
      <c r="CN337" s="357"/>
      <c r="CO337" s="357"/>
      <c r="CP337" s="357"/>
      <c r="CQ337" s="357"/>
      <c r="CR337" s="357"/>
      <c r="CS337" s="357"/>
      <c r="CT337" s="357"/>
      <c r="CU337" s="357"/>
      <c r="CV337" s="357"/>
      <c r="CW337" s="357"/>
      <c r="CX337" s="357"/>
      <c r="CY337" s="357"/>
      <c r="CZ337" s="357"/>
      <c r="DA337" s="357"/>
      <c r="DB337" s="357"/>
      <c r="DC337" s="357"/>
      <c r="DD337" s="357"/>
      <c r="DE337" s="357"/>
      <c r="DF337" s="357"/>
      <c r="DG337" s="357"/>
      <c r="DH337" s="357"/>
      <c r="DI337" s="357"/>
      <c r="DJ337" s="357"/>
      <c r="DK337" s="357"/>
      <c r="DL337" s="357"/>
      <c r="DM337" s="357"/>
      <c r="DN337" s="357"/>
      <c r="DO337" s="357"/>
      <c r="DP337" s="357"/>
      <c r="DQ337" s="357"/>
      <c r="DR337" s="357"/>
      <c r="DS337" s="357"/>
      <c r="DT337" s="357"/>
      <c r="DU337" s="357"/>
      <c r="DV337" s="357"/>
      <c r="DW337" s="357"/>
      <c r="DX337" s="357"/>
      <c r="DY337" s="357"/>
      <c r="DZ337" s="357"/>
      <c r="EA337" s="357"/>
      <c r="EB337" s="357"/>
      <c r="EC337" s="357"/>
      <c r="ED337" s="357"/>
      <c r="EE337" s="357"/>
      <c r="EF337" s="357"/>
      <c r="EG337" s="357"/>
      <c r="EH337" s="357"/>
      <c r="EI337" s="357"/>
      <c r="EJ337" s="357"/>
      <c r="EK337" s="357"/>
      <c r="EL337" s="357"/>
      <c r="EM337" s="357"/>
      <c r="EN337" s="357"/>
      <c r="EO337" s="357"/>
      <c r="EP337" s="357"/>
      <c r="EQ337" s="357"/>
      <c r="ER337" s="357"/>
      <c r="ES337" s="357"/>
      <c r="ET337" s="357"/>
      <c r="EU337" s="357"/>
      <c r="EV337" s="357"/>
      <c r="EW337" s="357"/>
      <c r="EX337" s="357"/>
      <c r="EY337" s="357"/>
      <c r="EZ337" s="357"/>
      <c r="FA337" s="357"/>
      <c r="FB337" s="357"/>
      <c r="FC337" s="357"/>
      <c r="FD337" s="357"/>
      <c r="FE337" s="357"/>
      <c r="FF337" s="357"/>
      <c r="FG337" s="357"/>
      <c r="FH337" s="357"/>
      <c r="FI337" s="357"/>
      <c r="FJ337" s="357"/>
      <c r="FK337" s="357"/>
      <c r="FL337" s="357"/>
      <c r="FM337" s="357"/>
      <c r="FN337" s="357"/>
      <c r="FO337" s="357"/>
      <c r="FP337" s="357"/>
      <c r="FQ337" s="357"/>
      <c r="FR337" s="357"/>
      <c r="FS337" s="357"/>
      <c r="FT337" s="357"/>
      <c r="FU337" s="357"/>
      <c r="FV337" s="357"/>
      <c r="FW337" s="357"/>
      <c r="FX337" s="357"/>
      <c r="FY337" s="357"/>
      <c r="FZ337" s="357"/>
      <c r="GA337" s="357"/>
      <c r="GB337" s="357"/>
      <c r="GC337" s="357"/>
      <c r="GD337" s="357"/>
      <c r="GE337" s="357"/>
      <c r="GF337" s="357"/>
      <c r="GG337" s="357"/>
      <c r="GH337" s="357"/>
      <c r="GI337" s="357"/>
      <c r="GJ337" s="357"/>
    </row>
    <row r="338" spans="26:192">
      <c r="Z338" s="357"/>
      <c r="AA338" s="357"/>
      <c r="AB338" s="357"/>
      <c r="AC338" s="357"/>
      <c r="AD338" s="357"/>
      <c r="AE338" s="357"/>
      <c r="AF338" s="357"/>
      <c r="AG338" s="357"/>
      <c r="AH338" s="357"/>
      <c r="AI338" s="357"/>
      <c r="AJ338" s="357"/>
      <c r="AK338" s="357"/>
      <c r="AL338" s="357"/>
      <c r="AM338" s="357"/>
      <c r="AN338" s="357"/>
      <c r="AO338" s="357"/>
      <c r="AP338" s="357"/>
      <c r="AQ338" s="357"/>
      <c r="AR338" s="357"/>
      <c r="AS338" s="357"/>
      <c r="AT338" s="357"/>
      <c r="AU338" s="357"/>
      <c r="AV338" s="357"/>
      <c r="AW338" s="357"/>
      <c r="AX338" s="357"/>
      <c r="AY338" s="357"/>
      <c r="AZ338" s="357"/>
      <c r="BA338" s="357"/>
      <c r="BB338" s="357"/>
      <c r="BC338" s="357"/>
      <c r="BD338" s="357"/>
      <c r="BE338" s="357"/>
      <c r="BF338" s="357"/>
      <c r="BG338" s="357"/>
      <c r="BH338" s="357"/>
      <c r="BI338" s="357"/>
      <c r="BJ338" s="357"/>
      <c r="BK338" s="357"/>
      <c r="BL338" s="357"/>
      <c r="BM338" s="357"/>
      <c r="BN338" s="357"/>
      <c r="BO338" s="357"/>
      <c r="BP338" s="357"/>
      <c r="BQ338" s="357"/>
      <c r="BR338" s="357"/>
      <c r="BS338" s="357"/>
      <c r="BT338" s="357"/>
      <c r="BU338" s="357"/>
      <c r="BV338" s="357"/>
      <c r="BW338" s="357"/>
      <c r="BX338" s="357"/>
      <c r="BY338" s="357"/>
      <c r="BZ338" s="357"/>
      <c r="CA338" s="357"/>
      <c r="CB338" s="357"/>
      <c r="CC338" s="357"/>
      <c r="CD338" s="357"/>
      <c r="CE338" s="357"/>
      <c r="CF338" s="357"/>
      <c r="CG338" s="357"/>
      <c r="CH338" s="357"/>
      <c r="CI338" s="357"/>
      <c r="CJ338" s="357"/>
      <c r="CK338" s="357"/>
      <c r="CL338" s="357"/>
      <c r="CM338" s="357"/>
      <c r="CN338" s="357"/>
      <c r="CO338" s="357"/>
      <c r="CP338" s="357"/>
      <c r="CQ338" s="357"/>
      <c r="CR338" s="357"/>
      <c r="CS338" s="357"/>
      <c r="CT338" s="357"/>
      <c r="CU338" s="357"/>
      <c r="CV338" s="357"/>
      <c r="CW338" s="357"/>
      <c r="CX338" s="357"/>
      <c r="CY338" s="357"/>
      <c r="CZ338" s="357"/>
      <c r="DA338" s="357"/>
      <c r="DB338" s="357"/>
      <c r="DC338" s="357"/>
      <c r="DD338" s="357"/>
      <c r="DE338" s="357"/>
      <c r="DF338" s="357"/>
      <c r="DG338" s="357"/>
      <c r="DH338" s="357"/>
      <c r="DI338" s="357"/>
      <c r="DJ338" s="357"/>
      <c r="DK338" s="357"/>
      <c r="DL338" s="357"/>
      <c r="DM338" s="357"/>
      <c r="DN338" s="357"/>
      <c r="DO338" s="357"/>
      <c r="DP338" s="357"/>
      <c r="DQ338" s="357"/>
      <c r="DR338" s="357"/>
      <c r="DS338" s="357"/>
      <c r="DT338" s="357"/>
      <c r="DU338" s="357"/>
      <c r="DV338" s="357"/>
      <c r="DW338" s="357"/>
      <c r="DX338" s="357"/>
      <c r="DY338" s="357"/>
      <c r="DZ338" s="357"/>
      <c r="EA338" s="357"/>
      <c r="EB338" s="357"/>
      <c r="EC338" s="357"/>
      <c r="ED338" s="357"/>
      <c r="EE338" s="357"/>
      <c r="EF338" s="357"/>
      <c r="EG338" s="357"/>
      <c r="EH338" s="357"/>
      <c r="EI338" s="357"/>
      <c r="EJ338" s="357"/>
      <c r="EK338" s="357"/>
      <c r="EL338" s="357"/>
      <c r="EM338" s="357"/>
      <c r="EN338" s="357"/>
      <c r="EO338" s="357"/>
      <c r="EP338" s="357"/>
      <c r="EQ338" s="357"/>
      <c r="ER338" s="357"/>
      <c r="ES338" s="357"/>
      <c r="ET338" s="357"/>
      <c r="EU338" s="357"/>
      <c r="EV338" s="357"/>
      <c r="EW338" s="357"/>
      <c r="EX338" s="357"/>
      <c r="EY338" s="357"/>
      <c r="EZ338" s="357"/>
      <c r="FA338" s="357"/>
      <c r="FB338" s="357"/>
      <c r="FC338" s="357"/>
      <c r="FD338" s="357"/>
      <c r="FE338" s="357"/>
      <c r="FF338" s="357"/>
      <c r="FG338" s="357"/>
      <c r="FH338" s="357"/>
      <c r="FI338" s="357"/>
      <c r="FJ338" s="357"/>
      <c r="FK338" s="357"/>
      <c r="FL338" s="357"/>
      <c r="FM338" s="357"/>
      <c r="FN338" s="357"/>
      <c r="FO338" s="357"/>
      <c r="FP338" s="357"/>
      <c r="FQ338" s="357"/>
      <c r="FR338" s="357"/>
      <c r="FS338" s="357"/>
      <c r="FT338" s="357"/>
      <c r="FU338" s="357"/>
      <c r="FV338" s="357"/>
      <c r="FW338" s="357"/>
      <c r="FX338" s="357"/>
      <c r="FY338" s="357"/>
      <c r="FZ338" s="357"/>
      <c r="GA338" s="357"/>
      <c r="GB338" s="357"/>
      <c r="GC338" s="357"/>
      <c r="GD338" s="357"/>
      <c r="GE338" s="357"/>
      <c r="GF338" s="357"/>
      <c r="GG338" s="357"/>
      <c r="GH338" s="357"/>
      <c r="GI338" s="357"/>
      <c r="GJ338" s="357"/>
    </row>
    <row r="339" spans="26:192">
      <c r="Z339" s="357"/>
      <c r="AA339" s="357"/>
      <c r="AB339" s="357"/>
      <c r="AC339" s="357"/>
      <c r="AD339" s="357"/>
      <c r="AE339" s="357"/>
      <c r="AF339" s="357"/>
      <c r="AG339" s="357"/>
      <c r="AH339" s="357"/>
      <c r="AI339" s="357"/>
      <c r="AJ339" s="357"/>
      <c r="AK339" s="357"/>
      <c r="AL339" s="357"/>
      <c r="AM339" s="357"/>
      <c r="AN339" s="357"/>
      <c r="AO339" s="357"/>
      <c r="AP339" s="357"/>
      <c r="AQ339" s="357"/>
      <c r="AR339" s="357"/>
      <c r="AS339" s="357"/>
      <c r="AT339" s="357"/>
      <c r="AU339" s="357"/>
      <c r="AV339" s="357"/>
      <c r="AW339" s="357"/>
      <c r="AX339" s="357"/>
      <c r="AY339" s="357"/>
      <c r="AZ339" s="357"/>
      <c r="BA339" s="357"/>
      <c r="BB339" s="357"/>
      <c r="BC339" s="357"/>
      <c r="BD339" s="357"/>
      <c r="BE339" s="357"/>
      <c r="BF339" s="357"/>
      <c r="BG339" s="357"/>
      <c r="BH339" s="357"/>
      <c r="BI339" s="357"/>
      <c r="BJ339" s="357"/>
      <c r="BK339" s="357"/>
      <c r="BL339" s="357"/>
      <c r="BM339" s="357"/>
      <c r="BN339" s="357"/>
      <c r="BO339" s="357"/>
      <c r="BP339" s="357"/>
      <c r="BQ339" s="357"/>
      <c r="BR339" s="357"/>
      <c r="BS339" s="357"/>
      <c r="BT339" s="357"/>
      <c r="BU339" s="357"/>
      <c r="BV339" s="357"/>
      <c r="BW339" s="357"/>
      <c r="BX339" s="357"/>
      <c r="BY339" s="357"/>
      <c r="BZ339" s="357"/>
      <c r="CA339" s="357"/>
      <c r="CB339" s="357"/>
      <c r="CC339" s="357"/>
      <c r="CD339" s="357"/>
      <c r="CE339" s="357"/>
      <c r="CF339" s="357"/>
      <c r="CG339" s="357"/>
      <c r="CH339" s="357"/>
      <c r="CI339" s="357"/>
      <c r="CJ339" s="357"/>
      <c r="CK339" s="357"/>
      <c r="CL339" s="357"/>
      <c r="CM339" s="357"/>
      <c r="CN339" s="357"/>
      <c r="CO339" s="357"/>
      <c r="CP339" s="357"/>
      <c r="CQ339" s="357"/>
      <c r="CR339" s="357"/>
      <c r="CS339" s="357"/>
      <c r="CT339" s="357"/>
      <c r="CU339" s="357"/>
      <c r="CV339" s="357"/>
      <c r="CW339" s="357"/>
      <c r="CX339" s="357"/>
      <c r="CY339" s="357"/>
      <c r="CZ339" s="357"/>
      <c r="DA339" s="357"/>
      <c r="DB339" s="357"/>
      <c r="DC339" s="357"/>
      <c r="DD339" s="357"/>
      <c r="DE339" s="357"/>
      <c r="DF339" s="357"/>
      <c r="DG339" s="357"/>
      <c r="DH339" s="357"/>
      <c r="DI339" s="357"/>
      <c r="DJ339" s="357"/>
      <c r="DK339" s="357"/>
      <c r="DL339" s="357"/>
      <c r="DM339" s="357"/>
      <c r="DN339" s="357"/>
      <c r="DO339" s="357"/>
      <c r="DP339" s="357"/>
      <c r="DQ339" s="357"/>
      <c r="DR339" s="357"/>
      <c r="DS339" s="357"/>
      <c r="DT339" s="357"/>
      <c r="DU339" s="357"/>
      <c r="DV339" s="357"/>
      <c r="DW339" s="357"/>
      <c r="DX339" s="357"/>
      <c r="DY339" s="357"/>
      <c r="DZ339" s="357"/>
      <c r="EA339" s="357"/>
      <c r="EB339" s="357"/>
      <c r="EC339" s="357"/>
      <c r="ED339" s="357"/>
      <c r="EE339" s="357"/>
      <c r="EF339" s="357"/>
      <c r="EG339" s="357"/>
      <c r="EH339" s="357"/>
      <c r="EI339" s="357"/>
      <c r="EJ339" s="357"/>
      <c r="EK339" s="357"/>
      <c r="EL339" s="357"/>
      <c r="EM339" s="357"/>
      <c r="EN339" s="357"/>
      <c r="EO339" s="357"/>
      <c r="EP339" s="357"/>
      <c r="EQ339" s="357"/>
      <c r="ER339" s="357"/>
      <c r="ES339" s="357"/>
      <c r="ET339" s="357"/>
      <c r="EU339" s="357"/>
      <c r="EV339" s="357"/>
      <c r="EW339" s="357"/>
      <c r="EX339" s="357"/>
      <c r="EY339" s="357"/>
      <c r="EZ339" s="357"/>
      <c r="FA339" s="357"/>
      <c r="FB339" s="357"/>
      <c r="FC339" s="357"/>
      <c r="FD339" s="357"/>
      <c r="FE339" s="357"/>
      <c r="FF339" s="357"/>
      <c r="FG339" s="357"/>
      <c r="FH339" s="357"/>
      <c r="FI339" s="357"/>
      <c r="FJ339" s="357"/>
      <c r="FK339" s="357"/>
      <c r="FL339" s="357"/>
      <c r="FM339" s="357"/>
      <c r="FN339" s="357"/>
      <c r="FO339" s="357"/>
      <c r="FP339" s="357"/>
      <c r="FQ339" s="357"/>
      <c r="FR339" s="357"/>
      <c r="FS339" s="357"/>
      <c r="FT339" s="357"/>
      <c r="FU339" s="357"/>
      <c r="FV339" s="357"/>
      <c r="FW339" s="357"/>
      <c r="FX339" s="357"/>
      <c r="FY339" s="357"/>
      <c r="FZ339" s="357"/>
      <c r="GA339" s="357"/>
      <c r="GB339" s="357"/>
      <c r="GC339" s="357"/>
      <c r="GD339" s="357"/>
      <c r="GE339" s="357"/>
      <c r="GF339" s="357"/>
      <c r="GG339" s="357"/>
      <c r="GH339" s="357"/>
      <c r="GI339" s="357"/>
      <c r="GJ339" s="357"/>
    </row>
    <row r="340" spans="26:192">
      <c r="Z340" s="357"/>
      <c r="AA340" s="357"/>
      <c r="AB340" s="357"/>
      <c r="AC340" s="357"/>
      <c r="AD340" s="357"/>
      <c r="AE340" s="357"/>
      <c r="AF340" s="357"/>
      <c r="AG340" s="357"/>
      <c r="AH340" s="357"/>
      <c r="AI340" s="357"/>
      <c r="AJ340" s="357"/>
      <c r="AK340" s="357"/>
      <c r="AL340" s="357"/>
      <c r="AM340" s="357"/>
      <c r="AN340" s="357"/>
      <c r="AO340" s="357"/>
      <c r="AP340" s="357"/>
      <c r="AQ340" s="357"/>
      <c r="AR340" s="357"/>
      <c r="AS340" s="357"/>
      <c r="AT340" s="357"/>
      <c r="AU340" s="357"/>
      <c r="AV340" s="357"/>
      <c r="AW340" s="357"/>
      <c r="AX340" s="357"/>
      <c r="AY340" s="357"/>
      <c r="AZ340" s="357"/>
      <c r="BA340" s="357"/>
      <c r="BB340" s="357"/>
      <c r="BC340" s="357"/>
      <c r="BD340" s="357"/>
      <c r="BE340" s="357"/>
      <c r="BF340" s="357"/>
      <c r="BG340" s="357"/>
      <c r="BH340" s="357"/>
      <c r="BI340" s="357"/>
      <c r="BJ340" s="357"/>
      <c r="BK340" s="357"/>
      <c r="BL340" s="357"/>
      <c r="BM340" s="357"/>
      <c r="BN340" s="357"/>
      <c r="BO340" s="357"/>
      <c r="BP340" s="357"/>
      <c r="BQ340" s="357"/>
      <c r="BR340" s="357"/>
      <c r="BS340" s="357"/>
      <c r="BT340" s="357"/>
      <c r="BU340" s="357"/>
      <c r="BV340" s="357"/>
      <c r="BW340" s="357"/>
      <c r="BX340" s="357"/>
      <c r="BY340" s="357"/>
      <c r="BZ340" s="357"/>
      <c r="CA340" s="357"/>
      <c r="CB340" s="357"/>
      <c r="CC340" s="357"/>
      <c r="CD340" s="357"/>
      <c r="CE340" s="357"/>
      <c r="CF340" s="357"/>
      <c r="CG340" s="357"/>
      <c r="CH340" s="357"/>
      <c r="CI340" s="357"/>
      <c r="CJ340" s="357"/>
      <c r="CK340" s="357"/>
      <c r="CL340" s="357"/>
      <c r="CM340" s="357"/>
      <c r="CN340" s="357"/>
      <c r="CO340" s="357"/>
      <c r="CP340" s="357"/>
      <c r="CQ340" s="357"/>
      <c r="CR340" s="357"/>
      <c r="CS340" s="357"/>
      <c r="CT340" s="357"/>
      <c r="CU340" s="357"/>
      <c r="CV340" s="357"/>
      <c r="CW340" s="357"/>
      <c r="CX340" s="357"/>
      <c r="CY340" s="357"/>
      <c r="CZ340" s="357"/>
      <c r="DA340" s="357"/>
      <c r="DB340" s="357"/>
      <c r="DC340" s="357"/>
      <c r="DD340" s="357"/>
      <c r="DE340" s="357"/>
      <c r="DF340" s="357"/>
      <c r="DG340" s="357"/>
      <c r="DH340" s="357"/>
      <c r="DI340" s="357"/>
      <c r="DJ340" s="357"/>
      <c r="DK340" s="357"/>
      <c r="DL340" s="357"/>
      <c r="DM340" s="357"/>
      <c r="DN340" s="357"/>
      <c r="DO340" s="357"/>
      <c r="DP340" s="357"/>
      <c r="DQ340" s="357"/>
      <c r="DR340" s="357"/>
      <c r="DS340" s="357"/>
      <c r="DT340" s="357"/>
      <c r="DU340" s="357"/>
      <c r="DV340" s="357"/>
      <c r="DW340" s="357"/>
      <c r="DX340" s="357"/>
      <c r="DY340" s="357"/>
      <c r="DZ340" s="357"/>
      <c r="EA340" s="357"/>
      <c r="EB340" s="357"/>
      <c r="EC340" s="357"/>
      <c r="ED340" s="357"/>
      <c r="EE340" s="357"/>
      <c r="EF340" s="357"/>
      <c r="EG340" s="357"/>
      <c r="EH340" s="357"/>
      <c r="EI340" s="357"/>
      <c r="EJ340" s="357"/>
      <c r="EK340" s="357"/>
      <c r="EL340" s="357"/>
      <c r="EM340" s="357"/>
      <c r="EN340" s="357"/>
      <c r="EO340" s="357"/>
      <c r="EP340" s="357"/>
      <c r="EQ340" s="357"/>
      <c r="ER340" s="357"/>
      <c r="ES340" s="357"/>
      <c r="ET340" s="357"/>
      <c r="EU340" s="357"/>
      <c r="EV340" s="357"/>
      <c r="EW340" s="357"/>
      <c r="EX340" s="357"/>
      <c r="EY340" s="357"/>
      <c r="EZ340" s="357"/>
      <c r="FA340" s="357"/>
      <c r="FB340" s="357"/>
      <c r="FC340" s="357"/>
      <c r="FD340" s="357"/>
      <c r="FE340" s="357"/>
      <c r="FF340" s="357"/>
      <c r="FG340" s="357"/>
      <c r="FH340" s="357"/>
      <c r="FI340" s="357"/>
      <c r="FJ340" s="357"/>
      <c r="FK340" s="357"/>
      <c r="FL340" s="357"/>
      <c r="FM340" s="357"/>
      <c r="FN340" s="357"/>
      <c r="FO340" s="357"/>
      <c r="FP340" s="357"/>
      <c r="FQ340" s="357"/>
      <c r="FR340" s="357"/>
      <c r="FS340" s="357"/>
      <c r="FT340" s="357"/>
      <c r="FU340" s="357"/>
      <c r="FV340" s="357"/>
      <c r="FW340" s="357"/>
      <c r="FX340" s="357"/>
      <c r="FY340" s="357"/>
      <c r="FZ340" s="357"/>
      <c r="GA340" s="357"/>
      <c r="GB340" s="357"/>
      <c r="GC340" s="357"/>
      <c r="GD340" s="357"/>
      <c r="GE340" s="357"/>
      <c r="GF340" s="357"/>
      <c r="GG340" s="357"/>
      <c r="GH340" s="357"/>
      <c r="GI340" s="357"/>
      <c r="GJ340" s="357"/>
    </row>
    <row r="341" spans="26:192">
      <c r="Z341" s="357"/>
      <c r="AA341" s="357"/>
      <c r="AB341" s="357"/>
      <c r="AC341" s="357"/>
      <c r="AD341" s="357"/>
      <c r="AE341" s="357"/>
      <c r="AF341" s="357"/>
      <c r="AG341" s="357"/>
      <c r="AH341" s="357"/>
      <c r="AI341" s="357"/>
      <c r="AJ341" s="357"/>
      <c r="AK341" s="357"/>
      <c r="AL341" s="357"/>
      <c r="AM341" s="357"/>
      <c r="AN341" s="357"/>
      <c r="AO341" s="357"/>
      <c r="AP341" s="357"/>
      <c r="AQ341" s="357"/>
      <c r="AR341" s="357"/>
      <c r="AS341" s="357"/>
      <c r="AT341" s="357"/>
      <c r="AU341" s="357"/>
      <c r="AV341" s="357"/>
      <c r="AW341" s="357"/>
      <c r="AX341" s="357"/>
      <c r="AY341" s="357"/>
      <c r="AZ341" s="357"/>
      <c r="BA341" s="357"/>
      <c r="BB341" s="357"/>
      <c r="BC341" s="357"/>
      <c r="BD341" s="357"/>
      <c r="BE341" s="357"/>
      <c r="BF341" s="357"/>
      <c r="BG341" s="357"/>
      <c r="BH341" s="357"/>
      <c r="BI341" s="357"/>
      <c r="BJ341" s="357"/>
      <c r="BK341" s="357"/>
      <c r="BL341" s="357"/>
      <c r="BM341" s="357"/>
      <c r="BN341" s="357"/>
      <c r="BO341" s="357"/>
      <c r="BP341" s="357"/>
      <c r="BQ341" s="357"/>
      <c r="BR341" s="357"/>
      <c r="BS341" s="357"/>
      <c r="BT341" s="357"/>
      <c r="BU341" s="357"/>
      <c r="BV341" s="357"/>
      <c r="BW341" s="357"/>
      <c r="BX341" s="357"/>
      <c r="BY341" s="357"/>
      <c r="BZ341" s="357"/>
      <c r="CA341" s="357"/>
      <c r="CB341" s="357"/>
      <c r="CC341" s="357"/>
      <c r="CD341" s="357"/>
      <c r="CE341" s="357"/>
      <c r="CF341" s="357"/>
      <c r="CG341" s="357"/>
      <c r="CH341" s="357"/>
      <c r="CI341" s="357"/>
      <c r="CJ341" s="357"/>
      <c r="CK341" s="357"/>
      <c r="CL341" s="357"/>
      <c r="CM341" s="357"/>
      <c r="CN341" s="357"/>
      <c r="CO341" s="357"/>
      <c r="CP341" s="357"/>
      <c r="CQ341" s="357"/>
      <c r="CR341" s="357"/>
      <c r="CS341" s="357"/>
      <c r="CT341" s="357"/>
      <c r="CU341" s="357"/>
      <c r="CV341" s="357"/>
      <c r="CW341" s="357"/>
      <c r="CX341" s="357"/>
      <c r="CY341" s="357"/>
      <c r="CZ341" s="357"/>
      <c r="DA341" s="357"/>
      <c r="DB341" s="357"/>
      <c r="DC341" s="357"/>
      <c r="DD341" s="357"/>
      <c r="DE341" s="357"/>
      <c r="DF341" s="357"/>
      <c r="DG341" s="357"/>
      <c r="DH341" s="357"/>
      <c r="DI341" s="357"/>
      <c r="DJ341" s="357"/>
      <c r="DK341" s="357"/>
      <c r="DL341" s="357"/>
      <c r="DM341" s="357"/>
      <c r="DN341" s="357"/>
      <c r="DO341" s="357"/>
      <c r="DP341" s="357"/>
      <c r="DQ341" s="357"/>
      <c r="DR341" s="357"/>
      <c r="DS341" s="357"/>
      <c r="DT341" s="357"/>
      <c r="DU341" s="357"/>
      <c r="DV341" s="357"/>
      <c r="DW341" s="357"/>
      <c r="DX341" s="357"/>
      <c r="DY341" s="357"/>
      <c r="DZ341" s="357"/>
      <c r="EA341" s="357"/>
      <c r="EB341" s="357"/>
      <c r="EC341" s="357"/>
      <c r="ED341" s="357"/>
      <c r="EE341" s="357"/>
      <c r="EF341" s="357"/>
      <c r="EG341" s="357"/>
      <c r="EH341" s="357"/>
      <c r="EI341" s="357"/>
      <c r="EJ341" s="357"/>
      <c r="EK341" s="357"/>
      <c r="EL341" s="357"/>
      <c r="EM341" s="357"/>
      <c r="EN341" s="357"/>
      <c r="EO341" s="357"/>
      <c r="EP341" s="357"/>
      <c r="EQ341" s="357"/>
      <c r="ER341" s="357"/>
      <c r="ES341" s="357"/>
      <c r="ET341" s="357"/>
      <c r="EU341" s="357"/>
      <c r="EV341" s="357"/>
      <c r="EW341" s="357"/>
      <c r="EX341" s="357"/>
      <c r="EY341" s="357"/>
      <c r="EZ341" s="357"/>
      <c r="FA341" s="357"/>
      <c r="FB341" s="357"/>
      <c r="FC341" s="357"/>
      <c r="FD341" s="357"/>
      <c r="FE341" s="357"/>
      <c r="FF341" s="357"/>
      <c r="FG341" s="357"/>
      <c r="FH341" s="357"/>
      <c r="FI341" s="357"/>
      <c r="FJ341" s="357"/>
      <c r="FK341" s="357"/>
      <c r="FL341" s="357"/>
      <c r="FM341" s="357"/>
      <c r="FN341" s="357"/>
      <c r="FO341" s="357"/>
      <c r="FP341" s="357"/>
      <c r="FQ341" s="357"/>
      <c r="FR341" s="357"/>
      <c r="FS341" s="357"/>
      <c r="FT341" s="357"/>
      <c r="FU341" s="357"/>
      <c r="FV341" s="357"/>
      <c r="FW341" s="357"/>
      <c r="FX341" s="357"/>
      <c r="FY341" s="357"/>
      <c r="FZ341" s="357"/>
      <c r="GA341" s="357"/>
      <c r="GB341" s="357"/>
      <c r="GC341" s="357"/>
      <c r="GD341" s="357"/>
      <c r="GE341" s="357"/>
      <c r="GF341" s="357"/>
      <c r="GG341" s="357"/>
      <c r="GH341" s="357"/>
      <c r="GI341" s="357"/>
      <c r="GJ341" s="357"/>
    </row>
    <row r="342" spans="26:192">
      <c r="Z342" s="357"/>
      <c r="AA342" s="357"/>
      <c r="AB342" s="357"/>
      <c r="AC342" s="357"/>
      <c r="AD342" s="357"/>
      <c r="AE342" s="357"/>
      <c r="AF342" s="357"/>
      <c r="AG342" s="357"/>
      <c r="AH342" s="357"/>
      <c r="AI342" s="357"/>
      <c r="AJ342" s="357"/>
      <c r="AK342" s="357"/>
      <c r="AL342" s="357"/>
      <c r="AM342" s="357"/>
      <c r="AN342" s="357"/>
      <c r="AO342" s="357"/>
      <c r="AP342" s="357"/>
      <c r="AQ342" s="357"/>
      <c r="AR342" s="357"/>
      <c r="AS342" s="357"/>
      <c r="AT342" s="357"/>
      <c r="AU342" s="357"/>
      <c r="AV342" s="357"/>
      <c r="AW342" s="357"/>
      <c r="AX342" s="357"/>
      <c r="AY342" s="357"/>
      <c r="AZ342" s="357"/>
      <c r="BA342" s="357"/>
      <c r="BB342" s="357"/>
      <c r="BC342" s="357"/>
      <c r="BD342" s="357"/>
      <c r="BE342" s="357"/>
      <c r="BF342" s="357"/>
      <c r="BG342" s="357"/>
      <c r="BH342" s="357"/>
      <c r="BI342" s="357"/>
      <c r="BJ342" s="357"/>
      <c r="BK342" s="357"/>
      <c r="BL342" s="357"/>
      <c r="BM342" s="357"/>
      <c r="BN342" s="357"/>
      <c r="BO342" s="357"/>
      <c r="BP342" s="357"/>
      <c r="BQ342" s="357"/>
      <c r="BR342" s="357"/>
      <c r="BS342" s="357"/>
      <c r="BT342" s="357"/>
      <c r="BU342" s="357"/>
      <c r="BV342" s="357"/>
      <c r="BW342" s="357"/>
      <c r="BX342" s="357"/>
      <c r="BY342" s="357"/>
      <c r="BZ342" s="357"/>
      <c r="CA342" s="357"/>
      <c r="CB342" s="357"/>
      <c r="CC342" s="357"/>
      <c r="CD342" s="357"/>
      <c r="CE342" s="357"/>
      <c r="CF342" s="357"/>
      <c r="CG342" s="357"/>
      <c r="CH342" s="357"/>
      <c r="CI342" s="357"/>
      <c r="CJ342" s="357"/>
      <c r="CK342" s="357"/>
      <c r="CL342" s="357"/>
      <c r="CM342" s="357"/>
      <c r="CN342" s="357"/>
      <c r="CO342" s="357"/>
      <c r="CP342" s="357"/>
      <c r="CQ342" s="357"/>
      <c r="CR342" s="357"/>
      <c r="CS342" s="357"/>
      <c r="CT342" s="357"/>
      <c r="CU342" s="357"/>
      <c r="CV342" s="357"/>
      <c r="CW342" s="357"/>
      <c r="CX342" s="357"/>
      <c r="CY342" s="357"/>
      <c r="CZ342" s="357"/>
      <c r="DA342" s="357"/>
      <c r="DB342" s="357"/>
      <c r="DC342" s="357"/>
      <c r="DD342" s="357"/>
      <c r="DE342" s="357"/>
      <c r="DF342" s="357"/>
      <c r="DG342" s="357"/>
      <c r="DH342" s="357"/>
      <c r="DI342" s="357"/>
      <c r="DJ342" s="357"/>
      <c r="DK342" s="357"/>
      <c r="DL342" s="357"/>
      <c r="DM342" s="357"/>
      <c r="DN342" s="357"/>
      <c r="DO342" s="357"/>
      <c r="DP342" s="357"/>
      <c r="DQ342" s="357"/>
      <c r="DR342" s="357"/>
      <c r="DS342" s="357"/>
      <c r="DT342" s="357"/>
      <c r="DU342" s="357"/>
      <c r="DV342" s="357"/>
      <c r="DW342" s="357"/>
      <c r="DX342" s="357"/>
      <c r="DY342" s="357"/>
      <c r="DZ342" s="357"/>
      <c r="EA342" s="357"/>
      <c r="EB342" s="357"/>
      <c r="EC342" s="357"/>
      <c r="ED342" s="357"/>
      <c r="EE342" s="357"/>
      <c r="EF342" s="357"/>
      <c r="EG342" s="357"/>
      <c r="EH342" s="357"/>
      <c r="EI342" s="357"/>
      <c r="EJ342" s="357"/>
      <c r="EK342" s="357"/>
      <c r="EL342" s="357"/>
      <c r="EM342" s="357"/>
      <c r="EN342" s="357"/>
      <c r="EO342" s="357"/>
      <c r="EP342" s="357"/>
      <c r="EQ342" s="357"/>
      <c r="ER342" s="357"/>
      <c r="ES342" s="357"/>
      <c r="ET342" s="357"/>
      <c r="EU342" s="357"/>
      <c r="EV342" s="357"/>
      <c r="EW342" s="357"/>
      <c r="EX342" s="357"/>
      <c r="EY342" s="357"/>
      <c r="EZ342" s="357"/>
      <c r="FA342" s="357"/>
      <c r="FB342" s="357"/>
      <c r="FC342" s="357"/>
      <c r="FD342" s="357"/>
      <c r="FE342" s="357"/>
      <c r="FF342" s="357"/>
      <c r="FG342" s="357"/>
      <c r="FH342" s="357"/>
      <c r="FI342" s="357"/>
      <c r="FJ342" s="357"/>
      <c r="FK342" s="357"/>
      <c r="FL342" s="357"/>
      <c r="FM342" s="357"/>
      <c r="FN342" s="357"/>
      <c r="FO342" s="357"/>
      <c r="FP342" s="357"/>
      <c r="FQ342" s="357"/>
      <c r="FR342" s="357"/>
      <c r="FS342" s="357"/>
      <c r="FT342" s="357"/>
      <c r="FU342" s="357"/>
      <c r="FV342" s="357"/>
      <c r="FW342" s="357"/>
      <c r="FX342" s="357"/>
      <c r="FY342" s="357"/>
      <c r="FZ342" s="357"/>
      <c r="GA342" s="357"/>
      <c r="GB342" s="357"/>
      <c r="GC342" s="357"/>
      <c r="GD342" s="357"/>
      <c r="GE342" s="357"/>
      <c r="GF342" s="357"/>
      <c r="GG342" s="357"/>
      <c r="GH342" s="357"/>
      <c r="GI342" s="357"/>
      <c r="GJ342" s="357"/>
    </row>
    <row r="343" spans="26:192">
      <c r="Z343" s="357"/>
      <c r="AA343" s="357"/>
      <c r="AB343" s="357"/>
      <c r="AC343" s="357"/>
      <c r="AD343" s="357"/>
      <c r="AE343" s="357"/>
      <c r="AF343" s="357"/>
      <c r="AG343" s="357"/>
      <c r="AH343" s="357"/>
      <c r="AI343" s="357"/>
      <c r="AJ343" s="357"/>
      <c r="AK343" s="357"/>
      <c r="AL343" s="357"/>
      <c r="AM343" s="357"/>
      <c r="AN343" s="357"/>
      <c r="AO343" s="357"/>
      <c r="AP343" s="357"/>
      <c r="AQ343" s="357"/>
      <c r="AR343" s="357"/>
      <c r="AS343" s="357"/>
      <c r="AT343" s="357"/>
      <c r="AU343" s="357"/>
      <c r="AV343" s="357"/>
      <c r="AW343" s="357"/>
      <c r="AX343" s="357"/>
      <c r="AY343" s="357"/>
      <c r="AZ343" s="357"/>
      <c r="BA343" s="357"/>
      <c r="BB343" s="357"/>
      <c r="BC343" s="357"/>
      <c r="BD343" s="357"/>
      <c r="BE343" s="357"/>
      <c r="BF343" s="357"/>
      <c r="BG343" s="357"/>
      <c r="BH343" s="357"/>
      <c r="BI343" s="357"/>
      <c r="BJ343" s="357"/>
      <c r="BK343" s="357"/>
      <c r="BL343" s="357"/>
      <c r="BM343" s="357"/>
      <c r="BN343" s="357"/>
      <c r="BO343" s="357"/>
      <c r="BP343" s="357"/>
      <c r="BQ343" s="357"/>
      <c r="BR343" s="357"/>
      <c r="BS343" s="357"/>
      <c r="BT343" s="357"/>
      <c r="BU343" s="357"/>
      <c r="BV343" s="357"/>
      <c r="BW343" s="357"/>
      <c r="BX343" s="357"/>
      <c r="BY343" s="357"/>
      <c r="BZ343" s="357"/>
      <c r="CA343" s="357"/>
      <c r="CB343" s="357"/>
      <c r="CC343" s="357"/>
      <c r="CD343" s="357"/>
      <c r="CE343" s="357"/>
      <c r="CF343" s="357"/>
      <c r="CG343" s="357"/>
      <c r="CH343" s="357"/>
      <c r="CI343" s="357"/>
      <c r="CJ343" s="357"/>
      <c r="CK343" s="357"/>
      <c r="CL343" s="357"/>
      <c r="CM343" s="357"/>
      <c r="CN343" s="357"/>
      <c r="CO343" s="357"/>
      <c r="CP343" s="357"/>
      <c r="CQ343" s="357"/>
      <c r="CR343" s="357"/>
      <c r="CS343" s="357"/>
      <c r="CT343" s="357"/>
      <c r="CU343" s="357"/>
      <c r="CV343" s="357"/>
      <c r="CW343" s="357"/>
      <c r="CX343" s="357"/>
      <c r="CY343" s="357"/>
      <c r="CZ343" s="357"/>
      <c r="DA343" s="357"/>
      <c r="DB343" s="357"/>
      <c r="DC343" s="357"/>
      <c r="DD343" s="357"/>
      <c r="DE343" s="357"/>
      <c r="DF343" s="357"/>
      <c r="DG343" s="357"/>
      <c r="DH343" s="357"/>
      <c r="DI343" s="357"/>
      <c r="DJ343" s="357"/>
      <c r="DK343" s="357"/>
      <c r="DL343" s="357"/>
      <c r="DM343" s="357"/>
      <c r="DN343" s="357"/>
      <c r="DO343" s="357"/>
      <c r="DP343" s="357"/>
      <c r="DQ343" s="357"/>
      <c r="DR343" s="357"/>
      <c r="DS343" s="357"/>
      <c r="DT343" s="357"/>
      <c r="DU343" s="357"/>
      <c r="DV343" s="357"/>
      <c r="DW343" s="357"/>
      <c r="DX343" s="357"/>
      <c r="DY343" s="357"/>
      <c r="DZ343" s="357"/>
      <c r="EA343" s="357"/>
      <c r="EB343" s="357"/>
      <c r="EC343" s="357"/>
      <c r="ED343" s="357"/>
      <c r="EE343" s="357"/>
      <c r="EF343" s="357"/>
      <c r="EG343" s="357"/>
      <c r="EH343" s="357"/>
      <c r="EI343" s="357"/>
      <c r="EJ343" s="357"/>
      <c r="EK343" s="357"/>
      <c r="EL343" s="357"/>
      <c r="EM343" s="357"/>
      <c r="EN343" s="357"/>
      <c r="EO343" s="357"/>
      <c r="EP343" s="357"/>
      <c r="EQ343" s="357"/>
      <c r="ER343" s="357"/>
      <c r="ES343" s="357"/>
      <c r="ET343" s="357"/>
      <c r="EU343" s="357"/>
      <c r="EV343" s="357"/>
      <c r="EW343" s="357"/>
      <c r="EX343" s="357"/>
      <c r="EY343" s="357"/>
      <c r="EZ343" s="357"/>
      <c r="FA343" s="357"/>
      <c r="FB343" s="357"/>
      <c r="FC343" s="357"/>
      <c r="FD343" s="357"/>
      <c r="FE343" s="357"/>
      <c r="FF343" s="357"/>
      <c r="FG343" s="357"/>
      <c r="FH343" s="357"/>
      <c r="FI343" s="357"/>
      <c r="FJ343" s="357"/>
      <c r="FK343" s="357"/>
      <c r="FL343" s="357"/>
      <c r="FM343" s="357"/>
      <c r="FN343" s="357"/>
      <c r="FO343" s="357"/>
      <c r="FP343" s="357"/>
      <c r="FQ343" s="357"/>
      <c r="FR343" s="357"/>
      <c r="FS343" s="357"/>
      <c r="FT343" s="357"/>
      <c r="FU343" s="357"/>
      <c r="FV343" s="357"/>
      <c r="FW343" s="357"/>
      <c r="FX343" s="357"/>
      <c r="FY343" s="357"/>
      <c r="FZ343" s="357"/>
      <c r="GA343" s="357"/>
      <c r="GB343" s="357"/>
      <c r="GC343" s="357"/>
      <c r="GD343" s="357"/>
      <c r="GE343" s="357"/>
      <c r="GF343" s="357"/>
      <c r="GG343" s="357"/>
      <c r="GH343" s="357"/>
      <c r="GI343" s="357"/>
      <c r="GJ343" s="357"/>
    </row>
    <row r="344" spans="26:192">
      <c r="Z344" s="357"/>
      <c r="AA344" s="357"/>
      <c r="AB344" s="357"/>
      <c r="AC344" s="357"/>
      <c r="AD344" s="357"/>
      <c r="AE344" s="357"/>
      <c r="AF344" s="357"/>
      <c r="AG344" s="357"/>
      <c r="AH344" s="357"/>
      <c r="AI344" s="357"/>
      <c r="AJ344" s="357"/>
      <c r="AK344" s="357"/>
      <c r="AL344" s="357"/>
      <c r="AM344" s="357"/>
      <c r="AN344" s="357"/>
      <c r="AO344" s="357"/>
      <c r="AP344" s="357"/>
      <c r="AQ344" s="357"/>
      <c r="AR344" s="357"/>
      <c r="AS344" s="357"/>
      <c r="AT344" s="357"/>
      <c r="AU344" s="357"/>
      <c r="AV344" s="357"/>
      <c r="AW344" s="357"/>
      <c r="AX344" s="357"/>
      <c r="AY344" s="357"/>
      <c r="AZ344" s="357"/>
      <c r="BA344" s="357"/>
      <c r="BB344" s="357"/>
      <c r="BC344" s="357"/>
      <c r="BD344" s="357"/>
      <c r="BE344" s="357"/>
      <c r="BF344" s="357"/>
      <c r="BG344" s="357"/>
      <c r="BH344" s="357"/>
      <c r="BI344" s="357"/>
      <c r="BJ344" s="357"/>
      <c r="BK344" s="357"/>
      <c r="BL344" s="357"/>
      <c r="BM344" s="357"/>
      <c r="BN344" s="357"/>
      <c r="BO344" s="357"/>
      <c r="BP344" s="357"/>
      <c r="BQ344" s="357"/>
      <c r="BR344" s="357"/>
      <c r="BS344" s="357"/>
      <c r="BT344" s="357"/>
      <c r="BU344" s="357"/>
      <c r="BV344" s="357"/>
      <c r="BW344" s="357"/>
      <c r="BX344" s="357"/>
      <c r="BY344" s="357"/>
      <c r="BZ344" s="357"/>
      <c r="CA344" s="357"/>
      <c r="CB344" s="357"/>
      <c r="CC344" s="357"/>
      <c r="CD344" s="357"/>
      <c r="CE344" s="357"/>
      <c r="CF344" s="357"/>
      <c r="CG344" s="357"/>
      <c r="CH344" s="357"/>
      <c r="CI344" s="357"/>
      <c r="CJ344" s="357"/>
      <c r="CK344" s="357"/>
      <c r="CL344" s="357"/>
      <c r="CM344" s="357"/>
      <c r="CN344" s="357"/>
      <c r="CO344" s="357"/>
      <c r="CP344" s="357"/>
      <c r="CQ344" s="357"/>
      <c r="CR344" s="357"/>
      <c r="CS344" s="357"/>
      <c r="CT344" s="357"/>
      <c r="CU344" s="357"/>
      <c r="CV344" s="357"/>
      <c r="CW344" s="357"/>
      <c r="CX344" s="357"/>
      <c r="CY344" s="357"/>
      <c r="CZ344" s="357"/>
      <c r="DA344" s="357"/>
      <c r="DB344" s="357"/>
      <c r="DC344" s="357"/>
      <c r="DD344" s="357"/>
      <c r="DE344" s="357"/>
      <c r="DF344" s="357"/>
      <c r="DG344" s="357"/>
      <c r="DH344" s="357"/>
      <c r="DI344" s="357"/>
      <c r="DJ344" s="357"/>
      <c r="DK344" s="357"/>
      <c r="DL344" s="357"/>
      <c r="DM344" s="357"/>
      <c r="DN344" s="357"/>
      <c r="DO344" s="357"/>
      <c r="DP344" s="357"/>
      <c r="DQ344" s="357"/>
      <c r="DR344" s="357"/>
      <c r="DS344" s="357"/>
      <c r="DT344" s="357"/>
      <c r="DU344" s="357"/>
      <c r="DV344" s="357"/>
      <c r="DW344" s="357"/>
      <c r="DX344" s="357"/>
      <c r="DY344" s="357"/>
      <c r="DZ344" s="357"/>
      <c r="EA344" s="357"/>
      <c r="EB344" s="357"/>
      <c r="EC344" s="357"/>
      <c r="ED344" s="357"/>
      <c r="EE344" s="357"/>
      <c r="EF344" s="357"/>
      <c r="EG344" s="357"/>
      <c r="EH344" s="357"/>
      <c r="EI344" s="357"/>
      <c r="EJ344" s="357"/>
      <c r="EK344" s="357"/>
      <c r="EL344" s="357"/>
      <c r="EM344" s="357"/>
      <c r="EN344" s="357"/>
      <c r="EO344" s="357"/>
      <c r="EP344" s="357"/>
      <c r="EQ344" s="357"/>
      <c r="ER344" s="357"/>
      <c r="ES344" s="357"/>
      <c r="ET344" s="357"/>
      <c r="EU344" s="357"/>
      <c r="EV344" s="357"/>
      <c r="EW344" s="357"/>
      <c r="EX344" s="357"/>
      <c r="EY344" s="357"/>
      <c r="EZ344" s="357"/>
      <c r="FA344" s="357"/>
      <c r="FB344" s="357"/>
      <c r="FC344" s="357"/>
      <c r="FD344" s="357"/>
      <c r="FE344" s="357"/>
      <c r="FF344" s="357"/>
      <c r="FG344" s="357"/>
      <c r="FH344" s="357"/>
      <c r="FI344" s="357"/>
      <c r="FJ344" s="357"/>
      <c r="FK344" s="357"/>
      <c r="FL344" s="357"/>
      <c r="FM344" s="357"/>
      <c r="FN344" s="357"/>
      <c r="FO344" s="357"/>
      <c r="FP344" s="357"/>
      <c r="FQ344" s="357"/>
      <c r="FR344" s="357"/>
      <c r="FS344" s="357"/>
      <c r="FT344" s="357"/>
      <c r="FU344" s="357"/>
      <c r="FV344" s="357"/>
      <c r="FW344" s="357"/>
      <c r="FX344" s="357"/>
      <c r="FY344" s="357"/>
      <c r="FZ344" s="357"/>
      <c r="GA344" s="357"/>
      <c r="GB344" s="357"/>
      <c r="GC344" s="357"/>
      <c r="GD344" s="357"/>
      <c r="GE344" s="357"/>
      <c r="GF344" s="357"/>
      <c r="GG344" s="357"/>
      <c r="GH344" s="357"/>
      <c r="GI344" s="357"/>
      <c r="GJ344" s="357"/>
    </row>
    <row r="345" spans="26:192">
      <c r="Z345" s="357"/>
      <c r="AA345" s="357"/>
      <c r="AB345" s="357"/>
      <c r="AC345" s="357"/>
      <c r="AD345" s="357"/>
      <c r="AE345" s="357"/>
      <c r="AF345" s="357"/>
      <c r="AG345" s="357"/>
      <c r="AH345" s="357"/>
      <c r="AI345" s="357"/>
      <c r="AJ345" s="357"/>
      <c r="AK345" s="357"/>
      <c r="AL345" s="357"/>
      <c r="AM345" s="357"/>
      <c r="AN345" s="357"/>
      <c r="AO345" s="357"/>
      <c r="AP345" s="357"/>
      <c r="AQ345" s="357"/>
      <c r="AR345" s="357"/>
      <c r="AS345" s="357"/>
      <c r="AT345" s="357"/>
      <c r="AU345" s="357"/>
      <c r="AV345" s="357"/>
      <c r="AW345" s="357"/>
      <c r="AX345" s="357"/>
      <c r="AY345" s="357"/>
      <c r="AZ345" s="357"/>
      <c r="BA345" s="357"/>
      <c r="BB345" s="357"/>
      <c r="BC345" s="357"/>
      <c r="BD345" s="357"/>
      <c r="BE345" s="357"/>
      <c r="BF345" s="357"/>
      <c r="BG345" s="357"/>
      <c r="BH345" s="357"/>
      <c r="BI345" s="357"/>
      <c r="BJ345" s="357"/>
      <c r="BK345" s="357"/>
      <c r="BL345" s="357"/>
      <c r="BM345" s="357"/>
      <c r="BN345" s="357"/>
      <c r="BO345" s="357"/>
      <c r="BP345" s="357"/>
      <c r="BQ345" s="357"/>
      <c r="BR345" s="357"/>
      <c r="BS345" s="357"/>
      <c r="BT345" s="357"/>
      <c r="BU345" s="357"/>
      <c r="BV345" s="357"/>
      <c r="BW345" s="357"/>
      <c r="BX345" s="357"/>
      <c r="BY345" s="357"/>
      <c r="BZ345" s="357"/>
      <c r="CA345" s="357"/>
      <c r="CB345" s="357"/>
      <c r="CC345" s="357"/>
      <c r="CD345" s="357"/>
      <c r="CE345" s="357"/>
      <c r="CF345" s="357"/>
      <c r="CG345" s="357"/>
      <c r="CH345" s="357"/>
      <c r="CI345" s="357"/>
      <c r="CJ345" s="357"/>
      <c r="CK345" s="357"/>
      <c r="CL345" s="357"/>
      <c r="CM345" s="357"/>
      <c r="CN345" s="357"/>
      <c r="CO345" s="357"/>
      <c r="CP345" s="357"/>
      <c r="CQ345" s="357"/>
      <c r="CR345" s="357"/>
      <c r="CS345" s="357"/>
      <c r="CT345" s="357"/>
      <c r="CU345" s="357"/>
      <c r="CV345" s="357"/>
      <c r="CW345" s="357"/>
      <c r="CX345" s="357"/>
      <c r="CY345" s="357"/>
      <c r="CZ345" s="357"/>
      <c r="DA345" s="357"/>
      <c r="DB345" s="357"/>
      <c r="DC345" s="357"/>
      <c r="DD345" s="357"/>
      <c r="DE345" s="357"/>
      <c r="DF345" s="357"/>
      <c r="DG345" s="357"/>
      <c r="DH345" s="357"/>
      <c r="DI345" s="357"/>
      <c r="DJ345" s="357"/>
      <c r="DK345" s="357"/>
      <c r="DL345" s="357"/>
      <c r="DM345" s="357"/>
      <c r="DN345" s="357"/>
      <c r="DO345" s="357"/>
      <c r="DP345" s="357"/>
      <c r="DQ345" s="357"/>
      <c r="DR345" s="357"/>
      <c r="DS345" s="357"/>
      <c r="DT345" s="357"/>
      <c r="DU345" s="357"/>
      <c r="DV345" s="357"/>
      <c r="DW345" s="357"/>
      <c r="DX345" s="357"/>
      <c r="DY345" s="357"/>
      <c r="DZ345" s="357"/>
      <c r="EA345" s="357"/>
      <c r="EB345" s="357"/>
      <c r="EC345" s="357"/>
      <c r="ED345" s="357"/>
      <c r="EE345" s="357"/>
      <c r="EF345" s="357"/>
      <c r="EG345" s="357"/>
      <c r="EH345" s="357"/>
      <c r="EI345" s="357"/>
      <c r="EJ345" s="357"/>
      <c r="EK345" s="357"/>
      <c r="EL345" s="357"/>
      <c r="EM345" s="357"/>
      <c r="EN345" s="357"/>
      <c r="EO345" s="357"/>
      <c r="EP345" s="357"/>
      <c r="EQ345" s="357"/>
      <c r="ER345" s="357"/>
      <c r="ES345" s="357"/>
      <c r="ET345" s="357"/>
      <c r="EU345" s="357"/>
      <c r="EV345" s="357"/>
      <c r="EW345" s="357"/>
      <c r="EX345" s="357"/>
      <c r="EY345" s="357"/>
      <c r="EZ345" s="357"/>
      <c r="FA345" s="357"/>
      <c r="FB345" s="357"/>
      <c r="FC345" s="357"/>
      <c r="FD345" s="357"/>
      <c r="FE345" s="357"/>
      <c r="FF345" s="357"/>
      <c r="FG345" s="357"/>
      <c r="FH345" s="357"/>
      <c r="FI345" s="357"/>
      <c r="FJ345" s="357"/>
      <c r="FK345" s="357"/>
      <c r="FL345" s="357"/>
      <c r="FM345" s="357"/>
      <c r="FN345" s="357"/>
      <c r="FO345" s="357"/>
      <c r="FP345" s="357"/>
      <c r="FQ345" s="357"/>
      <c r="FR345" s="357"/>
      <c r="FS345" s="357"/>
      <c r="FT345" s="357"/>
      <c r="FU345" s="357"/>
      <c r="FV345" s="357"/>
      <c r="FW345" s="357"/>
      <c r="FX345" s="357"/>
      <c r="FY345" s="357"/>
      <c r="FZ345" s="357"/>
      <c r="GA345" s="357"/>
      <c r="GB345" s="357"/>
      <c r="GC345" s="357"/>
      <c r="GD345" s="357"/>
      <c r="GE345" s="357"/>
      <c r="GF345" s="357"/>
      <c r="GG345" s="357"/>
      <c r="GH345" s="357"/>
      <c r="GI345" s="357"/>
      <c r="GJ345" s="357"/>
    </row>
    <row r="346" spans="26:192">
      <c r="Z346" s="357"/>
      <c r="AA346" s="357"/>
      <c r="AB346" s="357"/>
      <c r="AC346" s="357"/>
      <c r="AD346" s="357"/>
      <c r="AE346" s="357"/>
      <c r="AF346" s="357"/>
      <c r="AG346" s="357"/>
      <c r="AH346" s="357"/>
      <c r="AI346" s="357"/>
      <c r="AJ346" s="357"/>
      <c r="AK346" s="357"/>
      <c r="AL346" s="357"/>
      <c r="AM346" s="357"/>
      <c r="AN346" s="357"/>
      <c r="AO346" s="357"/>
      <c r="AP346" s="357"/>
      <c r="AQ346" s="357"/>
      <c r="AR346" s="357"/>
      <c r="AS346" s="357"/>
      <c r="AT346" s="357"/>
      <c r="AU346" s="357"/>
      <c r="AV346" s="357"/>
      <c r="AW346" s="357"/>
      <c r="AX346" s="357"/>
      <c r="AY346" s="357"/>
      <c r="AZ346" s="357"/>
      <c r="BA346" s="357"/>
      <c r="BB346" s="357"/>
      <c r="BC346" s="357"/>
      <c r="BD346" s="357"/>
      <c r="BE346" s="357"/>
      <c r="BF346" s="357"/>
      <c r="BG346" s="357"/>
      <c r="BH346" s="357"/>
      <c r="BI346" s="357"/>
      <c r="BJ346" s="357"/>
      <c r="BK346" s="357"/>
      <c r="BL346" s="357"/>
      <c r="BM346" s="357"/>
      <c r="BN346" s="357"/>
      <c r="BO346" s="357"/>
      <c r="BP346" s="357"/>
      <c r="BQ346" s="357"/>
      <c r="BR346" s="357"/>
      <c r="BS346" s="357"/>
      <c r="BT346" s="357"/>
      <c r="BU346" s="357"/>
      <c r="BV346" s="357"/>
      <c r="BW346" s="357"/>
      <c r="BX346" s="357"/>
      <c r="BY346" s="357"/>
      <c r="BZ346" s="357"/>
      <c r="CA346" s="357"/>
      <c r="CB346" s="357"/>
      <c r="CC346" s="357"/>
      <c r="CD346" s="357"/>
      <c r="CE346" s="357"/>
      <c r="CF346" s="357"/>
      <c r="CG346" s="357"/>
      <c r="CH346" s="357"/>
      <c r="CI346" s="357"/>
      <c r="CJ346" s="357"/>
      <c r="CK346" s="357"/>
      <c r="CL346" s="357"/>
      <c r="CM346" s="357"/>
      <c r="CN346" s="357"/>
      <c r="CO346" s="357"/>
      <c r="CP346" s="357"/>
      <c r="CQ346" s="357"/>
      <c r="CR346" s="357"/>
      <c r="CS346" s="357"/>
      <c r="CT346" s="357"/>
      <c r="CU346" s="357"/>
      <c r="CV346" s="357"/>
      <c r="CW346" s="357"/>
      <c r="CX346" s="357"/>
      <c r="CY346" s="357"/>
      <c r="CZ346" s="357"/>
      <c r="DA346" s="357"/>
      <c r="DB346" s="357"/>
      <c r="DC346" s="357"/>
      <c r="DD346" s="357"/>
      <c r="DE346" s="357"/>
      <c r="DF346" s="357"/>
      <c r="DG346" s="357"/>
      <c r="DH346" s="357"/>
      <c r="DI346" s="357"/>
      <c r="DJ346" s="357"/>
      <c r="DK346" s="357"/>
      <c r="DL346" s="357"/>
      <c r="DM346" s="357"/>
      <c r="DN346" s="357"/>
      <c r="DO346" s="357"/>
      <c r="DP346" s="357"/>
      <c r="DQ346" s="357"/>
      <c r="DR346" s="357"/>
      <c r="DS346" s="357"/>
      <c r="DT346" s="357"/>
      <c r="DU346" s="357"/>
      <c r="DV346" s="357"/>
      <c r="DW346" s="357"/>
      <c r="DX346" s="357"/>
      <c r="DY346" s="357"/>
      <c r="DZ346" s="357"/>
      <c r="EA346" s="357"/>
      <c r="EB346" s="357"/>
      <c r="EC346" s="357"/>
      <c r="ED346" s="357"/>
      <c r="EE346" s="357"/>
      <c r="EF346" s="357"/>
      <c r="EG346" s="357"/>
      <c r="EH346" s="357"/>
      <c r="EI346" s="357"/>
      <c r="EJ346" s="357"/>
      <c r="EK346" s="357"/>
      <c r="EL346" s="357"/>
      <c r="EM346" s="357"/>
      <c r="EN346" s="357"/>
      <c r="EO346" s="357"/>
      <c r="EP346" s="357"/>
      <c r="EQ346" s="357"/>
      <c r="ER346" s="357"/>
      <c r="ES346" s="357"/>
      <c r="ET346" s="357"/>
      <c r="EU346" s="357"/>
      <c r="EV346" s="357"/>
      <c r="EW346" s="357"/>
      <c r="EX346" s="357"/>
      <c r="EY346" s="357"/>
      <c r="EZ346" s="357"/>
      <c r="FA346" s="357"/>
      <c r="FB346" s="357"/>
      <c r="FC346" s="357"/>
      <c r="FD346" s="357"/>
      <c r="FE346" s="357"/>
      <c r="FF346" s="357"/>
      <c r="FG346" s="357"/>
      <c r="FH346" s="357"/>
      <c r="FI346" s="357"/>
      <c r="FJ346" s="357"/>
      <c r="FK346" s="357"/>
      <c r="FL346" s="357"/>
      <c r="FM346" s="357"/>
      <c r="FN346" s="357"/>
      <c r="FO346" s="357"/>
      <c r="FP346" s="357"/>
      <c r="FQ346" s="357"/>
      <c r="FR346" s="357"/>
      <c r="FS346" s="357"/>
      <c r="FT346" s="357"/>
      <c r="FU346" s="357"/>
      <c r="FV346" s="357"/>
      <c r="FW346" s="357"/>
      <c r="FX346" s="357"/>
      <c r="FY346" s="357"/>
      <c r="FZ346" s="357"/>
      <c r="GA346" s="357"/>
      <c r="GB346" s="357"/>
      <c r="GC346" s="357"/>
      <c r="GD346" s="357"/>
      <c r="GE346" s="357"/>
      <c r="GF346" s="357"/>
      <c r="GG346" s="357"/>
      <c r="GH346" s="357"/>
      <c r="GI346" s="357"/>
      <c r="GJ346" s="357"/>
    </row>
    <row r="347" spans="26:192">
      <c r="Z347" s="357"/>
      <c r="AA347" s="357"/>
      <c r="AB347" s="357"/>
      <c r="AC347" s="357"/>
      <c r="AD347" s="357"/>
      <c r="AE347" s="357"/>
      <c r="AF347" s="357"/>
      <c r="AG347" s="357"/>
      <c r="AH347" s="357"/>
      <c r="AI347" s="357"/>
      <c r="AJ347" s="357"/>
      <c r="AK347" s="357"/>
      <c r="AL347" s="357"/>
      <c r="AM347" s="357"/>
      <c r="AN347" s="357"/>
      <c r="AO347" s="357"/>
      <c r="AP347" s="357"/>
      <c r="AQ347" s="357"/>
      <c r="AR347" s="357"/>
      <c r="AS347" s="357"/>
      <c r="AT347" s="357"/>
      <c r="AU347" s="357"/>
      <c r="AV347" s="357"/>
      <c r="AW347" s="357"/>
      <c r="AX347" s="357"/>
      <c r="AY347" s="357"/>
      <c r="AZ347" s="357"/>
      <c r="BA347" s="357"/>
      <c r="BB347" s="357"/>
      <c r="BC347" s="357"/>
      <c r="BD347" s="357"/>
      <c r="BE347" s="357"/>
      <c r="BF347" s="357"/>
      <c r="BG347" s="357"/>
      <c r="BH347" s="357"/>
      <c r="BI347" s="357"/>
      <c r="BJ347" s="357"/>
      <c r="BK347" s="357"/>
      <c r="BL347" s="357"/>
      <c r="BM347" s="357"/>
      <c r="BN347" s="357"/>
      <c r="BO347" s="357"/>
      <c r="BP347" s="357"/>
      <c r="BQ347" s="357"/>
      <c r="BR347" s="357"/>
      <c r="BS347" s="357"/>
      <c r="BT347" s="357"/>
      <c r="BU347" s="357"/>
      <c r="BV347" s="357"/>
      <c r="BW347" s="357"/>
      <c r="BX347" s="357"/>
      <c r="BY347" s="357"/>
      <c r="BZ347" s="357"/>
      <c r="CA347" s="357"/>
      <c r="CB347" s="357"/>
      <c r="CC347" s="357"/>
      <c r="CD347" s="357"/>
      <c r="CE347" s="357"/>
      <c r="CF347" s="357"/>
      <c r="CG347" s="357"/>
      <c r="CH347" s="357"/>
      <c r="CI347" s="357"/>
      <c r="CJ347" s="357"/>
      <c r="CK347" s="357"/>
      <c r="CL347" s="357"/>
      <c r="CM347" s="357"/>
      <c r="CN347" s="357"/>
      <c r="CO347" s="357"/>
      <c r="CP347" s="357"/>
      <c r="CQ347" s="357"/>
      <c r="CR347" s="357"/>
      <c r="CS347" s="357"/>
      <c r="CT347" s="357"/>
      <c r="CU347" s="357"/>
      <c r="CV347" s="357"/>
      <c r="CW347" s="357"/>
      <c r="CX347" s="357"/>
      <c r="CY347" s="357"/>
      <c r="CZ347" s="357"/>
      <c r="DA347" s="357"/>
      <c r="DB347" s="357"/>
      <c r="DC347" s="357"/>
      <c r="DD347" s="357"/>
      <c r="DE347" s="357"/>
      <c r="DF347" s="357"/>
      <c r="DG347" s="357"/>
      <c r="DH347" s="357"/>
      <c r="DI347" s="357"/>
      <c r="DJ347" s="357"/>
      <c r="DK347" s="357"/>
      <c r="DL347" s="357"/>
      <c r="DM347" s="357"/>
      <c r="DN347" s="357"/>
      <c r="DO347" s="357"/>
      <c r="DP347" s="357"/>
      <c r="DQ347" s="357"/>
      <c r="DR347" s="357"/>
      <c r="DS347" s="357"/>
      <c r="DT347" s="357"/>
      <c r="DU347" s="357"/>
      <c r="DV347" s="357"/>
      <c r="DW347" s="357"/>
      <c r="DX347" s="357"/>
      <c r="DY347" s="357"/>
      <c r="DZ347" s="357"/>
      <c r="EA347" s="357"/>
      <c r="EB347" s="357"/>
      <c r="EC347" s="357"/>
      <c r="ED347" s="357"/>
      <c r="EE347" s="357"/>
      <c r="EF347" s="357"/>
      <c r="EG347" s="357"/>
      <c r="EH347" s="357"/>
      <c r="EI347" s="357"/>
      <c r="EJ347" s="357"/>
      <c r="EK347" s="357"/>
      <c r="EL347" s="357"/>
      <c r="EM347" s="357"/>
      <c r="EN347" s="357"/>
      <c r="EO347" s="357"/>
      <c r="EP347" s="357"/>
      <c r="EQ347" s="357"/>
      <c r="ER347" s="357"/>
      <c r="ES347" s="357"/>
      <c r="ET347" s="357"/>
      <c r="EU347" s="357"/>
      <c r="EV347" s="357"/>
      <c r="EW347" s="357"/>
      <c r="EX347" s="357"/>
      <c r="EY347" s="357"/>
      <c r="EZ347" s="357"/>
      <c r="FA347" s="357"/>
      <c r="FB347" s="357"/>
      <c r="FC347" s="357"/>
      <c r="FD347" s="357"/>
      <c r="FE347" s="357"/>
      <c r="FF347" s="357"/>
      <c r="FG347" s="357"/>
      <c r="FH347" s="357"/>
      <c r="FI347" s="357"/>
      <c r="FJ347" s="357"/>
      <c r="FK347" s="357"/>
      <c r="FL347" s="357"/>
      <c r="FM347" s="357"/>
      <c r="FN347" s="357"/>
      <c r="FO347" s="357"/>
      <c r="FP347" s="357"/>
      <c r="FQ347" s="357"/>
      <c r="FR347" s="357"/>
      <c r="FS347" s="357"/>
      <c r="FT347" s="357"/>
      <c r="FU347" s="357"/>
      <c r="FV347" s="357"/>
      <c r="FW347" s="357"/>
      <c r="FX347" s="357"/>
      <c r="FY347" s="357"/>
      <c r="FZ347" s="357"/>
      <c r="GA347" s="357"/>
      <c r="GB347" s="357"/>
      <c r="GC347" s="357"/>
      <c r="GD347" s="357"/>
      <c r="GE347" s="357"/>
      <c r="GF347" s="357"/>
      <c r="GG347" s="357"/>
      <c r="GH347" s="357"/>
      <c r="GI347" s="357"/>
      <c r="GJ347" s="357"/>
    </row>
    <row r="348" spans="26:192">
      <c r="Z348" s="357"/>
      <c r="AA348" s="357"/>
      <c r="AB348" s="357"/>
      <c r="AC348" s="357"/>
      <c r="AD348" s="357"/>
      <c r="AE348" s="357"/>
      <c r="AF348" s="357"/>
      <c r="AG348" s="357"/>
      <c r="AH348" s="357"/>
      <c r="AI348" s="357"/>
      <c r="AJ348" s="357"/>
      <c r="AK348" s="357"/>
      <c r="AL348" s="357"/>
      <c r="AM348" s="357"/>
      <c r="AN348" s="357"/>
      <c r="AO348" s="357"/>
      <c r="AP348" s="357"/>
      <c r="AQ348" s="357"/>
      <c r="AR348" s="357"/>
      <c r="AS348" s="357"/>
      <c r="AT348" s="357"/>
      <c r="AU348" s="357"/>
      <c r="AV348" s="357"/>
      <c r="AW348" s="357"/>
      <c r="AX348" s="357"/>
      <c r="AY348" s="357"/>
      <c r="AZ348" s="357"/>
      <c r="BA348" s="357"/>
      <c r="BB348" s="357"/>
      <c r="BC348" s="357"/>
      <c r="BD348" s="357"/>
      <c r="BE348" s="357"/>
      <c r="BF348" s="357"/>
      <c r="BG348" s="357"/>
      <c r="BH348" s="357"/>
      <c r="BI348" s="357"/>
      <c r="BJ348" s="357"/>
      <c r="BK348" s="357"/>
      <c r="BL348" s="357"/>
      <c r="BM348" s="357"/>
      <c r="BN348" s="357"/>
      <c r="BO348" s="357"/>
      <c r="BP348" s="357"/>
      <c r="BQ348" s="357"/>
      <c r="BR348" s="357"/>
      <c r="BS348" s="357"/>
      <c r="BT348" s="357"/>
      <c r="BU348" s="357"/>
      <c r="BV348" s="357"/>
      <c r="BW348" s="357"/>
      <c r="BX348" s="357"/>
      <c r="BY348" s="357"/>
      <c r="BZ348" s="357"/>
      <c r="CA348" s="357"/>
      <c r="CB348" s="357"/>
      <c r="CC348" s="357"/>
      <c r="CD348" s="357"/>
      <c r="CE348" s="357"/>
      <c r="CF348" s="357"/>
      <c r="CG348" s="357"/>
      <c r="CH348" s="357"/>
      <c r="CI348" s="357"/>
      <c r="CJ348" s="357"/>
      <c r="CK348" s="357"/>
      <c r="CL348" s="357"/>
      <c r="CM348" s="357"/>
      <c r="CN348" s="357"/>
      <c r="CO348" s="357"/>
      <c r="CP348" s="357"/>
      <c r="CQ348" s="357"/>
      <c r="CR348" s="357"/>
      <c r="CS348" s="357"/>
      <c r="CT348" s="357"/>
      <c r="CU348" s="357"/>
      <c r="CV348" s="357"/>
      <c r="CW348" s="357"/>
      <c r="CX348" s="357"/>
      <c r="CY348" s="357"/>
      <c r="CZ348" s="357"/>
      <c r="DA348" s="357"/>
      <c r="DB348" s="357"/>
      <c r="DC348" s="357"/>
      <c r="DD348" s="357"/>
      <c r="DE348" s="357"/>
      <c r="DF348" s="357"/>
      <c r="DG348" s="357"/>
      <c r="DH348" s="357"/>
      <c r="DI348" s="357"/>
      <c r="DJ348" s="357"/>
      <c r="DK348" s="357"/>
      <c r="DL348" s="357"/>
      <c r="DM348" s="357"/>
      <c r="DN348" s="357"/>
      <c r="DO348" s="357"/>
      <c r="DP348" s="357"/>
      <c r="DQ348" s="357"/>
      <c r="DR348" s="357"/>
      <c r="DS348" s="357"/>
      <c r="DT348" s="357"/>
      <c r="DU348" s="357"/>
      <c r="DV348" s="357"/>
      <c r="DW348" s="357"/>
      <c r="DX348" s="357"/>
      <c r="DY348" s="357"/>
      <c r="DZ348" s="357"/>
      <c r="EA348" s="357"/>
      <c r="EB348" s="357"/>
      <c r="EC348" s="357"/>
      <c r="ED348" s="357"/>
      <c r="EE348" s="357"/>
      <c r="EF348" s="357"/>
      <c r="EG348" s="357"/>
      <c r="EH348" s="357"/>
      <c r="EI348" s="357"/>
      <c r="EJ348" s="357"/>
      <c r="EK348" s="357"/>
      <c r="EL348" s="357"/>
      <c r="EM348" s="357"/>
      <c r="EN348" s="357"/>
      <c r="EO348" s="357"/>
      <c r="EP348" s="357"/>
      <c r="EQ348" s="357"/>
      <c r="ER348" s="357"/>
      <c r="ES348" s="357"/>
      <c r="ET348" s="357"/>
      <c r="EU348" s="357"/>
      <c r="EV348" s="357"/>
      <c r="EW348" s="357"/>
      <c r="EX348" s="357"/>
      <c r="EY348" s="357"/>
      <c r="EZ348" s="357"/>
      <c r="FA348" s="357"/>
      <c r="FB348" s="357"/>
      <c r="FC348" s="357"/>
      <c r="FD348" s="357"/>
      <c r="FE348" s="357"/>
      <c r="FF348" s="357"/>
      <c r="FG348" s="357"/>
      <c r="FH348" s="357"/>
      <c r="FI348" s="357"/>
      <c r="FJ348" s="357"/>
      <c r="FK348" s="357"/>
      <c r="FL348" s="357"/>
      <c r="FM348" s="357"/>
      <c r="FN348" s="357"/>
      <c r="FO348" s="357"/>
      <c r="FP348" s="357"/>
      <c r="FQ348" s="357"/>
      <c r="FR348" s="357"/>
      <c r="FS348" s="357"/>
      <c r="FT348" s="357"/>
      <c r="FU348" s="357"/>
      <c r="FV348" s="357"/>
      <c r="FW348" s="357"/>
      <c r="FX348" s="357"/>
      <c r="FY348" s="357"/>
      <c r="FZ348" s="357"/>
      <c r="GA348" s="357"/>
      <c r="GB348" s="357"/>
      <c r="GC348" s="357"/>
      <c r="GD348" s="357"/>
      <c r="GE348" s="357"/>
      <c r="GF348" s="357"/>
      <c r="GG348" s="357"/>
      <c r="GH348" s="357"/>
      <c r="GI348" s="357"/>
      <c r="GJ348" s="357"/>
    </row>
    <row r="349" spans="26:192">
      <c r="Z349" s="357"/>
      <c r="AA349" s="357"/>
      <c r="AB349" s="357"/>
      <c r="AC349" s="357"/>
      <c r="AD349" s="357"/>
      <c r="AE349" s="357"/>
      <c r="AF349" s="357"/>
      <c r="AG349" s="357"/>
      <c r="AH349" s="357"/>
      <c r="AI349" s="357"/>
      <c r="AJ349" s="357"/>
      <c r="AK349" s="357"/>
      <c r="AL349" s="357"/>
      <c r="AM349" s="357"/>
      <c r="AN349" s="357"/>
      <c r="AO349" s="357"/>
      <c r="AP349" s="357"/>
      <c r="AQ349" s="357"/>
      <c r="AR349" s="357"/>
      <c r="AS349" s="357"/>
      <c r="AT349" s="357"/>
      <c r="AU349" s="357"/>
      <c r="AV349" s="357"/>
      <c r="AW349" s="357"/>
      <c r="AX349" s="357"/>
      <c r="AY349" s="357"/>
      <c r="AZ349" s="357"/>
      <c r="BA349" s="357"/>
      <c r="BB349" s="357"/>
      <c r="BC349" s="357"/>
      <c r="BD349" s="357"/>
      <c r="BE349" s="357"/>
      <c r="BF349" s="357"/>
      <c r="BG349" s="357"/>
      <c r="BH349" s="357"/>
      <c r="BI349" s="357"/>
      <c r="BJ349" s="357"/>
      <c r="BK349" s="357"/>
      <c r="BL349" s="357"/>
      <c r="BM349" s="357"/>
      <c r="BN349" s="357"/>
      <c r="BO349" s="357"/>
      <c r="BP349" s="357"/>
      <c r="BQ349" s="357"/>
      <c r="BR349" s="357"/>
      <c r="BS349" s="357"/>
      <c r="BT349" s="357"/>
      <c r="BU349" s="357"/>
      <c r="BV349" s="357"/>
      <c r="BW349" s="357"/>
      <c r="BX349" s="357"/>
      <c r="BY349" s="357"/>
      <c r="BZ349" s="357"/>
      <c r="CA349" s="357"/>
      <c r="CB349" s="357"/>
      <c r="CC349" s="357"/>
      <c r="CD349" s="357"/>
      <c r="CE349" s="357"/>
      <c r="CF349" s="357"/>
      <c r="CG349" s="357"/>
      <c r="CH349" s="357"/>
      <c r="CI349" s="357"/>
      <c r="CJ349" s="357"/>
      <c r="CK349" s="357"/>
      <c r="CL349" s="357"/>
      <c r="CM349" s="357"/>
      <c r="CN349" s="357"/>
      <c r="CO349" s="357"/>
      <c r="CP349" s="357"/>
      <c r="CQ349" s="357"/>
      <c r="CR349" s="357"/>
      <c r="CS349" s="357"/>
      <c r="CT349" s="357"/>
      <c r="CU349" s="357"/>
      <c r="CV349" s="357"/>
      <c r="CW349" s="357"/>
      <c r="CX349" s="357"/>
      <c r="CY349" s="357"/>
      <c r="CZ349" s="357"/>
      <c r="DA349" s="357"/>
      <c r="DB349" s="357"/>
      <c r="DC349" s="357"/>
      <c r="DD349" s="357"/>
      <c r="DE349" s="357"/>
      <c r="DF349" s="357"/>
      <c r="DG349" s="357"/>
      <c r="DH349" s="357"/>
      <c r="DI349" s="357"/>
      <c r="DJ349" s="357"/>
      <c r="DK349" s="357"/>
      <c r="DL349" s="357"/>
      <c r="DM349" s="357"/>
      <c r="DN349" s="357"/>
      <c r="DO349" s="357"/>
      <c r="DP349" s="357"/>
      <c r="DQ349" s="357"/>
      <c r="DR349" s="357"/>
      <c r="DS349" s="357"/>
      <c r="DT349" s="357"/>
      <c r="DU349" s="357"/>
      <c r="DV349" s="357"/>
      <c r="DW349" s="357"/>
      <c r="DX349" s="357"/>
      <c r="DY349" s="357"/>
      <c r="DZ349" s="357"/>
      <c r="EA349" s="357"/>
      <c r="EB349" s="357"/>
      <c r="EC349" s="357"/>
      <c r="ED349" s="357"/>
      <c r="EE349" s="357"/>
      <c r="EF349" s="357"/>
      <c r="EG349" s="357"/>
      <c r="EH349" s="357"/>
      <c r="EI349" s="357"/>
      <c r="EJ349" s="357"/>
      <c r="EK349" s="357"/>
      <c r="EL349" s="357"/>
      <c r="EM349" s="357"/>
      <c r="EN349" s="357"/>
      <c r="EO349" s="357"/>
      <c r="EP349" s="357"/>
      <c r="EQ349" s="357"/>
      <c r="ER349" s="357"/>
      <c r="ES349" s="357"/>
      <c r="ET349" s="357"/>
      <c r="EU349" s="357"/>
      <c r="EV349" s="357"/>
      <c r="EW349" s="357"/>
      <c r="EX349" s="357"/>
      <c r="EY349" s="357"/>
      <c r="EZ349" s="357"/>
      <c r="FA349" s="357"/>
      <c r="FB349" s="357"/>
      <c r="FC349" s="357"/>
      <c r="FD349" s="357"/>
      <c r="FE349" s="357"/>
      <c r="FF349" s="357"/>
      <c r="FG349" s="357"/>
      <c r="FH349" s="357"/>
      <c r="FI349" s="357"/>
      <c r="FJ349" s="357"/>
      <c r="FK349" s="357"/>
      <c r="FL349" s="357"/>
      <c r="FM349" s="357"/>
      <c r="FN349" s="357"/>
      <c r="FO349" s="357"/>
      <c r="FP349" s="357"/>
      <c r="FQ349" s="357"/>
      <c r="FR349" s="357"/>
      <c r="FS349" s="357"/>
      <c r="FT349" s="357"/>
      <c r="FU349" s="357"/>
      <c r="FV349" s="357"/>
      <c r="FW349" s="357"/>
      <c r="FX349" s="357"/>
      <c r="FY349" s="357"/>
      <c r="FZ349" s="357"/>
      <c r="GA349" s="357"/>
      <c r="GB349" s="357"/>
      <c r="GC349" s="357"/>
      <c r="GD349" s="357"/>
      <c r="GE349" s="357"/>
      <c r="GF349" s="357"/>
      <c r="GG349" s="357"/>
      <c r="GH349" s="357"/>
      <c r="GI349" s="357"/>
      <c r="GJ349" s="357"/>
    </row>
    <row r="350" spans="26:192">
      <c r="Z350" s="357"/>
      <c r="AA350" s="357"/>
      <c r="AB350" s="357"/>
      <c r="AC350" s="357"/>
      <c r="AD350" s="357"/>
      <c r="AE350" s="357"/>
      <c r="AF350" s="357"/>
      <c r="AG350" s="357"/>
      <c r="AH350" s="357"/>
      <c r="AI350" s="357"/>
      <c r="AJ350" s="357"/>
      <c r="AK350" s="357"/>
      <c r="AL350" s="357"/>
      <c r="AM350" s="357"/>
      <c r="AN350" s="357"/>
      <c r="AO350" s="357"/>
      <c r="AP350" s="357"/>
      <c r="AQ350" s="357"/>
      <c r="AR350" s="357"/>
      <c r="AS350" s="357"/>
      <c r="AT350" s="357"/>
      <c r="AU350" s="357"/>
      <c r="AV350" s="357"/>
      <c r="AW350" s="357"/>
      <c r="AX350" s="357"/>
      <c r="AY350" s="357"/>
      <c r="AZ350" s="357"/>
      <c r="BA350" s="357"/>
      <c r="BB350" s="357"/>
      <c r="BC350" s="357"/>
      <c r="BD350" s="357"/>
      <c r="BE350" s="357"/>
      <c r="BF350" s="357"/>
      <c r="BG350" s="357"/>
      <c r="BH350" s="357"/>
      <c r="BI350" s="357"/>
      <c r="BJ350" s="357"/>
      <c r="BK350" s="357"/>
      <c r="BL350" s="357"/>
      <c r="BM350" s="357"/>
      <c r="BN350" s="357"/>
      <c r="BO350" s="357"/>
      <c r="BP350" s="357"/>
      <c r="BQ350" s="357"/>
      <c r="BR350" s="357"/>
      <c r="BS350" s="357"/>
      <c r="BT350" s="357"/>
      <c r="BU350" s="357"/>
      <c r="BV350" s="357"/>
      <c r="BW350" s="357"/>
      <c r="BX350" s="357"/>
      <c r="BY350" s="357"/>
      <c r="BZ350" s="357"/>
      <c r="CA350" s="357"/>
      <c r="CB350" s="357"/>
      <c r="CC350" s="357"/>
      <c r="CD350" s="357"/>
      <c r="CE350" s="357"/>
      <c r="CF350" s="357"/>
      <c r="CG350" s="357"/>
      <c r="CH350" s="357"/>
      <c r="CI350" s="357"/>
      <c r="CJ350" s="357"/>
      <c r="CK350" s="357"/>
      <c r="CL350" s="357"/>
      <c r="CM350" s="357"/>
      <c r="CN350" s="357"/>
      <c r="CO350" s="357"/>
      <c r="CP350" s="357"/>
      <c r="CQ350" s="357"/>
      <c r="CR350" s="357"/>
      <c r="CS350" s="357"/>
      <c r="CT350" s="357"/>
      <c r="CU350" s="357"/>
      <c r="CV350" s="357"/>
      <c r="CW350" s="357"/>
      <c r="CX350" s="357"/>
      <c r="CY350" s="357"/>
      <c r="CZ350" s="357"/>
      <c r="DA350" s="357"/>
      <c r="DB350" s="357"/>
      <c r="DC350" s="357"/>
      <c r="DD350" s="357"/>
      <c r="DE350" s="357"/>
      <c r="DF350" s="357"/>
      <c r="DG350" s="357"/>
      <c r="DH350" s="357"/>
      <c r="DI350" s="357"/>
      <c r="DJ350" s="357"/>
      <c r="DK350" s="357"/>
      <c r="DL350" s="357"/>
      <c r="DM350" s="357"/>
      <c r="DN350" s="357"/>
      <c r="DO350" s="357"/>
      <c r="DP350" s="357"/>
      <c r="DQ350" s="357"/>
      <c r="DR350" s="357"/>
      <c r="DS350" s="357"/>
      <c r="DT350" s="357"/>
      <c r="DU350" s="357"/>
      <c r="DV350" s="357"/>
      <c r="DW350" s="357"/>
      <c r="DX350" s="357"/>
      <c r="DY350" s="357"/>
      <c r="DZ350" s="357"/>
      <c r="EA350" s="357"/>
      <c r="EB350" s="357"/>
      <c r="EC350" s="357"/>
      <c r="ED350" s="357"/>
      <c r="EE350" s="357"/>
      <c r="EF350" s="357"/>
      <c r="EG350" s="357"/>
      <c r="EH350" s="357"/>
      <c r="EI350" s="357"/>
      <c r="EJ350" s="357"/>
      <c r="EK350" s="357"/>
      <c r="EL350" s="357"/>
      <c r="EM350" s="357"/>
      <c r="EN350" s="357"/>
      <c r="EO350" s="357"/>
      <c r="EP350" s="357"/>
      <c r="EQ350" s="357"/>
      <c r="ER350" s="357"/>
      <c r="ES350" s="357"/>
      <c r="ET350" s="357"/>
      <c r="EU350" s="357"/>
      <c r="EV350" s="357"/>
      <c r="EW350" s="357"/>
      <c r="EX350" s="357"/>
      <c r="EY350" s="357"/>
      <c r="EZ350" s="357"/>
      <c r="FA350" s="357"/>
      <c r="FB350" s="357"/>
      <c r="FC350" s="357"/>
      <c r="FD350" s="357"/>
      <c r="FE350" s="357"/>
      <c r="FF350" s="357"/>
      <c r="FG350" s="357"/>
      <c r="FH350" s="357"/>
      <c r="FI350" s="357"/>
      <c r="FJ350" s="357"/>
      <c r="FK350" s="357"/>
      <c r="FL350" s="357"/>
      <c r="FM350" s="357"/>
      <c r="FN350" s="357"/>
      <c r="FO350" s="357"/>
      <c r="FP350" s="357"/>
      <c r="FQ350" s="357"/>
      <c r="FR350" s="357"/>
      <c r="FS350" s="357"/>
      <c r="FT350" s="357"/>
      <c r="FU350" s="357"/>
      <c r="FV350" s="357"/>
      <c r="FW350" s="357"/>
      <c r="FX350" s="357"/>
      <c r="FY350" s="357"/>
      <c r="FZ350" s="357"/>
      <c r="GA350" s="357"/>
      <c r="GB350" s="357"/>
      <c r="GC350" s="357"/>
      <c r="GD350" s="357"/>
      <c r="GE350" s="357"/>
      <c r="GF350" s="357"/>
      <c r="GG350" s="357"/>
      <c r="GH350" s="357"/>
      <c r="GI350" s="357"/>
      <c r="GJ350" s="357"/>
    </row>
    <row r="351" spans="26:192">
      <c r="Z351" s="357"/>
      <c r="AA351" s="357"/>
      <c r="AB351" s="357"/>
      <c r="AC351" s="357"/>
      <c r="AD351" s="357"/>
      <c r="AE351" s="357"/>
      <c r="AF351" s="357"/>
      <c r="AG351" s="357"/>
      <c r="AH351" s="357"/>
      <c r="AI351" s="357"/>
      <c r="AJ351" s="357"/>
      <c r="AK351" s="357"/>
      <c r="AL351" s="357"/>
      <c r="AM351" s="357"/>
      <c r="AN351" s="357"/>
      <c r="AO351" s="357"/>
      <c r="AP351" s="357"/>
      <c r="AQ351" s="357"/>
      <c r="AR351" s="357"/>
      <c r="AS351" s="357"/>
      <c r="AT351" s="357"/>
      <c r="AU351" s="357"/>
      <c r="AV351" s="357"/>
      <c r="AW351" s="357"/>
      <c r="AX351" s="357"/>
      <c r="AY351" s="357"/>
      <c r="AZ351" s="357"/>
      <c r="BA351" s="357"/>
      <c r="BB351" s="357"/>
      <c r="BC351" s="357"/>
      <c r="BD351" s="357"/>
      <c r="BE351" s="357"/>
      <c r="BF351" s="357"/>
      <c r="BG351" s="357"/>
      <c r="BH351" s="357"/>
      <c r="BI351" s="357"/>
      <c r="BJ351" s="357"/>
      <c r="BK351" s="357"/>
      <c r="BL351" s="357"/>
      <c r="BM351" s="357"/>
      <c r="BN351" s="357"/>
      <c r="BO351" s="357"/>
      <c r="BP351" s="357"/>
      <c r="BQ351" s="357"/>
      <c r="BR351" s="357"/>
      <c r="BS351" s="357"/>
      <c r="BT351" s="357"/>
      <c r="BU351" s="357"/>
      <c r="BV351" s="357"/>
      <c r="BW351" s="357"/>
      <c r="BX351" s="357"/>
      <c r="BY351" s="357"/>
      <c r="BZ351" s="357"/>
      <c r="CA351" s="357"/>
      <c r="CB351" s="357"/>
      <c r="CC351" s="357"/>
      <c r="CD351" s="357"/>
      <c r="CE351" s="357"/>
      <c r="CF351" s="357"/>
      <c r="CG351" s="357"/>
      <c r="CH351" s="357"/>
      <c r="CI351" s="357"/>
      <c r="CJ351" s="357"/>
      <c r="CK351" s="357"/>
      <c r="CL351" s="357"/>
      <c r="CM351" s="357"/>
      <c r="CN351" s="357"/>
      <c r="CO351" s="357"/>
      <c r="CP351" s="357"/>
      <c r="CQ351" s="357"/>
      <c r="CR351" s="357"/>
      <c r="CS351" s="357"/>
      <c r="CT351" s="357"/>
      <c r="CU351" s="357"/>
      <c r="CV351" s="357"/>
      <c r="CW351" s="357"/>
      <c r="CX351" s="357"/>
      <c r="CY351" s="357"/>
      <c r="CZ351" s="357"/>
      <c r="DA351" s="357"/>
      <c r="DB351" s="357"/>
      <c r="DC351" s="357"/>
      <c r="DD351" s="357"/>
      <c r="DE351" s="357"/>
      <c r="DF351" s="357"/>
      <c r="DG351" s="357"/>
      <c r="DH351" s="357"/>
      <c r="DI351" s="357"/>
      <c r="DJ351" s="357"/>
      <c r="DK351" s="357"/>
      <c r="DL351" s="357"/>
      <c r="DM351" s="357"/>
      <c r="DN351" s="357"/>
      <c r="DO351" s="357"/>
      <c r="DP351" s="357"/>
      <c r="DQ351" s="357"/>
      <c r="DR351" s="357"/>
      <c r="DS351" s="357"/>
      <c r="DT351" s="357"/>
      <c r="DU351" s="357"/>
      <c r="DV351" s="357"/>
      <c r="DW351" s="357"/>
      <c r="DX351" s="357"/>
      <c r="DY351" s="357"/>
      <c r="DZ351" s="357"/>
      <c r="EA351" s="357"/>
      <c r="EB351" s="357"/>
      <c r="EC351" s="357"/>
      <c r="ED351" s="357"/>
      <c r="EE351" s="357"/>
      <c r="EF351" s="357"/>
      <c r="EG351" s="357"/>
      <c r="EH351" s="357"/>
      <c r="EI351" s="357"/>
      <c r="EJ351" s="357"/>
      <c r="EK351" s="357"/>
      <c r="EL351" s="357"/>
      <c r="EM351" s="357"/>
      <c r="EN351" s="357"/>
      <c r="EO351" s="357"/>
      <c r="EP351" s="357"/>
      <c r="EQ351" s="357"/>
      <c r="ER351" s="357"/>
      <c r="ES351" s="357"/>
      <c r="ET351" s="357"/>
      <c r="EU351" s="357"/>
      <c r="EV351" s="357"/>
      <c r="EW351" s="357"/>
      <c r="EX351" s="357"/>
      <c r="EY351" s="357"/>
      <c r="EZ351" s="357"/>
      <c r="FA351" s="357"/>
      <c r="FB351" s="357"/>
      <c r="FC351" s="357"/>
      <c r="FD351" s="357"/>
      <c r="FE351" s="357"/>
      <c r="FF351" s="357"/>
      <c r="FG351" s="357"/>
      <c r="FH351" s="357"/>
      <c r="FI351" s="357"/>
      <c r="FJ351" s="357"/>
      <c r="FK351" s="357"/>
      <c r="FL351" s="357"/>
      <c r="FM351" s="357"/>
      <c r="FN351" s="357"/>
      <c r="FO351" s="357"/>
      <c r="FP351" s="357"/>
      <c r="FQ351" s="357"/>
      <c r="FR351" s="357"/>
      <c r="FS351" s="357"/>
      <c r="FT351" s="357"/>
      <c r="FU351" s="357"/>
      <c r="FV351" s="357"/>
      <c r="FW351" s="357"/>
      <c r="FX351" s="357"/>
      <c r="FY351" s="357"/>
      <c r="FZ351" s="357"/>
      <c r="GA351" s="357"/>
      <c r="GB351" s="357"/>
      <c r="GC351" s="357"/>
      <c r="GD351" s="357"/>
      <c r="GE351" s="357"/>
      <c r="GF351" s="357"/>
      <c r="GG351" s="357"/>
      <c r="GH351" s="357"/>
      <c r="GI351" s="357"/>
      <c r="GJ351" s="357"/>
    </row>
    <row r="352" spans="26:192">
      <c r="Z352" s="357"/>
      <c r="AA352" s="357"/>
      <c r="AB352" s="357"/>
      <c r="AC352" s="357"/>
      <c r="AD352" s="357"/>
      <c r="AE352" s="357"/>
      <c r="AF352" s="357"/>
      <c r="AG352" s="357"/>
      <c r="AH352" s="357"/>
      <c r="AI352" s="357"/>
      <c r="AJ352" s="357"/>
      <c r="AK352" s="357"/>
      <c r="AL352" s="357"/>
      <c r="AM352" s="357"/>
      <c r="AN352" s="357"/>
      <c r="AO352" s="357"/>
      <c r="AP352" s="357"/>
      <c r="AQ352" s="357"/>
      <c r="AR352" s="357"/>
      <c r="AS352" s="357"/>
      <c r="AT352" s="357"/>
      <c r="AU352" s="357"/>
      <c r="AV352" s="357"/>
      <c r="AW352" s="357"/>
      <c r="AX352" s="357"/>
      <c r="AY352" s="357"/>
      <c r="AZ352" s="357"/>
      <c r="BA352" s="357"/>
      <c r="BB352" s="357"/>
      <c r="BC352" s="357"/>
      <c r="BD352" s="357"/>
      <c r="BE352" s="357"/>
      <c r="BF352" s="357"/>
      <c r="BG352" s="357"/>
      <c r="BH352" s="357"/>
      <c r="BI352" s="357"/>
      <c r="BJ352" s="357"/>
      <c r="BK352" s="357"/>
      <c r="BL352" s="357"/>
      <c r="BM352" s="357"/>
      <c r="BN352" s="357"/>
      <c r="BO352" s="357"/>
      <c r="BP352" s="357"/>
      <c r="BQ352" s="357"/>
      <c r="BR352" s="357"/>
      <c r="BS352" s="357"/>
      <c r="BT352" s="357"/>
      <c r="BU352" s="357"/>
      <c r="BV352" s="357"/>
      <c r="BW352" s="357"/>
      <c r="BX352" s="357"/>
      <c r="BY352" s="357"/>
      <c r="BZ352" s="357"/>
      <c r="CA352" s="357"/>
      <c r="CB352" s="357"/>
      <c r="CC352" s="357"/>
      <c r="CD352" s="357"/>
      <c r="CE352" s="357"/>
      <c r="CF352" s="357"/>
      <c r="CG352" s="357"/>
      <c r="CH352" s="357"/>
      <c r="CI352" s="357"/>
      <c r="CJ352" s="357"/>
      <c r="CK352" s="357"/>
      <c r="CL352" s="357"/>
      <c r="CM352" s="357"/>
      <c r="CN352" s="357"/>
      <c r="CO352" s="357"/>
      <c r="CP352" s="357"/>
      <c r="CQ352" s="357"/>
      <c r="CR352" s="357"/>
      <c r="CS352" s="357"/>
      <c r="CT352" s="357"/>
      <c r="CU352" s="357"/>
      <c r="CV352" s="357"/>
      <c r="CW352" s="357"/>
      <c r="CX352" s="357"/>
      <c r="CY352" s="357"/>
      <c r="CZ352" s="357"/>
      <c r="DA352" s="357"/>
      <c r="DB352" s="357"/>
      <c r="DC352" s="357"/>
      <c r="DD352" s="357"/>
      <c r="DE352" s="357"/>
      <c r="DF352" s="357"/>
      <c r="DG352" s="357"/>
      <c r="DH352" s="357"/>
      <c r="DI352" s="357"/>
      <c r="DJ352" s="357"/>
      <c r="DK352" s="357"/>
      <c r="DL352" s="357"/>
      <c r="DM352" s="357"/>
      <c r="DN352" s="357"/>
      <c r="DO352" s="357"/>
      <c r="DP352" s="357"/>
      <c r="DQ352" s="357"/>
      <c r="DR352" s="357"/>
      <c r="DS352" s="357"/>
      <c r="DT352" s="357"/>
      <c r="DU352" s="357"/>
      <c r="DV352" s="357"/>
      <c r="DW352" s="357"/>
      <c r="DX352" s="357"/>
      <c r="DY352" s="357"/>
      <c r="DZ352" s="357"/>
      <c r="EA352" s="357"/>
      <c r="EB352" s="357"/>
      <c r="EC352" s="357"/>
      <c r="ED352" s="357"/>
      <c r="EE352" s="357"/>
      <c r="EF352" s="357"/>
      <c r="EG352" s="357"/>
      <c r="EH352" s="357"/>
      <c r="EI352" s="357"/>
      <c r="EJ352" s="357"/>
      <c r="EK352" s="357"/>
      <c r="EL352" s="357"/>
      <c r="EM352" s="357"/>
      <c r="EN352" s="357"/>
      <c r="EO352" s="357"/>
      <c r="EP352" s="357"/>
      <c r="EQ352" s="357"/>
      <c r="ER352" s="357"/>
      <c r="ES352" s="357"/>
      <c r="ET352" s="357"/>
      <c r="EU352" s="357"/>
      <c r="EV352" s="357"/>
      <c r="EW352" s="357"/>
      <c r="EX352" s="357"/>
      <c r="EY352" s="357"/>
      <c r="EZ352" s="357"/>
      <c r="FA352" s="357"/>
      <c r="FB352" s="357"/>
      <c r="FC352" s="357"/>
      <c r="FD352" s="357"/>
      <c r="FE352" s="357"/>
      <c r="FF352" s="357"/>
      <c r="FG352" s="357"/>
      <c r="FH352" s="357"/>
      <c r="FI352" s="357"/>
      <c r="FJ352" s="357"/>
      <c r="FK352" s="357"/>
      <c r="FL352" s="357"/>
      <c r="FM352" s="357"/>
      <c r="FN352" s="357"/>
      <c r="FO352" s="357"/>
      <c r="FP352" s="357"/>
      <c r="FQ352" s="357"/>
      <c r="FR352" s="357"/>
      <c r="FS352" s="357"/>
      <c r="FT352" s="357"/>
      <c r="FU352" s="357"/>
      <c r="FV352" s="357"/>
      <c r="FW352" s="357"/>
      <c r="FX352" s="357"/>
      <c r="FY352" s="357"/>
      <c r="FZ352" s="357"/>
      <c r="GA352" s="357"/>
      <c r="GB352" s="357"/>
      <c r="GC352" s="357"/>
      <c r="GD352" s="357"/>
      <c r="GE352" s="357"/>
      <c r="GF352" s="357"/>
      <c r="GG352" s="357"/>
      <c r="GH352" s="357"/>
      <c r="GI352" s="357"/>
      <c r="GJ352" s="357"/>
    </row>
    <row r="353" spans="26:192">
      <c r="Z353" s="357"/>
      <c r="AA353" s="357"/>
      <c r="AB353" s="357"/>
      <c r="AC353" s="357"/>
      <c r="AD353" s="357"/>
      <c r="AE353" s="357"/>
      <c r="AF353" s="357"/>
      <c r="AG353" s="357"/>
      <c r="AH353" s="357"/>
      <c r="AI353" s="357"/>
      <c r="AJ353" s="357"/>
      <c r="AK353" s="357"/>
      <c r="AL353" s="357"/>
      <c r="AM353" s="357"/>
      <c r="AN353" s="357"/>
      <c r="AO353" s="357"/>
      <c r="AP353" s="357"/>
      <c r="AQ353" s="357"/>
      <c r="AR353" s="357"/>
      <c r="AS353" s="357"/>
      <c r="AT353" s="357"/>
      <c r="AU353" s="357"/>
      <c r="AV353" s="357"/>
      <c r="AW353" s="357"/>
      <c r="AX353" s="357"/>
      <c r="AY353" s="357"/>
      <c r="AZ353" s="357"/>
      <c r="BA353" s="357"/>
      <c r="BB353" s="357"/>
      <c r="BC353" s="357"/>
      <c r="BD353" s="357"/>
      <c r="BE353" s="357"/>
      <c r="BF353" s="357"/>
      <c r="BG353" s="357"/>
      <c r="BH353" s="357"/>
      <c r="BI353" s="357"/>
      <c r="BJ353" s="357"/>
      <c r="BK353" s="357"/>
      <c r="BL353" s="357"/>
      <c r="BM353" s="357"/>
      <c r="BN353" s="357"/>
      <c r="BO353" s="357"/>
      <c r="BP353" s="357"/>
      <c r="BQ353" s="357"/>
      <c r="BR353" s="357"/>
      <c r="BS353" s="357"/>
      <c r="BT353" s="357"/>
      <c r="BU353" s="357"/>
      <c r="BV353" s="357"/>
      <c r="BW353" s="357"/>
      <c r="BX353" s="357"/>
      <c r="BY353" s="357"/>
      <c r="BZ353" s="357"/>
      <c r="CA353" s="357"/>
      <c r="CB353" s="357"/>
      <c r="CC353" s="357"/>
      <c r="CD353" s="357"/>
      <c r="CE353" s="357"/>
      <c r="CF353" s="357"/>
      <c r="CG353" s="357"/>
      <c r="CH353" s="357"/>
      <c r="CI353" s="357"/>
      <c r="CJ353" s="357"/>
      <c r="CK353" s="357"/>
      <c r="CL353" s="357"/>
      <c r="CM353" s="357"/>
      <c r="CN353" s="357"/>
      <c r="CO353" s="357"/>
      <c r="CP353" s="357"/>
      <c r="CQ353" s="357"/>
      <c r="CR353" s="357"/>
      <c r="CS353" s="357"/>
      <c r="CT353" s="357"/>
      <c r="CU353" s="357"/>
      <c r="CV353" s="357"/>
      <c r="CW353" s="357"/>
      <c r="CX353" s="357"/>
      <c r="CY353" s="357"/>
      <c r="CZ353" s="357"/>
      <c r="DA353" s="357"/>
      <c r="DB353" s="357"/>
      <c r="DC353" s="357"/>
      <c r="DD353" s="357"/>
      <c r="DE353" s="357"/>
      <c r="DF353" s="357"/>
      <c r="DG353" s="357"/>
      <c r="DH353" s="357"/>
      <c r="DI353" s="357"/>
      <c r="DJ353" s="357"/>
      <c r="DK353" s="357"/>
      <c r="DL353" s="357"/>
      <c r="DM353" s="357"/>
      <c r="DN353" s="357"/>
      <c r="DO353" s="357"/>
      <c r="DP353" s="357"/>
      <c r="DQ353" s="357"/>
      <c r="DR353" s="357"/>
      <c r="DS353" s="357"/>
      <c r="DT353" s="357"/>
      <c r="DU353" s="357"/>
      <c r="DV353" s="357"/>
      <c r="DW353" s="357"/>
      <c r="DX353" s="357"/>
      <c r="DY353" s="357"/>
      <c r="DZ353" s="357"/>
      <c r="EA353" s="357"/>
      <c r="EB353" s="357"/>
      <c r="EC353" s="357"/>
      <c r="ED353" s="357"/>
      <c r="EE353" s="357"/>
      <c r="EF353" s="357"/>
      <c r="EG353" s="357"/>
      <c r="EH353" s="357"/>
      <c r="EI353" s="357"/>
      <c r="EJ353" s="357"/>
      <c r="EK353" s="357"/>
      <c r="EL353" s="357"/>
      <c r="EM353" s="357"/>
      <c r="EN353" s="357"/>
      <c r="EO353" s="357"/>
      <c r="EP353" s="357"/>
      <c r="EQ353" s="357"/>
      <c r="ER353" s="357"/>
      <c r="ES353" s="357"/>
      <c r="ET353" s="357"/>
      <c r="EU353" s="357"/>
      <c r="EV353" s="357"/>
      <c r="EW353" s="357"/>
      <c r="EX353" s="357"/>
      <c r="EY353" s="357"/>
      <c r="EZ353" s="357"/>
      <c r="FA353" s="357"/>
      <c r="FB353" s="357"/>
      <c r="FC353" s="357"/>
      <c r="FD353" s="357"/>
      <c r="FE353" s="357"/>
      <c r="FF353" s="357"/>
      <c r="FG353" s="357"/>
      <c r="FH353" s="357"/>
      <c r="FI353" s="357"/>
      <c r="FJ353" s="357"/>
      <c r="FK353" s="357"/>
      <c r="FL353" s="357"/>
      <c r="FM353" s="357"/>
      <c r="FN353" s="357"/>
      <c r="FO353" s="357"/>
      <c r="FP353" s="357"/>
      <c r="FQ353" s="357"/>
      <c r="FR353" s="357"/>
      <c r="FS353" s="357"/>
      <c r="FT353" s="357"/>
      <c r="FU353" s="357"/>
      <c r="FV353" s="357"/>
      <c r="FW353" s="357"/>
      <c r="FX353" s="357"/>
      <c r="FY353" s="357"/>
      <c r="FZ353" s="357"/>
      <c r="GA353" s="357"/>
      <c r="GB353" s="357"/>
      <c r="GC353" s="357"/>
      <c r="GD353" s="357"/>
      <c r="GE353" s="357"/>
      <c r="GF353" s="357"/>
      <c r="GG353" s="357"/>
      <c r="GH353" s="357"/>
      <c r="GI353" s="357"/>
      <c r="GJ353" s="357"/>
    </row>
    <row r="354" spans="26:192">
      <c r="Z354" s="357"/>
      <c r="AA354" s="357"/>
      <c r="AB354" s="357"/>
      <c r="AC354" s="357"/>
      <c r="AD354" s="357"/>
      <c r="AE354" s="357"/>
      <c r="AF354" s="357"/>
      <c r="AG354" s="357"/>
      <c r="AH354" s="357"/>
      <c r="AI354" s="357"/>
      <c r="AJ354" s="357"/>
      <c r="AK354" s="357"/>
      <c r="AL354" s="357"/>
      <c r="AM354" s="357"/>
      <c r="AN354" s="357"/>
      <c r="AO354" s="357"/>
      <c r="AP354" s="357"/>
      <c r="AQ354" s="357"/>
      <c r="AR354" s="357"/>
      <c r="AS354" s="357"/>
      <c r="AT354" s="357"/>
      <c r="AU354" s="357"/>
      <c r="AV354" s="357"/>
      <c r="AW354" s="357"/>
      <c r="AX354" s="357"/>
      <c r="AY354" s="357"/>
      <c r="AZ354" s="357"/>
      <c r="BA354" s="357"/>
      <c r="BB354" s="357"/>
      <c r="BC354" s="357"/>
      <c r="BD354" s="357"/>
      <c r="BE354" s="357"/>
      <c r="BF354" s="357"/>
      <c r="BG354" s="357"/>
      <c r="BH354" s="357"/>
      <c r="BI354" s="357"/>
      <c r="BJ354" s="357"/>
      <c r="BK354" s="357"/>
      <c r="BL354" s="357"/>
      <c r="BM354" s="357"/>
      <c r="BN354" s="357"/>
      <c r="BO354" s="357"/>
      <c r="BP354" s="357"/>
      <c r="BQ354" s="357"/>
      <c r="BR354" s="357"/>
      <c r="BS354" s="357"/>
      <c r="BT354" s="357"/>
      <c r="BU354" s="357"/>
      <c r="BV354" s="357"/>
      <c r="BW354" s="357"/>
      <c r="BX354" s="357"/>
      <c r="BY354" s="357"/>
      <c r="BZ354" s="357"/>
      <c r="CA354" s="357"/>
      <c r="CB354" s="357"/>
      <c r="CC354" s="357"/>
      <c r="CD354" s="357"/>
      <c r="CE354" s="357"/>
      <c r="CF354" s="357"/>
      <c r="CG354" s="357"/>
      <c r="CH354" s="357"/>
      <c r="CI354" s="357"/>
      <c r="CJ354" s="357"/>
      <c r="CK354" s="357"/>
      <c r="CL354" s="357"/>
      <c r="CM354" s="357"/>
      <c r="CN354" s="357"/>
      <c r="CO354" s="357"/>
      <c r="CP354" s="357"/>
      <c r="CQ354" s="357"/>
      <c r="CR354" s="357"/>
      <c r="CS354" s="357"/>
      <c r="CT354" s="357"/>
      <c r="CU354" s="357"/>
      <c r="CV354" s="357"/>
      <c r="CW354" s="357"/>
      <c r="CX354" s="357"/>
      <c r="CY354" s="357"/>
      <c r="CZ354" s="357"/>
      <c r="DA354" s="357"/>
      <c r="DB354" s="357"/>
      <c r="DC354" s="357"/>
      <c r="DD354" s="357"/>
      <c r="DE354" s="357"/>
      <c r="DF354" s="357"/>
      <c r="DG354" s="357"/>
      <c r="DH354" s="357"/>
      <c r="DI354" s="357"/>
      <c r="DJ354" s="357"/>
      <c r="DK354" s="357"/>
      <c r="DL354" s="357"/>
      <c r="DM354" s="357"/>
      <c r="DN354" s="357"/>
      <c r="DO354" s="357"/>
      <c r="DP354" s="357"/>
      <c r="DQ354" s="357"/>
      <c r="DR354" s="357"/>
      <c r="DS354" s="357"/>
      <c r="DT354" s="357"/>
      <c r="DU354" s="357"/>
      <c r="DV354" s="357"/>
      <c r="DW354" s="357"/>
      <c r="DX354" s="357"/>
      <c r="DY354" s="357"/>
      <c r="DZ354" s="357"/>
      <c r="EA354" s="357"/>
      <c r="EB354" s="357"/>
      <c r="EC354" s="357"/>
      <c r="ED354" s="357"/>
      <c r="EE354" s="357"/>
      <c r="EF354" s="357"/>
      <c r="EG354" s="357"/>
      <c r="EH354" s="357"/>
      <c r="EI354" s="357"/>
      <c r="EJ354" s="357"/>
      <c r="EK354" s="357"/>
      <c r="EL354" s="357"/>
      <c r="EM354" s="357"/>
      <c r="EN354" s="357"/>
      <c r="EO354" s="357"/>
      <c r="EP354" s="357"/>
      <c r="EQ354" s="357"/>
      <c r="ER354" s="357"/>
      <c r="ES354" s="357"/>
      <c r="ET354" s="357"/>
      <c r="EU354" s="357"/>
      <c r="EV354" s="357"/>
      <c r="EW354" s="357"/>
      <c r="EX354" s="357"/>
      <c r="EY354" s="357"/>
      <c r="EZ354" s="357"/>
      <c r="FA354" s="357"/>
      <c r="FB354" s="357"/>
      <c r="FC354" s="357"/>
      <c r="FD354" s="357"/>
      <c r="FE354" s="357"/>
      <c r="FF354" s="357"/>
      <c r="FG354" s="357"/>
      <c r="FH354" s="357"/>
      <c r="FI354" s="357"/>
      <c r="FJ354" s="357"/>
      <c r="FK354" s="357"/>
      <c r="FL354" s="357"/>
      <c r="FM354" s="357"/>
      <c r="FN354" s="357"/>
      <c r="FO354" s="357"/>
      <c r="FP354" s="357"/>
      <c r="FQ354" s="357"/>
      <c r="FR354" s="357"/>
      <c r="FS354" s="357"/>
      <c r="FT354" s="357"/>
      <c r="FU354" s="357"/>
      <c r="FV354" s="357"/>
      <c r="FW354" s="357"/>
      <c r="FX354" s="357"/>
      <c r="FY354" s="357"/>
      <c r="FZ354" s="357"/>
      <c r="GA354" s="357"/>
      <c r="GB354" s="357"/>
      <c r="GC354" s="357"/>
      <c r="GD354" s="357"/>
      <c r="GE354" s="357"/>
      <c r="GF354" s="357"/>
      <c r="GG354" s="357"/>
      <c r="GH354" s="357"/>
      <c r="GI354" s="357"/>
      <c r="GJ354" s="357"/>
    </row>
    <row r="355" spans="26:192">
      <c r="Z355" s="357"/>
      <c r="AA355" s="357"/>
      <c r="AB355" s="357"/>
      <c r="AC355" s="357"/>
      <c r="AD355" s="357"/>
      <c r="AE355" s="357"/>
      <c r="AF355" s="357"/>
      <c r="AG355" s="357"/>
      <c r="AH355" s="357"/>
      <c r="AI355" s="357"/>
      <c r="AJ355" s="357"/>
      <c r="AK355" s="357"/>
      <c r="AL355" s="357"/>
      <c r="AM355" s="357"/>
      <c r="AN355" s="357"/>
      <c r="AO355" s="357"/>
      <c r="AP355" s="357"/>
      <c r="AQ355" s="357"/>
      <c r="AR355" s="357"/>
      <c r="AS355" s="357"/>
      <c r="AT355" s="357"/>
      <c r="AU355" s="357"/>
      <c r="AV355" s="357"/>
      <c r="AW355" s="357"/>
      <c r="AX355" s="357"/>
      <c r="AY355" s="357"/>
      <c r="AZ355" s="357"/>
      <c r="BA355" s="357"/>
      <c r="BB355" s="357"/>
      <c r="BC355" s="357"/>
      <c r="BD355" s="357"/>
      <c r="BE355" s="357"/>
      <c r="BF355" s="357"/>
      <c r="BG355" s="357"/>
      <c r="BH355" s="357"/>
      <c r="BI355" s="357"/>
      <c r="BJ355" s="357"/>
      <c r="BK355" s="357"/>
      <c r="BL355" s="357"/>
      <c r="BM355" s="357"/>
      <c r="BN355" s="357"/>
      <c r="BO355" s="357"/>
      <c r="BP355" s="357"/>
      <c r="BQ355" s="357"/>
      <c r="BR355" s="357"/>
      <c r="BS355" s="357"/>
      <c r="BT355" s="357"/>
      <c r="BU355" s="357"/>
      <c r="BV355" s="357"/>
      <c r="BW355" s="357"/>
      <c r="BX355" s="357"/>
      <c r="BY355" s="357"/>
      <c r="BZ355" s="357"/>
      <c r="CA355" s="357"/>
      <c r="CB355" s="357"/>
      <c r="CC355" s="357"/>
      <c r="CD355" s="357"/>
      <c r="CE355" s="357"/>
      <c r="CF355" s="357"/>
      <c r="CG355" s="357"/>
      <c r="CH355" s="357"/>
      <c r="CI355" s="357"/>
      <c r="CJ355" s="357"/>
      <c r="CK355" s="357"/>
      <c r="CL355" s="357"/>
      <c r="CM355" s="357"/>
      <c r="CN355" s="357"/>
      <c r="CO355" s="357"/>
      <c r="CP355" s="357"/>
      <c r="CQ355" s="357"/>
      <c r="CR355" s="357"/>
      <c r="CS355" s="357"/>
      <c r="CT355" s="357"/>
      <c r="CU355" s="357"/>
      <c r="CV355" s="357"/>
      <c r="CW355" s="357"/>
      <c r="CX355" s="357"/>
      <c r="CY355" s="357"/>
      <c r="CZ355" s="357"/>
      <c r="DA355" s="357"/>
      <c r="DB355" s="357"/>
      <c r="DC355" s="357"/>
      <c r="DD355" s="357"/>
      <c r="DE355" s="357"/>
      <c r="DF355" s="357"/>
      <c r="DG355" s="357"/>
      <c r="DH355" s="357"/>
      <c r="DI355" s="357"/>
      <c r="DJ355" s="357"/>
      <c r="DK355" s="357"/>
      <c r="DL355" s="357"/>
      <c r="DM355" s="357"/>
      <c r="DN355" s="357"/>
      <c r="DO355" s="357"/>
      <c r="DP355" s="357"/>
      <c r="DQ355" s="357"/>
      <c r="DR355" s="357"/>
      <c r="DS355" s="357"/>
      <c r="DT355" s="357"/>
      <c r="DU355" s="357"/>
      <c r="DV355" s="357"/>
      <c r="DW355" s="357"/>
      <c r="DX355" s="357"/>
      <c r="DY355" s="357"/>
      <c r="DZ355" s="357"/>
      <c r="EA355" s="357"/>
      <c r="EB355" s="357"/>
      <c r="EC355" s="357"/>
      <c r="ED355" s="357"/>
      <c r="EE355" s="357"/>
      <c r="EF355" s="357"/>
      <c r="EG355" s="357"/>
      <c r="EH355" s="357"/>
      <c r="EI355" s="357"/>
      <c r="EJ355" s="357"/>
      <c r="EK355" s="357"/>
      <c r="EL355" s="357"/>
      <c r="EM355" s="357"/>
      <c r="EN355" s="357"/>
      <c r="EO355" s="357"/>
      <c r="EP355" s="357"/>
      <c r="EQ355" s="357"/>
      <c r="ER355" s="357"/>
      <c r="ES355" s="357"/>
      <c r="ET355" s="357"/>
      <c r="EU355" s="357"/>
      <c r="EV355" s="357"/>
      <c r="EW355" s="357"/>
      <c r="EX355" s="357"/>
      <c r="EY355" s="357"/>
      <c r="EZ355" s="357"/>
      <c r="FA355" s="357"/>
      <c r="FB355" s="357"/>
      <c r="FC355" s="357"/>
      <c r="FD355" s="357"/>
      <c r="FE355" s="357"/>
      <c r="FF355" s="357"/>
      <c r="FG355" s="357"/>
      <c r="FH355" s="357"/>
      <c r="FI355" s="357"/>
      <c r="FJ355" s="357"/>
      <c r="FK355" s="357"/>
      <c r="FL355" s="357"/>
      <c r="FM355" s="357"/>
      <c r="FN355" s="357"/>
      <c r="FO355" s="357"/>
      <c r="FP355" s="357"/>
      <c r="FQ355" s="357"/>
      <c r="FR355" s="357"/>
      <c r="FS355" s="357"/>
      <c r="FT355" s="357"/>
      <c r="FU355" s="357"/>
      <c r="FV355" s="357"/>
      <c r="FW355" s="357"/>
      <c r="FX355" s="357"/>
      <c r="FY355" s="357"/>
      <c r="FZ355" s="357"/>
      <c r="GA355" s="357"/>
      <c r="GB355" s="357"/>
      <c r="GC355" s="357"/>
      <c r="GD355" s="357"/>
      <c r="GE355" s="357"/>
      <c r="GF355" s="357"/>
      <c r="GG355" s="357"/>
      <c r="GH355" s="357"/>
      <c r="GI355" s="357"/>
      <c r="GJ355" s="357"/>
    </row>
    <row r="356" spans="26:192">
      <c r="Z356" s="357"/>
      <c r="AA356" s="357"/>
      <c r="AB356" s="357"/>
      <c r="AC356" s="357"/>
      <c r="AD356" s="357"/>
      <c r="AE356" s="357"/>
      <c r="AF356" s="357"/>
      <c r="AG356" s="357"/>
      <c r="AH356" s="357"/>
      <c r="AI356" s="357"/>
      <c r="AJ356" s="357"/>
      <c r="AK356" s="357"/>
      <c r="AL356" s="357"/>
      <c r="AM356" s="357"/>
      <c r="AN356" s="357"/>
      <c r="AO356" s="357"/>
      <c r="AP356" s="357"/>
      <c r="AQ356" s="357"/>
      <c r="AR356" s="357"/>
      <c r="AS356" s="357"/>
      <c r="AT356" s="357"/>
      <c r="AU356" s="357"/>
      <c r="AV356" s="357"/>
      <c r="AW356" s="357"/>
      <c r="AX356" s="357"/>
      <c r="AY356" s="357"/>
      <c r="AZ356" s="357"/>
      <c r="BA356" s="357"/>
      <c r="BB356" s="357"/>
      <c r="BC356" s="357"/>
      <c r="BD356" s="357"/>
      <c r="BE356" s="357"/>
      <c r="BF356" s="357"/>
      <c r="BG356" s="357"/>
      <c r="BH356" s="357"/>
      <c r="BI356" s="357"/>
      <c r="BJ356" s="357"/>
      <c r="BK356" s="357"/>
      <c r="BL356" s="357"/>
      <c r="BM356" s="357"/>
      <c r="BN356" s="357"/>
      <c r="BO356" s="357"/>
      <c r="BP356" s="357"/>
      <c r="BQ356" s="357"/>
      <c r="BR356" s="357"/>
      <c r="BS356" s="357"/>
      <c r="BT356" s="357"/>
      <c r="BU356" s="357"/>
      <c r="BV356" s="357"/>
      <c r="BW356" s="357"/>
      <c r="BX356" s="357"/>
      <c r="BY356" s="357"/>
      <c r="BZ356" s="357"/>
      <c r="CA356" s="357"/>
      <c r="CB356" s="357"/>
      <c r="CC356" s="357"/>
      <c r="CD356" s="357"/>
      <c r="CE356" s="357"/>
      <c r="CF356" s="357"/>
      <c r="CG356" s="357"/>
      <c r="CH356" s="357"/>
      <c r="CI356" s="357"/>
      <c r="CJ356" s="357"/>
      <c r="CK356" s="357"/>
      <c r="CL356" s="357"/>
      <c r="CM356" s="357"/>
      <c r="CN356" s="357"/>
      <c r="CO356" s="357"/>
      <c r="CP356" s="357"/>
      <c r="CQ356" s="357"/>
      <c r="CR356" s="357"/>
      <c r="CS356" s="357"/>
      <c r="CT356" s="357"/>
      <c r="CU356" s="357"/>
      <c r="CV356" s="357"/>
      <c r="CW356" s="357"/>
      <c r="CX356" s="357"/>
      <c r="CY356" s="357"/>
      <c r="CZ356" s="357"/>
      <c r="DA356" s="357"/>
      <c r="DB356" s="357"/>
      <c r="DC356" s="357"/>
      <c r="DD356" s="357"/>
      <c r="DE356" s="357"/>
      <c r="DF356" s="357"/>
      <c r="DG356" s="357"/>
      <c r="DH356" s="357"/>
      <c r="DI356" s="357"/>
      <c r="DJ356" s="357"/>
      <c r="DK356" s="357"/>
      <c r="DL356" s="357"/>
      <c r="DM356" s="357"/>
      <c r="DN356" s="357"/>
      <c r="DO356" s="357"/>
      <c r="DP356" s="357"/>
      <c r="DQ356" s="357"/>
      <c r="DR356" s="357"/>
      <c r="DS356" s="357"/>
      <c r="DT356" s="357"/>
      <c r="DU356" s="357"/>
      <c r="DV356" s="357"/>
      <c r="DW356" s="357"/>
      <c r="DX356" s="357"/>
      <c r="DY356" s="357"/>
      <c r="DZ356" s="357"/>
      <c r="EA356" s="357"/>
      <c r="EB356" s="357"/>
      <c r="EC356" s="357"/>
      <c r="ED356" s="357"/>
      <c r="EE356" s="357"/>
      <c r="EF356" s="357"/>
      <c r="EG356" s="357"/>
      <c r="EH356" s="357"/>
      <c r="EI356" s="357"/>
      <c r="EJ356" s="357"/>
      <c r="EK356" s="357"/>
      <c r="EL356" s="357"/>
      <c r="EM356" s="357"/>
      <c r="EN356" s="357"/>
      <c r="EO356" s="357"/>
      <c r="EP356" s="357"/>
      <c r="EQ356" s="357"/>
      <c r="ER356" s="357"/>
      <c r="ES356" s="357"/>
      <c r="ET356" s="357"/>
      <c r="EU356" s="357"/>
      <c r="EV356" s="357"/>
      <c r="EW356" s="357"/>
      <c r="EX356" s="357"/>
      <c r="EY356" s="357"/>
      <c r="EZ356" s="357"/>
      <c r="FA356" s="357"/>
      <c r="FB356" s="357"/>
      <c r="FC356" s="357"/>
      <c r="FD356" s="357"/>
      <c r="FE356" s="357"/>
      <c r="FF356" s="357"/>
      <c r="FG356" s="357"/>
      <c r="FH356" s="357"/>
      <c r="FI356" s="357"/>
      <c r="FJ356" s="357"/>
      <c r="FK356" s="357"/>
      <c r="FL356" s="357"/>
      <c r="FM356" s="357"/>
      <c r="FN356" s="357"/>
      <c r="FO356" s="357"/>
      <c r="FP356" s="357"/>
      <c r="FQ356" s="357"/>
      <c r="FR356" s="357"/>
      <c r="FS356" s="357"/>
      <c r="FT356" s="357"/>
      <c r="FU356" s="357"/>
      <c r="FV356" s="357"/>
      <c r="FW356" s="357"/>
      <c r="FX356" s="357"/>
      <c r="FY356" s="357"/>
      <c r="FZ356" s="357"/>
      <c r="GA356" s="357"/>
      <c r="GB356" s="357"/>
      <c r="GC356" s="357"/>
      <c r="GD356" s="357"/>
      <c r="GE356" s="357"/>
      <c r="GF356" s="357"/>
      <c r="GG356" s="357"/>
      <c r="GH356" s="357"/>
      <c r="GI356" s="357"/>
      <c r="GJ356" s="357"/>
    </row>
    <row r="357" spans="26:192">
      <c r="Z357" s="357"/>
      <c r="AA357" s="357"/>
      <c r="AB357" s="357"/>
      <c r="AC357" s="357"/>
      <c r="AD357" s="357"/>
      <c r="AE357" s="357"/>
      <c r="AF357" s="357"/>
      <c r="AG357" s="357"/>
      <c r="AH357" s="357"/>
      <c r="AI357" s="357"/>
      <c r="AJ357" s="357"/>
      <c r="AK357" s="357"/>
      <c r="AL357" s="357"/>
      <c r="AM357" s="357"/>
      <c r="AN357" s="357"/>
      <c r="AO357" s="357"/>
      <c r="AP357" s="357"/>
      <c r="AQ357" s="357"/>
      <c r="AR357" s="357"/>
      <c r="AS357" s="357"/>
      <c r="AT357" s="357"/>
      <c r="AU357" s="357"/>
      <c r="AV357" s="357"/>
      <c r="AW357" s="357"/>
      <c r="AX357" s="357"/>
      <c r="AY357" s="357"/>
      <c r="AZ357" s="357"/>
      <c r="BA357" s="357"/>
      <c r="BB357" s="357"/>
      <c r="BC357" s="357"/>
      <c r="BD357" s="357"/>
      <c r="BE357" s="357"/>
      <c r="BF357" s="357"/>
      <c r="BG357" s="357"/>
      <c r="BH357" s="357"/>
      <c r="BI357" s="357"/>
      <c r="BJ357" s="357"/>
      <c r="BK357" s="357"/>
      <c r="BL357" s="357"/>
      <c r="BM357" s="357"/>
      <c r="BN357" s="357"/>
      <c r="BO357" s="357"/>
      <c r="BP357" s="357"/>
      <c r="BQ357" s="357"/>
      <c r="BR357" s="357"/>
      <c r="BS357" s="357"/>
      <c r="BT357" s="357"/>
      <c r="BU357" s="357"/>
      <c r="BV357" s="357"/>
      <c r="BW357" s="357"/>
      <c r="BX357" s="357"/>
      <c r="BY357" s="357"/>
      <c r="BZ357" s="357"/>
      <c r="CA357" s="357"/>
      <c r="CB357" s="357"/>
      <c r="CC357" s="357"/>
      <c r="CD357" s="357"/>
      <c r="CE357" s="357"/>
      <c r="CF357" s="357"/>
      <c r="CG357" s="357"/>
      <c r="CH357" s="357"/>
      <c r="CI357" s="357"/>
      <c r="CJ357" s="357"/>
      <c r="CK357" s="357"/>
      <c r="CL357" s="357"/>
      <c r="CM357" s="357"/>
      <c r="CN357" s="357"/>
      <c r="CO357" s="357"/>
      <c r="CP357" s="357"/>
      <c r="CQ357" s="357"/>
      <c r="CR357" s="357"/>
      <c r="CS357" s="357"/>
      <c r="CT357" s="357"/>
      <c r="CU357" s="357"/>
      <c r="CV357" s="357"/>
      <c r="CW357" s="357"/>
      <c r="CX357" s="357"/>
      <c r="CY357" s="357"/>
      <c r="CZ357" s="357"/>
      <c r="DA357" s="357"/>
      <c r="DB357" s="357"/>
      <c r="DC357" s="357"/>
      <c r="DD357" s="357"/>
      <c r="DE357" s="357"/>
      <c r="DF357" s="357"/>
      <c r="DG357" s="357"/>
      <c r="DH357" s="357"/>
      <c r="DI357" s="357"/>
      <c r="DJ357" s="357"/>
      <c r="DK357" s="357"/>
      <c r="DL357" s="357"/>
      <c r="DM357" s="357"/>
      <c r="DN357" s="357"/>
      <c r="DO357" s="357"/>
      <c r="DP357" s="357"/>
      <c r="DQ357" s="357"/>
      <c r="DR357" s="357"/>
      <c r="DS357" s="357"/>
      <c r="DT357" s="357"/>
      <c r="DU357" s="357"/>
      <c r="DV357" s="357"/>
      <c r="DW357" s="357"/>
      <c r="DX357" s="357"/>
      <c r="DY357" s="357"/>
      <c r="DZ357" s="357"/>
      <c r="EA357" s="357"/>
      <c r="EB357" s="357"/>
      <c r="EC357" s="357"/>
      <c r="ED357" s="357"/>
      <c r="EE357" s="357"/>
      <c r="EF357" s="357"/>
      <c r="EG357" s="357"/>
      <c r="EH357" s="357"/>
      <c r="EI357" s="357"/>
      <c r="EJ357" s="357"/>
      <c r="EK357" s="357"/>
      <c r="EL357" s="357"/>
      <c r="EM357" s="357"/>
      <c r="EN357" s="357"/>
      <c r="EO357" s="357"/>
      <c r="EP357" s="357"/>
      <c r="EQ357" s="357"/>
      <c r="ER357" s="357"/>
      <c r="ES357" s="357"/>
      <c r="ET357" s="357"/>
      <c r="EU357" s="357"/>
      <c r="EV357" s="357"/>
      <c r="EW357" s="357"/>
      <c r="EX357" s="357"/>
      <c r="EY357" s="357"/>
      <c r="EZ357" s="357"/>
      <c r="FA357" s="357"/>
      <c r="FB357" s="357"/>
      <c r="FC357" s="357"/>
      <c r="FD357" s="357"/>
      <c r="FE357" s="357"/>
      <c r="FF357" s="357"/>
      <c r="FG357" s="357"/>
      <c r="FH357" s="357"/>
      <c r="FI357" s="357"/>
      <c r="FJ357" s="357"/>
      <c r="FK357" s="357"/>
      <c r="FL357" s="357"/>
      <c r="FM357" s="357"/>
      <c r="FN357" s="357"/>
      <c r="FO357" s="357"/>
      <c r="FP357" s="357"/>
      <c r="FQ357" s="357"/>
      <c r="FR357" s="357"/>
      <c r="FS357" s="357"/>
      <c r="FT357" s="357"/>
      <c r="FU357" s="357"/>
      <c r="FV357" s="357"/>
      <c r="FW357" s="357"/>
      <c r="FX357" s="357"/>
      <c r="FY357" s="357"/>
      <c r="FZ357" s="357"/>
      <c r="GA357" s="357"/>
      <c r="GB357" s="357"/>
      <c r="GC357" s="357"/>
      <c r="GD357" s="357"/>
      <c r="GE357" s="357"/>
      <c r="GF357" s="357"/>
      <c r="GG357" s="357"/>
      <c r="GH357" s="357"/>
      <c r="GI357" s="357"/>
      <c r="GJ357" s="357"/>
    </row>
    <row r="358" spans="26:192">
      <c r="Z358" s="357"/>
      <c r="AA358" s="357"/>
      <c r="AB358" s="357"/>
      <c r="AC358" s="357"/>
      <c r="AD358" s="357"/>
      <c r="AE358" s="357"/>
      <c r="AF358" s="357"/>
      <c r="AG358" s="357"/>
      <c r="AH358" s="357"/>
      <c r="AI358" s="357"/>
      <c r="AJ358" s="357"/>
      <c r="AK358" s="357"/>
      <c r="AL358" s="357"/>
      <c r="AM358" s="357"/>
      <c r="AN358" s="357"/>
      <c r="AO358" s="357"/>
      <c r="AP358" s="357"/>
      <c r="AQ358" s="357"/>
      <c r="AR358" s="357"/>
      <c r="AS358" s="357"/>
      <c r="AT358" s="357"/>
      <c r="AU358" s="357"/>
      <c r="AV358" s="357"/>
      <c r="AW358" s="357"/>
      <c r="AX358" s="357"/>
      <c r="AY358" s="357"/>
      <c r="AZ358" s="357"/>
      <c r="BA358" s="357"/>
      <c r="BB358" s="357"/>
      <c r="BC358" s="357"/>
      <c r="BD358" s="357"/>
      <c r="BE358" s="357"/>
      <c r="BF358" s="357"/>
      <c r="BG358" s="357"/>
      <c r="BH358" s="357"/>
      <c r="BI358" s="357"/>
      <c r="BJ358" s="357"/>
      <c r="BK358" s="357"/>
      <c r="BL358" s="357"/>
      <c r="BM358" s="357"/>
      <c r="BN358" s="357"/>
      <c r="BO358" s="357"/>
      <c r="BP358" s="357"/>
      <c r="BQ358" s="357"/>
      <c r="BR358" s="357"/>
      <c r="BS358" s="357"/>
      <c r="BT358" s="357"/>
      <c r="BU358" s="357"/>
      <c r="BV358" s="357"/>
      <c r="BW358" s="357"/>
      <c r="BX358" s="357"/>
      <c r="BY358" s="357"/>
      <c r="BZ358" s="357"/>
      <c r="CA358" s="357"/>
      <c r="CB358" s="357"/>
      <c r="CC358" s="357"/>
      <c r="CD358" s="357"/>
      <c r="CE358" s="357"/>
      <c r="CF358" s="357"/>
      <c r="CG358" s="357"/>
      <c r="CH358" s="357"/>
      <c r="CI358" s="357"/>
      <c r="CJ358" s="357"/>
      <c r="CK358" s="357"/>
      <c r="CL358" s="357"/>
      <c r="CM358" s="357"/>
      <c r="CN358" s="357"/>
      <c r="CO358" s="357"/>
      <c r="CP358" s="357"/>
      <c r="CQ358" s="357"/>
      <c r="CR358" s="357"/>
      <c r="CS358" s="357"/>
      <c r="CT358" s="357"/>
      <c r="CU358" s="357"/>
      <c r="CV358" s="357"/>
      <c r="CW358" s="357"/>
      <c r="CX358" s="357"/>
      <c r="CY358" s="357"/>
      <c r="CZ358" s="357"/>
      <c r="DA358" s="357"/>
      <c r="DB358" s="357"/>
      <c r="DC358" s="357"/>
      <c r="DD358" s="357"/>
      <c r="DE358" s="357"/>
      <c r="DF358" s="357"/>
      <c r="DG358" s="357"/>
      <c r="DH358" s="357"/>
      <c r="DI358" s="357"/>
      <c r="DJ358" s="357"/>
      <c r="DK358" s="357"/>
      <c r="DL358" s="357"/>
      <c r="DM358" s="357"/>
      <c r="DN358" s="357"/>
      <c r="DO358" s="357"/>
      <c r="DP358" s="357"/>
      <c r="DQ358" s="357"/>
      <c r="DR358" s="357"/>
      <c r="DS358" s="357"/>
      <c r="DT358" s="357"/>
      <c r="DU358" s="357"/>
      <c r="DV358" s="357"/>
      <c r="DW358" s="357"/>
      <c r="DX358" s="357"/>
      <c r="DY358" s="357"/>
      <c r="DZ358" s="357"/>
      <c r="EA358" s="357"/>
      <c r="EB358" s="357"/>
      <c r="EC358" s="357"/>
      <c r="ED358" s="357"/>
      <c r="EE358" s="357"/>
      <c r="EF358" s="357"/>
      <c r="EG358" s="357"/>
      <c r="EH358" s="357"/>
      <c r="EI358" s="357"/>
      <c r="EJ358" s="357"/>
      <c r="EK358" s="357"/>
      <c r="EL358" s="357"/>
      <c r="EM358" s="357"/>
      <c r="EN358" s="357"/>
      <c r="EO358" s="357"/>
      <c r="EP358" s="357"/>
      <c r="EQ358" s="357"/>
      <c r="ER358" s="357"/>
      <c r="ES358" s="357"/>
      <c r="ET358" s="357"/>
      <c r="EU358" s="357"/>
      <c r="EV358" s="357"/>
      <c r="EW358" s="357"/>
      <c r="EX358" s="357"/>
      <c r="EY358" s="357"/>
      <c r="EZ358" s="357"/>
      <c r="FA358" s="357"/>
      <c r="FB358" s="357"/>
      <c r="FC358" s="357"/>
      <c r="FD358" s="357"/>
      <c r="FE358" s="357"/>
      <c r="FF358" s="357"/>
      <c r="FG358" s="357"/>
      <c r="FH358" s="357"/>
      <c r="FI358" s="357"/>
      <c r="FJ358" s="357"/>
      <c r="FK358" s="357"/>
      <c r="FL358" s="357"/>
      <c r="FM358" s="357"/>
      <c r="FN358" s="357"/>
      <c r="FO358" s="357"/>
      <c r="FP358" s="357"/>
      <c r="FQ358" s="357"/>
      <c r="FR358" s="357"/>
      <c r="FS358" s="357"/>
      <c r="FT358" s="357"/>
      <c r="FU358" s="357"/>
      <c r="FV358" s="357"/>
      <c r="FW358" s="357"/>
      <c r="FX358" s="357"/>
      <c r="FY358" s="357"/>
      <c r="FZ358" s="357"/>
      <c r="GA358" s="357"/>
      <c r="GB358" s="357"/>
      <c r="GC358" s="357"/>
      <c r="GD358" s="357"/>
      <c r="GE358" s="357"/>
      <c r="GF358" s="357"/>
      <c r="GG358" s="357"/>
      <c r="GH358" s="357"/>
      <c r="GI358" s="357"/>
      <c r="GJ358" s="357"/>
    </row>
    <row r="359" spans="26:192">
      <c r="Z359" s="357"/>
      <c r="AA359" s="357"/>
      <c r="AB359" s="357"/>
      <c r="AC359" s="357"/>
      <c r="AD359" s="357"/>
      <c r="AE359" s="357"/>
      <c r="AF359" s="357"/>
      <c r="AG359" s="357"/>
      <c r="AH359" s="357"/>
      <c r="AI359" s="357"/>
      <c r="AJ359" s="357"/>
      <c r="AK359" s="357"/>
      <c r="AL359" s="357"/>
      <c r="AM359" s="357"/>
      <c r="AN359" s="357"/>
      <c r="AO359" s="357"/>
      <c r="AP359" s="357"/>
      <c r="AQ359" s="357"/>
      <c r="AR359" s="357"/>
      <c r="AS359" s="357"/>
      <c r="AT359" s="357"/>
      <c r="AU359" s="357"/>
      <c r="AV359" s="357"/>
      <c r="AW359" s="357"/>
      <c r="AX359" s="357"/>
      <c r="AY359" s="357"/>
      <c r="AZ359" s="357"/>
      <c r="BA359" s="357"/>
      <c r="BB359" s="357"/>
      <c r="BC359" s="357"/>
      <c r="BD359" s="357"/>
      <c r="BE359" s="357"/>
      <c r="BF359" s="357"/>
      <c r="BG359" s="357"/>
      <c r="BH359" s="357"/>
      <c r="BI359" s="357"/>
      <c r="BJ359" s="357"/>
      <c r="BK359" s="357"/>
      <c r="BL359" s="357"/>
      <c r="BM359" s="357"/>
      <c r="BN359" s="357"/>
      <c r="BO359" s="357"/>
      <c r="BP359" s="357"/>
      <c r="BQ359" s="357"/>
      <c r="BR359" s="357"/>
      <c r="BS359" s="357"/>
      <c r="BT359" s="357"/>
      <c r="BU359" s="357"/>
      <c r="BV359" s="357"/>
      <c r="BW359" s="357"/>
      <c r="BX359" s="357"/>
      <c r="BY359" s="357"/>
      <c r="BZ359" s="357"/>
      <c r="CA359" s="357"/>
      <c r="CB359" s="357"/>
      <c r="CC359" s="357"/>
      <c r="CD359" s="357"/>
      <c r="CE359" s="357"/>
      <c r="CF359" s="357"/>
      <c r="CG359" s="357"/>
      <c r="CH359" s="357"/>
      <c r="CI359" s="357"/>
      <c r="CJ359" s="357"/>
      <c r="CK359" s="357"/>
      <c r="CL359" s="357"/>
      <c r="CM359" s="357"/>
      <c r="CN359" s="357"/>
      <c r="CO359" s="357"/>
      <c r="CP359" s="357"/>
      <c r="CQ359" s="357"/>
      <c r="CR359" s="357"/>
      <c r="CS359" s="357"/>
      <c r="CT359" s="357"/>
      <c r="CU359" s="357"/>
      <c r="CV359" s="357"/>
      <c r="CW359" s="357"/>
      <c r="CX359" s="357"/>
      <c r="CY359" s="357"/>
      <c r="CZ359" s="357"/>
      <c r="DA359" s="357"/>
      <c r="DB359" s="357"/>
      <c r="DC359" s="357"/>
      <c r="DD359" s="357"/>
      <c r="DE359" s="357"/>
      <c r="DF359" s="357"/>
      <c r="DG359" s="357"/>
      <c r="DH359" s="357"/>
      <c r="DI359" s="357"/>
      <c r="DJ359" s="357"/>
      <c r="DK359" s="357"/>
      <c r="DL359" s="357"/>
      <c r="DM359" s="357"/>
      <c r="DN359" s="357"/>
      <c r="DO359" s="357"/>
      <c r="DP359" s="357"/>
      <c r="DQ359" s="357"/>
      <c r="DR359" s="357"/>
      <c r="DS359" s="357"/>
      <c r="DT359" s="357"/>
      <c r="DU359" s="357"/>
      <c r="DV359" s="357"/>
      <c r="DW359" s="357"/>
      <c r="DX359" s="357"/>
      <c r="DY359" s="357"/>
      <c r="DZ359" s="357"/>
      <c r="EA359" s="357"/>
      <c r="EB359" s="357"/>
      <c r="EC359" s="357"/>
      <c r="ED359" s="357"/>
      <c r="EE359" s="357"/>
      <c r="EF359" s="357"/>
      <c r="EG359" s="357"/>
      <c r="EH359" s="357"/>
      <c r="EI359" s="357"/>
      <c r="EJ359" s="357"/>
      <c r="EK359" s="357"/>
      <c r="EL359" s="357"/>
      <c r="EM359" s="357"/>
      <c r="EN359" s="357"/>
      <c r="EO359" s="357"/>
      <c r="EP359" s="357"/>
      <c r="EQ359" s="357"/>
      <c r="ER359" s="357"/>
      <c r="ES359" s="357"/>
      <c r="ET359" s="357"/>
      <c r="EU359" s="357"/>
      <c r="EV359" s="357"/>
      <c r="EW359" s="357"/>
      <c r="EX359" s="357"/>
      <c r="EY359" s="357"/>
      <c r="EZ359" s="357"/>
      <c r="FA359" s="357"/>
      <c r="FB359" s="357"/>
      <c r="FC359" s="357"/>
      <c r="FD359" s="357"/>
      <c r="FE359" s="357"/>
      <c r="FF359" s="357"/>
      <c r="FG359" s="357"/>
      <c r="FH359" s="357"/>
      <c r="FI359" s="357"/>
      <c r="FJ359" s="357"/>
      <c r="FK359" s="357"/>
      <c r="FL359" s="357"/>
      <c r="FM359" s="357"/>
      <c r="FN359" s="357"/>
      <c r="FO359" s="357"/>
      <c r="FP359" s="357"/>
      <c r="FQ359" s="357"/>
      <c r="FR359" s="357"/>
      <c r="FS359" s="357"/>
      <c r="FT359" s="357"/>
      <c r="FU359" s="357"/>
      <c r="FV359" s="357"/>
      <c r="FW359" s="357"/>
      <c r="FX359" s="357"/>
      <c r="FY359" s="357"/>
      <c r="FZ359" s="357"/>
      <c r="GA359" s="357"/>
      <c r="GB359" s="357"/>
      <c r="GC359" s="357"/>
      <c r="GD359" s="357"/>
      <c r="GE359" s="357"/>
      <c r="GF359" s="357"/>
      <c r="GG359" s="357"/>
      <c r="GH359" s="357"/>
      <c r="GI359" s="357"/>
      <c r="GJ359" s="357"/>
    </row>
    <row r="360" spans="26:192">
      <c r="Z360" s="357"/>
      <c r="AA360" s="357"/>
      <c r="AB360" s="357"/>
      <c r="AC360" s="357"/>
      <c r="AD360" s="357"/>
      <c r="AE360" s="357"/>
      <c r="AF360" s="357"/>
      <c r="AG360" s="357"/>
      <c r="AH360" s="357"/>
      <c r="AI360" s="357"/>
      <c r="AJ360" s="357"/>
      <c r="AK360" s="357"/>
      <c r="AL360" s="357"/>
      <c r="AM360" s="357"/>
      <c r="AN360" s="357"/>
      <c r="AO360" s="357"/>
      <c r="AP360" s="357"/>
      <c r="AQ360" s="357"/>
      <c r="AR360" s="357"/>
      <c r="AS360" s="357"/>
      <c r="AT360" s="357"/>
      <c r="AU360" s="357"/>
      <c r="AV360" s="357"/>
      <c r="AW360" s="357"/>
      <c r="AX360" s="357"/>
      <c r="AY360" s="357"/>
      <c r="AZ360" s="357"/>
      <c r="BA360" s="357"/>
      <c r="BB360" s="357"/>
      <c r="BC360" s="357"/>
      <c r="BD360" s="357"/>
      <c r="BE360" s="357"/>
      <c r="BF360" s="357"/>
      <c r="BG360" s="357"/>
      <c r="BH360" s="357"/>
      <c r="BI360" s="357"/>
      <c r="BJ360" s="357"/>
      <c r="BK360" s="357"/>
      <c r="BL360" s="357"/>
      <c r="BM360" s="357"/>
      <c r="BN360" s="357"/>
      <c r="BO360" s="357"/>
      <c r="BP360" s="357"/>
      <c r="BQ360" s="357"/>
      <c r="BR360" s="357"/>
      <c r="BS360" s="357"/>
      <c r="BT360" s="357"/>
      <c r="BU360" s="357"/>
      <c r="BV360" s="357"/>
      <c r="BW360" s="357"/>
      <c r="BX360" s="357"/>
      <c r="BY360" s="357"/>
      <c r="BZ360" s="357"/>
      <c r="CA360" s="357"/>
      <c r="CB360" s="357"/>
      <c r="CC360" s="357"/>
      <c r="CD360" s="357"/>
      <c r="CE360" s="357"/>
      <c r="CF360" s="357"/>
      <c r="CG360" s="357"/>
      <c r="CH360" s="357"/>
      <c r="CI360" s="357"/>
      <c r="CJ360" s="357"/>
      <c r="CK360" s="357"/>
      <c r="CL360" s="357"/>
      <c r="CM360" s="357"/>
      <c r="CN360" s="357"/>
      <c r="CO360" s="357"/>
      <c r="CP360" s="357"/>
      <c r="CQ360" s="357"/>
      <c r="CR360" s="357"/>
      <c r="CS360" s="357"/>
      <c r="CT360" s="357"/>
      <c r="CU360" s="357"/>
      <c r="CV360" s="357"/>
      <c r="CW360" s="357"/>
      <c r="CX360" s="357"/>
      <c r="CY360" s="357"/>
      <c r="CZ360" s="357"/>
      <c r="DA360" s="357"/>
      <c r="DB360" s="357"/>
      <c r="DC360" s="357"/>
      <c r="DD360" s="357"/>
      <c r="DE360" s="357"/>
      <c r="DF360" s="357"/>
      <c r="DG360" s="357"/>
      <c r="DH360" s="357"/>
      <c r="DI360" s="357"/>
      <c r="DJ360" s="357"/>
      <c r="DK360" s="357"/>
      <c r="DL360" s="357"/>
      <c r="DM360" s="357"/>
      <c r="DN360" s="357"/>
      <c r="DO360" s="357"/>
      <c r="DP360" s="357"/>
      <c r="DQ360" s="357"/>
      <c r="DR360" s="357"/>
      <c r="DS360" s="357"/>
      <c r="DT360" s="357"/>
      <c r="DU360" s="357"/>
      <c r="DV360" s="357"/>
      <c r="DW360" s="357"/>
      <c r="DX360" s="357"/>
      <c r="DY360" s="357"/>
      <c r="DZ360" s="357"/>
      <c r="EA360" s="357"/>
      <c r="EB360" s="357"/>
      <c r="EC360" s="357"/>
      <c r="ED360" s="357"/>
      <c r="EE360" s="357"/>
      <c r="EF360" s="357"/>
      <c r="EG360" s="357"/>
      <c r="EH360" s="357"/>
      <c r="EI360" s="357"/>
      <c r="EJ360" s="357"/>
      <c r="EK360" s="357"/>
      <c r="EL360" s="357"/>
      <c r="EM360" s="357"/>
      <c r="EN360" s="357"/>
      <c r="EO360" s="357"/>
      <c r="EP360" s="357"/>
      <c r="EQ360" s="357"/>
      <c r="ER360" s="357"/>
      <c r="ES360" s="357"/>
      <c r="ET360" s="357"/>
      <c r="EU360" s="357"/>
      <c r="EV360" s="357"/>
      <c r="EW360" s="357"/>
      <c r="EX360" s="357"/>
      <c r="EY360" s="357"/>
      <c r="EZ360" s="357"/>
      <c r="FA360" s="357"/>
      <c r="FB360" s="357"/>
      <c r="FC360" s="357"/>
      <c r="FD360" s="357"/>
      <c r="FE360" s="357"/>
      <c r="FF360" s="357"/>
      <c r="FG360" s="357"/>
      <c r="FH360" s="357"/>
      <c r="FI360" s="357"/>
      <c r="FJ360" s="357"/>
      <c r="FK360" s="357"/>
      <c r="FL360" s="357"/>
      <c r="FM360" s="357"/>
      <c r="FN360" s="357"/>
      <c r="FO360" s="357"/>
      <c r="FP360" s="357"/>
      <c r="FQ360" s="357"/>
      <c r="FR360" s="357"/>
      <c r="FS360" s="357"/>
      <c r="FT360" s="357"/>
      <c r="FU360" s="357"/>
      <c r="FV360" s="357"/>
      <c r="FW360" s="357"/>
      <c r="FX360" s="357"/>
      <c r="FY360" s="357"/>
      <c r="FZ360" s="357"/>
      <c r="GA360" s="357"/>
      <c r="GB360" s="357"/>
      <c r="GC360" s="357"/>
      <c r="GD360" s="357"/>
      <c r="GE360" s="357"/>
      <c r="GF360" s="357"/>
      <c r="GG360" s="357"/>
      <c r="GH360" s="357"/>
      <c r="GI360" s="357"/>
      <c r="GJ360" s="357"/>
    </row>
    <row r="361" spans="26:192">
      <c r="Z361" s="357"/>
      <c r="AA361" s="357"/>
      <c r="AB361" s="357"/>
      <c r="AC361" s="357"/>
      <c r="AD361" s="357"/>
      <c r="AE361" s="357"/>
      <c r="AF361" s="357"/>
      <c r="AG361" s="357"/>
      <c r="AH361" s="357"/>
      <c r="AI361" s="357"/>
      <c r="AJ361" s="357"/>
      <c r="AK361" s="357"/>
      <c r="AL361" s="357"/>
      <c r="AM361" s="357"/>
      <c r="AN361" s="357"/>
      <c r="AO361" s="357"/>
      <c r="AP361" s="357"/>
      <c r="AQ361" s="357"/>
      <c r="AR361" s="357"/>
      <c r="AS361" s="357"/>
      <c r="AT361" s="357"/>
      <c r="AU361" s="357"/>
      <c r="AV361" s="357"/>
      <c r="AW361" s="357"/>
      <c r="AX361" s="357"/>
      <c r="AY361" s="357"/>
      <c r="AZ361" s="357"/>
      <c r="BA361" s="357"/>
      <c r="BB361" s="357"/>
      <c r="BC361" s="357"/>
      <c r="BD361" s="357"/>
      <c r="BE361" s="357"/>
      <c r="BF361" s="357"/>
      <c r="BG361" s="357"/>
      <c r="BH361" s="357"/>
      <c r="BI361" s="357"/>
      <c r="BJ361" s="357"/>
      <c r="BK361" s="357"/>
      <c r="BL361" s="357"/>
      <c r="BM361" s="357"/>
      <c r="BN361" s="357"/>
      <c r="BO361" s="357"/>
      <c r="BP361" s="357"/>
      <c r="BQ361" s="357"/>
      <c r="BR361" s="357"/>
      <c r="BS361" s="357"/>
      <c r="BT361" s="357"/>
      <c r="BU361" s="357"/>
      <c r="BV361" s="357"/>
      <c r="BW361" s="357"/>
      <c r="BX361" s="357"/>
      <c r="BY361" s="357"/>
      <c r="BZ361" s="357"/>
      <c r="CA361" s="357"/>
      <c r="CB361" s="357"/>
      <c r="CC361" s="357"/>
      <c r="CD361" s="357"/>
      <c r="CE361" s="357"/>
      <c r="CF361" s="357"/>
      <c r="CG361" s="357"/>
      <c r="CH361" s="357"/>
      <c r="CI361" s="357"/>
      <c r="CJ361" s="357"/>
      <c r="CK361" s="357"/>
      <c r="CL361" s="357"/>
      <c r="CM361" s="357"/>
      <c r="CN361" s="357"/>
      <c r="CO361" s="357"/>
      <c r="CP361" s="357"/>
      <c r="CQ361" s="357"/>
      <c r="CR361" s="357"/>
      <c r="CS361" s="357"/>
      <c r="CT361" s="357"/>
      <c r="CU361" s="357"/>
      <c r="CV361" s="357"/>
      <c r="CW361" s="357"/>
      <c r="CX361" s="357"/>
      <c r="CY361" s="357"/>
      <c r="CZ361" s="357"/>
      <c r="DA361" s="357"/>
      <c r="DB361" s="357"/>
      <c r="DC361" s="357"/>
      <c r="DD361" s="357"/>
      <c r="DE361" s="357"/>
      <c r="DF361" s="357"/>
      <c r="DG361" s="357"/>
      <c r="DH361" s="357"/>
      <c r="DI361" s="357"/>
      <c r="DJ361" s="357"/>
      <c r="DK361" s="357"/>
      <c r="DL361" s="357"/>
      <c r="DM361" s="357"/>
      <c r="DN361" s="357"/>
      <c r="DO361" s="357"/>
      <c r="DP361" s="357"/>
      <c r="DQ361" s="357"/>
      <c r="DR361" s="357"/>
      <c r="DS361" s="357"/>
      <c r="DT361" s="357"/>
      <c r="DU361" s="357"/>
      <c r="DV361" s="357"/>
      <c r="DW361" s="357"/>
      <c r="DX361" s="357"/>
      <c r="DY361" s="357"/>
      <c r="DZ361" s="357"/>
      <c r="EA361" s="357"/>
      <c r="EB361" s="357"/>
      <c r="EC361" s="357"/>
      <c r="ED361" s="357"/>
      <c r="EE361" s="357"/>
      <c r="EF361" s="357"/>
      <c r="EG361" s="357"/>
      <c r="EH361" s="357"/>
      <c r="EI361" s="357"/>
      <c r="EJ361" s="357"/>
      <c r="EK361" s="357"/>
      <c r="EL361" s="357"/>
      <c r="EM361" s="357"/>
      <c r="EN361" s="357"/>
      <c r="EO361" s="357"/>
      <c r="EP361" s="357"/>
      <c r="EQ361" s="357"/>
      <c r="ER361" s="357"/>
      <c r="ES361" s="357"/>
      <c r="ET361" s="357"/>
      <c r="EU361" s="357"/>
      <c r="EV361" s="357"/>
      <c r="EW361" s="357"/>
      <c r="EX361" s="357"/>
      <c r="EY361" s="357"/>
      <c r="EZ361" s="357"/>
      <c r="FA361" s="357"/>
      <c r="FB361" s="357"/>
      <c r="FC361" s="357"/>
      <c r="FD361" s="357"/>
      <c r="FE361" s="357"/>
      <c r="FF361" s="357"/>
      <c r="FG361" s="357"/>
      <c r="FH361" s="357"/>
      <c r="FI361" s="357"/>
      <c r="FJ361" s="357"/>
      <c r="FK361" s="357"/>
      <c r="FL361" s="357"/>
      <c r="FM361" s="357"/>
      <c r="FN361" s="357"/>
      <c r="FO361" s="357"/>
      <c r="FP361" s="357"/>
      <c r="FQ361" s="357"/>
      <c r="FR361" s="357"/>
      <c r="FS361" s="357"/>
      <c r="FT361" s="357"/>
      <c r="FU361" s="357"/>
      <c r="FV361" s="357"/>
      <c r="FW361" s="357"/>
      <c r="FX361" s="357"/>
      <c r="FY361" s="357"/>
      <c r="FZ361" s="357"/>
      <c r="GA361" s="357"/>
      <c r="GB361" s="357"/>
      <c r="GC361" s="357"/>
      <c r="GD361" s="357"/>
      <c r="GE361" s="357"/>
      <c r="GF361" s="357"/>
      <c r="GG361" s="357"/>
      <c r="GH361" s="357"/>
      <c r="GI361" s="357"/>
      <c r="GJ361" s="357"/>
    </row>
    <row r="362" spans="26:192">
      <c r="Z362" s="357"/>
      <c r="AA362" s="357"/>
      <c r="AB362" s="357"/>
      <c r="AC362" s="357"/>
      <c r="AD362" s="357"/>
      <c r="AE362" s="357"/>
      <c r="AF362" s="357"/>
      <c r="AG362" s="357"/>
      <c r="AH362" s="357"/>
      <c r="AI362" s="357"/>
      <c r="AJ362" s="357"/>
      <c r="AK362" s="357"/>
      <c r="AL362" s="357"/>
      <c r="AM362" s="357"/>
      <c r="AN362" s="357"/>
      <c r="AO362" s="357"/>
      <c r="AP362" s="357"/>
      <c r="AQ362" s="357"/>
      <c r="AR362" s="357"/>
      <c r="AS362" s="357"/>
      <c r="AT362" s="357"/>
      <c r="AU362" s="357"/>
      <c r="AV362" s="357"/>
      <c r="AW362" s="357"/>
      <c r="AX362" s="357"/>
      <c r="AY362" s="357"/>
      <c r="AZ362" s="357"/>
      <c r="BA362" s="357"/>
      <c r="BB362" s="357"/>
      <c r="BC362" s="357"/>
      <c r="BD362" s="357"/>
      <c r="BE362" s="357"/>
      <c r="BF362" s="357"/>
      <c r="BG362" s="357"/>
      <c r="BH362" s="357"/>
      <c r="BI362" s="357"/>
      <c r="BJ362" s="357"/>
      <c r="BK362" s="357"/>
      <c r="BL362" s="357"/>
      <c r="BM362" s="357"/>
      <c r="BN362" s="357"/>
      <c r="BO362" s="357"/>
      <c r="BP362" s="357"/>
      <c r="BQ362" s="357"/>
      <c r="BR362" s="357"/>
      <c r="BS362" s="357"/>
      <c r="BT362" s="357"/>
      <c r="BU362" s="357"/>
      <c r="BV362" s="357"/>
      <c r="BW362" s="357"/>
      <c r="BX362" s="357"/>
      <c r="BY362" s="357"/>
      <c r="BZ362" s="357"/>
      <c r="CA362" s="357"/>
      <c r="CB362" s="357"/>
      <c r="CC362" s="357"/>
      <c r="CD362" s="357"/>
      <c r="CE362" s="357"/>
      <c r="CF362" s="357"/>
      <c r="CG362" s="357"/>
      <c r="CH362" s="357"/>
      <c r="CI362" s="357"/>
      <c r="CJ362" s="357"/>
      <c r="CK362" s="357"/>
      <c r="CL362" s="357"/>
      <c r="CM362" s="357"/>
      <c r="CN362" s="357"/>
      <c r="CO362" s="357"/>
      <c r="CP362" s="357"/>
      <c r="CQ362" s="357"/>
      <c r="CR362" s="357"/>
      <c r="CS362" s="357"/>
      <c r="CT362" s="357"/>
      <c r="CU362" s="357"/>
      <c r="CV362" s="357"/>
      <c r="CW362" s="357"/>
      <c r="CX362" s="357"/>
      <c r="CY362" s="357"/>
      <c r="CZ362" s="357"/>
      <c r="DA362" s="357"/>
      <c r="DB362" s="357"/>
      <c r="DC362" s="357"/>
      <c r="DD362" s="357"/>
      <c r="DE362" s="357"/>
      <c r="DF362" s="357"/>
      <c r="DG362" s="357"/>
      <c r="DH362" s="357"/>
      <c r="DI362" s="357"/>
      <c r="DJ362" s="357"/>
      <c r="DK362" s="357"/>
      <c r="DL362" s="357"/>
      <c r="DM362" s="357"/>
      <c r="DN362" s="357"/>
      <c r="DO362" s="357"/>
      <c r="DP362" s="357"/>
      <c r="DQ362" s="357"/>
      <c r="DR362" s="357"/>
      <c r="DS362" s="357"/>
      <c r="DT362" s="357"/>
      <c r="DU362" s="357"/>
      <c r="DV362" s="357"/>
      <c r="DW362" s="357"/>
      <c r="DX362" s="357"/>
      <c r="DY362" s="357"/>
      <c r="DZ362" s="357"/>
      <c r="EA362" s="357"/>
      <c r="EB362" s="357"/>
      <c r="EC362" s="357"/>
      <c r="ED362" s="357"/>
      <c r="EE362" s="357"/>
      <c r="EF362" s="357"/>
      <c r="EG362" s="357"/>
      <c r="EH362" s="357"/>
      <c r="EI362" s="357"/>
      <c r="EJ362" s="357"/>
      <c r="EK362" s="357"/>
      <c r="EL362" s="357"/>
      <c r="EM362" s="357"/>
      <c r="EN362" s="357"/>
      <c r="EO362" s="357"/>
      <c r="EP362" s="357"/>
      <c r="EQ362" s="357"/>
      <c r="ER362" s="357"/>
      <c r="ES362" s="357"/>
      <c r="ET362" s="357"/>
      <c r="EU362" s="357"/>
      <c r="EV362" s="357"/>
      <c r="EW362" s="357"/>
      <c r="EX362" s="357"/>
      <c r="EY362" s="357"/>
      <c r="EZ362" s="357"/>
      <c r="FA362" s="357"/>
      <c r="FB362" s="357"/>
      <c r="FC362" s="357"/>
      <c r="FD362" s="357"/>
      <c r="FE362" s="357"/>
      <c r="FF362" s="357"/>
      <c r="FG362" s="357"/>
      <c r="FH362" s="357"/>
      <c r="FI362" s="357"/>
      <c r="FJ362" s="357"/>
      <c r="FK362" s="357"/>
      <c r="FL362" s="357"/>
      <c r="FM362" s="357"/>
      <c r="FN362" s="357"/>
      <c r="FO362" s="357"/>
      <c r="FP362" s="357"/>
      <c r="FQ362" s="357"/>
      <c r="FR362" s="357"/>
      <c r="FS362" s="357"/>
      <c r="FT362" s="357"/>
      <c r="FU362" s="357"/>
      <c r="FV362" s="357"/>
      <c r="FW362" s="357"/>
      <c r="FX362" s="357"/>
      <c r="FY362" s="357"/>
      <c r="FZ362" s="357"/>
      <c r="GA362" s="357"/>
      <c r="GB362" s="357"/>
      <c r="GC362" s="357"/>
      <c r="GD362" s="357"/>
      <c r="GE362" s="357"/>
      <c r="GF362" s="357"/>
      <c r="GG362" s="357"/>
      <c r="GH362" s="357"/>
      <c r="GI362" s="357"/>
      <c r="GJ362" s="357"/>
    </row>
    <row r="363" spans="26:192">
      <c r="Z363" s="357"/>
      <c r="AA363" s="357"/>
      <c r="AB363" s="357"/>
      <c r="AC363" s="357"/>
      <c r="AD363" s="357"/>
      <c r="AE363" s="357"/>
      <c r="AF363" s="357"/>
      <c r="AG363" s="357"/>
      <c r="AH363" s="357"/>
      <c r="AI363" s="357"/>
      <c r="AJ363" s="357"/>
      <c r="AK363" s="357"/>
      <c r="AL363" s="357"/>
      <c r="AM363" s="357"/>
      <c r="AN363" s="357"/>
      <c r="AO363" s="357"/>
      <c r="AP363" s="357"/>
      <c r="AQ363" s="357"/>
      <c r="AR363" s="357"/>
      <c r="AS363" s="357"/>
      <c r="AT363" s="357"/>
      <c r="AU363" s="357"/>
      <c r="AV363" s="357"/>
      <c r="AW363" s="357"/>
      <c r="AX363" s="357"/>
      <c r="AY363" s="357"/>
      <c r="AZ363" s="357"/>
      <c r="BA363" s="357"/>
      <c r="BB363" s="357"/>
      <c r="BC363" s="357"/>
      <c r="BD363" s="357"/>
      <c r="BE363" s="357"/>
      <c r="BF363" s="357"/>
      <c r="BG363" s="357"/>
      <c r="BH363" s="357"/>
      <c r="BI363" s="357"/>
      <c r="BJ363" s="357"/>
      <c r="BK363" s="357"/>
      <c r="BL363" s="357"/>
      <c r="BM363" s="357"/>
      <c r="BN363" s="357"/>
      <c r="BO363" s="357"/>
      <c r="BP363" s="357"/>
      <c r="BQ363" s="357"/>
      <c r="BR363" s="357"/>
      <c r="BS363" s="357"/>
      <c r="BT363" s="357"/>
      <c r="BU363" s="357"/>
      <c r="BV363" s="357"/>
      <c r="BW363" s="357"/>
      <c r="BX363" s="357"/>
      <c r="BY363" s="357"/>
      <c r="BZ363" s="357"/>
      <c r="CA363" s="357"/>
      <c r="CB363" s="357"/>
      <c r="CC363" s="357"/>
      <c r="CD363" s="357"/>
      <c r="CE363" s="357"/>
      <c r="CF363" s="357"/>
      <c r="CG363" s="357"/>
      <c r="CH363" s="357"/>
      <c r="CI363" s="357"/>
      <c r="CJ363" s="357"/>
      <c r="CK363" s="357"/>
      <c r="CL363" s="357"/>
      <c r="CM363" s="357"/>
      <c r="CN363" s="357"/>
      <c r="CO363" s="357"/>
      <c r="CP363" s="357"/>
      <c r="CQ363" s="357"/>
      <c r="CR363" s="357"/>
      <c r="CS363" s="357"/>
      <c r="CT363" s="357"/>
      <c r="CU363" s="357"/>
      <c r="CV363" s="357"/>
      <c r="CW363" s="357"/>
      <c r="CX363" s="357"/>
      <c r="CY363" s="357"/>
      <c r="CZ363" s="357"/>
      <c r="DA363" s="357"/>
      <c r="DB363" s="357"/>
      <c r="DC363" s="357"/>
      <c r="DD363" s="357"/>
      <c r="DE363" s="357"/>
      <c r="DF363" s="357"/>
      <c r="DG363" s="357"/>
      <c r="DH363" s="357"/>
      <c r="DI363" s="357"/>
      <c r="DJ363" s="357"/>
      <c r="DK363" s="357"/>
      <c r="DL363" s="357"/>
      <c r="DM363" s="357"/>
      <c r="DN363" s="357"/>
      <c r="DO363" s="357"/>
      <c r="DP363" s="357"/>
      <c r="DQ363" s="357"/>
      <c r="DR363" s="357"/>
      <c r="DS363" s="357"/>
      <c r="DT363" s="357"/>
      <c r="DU363" s="357"/>
      <c r="DV363" s="357"/>
      <c r="DW363" s="357"/>
      <c r="DX363" s="357"/>
      <c r="DY363" s="357"/>
      <c r="DZ363" s="357"/>
      <c r="EA363" s="357"/>
      <c r="EB363" s="357"/>
      <c r="EC363" s="357"/>
      <c r="ED363" s="357"/>
      <c r="EE363" s="357"/>
      <c r="EF363" s="357"/>
      <c r="EG363" s="357"/>
      <c r="EH363" s="357"/>
      <c r="EI363" s="357"/>
      <c r="EJ363" s="357"/>
      <c r="EK363" s="357"/>
      <c r="EL363" s="357"/>
      <c r="EM363" s="357"/>
      <c r="EN363" s="357"/>
      <c r="EO363" s="357"/>
      <c r="EP363" s="357"/>
      <c r="EQ363" s="357"/>
      <c r="ER363" s="357"/>
      <c r="ES363" s="357"/>
      <c r="ET363" s="357"/>
      <c r="EU363" s="357"/>
      <c r="EV363" s="357"/>
      <c r="EW363" s="357"/>
      <c r="EX363" s="357"/>
      <c r="EY363" s="357"/>
      <c r="EZ363" s="357"/>
      <c r="FA363" s="357"/>
      <c r="FB363" s="357"/>
      <c r="FC363" s="357"/>
      <c r="FD363" s="357"/>
      <c r="FE363" s="357"/>
      <c r="FF363" s="357"/>
      <c r="FG363" s="357"/>
      <c r="FH363" s="357"/>
      <c r="FI363" s="357"/>
      <c r="FJ363" s="357"/>
      <c r="FK363" s="357"/>
      <c r="FL363" s="357"/>
      <c r="FM363" s="357"/>
      <c r="FN363" s="357"/>
      <c r="FO363" s="357"/>
      <c r="FP363" s="357"/>
      <c r="FQ363" s="357"/>
      <c r="FR363" s="357"/>
      <c r="FS363" s="357"/>
      <c r="FT363" s="357"/>
      <c r="FU363" s="357"/>
      <c r="FV363" s="357"/>
      <c r="FW363" s="357"/>
      <c r="FX363" s="357"/>
      <c r="FY363" s="357"/>
      <c r="FZ363" s="357"/>
      <c r="GA363" s="357"/>
      <c r="GB363" s="357"/>
      <c r="GC363" s="357"/>
      <c r="GD363" s="357"/>
      <c r="GE363" s="357"/>
      <c r="GF363" s="357"/>
      <c r="GG363" s="357"/>
      <c r="GH363" s="357"/>
      <c r="GI363" s="357"/>
      <c r="GJ363" s="357"/>
    </row>
    <row r="364" spans="26:192">
      <c r="Z364" s="357"/>
      <c r="AA364" s="357"/>
      <c r="AB364" s="357"/>
      <c r="AC364" s="357"/>
      <c r="AD364" s="357"/>
      <c r="AE364" s="357"/>
      <c r="AF364" s="357"/>
      <c r="AG364" s="357"/>
      <c r="AH364" s="357"/>
      <c r="AI364" s="357"/>
      <c r="AJ364" s="357"/>
      <c r="AK364" s="357"/>
      <c r="AL364" s="357"/>
      <c r="AM364" s="357"/>
      <c r="AN364" s="357"/>
      <c r="AO364" s="357"/>
      <c r="AP364" s="357"/>
      <c r="AQ364" s="357"/>
      <c r="AR364" s="357"/>
      <c r="AS364" s="357"/>
      <c r="AT364" s="357"/>
      <c r="AU364" s="357"/>
      <c r="AV364" s="357"/>
      <c r="AW364" s="357"/>
      <c r="AX364" s="357"/>
      <c r="AY364" s="357"/>
      <c r="AZ364" s="357"/>
      <c r="BA364" s="357"/>
      <c r="BB364" s="357"/>
      <c r="BC364" s="357"/>
      <c r="BD364" s="357"/>
      <c r="BE364" s="357"/>
      <c r="BF364" s="357"/>
      <c r="BG364" s="357"/>
      <c r="BH364" s="357"/>
      <c r="BI364" s="357"/>
      <c r="BJ364" s="357"/>
      <c r="BK364" s="357"/>
      <c r="BL364" s="357"/>
      <c r="BM364" s="357"/>
      <c r="BN364" s="357"/>
      <c r="BO364" s="357"/>
      <c r="BP364" s="357"/>
      <c r="BQ364" s="357"/>
      <c r="BR364" s="357"/>
      <c r="BS364" s="357"/>
      <c r="BT364" s="357"/>
      <c r="BU364" s="357"/>
      <c r="BV364" s="357"/>
      <c r="BW364" s="357"/>
      <c r="BX364" s="357"/>
      <c r="BY364" s="357"/>
      <c r="BZ364" s="357"/>
      <c r="CA364" s="357"/>
      <c r="CB364" s="357"/>
      <c r="CC364" s="357"/>
      <c r="CD364" s="357"/>
      <c r="CE364" s="357"/>
      <c r="CF364" s="357"/>
      <c r="CG364" s="357"/>
      <c r="CH364" s="357"/>
      <c r="CI364" s="357"/>
      <c r="CJ364" s="357"/>
      <c r="CK364" s="357"/>
      <c r="CL364" s="357"/>
      <c r="CM364" s="357"/>
      <c r="CN364" s="357"/>
      <c r="CO364" s="357"/>
      <c r="CP364" s="357"/>
      <c r="CQ364" s="357"/>
      <c r="CR364" s="357"/>
      <c r="CS364" s="357"/>
      <c r="CT364" s="357"/>
      <c r="CU364" s="357"/>
      <c r="CV364" s="357"/>
      <c r="CW364" s="357"/>
      <c r="CX364" s="357"/>
      <c r="CY364" s="357"/>
      <c r="CZ364" s="357"/>
      <c r="DA364" s="357"/>
      <c r="DB364" s="357"/>
      <c r="DC364" s="357"/>
      <c r="DD364" s="357"/>
      <c r="DE364" s="357"/>
      <c r="DF364" s="357"/>
      <c r="DG364" s="357"/>
      <c r="DH364" s="357"/>
      <c r="DI364" s="357"/>
      <c r="DJ364" s="357"/>
      <c r="DK364" s="357"/>
      <c r="DL364" s="357"/>
      <c r="DM364" s="357"/>
      <c r="DN364" s="357"/>
      <c r="DO364" s="357"/>
      <c r="DP364" s="357"/>
      <c r="DQ364" s="357"/>
      <c r="DR364" s="357"/>
      <c r="DS364" s="357"/>
      <c r="DT364" s="357"/>
      <c r="DU364" s="357"/>
      <c r="DV364" s="357"/>
      <c r="DW364" s="357"/>
      <c r="DX364" s="357"/>
      <c r="DY364" s="357"/>
      <c r="DZ364" s="357"/>
      <c r="EA364" s="357"/>
      <c r="EB364" s="357"/>
      <c r="EC364" s="357"/>
      <c r="ED364" s="357"/>
      <c r="EE364" s="357"/>
      <c r="EF364" s="357"/>
      <c r="EG364" s="357"/>
      <c r="EH364" s="357"/>
      <c r="EI364" s="357"/>
      <c r="EJ364" s="357"/>
      <c r="EK364" s="357"/>
      <c r="EL364" s="357"/>
      <c r="EM364" s="357"/>
      <c r="EN364" s="357"/>
      <c r="EO364" s="357"/>
      <c r="EP364" s="357"/>
      <c r="EQ364" s="357"/>
      <c r="ER364" s="357"/>
      <c r="ES364" s="357"/>
      <c r="ET364" s="357"/>
      <c r="EU364" s="357"/>
      <c r="EV364" s="357"/>
      <c r="EW364" s="357"/>
      <c r="EX364" s="357"/>
      <c r="EY364" s="357"/>
      <c r="EZ364" s="357"/>
      <c r="FA364" s="357"/>
      <c r="FB364" s="357"/>
      <c r="FC364" s="357"/>
      <c r="FD364" s="357"/>
      <c r="FE364" s="357"/>
      <c r="FF364" s="357"/>
      <c r="FG364" s="357"/>
      <c r="FH364" s="357"/>
      <c r="FI364" s="357"/>
      <c r="FJ364" s="357"/>
      <c r="FK364" s="357"/>
      <c r="FL364" s="357"/>
      <c r="FM364" s="357"/>
      <c r="FN364" s="357"/>
      <c r="FO364" s="357"/>
      <c r="FP364" s="357"/>
      <c r="FQ364" s="357"/>
      <c r="FR364" s="357"/>
      <c r="FS364" s="357"/>
      <c r="FT364" s="357"/>
      <c r="FU364" s="357"/>
      <c r="FV364" s="357"/>
      <c r="FW364" s="357"/>
      <c r="FX364" s="357"/>
      <c r="FY364" s="357"/>
      <c r="FZ364" s="357"/>
      <c r="GA364" s="357"/>
      <c r="GB364" s="357"/>
      <c r="GC364" s="357"/>
      <c r="GD364" s="357"/>
      <c r="GE364" s="357"/>
      <c r="GF364" s="357"/>
      <c r="GG364" s="357"/>
      <c r="GH364" s="357"/>
      <c r="GI364" s="357"/>
      <c r="GJ364" s="357"/>
    </row>
    <row r="365" spans="26:192">
      <c r="Z365" s="357"/>
      <c r="AA365" s="357"/>
      <c r="AB365" s="357"/>
      <c r="AC365" s="357"/>
      <c r="AD365" s="357"/>
      <c r="AE365" s="357"/>
      <c r="AF365" s="357"/>
      <c r="AG365" s="357"/>
      <c r="AH365" s="357"/>
      <c r="AI365" s="357"/>
      <c r="AJ365" s="357"/>
      <c r="AK365" s="357"/>
      <c r="AL365" s="357"/>
      <c r="AM365" s="357"/>
      <c r="AN365" s="357"/>
      <c r="AO365" s="357"/>
      <c r="AP365" s="357"/>
      <c r="AQ365" s="357"/>
      <c r="AR365" s="357"/>
      <c r="AS365" s="357"/>
      <c r="AT365" s="357"/>
      <c r="AU365" s="357"/>
      <c r="AV365" s="357"/>
      <c r="AW365" s="357"/>
      <c r="AX365" s="357"/>
      <c r="AY365" s="357"/>
      <c r="AZ365" s="357"/>
      <c r="BA365" s="357"/>
      <c r="BB365" s="357"/>
      <c r="BC365" s="357"/>
      <c r="BD365" s="357"/>
      <c r="BE365" s="357"/>
      <c r="BF365" s="357"/>
      <c r="BG365" s="357"/>
      <c r="BH365" s="357"/>
      <c r="BI365" s="357"/>
      <c r="BJ365" s="357"/>
      <c r="BK365" s="357"/>
      <c r="BL365" s="357"/>
      <c r="BM365" s="357"/>
      <c r="BN365" s="357"/>
      <c r="BO365" s="357"/>
      <c r="BP365" s="357"/>
      <c r="BQ365" s="357"/>
      <c r="BR365" s="357"/>
      <c r="BS365" s="357"/>
      <c r="BT365" s="357"/>
      <c r="BU365" s="357"/>
      <c r="BV365" s="357"/>
      <c r="BW365" s="357"/>
      <c r="BX365" s="357"/>
      <c r="BY365" s="357"/>
      <c r="BZ365" s="357"/>
      <c r="CA365" s="357"/>
      <c r="CB365" s="357"/>
      <c r="CC365" s="357"/>
      <c r="CD365" s="357"/>
      <c r="CE365" s="357"/>
      <c r="CF365" s="357"/>
      <c r="CG365" s="357"/>
      <c r="CH365" s="357"/>
      <c r="CI365" s="357"/>
      <c r="CJ365" s="357"/>
      <c r="CK365" s="357"/>
      <c r="CL365" s="357"/>
      <c r="CM365" s="357"/>
      <c r="CN365" s="357"/>
      <c r="CO365" s="357"/>
      <c r="CP365" s="357"/>
      <c r="CQ365" s="357"/>
      <c r="CR365" s="357"/>
      <c r="CS365" s="357"/>
      <c r="CT365" s="357"/>
      <c r="CU365" s="357"/>
      <c r="CV365" s="357"/>
      <c r="CW365" s="357"/>
      <c r="CX365" s="357"/>
      <c r="CY365" s="357"/>
      <c r="CZ365" s="357"/>
      <c r="DA365" s="357"/>
      <c r="DB365" s="357"/>
      <c r="DC365" s="357"/>
      <c r="DD365" s="357"/>
      <c r="DE365" s="357"/>
      <c r="DF365" s="357"/>
      <c r="DG365" s="357"/>
      <c r="DH365" s="357"/>
      <c r="DI365" s="357"/>
      <c r="DJ365" s="357"/>
      <c r="DK365" s="357"/>
      <c r="DL365" s="357"/>
      <c r="DM365" s="357"/>
      <c r="DN365" s="357"/>
      <c r="DO365" s="357"/>
      <c r="DP365" s="357"/>
      <c r="DQ365" s="357"/>
      <c r="DR365" s="357"/>
      <c r="DS365" s="357"/>
      <c r="DT365" s="357"/>
      <c r="DU365" s="357"/>
      <c r="DV365" s="357"/>
      <c r="DW365" s="357"/>
      <c r="DX365" s="357"/>
      <c r="DY365" s="357"/>
      <c r="DZ365" s="357"/>
      <c r="EA365" s="357"/>
      <c r="EB365" s="357"/>
      <c r="EC365" s="357"/>
      <c r="ED365" s="357"/>
      <c r="EE365" s="357"/>
      <c r="EF365" s="357"/>
      <c r="EG365" s="357"/>
      <c r="EH365" s="357"/>
      <c r="EI365" s="357"/>
      <c r="EJ365" s="357"/>
      <c r="EK365" s="357"/>
      <c r="EL365" s="357"/>
      <c r="EM365" s="357"/>
      <c r="EN365" s="357"/>
      <c r="EO365" s="357"/>
      <c r="EP365" s="357"/>
      <c r="EQ365" s="357"/>
      <c r="ER365" s="357"/>
      <c r="ES365" s="357"/>
      <c r="ET365" s="357"/>
      <c r="EU365" s="357"/>
      <c r="EV365" s="357"/>
      <c r="EW365" s="357"/>
      <c r="EX365" s="357"/>
      <c r="EY365" s="357"/>
      <c r="EZ365" s="357"/>
      <c r="FA365" s="357"/>
      <c r="FB365" s="357"/>
      <c r="FC365" s="357"/>
      <c r="FD365" s="357"/>
      <c r="FE365" s="357"/>
      <c r="FF365" s="357"/>
      <c r="FG365" s="357"/>
      <c r="FH365" s="357"/>
      <c r="FI365" s="357"/>
      <c r="FJ365" s="357"/>
      <c r="FK365" s="357"/>
      <c r="FL365" s="357"/>
      <c r="FM365" s="357"/>
      <c r="FN365" s="357"/>
      <c r="FO365" s="357"/>
      <c r="FP365" s="357"/>
      <c r="FQ365" s="357"/>
      <c r="FR365" s="357"/>
      <c r="FS365" s="357"/>
      <c r="FT365" s="357"/>
      <c r="FU365" s="357"/>
      <c r="FV365" s="357"/>
      <c r="FW365" s="357"/>
      <c r="FX365" s="357"/>
      <c r="FY365" s="357"/>
      <c r="FZ365" s="357"/>
      <c r="GA365" s="357"/>
      <c r="GB365" s="357"/>
      <c r="GC365" s="357"/>
      <c r="GD365" s="357"/>
      <c r="GE365" s="357"/>
      <c r="GF365" s="357"/>
      <c r="GG365" s="357"/>
      <c r="GH365" s="357"/>
      <c r="GI365" s="357"/>
      <c r="GJ365" s="357"/>
    </row>
    <row r="366" spans="26:192">
      <c r="Z366" s="357"/>
      <c r="AA366" s="357"/>
      <c r="AB366" s="357"/>
      <c r="AC366" s="357"/>
      <c r="AD366" s="357"/>
      <c r="AE366" s="357"/>
      <c r="AF366" s="357"/>
      <c r="AG366" s="357"/>
      <c r="AH366" s="357"/>
      <c r="AI366" s="357"/>
      <c r="AJ366" s="357"/>
      <c r="AK366" s="357"/>
      <c r="AL366" s="357"/>
      <c r="AM366" s="357"/>
      <c r="AN366" s="357"/>
      <c r="AO366" s="357"/>
      <c r="AP366" s="357"/>
      <c r="AQ366" s="357"/>
      <c r="AR366" s="357"/>
      <c r="AS366" s="357"/>
      <c r="AT366" s="357"/>
      <c r="AU366" s="357"/>
      <c r="AV366" s="357"/>
      <c r="AW366" s="357"/>
      <c r="AX366" s="357"/>
      <c r="AY366" s="357"/>
      <c r="AZ366" s="357"/>
      <c r="BA366" s="357"/>
      <c r="BB366" s="357"/>
      <c r="BC366" s="357"/>
      <c r="BD366" s="357"/>
      <c r="BE366" s="357"/>
      <c r="BF366" s="357"/>
      <c r="BG366" s="357"/>
      <c r="BH366" s="357"/>
      <c r="BI366" s="357"/>
      <c r="BJ366" s="357"/>
      <c r="BK366" s="357"/>
      <c r="BL366" s="357"/>
      <c r="BM366" s="357"/>
      <c r="BN366" s="357"/>
      <c r="BO366" s="357"/>
      <c r="BP366" s="357"/>
      <c r="BQ366" s="357"/>
      <c r="BR366" s="357"/>
      <c r="BS366" s="357"/>
      <c r="BT366" s="357"/>
      <c r="BU366" s="357"/>
      <c r="BV366" s="357"/>
      <c r="BW366" s="357"/>
      <c r="BX366" s="357"/>
      <c r="BY366" s="357"/>
      <c r="BZ366" s="357"/>
      <c r="CA366" s="357"/>
      <c r="CB366" s="357"/>
      <c r="CC366" s="357"/>
      <c r="CD366" s="357"/>
      <c r="CE366" s="357"/>
      <c r="CF366" s="357"/>
      <c r="CG366" s="357"/>
      <c r="CH366" s="357"/>
      <c r="CI366" s="357"/>
      <c r="CJ366" s="357"/>
      <c r="CK366" s="357"/>
      <c r="CL366" s="357"/>
      <c r="CM366" s="357"/>
      <c r="CN366" s="357"/>
      <c r="CO366" s="357"/>
      <c r="CP366" s="357"/>
      <c r="CQ366" s="357"/>
      <c r="CR366" s="357"/>
      <c r="CS366" s="357"/>
      <c r="CT366" s="357"/>
      <c r="CU366" s="357"/>
      <c r="CV366" s="357"/>
      <c r="CW366" s="357"/>
      <c r="CX366" s="357"/>
      <c r="CY366" s="357"/>
      <c r="CZ366" s="357"/>
      <c r="DA366" s="357"/>
      <c r="DB366" s="357"/>
      <c r="DC366" s="357"/>
      <c r="DD366" s="357"/>
      <c r="DE366" s="357"/>
      <c r="DF366" s="357"/>
      <c r="DG366" s="357"/>
      <c r="DH366" s="357"/>
      <c r="DI366" s="357"/>
      <c r="DJ366" s="357"/>
      <c r="DK366" s="357"/>
      <c r="DL366" s="357"/>
      <c r="DM366" s="357"/>
      <c r="DN366" s="357"/>
      <c r="DO366" s="357"/>
      <c r="DP366" s="357"/>
      <c r="DQ366" s="357"/>
      <c r="DR366" s="357"/>
      <c r="DS366" s="357"/>
      <c r="DT366" s="357"/>
      <c r="DU366" s="357"/>
      <c r="DV366" s="357"/>
      <c r="DW366" s="357"/>
      <c r="DX366" s="357"/>
      <c r="DY366" s="357"/>
      <c r="DZ366" s="357"/>
      <c r="EA366" s="357"/>
      <c r="EB366" s="357"/>
      <c r="EC366" s="357"/>
      <c r="ED366" s="357"/>
      <c r="EE366" s="357"/>
      <c r="EF366" s="357"/>
      <c r="EG366" s="357"/>
      <c r="EH366" s="357"/>
      <c r="EI366" s="357"/>
      <c r="EJ366" s="357"/>
      <c r="EK366" s="357"/>
      <c r="EL366" s="357"/>
      <c r="EM366" s="357"/>
      <c r="EN366" s="357"/>
      <c r="EO366" s="357"/>
      <c r="EP366" s="357"/>
      <c r="EQ366" s="357"/>
      <c r="ER366" s="357"/>
      <c r="ES366" s="357"/>
      <c r="ET366" s="357"/>
      <c r="EU366" s="357"/>
      <c r="EV366" s="357"/>
      <c r="EW366" s="357"/>
      <c r="EX366" s="357"/>
      <c r="EY366" s="357"/>
      <c r="EZ366" s="357"/>
      <c r="FA366" s="357"/>
      <c r="FB366" s="357"/>
      <c r="FC366" s="357"/>
      <c r="FD366" s="357"/>
      <c r="FE366" s="357"/>
      <c r="FF366" s="357"/>
      <c r="FG366" s="357"/>
      <c r="FH366" s="357"/>
      <c r="FI366" s="357"/>
      <c r="FJ366" s="357"/>
      <c r="FK366" s="357"/>
      <c r="FL366" s="357"/>
      <c r="FM366" s="357"/>
      <c r="FN366" s="357"/>
      <c r="FO366" s="357"/>
      <c r="FP366" s="357"/>
      <c r="FQ366" s="357"/>
      <c r="FR366" s="357"/>
      <c r="FS366" s="357"/>
      <c r="FT366" s="357"/>
      <c r="FU366" s="357"/>
      <c r="FV366" s="357"/>
      <c r="FW366" s="357"/>
      <c r="FX366" s="357"/>
      <c r="FY366" s="357"/>
      <c r="FZ366" s="357"/>
      <c r="GA366" s="357"/>
      <c r="GB366" s="357"/>
      <c r="GC366" s="357"/>
      <c r="GD366" s="357"/>
      <c r="GE366" s="357"/>
      <c r="GF366" s="357"/>
      <c r="GG366" s="357"/>
      <c r="GH366" s="357"/>
      <c r="GI366" s="357"/>
      <c r="GJ366" s="357"/>
    </row>
    <row r="367" spans="26:192">
      <c r="Z367" s="357"/>
      <c r="AA367" s="357"/>
      <c r="AB367" s="357"/>
      <c r="AC367" s="357"/>
      <c r="AD367" s="357"/>
      <c r="AE367" s="357"/>
      <c r="AF367" s="357"/>
      <c r="AG367" s="357"/>
      <c r="AH367" s="357"/>
      <c r="AI367" s="357"/>
      <c r="AJ367" s="357"/>
      <c r="AK367" s="357"/>
      <c r="AL367" s="357"/>
      <c r="AM367" s="357"/>
      <c r="AN367" s="357"/>
      <c r="AO367" s="357"/>
      <c r="AP367" s="357"/>
      <c r="AQ367" s="357"/>
      <c r="AR367" s="357"/>
      <c r="AS367" s="357"/>
      <c r="AT367" s="357"/>
      <c r="AU367" s="357"/>
      <c r="AV367" s="357"/>
      <c r="AW367" s="357"/>
      <c r="AX367" s="357"/>
      <c r="AY367" s="357"/>
      <c r="AZ367" s="357"/>
      <c r="BA367" s="357"/>
      <c r="BB367" s="357"/>
      <c r="BC367" s="357"/>
      <c r="BD367" s="357"/>
      <c r="BE367" s="357"/>
      <c r="BF367" s="357"/>
      <c r="BG367" s="357"/>
      <c r="BH367" s="357"/>
      <c r="BI367" s="357"/>
      <c r="BJ367" s="357"/>
      <c r="BK367" s="357"/>
      <c r="BL367" s="357"/>
      <c r="BM367" s="357"/>
      <c r="BN367" s="357"/>
      <c r="BO367" s="357"/>
      <c r="BP367" s="357"/>
      <c r="BQ367" s="357"/>
      <c r="BR367" s="357"/>
      <c r="BS367" s="357"/>
      <c r="BT367" s="357"/>
      <c r="BU367" s="357"/>
      <c r="BV367" s="357"/>
      <c r="BW367" s="357"/>
      <c r="BX367" s="357"/>
      <c r="BY367" s="357"/>
      <c r="BZ367" s="357"/>
      <c r="CA367" s="357"/>
      <c r="CB367" s="357"/>
      <c r="CC367" s="357"/>
      <c r="CD367" s="357"/>
      <c r="CE367" s="357"/>
      <c r="CF367" s="357"/>
      <c r="CG367" s="357"/>
      <c r="CH367" s="357"/>
      <c r="CI367" s="357"/>
      <c r="CJ367" s="357"/>
      <c r="CK367" s="357"/>
      <c r="CL367" s="357"/>
      <c r="CM367" s="357"/>
      <c r="CN367" s="357"/>
      <c r="CO367" s="357"/>
      <c r="CP367" s="357"/>
      <c r="CQ367" s="357"/>
      <c r="CR367" s="357"/>
      <c r="CS367" s="357"/>
      <c r="CT367" s="357"/>
      <c r="CU367" s="357"/>
      <c r="CV367" s="357"/>
      <c r="CW367" s="357"/>
      <c r="CX367" s="357"/>
      <c r="CY367" s="357"/>
      <c r="CZ367" s="357"/>
      <c r="DA367" s="357"/>
      <c r="DB367" s="357"/>
      <c r="DC367" s="357"/>
      <c r="DD367" s="357"/>
      <c r="DE367" s="357"/>
      <c r="DF367" s="357"/>
      <c r="DG367" s="357"/>
      <c r="DH367" s="357"/>
      <c r="DI367" s="357"/>
      <c r="DJ367" s="357"/>
      <c r="DK367" s="357"/>
      <c r="DL367" s="357"/>
      <c r="DM367" s="357"/>
      <c r="DN367" s="357"/>
      <c r="DO367" s="357"/>
      <c r="DP367" s="357"/>
      <c r="DQ367" s="357"/>
      <c r="DR367" s="357"/>
      <c r="DS367" s="357"/>
      <c r="DT367" s="357"/>
      <c r="DU367" s="357"/>
      <c r="DV367" s="357"/>
      <c r="DW367" s="357"/>
      <c r="DX367" s="357"/>
      <c r="DY367" s="357"/>
      <c r="DZ367" s="357"/>
      <c r="EA367" s="357"/>
      <c r="EB367" s="357"/>
      <c r="EC367" s="357"/>
      <c r="ED367" s="357"/>
      <c r="EE367" s="357"/>
      <c r="EF367" s="357"/>
      <c r="EG367" s="357"/>
      <c r="EH367" s="357"/>
      <c r="EI367" s="357"/>
      <c r="EJ367" s="357"/>
      <c r="EK367" s="357"/>
      <c r="EL367" s="357"/>
      <c r="EM367" s="357"/>
      <c r="EN367" s="357"/>
      <c r="EO367" s="357"/>
      <c r="EP367" s="357"/>
      <c r="EQ367" s="357"/>
      <c r="ER367" s="357"/>
      <c r="ES367" s="357"/>
      <c r="ET367" s="357"/>
      <c r="EU367" s="357"/>
      <c r="EV367" s="357"/>
      <c r="EW367" s="357"/>
      <c r="EX367" s="357"/>
      <c r="EY367" s="357"/>
      <c r="EZ367" s="357"/>
      <c r="FA367" s="357"/>
      <c r="FB367" s="357"/>
      <c r="FC367" s="357"/>
      <c r="FD367" s="357"/>
      <c r="FE367" s="357"/>
      <c r="FF367" s="357"/>
      <c r="FG367" s="357"/>
      <c r="FH367" s="357"/>
      <c r="FI367" s="357"/>
      <c r="FJ367" s="357"/>
      <c r="FK367" s="357"/>
      <c r="FL367" s="357"/>
      <c r="FM367" s="357"/>
      <c r="FN367" s="357"/>
      <c r="FO367" s="357"/>
      <c r="FP367" s="357"/>
      <c r="FQ367" s="357"/>
      <c r="FR367" s="357"/>
      <c r="FS367" s="357"/>
      <c r="FT367" s="357"/>
      <c r="FU367" s="357"/>
      <c r="FV367" s="357"/>
      <c r="FW367" s="357"/>
      <c r="FX367" s="357"/>
      <c r="FY367" s="357"/>
      <c r="FZ367" s="357"/>
      <c r="GA367" s="357"/>
      <c r="GB367" s="357"/>
      <c r="GC367" s="357"/>
      <c r="GD367" s="357"/>
      <c r="GE367" s="357"/>
      <c r="GF367" s="357"/>
      <c r="GG367" s="357"/>
      <c r="GH367" s="357"/>
      <c r="GI367" s="357"/>
      <c r="GJ367" s="357"/>
    </row>
    <row r="368" spans="26:192">
      <c r="Z368" s="357"/>
      <c r="AA368" s="357"/>
      <c r="AB368" s="357"/>
      <c r="AC368" s="357"/>
      <c r="AD368" s="357"/>
      <c r="AE368" s="357"/>
      <c r="AF368" s="357"/>
      <c r="AG368" s="357"/>
      <c r="AH368" s="357"/>
      <c r="AI368" s="357"/>
      <c r="AJ368" s="357"/>
      <c r="AK368" s="357"/>
      <c r="AL368" s="357"/>
      <c r="AM368" s="357"/>
      <c r="AN368" s="357"/>
      <c r="AO368" s="357"/>
      <c r="AP368" s="357"/>
      <c r="AQ368" s="357"/>
      <c r="AR368" s="357"/>
      <c r="AS368" s="357"/>
      <c r="AT368" s="357"/>
      <c r="AU368" s="357"/>
      <c r="AV368" s="357"/>
      <c r="AW368" s="357"/>
      <c r="AX368" s="357"/>
      <c r="AY368" s="357"/>
      <c r="AZ368" s="357"/>
      <c r="BA368" s="357"/>
      <c r="BB368" s="357"/>
      <c r="BC368" s="357"/>
      <c r="BD368" s="357"/>
      <c r="BE368" s="357"/>
      <c r="BF368" s="357"/>
      <c r="BG368" s="357"/>
      <c r="BH368" s="357"/>
      <c r="BI368" s="357"/>
      <c r="BJ368" s="357"/>
      <c r="BK368" s="357"/>
      <c r="BL368" s="357"/>
      <c r="BM368" s="357"/>
      <c r="BN368" s="357"/>
      <c r="BO368" s="357"/>
      <c r="BP368" s="357"/>
      <c r="BQ368" s="357"/>
      <c r="BR368" s="357"/>
      <c r="BS368" s="357"/>
      <c r="BT368" s="357"/>
      <c r="BU368" s="357"/>
      <c r="BV368" s="357"/>
      <c r="BW368" s="357"/>
      <c r="BX368" s="357"/>
      <c r="BY368" s="357"/>
      <c r="BZ368" s="357"/>
      <c r="CA368" s="357"/>
      <c r="CB368" s="357"/>
      <c r="CC368" s="357"/>
      <c r="CD368" s="357"/>
      <c r="CE368" s="357"/>
      <c r="CF368" s="357"/>
      <c r="CG368" s="357"/>
      <c r="CH368" s="357"/>
      <c r="CI368" s="357"/>
      <c r="CJ368" s="357"/>
      <c r="CK368" s="357"/>
      <c r="CL368" s="357"/>
      <c r="CM368" s="357"/>
      <c r="CN368" s="357"/>
      <c r="CO368" s="357"/>
      <c r="CP368" s="357"/>
      <c r="CQ368" s="357"/>
      <c r="CR368" s="357"/>
      <c r="CS368" s="357"/>
      <c r="CT368" s="357"/>
      <c r="CU368" s="357"/>
      <c r="CV368" s="357"/>
      <c r="CW368" s="357"/>
      <c r="CX368" s="357"/>
      <c r="CY368" s="357"/>
      <c r="CZ368" s="357"/>
      <c r="DA368" s="357"/>
      <c r="DB368" s="357"/>
      <c r="DC368" s="357"/>
      <c r="DD368" s="357"/>
      <c r="DE368" s="357"/>
      <c r="DF368" s="357"/>
      <c r="DG368" s="357"/>
      <c r="DH368" s="357"/>
      <c r="DI368" s="357"/>
      <c r="DJ368" s="357"/>
      <c r="DK368" s="357"/>
      <c r="DL368" s="357"/>
      <c r="DM368" s="357"/>
      <c r="DN368" s="357"/>
      <c r="DO368" s="357"/>
      <c r="DP368" s="357"/>
      <c r="DQ368" s="357"/>
      <c r="DR368" s="357"/>
      <c r="DS368" s="357"/>
      <c r="DT368" s="357"/>
      <c r="DU368" s="357"/>
      <c r="DV368" s="357"/>
      <c r="DW368" s="357"/>
      <c r="DX368" s="357"/>
      <c r="DY368" s="357"/>
      <c r="DZ368" s="357"/>
      <c r="EA368" s="357"/>
      <c r="EB368" s="357"/>
      <c r="EC368" s="357"/>
      <c r="ED368" s="357"/>
      <c r="EE368" s="357"/>
      <c r="EF368" s="357"/>
      <c r="EG368" s="357"/>
      <c r="EH368" s="357"/>
      <c r="EI368" s="357"/>
      <c r="EJ368" s="357"/>
      <c r="EK368" s="357"/>
      <c r="EL368" s="357"/>
      <c r="EM368" s="357"/>
      <c r="EN368" s="357"/>
      <c r="EO368" s="357"/>
      <c r="EP368" s="357"/>
      <c r="EQ368" s="357"/>
      <c r="ER368" s="357"/>
      <c r="ES368" s="357"/>
      <c r="ET368" s="357"/>
      <c r="EU368" s="357"/>
      <c r="EV368" s="357"/>
      <c r="EW368" s="357"/>
      <c r="EX368" s="357"/>
      <c r="EY368" s="357"/>
      <c r="EZ368" s="357"/>
      <c r="FA368" s="357"/>
      <c r="FB368" s="357"/>
      <c r="FC368" s="357"/>
      <c r="FD368" s="357"/>
      <c r="FE368" s="357"/>
      <c r="FF368" s="357"/>
      <c r="FG368" s="357"/>
      <c r="FH368" s="357"/>
      <c r="FI368" s="357"/>
      <c r="FJ368" s="357"/>
      <c r="FK368" s="357"/>
      <c r="FL368" s="357"/>
      <c r="FM368" s="357"/>
      <c r="FN368" s="357"/>
      <c r="FO368" s="357"/>
      <c r="FP368" s="357"/>
      <c r="FQ368" s="357"/>
      <c r="FR368" s="357"/>
      <c r="FS368" s="357"/>
      <c r="FT368" s="357"/>
      <c r="FU368" s="357"/>
      <c r="FV368" s="357"/>
      <c r="FW368" s="357"/>
      <c r="FX368" s="357"/>
      <c r="FY368" s="357"/>
      <c r="FZ368" s="357"/>
      <c r="GA368" s="357"/>
      <c r="GB368" s="357"/>
      <c r="GC368" s="357"/>
      <c r="GD368" s="357"/>
      <c r="GE368" s="357"/>
      <c r="GF368" s="357"/>
      <c r="GG368" s="357"/>
      <c r="GH368" s="357"/>
      <c r="GI368" s="357"/>
      <c r="GJ368" s="357"/>
    </row>
    <row r="369" spans="26:192">
      <c r="Z369" s="357"/>
      <c r="AA369" s="357"/>
      <c r="AB369" s="357"/>
      <c r="AC369" s="357"/>
      <c r="AD369" s="357"/>
      <c r="AE369" s="357"/>
      <c r="AF369" s="357"/>
      <c r="AG369" s="357"/>
      <c r="AH369" s="357"/>
      <c r="AI369" s="357"/>
      <c r="AJ369" s="357"/>
      <c r="AK369" s="357"/>
      <c r="AL369" s="357"/>
      <c r="AM369" s="357"/>
      <c r="AN369" s="357"/>
      <c r="AO369" s="357"/>
      <c r="AP369" s="357"/>
      <c r="AQ369" s="357"/>
      <c r="AR369" s="357"/>
      <c r="AS369" s="357"/>
      <c r="AT369" s="357"/>
      <c r="AU369" s="357"/>
      <c r="AV369" s="357"/>
      <c r="AW369" s="357"/>
      <c r="AX369" s="357"/>
      <c r="AY369" s="357"/>
      <c r="AZ369" s="357"/>
      <c r="BA369" s="357"/>
      <c r="BB369" s="357"/>
      <c r="BC369" s="357"/>
      <c r="BD369" s="357"/>
      <c r="BE369" s="357"/>
      <c r="BF369" s="357"/>
      <c r="BG369" s="357"/>
      <c r="BH369" s="357"/>
      <c r="BI369" s="357"/>
      <c r="BJ369" s="357"/>
      <c r="BK369" s="357"/>
      <c r="BL369" s="357"/>
      <c r="BM369" s="357"/>
      <c r="BN369" s="357"/>
      <c r="BO369" s="357"/>
      <c r="BP369" s="357"/>
      <c r="BQ369" s="357"/>
      <c r="BR369" s="357"/>
      <c r="BS369" s="357"/>
      <c r="BT369" s="357"/>
      <c r="BU369" s="357"/>
      <c r="BV369" s="357"/>
      <c r="BW369" s="357"/>
      <c r="BX369" s="357"/>
      <c r="BY369" s="357"/>
      <c r="BZ369" s="357"/>
      <c r="CA369" s="357"/>
      <c r="CB369" s="357"/>
      <c r="CC369" s="357"/>
      <c r="CD369" s="357"/>
      <c r="CE369" s="357"/>
      <c r="CF369" s="357"/>
      <c r="CG369" s="357"/>
      <c r="CH369" s="357"/>
      <c r="CI369" s="357"/>
      <c r="CJ369" s="357"/>
      <c r="CK369" s="357"/>
      <c r="CL369" s="357"/>
      <c r="CM369" s="357"/>
      <c r="CN369" s="357"/>
      <c r="CO369" s="357"/>
      <c r="CP369" s="357"/>
      <c r="CQ369" s="357"/>
      <c r="CR369" s="357"/>
      <c r="CS369" s="357"/>
      <c r="CT369" s="357"/>
      <c r="CU369" s="357"/>
      <c r="CV369" s="357"/>
      <c r="CW369" s="357"/>
      <c r="CX369" s="357"/>
      <c r="CY369" s="357"/>
      <c r="CZ369" s="357"/>
      <c r="DA369" s="357"/>
      <c r="DB369" s="357"/>
      <c r="DC369" s="357"/>
      <c r="DD369" s="357"/>
      <c r="DE369" s="357"/>
      <c r="DF369" s="357"/>
      <c r="DG369" s="357"/>
      <c r="DH369" s="357"/>
      <c r="DI369" s="357"/>
      <c r="DJ369" s="357"/>
      <c r="DK369" s="357"/>
      <c r="DL369" s="357"/>
      <c r="DM369" s="357"/>
      <c r="DN369" s="357"/>
      <c r="DO369" s="357"/>
      <c r="DP369" s="357"/>
      <c r="DQ369" s="357"/>
      <c r="DR369" s="357"/>
      <c r="DS369" s="357"/>
      <c r="DT369" s="357"/>
      <c r="DU369" s="357"/>
      <c r="DV369" s="357"/>
      <c r="DW369" s="357"/>
      <c r="DX369" s="357"/>
      <c r="DY369" s="357"/>
      <c r="DZ369" s="357"/>
      <c r="EA369" s="357"/>
      <c r="EB369" s="357"/>
      <c r="EC369" s="357"/>
      <c r="ED369" s="357"/>
      <c r="EE369" s="357"/>
      <c r="EF369" s="357"/>
      <c r="EG369" s="357"/>
      <c r="EH369" s="357"/>
      <c r="EI369" s="357"/>
      <c r="EJ369" s="357"/>
      <c r="EK369" s="357"/>
      <c r="EL369" s="357"/>
      <c r="EM369" s="357"/>
      <c r="EN369" s="357"/>
      <c r="EO369" s="357"/>
      <c r="EP369" s="357"/>
      <c r="EQ369" s="357"/>
      <c r="ER369" s="357"/>
      <c r="ES369" s="357"/>
      <c r="ET369" s="357"/>
      <c r="EU369" s="357"/>
      <c r="EV369" s="357"/>
      <c r="EW369" s="357"/>
      <c r="EX369" s="357"/>
      <c r="EY369" s="357"/>
      <c r="EZ369" s="357"/>
      <c r="FA369" s="357"/>
      <c r="FB369" s="357"/>
      <c r="FC369" s="357"/>
      <c r="FD369" s="357"/>
      <c r="FE369" s="357"/>
      <c r="FF369" s="357"/>
      <c r="FG369" s="357"/>
      <c r="FH369" s="357"/>
      <c r="FI369" s="357"/>
      <c r="FJ369" s="357"/>
      <c r="FK369" s="357"/>
      <c r="FL369" s="357"/>
      <c r="FM369" s="357"/>
      <c r="FN369" s="357"/>
      <c r="FO369" s="357"/>
      <c r="FP369" s="357"/>
      <c r="FQ369" s="357"/>
      <c r="FR369" s="357"/>
      <c r="FS369" s="357"/>
      <c r="FT369" s="357"/>
      <c r="FU369" s="357"/>
      <c r="FV369" s="357"/>
      <c r="FW369" s="357"/>
      <c r="FX369" s="357"/>
      <c r="FY369" s="357"/>
      <c r="FZ369" s="357"/>
      <c r="GA369" s="357"/>
      <c r="GB369" s="357"/>
      <c r="GC369" s="357"/>
      <c r="GD369" s="357"/>
      <c r="GE369" s="357"/>
      <c r="GF369" s="357"/>
      <c r="GG369" s="357"/>
      <c r="GH369" s="357"/>
      <c r="GI369" s="357"/>
      <c r="GJ369" s="357"/>
    </row>
    <row r="370" spans="26:192">
      <c r="Z370" s="357"/>
      <c r="AA370" s="357"/>
      <c r="AB370" s="357"/>
      <c r="AC370" s="357"/>
      <c r="AD370" s="357"/>
      <c r="AE370" s="357"/>
      <c r="AF370" s="357"/>
      <c r="AG370" s="357"/>
      <c r="AH370" s="357"/>
      <c r="AI370" s="357"/>
      <c r="AJ370" s="357"/>
      <c r="AK370" s="357"/>
      <c r="AL370" s="357"/>
      <c r="AM370" s="357"/>
      <c r="AN370" s="357"/>
      <c r="AO370" s="357"/>
      <c r="AP370" s="357"/>
      <c r="AQ370" s="357"/>
      <c r="AR370" s="357"/>
      <c r="AS370" s="357"/>
      <c r="AT370" s="357"/>
      <c r="AU370" s="357"/>
      <c r="AV370" s="357"/>
      <c r="AW370" s="357"/>
      <c r="AX370" s="357"/>
      <c r="AY370" s="357"/>
      <c r="AZ370" s="357"/>
      <c r="BA370" s="357"/>
      <c r="BB370" s="357"/>
      <c r="BC370" s="357"/>
      <c r="BD370" s="357"/>
      <c r="BE370" s="357"/>
      <c r="BF370" s="357"/>
      <c r="BG370" s="357"/>
      <c r="BH370" s="357"/>
      <c r="BI370" s="357"/>
      <c r="BJ370" s="357"/>
      <c r="BK370" s="357"/>
      <c r="BL370" s="357"/>
      <c r="BM370" s="357"/>
      <c r="BN370" s="357"/>
      <c r="BO370" s="357"/>
      <c r="BP370" s="357"/>
      <c r="BQ370" s="357"/>
      <c r="BR370" s="357"/>
      <c r="BS370" s="357"/>
      <c r="BT370" s="357"/>
      <c r="BU370" s="357"/>
      <c r="BV370" s="357"/>
      <c r="BW370" s="357"/>
      <c r="BX370" s="357"/>
      <c r="BY370" s="357"/>
      <c r="BZ370" s="357"/>
      <c r="CA370" s="357"/>
      <c r="CB370" s="357"/>
      <c r="CC370" s="357"/>
      <c r="CD370" s="357"/>
      <c r="CE370" s="357"/>
      <c r="CF370" s="357"/>
      <c r="CG370" s="357"/>
      <c r="CH370" s="357"/>
      <c r="CI370" s="357"/>
      <c r="CJ370" s="357"/>
      <c r="CK370" s="357"/>
      <c r="CL370" s="357"/>
      <c r="CM370" s="357"/>
      <c r="CN370" s="357"/>
      <c r="CO370" s="357"/>
      <c r="CP370" s="357"/>
      <c r="CQ370" s="357"/>
      <c r="CR370" s="357"/>
      <c r="CS370" s="357"/>
      <c r="CT370" s="357"/>
      <c r="CU370" s="357"/>
      <c r="CV370" s="357"/>
      <c r="CW370" s="357"/>
      <c r="CX370" s="357"/>
      <c r="CY370" s="357"/>
      <c r="CZ370" s="357"/>
      <c r="DA370" s="357"/>
      <c r="DB370" s="357"/>
      <c r="DC370" s="357"/>
      <c r="DD370" s="357"/>
      <c r="DE370" s="357"/>
      <c r="DF370" s="357"/>
      <c r="DG370" s="357"/>
      <c r="DH370" s="357"/>
      <c r="DI370" s="357"/>
      <c r="DJ370" s="357"/>
      <c r="DK370" s="357"/>
      <c r="DL370" s="357"/>
      <c r="DM370" s="357"/>
      <c r="DN370" s="357"/>
      <c r="DO370" s="357"/>
      <c r="DP370" s="357"/>
      <c r="DQ370" s="357"/>
      <c r="DR370" s="357"/>
      <c r="DS370" s="357"/>
      <c r="DT370" s="357"/>
      <c r="DU370" s="357"/>
      <c r="DV370" s="357"/>
      <c r="DW370" s="357"/>
      <c r="DX370" s="357"/>
      <c r="DY370" s="357"/>
      <c r="DZ370" s="357"/>
      <c r="EA370" s="357"/>
      <c r="EB370" s="357"/>
      <c r="EC370" s="357"/>
      <c r="ED370" s="357"/>
      <c r="EE370" s="357"/>
      <c r="EF370" s="357"/>
      <c r="EG370" s="357"/>
      <c r="EH370" s="357"/>
      <c r="EI370" s="357"/>
      <c r="EJ370" s="357"/>
      <c r="EK370" s="357"/>
      <c r="EL370" s="357"/>
      <c r="EM370" s="357"/>
      <c r="EN370" s="357"/>
      <c r="EO370" s="357"/>
      <c r="EP370" s="357"/>
      <c r="EQ370" s="357"/>
      <c r="ER370" s="357"/>
      <c r="ES370" s="357"/>
      <c r="ET370" s="357"/>
      <c r="EU370" s="357"/>
      <c r="EV370" s="357"/>
      <c r="EW370" s="357"/>
      <c r="EX370" s="357"/>
      <c r="EY370" s="357"/>
      <c r="EZ370" s="357"/>
      <c r="FA370" s="357"/>
      <c r="FB370" s="357"/>
      <c r="FC370" s="357"/>
      <c r="FD370" s="357"/>
      <c r="FE370" s="357"/>
      <c r="FF370" s="357"/>
      <c r="FG370" s="357"/>
      <c r="FH370" s="357"/>
      <c r="FI370" s="357"/>
      <c r="FJ370" s="357"/>
      <c r="FK370" s="357"/>
      <c r="FL370" s="357"/>
      <c r="FM370" s="357"/>
      <c r="FN370" s="357"/>
      <c r="FO370" s="357"/>
      <c r="FP370" s="357"/>
      <c r="FQ370" s="357"/>
      <c r="FR370" s="357"/>
      <c r="FS370" s="357"/>
      <c r="FT370" s="357"/>
      <c r="FU370" s="357"/>
      <c r="FV370" s="357"/>
      <c r="FW370" s="357"/>
      <c r="FX370" s="357"/>
      <c r="FY370" s="357"/>
      <c r="FZ370" s="357"/>
      <c r="GA370" s="357"/>
      <c r="GB370" s="357"/>
      <c r="GC370" s="357"/>
      <c r="GD370" s="357"/>
      <c r="GE370" s="357"/>
      <c r="GF370" s="357"/>
      <c r="GG370" s="357"/>
      <c r="GH370" s="357"/>
      <c r="GI370" s="357"/>
      <c r="GJ370" s="357"/>
    </row>
    <row r="371" spans="26:192">
      <c r="Z371" s="357"/>
      <c r="AA371" s="357"/>
      <c r="AB371" s="357"/>
      <c r="AC371" s="357"/>
      <c r="AD371" s="357"/>
      <c r="AE371" s="357"/>
      <c r="AF371" s="357"/>
      <c r="AG371" s="357"/>
      <c r="AH371" s="357"/>
      <c r="AI371" s="357"/>
      <c r="AJ371" s="357"/>
      <c r="AK371" s="357"/>
      <c r="AL371" s="357"/>
      <c r="AM371" s="357"/>
      <c r="AN371" s="357"/>
      <c r="AO371" s="357"/>
      <c r="AP371" s="357"/>
      <c r="AQ371" s="357"/>
      <c r="AR371" s="357"/>
      <c r="AS371" s="357"/>
      <c r="AT371" s="357"/>
      <c r="AU371" s="357"/>
      <c r="AV371" s="357"/>
      <c r="AW371" s="357"/>
      <c r="AX371" s="357"/>
      <c r="AY371" s="357"/>
      <c r="AZ371" s="357"/>
      <c r="BA371" s="357"/>
      <c r="BB371" s="357"/>
      <c r="BC371" s="357"/>
      <c r="BD371" s="357"/>
      <c r="BE371" s="357"/>
      <c r="BF371" s="357"/>
      <c r="BG371" s="357"/>
      <c r="BH371" s="357"/>
      <c r="BI371" s="357"/>
      <c r="BJ371" s="357"/>
      <c r="BK371" s="357"/>
      <c r="BL371" s="357"/>
      <c r="BM371" s="357"/>
      <c r="BN371" s="357"/>
      <c r="BO371" s="357"/>
      <c r="BP371" s="357"/>
      <c r="BQ371" s="357"/>
      <c r="BR371" s="357"/>
      <c r="BS371" s="357"/>
      <c r="BT371" s="357"/>
      <c r="BU371" s="357"/>
      <c r="BV371" s="357"/>
      <c r="BW371" s="357"/>
      <c r="BX371" s="357"/>
      <c r="BY371" s="357"/>
      <c r="BZ371" s="357"/>
      <c r="CA371" s="357"/>
      <c r="CB371" s="357"/>
      <c r="CC371" s="357"/>
      <c r="CD371" s="357"/>
      <c r="CE371" s="357"/>
      <c r="CF371" s="357"/>
      <c r="CG371" s="357"/>
      <c r="CH371" s="357"/>
      <c r="CI371" s="357"/>
      <c r="CJ371" s="357"/>
      <c r="CK371" s="357"/>
      <c r="CL371" s="357"/>
      <c r="CM371" s="357"/>
      <c r="CN371" s="357"/>
      <c r="CO371" s="357"/>
      <c r="CP371" s="357"/>
      <c r="CQ371" s="357"/>
      <c r="CR371" s="357"/>
      <c r="CS371" s="357"/>
      <c r="CT371" s="357"/>
      <c r="CU371" s="357"/>
      <c r="CV371" s="357"/>
      <c r="CW371" s="357"/>
      <c r="CX371" s="357"/>
      <c r="CY371" s="357"/>
      <c r="CZ371" s="357"/>
      <c r="DA371" s="357"/>
      <c r="DB371" s="357"/>
      <c r="DC371" s="357"/>
      <c r="DD371" s="357"/>
      <c r="DE371" s="357"/>
      <c r="DF371" s="357"/>
      <c r="DG371" s="357"/>
      <c r="DH371" s="357"/>
      <c r="DI371" s="357"/>
      <c r="DJ371" s="357"/>
      <c r="DK371" s="357"/>
      <c r="DL371" s="357"/>
      <c r="DM371" s="357"/>
      <c r="DN371" s="357"/>
      <c r="DO371" s="357"/>
      <c r="DP371" s="357"/>
      <c r="DQ371" s="357"/>
      <c r="DR371" s="357"/>
      <c r="DS371" s="357"/>
      <c r="DT371" s="357"/>
      <c r="DU371" s="357"/>
      <c r="DV371" s="357"/>
      <c r="DW371" s="357"/>
      <c r="DX371" s="357"/>
      <c r="DY371" s="357"/>
      <c r="DZ371" s="357"/>
      <c r="EA371" s="357"/>
      <c r="EB371" s="357"/>
      <c r="EC371" s="357"/>
      <c r="ED371" s="357"/>
      <c r="EE371" s="357"/>
      <c r="EF371" s="357"/>
      <c r="EG371" s="357"/>
      <c r="EH371" s="357"/>
      <c r="EI371" s="357"/>
      <c r="EJ371" s="357"/>
      <c r="EK371" s="357"/>
      <c r="EL371" s="357"/>
      <c r="EM371" s="357"/>
      <c r="EN371" s="357"/>
      <c r="EO371" s="357"/>
      <c r="EP371" s="357"/>
      <c r="EQ371" s="357"/>
      <c r="ER371" s="357"/>
      <c r="ES371" s="357"/>
      <c r="ET371" s="357"/>
      <c r="EU371" s="357"/>
      <c r="EV371" s="357"/>
      <c r="EW371" s="357"/>
      <c r="EX371" s="357"/>
      <c r="EY371" s="357"/>
      <c r="EZ371" s="357"/>
      <c r="FA371" s="357"/>
      <c r="FB371" s="357"/>
      <c r="FC371" s="357"/>
      <c r="FD371" s="357"/>
      <c r="FE371" s="357"/>
      <c r="FF371" s="357"/>
      <c r="FG371" s="357"/>
      <c r="FH371" s="357"/>
      <c r="FI371" s="357"/>
      <c r="FJ371" s="357"/>
      <c r="FK371" s="357"/>
      <c r="FL371" s="357"/>
      <c r="FM371" s="357"/>
      <c r="FN371" s="357"/>
      <c r="FO371" s="357"/>
      <c r="FP371" s="357"/>
      <c r="FQ371" s="357"/>
      <c r="FR371" s="357"/>
      <c r="FS371" s="357"/>
      <c r="FT371" s="357"/>
      <c r="FU371" s="357"/>
      <c r="FV371" s="357"/>
      <c r="FW371" s="357"/>
      <c r="FX371" s="357"/>
      <c r="FY371" s="357"/>
      <c r="FZ371" s="357"/>
      <c r="GA371" s="357"/>
      <c r="GB371" s="357"/>
      <c r="GC371" s="357"/>
      <c r="GD371" s="357"/>
      <c r="GE371" s="357"/>
      <c r="GF371" s="357"/>
      <c r="GG371" s="357"/>
      <c r="GH371" s="357"/>
      <c r="GI371" s="357"/>
      <c r="GJ371" s="357"/>
    </row>
    <row r="372" spans="26:192">
      <c r="Z372" s="357"/>
      <c r="AA372" s="357"/>
      <c r="AB372" s="357"/>
      <c r="AC372" s="357"/>
      <c r="AD372" s="357"/>
      <c r="AE372" s="357"/>
      <c r="AF372" s="357"/>
      <c r="AG372" s="357"/>
      <c r="AH372" s="357"/>
      <c r="AI372" s="357"/>
      <c r="AJ372" s="357"/>
      <c r="AK372" s="357"/>
      <c r="AL372" s="357"/>
      <c r="AM372" s="357"/>
      <c r="AN372" s="357"/>
      <c r="AO372" s="357"/>
      <c r="AP372" s="357"/>
      <c r="AQ372" s="357"/>
      <c r="AR372" s="357"/>
      <c r="AS372" s="357"/>
      <c r="AT372" s="357"/>
      <c r="AU372" s="357"/>
      <c r="AV372" s="357"/>
      <c r="AW372" s="357"/>
      <c r="AX372" s="357"/>
      <c r="AY372" s="357"/>
      <c r="AZ372" s="357"/>
      <c r="BA372" s="357"/>
      <c r="BB372" s="357"/>
      <c r="BC372" s="357"/>
      <c r="BD372" s="357"/>
      <c r="BE372" s="357"/>
      <c r="BF372" s="357"/>
      <c r="BG372" s="357"/>
      <c r="BH372" s="357"/>
      <c r="BI372" s="357"/>
      <c r="BJ372" s="357"/>
      <c r="BK372" s="357"/>
      <c r="BL372" s="357"/>
      <c r="BM372" s="357"/>
      <c r="BN372" s="357"/>
      <c r="BO372" s="357"/>
      <c r="BP372" s="357"/>
      <c r="BQ372" s="357"/>
      <c r="BR372" s="357"/>
      <c r="BS372" s="357"/>
      <c r="BT372" s="357"/>
      <c r="BU372" s="357"/>
      <c r="BV372" s="357"/>
      <c r="BW372" s="357"/>
      <c r="BX372" s="357"/>
      <c r="BY372" s="357"/>
      <c r="BZ372" s="357"/>
      <c r="CA372" s="357"/>
      <c r="CB372" s="357"/>
      <c r="CC372" s="357"/>
      <c r="CD372" s="357"/>
      <c r="CE372" s="357"/>
      <c r="CF372" s="357"/>
      <c r="CG372" s="357"/>
      <c r="CH372" s="357"/>
      <c r="CI372" s="357"/>
      <c r="CJ372" s="357"/>
      <c r="CK372" s="357"/>
      <c r="CL372" s="357"/>
      <c r="CM372" s="357"/>
      <c r="CN372" s="357"/>
      <c r="CO372" s="357"/>
      <c r="CP372" s="357"/>
      <c r="CQ372" s="357"/>
      <c r="CR372" s="357"/>
      <c r="CS372" s="357"/>
      <c r="CT372" s="357"/>
      <c r="CU372" s="357"/>
      <c r="CV372" s="357"/>
      <c r="CW372" s="357"/>
      <c r="CX372" s="357"/>
      <c r="CY372" s="357"/>
      <c r="CZ372" s="357"/>
      <c r="DA372" s="357"/>
      <c r="DB372" s="357"/>
      <c r="DC372" s="357"/>
      <c r="DD372" s="357"/>
      <c r="DE372" s="357"/>
      <c r="DF372" s="357"/>
      <c r="DG372" s="357"/>
      <c r="DH372" s="357"/>
      <c r="DI372" s="357"/>
      <c r="DJ372" s="357"/>
      <c r="DK372" s="357"/>
      <c r="DL372" s="357"/>
      <c r="DM372" s="357"/>
      <c r="DN372" s="357"/>
      <c r="DO372" s="357"/>
      <c r="DP372" s="357"/>
      <c r="DQ372" s="357"/>
      <c r="DR372" s="357"/>
      <c r="DS372" s="357"/>
      <c r="DT372" s="357"/>
      <c r="DU372" s="357"/>
      <c r="DV372" s="357"/>
      <c r="DW372" s="357"/>
      <c r="DX372" s="357"/>
      <c r="DY372" s="357"/>
      <c r="DZ372" s="357"/>
      <c r="EA372" s="357"/>
      <c r="EB372" s="357"/>
      <c r="EC372" s="357"/>
      <c r="ED372" s="357"/>
      <c r="EE372" s="357"/>
      <c r="EF372" s="357"/>
      <c r="EG372" s="357"/>
      <c r="EH372" s="357"/>
      <c r="EI372" s="357"/>
      <c r="EJ372" s="357"/>
      <c r="EK372" s="357"/>
      <c r="EL372" s="357"/>
      <c r="EM372" s="357"/>
      <c r="EN372" s="357"/>
      <c r="EO372" s="357"/>
      <c r="EP372" s="357"/>
      <c r="EQ372" s="357"/>
      <c r="ER372" s="357"/>
      <c r="ES372" s="357"/>
      <c r="ET372" s="357"/>
      <c r="EU372" s="357"/>
      <c r="EV372" s="357"/>
      <c r="EW372" s="357"/>
      <c r="EX372" s="357"/>
      <c r="EY372" s="357"/>
      <c r="EZ372" s="357"/>
      <c r="FA372" s="357"/>
      <c r="FB372" s="357"/>
      <c r="FC372" s="357"/>
      <c r="FD372" s="357"/>
      <c r="FE372" s="357"/>
      <c r="FF372" s="357"/>
      <c r="FG372" s="357"/>
      <c r="FH372" s="357"/>
      <c r="FI372" s="357"/>
      <c r="FJ372" s="357"/>
      <c r="FK372" s="357"/>
      <c r="FL372" s="357"/>
      <c r="FM372" s="357"/>
      <c r="FN372" s="357"/>
      <c r="FO372" s="357"/>
      <c r="FP372" s="357"/>
      <c r="FQ372" s="357"/>
      <c r="FR372" s="357"/>
      <c r="FS372" s="357"/>
      <c r="FT372" s="357"/>
      <c r="FU372" s="357"/>
      <c r="FV372" s="357"/>
      <c r="FW372" s="357"/>
      <c r="FX372" s="357"/>
      <c r="FY372" s="357"/>
      <c r="FZ372" s="357"/>
      <c r="GA372" s="357"/>
      <c r="GB372" s="357"/>
      <c r="GC372" s="357"/>
      <c r="GD372" s="357"/>
      <c r="GE372" s="357"/>
      <c r="GF372" s="357"/>
      <c r="GG372" s="357"/>
      <c r="GH372" s="357"/>
      <c r="GI372" s="357"/>
      <c r="GJ372" s="357"/>
    </row>
    <row r="373" spans="26:192">
      <c r="Z373" s="357"/>
      <c r="AA373" s="357"/>
      <c r="AB373" s="357"/>
      <c r="AC373" s="357"/>
      <c r="AD373" s="357"/>
      <c r="AE373" s="357"/>
      <c r="AF373" s="357"/>
      <c r="AG373" s="357"/>
      <c r="AH373" s="357"/>
      <c r="AI373" s="357"/>
      <c r="AJ373" s="357"/>
      <c r="AK373" s="357"/>
      <c r="AL373" s="357"/>
      <c r="AM373" s="357"/>
      <c r="AN373" s="357"/>
      <c r="AO373" s="357"/>
      <c r="AP373" s="357"/>
      <c r="AQ373" s="357"/>
      <c r="AR373" s="357"/>
      <c r="AS373" s="357"/>
      <c r="AT373" s="357"/>
      <c r="AU373" s="357"/>
      <c r="AV373" s="357"/>
      <c r="AW373" s="357"/>
      <c r="AX373" s="357"/>
      <c r="AY373" s="357"/>
      <c r="AZ373" s="357"/>
      <c r="BA373" s="357"/>
      <c r="BB373" s="357"/>
      <c r="BC373" s="357"/>
      <c r="BD373" s="357"/>
      <c r="BE373" s="357"/>
      <c r="BF373" s="357"/>
      <c r="BG373" s="357"/>
      <c r="BH373" s="357"/>
      <c r="BI373" s="357"/>
      <c r="BJ373" s="357"/>
      <c r="BK373" s="357"/>
      <c r="BL373" s="357"/>
      <c r="BM373" s="357"/>
      <c r="BN373" s="357"/>
      <c r="BO373" s="357"/>
      <c r="BP373" s="357"/>
      <c r="BQ373" s="357"/>
      <c r="BR373" s="357"/>
      <c r="BS373" s="357"/>
      <c r="BT373" s="357"/>
      <c r="BU373" s="357"/>
      <c r="BV373" s="357"/>
      <c r="BW373" s="357"/>
      <c r="BX373" s="357"/>
      <c r="BY373" s="357"/>
      <c r="BZ373" s="357"/>
      <c r="CA373" s="357"/>
      <c r="CB373" s="357"/>
      <c r="CC373" s="357"/>
      <c r="CD373" s="357"/>
      <c r="CE373" s="357"/>
      <c r="CF373" s="357"/>
      <c r="CG373" s="357"/>
      <c r="CH373" s="357"/>
      <c r="CI373" s="357"/>
      <c r="CJ373" s="357"/>
      <c r="CK373" s="357"/>
      <c r="CL373" s="357"/>
      <c r="CM373" s="357"/>
      <c r="CN373" s="357"/>
      <c r="CO373" s="357"/>
      <c r="CP373" s="357"/>
      <c r="CQ373" s="357"/>
      <c r="CR373" s="357"/>
      <c r="CS373" s="357"/>
      <c r="CT373" s="357"/>
      <c r="CU373" s="357"/>
      <c r="CV373" s="357"/>
      <c r="CW373" s="357"/>
      <c r="CX373" s="357"/>
      <c r="CY373" s="357"/>
      <c r="CZ373" s="357"/>
      <c r="DA373" s="357"/>
      <c r="DB373" s="357"/>
      <c r="DC373" s="357"/>
      <c r="DD373" s="357"/>
      <c r="DE373" s="357"/>
      <c r="DF373" s="357"/>
      <c r="DG373" s="357"/>
      <c r="DH373" s="357"/>
      <c r="DI373" s="357"/>
      <c r="DJ373" s="357"/>
      <c r="DK373" s="357"/>
      <c r="DL373" s="357"/>
      <c r="DM373" s="357"/>
      <c r="DN373" s="357"/>
      <c r="DO373" s="357"/>
      <c r="DP373" s="357"/>
      <c r="DQ373" s="357"/>
      <c r="DR373" s="357"/>
      <c r="DS373" s="357"/>
      <c r="DT373" s="357"/>
      <c r="DU373" s="357"/>
      <c r="DV373" s="357"/>
      <c r="DW373" s="357"/>
      <c r="DX373" s="357"/>
      <c r="DY373" s="357"/>
      <c r="DZ373" s="357"/>
      <c r="EA373" s="357"/>
      <c r="EB373" s="357"/>
      <c r="EC373" s="357"/>
      <c r="ED373" s="357"/>
      <c r="EE373" s="357"/>
      <c r="EF373" s="357"/>
      <c r="EG373" s="357"/>
      <c r="EH373" s="357"/>
      <c r="EI373" s="357"/>
      <c r="EJ373" s="357"/>
      <c r="EK373" s="357"/>
      <c r="EL373" s="357"/>
      <c r="EM373" s="357"/>
      <c r="EN373" s="357"/>
      <c r="EO373" s="357"/>
      <c r="EP373" s="357"/>
      <c r="EQ373" s="357"/>
      <c r="ER373" s="357"/>
      <c r="ES373" s="357"/>
      <c r="ET373" s="357"/>
      <c r="EU373" s="357"/>
      <c r="EV373" s="357"/>
      <c r="EW373" s="357"/>
      <c r="EX373" s="357"/>
      <c r="EY373" s="357"/>
      <c r="EZ373" s="357"/>
      <c r="FA373" s="357"/>
      <c r="FB373" s="357"/>
      <c r="FC373" s="357"/>
      <c r="FD373" s="357"/>
      <c r="FE373" s="357"/>
      <c r="FF373" s="357"/>
      <c r="FG373" s="357"/>
      <c r="FH373" s="357"/>
      <c r="FI373" s="357"/>
      <c r="FJ373" s="357"/>
      <c r="FK373" s="357"/>
      <c r="FL373" s="357"/>
      <c r="FM373" s="357"/>
      <c r="FN373" s="357"/>
      <c r="FO373" s="357"/>
      <c r="FP373" s="357"/>
      <c r="FQ373" s="357"/>
      <c r="FR373" s="357"/>
      <c r="FS373" s="357"/>
      <c r="FT373" s="357"/>
      <c r="FU373" s="357"/>
      <c r="FV373" s="357"/>
      <c r="FW373" s="357"/>
      <c r="FX373" s="357"/>
      <c r="FY373" s="357"/>
      <c r="FZ373" s="357"/>
      <c r="GA373" s="357"/>
      <c r="GB373" s="357"/>
      <c r="GC373" s="357"/>
      <c r="GD373" s="357"/>
      <c r="GE373" s="357"/>
      <c r="GF373" s="357"/>
      <c r="GG373" s="357"/>
      <c r="GH373" s="357"/>
      <c r="GI373" s="357"/>
      <c r="GJ373" s="357"/>
    </row>
    <row r="374" spans="26:192">
      <c r="Z374" s="357"/>
      <c r="AA374" s="357"/>
      <c r="AB374" s="357"/>
      <c r="AC374" s="357"/>
      <c r="AD374" s="357"/>
      <c r="AE374" s="357"/>
      <c r="AF374" s="357"/>
      <c r="AG374" s="357"/>
      <c r="AH374" s="357"/>
      <c r="AI374" s="357"/>
      <c r="AJ374" s="357"/>
      <c r="AK374" s="357"/>
      <c r="AL374" s="357"/>
      <c r="AM374" s="357"/>
      <c r="AN374" s="357"/>
      <c r="AO374" s="357"/>
      <c r="AP374" s="357"/>
      <c r="AQ374" s="357"/>
      <c r="AR374" s="357"/>
      <c r="AS374" s="357"/>
      <c r="AT374" s="357"/>
      <c r="AU374" s="357"/>
      <c r="AV374" s="357"/>
      <c r="AW374" s="357"/>
      <c r="AX374" s="357"/>
      <c r="AY374" s="357"/>
      <c r="AZ374" s="357"/>
      <c r="BA374" s="357"/>
      <c r="BB374" s="357"/>
      <c r="BC374" s="357"/>
      <c r="BD374" s="357"/>
      <c r="BE374" s="357"/>
      <c r="BF374" s="357"/>
      <c r="BG374" s="357"/>
      <c r="BH374" s="357"/>
      <c r="BI374" s="357"/>
      <c r="BJ374" s="357"/>
      <c r="BK374" s="357"/>
      <c r="BL374" s="357"/>
      <c r="BM374" s="357"/>
      <c r="BN374" s="357"/>
      <c r="BO374" s="357"/>
      <c r="BP374" s="357"/>
      <c r="BQ374" s="357"/>
      <c r="BR374" s="357"/>
      <c r="BS374" s="357"/>
      <c r="BT374" s="357"/>
      <c r="BU374" s="357"/>
      <c r="BV374" s="357"/>
      <c r="BW374" s="357"/>
      <c r="BX374" s="357"/>
      <c r="BY374" s="357"/>
      <c r="BZ374" s="357"/>
      <c r="CA374" s="357"/>
      <c r="CB374" s="357"/>
      <c r="CC374" s="357"/>
      <c r="CD374" s="357"/>
      <c r="CE374" s="357"/>
      <c r="CF374" s="357"/>
      <c r="CG374" s="357"/>
      <c r="CH374" s="357"/>
      <c r="CI374" s="357"/>
      <c r="CJ374" s="357"/>
      <c r="CK374" s="357"/>
      <c r="CL374" s="357"/>
      <c r="CM374" s="357"/>
      <c r="CN374" s="357"/>
      <c r="CO374" s="357"/>
      <c r="CP374" s="357"/>
      <c r="CQ374" s="357"/>
      <c r="CR374" s="357"/>
      <c r="CS374" s="357"/>
      <c r="CT374" s="357"/>
      <c r="CU374" s="357"/>
      <c r="CV374" s="357"/>
      <c r="CW374" s="357"/>
      <c r="CX374" s="357"/>
      <c r="CY374" s="357"/>
      <c r="CZ374" s="357"/>
      <c r="DA374" s="357"/>
      <c r="DB374" s="357"/>
      <c r="DC374" s="357"/>
      <c r="DD374" s="357"/>
      <c r="DE374" s="357"/>
      <c r="DF374" s="357"/>
      <c r="DG374" s="357"/>
      <c r="DH374" s="357"/>
      <c r="DI374" s="357"/>
      <c r="DJ374" s="357"/>
      <c r="DK374" s="357"/>
      <c r="DL374" s="357"/>
      <c r="DM374" s="357"/>
      <c r="DN374" s="357"/>
      <c r="DO374" s="357"/>
      <c r="DP374" s="357"/>
      <c r="DQ374" s="357"/>
      <c r="DR374" s="357"/>
      <c r="DS374" s="357"/>
      <c r="DT374" s="357"/>
      <c r="DU374" s="357"/>
      <c r="DV374" s="357"/>
      <c r="DW374" s="357"/>
      <c r="DX374" s="357"/>
      <c r="DY374" s="357"/>
      <c r="DZ374" s="357"/>
      <c r="EA374" s="357"/>
      <c r="EB374" s="357"/>
      <c r="EC374" s="357"/>
      <c r="ED374" s="357"/>
      <c r="EE374" s="357"/>
      <c r="EF374" s="357"/>
      <c r="EG374" s="357"/>
      <c r="EH374" s="357"/>
      <c r="EI374" s="357"/>
      <c r="EJ374" s="357"/>
      <c r="EK374" s="357"/>
      <c r="EL374" s="357"/>
      <c r="EM374" s="357"/>
      <c r="EN374" s="357"/>
      <c r="EO374" s="357"/>
      <c r="EP374" s="357"/>
      <c r="EQ374" s="357"/>
      <c r="ER374" s="357"/>
      <c r="ES374" s="357"/>
      <c r="ET374" s="357"/>
      <c r="EU374" s="357"/>
      <c r="EV374" s="357"/>
      <c r="EW374" s="357"/>
      <c r="EX374" s="357"/>
      <c r="EY374" s="357"/>
      <c r="EZ374" s="357"/>
      <c r="FA374" s="357"/>
      <c r="FB374" s="357"/>
      <c r="FC374" s="357"/>
      <c r="FD374" s="357"/>
      <c r="FE374" s="357"/>
      <c r="FF374" s="357"/>
      <c r="FG374" s="357"/>
      <c r="FH374" s="357"/>
      <c r="FI374" s="357"/>
      <c r="FJ374" s="357"/>
      <c r="FK374" s="357"/>
      <c r="FL374" s="357"/>
      <c r="FM374" s="357"/>
      <c r="FN374" s="357"/>
      <c r="FO374" s="357"/>
      <c r="FP374" s="357"/>
      <c r="FQ374" s="357"/>
      <c r="FR374" s="357"/>
      <c r="FS374" s="357"/>
      <c r="FT374" s="357"/>
      <c r="FU374" s="357"/>
      <c r="FV374" s="357"/>
      <c r="FW374" s="357"/>
      <c r="FX374" s="357"/>
      <c r="FY374" s="357"/>
      <c r="FZ374" s="357"/>
      <c r="GA374" s="357"/>
      <c r="GB374" s="357"/>
      <c r="GC374" s="357"/>
      <c r="GD374" s="357"/>
      <c r="GE374" s="357"/>
      <c r="GF374" s="357"/>
      <c r="GG374" s="357"/>
      <c r="GH374" s="357"/>
      <c r="GI374" s="357"/>
      <c r="GJ374" s="357"/>
    </row>
    <row r="375" spans="26:192">
      <c r="Z375" s="357"/>
      <c r="AA375" s="357"/>
      <c r="AB375" s="357"/>
      <c r="AC375" s="357"/>
      <c r="AD375" s="357"/>
      <c r="AE375" s="357"/>
      <c r="AF375" s="357"/>
      <c r="AG375" s="357"/>
      <c r="AH375" s="357"/>
      <c r="AI375" s="357"/>
      <c r="AJ375" s="357"/>
      <c r="AK375" s="357"/>
      <c r="AL375" s="357"/>
      <c r="AM375" s="357"/>
      <c r="AN375" s="357"/>
      <c r="AO375" s="357"/>
      <c r="AP375" s="357"/>
      <c r="AQ375" s="357"/>
      <c r="AR375" s="357"/>
      <c r="AS375" s="357"/>
      <c r="AT375" s="357"/>
      <c r="AU375" s="357"/>
      <c r="AV375" s="357"/>
      <c r="AW375" s="357"/>
      <c r="AX375" s="357"/>
      <c r="AY375" s="357"/>
      <c r="AZ375" s="357"/>
      <c r="BA375" s="357"/>
      <c r="BB375" s="357"/>
      <c r="BC375" s="357"/>
      <c r="BD375" s="357"/>
      <c r="BE375" s="357"/>
      <c r="BF375" s="357"/>
      <c r="BG375" s="357"/>
      <c r="BH375" s="357"/>
      <c r="BI375" s="357"/>
      <c r="BJ375" s="357"/>
      <c r="BK375" s="357"/>
      <c r="BL375" s="357"/>
      <c r="BM375" s="357"/>
      <c r="BN375" s="357"/>
      <c r="BO375" s="357"/>
      <c r="BP375" s="357"/>
      <c r="BQ375" s="357"/>
      <c r="BR375" s="357"/>
      <c r="BS375" s="357"/>
      <c r="BT375" s="357"/>
      <c r="BU375" s="357"/>
      <c r="BV375" s="357"/>
      <c r="BW375" s="357"/>
      <c r="BX375" s="357"/>
      <c r="BY375" s="357"/>
      <c r="BZ375" s="357"/>
      <c r="CA375" s="357"/>
      <c r="CB375" s="357"/>
      <c r="CC375" s="357"/>
      <c r="CD375" s="357"/>
      <c r="CE375" s="357"/>
      <c r="CF375" s="357"/>
      <c r="CG375" s="357"/>
      <c r="CH375" s="357"/>
      <c r="CI375" s="357"/>
      <c r="CJ375" s="357"/>
      <c r="CK375" s="357"/>
      <c r="CL375" s="357"/>
      <c r="CM375" s="357"/>
      <c r="CN375" s="357"/>
      <c r="CO375" s="357"/>
      <c r="CP375" s="357"/>
      <c r="CQ375" s="357"/>
      <c r="CR375" s="357"/>
      <c r="CS375" s="357"/>
      <c r="CT375" s="357"/>
      <c r="CU375" s="357"/>
      <c r="CV375" s="357"/>
      <c r="CW375" s="357"/>
      <c r="CX375" s="357"/>
      <c r="CY375" s="357"/>
      <c r="CZ375" s="357"/>
      <c r="DA375" s="357"/>
      <c r="DB375" s="357"/>
      <c r="DC375" s="357"/>
      <c r="DD375" s="357"/>
      <c r="DE375" s="357"/>
      <c r="DF375" s="357"/>
      <c r="DG375" s="357"/>
      <c r="DH375" s="357"/>
      <c r="DI375" s="357"/>
      <c r="DJ375" s="357"/>
      <c r="DK375" s="357"/>
      <c r="DL375" s="357"/>
      <c r="DM375" s="357"/>
      <c r="DN375" s="357"/>
      <c r="DO375" s="357"/>
      <c r="DP375" s="357"/>
      <c r="DQ375" s="357"/>
      <c r="DR375" s="357"/>
      <c r="DS375" s="357"/>
      <c r="DT375" s="357"/>
      <c r="DU375" s="357"/>
      <c r="DV375" s="357"/>
      <c r="DW375" s="357"/>
      <c r="DX375" s="357"/>
      <c r="DY375" s="357"/>
      <c r="DZ375" s="357"/>
      <c r="EA375" s="357"/>
      <c r="EB375" s="357"/>
      <c r="EC375" s="357"/>
      <c r="ED375" s="357"/>
      <c r="EE375" s="357"/>
      <c r="EF375" s="357"/>
      <c r="EG375" s="357"/>
      <c r="EH375" s="357"/>
      <c r="EI375" s="357"/>
      <c r="EJ375" s="357"/>
      <c r="EK375" s="357"/>
      <c r="EL375" s="357"/>
      <c r="EM375" s="357"/>
      <c r="EN375" s="357"/>
      <c r="EO375" s="357"/>
      <c r="EP375" s="357"/>
      <c r="EQ375" s="357"/>
      <c r="ER375" s="357"/>
      <c r="ES375" s="357"/>
      <c r="ET375" s="357"/>
      <c r="EU375" s="357"/>
      <c r="EV375" s="357"/>
      <c r="EW375" s="357"/>
      <c r="EX375" s="357"/>
      <c r="EY375" s="357"/>
      <c r="EZ375" s="357"/>
      <c r="FA375" s="357"/>
      <c r="FB375" s="357"/>
      <c r="FC375" s="357"/>
      <c r="FD375" s="357"/>
      <c r="FE375" s="357"/>
      <c r="FF375" s="357"/>
      <c r="FG375" s="357"/>
      <c r="FH375" s="357"/>
      <c r="FI375" s="357"/>
      <c r="FJ375" s="357"/>
      <c r="FK375" s="357"/>
      <c r="FL375" s="357"/>
      <c r="FM375" s="357"/>
      <c r="FN375" s="357"/>
      <c r="FO375" s="357"/>
      <c r="FP375" s="357"/>
      <c r="FQ375" s="357"/>
      <c r="FR375" s="357"/>
      <c r="FS375" s="357"/>
      <c r="FT375" s="357"/>
      <c r="FU375" s="357"/>
      <c r="FV375" s="357"/>
      <c r="FW375" s="357"/>
      <c r="FX375" s="357"/>
      <c r="FY375" s="357"/>
      <c r="FZ375" s="357"/>
      <c r="GA375" s="357"/>
      <c r="GB375" s="357"/>
      <c r="GC375" s="357"/>
      <c r="GD375" s="357"/>
      <c r="GE375" s="357"/>
      <c r="GF375" s="357"/>
      <c r="GG375" s="357"/>
      <c r="GH375" s="357"/>
      <c r="GI375" s="357"/>
      <c r="GJ375" s="357"/>
    </row>
    <row r="376" spans="26:192">
      <c r="Z376" s="357"/>
      <c r="AA376" s="357"/>
      <c r="AB376" s="357"/>
      <c r="AC376" s="357"/>
      <c r="AD376" s="357"/>
      <c r="AE376" s="357"/>
      <c r="AF376" s="357"/>
      <c r="AG376" s="357"/>
      <c r="AH376" s="357"/>
      <c r="AI376" s="357"/>
      <c r="AJ376" s="357"/>
      <c r="AK376" s="357"/>
      <c r="AL376" s="357"/>
      <c r="AM376" s="357"/>
      <c r="AN376" s="357"/>
      <c r="AO376" s="357"/>
      <c r="AP376" s="357"/>
      <c r="AQ376" s="357"/>
      <c r="AR376" s="357"/>
      <c r="AS376" s="357"/>
      <c r="AT376" s="357"/>
      <c r="AU376" s="357"/>
      <c r="AV376" s="357"/>
      <c r="AW376" s="357"/>
      <c r="AX376" s="357"/>
      <c r="AY376" s="357"/>
      <c r="AZ376" s="357"/>
      <c r="BA376" s="357"/>
      <c r="BB376" s="357"/>
      <c r="BC376" s="357"/>
      <c r="BD376" s="357"/>
      <c r="BE376" s="357"/>
      <c r="BF376" s="357"/>
      <c r="BG376" s="357"/>
      <c r="BH376" s="357"/>
      <c r="BI376" s="357"/>
      <c r="BJ376" s="357"/>
      <c r="BK376" s="357"/>
      <c r="BL376" s="357"/>
      <c r="BM376" s="357"/>
      <c r="BN376" s="357"/>
      <c r="BO376" s="357"/>
      <c r="BP376" s="357"/>
      <c r="BQ376" s="357"/>
      <c r="BR376" s="357"/>
      <c r="BS376" s="357"/>
      <c r="BT376" s="357"/>
      <c r="BU376" s="357"/>
      <c r="BV376" s="357"/>
      <c r="BW376" s="357"/>
      <c r="BX376" s="357"/>
      <c r="BY376" s="357"/>
      <c r="BZ376" s="357"/>
      <c r="CA376" s="357"/>
      <c r="CB376" s="357"/>
      <c r="CC376" s="357"/>
      <c r="CD376" s="357"/>
      <c r="CE376" s="357"/>
      <c r="CF376" s="357"/>
      <c r="CG376" s="357"/>
      <c r="CH376" s="357"/>
      <c r="CI376" s="357"/>
      <c r="CJ376" s="357"/>
      <c r="CK376" s="357"/>
      <c r="CL376" s="357"/>
      <c r="CM376" s="357"/>
      <c r="CN376" s="357"/>
      <c r="CO376" s="357"/>
      <c r="CP376" s="357"/>
      <c r="CQ376" s="357"/>
      <c r="CR376" s="357"/>
      <c r="CS376" s="357"/>
      <c r="CT376" s="357"/>
      <c r="CU376" s="357"/>
      <c r="CV376" s="357"/>
      <c r="CW376" s="357"/>
      <c r="CX376" s="357"/>
      <c r="CY376" s="357"/>
      <c r="CZ376" s="357"/>
      <c r="DA376" s="357"/>
      <c r="DB376" s="357"/>
      <c r="DC376" s="357"/>
      <c r="DD376" s="357"/>
      <c r="DE376" s="357"/>
      <c r="DF376" s="357"/>
      <c r="DG376" s="357"/>
      <c r="DH376" s="357"/>
      <c r="DI376" s="357"/>
      <c r="DJ376" s="357"/>
      <c r="DK376" s="357"/>
      <c r="DL376" s="357"/>
      <c r="DM376" s="357"/>
      <c r="DN376" s="357"/>
      <c r="DO376" s="357"/>
      <c r="DP376" s="357"/>
      <c r="DQ376" s="357"/>
      <c r="DR376" s="357"/>
      <c r="DS376" s="357"/>
      <c r="DT376" s="357"/>
      <c r="DU376" s="357"/>
      <c r="DV376" s="357"/>
      <c r="DW376" s="357"/>
      <c r="DX376" s="357"/>
      <c r="DY376" s="357"/>
      <c r="DZ376" s="357"/>
      <c r="EA376" s="357"/>
      <c r="EB376" s="357"/>
      <c r="EC376" s="357"/>
      <c r="ED376" s="357"/>
      <c r="EE376" s="357"/>
      <c r="EF376" s="357"/>
      <c r="EG376" s="357"/>
      <c r="EH376" s="357"/>
      <c r="EI376" s="357"/>
      <c r="EJ376" s="357"/>
      <c r="EK376" s="357"/>
      <c r="EL376" s="357"/>
      <c r="EM376" s="357"/>
      <c r="EN376" s="357"/>
      <c r="EO376" s="357"/>
      <c r="EP376" s="357"/>
      <c r="EQ376" s="357"/>
      <c r="ER376" s="357"/>
      <c r="ES376" s="357"/>
      <c r="ET376" s="357"/>
      <c r="EU376" s="357"/>
      <c r="EV376" s="357"/>
      <c r="EW376" s="357"/>
      <c r="EX376" s="357"/>
      <c r="EY376" s="357"/>
      <c r="EZ376" s="357"/>
      <c r="FA376" s="357"/>
      <c r="FB376" s="357"/>
      <c r="FC376" s="357"/>
      <c r="FD376" s="357"/>
      <c r="FE376" s="357"/>
      <c r="FF376" s="357"/>
      <c r="FG376" s="357"/>
      <c r="FH376" s="357"/>
      <c r="FI376" s="357"/>
      <c r="FJ376" s="357"/>
      <c r="FK376" s="357"/>
      <c r="FL376" s="357"/>
      <c r="FM376" s="357"/>
      <c r="FN376" s="357"/>
      <c r="FO376" s="357"/>
      <c r="FP376" s="357"/>
      <c r="FQ376" s="357"/>
      <c r="FR376" s="357"/>
      <c r="FS376" s="357"/>
      <c r="FT376" s="357"/>
      <c r="FU376" s="357"/>
      <c r="FV376" s="357"/>
      <c r="FW376" s="357"/>
      <c r="FX376" s="357"/>
      <c r="FY376" s="357"/>
      <c r="FZ376" s="357"/>
      <c r="GA376" s="357"/>
      <c r="GB376" s="357"/>
      <c r="GC376" s="357"/>
      <c r="GD376" s="357"/>
      <c r="GE376" s="357"/>
      <c r="GF376" s="357"/>
      <c r="GG376" s="357"/>
      <c r="GH376" s="357"/>
      <c r="GI376" s="357"/>
      <c r="GJ376" s="357"/>
    </row>
    <row r="377" spans="26:192">
      <c r="AE377" s="357"/>
      <c r="AF377" s="357"/>
      <c r="AG377" s="357"/>
      <c r="AH377" s="357"/>
      <c r="AI377" s="357"/>
      <c r="AJ377" s="357"/>
      <c r="AK377" s="357"/>
      <c r="AL377" s="357"/>
      <c r="AM377" s="357"/>
      <c r="AN377" s="357"/>
      <c r="AO377" s="357"/>
      <c r="AP377" s="357"/>
      <c r="AQ377" s="357"/>
      <c r="AR377" s="357"/>
      <c r="AS377" s="357"/>
      <c r="AT377" s="357"/>
      <c r="AU377" s="357"/>
      <c r="AV377" s="357"/>
      <c r="AW377" s="357"/>
      <c r="AX377" s="357"/>
      <c r="AY377" s="357"/>
      <c r="AZ377" s="357"/>
      <c r="BA377" s="357"/>
      <c r="BB377" s="357"/>
      <c r="BC377" s="357"/>
      <c r="BD377" s="357"/>
      <c r="BE377" s="357"/>
      <c r="BF377" s="357"/>
      <c r="BG377" s="357"/>
      <c r="BH377" s="357"/>
      <c r="BI377" s="357"/>
      <c r="BJ377" s="357"/>
      <c r="BK377" s="357"/>
      <c r="BL377" s="357"/>
      <c r="BM377" s="357"/>
      <c r="BN377" s="357"/>
      <c r="BO377" s="357"/>
      <c r="BP377" s="357"/>
      <c r="BQ377" s="357"/>
      <c r="BR377" s="357"/>
      <c r="BS377" s="357"/>
      <c r="BT377" s="357"/>
      <c r="BU377" s="357"/>
      <c r="BV377" s="357"/>
      <c r="BW377" s="357"/>
      <c r="BX377" s="357"/>
      <c r="BY377" s="357"/>
      <c r="BZ377" s="357"/>
      <c r="CA377" s="357"/>
      <c r="CB377" s="357"/>
      <c r="CC377" s="357"/>
      <c r="CD377" s="357"/>
      <c r="CE377" s="357"/>
      <c r="CF377" s="357"/>
      <c r="CG377" s="357"/>
      <c r="CH377" s="357"/>
      <c r="CI377" s="357"/>
      <c r="CJ377" s="357"/>
      <c r="CK377" s="357"/>
      <c r="CL377" s="357"/>
      <c r="CM377" s="357"/>
      <c r="CN377" s="357"/>
      <c r="CO377" s="357"/>
      <c r="CP377" s="357"/>
      <c r="CQ377" s="357"/>
      <c r="CR377" s="357"/>
      <c r="CS377" s="357"/>
      <c r="CT377" s="357"/>
      <c r="CU377" s="357"/>
      <c r="CV377" s="357"/>
      <c r="CW377" s="357"/>
      <c r="CX377" s="357"/>
      <c r="CY377" s="357"/>
      <c r="CZ377" s="357"/>
      <c r="DA377" s="357"/>
      <c r="DB377" s="357"/>
      <c r="DC377" s="357"/>
      <c r="DD377" s="357"/>
      <c r="DE377" s="357"/>
      <c r="DF377" s="357"/>
      <c r="DG377" s="357"/>
      <c r="DH377" s="357"/>
      <c r="DI377" s="357"/>
      <c r="DJ377" s="357"/>
      <c r="DK377" s="357"/>
      <c r="DL377" s="357"/>
      <c r="DM377" s="357"/>
      <c r="DN377" s="357"/>
      <c r="DO377" s="357"/>
      <c r="DP377" s="357"/>
      <c r="DQ377" s="357"/>
      <c r="DR377" s="357"/>
      <c r="DS377" s="357"/>
      <c r="DT377" s="357"/>
      <c r="DU377" s="357"/>
      <c r="DV377" s="357"/>
      <c r="DW377" s="357"/>
      <c r="DX377" s="357"/>
      <c r="DY377" s="357"/>
      <c r="DZ377" s="357"/>
      <c r="EA377" s="357"/>
      <c r="EB377" s="357"/>
      <c r="EC377" s="357"/>
      <c r="ED377" s="357"/>
      <c r="EE377" s="357"/>
      <c r="EF377" s="357"/>
      <c r="EG377" s="357"/>
      <c r="EH377" s="357"/>
      <c r="EI377" s="357"/>
      <c r="EJ377" s="357"/>
      <c r="EK377" s="357"/>
      <c r="EL377" s="357"/>
      <c r="EM377" s="357"/>
      <c r="EN377" s="357"/>
      <c r="EO377" s="357"/>
      <c r="EP377" s="357"/>
      <c r="EQ377" s="357"/>
      <c r="ER377" s="357"/>
      <c r="ES377" s="357"/>
      <c r="ET377" s="357"/>
      <c r="EU377" s="357"/>
      <c r="EV377" s="357"/>
      <c r="EW377" s="357"/>
      <c r="EX377" s="357"/>
      <c r="EY377" s="357"/>
      <c r="EZ377" s="357"/>
      <c r="FA377" s="357"/>
      <c r="FB377" s="357"/>
      <c r="FC377" s="357"/>
      <c r="FD377" s="357"/>
      <c r="FE377" s="357"/>
      <c r="FF377" s="357"/>
      <c r="FG377" s="357"/>
      <c r="FH377" s="357"/>
      <c r="FI377" s="357"/>
      <c r="FJ377" s="357"/>
      <c r="FK377" s="357"/>
      <c r="FL377" s="357"/>
      <c r="FM377" s="357"/>
      <c r="FN377" s="357"/>
      <c r="FO377" s="357"/>
      <c r="FP377" s="357"/>
      <c r="FQ377" s="357"/>
      <c r="FR377" s="357"/>
      <c r="FS377" s="357"/>
      <c r="FT377" s="357"/>
      <c r="FU377" s="357"/>
      <c r="FV377" s="357"/>
      <c r="FW377" s="357"/>
      <c r="FX377" s="357"/>
      <c r="FY377" s="357"/>
      <c r="FZ377" s="357"/>
      <c r="GA377" s="357"/>
      <c r="GB377" s="357"/>
      <c r="GC377" s="357"/>
      <c r="GD377" s="357"/>
      <c r="GE377" s="357"/>
      <c r="GF377" s="357"/>
      <c r="GG377" s="357"/>
      <c r="GH377" s="357"/>
      <c r="GI377" s="357"/>
      <c r="GJ377" s="357"/>
    </row>
    <row r="378" spans="26:192">
      <c r="AE378" s="357"/>
      <c r="AF378" s="357"/>
      <c r="AG378" s="357"/>
      <c r="AH378" s="357"/>
      <c r="AI378" s="357"/>
      <c r="AJ378" s="357"/>
      <c r="AK378" s="357"/>
      <c r="AL378" s="357"/>
      <c r="AM378" s="357"/>
      <c r="AN378" s="357"/>
      <c r="AO378" s="357"/>
      <c r="AP378" s="357"/>
      <c r="AQ378" s="357"/>
      <c r="AR378" s="357"/>
      <c r="AS378" s="357"/>
      <c r="AT378" s="357"/>
      <c r="AU378" s="357"/>
      <c r="AV378" s="357"/>
      <c r="AW378" s="357"/>
      <c r="AX378" s="357"/>
      <c r="AY378" s="357"/>
      <c r="AZ378" s="357"/>
      <c r="BA378" s="357"/>
      <c r="BB378" s="357"/>
      <c r="BC378" s="357"/>
      <c r="BD378" s="357"/>
      <c r="BE378" s="357"/>
      <c r="BF378" s="357"/>
      <c r="BG378" s="357"/>
      <c r="BH378" s="357"/>
      <c r="BI378" s="357"/>
      <c r="BJ378" s="357"/>
      <c r="BK378" s="357"/>
      <c r="BL378" s="357"/>
      <c r="BM378" s="357"/>
      <c r="BN378" s="357"/>
      <c r="BO378" s="357"/>
      <c r="BP378" s="357"/>
      <c r="BQ378" s="357"/>
      <c r="BR378" s="357"/>
      <c r="BS378" s="357"/>
      <c r="BT378" s="357"/>
      <c r="BU378" s="357"/>
      <c r="BV378" s="357"/>
      <c r="BW378" s="357"/>
      <c r="BX378" s="357"/>
      <c r="BY378" s="357"/>
      <c r="BZ378" s="357"/>
      <c r="CA378" s="357"/>
      <c r="CB378" s="357"/>
      <c r="CC378" s="357"/>
      <c r="CD378" s="357"/>
      <c r="CE378" s="357"/>
      <c r="CF378" s="357"/>
      <c r="CG378" s="357"/>
      <c r="CH378" s="357"/>
      <c r="CI378" s="357"/>
      <c r="CJ378" s="357"/>
      <c r="CK378" s="357"/>
      <c r="CL378" s="357"/>
      <c r="CM378" s="357"/>
      <c r="CN378" s="357"/>
      <c r="CO378" s="357"/>
      <c r="CP378" s="357"/>
      <c r="CQ378" s="357"/>
      <c r="CR378" s="357"/>
      <c r="CS378" s="357"/>
      <c r="CT378" s="357"/>
      <c r="CU378" s="357"/>
      <c r="CV378" s="357"/>
      <c r="CW378" s="357"/>
      <c r="CX378" s="357"/>
      <c r="CY378" s="357"/>
      <c r="CZ378" s="357"/>
      <c r="DA378" s="357"/>
      <c r="DB378" s="357"/>
      <c r="DC378" s="357"/>
      <c r="DD378" s="357"/>
      <c r="DE378" s="357"/>
      <c r="DF378" s="357"/>
      <c r="DG378" s="357"/>
      <c r="DH378" s="357"/>
      <c r="DI378" s="357"/>
      <c r="DJ378" s="357"/>
      <c r="DK378" s="357"/>
      <c r="DL378" s="357"/>
      <c r="DM378" s="357"/>
      <c r="DN378" s="357"/>
      <c r="DO378" s="357"/>
      <c r="DP378" s="357"/>
      <c r="DQ378" s="357"/>
      <c r="DR378" s="357"/>
      <c r="DS378" s="357"/>
      <c r="DT378" s="357"/>
      <c r="DU378" s="357"/>
      <c r="DV378" s="357"/>
      <c r="DW378" s="357"/>
      <c r="DX378" s="357"/>
      <c r="DY378" s="357"/>
      <c r="DZ378" s="357"/>
      <c r="EA378" s="357"/>
      <c r="EB378" s="357"/>
      <c r="EC378" s="357"/>
      <c r="ED378" s="357"/>
      <c r="EE378" s="357"/>
      <c r="EF378" s="357"/>
      <c r="EG378" s="357"/>
      <c r="EH378" s="357"/>
      <c r="EI378" s="357"/>
      <c r="EJ378" s="357"/>
      <c r="EK378" s="357"/>
      <c r="EL378" s="357"/>
      <c r="EM378" s="357"/>
      <c r="EN378" s="357"/>
      <c r="EO378" s="357"/>
      <c r="EP378" s="357"/>
      <c r="EQ378" s="357"/>
      <c r="ER378" s="357"/>
      <c r="ES378" s="357"/>
      <c r="ET378" s="357"/>
      <c r="EU378" s="357"/>
      <c r="EV378" s="357"/>
      <c r="EW378" s="357"/>
      <c r="EX378" s="357"/>
      <c r="EY378" s="357"/>
      <c r="EZ378" s="357"/>
      <c r="FA378" s="357"/>
      <c r="FB378" s="357"/>
      <c r="FC378" s="357"/>
      <c r="FD378" s="357"/>
      <c r="FE378" s="357"/>
      <c r="FF378" s="357"/>
      <c r="FG378" s="357"/>
      <c r="FH378" s="357"/>
      <c r="FI378" s="357"/>
      <c r="FJ378" s="357"/>
      <c r="FK378" s="357"/>
      <c r="FL378" s="357"/>
      <c r="FM378" s="357"/>
      <c r="FN378" s="357"/>
      <c r="FO378" s="357"/>
      <c r="FP378" s="357"/>
      <c r="FQ378" s="357"/>
      <c r="FR378" s="357"/>
      <c r="FS378" s="357"/>
      <c r="FT378" s="357"/>
      <c r="FU378" s="357"/>
      <c r="FV378" s="357"/>
      <c r="FW378" s="357"/>
      <c r="FX378" s="357"/>
      <c r="FY378" s="357"/>
      <c r="FZ378" s="357"/>
      <c r="GA378" s="357"/>
      <c r="GB378" s="357"/>
      <c r="GC378" s="357"/>
      <c r="GD378" s="357"/>
      <c r="GE378" s="357"/>
      <c r="GF378" s="357"/>
      <c r="GG378" s="357"/>
      <c r="GH378" s="357"/>
      <c r="GI378" s="357"/>
      <c r="GJ378" s="357"/>
    </row>
    <row r="379" spans="26:192">
      <c r="AE379" s="357"/>
      <c r="AF379" s="357"/>
      <c r="AG379" s="357"/>
      <c r="AH379" s="357"/>
      <c r="AI379" s="357"/>
      <c r="AJ379" s="357"/>
      <c r="AK379" s="357"/>
      <c r="AL379" s="357"/>
      <c r="AM379" s="357"/>
      <c r="AN379" s="357"/>
      <c r="AO379" s="357"/>
      <c r="AP379" s="357"/>
      <c r="AQ379" s="357"/>
      <c r="AR379" s="357"/>
      <c r="AS379" s="357"/>
      <c r="AT379" s="357"/>
      <c r="AU379" s="357"/>
      <c r="AV379" s="357"/>
      <c r="AW379" s="357"/>
      <c r="AX379" s="357"/>
      <c r="AY379" s="357"/>
      <c r="AZ379" s="357"/>
      <c r="BA379" s="357"/>
      <c r="BB379" s="357"/>
      <c r="BC379" s="357"/>
      <c r="BD379" s="357"/>
      <c r="BE379" s="357"/>
      <c r="BF379" s="357"/>
      <c r="BG379" s="357"/>
      <c r="BH379" s="357"/>
      <c r="BI379" s="357"/>
      <c r="BJ379" s="357"/>
      <c r="BK379" s="357"/>
      <c r="BL379" s="357"/>
      <c r="BM379" s="357"/>
      <c r="BN379" s="357"/>
      <c r="BO379" s="357"/>
      <c r="BP379" s="357"/>
      <c r="BQ379" s="357"/>
      <c r="BR379" s="357"/>
      <c r="BS379" s="357"/>
      <c r="BT379" s="357"/>
      <c r="BU379" s="357"/>
      <c r="BV379" s="357"/>
      <c r="BW379" s="357"/>
      <c r="BX379" s="357"/>
      <c r="BY379" s="357"/>
      <c r="BZ379" s="357"/>
      <c r="CA379" s="357"/>
      <c r="CB379" s="357"/>
      <c r="CC379" s="357"/>
      <c r="CD379" s="357"/>
      <c r="CE379" s="357"/>
      <c r="CF379" s="357"/>
      <c r="CG379" s="357"/>
      <c r="CH379" s="357"/>
      <c r="CI379" s="357"/>
      <c r="CJ379" s="357"/>
      <c r="CK379" s="357"/>
      <c r="CL379" s="357"/>
      <c r="CM379" s="357"/>
      <c r="CN379" s="357"/>
      <c r="CO379" s="357"/>
      <c r="CP379" s="357"/>
      <c r="CQ379" s="357"/>
      <c r="CR379" s="357"/>
      <c r="CS379" s="357"/>
      <c r="CT379" s="357"/>
      <c r="CU379" s="357"/>
      <c r="CV379" s="357"/>
      <c r="CW379" s="357"/>
      <c r="CX379" s="357"/>
      <c r="CY379" s="357"/>
      <c r="CZ379" s="357"/>
      <c r="DA379" s="357"/>
      <c r="DB379" s="357"/>
      <c r="DC379" s="357"/>
      <c r="DD379" s="357"/>
      <c r="DE379" s="357"/>
      <c r="DF379" s="357"/>
      <c r="DG379" s="357"/>
      <c r="DH379" s="357"/>
      <c r="DI379" s="357"/>
      <c r="DJ379" s="357"/>
      <c r="DK379" s="357"/>
      <c r="DL379" s="357"/>
      <c r="DM379" s="357"/>
      <c r="DN379" s="357"/>
      <c r="DO379" s="357"/>
      <c r="DP379" s="357"/>
      <c r="DQ379" s="357"/>
      <c r="DR379" s="357"/>
      <c r="DS379" s="357"/>
      <c r="DT379" s="357"/>
      <c r="DU379" s="357"/>
      <c r="DV379" s="357"/>
      <c r="DW379" s="357"/>
      <c r="DX379" s="357"/>
      <c r="DY379" s="357"/>
      <c r="DZ379" s="357"/>
      <c r="EA379" s="357"/>
      <c r="EB379" s="357"/>
      <c r="EC379" s="357"/>
      <c r="ED379" s="357"/>
      <c r="EE379" s="357"/>
      <c r="EF379" s="357"/>
      <c r="EG379" s="357"/>
      <c r="EH379" s="357"/>
      <c r="EI379" s="357"/>
      <c r="EJ379" s="357"/>
      <c r="EK379" s="357"/>
      <c r="EL379" s="357"/>
      <c r="EM379" s="357"/>
      <c r="EN379" s="357"/>
      <c r="EO379" s="357"/>
      <c r="EP379" s="357"/>
      <c r="EQ379" s="357"/>
      <c r="ER379" s="357"/>
      <c r="ES379" s="357"/>
      <c r="ET379" s="357"/>
      <c r="EU379" s="357"/>
      <c r="EV379" s="357"/>
      <c r="EW379" s="357"/>
      <c r="EX379" s="357"/>
      <c r="EY379" s="357"/>
      <c r="EZ379" s="357"/>
      <c r="FA379" s="357"/>
      <c r="FB379" s="357"/>
      <c r="FC379" s="357"/>
      <c r="FD379" s="357"/>
      <c r="FE379" s="357"/>
      <c r="FF379" s="357"/>
      <c r="FG379" s="357"/>
      <c r="FH379" s="357"/>
      <c r="FI379" s="357"/>
      <c r="FJ379" s="357"/>
      <c r="FK379" s="357"/>
      <c r="FL379" s="357"/>
      <c r="FM379" s="357"/>
      <c r="FN379" s="357"/>
      <c r="FO379" s="357"/>
      <c r="FP379" s="357"/>
      <c r="FQ379" s="357"/>
      <c r="FR379" s="357"/>
      <c r="FS379" s="357"/>
      <c r="FT379" s="357"/>
      <c r="FU379" s="357"/>
      <c r="FV379" s="357"/>
      <c r="FW379" s="357"/>
      <c r="FX379" s="357"/>
      <c r="FY379" s="357"/>
      <c r="FZ379" s="357"/>
      <c r="GA379" s="357"/>
      <c r="GB379" s="357"/>
      <c r="GC379" s="357"/>
      <c r="GD379" s="357"/>
      <c r="GE379" s="357"/>
      <c r="GF379" s="357"/>
      <c r="GG379" s="357"/>
      <c r="GH379" s="357"/>
      <c r="GI379" s="357"/>
      <c r="GJ379" s="357"/>
    </row>
    <row r="380" spans="26:192">
      <c r="AE380" s="357"/>
      <c r="AF380" s="357"/>
      <c r="AG380" s="357"/>
      <c r="AH380" s="357"/>
      <c r="AI380" s="357"/>
      <c r="AJ380" s="357"/>
      <c r="AK380" s="357"/>
      <c r="AL380" s="357"/>
      <c r="AM380" s="357"/>
      <c r="AN380" s="357"/>
      <c r="AO380" s="357"/>
      <c r="AP380" s="357"/>
      <c r="AQ380" s="357"/>
      <c r="AR380" s="357"/>
      <c r="AS380" s="357"/>
      <c r="AT380" s="357"/>
      <c r="AU380" s="357"/>
      <c r="AV380" s="357"/>
      <c r="AW380" s="357"/>
      <c r="AX380" s="357"/>
      <c r="AY380" s="357"/>
      <c r="AZ380" s="357"/>
      <c r="BA380" s="357"/>
      <c r="BB380" s="357"/>
      <c r="BC380" s="357"/>
      <c r="BD380" s="357"/>
      <c r="BE380" s="357"/>
      <c r="BF380" s="357"/>
      <c r="BG380" s="357"/>
      <c r="BH380" s="357"/>
      <c r="BI380" s="357"/>
      <c r="BJ380" s="357"/>
      <c r="BK380" s="357"/>
      <c r="BL380" s="357"/>
      <c r="BM380" s="357"/>
      <c r="BN380" s="357"/>
      <c r="BO380" s="357"/>
      <c r="BP380" s="357"/>
      <c r="BQ380" s="357"/>
      <c r="BR380" s="357"/>
      <c r="BS380" s="357"/>
      <c r="BT380" s="357"/>
      <c r="BU380" s="357"/>
      <c r="BV380" s="357"/>
      <c r="BW380" s="357"/>
      <c r="BX380" s="357"/>
      <c r="BY380" s="357"/>
      <c r="BZ380" s="357"/>
      <c r="CA380" s="357"/>
      <c r="CB380" s="357"/>
      <c r="CC380" s="357"/>
      <c r="CD380" s="357"/>
      <c r="CE380" s="357"/>
      <c r="CF380" s="357"/>
      <c r="CG380" s="357"/>
      <c r="CH380" s="357"/>
      <c r="CI380" s="357"/>
      <c r="CJ380" s="357"/>
      <c r="CK380" s="357"/>
      <c r="CL380" s="357"/>
      <c r="CM380" s="357"/>
      <c r="CN380" s="357"/>
      <c r="CO380" s="357"/>
      <c r="CP380" s="357"/>
      <c r="CQ380" s="357"/>
      <c r="CR380" s="357"/>
      <c r="CS380" s="357"/>
      <c r="CT380" s="357"/>
      <c r="CU380" s="357"/>
      <c r="CV380" s="357"/>
      <c r="CW380" s="357"/>
      <c r="CX380" s="357"/>
      <c r="CY380" s="357"/>
      <c r="CZ380" s="357"/>
      <c r="DA380" s="357"/>
      <c r="DB380" s="357"/>
      <c r="DC380" s="357"/>
      <c r="DD380" s="357"/>
      <c r="DE380" s="357"/>
      <c r="DF380" s="357"/>
      <c r="DG380" s="357"/>
      <c r="DH380" s="357"/>
      <c r="DI380" s="357"/>
      <c r="DJ380" s="357"/>
      <c r="DK380" s="357"/>
      <c r="DL380" s="357"/>
      <c r="DM380" s="357"/>
      <c r="DN380" s="357"/>
      <c r="DO380" s="357"/>
      <c r="DP380" s="357"/>
      <c r="DQ380" s="357"/>
      <c r="DR380" s="357"/>
      <c r="DS380" s="357"/>
      <c r="DT380" s="357"/>
      <c r="DU380" s="357"/>
      <c r="DV380" s="357"/>
      <c r="DW380" s="357"/>
      <c r="DX380" s="357"/>
      <c r="DY380" s="357"/>
      <c r="DZ380" s="357"/>
      <c r="EA380" s="357"/>
      <c r="EB380" s="357"/>
      <c r="EC380" s="357"/>
      <c r="ED380" s="357"/>
      <c r="EE380" s="357"/>
      <c r="EF380" s="357"/>
      <c r="EG380" s="357"/>
      <c r="EH380" s="357"/>
      <c r="EI380" s="357"/>
      <c r="EJ380" s="357"/>
      <c r="EK380" s="357"/>
      <c r="EL380" s="357"/>
      <c r="EM380" s="357"/>
      <c r="EN380" s="357"/>
      <c r="EO380" s="357"/>
      <c r="EP380" s="357"/>
      <c r="EQ380" s="357"/>
      <c r="ER380" s="357"/>
      <c r="ES380" s="357"/>
      <c r="ET380" s="357"/>
      <c r="EU380" s="357"/>
      <c r="EV380" s="357"/>
      <c r="EW380" s="357"/>
      <c r="EX380" s="357"/>
      <c r="EY380" s="357"/>
      <c r="EZ380" s="357"/>
      <c r="FA380" s="357"/>
      <c r="FB380" s="357"/>
      <c r="FC380" s="357"/>
      <c r="FD380" s="357"/>
      <c r="FE380" s="357"/>
      <c r="FF380" s="357"/>
      <c r="FG380" s="357"/>
      <c r="FH380" s="357"/>
      <c r="FI380" s="357"/>
      <c r="FJ380" s="357"/>
      <c r="FK380" s="357"/>
      <c r="FL380" s="357"/>
      <c r="FM380" s="357"/>
      <c r="FN380" s="357"/>
      <c r="FO380" s="357"/>
      <c r="FP380" s="357"/>
      <c r="FQ380" s="357"/>
      <c r="FR380" s="357"/>
      <c r="FS380" s="357"/>
      <c r="FT380" s="357"/>
      <c r="FU380" s="357"/>
      <c r="FV380" s="357"/>
      <c r="FW380" s="357"/>
      <c r="FX380" s="357"/>
      <c r="FY380" s="357"/>
      <c r="FZ380" s="357"/>
      <c r="GA380" s="357"/>
      <c r="GB380" s="357"/>
      <c r="GC380" s="357"/>
      <c r="GD380" s="357"/>
      <c r="GE380" s="357"/>
      <c r="GF380" s="357"/>
      <c r="GG380" s="357"/>
      <c r="GH380" s="357"/>
      <c r="GI380" s="357"/>
      <c r="GJ380" s="357"/>
    </row>
  </sheetData>
  <mergeCells count="6">
    <mergeCell ref="R2:R3"/>
    <mergeCell ref="S2:AB2"/>
    <mergeCell ref="F3:Q3"/>
    <mergeCell ref="B2:Q2"/>
    <mergeCell ref="B3:B4"/>
    <mergeCell ref="C3:E3"/>
  </mergeCells>
  <phoneticPr fontId="11" type="noConversion"/>
  <dataValidations count="2">
    <dataValidation type="list" allowBlank="1" showInputMessage="1" showErrorMessage="1" sqref="AD2">
      <formula1>"North,South,East,West,Core"</formula1>
    </dataValidation>
    <dataValidation type="list" allowBlank="1" showInputMessage="1" showErrorMessage="1" sqref="AC2">
      <formula1>"GF, MF, TF"</formula1>
    </dataValidation>
  </dataValidations>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3"/>
  </sheetPr>
  <dimension ref="A1:EW300"/>
  <sheetViews>
    <sheetView showRowColHeaders="0" zoomScale="70" zoomScaleNormal="70" workbookViewId="0">
      <selection activeCell="F56" sqref="F56"/>
    </sheetView>
  </sheetViews>
  <sheetFormatPr defaultRowHeight="12.75"/>
  <cols>
    <col min="1" max="1" width="3.7109375" style="149" customWidth="1"/>
    <col min="2" max="2" width="38.85546875" style="357" bestFit="1" customWidth="1"/>
    <col min="3" max="3" width="12.28515625" style="447" customWidth="1"/>
    <col min="4" max="4" width="20" style="447" customWidth="1"/>
    <col min="5" max="5" width="3.7109375" style="149" customWidth="1"/>
    <col min="6" max="6" width="37.85546875" style="149" bestFit="1" customWidth="1"/>
    <col min="7" max="7" width="8.42578125" style="149" customWidth="1"/>
    <col min="8" max="31" width="15.7109375" style="149" customWidth="1"/>
    <col min="32" max="32" width="15.7109375" style="155" customWidth="1"/>
    <col min="33" max="35" width="15.7109375" style="150" customWidth="1"/>
    <col min="36" max="55" width="15.7109375" style="149" customWidth="1"/>
    <col min="56" max="57" width="9.140625" style="149" customWidth="1"/>
    <col min="58" max="58" width="25.42578125" style="149" customWidth="1"/>
    <col min="59" max="76" width="9.140625" style="149" customWidth="1"/>
    <col min="77" max="16384" width="9.140625" style="149"/>
  </cols>
  <sheetData>
    <row r="1" spans="2:153" ht="12.95" customHeight="1"/>
    <row r="2" spans="2:153" ht="12.95" customHeight="1">
      <c r="B2" s="667" t="s">
        <v>872</v>
      </c>
      <c r="C2" s="668"/>
      <c r="D2" s="669"/>
      <c r="V2" s="154"/>
      <c r="W2" s="154"/>
      <c r="X2" s="154"/>
      <c r="Y2" s="366"/>
      <c r="Z2" s="154"/>
      <c r="AA2" s="154"/>
      <c r="AB2" s="154"/>
      <c r="AC2" s="154"/>
      <c r="AD2" s="154"/>
      <c r="AE2" s="154"/>
      <c r="AF2" s="367"/>
      <c r="AG2" s="368"/>
      <c r="AH2" s="368"/>
      <c r="AI2" s="368"/>
      <c r="AJ2" s="154"/>
      <c r="AK2" s="154"/>
      <c r="AL2" s="154"/>
      <c r="AM2" s="154"/>
      <c r="AN2" s="154"/>
      <c r="AO2" s="154"/>
      <c r="AP2" s="154"/>
      <c r="AQ2" s="154"/>
      <c r="AR2" s="154"/>
      <c r="AS2" s="154"/>
      <c r="AT2" s="154"/>
      <c r="AU2" s="154"/>
      <c r="AV2" s="154"/>
      <c r="AW2" s="154"/>
      <c r="AX2" s="154"/>
      <c r="AY2" s="154"/>
      <c r="AZ2" s="154"/>
      <c r="BA2" s="154"/>
      <c r="BB2" s="154"/>
      <c r="BC2" s="154"/>
      <c r="BD2" s="154"/>
      <c r="BE2" s="154"/>
      <c r="BF2" s="154"/>
      <c r="BG2" s="154"/>
      <c r="BH2" s="154"/>
      <c r="BI2" s="154"/>
      <c r="BJ2" s="154"/>
      <c r="BK2" s="154"/>
      <c r="BL2" s="154"/>
      <c r="BM2" s="154"/>
      <c r="BN2" s="154"/>
      <c r="BO2" s="154"/>
      <c r="BP2" s="154"/>
      <c r="BQ2" s="154"/>
      <c r="BR2" s="154"/>
      <c r="BS2" s="154"/>
      <c r="BT2" s="154"/>
      <c r="BU2" s="154"/>
      <c r="BV2" s="154"/>
      <c r="BW2" s="154"/>
      <c r="BX2" s="154"/>
      <c r="BY2" s="154"/>
      <c r="BZ2" s="154"/>
      <c r="CA2" s="154"/>
      <c r="CB2" s="154"/>
      <c r="CC2" s="154"/>
      <c r="CD2" s="154"/>
      <c r="CE2" s="154"/>
      <c r="CF2" s="154"/>
      <c r="CG2" s="154"/>
      <c r="CH2" s="154"/>
      <c r="CI2" s="154"/>
      <c r="CJ2" s="154"/>
      <c r="CK2" s="154"/>
      <c r="CL2" s="154"/>
      <c r="CM2" s="154"/>
      <c r="CN2" s="154"/>
      <c r="CO2" s="154"/>
      <c r="CP2" s="154"/>
      <c r="CQ2" s="154"/>
      <c r="CR2" s="154"/>
      <c r="CS2" s="154"/>
      <c r="CT2" s="154"/>
      <c r="CU2" s="154"/>
      <c r="CV2" s="154"/>
      <c r="CW2" s="154"/>
      <c r="CX2" s="154"/>
      <c r="CY2" s="154"/>
      <c r="CZ2" s="154"/>
      <c r="DA2" s="154"/>
      <c r="DB2" s="154"/>
      <c r="DC2" s="154"/>
      <c r="DD2" s="154"/>
      <c r="DE2" s="154"/>
      <c r="DF2" s="154"/>
      <c r="DG2" s="154"/>
      <c r="DH2" s="154"/>
      <c r="DI2" s="154"/>
      <c r="DJ2" s="154"/>
      <c r="DK2" s="154"/>
      <c r="DL2" s="154"/>
      <c r="DM2" s="154"/>
      <c r="DN2" s="154"/>
      <c r="DO2" s="154"/>
      <c r="DP2" s="154"/>
      <c r="DQ2" s="154"/>
      <c r="DR2" s="154"/>
      <c r="DS2" s="154"/>
      <c r="DT2" s="154"/>
      <c r="DU2" s="154"/>
      <c r="DV2" s="154"/>
      <c r="DW2" s="154"/>
      <c r="DX2" s="154"/>
      <c r="DY2" s="154"/>
    </row>
    <row r="3" spans="2:153" ht="12.95" customHeight="1">
      <c r="B3" s="363" t="s">
        <v>357</v>
      </c>
      <c r="C3" s="360" t="s">
        <v>212</v>
      </c>
      <c r="D3" s="362" t="s">
        <v>360</v>
      </c>
      <c r="V3" s="154"/>
      <c r="W3" s="154"/>
      <c r="X3" s="154"/>
      <c r="Y3" s="154"/>
      <c r="Z3" s="154"/>
      <c r="AA3" s="154"/>
      <c r="AB3" s="154"/>
      <c r="AC3" s="154"/>
      <c r="AD3" s="154"/>
      <c r="AE3" s="154"/>
      <c r="AF3" s="367"/>
      <c r="AG3" s="368"/>
      <c r="AH3" s="368"/>
      <c r="AI3" s="368"/>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c r="BS3" s="154"/>
      <c r="BT3" s="154"/>
      <c r="BU3" s="154"/>
      <c r="BV3" s="154"/>
      <c r="BW3" s="154"/>
      <c r="BX3" s="154"/>
      <c r="BY3" s="154"/>
      <c r="BZ3" s="154"/>
      <c r="CA3" s="154"/>
      <c r="CB3" s="154"/>
      <c r="CC3" s="154"/>
      <c r="CD3" s="154"/>
      <c r="CE3" s="154"/>
      <c r="CF3" s="154"/>
      <c r="CG3" s="154"/>
      <c r="CH3" s="154"/>
      <c r="CI3" s="154"/>
      <c r="CJ3" s="154"/>
      <c r="CK3" s="154"/>
      <c r="CL3" s="154"/>
      <c r="CM3" s="154"/>
      <c r="CN3" s="154"/>
      <c r="CO3" s="154"/>
      <c r="CP3" s="154"/>
      <c r="CQ3" s="154"/>
      <c r="CR3" s="154"/>
      <c r="CS3" s="154"/>
      <c r="CT3" s="154"/>
      <c r="CU3" s="154"/>
      <c r="CV3" s="154"/>
      <c r="CW3" s="154"/>
      <c r="CX3" s="154"/>
      <c r="CY3" s="154"/>
      <c r="CZ3" s="154"/>
      <c r="DA3" s="154"/>
      <c r="DB3" s="154"/>
      <c r="DC3" s="154"/>
      <c r="DD3" s="154"/>
      <c r="DE3" s="154"/>
      <c r="DF3" s="154"/>
      <c r="DG3" s="154"/>
      <c r="DH3" s="154"/>
      <c r="DI3" s="154"/>
      <c r="DJ3" s="154"/>
      <c r="DK3" s="154"/>
      <c r="DL3" s="154"/>
      <c r="DM3" s="154"/>
      <c r="DN3" s="154"/>
      <c r="DO3" s="154"/>
      <c r="DP3" s="154"/>
      <c r="DQ3" s="154"/>
      <c r="DR3" s="154"/>
      <c r="DS3" s="154"/>
      <c r="DT3" s="154"/>
      <c r="DU3" s="154"/>
      <c r="DV3" s="154"/>
      <c r="DW3" s="154"/>
      <c r="DX3" s="154"/>
      <c r="DY3" s="154"/>
    </row>
    <row r="4" spans="2:153" ht="12.95" customHeight="1">
      <c r="B4" s="363" t="s">
        <v>847</v>
      </c>
      <c r="C4" s="360" t="s">
        <v>212</v>
      </c>
      <c r="D4" s="362" t="s">
        <v>366</v>
      </c>
      <c r="P4" s="154"/>
      <c r="Q4" s="154"/>
      <c r="R4" s="154"/>
      <c r="S4" s="154"/>
      <c r="T4" s="154"/>
      <c r="U4" s="154"/>
      <c r="V4" s="154"/>
      <c r="W4" s="154"/>
      <c r="X4" s="154"/>
      <c r="Y4" s="154"/>
      <c r="Z4" s="154"/>
      <c r="AA4" s="154"/>
      <c r="AB4" s="154"/>
      <c r="AC4" s="154"/>
      <c r="AD4" s="154"/>
      <c r="AE4" s="154"/>
      <c r="AF4" s="367"/>
      <c r="AG4" s="368"/>
      <c r="AH4" s="368"/>
      <c r="AI4" s="368"/>
      <c r="AJ4" s="154"/>
      <c r="AK4" s="154"/>
      <c r="AL4" s="154"/>
      <c r="AM4" s="154"/>
      <c r="AN4" s="154"/>
      <c r="AO4" s="154"/>
      <c r="AP4" s="154"/>
      <c r="AQ4" s="154"/>
      <c r="AR4" s="154"/>
      <c r="AS4" s="154"/>
      <c r="AT4" s="154"/>
      <c r="AU4" s="154"/>
      <c r="AV4" s="154"/>
      <c r="AW4" s="154"/>
      <c r="AX4" s="154"/>
      <c r="AY4" s="154"/>
      <c r="AZ4" s="154"/>
      <c r="BA4" s="154"/>
      <c r="BB4" s="154"/>
      <c r="BC4" s="154"/>
      <c r="BD4" s="154"/>
      <c r="BE4" s="154"/>
      <c r="BF4" s="154"/>
      <c r="BG4" s="154"/>
      <c r="BH4" s="154"/>
      <c r="BI4" s="154"/>
      <c r="BJ4" s="154"/>
      <c r="BK4" s="154"/>
      <c r="BL4" s="154"/>
      <c r="BM4" s="154"/>
      <c r="BN4" s="154"/>
      <c r="BO4" s="154"/>
      <c r="BP4" s="154"/>
      <c r="BQ4" s="154"/>
      <c r="BR4" s="154"/>
      <c r="BS4" s="154"/>
      <c r="BT4" s="154"/>
      <c r="BU4" s="154"/>
      <c r="BV4" s="154"/>
      <c r="BW4" s="154"/>
      <c r="BX4" s="154"/>
      <c r="BY4" s="154"/>
      <c r="BZ4" s="154"/>
      <c r="CA4" s="154"/>
      <c r="CB4" s="154"/>
      <c r="CC4" s="154"/>
      <c r="CD4" s="154"/>
      <c r="CE4" s="154"/>
      <c r="CF4" s="154"/>
      <c r="CG4" s="154"/>
      <c r="CH4" s="154"/>
      <c r="CI4" s="154"/>
      <c r="CJ4" s="154"/>
      <c r="CK4" s="154"/>
      <c r="CL4" s="154"/>
      <c r="CM4" s="154"/>
      <c r="CN4" s="154"/>
      <c r="CO4" s="154"/>
      <c r="CP4" s="154"/>
      <c r="CQ4" s="154"/>
      <c r="CR4" s="154"/>
      <c r="CS4" s="154"/>
      <c r="CT4" s="154"/>
      <c r="CU4" s="154"/>
      <c r="CV4" s="154"/>
      <c r="CW4" s="154"/>
      <c r="CX4" s="154"/>
      <c r="CY4" s="154"/>
      <c r="CZ4" s="154"/>
      <c r="DA4" s="154"/>
      <c r="DB4" s="154"/>
      <c r="DC4" s="154"/>
      <c r="DD4" s="154"/>
      <c r="DE4" s="154"/>
      <c r="DF4" s="154"/>
      <c r="DG4" s="154"/>
      <c r="DH4" s="154"/>
      <c r="DI4" s="154"/>
      <c r="DJ4" s="154"/>
      <c r="DK4" s="154"/>
      <c r="DL4" s="154"/>
      <c r="DM4" s="154"/>
      <c r="DN4" s="154"/>
      <c r="DO4" s="154"/>
      <c r="DP4" s="154"/>
      <c r="DQ4" s="154"/>
      <c r="DR4" s="154"/>
      <c r="DS4" s="154"/>
      <c r="DT4" s="154"/>
      <c r="DU4" s="154"/>
      <c r="DV4" s="154"/>
      <c r="DW4" s="154"/>
      <c r="DX4" s="154"/>
      <c r="DY4" s="154"/>
      <c r="DZ4" s="154"/>
      <c r="EA4" s="154"/>
      <c r="EB4" s="154"/>
      <c r="EC4" s="154"/>
      <c r="ED4" s="154"/>
      <c r="EE4" s="154"/>
      <c r="EF4" s="154"/>
      <c r="EG4" s="154"/>
      <c r="EH4" s="154"/>
      <c r="EI4" s="154"/>
      <c r="EJ4" s="154"/>
      <c r="EK4" s="154"/>
      <c r="EL4" s="154"/>
      <c r="EM4" s="154"/>
      <c r="EN4" s="154"/>
      <c r="EO4" s="154"/>
      <c r="EP4" s="154"/>
      <c r="EQ4" s="154"/>
      <c r="ER4" s="154"/>
      <c r="ES4" s="154"/>
      <c r="ET4" s="154"/>
      <c r="EU4" s="154"/>
      <c r="EV4" s="154"/>
      <c r="EW4" s="154"/>
    </row>
    <row r="5" spans="2:153" ht="12.95" customHeight="1">
      <c r="B5" s="363" t="s">
        <v>848</v>
      </c>
      <c r="C5" s="360" t="s">
        <v>212</v>
      </c>
      <c r="D5" s="592" t="s">
        <v>365</v>
      </c>
      <c r="P5" s="154"/>
      <c r="Q5" s="154"/>
      <c r="R5" s="154"/>
      <c r="S5" s="154"/>
      <c r="T5" s="154"/>
      <c r="U5" s="154"/>
      <c r="V5" s="154"/>
      <c r="W5" s="154"/>
      <c r="X5" s="154"/>
      <c r="Y5" s="154"/>
      <c r="Z5" s="154"/>
      <c r="AA5" s="154"/>
      <c r="AB5" s="154"/>
      <c r="AC5" s="154"/>
      <c r="AD5" s="154"/>
      <c r="AE5" s="154"/>
      <c r="AF5" s="367"/>
      <c r="AG5" s="368"/>
      <c r="AH5" s="368"/>
      <c r="AI5" s="368"/>
      <c r="AJ5" s="154"/>
      <c r="AK5" s="154"/>
      <c r="AL5" s="154"/>
      <c r="AM5" s="154"/>
      <c r="AN5" s="154"/>
      <c r="AO5" s="154"/>
      <c r="AP5" s="154"/>
      <c r="AQ5" s="154"/>
      <c r="AR5" s="154"/>
      <c r="AS5" s="154"/>
      <c r="AT5" s="154"/>
      <c r="AU5" s="154"/>
      <c r="AV5" s="154"/>
      <c r="AW5" s="154"/>
      <c r="AX5" s="154"/>
      <c r="AY5" s="154"/>
      <c r="AZ5" s="154"/>
      <c r="BA5" s="154"/>
      <c r="BB5" s="154"/>
      <c r="BC5" s="154"/>
      <c r="BD5" s="154"/>
      <c r="BE5" s="154"/>
      <c r="BF5" s="154"/>
      <c r="BG5" s="154"/>
      <c r="BH5" s="154"/>
      <c r="BI5" s="154"/>
      <c r="BJ5" s="154"/>
      <c r="BK5" s="154"/>
      <c r="BL5" s="154"/>
      <c r="BM5" s="154"/>
      <c r="BN5" s="154"/>
      <c r="BO5" s="154"/>
      <c r="BP5" s="154"/>
      <c r="BQ5" s="154"/>
      <c r="BR5" s="154"/>
      <c r="BS5" s="154"/>
      <c r="BT5" s="154"/>
      <c r="BU5" s="154"/>
      <c r="BV5" s="154"/>
      <c r="BW5" s="154"/>
      <c r="BX5" s="154"/>
      <c r="BY5" s="154"/>
      <c r="BZ5" s="154"/>
      <c r="CA5" s="154"/>
      <c r="CB5" s="154"/>
      <c r="CC5" s="154"/>
      <c r="CD5" s="154"/>
      <c r="CE5" s="154"/>
      <c r="CF5" s="154"/>
      <c r="CG5" s="154"/>
      <c r="CH5" s="154"/>
      <c r="CI5" s="154"/>
      <c r="CJ5" s="154"/>
      <c r="CK5" s="154"/>
      <c r="CL5" s="154"/>
      <c r="CM5" s="154"/>
      <c r="CN5" s="154"/>
      <c r="CO5" s="154"/>
      <c r="CP5" s="154"/>
      <c r="CQ5" s="154"/>
      <c r="CR5" s="154"/>
      <c r="CS5" s="154"/>
      <c r="CT5" s="154"/>
      <c r="CU5" s="154"/>
      <c r="CV5" s="154"/>
      <c r="CW5" s="154"/>
      <c r="CX5" s="154"/>
      <c r="CY5" s="154"/>
      <c r="CZ5" s="154"/>
      <c r="DA5" s="154"/>
      <c r="DB5" s="154"/>
      <c r="DC5" s="154"/>
      <c r="DD5" s="154"/>
      <c r="DE5" s="154"/>
      <c r="DF5" s="154"/>
      <c r="DG5" s="154"/>
      <c r="DH5" s="154"/>
      <c r="DI5" s="154"/>
      <c r="DJ5" s="154"/>
      <c r="DK5" s="154"/>
      <c r="DL5" s="154"/>
      <c r="DM5" s="154"/>
      <c r="DN5" s="154"/>
      <c r="DO5" s="154"/>
      <c r="DP5" s="154"/>
      <c r="DQ5" s="154"/>
      <c r="DR5" s="154"/>
      <c r="DS5" s="154"/>
      <c r="DT5" s="154"/>
      <c r="DU5" s="154"/>
      <c r="DV5" s="154"/>
      <c r="DW5" s="154"/>
      <c r="DX5" s="154"/>
      <c r="DY5" s="154"/>
      <c r="DZ5" s="154"/>
      <c r="EA5" s="154"/>
      <c r="EB5" s="154"/>
      <c r="EC5" s="154"/>
      <c r="ED5" s="154"/>
      <c r="EE5" s="154"/>
      <c r="EF5" s="154"/>
      <c r="EG5" s="154"/>
      <c r="EH5" s="154"/>
      <c r="EI5" s="154"/>
      <c r="EJ5" s="154"/>
      <c r="EK5" s="154"/>
      <c r="EL5" s="154"/>
      <c r="EM5" s="154"/>
      <c r="EN5" s="154"/>
      <c r="EO5" s="154"/>
      <c r="EP5" s="154"/>
      <c r="EQ5" s="154"/>
      <c r="ER5" s="154"/>
      <c r="ES5" s="154"/>
      <c r="ET5" s="154"/>
      <c r="EU5" s="154"/>
      <c r="EV5" s="154"/>
      <c r="EW5" s="154"/>
    </row>
    <row r="6" spans="2:153" ht="12.95" customHeight="1">
      <c r="B6" s="363" t="s">
        <v>70</v>
      </c>
      <c r="C6" s="360" t="s">
        <v>212</v>
      </c>
      <c r="D6" s="362">
        <v>1</v>
      </c>
      <c r="P6" s="154"/>
      <c r="Q6" s="154"/>
      <c r="R6" s="154"/>
      <c r="S6" s="154"/>
      <c r="T6" s="154"/>
      <c r="U6" s="154"/>
      <c r="V6" s="154"/>
      <c r="W6" s="154"/>
      <c r="X6" s="154"/>
      <c r="Y6" s="154"/>
      <c r="Z6" s="154"/>
      <c r="AA6" s="154"/>
      <c r="AB6" s="154"/>
      <c r="AC6" s="154"/>
      <c r="AD6" s="154"/>
      <c r="AE6" s="154"/>
      <c r="AF6" s="367"/>
      <c r="AG6" s="368"/>
      <c r="AH6" s="368"/>
      <c r="AI6" s="368"/>
      <c r="AJ6" s="154"/>
      <c r="AK6" s="154"/>
      <c r="AL6" s="154"/>
      <c r="AM6" s="154"/>
      <c r="AN6" s="154"/>
      <c r="AO6" s="154"/>
      <c r="AP6" s="154"/>
      <c r="AQ6" s="154"/>
      <c r="AR6" s="154"/>
      <c r="AS6" s="154"/>
      <c r="AT6" s="154"/>
      <c r="AU6" s="154"/>
      <c r="AV6" s="154"/>
      <c r="AW6" s="154"/>
      <c r="AX6" s="154"/>
      <c r="AY6" s="154"/>
      <c r="AZ6" s="154"/>
      <c r="BA6" s="154"/>
      <c r="BB6" s="154"/>
      <c r="BC6" s="154"/>
      <c r="BD6" s="154"/>
      <c r="BE6" s="154"/>
      <c r="BF6" s="154"/>
      <c r="BG6" s="154"/>
      <c r="BH6" s="154"/>
      <c r="BI6" s="154"/>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154"/>
      <c r="DW6" s="154"/>
      <c r="DX6" s="154"/>
      <c r="DY6" s="154"/>
      <c r="DZ6" s="154"/>
      <c r="EA6" s="154"/>
      <c r="EB6" s="154"/>
      <c r="EC6" s="154"/>
      <c r="ED6" s="154"/>
      <c r="EE6" s="154"/>
      <c r="EF6" s="154"/>
      <c r="EG6" s="154"/>
      <c r="EH6" s="154"/>
      <c r="EI6" s="154"/>
      <c r="EJ6" s="154"/>
      <c r="EK6" s="154"/>
      <c r="EL6" s="154"/>
      <c r="EM6" s="154"/>
      <c r="EN6" s="154"/>
      <c r="EO6" s="154"/>
      <c r="EP6" s="154"/>
      <c r="EQ6" s="154"/>
      <c r="ER6" s="154"/>
      <c r="ES6" s="154"/>
      <c r="ET6" s="154"/>
      <c r="EU6" s="154"/>
      <c r="EV6" s="154"/>
      <c r="EW6" s="154"/>
    </row>
    <row r="7" spans="2:153" ht="12.95" customHeight="1">
      <c r="B7" s="363" t="s">
        <v>849</v>
      </c>
      <c r="C7" s="360" t="s">
        <v>212</v>
      </c>
      <c r="D7" s="362">
        <v>2</v>
      </c>
      <c r="P7" s="154"/>
      <c r="Q7" s="154"/>
      <c r="R7" s="154"/>
      <c r="S7" s="154"/>
      <c r="T7" s="379"/>
      <c r="U7" s="154"/>
      <c r="V7" s="154"/>
      <c r="W7" s="154"/>
      <c r="X7" s="154"/>
      <c r="Y7" s="154"/>
      <c r="Z7" s="154"/>
      <c r="AA7" s="154"/>
      <c r="AB7" s="154"/>
      <c r="AC7" s="154"/>
      <c r="AD7" s="154"/>
      <c r="AE7" s="154"/>
      <c r="AF7" s="367"/>
      <c r="AG7" s="368"/>
      <c r="AH7" s="368"/>
      <c r="AI7" s="368"/>
      <c r="AJ7" s="154"/>
      <c r="AK7" s="154"/>
      <c r="AL7" s="154"/>
      <c r="AM7" s="154"/>
      <c r="AN7" s="154"/>
      <c r="AO7" s="154"/>
      <c r="AP7" s="154"/>
      <c r="AQ7" s="154"/>
      <c r="AR7" s="154"/>
      <c r="AS7" s="154"/>
      <c r="AT7" s="154"/>
      <c r="AU7" s="154"/>
      <c r="AV7" s="154"/>
      <c r="AW7" s="154"/>
      <c r="AX7" s="154"/>
      <c r="AY7" s="154"/>
      <c r="AZ7" s="154"/>
      <c r="BA7" s="154"/>
      <c r="BB7" s="154"/>
      <c r="BC7" s="154"/>
      <c r="BD7" s="154"/>
      <c r="BE7" s="154"/>
      <c r="BF7" s="154"/>
      <c r="BG7" s="154"/>
      <c r="BH7" s="154"/>
      <c r="BI7" s="154"/>
      <c r="BJ7" s="154"/>
      <c r="BK7" s="154"/>
      <c r="BL7" s="154"/>
      <c r="BM7" s="154"/>
      <c r="BN7" s="154"/>
      <c r="BO7" s="154"/>
      <c r="BP7" s="154"/>
      <c r="BQ7" s="154"/>
      <c r="BR7" s="154"/>
      <c r="BS7" s="154"/>
      <c r="BT7" s="154"/>
      <c r="BU7" s="154"/>
      <c r="BV7" s="154"/>
      <c r="BW7" s="154"/>
      <c r="BX7" s="154"/>
      <c r="BY7" s="154"/>
      <c r="BZ7" s="154"/>
      <c r="CA7" s="154"/>
      <c r="CB7" s="154"/>
      <c r="CC7" s="154"/>
      <c r="CD7" s="154"/>
      <c r="CE7" s="154"/>
      <c r="CF7" s="154"/>
      <c r="CG7" s="154"/>
      <c r="CH7" s="154"/>
      <c r="CI7" s="154"/>
      <c r="CJ7" s="154"/>
      <c r="CK7" s="154"/>
      <c r="CL7" s="154"/>
      <c r="CM7" s="154"/>
      <c r="CN7" s="154"/>
      <c r="CO7" s="154"/>
      <c r="CP7" s="154"/>
      <c r="CQ7" s="154"/>
      <c r="CR7" s="154"/>
      <c r="CS7" s="154"/>
      <c r="CT7" s="154"/>
      <c r="CU7" s="154"/>
      <c r="CV7" s="154"/>
      <c r="CW7" s="154"/>
      <c r="CX7" s="154"/>
      <c r="CY7" s="154"/>
      <c r="CZ7" s="154"/>
      <c r="DA7" s="154"/>
      <c r="DB7" s="154"/>
      <c r="DC7" s="154"/>
      <c r="DD7" s="154"/>
      <c r="DE7" s="154"/>
      <c r="DF7" s="154"/>
      <c r="DG7" s="154"/>
      <c r="DH7" s="154"/>
      <c r="DI7" s="154"/>
      <c r="DJ7" s="154"/>
      <c r="DK7" s="154"/>
      <c r="DL7" s="154"/>
      <c r="DM7" s="154"/>
      <c r="DN7" s="154"/>
      <c r="DO7" s="154"/>
      <c r="DP7" s="154"/>
      <c r="DQ7" s="154"/>
      <c r="DR7" s="154"/>
      <c r="DS7" s="154"/>
      <c r="DT7" s="154"/>
      <c r="DU7" s="154"/>
      <c r="DV7" s="154"/>
      <c r="DW7" s="154"/>
      <c r="DX7" s="154"/>
      <c r="DY7" s="154"/>
      <c r="DZ7" s="154"/>
      <c r="EA7" s="154"/>
      <c r="EB7" s="154"/>
      <c r="EC7" s="154"/>
      <c r="ED7" s="154"/>
      <c r="EE7" s="154"/>
      <c r="EF7" s="154"/>
      <c r="EG7" s="154"/>
      <c r="EH7" s="154"/>
      <c r="EI7" s="154"/>
      <c r="EJ7" s="154"/>
      <c r="EK7" s="154"/>
      <c r="EL7" s="154"/>
      <c r="EM7" s="154"/>
      <c r="EN7" s="154"/>
      <c r="EO7" s="154"/>
      <c r="EP7" s="154"/>
      <c r="EQ7" s="154"/>
      <c r="ER7" s="154"/>
      <c r="ES7" s="154"/>
      <c r="ET7" s="154"/>
      <c r="EU7" s="154"/>
      <c r="EV7" s="154"/>
      <c r="EW7" s="154"/>
    </row>
    <row r="8" spans="2:153" ht="12.95" customHeight="1">
      <c r="B8" s="363" t="s">
        <v>850</v>
      </c>
      <c r="C8" s="360" t="s">
        <v>212</v>
      </c>
      <c r="D8" s="362">
        <v>15</v>
      </c>
      <c r="P8" s="154"/>
      <c r="Q8" s="154"/>
      <c r="R8" s="154"/>
      <c r="S8" s="379"/>
      <c r="T8" s="379"/>
      <c r="U8" s="154"/>
      <c r="V8" s="154"/>
      <c r="W8" s="154"/>
      <c r="X8" s="154"/>
      <c r="Y8" s="154"/>
      <c r="Z8" s="154"/>
      <c r="AA8" s="154"/>
      <c r="AB8" s="154"/>
      <c r="AC8" s="154"/>
      <c r="AD8" s="154"/>
      <c r="AE8" s="154"/>
      <c r="AF8" s="367"/>
      <c r="AG8" s="368"/>
      <c r="AH8" s="368"/>
      <c r="AI8" s="368"/>
      <c r="AJ8" s="154"/>
      <c r="AK8" s="154"/>
      <c r="AL8" s="154"/>
      <c r="AM8" s="154"/>
      <c r="AN8" s="154"/>
      <c r="AO8" s="154"/>
      <c r="AP8" s="154"/>
      <c r="AQ8" s="154"/>
      <c r="AR8" s="154"/>
      <c r="AS8" s="154"/>
      <c r="AT8" s="154"/>
      <c r="AU8" s="154"/>
      <c r="AV8" s="154"/>
      <c r="AW8" s="154"/>
      <c r="AX8" s="154"/>
      <c r="AY8" s="154"/>
      <c r="AZ8" s="154"/>
      <c r="BA8" s="154"/>
      <c r="BB8" s="154"/>
      <c r="BC8" s="154"/>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4"/>
      <c r="DM8" s="154"/>
      <c r="DN8" s="154"/>
      <c r="DO8" s="154"/>
      <c r="DP8" s="154"/>
      <c r="DQ8" s="154"/>
      <c r="DR8" s="154"/>
      <c r="DS8" s="154"/>
      <c r="DT8" s="154"/>
      <c r="DU8" s="154"/>
      <c r="DV8" s="154"/>
      <c r="DW8" s="154"/>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row>
    <row r="9" spans="2:153" ht="12.95" customHeight="1">
      <c r="B9" s="363" t="s">
        <v>851</v>
      </c>
      <c r="C9" s="360" t="s">
        <v>212</v>
      </c>
      <c r="D9" s="448" t="str">
        <f>'graph data'!$C$5</f>
        <v xml:space="preserve"> 07/21  15:00:00</v>
      </c>
      <c r="P9" s="154"/>
      <c r="Q9" s="154"/>
      <c r="R9" s="154"/>
      <c r="S9" s="679"/>
      <c r="T9" s="679"/>
      <c r="U9" s="154"/>
      <c r="V9" s="154"/>
      <c r="W9" s="154"/>
      <c r="X9" s="154"/>
      <c r="Y9" s="154"/>
      <c r="Z9" s="154"/>
      <c r="AA9" s="154"/>
      <c r="AB9" s="154"/>
      <c r="AC9" s="154"/>
      <c r="AD9" s="154"/>
      <c r="AE9" s="154"/>
      <c r="AF9" s="367"/>
      <c r="AG9" s="368"/>
      <c r="AH9" s="368"/>
      <c r="AI9" s="368"/>
      <c r="AJ9" s="154"/>
      <c r="AK9" s="154"/>
      <c r="AL9" s="154"/>
      <c r="AM9" s="154"/>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row>
    <row r="10" spans="2:153" ht="12.95" customHeight="1">
      <c r="B10" s="363" t="s">
        <v>852</v>
      </c>
      <c r="C10" s="360" t="s">
        <v>212</v>
      </c>
      <c r="D10" s="448" t="str">
        <f>IF('graph data'!B148=1,"Sunday",IF('graph data'!B148=2,"Monday",IF('graph data'!B148=3,"Tuesday",IF('graph data'!B148=4,"Wednesday",IF('graph data'!B148=5,"Thursday",IF('graph data'!B148=6,"Friday",IF('graph data'!B148=9, "Summer Design", IF('graph data'!B148=10, "Winter Design", "Saturday"))))))))</f>
        <v>Summer Design</v>
      </c>
      <c r="E10" s="158"/>
      <c r="F10" s="218"/>
      <c r="K10" s="150"/>
      <c r="P10" s="154"/>
      <c r="Q10" s="154"/>
      <c r="R10" s="154"/>
      <c r="S10" s="679"/>
      <c r="T10" s="679"/>
      <c r="U10" s="154"/>
      <c r="V10" s="154"/>
      <c r="W10" s="154"/>
      <c r="X10" s="154"/>
      <c r="Y10" s="154"/>
      <c r="Z10" s="154"/>
      <c r="AA10" s="154"/>
      <c r="AB10" s="154"/>
      <c r="AC10" s="154"/>
      <c r="AD10" s="154"/>
      <c r="AE10" s="154"/>
      <c r="AF10" s="367"/>
      <c r="AG10" s="368"/>
      <c r="AH10" s="368"/>
      <c r="AI10" s="368"/>
      <c r="AJ10" s="154"/>
      <c r="AK10" s="154"/>
      <c r="AL10" s="154"/>
      <c r="AM10" s="154"/>
      <c r="AN10" s="154"/>
      <c r="AO10" s="154"/>
      <c r="AP10" s="154"/>
      <c r="AQ10" s="154"/>
      <c r="AR10" s="154"/>
      <c r="AS10" s="154"/>
      <c r="AT10" s="154"/>
      <c r="AU10" s="154"/>
      <c r="AV10" s="154"/>
      <c r="AW10" s="154"/>
      <c r="AX10" s="154"/>
      <c r="AY10" s="154"/>
      <c r="AZ10" s="154"/>
      <c r="BA10" s="154"/>
      <c r="BB10" s="154"/>
      <c r="BC10" s="154"/>
      <c r="BD10" s="154"/>
      <c r="BE10" s="154"/>
      <c r="BF10" s="154"/>
      <c r="BG10" s="154"/>
      <c r="BH10" s="154"/>
      <c r="BI10" s="154"/>
      <c r="BJ10" s="154"/>
      <c r="BK10" s="154"/>
      <c r="BL10" s="154"/>
      <c r="BM10" s="154"/>
      <c r="BN10" s="154"/>
      <c r="BO10" s="154"/>
      <c r="BP10" s="154"/>
      <c r="BQ10" s="154"/>
      <c r="BR10" s="154"/>
      <c r="BS10" s="154"/>
      <c r="BT10" s="154"/>
      <c r="BU10" s="154"/>
      <c r="BV10" s="154"/>
      <c r="BW10" s="154"/>
      <c r="BX10" s="154"/>
      <c r="BY10" s="154"/>
      <c r="BZ10" s="154"/>
      <c r="CA10" s="154"/>
      <c r="CB10" s="154"/>
      <c r="CC10" s="154"/>
      <c r="CD10" s="154"/>
      <c r="CE10" s="154"/>
      <c r="CF10" s="154"/>
      <c r="CG10" s="154"/>
      <c r="CH10" s="154"/>
      <c r="CI10" s="154"/>
      <c r="CJ10" s="154"/>
      <c r="CK10" s="154"/>
      <c r="CL10" s="154"/>
      <c r="CM10" s="154"/>
      <c r="CN10" s="154"/>
      <c r="CO10" s="154"/>
      <c r="CP10" s="154"/>
      <c r="CQ10" s="154"/>
      <c r="CR10" s="154"/>
      <c r="CS10" s="154"/>
      <c r="CT10" s="154"/>
      <c r="CU10" s="154"/>
      <c r="CV10" s="154"/>
      <c r="CW10" s="154"/>
      <c r="CX10" s="154"/>
      <c r="CY10" s="154"/>
      <c r="CZ10" s="154"/>
      <c r="DA10" s="154"/>
      <c r="DB10" s="154"/>
      <c r="DC10" s="154"/>
      <c r="DD10" s="154"/>
      <c r="DE10" s="154"/>
      <c r="DF10" s="154"/>
      <c r="DG10" s="154"/>
      <c r="DH10" s="154"/>
      <c r="DI10" s="154"/>
      <c r="DJ10" s="154"/>
      <c r="DK10" s="154"/>
      <c r="DL10" s="154"/>
      <c r="DM10" s="154"/>
      <c r="DN10" s="154"/>
      <c r="DO10" s="154"/>
      <c r="DP10" s="154"/>
      <c r="DQ10" s="154"/>
      <c r="DR10" s="154"/>
      <c r="DS10" s="154"/>
      <c r="DT10" s="154"/>
      <c r="DU10" s="154"/>
      <c r="DV10" s="154"/>
      <c r="DW10" s="154"/>
      <c r="DX10" s="154"/>
      <c r="DY10" s="154"/>
      <c r="DZ10" s="154"/>
      <c r="EA10" s="154"/>
      <c r="EB10" s="154"/>
      <c r="EC10" s="154"/>
      <c r="ED10" s="154"/>
      <c r="EE10" s="154"/>
      <c r="EF10" s="154"/>
      <c r="EG10" s="154"/>
      <c r="EH10" s="154"/>
      <c r="EI10" s="154"/>
      <c r="EJ10" s="154"/>
      <c r="EK10" s="154"/>
      <c r="EL10" s="154"/>
      <c r="EM10" s="154"/>
      <c r="EN10" s="154"/>
      <c r="EO10" s="154"/>
      <c r="EP10" s="154"/>
      <c r="EQ10" s="154"/>
      <c r="ER10" s="154"/>
      <c r="ES10" s="154"/>
      <c r="ET10" s="154"/>
      <c r="EU10" s="154"/>
      <c r="EV10" s="154"/>
      <c r="EW10" s="154"/>
    </row>
    <row r="11" spans="2:153" ht="12.95" customHeight="1">
      <c r="B11" s="363" t="str">
        <f>"Area of the "&amp;Int_zone&amp;" zone"</f>
        <v>Area of the Core zone</v>
      </c>
      <c r="C11" s="360" t="s">
        <v>627</v>
      </c>
      <c r="D11" s="449">
        <f>IF(Int_zone="Core",Core_Area*10.76,Service_Area*10.76)</f>
        <v>12239.23585417886</v>
      </c>
      <c r="E11" s="158"/>
      <c r="K11" s="150"/>
      <c r="P11" s="154"/>
      <c r="Q11" s="154"/>
      <c r="R11" s="154"/>
      <c r="S11" s="380"/>
      <c r="T11" s="381"/>
      <c r="U11" s="154"/>
      <c r="V11" s="154"/>
      <c r="W11" s="154"/>
      <c r="X11" s="154"/>
      <c r="Y11" s="154"/>
      <c r="Z11" s="154"/>
      <c r="AA11" s="154"/>
      <c r="AB11" s="154"/>
      <c r="AC11" s="154"/>
      <c r="AD11" s="154"/>
      <c r="AE11" s="154"/>
      <c r="AF11" s="367"/>
      <c r="AG11" s="368"/>
      <c r="AH11" s="368"/>
      <c r="AI11" s="368"/>
      <c r="AJ11" s="154"/>
      <c r="AK11" s="154"/>
      <c r="AL11" s="154"/>
      <c r="AM11" s="154"/>
      <c r="AN11" s="154"/>
      <c r="AO11" s="154"/>
      <c r="AP11" s="154"/>
      <c r="AQ11" s="154"/>
      <c r="AR11" s="154"/>
      <c r="AS11" s="154"/>
      <c r="AT11" s="154"/>
      <c r="AU11" s="154"/>
      <c r="AV11" s="154"/>
      <c r="AW11" s="154"/>
      <c r="AX11" s="154"/>
      <c r="AY11" s="154"/>
      <c r="AZ11" s="154"/>
      <c r="BA11" s="154"/>
      <c r="BB11" s="154"/>
      <c r="BC11" s="154"/>
      <c r="BD11" s="154"/>
      <c r="BE11" s="154"/>
      <c r="BF11" s="154"/>
      <c r="BG11" s="154"/>
      <c r="BH11" s="154"/>
      <c r="BI11" s="154"/>
      <c r="BJ11" s="154"/>
      <c r="BK11" s="154"/>
      <c r="BL11" s="154"/>
      <c r="BM11" s="154"/>
      <c r="BN11" s="154"/>
      <c r="BO11" s="154"/>
      <c r="BP11" s="154"/>
      <c r="BQ11" s="154"/>
      <c r="BR11" s="154"/>
      <c r="BS11" s="154"/>
      <c r="BT11" s="154"/>
      <c r="BU11" s="154"/>
      <c r="BV11" s="154"/>
      <c r="BW11" s="154"/>
      <c r="BX11" s="154"/>
      <c r="BY11" s="154"/>
      <c r="BZ11" s="154"/>
      <c r="CA11" s="154"/>
      <c r="CB11" s="154"/>
      <c r="CC11" s="154"/>
      <c r="CD11" s="154"/>
      <c r="CE11" s="154"/>
      <c r="CF11" s="154"/>
      <c r="CG11" s="154"/>
      <c r="CH11" s="154"/>
      <c r="CI11" s="154"/>
      <c r="CJ11" s="154"/>
      <c r="CK11" s="154"/>
      <c r="CL11" s="154"/>
      <c r="CM11" s="154"/>
      <c r="CN11" s="154"/>
      <c r="CO11" s="154"/>
      <c r="CP11" s="154"/>
      <c r="CQ11" s="154"/>
      <c r="CR11" s="154"/>
      <c r="CS11" s="154"/>
      <c r="CT11" s="154"/>
      <c r="CU11" s="154"/>
      <c r="CV11" s="154"/>
      <c r="CW11" s="154"/>
      <c r="CX11" s="154"/>
      <c r="CY11" s="154"/>
      <c r="CZ11" s="154"/>
      <c r="DA11" s="154"/>
      <c r="DB11" s="154"/>
      <c r="DC11" s="154"/>
      <c r="DD11" s="154"/>
      <c r="DE11" s="154"/>
      <c r="DF11" s="154"/>
      <c r="DG11" s="154"/>
      <c r="DH11" s="154"/>
      <c r="DI11" s="154"/>
      <c r="DJ11" s="154"/>
      <c r="DK11" s="154"/>
      <c r="DL11" s="154"/>
      <c r="DM11" s="154"/>
      <c r="DN11" s="154"/>
      <c r="DO11" s="154"/>
      <c r="DP11" s="154"/>
      <c r="DQ11" s="154"/>
      <c r="DR11" s="154"/>
      <c r="DS11" s="154"/>
      <c r="DT11" s="154"/>
      <c r="DU11" s="154"/>
      <c r="DV11" s="154"/>
      <c r="DW11" s="154"/>
      <c r="DX11" s="154"/>
      <c r="DY11" s="154"/>
      <c r="DZ11" s="154"/>
      <c r="EA11" s="154"/>
      <c r="EB11" s="154"/>
      <c r="EC11" s="154"/>
      <c r="ED11" s="154"/>
      <c r="EE11" s="154"/>
      <c r="EF11" s="154"/>
      <c r="EG11" s="154"/>
      <c r="EH11" s="154"/>
      <c r="EI11" s="154"/>
      <c r="EJ11" s="154"/>
      <c r="EK11" s="154"/>
      <c r="EL11" s="154"/>
      <c r="EM11" s="154"/>
      <c r="EN11" s="154"/>
      <c r="EO11" s="154"/>
      <c r="EP11" s="154"/>
      <c r="EQ11" s="154"/>
      <c r="ER11" s="154"/>
      <c r="ES11" s="154"/>
      <c r="ET11" s="154"/>
      <c r="EU11" s="154"/>
      <c r="EV11" s="154"/>
      <c r="EW11" s="154"/>
    </row>
    <row r="12" spans="2:153" ht="12.95" customHeight="1">
      <c r="B12" s="395" t="str">
        <f>"Area of the "&amp;perim_zone&amp;" zone"</f>
        <v>Area of the West zone</v>
      </c>
      <c r="C12" s="364" t="s">
        <v>627</v>
      </c>
      <c r="D12" s="450">
        <f>IF(perim_zone="East",EW_Area*10.76,IF(perim_zone="West",EW_Area*10.76,IF(perim_zone="South",SN_Area*10.76,IF(perim_zone="North",SN_Area*10.76))))</f>
        <v>1507.1461367192546</v>
      </c>
      <c r="K12" s="150"/>
      <c r="P12" s="154"/>
      <c r="Q12" s="154"/>
      <c r="R12" s="154"/>
      <c r="S12" s="154"/>
      <c r="T12" s="154"/>
      <c r="U12" s="154"/>
      <c r="V12" s="154"/>
      <c r="W12" s="154"/>
      <c r="X12" s="154"/>
      <c r="Y12" s="154"/>
      <c r="Z12" s="154"/>
      <c r="AA12" s="154"/>
      <c r="AB12" s="154"/>
      <c r="AC12" s="154"/>
      <c r="AD12" s="154"/>
      <c r="AE12" s="154"/>
      <c r="AF12" s="367"/>
      <c r="AG12" s="368"/>
      <c r="AH12" s="368"/>
      <c r="AI12" s="368"/>
      <c r="AJ12" s="154"/>
      <c r="AK12" s="154"/>
      <c r="AL12" s="154"/>
      <c r="AM12" s="154"/>
      <c r="AN12" s="154"/>
      <c r="AO12" s="154"/>
      <c r="AP12" s="154"/>
      <c r="AQ12" s="154"/>
      <c r="AR12" s="154"/>
      <c r="AS12" s="154"/>
      <c r="AT12" s="154"/>
      <c r="AU12" s="154"/>
      <c r="AV12" s="154"/>
      <c r="AW12" s="154"/>
      <c r="AX12" s="154"/>
      <c r="AY12" s="154"/>
      <c r="AZ12" s="154"/>
      <c r="BA12" s="154"/>
      <c r="BB12" s="154"/>
      <c r="BC12" s="154"/>
      <c r="BD12" s="154"/>
      <c r="BE12" s="154"/>
      <c r="BF12" s="154"/>
      <c r="BG12" s="154"/>
      <c r="BH12" s="154"/>
      <c r="BI12" s="154"/>
      <c r="BJ12" s="154"/>
      <c r="BK12" s="154"/>
      <c r="BL12" s="154"/>
      <c r="BM12" s="154"/>
      <c r="BN12" s="154"/>
      <c r="BO12" s="154"/>
      <c r="BP12" s="154"/>
      <c r="BQ12" s="154"/>
      <c r="BR12" s="154"/>
      <c r="BS12" s="154"/>
      <c r="BT12" s="154"/>
      <c r="BU12" s="154"/>
      <c r="BV12" s="154"/>
      <c r="BW12" s="154"/>
      <c r="BX12" s="154"/>
      <c r="BY12" s="154"/>
      <c r="BZ12" s="154"/>
      <c r="CA12" s="154"/>
      <c r="CB12" s="154"/>
      <c r="CC12" s="154"/>
      <c r="CD12" s="154"/>
      <c r="CE12" s="154"/>
      <c r="CF12" s="154"/>
      <c r="CG12" s="154"/>
      <c r="CH12" s="154"/>
      <c r="CI12" s="154"/>
      <c r="CJ12" s="154"/>
      <c r="CK12" s="154"/>
      <c r="CL12" s="154"/>
      <c r="CM12" s="154"/>
      <c r="CN12" s="154"/>
      <c r="CO12" s="154"/>
      <c r="CP12" s="154"/>
      <c r="CQ12" s="154"/>
      <c r="CR12" s="154"/>
      <c r="CS12" s="154"/>
      <c r="CT12" s="154"/>
      <c r="CU12" s="154"/>
      <c r="CV12" s="154"/>
      <c r="CW12" s="154"/>
      <c r="CX12" s="154"/>
      <c r="CY12" s="154"/>
      <c r="CZ12" s="154"/>
      <c r="DA12" s="154"/>
      <c r="DB12" s="154"/>
      <c r="DC12" s="154"/>
      <c r="DD12" s="154"/>
      <c r="DE12" s="154"/>
      <c r="DF12" s="154"/>
      <c r="DG12" s="154"/>
      <c r="DH12" s="154"/>
      <c r="DI12" s="154"/>
      <c r="DJ12" s="154"/>
      <c r="DK12" s="154"/>
      <c r="DL12" s="154"/>
      <c r="DM12" s="154"/>
      <c r="DN12" s="154"/>
      <c r="DO12" s="154"/>
      <c r="DP12" s="154"/>
      <c r="DQ12" s="154"/>
      <c r="DR12" s="154"/>
      <c r="DS12" s="154"/>
      <c r="DT12" s="154"/>
      <c r="DU12" s="154"/>
      <c r="DV12" s="154"/>
      <c r="DW12" s="154"/>
      <c r="DX12" s="154"/>
      <c r="DY12" s="154"/>
      <c r="DZ12" s="154"/>
      <c r="EA12" s="154"/>
      <c r="EB12" s="154"/>
      <c r="EC12" s="154"/>
      <c r="ED12" s="154"/>
      <c r="EE12" s="154"/>
      <c r="EF12" s="154"/>
      <c r="EG12" s="154"/>
      <c r="EH12" s="154"/>
      <c r="EI12" s="154"/>
      <c r="EJ12" s="154"/>
      <c r="EK12" s="154"/>
      <c r="EL12" s="154"/>
      <c r="EM12" s="154"/>
      <c r="EN12" s="154"/>
      <c r="EO12" s="154"/>
      <c r="EP12" s="154"/>
      <c r="EQ12" s="154"/>
      <c r="ER12" s="154"/>
      <c r="ES12" s="154"/>
      <c r="ET12" s="154"/>
      <c r="EU12" s="154"/>
      <c r="EV12" s="154"/>
      <c r="EW12" s="154"/>
    </row>
    <row r="13" spans="2:153" ht="12.95" customHeight="1">
      <c r="E13" s="158"/>
      <c r="P13" s="154"/>
      <c r="Q13" s="154"/>
      <c r="R13" s="154"/>
      <c r="S13" s="154"/>
      <c r="T13" s="154"/>
      <c r="U13" s="154"/>
      <c r="V13" s="154"/>
      <c r="W13" s="154"/>
      <c r="X13" s="154"/>
      <c r="Y13" s="154"/>
      <c r="Z13" s="154"/>
      <c r="AA13" s="154"/>
      <c r="AB13" s="154"/>
      <c r="AC13" s="154"/>
      <c r="AD13" s="154"/>
      <c r="AE13" s="154"/>
      <c r="AF13" s="367"/>
      <c r="AG13" s="368"/>
      <c r="AH13" s="368"/>
      <c r="AI13" s="368"/>
      <c r="AJ13" s="154"/>
      <c r="AK13" s="154"/>
      <c r="AL13" s="154"/>
      <c r="AM13" s="154"/>
      <c r="AN13" s="154"/>
      <c r="AO13" s="154"/>
      <c r="AP13" s="154"/>
      <c r="AQ13" s="154"/>
      <c r="AR13" s="154"/>
      <c r="AS13" s="154"/>
      <c r="AT13" s="154"/>
      <c r="AU13" s="154"/>
      <c r="AV13" s="154"/>
      <c r="AW13" s="154"/>
      <c r="AX13" s="154"/>
      <c r="AY13" s="154"/>
      <c r="AZ13" s="154"/>
      <c r="BA13" s="154"/>
      <c r="BB13" s="154"/>
      <c r="BC13" s="154"/>
      <c r="BD13" s="154"/>
      <c r="BE13" s="154"/>
      <c r="BF13" s="154"/>
      <c r="BG13" s="154"/>
      <c r="BH13" s="154"/>
      <c r="BI13" s="154"/>
      <c r="BJ13" s="154"/>
      <c r="BK13" s="154"/>
      <c r="BL13" s="154"/>
      <c r="BM13" s="154"/>
      <c r="BN13" s="154"/>
      <c r="BO13" s="154"/>
      <c r="BP13" s="154"/>
      <c r="BQ13" s="154"/>
      <c r="BR13" s="154"/>
      <c r="BS13" s="154"/>
      <c r="BT13" s="154"/>
      <c r="BU13" s="154"/>
      <c r="BV13" s="154"/>
      <c r="BW13" s="154"/>
      <c r="BX13" s="154"/>
      <c r="BY13" s="154"/>
      <c r="BZ13" s="154"/>
      <c r="CA13" s="154"/>
      <c r="CB13" s="154"/>
      <c r="CC13" s="154"/>
      <c r="CD13" s="154"/>
      <c r="CE13" s="154"/>
      <c r="CF13" s="154"/>
      <c r="CG13" s="154"/>
      <c r="CH13" s="154"/>
      <c r="CI13" s="154"/>
      <c r="CJ13" s="154"/>
      <c r="CK13" s="154"/>
      <c r="CL13" s="154"/>
      <c r="CM13" s="154"/>
      <c r="CN13" s="154"/>
      <c r="CO13" s="154"/>
      <c r="CP13" s="154"/>
      <c r="CQ13" s="154"/>
      <c r="CR13" s="154"/>
      <c r="CS13" s="154"/>
      <c r="CT13" s="154"/>
      <c r="CU13" s="154"/>
      <c r="CV13" s="154"/>
      <c r="CW13" s="154"/>
      <c r="CX13" s="154"/>
      <c r="CY13" s="154"/>
      <c r="CZ13" s="154"/>
      <c r="DA13" s="154"/>
      <c r="DB13" s="154"/>
      <c r="DC13" s="154"/>
      <c r="DD13" s="154"/>
      <c r="DE13" s="154"/>
      <c r="DF13" s="154"/>
      <c r="DG13" s="154"/>
      <c r="DH13" s="154"/>
      <c r="DI13" s="154"/>
      <c r="DJ13" s="154"/>
      <c r="DK13" s="154"/>
      <c r="DL13" s="154"/>
      <c r="DM13" s="154"/>
      <c r="DN13" s="154"/>
      <c r="DO13" s="154"/>
      <c r="DP13" s="154"/>
      <c r="DQ13" s="154"/>
      <c r="DR13" s="154"/>
      <c r="DS13" s="154"/>
      <c r="DT13" s="154"/>
      <c r="DU13" s="154"/>
      <c r="DV13" s="154"/>
      <c r="DW13" s="154"/>
      <c r="DX13" s="154"/>
      <c r="DY13" s="154"/>
      <c r="DZ13" s="154"/>
      <c r="EA13" s="154"/>
      <c r="EB13" s="154"/>
      <c r="EC13" s="154"/>
      <c r="ED13" s="154"/>
      <c r="EE13" s="154"/>
      <c r="EF13" s="154"/>
      <c r="EG13" s="154"/>
      <c r="EH13" s="154"/>
      <c r="EI13" s="154"/>
      <c r="EJ13" s="154"/>
      <c r="EK13" s="154"/>
      <c r="EL13" s="154"/>
      <c r="EM13" s="154"/>
      <c r="EN13" s="154"/>
      <c r="EO13" s="154"/>
      <c r="EP13" s="154"/>
      <c r="EQ13" s="154"/>
      <c r="ER13" s="154"/>
      <c r="ES13" s="154"/>
      <c r="ET13" s="154"/>
      <c r="EU13" s="154"/>
      <c r="EV13" s="154"/>
      <c r="EW13" s="154"/>
    </row>
    <row r="14" spans="2:153" ht="12.95" customHeight="1">
      <c r="B14" s="667" t="s">
        <v>871</v>
      </c>
      <c r="C14" s="668"/>
      <c r="D14" s="669"/>
      <c r="E14" s="158"/>
      <c r="P14" s="154"/>
      <c r="Q14" s="154"/>
      <c r="R14" s="154"/>
      <c r="S14" s="154"/>
      <c r="T14" s="154"/>
      <c r="U14" s="154"/>
      <c r="V14" s="154"/>
      <c r="W14" s="154"/>
      <c r="X14" s="154"/>
      <c r="Y14" s="154"/>
      <c r="Z14" s="154"/>
      <c r="AA14" s="154"/>
      <c r="AB14" s="154"/>
      <c r="AC14" s="154"/>
      <c r="AD14" s="154"/>
      <c r="AE14" s="154"/>
      <c r="AF14" s="367"/>
      <c r="AG14" s="368"/>
      <c r="AH14" s="368"/>
      <c r="AI14" s="368"/>
      <c r="AJ14" s="154"/>
      <c r="AK14" s="154"/>
      <c r="AL14" s="154"/>
      <c r="AM14" s="154"/>
      <c r="AN14" s="154"/>
      <c r="AO14" s="154"/>
      <c r="AP14" s="154"/>
      <c r="AQ14" s="154"/>
      <c r="AR14" s="154"/>
      <c r="AS14" s="154"/>
      <c r="AT14" s="154"/>
      <c r="AU14" s="154"/>
      <c r="AV14" s="154"/>
      <c r="AW14" s="154"/>
      <c r="AX14" s="154"/>
      <c r="AY14" s="154"/>
      <c r="AZ14" s="154"/>
      <c r="BA14" s="154"/>
      <c r="BB14" s="154"/>
      <c r="BC14" s="154"/>
      <c r="BD14" s="154"/>
      <c r="BE14" s="154"/>
      <c r="BF14" s="154"/>
      <c r="BG14" s="154"/>
      <c r="BH14" s="154"/>
      <c r="BI14" s="154"/>
      <c r="BJ14" s="154"/>
      <c r="BK14" s="154"/>
      <c r="BL14" s="154"/>
      <c r="BM14" s="154"/>
      <c r="BN14" s="154"/>
      <c r="BO14" s="154"/>
      <c r="BP14" s="154"/>
      <c r="BQ14" s="154"/>
      <c r="BR14" s="154"/>
      <c r="BS14" s="154"/>
      <c r="BT14" s="154"/>
      <c r="BU14" s="154"/>
      <c r="BV14" s="154"/>
      <c r="BW14" s="154"/>
      <c r="BX14" s="154"/>
      <c r="BY14" s="154"/>
      <c r="BZ14" s="154"/>
      <c r="CA14" s="154"/>
      <c r="CB14" s="154"/>
      <c r="CC14" s="154"/>
      <c r="CD14" s="154"/>
      <c r="CE14" s="154"/>
      <c r="CF14" s="154"/>
      <c r="CG14" s="154"/>
      <c r="CH14" s="154"/>
      <c r="CI14" s="154"/>
      <c r="CJ14" s="154"/>
      <c r="CK14" s="154"/>
      <c r="CL14" s="154"/>
      <c r="CM14" s="154"/>
      <c r="CN14" s="154"/>
      <c r="CO14" s="154"/>
      <c r="CP14" s="154"/>
      <c r="CQ14" s="154"/>
      <c r="CR14" s="154"/>
      <c r="CS14" s="154"/>
      <c r="CT14" s="154"/>
      <c r="CU14" s="154"/>
      <c r="CV14" s="154"/>
      <c r="CW14" s="154"/>
      <c r="CX14" s="154"/>
      <c r="CY14" s="154"/>
      <c r="CZ14" s="154"/>
      <c r="DA14" s="154"/>
      <c r="DB14" s="154"/>
      <c r="DC14" s="154"/>
      <c r="DD14" s="154"/>
      <c r="DE14" s="154"/>
      <c r="DF14" s="154"/>
      <c r="DG14" s="154"/>
      <c r="DH14" s="154"/>
      <c r="DI14" s="154"/>
      <c r="DJ14" s="154"/>
      <c r="DK14" s="154"/>
      <c r="DL14" s="154"/>
      <c r="DM14" s="154"/>
      <c r="DN14" s="154"/>
      <c r="DO14" s="154"/>
      <c r="DP14" s="154"/>
      <c r="DQ14" s="154"/>
      <c r="DR14" s="154"/>
      <c r="DS14" s="154"/>
      <c r="DT14" s="154"/>
      <c r="DU14" s="154"/>
      <c r="DV14" s="154"/>
      <c r="DW14" s="154"/>
      <c r="DX14" s="154"/>
      <c r="DY14" s="154"/>
      <c r="DZ14" s="154"/>
      <c r="EA14" s="154"/>
      <c r="EB14" s="154"/>
      <c r="EC14" s="154"/>
      <c r="ED14" s="154"/>
      <c r="EE14" s="154"/>
      <c r="EF14" s="154"/>
      <c r="EG14" s="154"/>
      <c r="EH14" s="154"/>
      <c r="EI14" s="154"/>
      <c r="EJ14" s="154"/>
      <c r="EK14" s="154"/>
      <c r="EL14" s="154"/>
      <c r="EM14" s="154"/>
      <c r="EN14" s="154"/>
      <c r="EO14" s="154"/>
      <c r="EP14" s="154"/>
      <c r="EQ14" s="154"/>
      <c r="ER14" s="154"/>
      <c r="ES14" s="154"/>
      <c r="ET14" s="154"/>
      <c r="EU14" s="154"/>
      <c r="EV14" s="154"/>
      <c r="EW14" s="154"/>
    </row>
    <row r="15" spans="2:153" ht="12.95" customHeight="1">
      <c r="B15" s="547" t="s">
        <v>854</v>
      </c>
      <c r="C15" s="548" t="s">
        <v>778</v>
      </c>
      <c r="D15" s="490">
        <f>IF(Heat_Recovery="No",HLOOKUP("Environment:Outdoor Dry Bulb [C](Hourly)",'Eplus results'!1:1048576,'graph data'!D4,FALSE)*9/5+32,HLOOKUP("AHU_HeatRecovery Outlet Node:System Node Temp[C](Hourly)",'Eplus results'!1:1048576,'graph data'!D4,FALSE)*9/5+32)</f>
        <v>100.00399999999999</v>
      </c>
      <c r="E15" s="158"/>
      <c r="P15" s="154"/>
      <c r="Q15" s="154"/>
      <c r="R15" s="154"/>
      <c r="S15" s="154"/>
      <c r="T15" s="154"/>
      <c r="U15" s="154"/>
      <c r="V15" s="154"/>
      <c r="W15" s="154"/>
      <c r="X15" s="154"/>
      <c r="Y15" s="154"/>
      <c r="Z15" s="154"/>
      <c r="AA15" s="154"/>
      <c r="AB15" s="154"/>
      <c r="AC15" s="154"/>
      <c r="AD15" s="154"/>
      <c r="AE15" s="154"/>
      <c r="AF15" s="367"/>
      <c r="AG15" s="368"/>
      <c r="AH15" s="368"/>
      <c r="AI15" s="368"/>
      <c r="AJ15" s="154"/>
      <c r="AK15" s="154"/>
      <c r="AL15" s="154"/>
      <c r="AM15" s="154"/>
      <c r="AN15" s="154"/>
      <c r="AO15" s="154"/>
      <c r="AP15" s="154"/>
      <c r="AQ15" s="154"/>
      <c r="AR15" s="154"/>
      <c r="AS15" s="154"/>
      <c r="AT15" s="154"/>
      <c r="AU15" s="154"/>
      <c r="AV15" s="154"/>
      <c r="AW15" s="154"/>
      <c r="AX15" s="154"/>
      <c r="AY15" s="154"/>
      <c r="AZ15" s="154"/>
      <c r="BA15" s="154"/>
      <c r="BB15" s="154"/>
      <c r="BC15" s="154"/>
      <c r="BD15" s="154"/>
      <c r="BE15" s="154"/>
      <c r="BF15" s="154"/>
      <c r="BG15" s="154"/>
      <c r="BH15" s="154"/>
      <c r="BI15" s="154"/>
      <c r="BJ15" s="154"/>
      <c r="BK15" s="154"/>
      <c r="BL15" s="154"/>
      <c r="BM15" s="154"/>
      <c r="BN15" s="154"/>
      <c r="BO15" s="154"/>
      <c r="BP15" s="154"/>
      <c r="BQ15" s="154"/>
      <c r="BR15" s="154"/>
      <c r="BS15" s="154"/>
      <c r="BT15" s="154"/>
      <c r="BU15" s="154"/>
      <c r="BV15" s="154"/>
      <c r="BW15" s="154"/>
      <c r="BX15" s="154"/>
      <c r="BY15" s="154"/>
      <c r="BZ15" s="154"/>
      <c r="CA15" s="154"/>
      <c r="CB15" s="154"/>
      <c r="CC15" s="154"/>
      <c r="CD15" s="154"/>
      <c r="CE15" s="154"/>
      <c r="CF15" s="154"/>
      <c r="CG15" s="154"/>
      <c r="CH15" s="154"/>
      <c r="CI15" s="154"/>
      <c r="CJ15" s="154"/>
      <c r="CK15" s="154"/>
      <c r="CL15" s="154"/>
      <c r="CM15" s="154"/>
      <c r="CN15" s="154"/>
      <c r="CO15" s="154"/>
      <c r="CP15" s="154"/>
      <c r="CQ15" s="154"/>
      <c r="CR15" s="154"/>
      <c r="CS15" s="154"/>
      <c r="CT15" s="154"/>
      <c r="CU15" s="154"/>
      <c r="CV15" s="154"/>
      <c r="CW15" s="154"/>
      <c r="CX15" s="154"/>
      <c r="CY15" s="154"/>
      <c r="CZ15" s="154"/>
      <c r="DA15" s="154"/>
      <c r="DB15" s="154"/>
      <c r="DC15" s="154"/>
      <c r="DD15" s="154"/>
      <c r="DE15" s="154"/>
      <c r="DF15" s="154"/>
      <c r="DG15" s="154"/>
      <c r="DH15" s="154"/>
      <c r="DI15" s="154"/>
      <c r="DJ15" s="154"/>
      <c r="DK15" s="154"/>
      <c r="DL15" s="154"/>
      <c r="DM15" s="154"/>
      <c r="DN15" s="154"/>
      <c r="DO15" s="154"/>
      <c r="DP15" s="154"/>
      <c r="DQ15" s="154"/>
      <c r="DR15" s="154"/>
      <c r="DS15" s="154"/>
      <c r="DT15" s="154"/>
      <c r="DU15" s="154"/>
      <c r="DV15" s="154"/>
      <c r="DW15" s="154"/>
      <c r="DX15" s="154"/>
      <c r="DY15" s="154"/>
      <c r="DZ15" s="154"/>
      <c r="EA15" s="154"/>
      <c r="EB15" s="154"/>
      <c r="EC15" s="154"/>
      <c r="ED15" s="154"/>
      <c r="EE15" s="154"/>
      <c r="EF15" s="154"/>
      <c r="EG15" s="154"/>
      <c r="EH15" s="154"/>
      <c r="EI15" s="154"/>
      <c r="EJ15" s="154"/>
      <c r="EK15" s="154"/>
      <c r="EL15" s="154"/>
      <c r="EM15" s="154"/>
      <c r="EN15" s="154"/>
      <c r="EO15" s="154"/>
      <c r="EP15" s="154"/>
      <c r="EQ15" s="154"/>
      <c r="ER15" s="154"/>
      <c r="ES15" s="154"/>
      <c r="ET15" s="154"/>
      <c r="EU15" s="154"/>
      <c r="EV15" s="154"/>
      <c r="EW15" s="154"/>
    </row>
    <row r="16" spans="2:153" ht="12.95" customHeight="1">
      <c r="B16" s="451" t="s">
        <v>853</v>
      </c>
      <c r="C16" s="454" t="s">
        <v>108</v>
      </c>
      <c r="D16" s="455" t="e">
        <f>IF(Heat_Recovery="No",HLOOKUP("AHU OUTSIDE AIR INLET:System Node VolFlowRate[m3/s](Hourly)",'Eplus results'!1:1048576,'graph data'!D4,FALSE)*35.314667*60,HLOOKUP("AHU_HeatRecovery Outlet Node:System Node VolFlowRate[m3/s](Hourly)",'Eplus results'!1:1048576,'graph data'!D4,FALSE)*35.314667*60)</f>
        <v>#N/A</v>
      </c>
      <c r="E16" s="158"/>
      <c r="P16" s="154"/>
      <c r="Q16" s="154"/>
      <c r="R16" s="154"/>
      <c r="S16" s="154"/>
      <c r="T16" s="154"/>
      <c r="U16" s="154"/>
      <c r="V16" s="154"/>
      <c r="W16" s="154"/>
      <c r="X16" s="154"/>
      <c r="Y16" s="154"/>
      <c r="Z16" s="154"/>
      <c r="AA16" s="154"/>
      <c r="AB16" s="154"/>
      <c r="AC16" s="154"/>
      <c r="AD16" s="154"/>
      <c r="AE16" s="154"/>
      <c r="AF16" s="367"/>
      <c r="AG16" s="368"/>
      <c r="AH16" s="368"/>
      <c r="AI16" s="368"/>
      <c r="AJ16" s="154"/>
      <c r="AK16" s="154"/>
      <c r="AL16" s="154"/>
      <c r="AM16" s="154"/>
      <c r="AN16" s="154"/>
      <c r="AO16" s="154"/>
      <c r="AP16" s="154"/>
      <c r="AQ16" s="154"/>
      <c r="AR16" s="154"/>
      <c r="AS16" s="154"/>
      <c r="AT16" s="154"/>
      <c r="AU16" s="154"/>
      <c r="AV16" s="154"/>
      <c r="AW16" s="154"/>
      <c r="AX16" s="154"/>
      <c r="AY16" s="154"/>
      <c r="AZ16" s="154"/>
      <c r="BA16" s="154"/>
      <c r="BB16" s="154"/>
      <c r="BC16" s="154"/>
      <c r="BD16" s="154"/>
      <c r="BE16" s="154"/>
      <c r="BF16" s="154"/>
      <c r="BG16" s="154"/>
      <c r="BH16" s="154"/>
      <c r="BI16" s="154"/>
      <c r="BJ16" s="154"/>
      <c r="BK16" s="154"/>
      <c r="BL16" s="154"/>
      <c r="BM16" s="154"/>
      <c r="BN16" s="154"/>
      <c r="BO16" s="154"/>
      <c r="BP16" s="154"/>
      <c r="BQ16" s="154"/>
      <c r="BR16" s="154"/>
      <c r="BS16" s="154"/>
      <c r="BT16" s="154"/>
      <c r="BU16" s="154"/>
      <c r="BV16" s="154"/>
      <c r="BW16" s="154"/>
      <c r="BX16" s="154"/>
      <c r="BY16" s="154"/>
      <c r="BZ16" s="154"/>
      <c r="CA16" s="154"/>
      <c r="CB16" s="154"/>
      <c r="CC16" s="154"/>
      <c r="CD16" s="154"/>
      <c r="CE16" s="154"/>
      <c r="CF16" s="154"/>
      <c r="CG16" s="154"/>
      <c r="CH16" s="154"/>
      <c r="CI16" s="154"/>
      <c r="CJ16" s="154"/>
      <c r="CK16" s="154"/>
      <c r="CL16" s="154"/>
      <c r="CM16" s="154"/>
      <c r="CN16" s="154"/>
      <c r="CO16" s="154"/>
      <c r="CP16" s="154"/>
      <c r="CQ16" s="154"/>
      <c r="CR16" s="154"/>
      <c r="CS16" s="154"/>
      <c r="CT16" s="154"/>
      <c r="CU16" s="154"/>
      <c r="CV16" s="154"/>
      <c r="CW16" s="154"/>
      <c r="CX16" s="154"/>
      <c r="CY16" s="154"/>
      <c r="CZ16" s="154"/>
      <c r="DA16" s="154"/>
      <c r="DB16" s="154"/>
      <c r="DC16" s="154"/>
      <c r="DD16" s="154"/>
      <c r="DE16" s="154"/>
      <c r="DF16" s="154"/>
      <c r="DG16" s="154"/>
      <c r="DH16" s="154"/>
      <c r="DI16" s="154"/>
      <c r="DJ16" s="154"/>
      <c r="DK16" s="154"/>
      <c r="DL16" s="154"/>
      <c r="DM16" s="154"/>
      <c r="DN16" s="154"/>
      <c r="DO16" s="154"/>
      <c r="DP16" s="154"/>
      <c r="DQ16" s="154"/>
      <c r="DR16" s="154"/>
      <c r="DS16" s="154"/>
      <c r="DT16" s="154"/>
      <c r="DU16" s="154"/>
      <c r="DV16" s="154"/>
      <c r="DW16" s="154"/>
      <c r="DX16" s="154"/>
      <c r="DY16" s="154"/>
      <c r="DZ16" s="154"/>
      <c r="EA16" s="154"/>
      <c r="EB16" s="154"/>
      <c r="EC16" s="154"/>
      <c r="ED16" s="154"/>
      <c r="EE16" s="154"/>
      <c r="EF16" s="154"/>
      <c r="EG16" s="154"/>
      <c r="EH16" s="154"/>
      <c r="EI16" s="154"/>
      <c r="EJ16" s="154"/>
      <c r="EK16" s="154"/>
      <c r="EL16" s="154"/>
      <c r="EM16" s="154"/>
      <c r="EN16" s="154"/>
      <c r="EO16" s="154"/>
      <c r="EP16" s="154"/>
      <c r="EQ16" s="154"/>
      <c r="ER16" s="154"/>
      <c r="ES16" s="154"/>
      <c r="ET16" s="154"/>
      <c r="EU16" s="154"/>
      <c r="EV16" s="154"/>
      <c r="EW16" s="154"/>
    </row>
    <row r="17" spans="1:153" ht="12.95" customHeight="1">
      <c r="B17" s="451" t="s">
        <v>882</v>
      </c>
      <c r="C17" s="452" t="s">
        <v>778</v>
      </c>
      <c r="D17" s="453">
        <f>HLOOKUP("AHU MIXED AIR OUTLET:System Node Temp[C](Hourly)",'Eplus results'!1:1048576,'graph data'!D4,FALSE)*9/5+32</f>
        <v>83.142286193324111</v>
      </c>
      <c r="P17" s="154"/>
      <c r="Q17" s="154"/>
      <c r="R17" s="154"/>
      <c r="S17" s="154"/>
      <c r="T17" s="154"/>
      <c r="U17" s="154"/>
      <c r="V17" s="154"/>
      <c r="W17" s="154"/>
      <c r="X17" s="154"/>
      <c r="Y17" s="154"/>
      <c r="Z17" s="154"/>
      <c r="AA17" s="154"/>
      <c r="AB17" s="154"/>
      <c r="AC17" s="154"/>
      <c r="AD17" s="154"/>
      <c r="AE17" s="154"/>
      <c r="AF17" s="367"/>
      <c r="AG17" s="368"/>
      <c r="AH17" s="368"/>
      <c r="AI17" s="368"/>
      <c r="AJ17" s="154"/>
      <c r="AK17" s="154"/>
      <c r="AL17" s="154"/>
      <c r="AM17" s="154"/>
      <c r="AN17" s="154"/>
      <c r="AO17" s="154"/>
      <c r="AP17" s="154"/>
      <c r="AQ17" s="154"/>
      <c r="AR17" s="154"/>
      <c r="AS17" s="154"/>
      <c r="AT17" s="154"/>
      <c r="AU17" s="154"/>
      <c r="AV17" s="154"/>
      <c r="AW17" s="154"/>
      <c r="AX17" s="154"/>
      <c r="AY17" s="154"/>
      <c r="AZ17" s="154"/>
      <c r="BA17" s="154"/>
      <c r="BB17" s="154"/>
      <c r="BC17" s="154"/>
      <c r="BD17" s="154"/>
      <c r="BE17" s="154"/>
      <c r="BF17" s="154"/>
      <c r="BG17" s="154"/>
      <c r="BH17" s="154"/>
      <c r="BI17" s="154"/>
      <c r="BJ17" s="154"/>
      <c r="BK17" s="154"/>
      <c r="BL17" s="154"/>
      <c r="BM17" s="154"/>
      <c r="BN17" s="154"/>
      <c r="BO17" s="154"/>
      <c r="BP17" s="154"/>
      <c r="BQ17" s="154"/>
      <c r="BR17" s="154"/>
      <c r="BS17" s="154"/>
      <c r="BT17" s="154"/>
      <c r="BU17" s="154"/>
      <c r="BV17" s="154"/>
      <c r="BW17" s="154"/>
      <c r="BX17" s="154"/>
      <c r="BY17" s="154"/>
      <c r="BZ17" s="154"/>
      <c r="CA17" s="154"/>
      <c r="CB17" s="154"/>
      <c r="CC17" s="154"/>
      <c r="CD17" s="154"/>
      <c r="CE17" s="154"/>
      <c r="CF17" s="154"/>
      <c r="CG17" s="154"/>
      <c r="CH17" s="154"/>
      <c r="CI17" s="154"/>
      <c r="CJ17" s="154"/>
      <c r="CK17" s="154"/>
      <c r="CL17" s="154"/>
      <c r="CM17" s="154"/>
      <c r="CN17" s="154"/>
      <c r="CO17" s="154"/>
      <c r="CP17" s="154"/>
      <c r="CQ17" s="154"/>
      <c r="CR17" s="154"/>
      <c r="CS17" s="154"/>
      <c r="CT17" s="154"/>
      <c r="CU17" s="154"/>
      <c r="CV17" s="154"/>
      <c r="CW17" s="154"/>
      <c r="CX17" s="154"/>
      <c r="CY17" s="154"/>
      <c r="CZ17" s="154"/>
      <c r="DA17" s="154"/>
      <c r="DB17" s="154"/>
      <c r="DC17" s="154"/>
      <c r="DD17" s="154"/>
      <c r="DE17" s="154"/>
      <c r="DF17" s="154"/>
      <c r="DG17" s="154"/>
      <c r="DH17" s="154"/>
      <c r="DI17" s="154"/>
      <c r="DJ17" s="154"/>
      <c r="DK17" s="154"/>
      <c r="DL17" s="154"/>
      <c r="DM17" s="154"/>
      <c r="DN17" s="154"/>
      <c r="DO17" s="154"/>
      <c r="DP17" s="154"/>
      <c r="DQ17" s="154"/>
      <c r="DR17" s="154"/>
      <c r="DS17" s="154"/>
      <c r="DT17" s="154"/>
      <c r="DU17" s="154"/>
      <c r="DV17" s="154"/>
      <c r="DW17" s="154"/>
      <c r="DX17" s="154"/>
      <c r="DY17" s="154"/>
      <c r="DZ17" s="154"/>
      <c r="EA17" s="154"/>
      <c r="EB17" s="154"/>
      <c r="EC17" s="154"/>
      <c r="ED17" s="154"/>
      <c r="EE17" s="154"/>
      <c r="EF17" s="154"/>
      <c r="EG17" s="154"/>
      <c r="EH17" s="154"/>
      <c r="EI17" s="154"/>
      <c r="EJ17" s="154"/>
      <c r="EK17" s="154"/>
      <c r="EL17" s="154"/>
      <c r="EM17" s="154"/>
      <c r="EN17" s="154"/>
      <c r="EO17" s="154"/>
      <c r="EP17" s="154"/>
      <c r="EQ17" s="154"/>
      <c r="ER17" s="154"/>
      <c r="ES17" s="154"/>
      <c r="ET17" s="154"/>
      <c r="EU17" s="154"/>
      <c r="EV17" s="154"/>
      <c r="EW17" s="154"/>
    </row>
    <row r="18" spans="1:153" ht="12.95" customHeight="1">
      <c r="B18" s="451" t="s">
        <v>855</v>
      </c>
      <c r="C18" s="454" t="s">
        <v>108</v>
      </c>
      <c r="D18" s="455" t="e">
        <f>HLOOKUP("AHU MIXED AIR OUTLET:System Node VolFlowRate[m3/s](Hourly)",'Eplus results'!1:1048576,'graph data'!D4,FALSE)*35.314667*60</f>
        <v>#N/A</v>
      </c>
      <c r="P18" s="154"/>
      <c r="Q18" s="154"/>
      <c r="R18" s="154"/>
      <c r="S18" s="154"/>
      <c r="T18" s="154"/>
      <c r="U18" s="154"/>
      <c r="V18" s="154"/>
      <c r="W18" s="154"/>
      <c r="X18" s="154"/>
      <c r="Y18" s="154"/>
      <c r="Z18" s="154"/>
      <c r="AA18" s="154"/>
      <c r="AB18" s="154"/>
      <c r="AC18" s="154"/>
      <c r="AD18" s="154"/>
      <c r="AE18" s="154"/>
      <c r="AF18" s="367"/>
      <c r="AG18" s="368"/>
      <c r="AH18" s="368"/>
      <c r="AI18" s="368"/>
      <c r="AJ18" s="154"/>
      <c r="AK18" s="154"/>
      <c r="AL18" s="154"/>
      <c r="AM18" s="154"/>
      <c r="AN18" s="154"/>
      <c r="AO18" s="154"/>
      <c r="AP18" s="154"/>
      <c r="AQ18" s="154"/>
      <c r="AR18" s="154"/>
      <c r="AS18" s="154"/>
      <c r="AT18" s="154"/>
      <c r="AU18" s="154"/>
      <c r="AV18" s="154"/>
      <c r="AW18" s="154"/>
      <c r="AX18" s="154"/>
      <c r="AY18" s="154"/>
      <c r="AZ18" s="154"/>
      <c r="BA18" s="154"/>
      <c r="BB18" s="154"/>
      <c r="BC18" s="154"/>
      <c r="BD18" s="154"/>
      <c r="BE18" s="154"/>
      <c r="BF18" s="154"/>
      <c r="BG18" s="154"/>
      <c r="BH18" s="154"/>
      <c r="BI18" s="154"/>
      <c r="BJ18" s="154"/>
      <c r="BK18" s="154"/>
      <c r="BL18" s="154"/>
      <c r="BM18" s="154"/>
      <c r="BN18" s="154"/>
      <c r="BO18" s="154"/>
      <c r="BP18" s="154"/>
      <c r="BQ18" s="154"/>
      <c r="BR18" s="154"/>
      <c r="BS18" s="154"/>
      <c r="BT18" s="154"/>
      <c r="BU18" s="154"/>
      <c r="BV18" s="154"/>
      <c r="BW18" s="154"/>
      <c r="BX18" s="154"/>
      <c r="BY18" s="154"/>
      <c r="BZ18" s="154"/>
      <c r="CA18" s="154"/>
      <c r="CB18" s="154"/>
      <c r="CC18" s="154"/>
      <c r="CD18" s="154"/>
      <c r="CE18" s="154"/>
      <c r="CF18" s="154"/>
      <c r="CG18" s="154"/>
      <c r="CH18" s="154"/>
      <c r="CI18" s="154"/>
      <c r="CJ18" s="154"/>
      <c r="CK18" s="154"/>
      <c r="CL18" s="154"/>
      <c r="CM18" s="154"/>
      <c r="CN18" s="154"/>
      <c r="CO18" s="154"/>
      <c r="CP18" s="154"/>
      <c r="CQ18" s="154"/>
      <c r="CR18" s="154"/>
      <c r="CS18" s="154"/>
      <c r="CT18" s="154"/>
      <c r="CU18" s="154"/>
      <c r="CV18" s="154"/>
      <c r="CW18" s="154"/>
      <c r="CX18" s="154"/>
      <c r="CY18" s="154"/>
      <c r="CZ18" s="154"/>
      <c r="DA18" s="154"/>
      <c r="DB18" s="154"/>
      <c r="DC18" s="154"/>
      <c r="DD18" s="154"/>
      <c r="DE18" s="154"/>
      <c r="DF18" s="154"/>
      <c r="DG18" s="154"/>
      <c r="DH18" s="154"/>
      <c r="DI18" s="154"/>
      <c r="DJ18" s="154"/>
      <c r="DK18" s="154"/>
      <c r="DL18" s="154"/>
      <c r="DM18" s="154"/>
      <c r="DN18" s="154"/>
      <c r="DO18" s="154"/>
      <c r="DP18" s="154"/>
      <c r="DQ18" s="154"/>
      <c r="DR18" s="154"/>
      <c r="DS18" s="154"/>
      <c r="DT18" s="154"/>
      <c r="DU18" s="154"/>
      <c r="DV18" s="154"/>
      <c r="DW18" s="154"/>
      <c r="DX18" s="154"/>
      <c r="DY18" s="154"/>
      <c r="DZ18" s="154"/>
      <c r="EA18" s="154"/>
      <c r="EB18" s="154"/>
      <c r="EC18" s="154"/>
      <c r="ED18" s="154"/>
      <c r="EE18" s="154"/>
      <c r="EF18" s="154"/>
      <c r="EG18" s="154"/>
      <c r="EH18" s="154"/>
      <c r="EI18" s="154"/>
      <c r="EJ18" s="154"/>
      <c r="EK18" s="154"/>
      <c r="EL18" s="154"/>
      <c r="EM18" s="154"/>
      <c r="EN18" s="154"/>
      <c r="EO18" s="154"/>
      <c r="EP18" s="154"/>
      <c r="EQ18" s="154"/>
      <c r="ER18" s="154"/>
      <c r="ES18" s="154"/>
      <c r="ET18" s="154"/>
      <c r="EU18" s="154"/>
      <c r="EV18" s="154"/>
      <c r="EW18" s="154"/>
    </row>
    <row r="19" spans="1:153" ht="12.95" customHeight="1">
      <c r="A19" s="154"/>
      <c r="B19" s="394" t="s">
        <v>892</v>
      </c>
      <c r="C19" s="548" t="s">
        <v>778</v>
      </c>
      <c r="D19" s="490">
        <f>HLOOKUP("AHU MIXED AIR OUTLET:System Node Temp[C](Hourly)",'Eplus results'!1:1048576,'graph data'!D4,FALSE)*9/5+32</f>
        <v>83.142286193324111</v>
      </c>
      <c r="P19" s="154"/>
      <c r="Q19" s="154"/>
      <c r="R19" s="154"/>
      <c r="S19" s="154"/>
      <c r="T19" s="154"/>
      <c r="U19" s="154"/>
      <c r="V19" s="154"/>
      <c r="W19" s="154"/>
      <c r="X19" s="154"/>
      <c r="Y19" s="154"/>
      <c r="Z19" s="154"/>
      <c r="AA19" s="154"/>
      <c r="AB19" s="154"/>
      <c r="AC19" s="154"/>
      <c r="AD19" s="154"/>
      <c r="AE19" s="154"/>
      <c r="AF19" s="367"/>
      <c r="AG19" s="368"/>
      <c r="AH19" s="368"/>
      <c r="AI19" s="368"/>
      <c r="AJ19" s="154"/>
      <c r="AK19" s="154"/>
      <c r="AL19" s="154"/>
      <c r="AM19" s="154"/>
      <c r="AN19" s="154"/>
      <c r="AO19" s="154"/>
      <c r="AP19" s="154"/>
      <c r="AQ19" s="154"/>
      <c r="AR19" s="154"/>
      <c r="AS19" s="154"/>
      <c r="AT19" s="154"/>
      <c r="AU19" s="154"/>
      <c r="AV19" s="154"/>
      <c r="AW19" s="154"/>
      <c r="AX19" s="154"/>
      <c r="AY19" s="154"/>
      <c r="AZ19" s="154"/>
      <c r="BA19" s="154"/>
      <c r="BB19" s="154"/>
      <c r="BC19" s="154"/>
      <c r="BD19" s="154"/>
      <c r="BE19" s="154"/>
      <c r="BF19" s="154"/>
      <c r="BG19" s="154"/>
      <c r="BH19" s="154"/>
      <c r="BI19" s="154"/>
      <c r="BJ19" s="154"/>
      <c r="BK19" s="154"/>
      <c r="BL19" s="154"/>
      <c r="BM19" s="154"/>
      <c r="BN19" s="154"/>
      <c r="BO19" s="154"/>
      <c r="BP19" s="154"/>
      <c r="BQ19" s="154"/>
      <c r="BR19" s="154"/>
      <c r="BS19" s="154"/>
      <c r="BT19" s="154"/>
      <c r="BU19" s="154"/>
      <c r="BV19" s="154"/>
      <c r="BW19" s="154"/>
      <c r="BX19" s="154"/>
      <c r="BY19" s="154"/>
      <c r="BZ19" s="154"/>
      <c r="CA19" s="154"/>
      <c r="CB19" s="154"/>
      <c r="CC19" s="154"/>
      <c r="CD19" s="154"/>
      <c r="CE19" s="154"/>
      <c r="CF19" s="154"/>
      <c r="CG19" s="154"/>
      <c r="CH19" s="154"/>
      <c r="CI19" s="154"/>
      <c r="CJ19" s="154"/>
      <c r="CK19" s="154"/>
      <c r="CL19" s="154"/>
      <c r="CM19" s="154"/>
      <c r="CN19" s="154"/>
      <c r="CO19" s="154"/>
      <c r="CP19" s="154"/>
      <c r="CQ19" s="154"/>
      <c r="CR19" s="154"/>
      <c r="CS19" s="154"/>
      <c r="CT19" s="154"/>
      <c r="CU19" s="154"/>
      <c r="CV19" s="154"/>
      <c r="CW19" s="154"/>
      <c r="CX19" s="154"/>
      <c r="CY19" s="154"/>
      <c r="CZ19" s="154"/>
      <c r="DA19" s="154"/>
      <c r="DB19" s="154"/>
      <c r="DC19" s="154"/>
      <c r="DD19" s="154"/>
      <c r="DE19" s="154"/>
      <c r="DF19" s="154"/>
      <c r="DG19" s="154"/>
      <c r="DH19" s="154"/>
      <c r="DI19" s="154"/>
      <c r="DJ19" s="154"/>
      <c r="DK19" s="154"/>
      <c r="DL19" s="154"/>
      <c r="DM19" s="154"/>
      <c r="DN19" s="154"/>
      <c r="DO19" s="154"/>
      <c r="DP19" s="154"/>
      <c r="DQ19" s="154"/>
      <c r="DR19" s="154"/>
      <c r="DS19" s="154"/>
      <c r="DT19" s="154"/>
      <c r="DU19" s="154"/>
      <c r="DV19" s="154"/>
      <c r="DW19" s="154"/>
      <c r="DX19" s="154"/>
      <c r="DY19" s="154"/>
      <c r="DZ19" s="154"/>
      <c r="EA19" s="154"/>
      <c r="EB19" s="154"/>
      <c r="EC19" s="154"/>
      <c r="ED19" s="154"/>
      <c r="EE19" s="154"/>
      <c r="EF19" s="154"/>
      <c r="EG19" s="154"/>
      <c r="EH19" s="154"/>
      <c r="EI19" s="154"/>
      <c r="EJ19" s="154"/>
      <c r="EK19" s="154"/>
      <c r="EL19" s="154"/>
      <c r="EM19" s="154"/>
      <c r="EN19" s="154"/>
      <c r="EO19" s="154"/>
      <c r="EP19" s="154"/>
      <c r="EQ19" s="154"/>
      <c r="ER19" s="154"/>
      <c r="ES19" s="154"/>
      <c r="ET19" s="154"/>
      <c r="EU19" s="154"/>
      <c r="EV19" s="154"/>
      <c r="EW19" s="154"/>
    </row>
    <row r="20" spans="1:153" ht="12.95" customHeight="1">
      <c r="A20" s="154"/>
      <c r="B20" s="363" t="s">
        <v>893</v>
      </c>
      <c r="C20" s="452" t="s">
        <v>778</v>
      </c>
      <c r="D20" s="453">
        <f>HLOOKUP("AHU Cooling Coil Outlet:System Node Temp[C](Hourly)",'Eplus results'!1:1048576,'graph data'!D4,FALSE)*9/5+32</f>
        <v>59.343148402646896</v>
      </c>
      <c r="P20" s="154"/>
      <c r="Q20" s="154"/>
      <c r="R20" s="154"/>
      <c r="S20" s="154"/>
      <c r="T20" s="154"/>
      <c r="U20" s="154"/>
      <c r="V20" s="154"/>
      <c r="W20" s="154"/>
      <c r="X20" s="154"/>
      <c r="Y20" s="154"/>
      <c r="Z20" s="154"/>
      <c r="AA20" s="154"/>
      <c r="AB20" s="154"/>
      <c r="AC20" s="154"/>
      <c r="AD20" s="154"/>
      <c r="AE20" s="154"/>
      <c r="AF20" s="367"/>
      <c r="AG20" s="368"/>
      <c r="AH20" s="368"/>
      <c r="AI20" s="368"/>
      <c r="AJ20" s="154"/>
      <c r="AK20" s="154"/>
      <c r="AL20" s="154"/>
      <c r="AM20" s="154"/>
      <c r="AN20" s="154"/>
      <c r="AO20" s="154"/>
      <c r="AP20" s="154"/>
      <c r="AQ20" s="154"/>
      <c r="AR20" s="154"/>
      <c r="AS20" s="154"/>
      <c r="AT20" s="154"/>
      <c r="AU20" s="154"/>
      <c r="AV20" s="154"/>
      <c r="AW20" s="154"/>
      <c r="AX20" s="154"/>
      <c r="AY20" s="154"/>
      <c r="AZ20" s="154"/>
      <c r="BA20" s="154"/>
      <c r="BB20" s="154"/>
      <c r="BC20" s="154"/>
      <c r="BD20" s="154"/>
      <c r="BE20" s="154"/>
      <c r="BF20" s="154"/>
      <c r="BG20" s="154"/>
      <c r="BH20" s="154"/>
      <c r="BI20" s="154"/>
      <c r="BJ20" s="154"/>
      <c r="BK20" s="154"/>
      <c r="BL20" s="154"/>
      <c r="BM20" s="154"/>
      <c r="BN20" s="154"/>
      <c r="BO20" s="154"/>
      <c r="BP20" s="154"/>
      <c r="BQ20" s="154"/>
      <c r="BR20" s="154"/>
      <c r="BS20" s="154"/>
      <c r="BT20" s="154"/>
      <c r="BU20" s="154"/>
      <c r="BV20" s="154"/>
      <c r="BW20" s="154"/>
      <c r="BX20" s="154"/>
      <c r="BY20" s="154"/>
      <c r="BZ20" s="154"/>
      <c r="CA20" s="154"/>
      <c r="CB20" s="154"/>
      <c r="CC20" s="154"/>
      <c r="CD20" s="154"/>
      <c r="CE20" s="154"/>
      <c r="CF20" s="154"/>
      <c r="CG20" s="154"/>
      <c r="CH20" s="154"/>
      <c r="CI20" s="154"/>
      <c r="CJ20" s="154"/>
      <c r="CK20" s="154"/>
      <c r="CL20" s="154"/>
      <c r="CM20" s="154"/>
      <c r="CN20" s="154"/>
      <c r="CO20" s="154"/>
      <c r="CP20" s="154"/>
      <c r="CQ20" s="154"/>
      <c r="CR20" s="154"/>
      <c r="CS20" s="154"/>
      <c r="CT20" s="154"/>
      <c r="CU20" s="154"/>
      <c r="CV20" s="154"/>
      <c r="CW20" s="154"/>
      <c r="CX20" s="154"/>
      <c r="CY20" s="154"/>
      <c r="CZ20" s="154"/>
      <c r="DA20" s="154"/>
      <c r="DB20" s="154"/>
      <c r="DC20" s="154"/>
      <c r="DD20" s="154"/>
      <c r="DE20" s="154"/>
      <c r="DF20" s="154"/>
      <c r="DG20" s="154"/>
      <c r="DH20" s="154"/>
      <c r="DI20" s="154"/>
      <c r="DJ20" s="154"/>
      <c r="DK20" s="154"/>
      <c r="DL20" s="154"/>
      <c r="DM20" s="154"/>
      <c r="DN20" s="154"/>
      <c r="DO20" s="154"/>
      <c r="DP20" s="154"/>
      <c r="DQ20" s="154"/>
      <c r="DR20" s="154"/>
      <c r="DS20" s="154"/>
      <c r="DT20" s="154"/>
      <c r="DU20" s="154"/>
      <c r="DV20" s="154"/>
      <c r="DW20" s="154"/>
      <c r="DX20" s="154"/>
      <c r="DY20" s="154"/>
      <c r="DZ20" s="154"/>
      <c r="EA20" s="154"/>
      <c r="EB20" s="154"/>
      <c r="EC20" s="154"/>
      <c r="ED20" s="154"/>
      <c r="EE20" s="154"/>
      <c r="EF20" s="154"/>
      <c r="EG20" s="154"/>
      <c r="EH20" s="154"/>
      <c r="EI20" s="154"/>
      <c r="EJ20" s="154"/>
      <c r="EK20" s="154"/>
      <c r="EL20" s="154"/>
      <c r="EM20" s="154"/>
      <c r="EN20" s="154"/>
      <c r="EO20" s="154"/>
      <c r="EP20" s="154"/>
      <c r="EQ20" s="154"/>
      <c r="ER20" s="154"/>
      <c r="ES20" s="154"/>
      <c r="ET20" s="154"/>
      <c r="EU20" s="154"/>
      <c r="EV20" s="154"/>
      <c r="EW20" s="154"/>
    </row>
    <row r="21" spans="1:153" ht="12.95" customHeight="1">
      <c r="A21" s="154"/>
      <c r="B21" s="363" t="s">
        <v>894</v>
      </c>
      <c r="C21" s="452" t="s">
        <v>778</v>
      </c>
      <c r="D21" s="453">
        <f>HLOOKUP("AHU Heating Coil Outlet:System Node Temp[C](Hourly)",'Eplus results'!1:1048576,'graph data'!D4,FALSE)*9/5+32</f>
        <v>59.343148402646896</v>
      </c>
      <c r="P21" s="154"/>
      <c r="Q21" s="154"/>
      <c r="R21" s="154"/>
      <c r="S21" s="154"/>
      <c r="T21" s="154"/>
      <c r="U21" s="154"/>
      <c r="V21" s="154"/>
      <c r="W21" s="154"/>
      <c r="X21" s="154"/>
      <c r="Y21" s="154"/>
      <c r="Z21" s="154"/>
      <c r="AA21" s="154"/>
      <c r="AB21" s="154"/>
      <c r="AC21" s="154"/>
      <c r="AD21" s="154"/>
      <c r="AE21" s="154"/>
      <c r="AF21" s="367"/>
      <c r="AG21" s="368"/>
      <c r="AH21" s="368"/>
      <c r="AI21" s="368"/>
      <c r="AJ21" s="154"/>
      <c r="AK21" s="154"/>
      <c r="AL21" s="154"/>
      <c r="AM21" s="154"/>
      <c r="AN21" s="154"/>
      <c r="AO21" s="154"/>
      <c r="AP21" s="154"/>
      <c r="AQ21" s="154"/>
      <c r="AR21" s="154"/>
      <c r="AS21" s="154"/>
      <c r="AT21" s="154"/>
      <c r="AU21" s="154"/>
      <c r="AV21" s="154"/>
      <c r="AW21" s="154"/>
      <c r="AX21" s="154"/>
      <c r="AY21" s="154"/>
      <c r="AZ21" s="154"/>
      <c r="BA21" s="154"/>
      <c r="BB21" s="154"/>
      <c r="BC21" s="154"/>
      <c r="BD21" s="154"/>
      <c r="BE21" s="154"/>
      <c r="BF21" s="154"/>
      <c r="BG21" s="154"/>
      <c r="BH21" s="154"/>
      <c r="BI21" s="154"/>
      <c r="BJ21" s="154"/>
      <c r="BK21" s="154"/>
      <c r="BL21" s="154"/>
      <c r="BM21" s="154"/>
      <c r="BN21" s="154"/>
      <c r="BO21" s="154"/>
      <c r="BP21" s="154"/>
      <c r="BQ21" s="154"/>
      <c r="BR21" s="154"/>
      <c r="BS21" s="154"/>
      <c r="BT21" s="154"/>
      <c r="BU21" s="154"/>
      <c r="BV21" s="154"/>
      <c r="BW21" s="154"/>
      <c r="BX21" s="154"/>
      <c r="BY21" s="154"/>
      <c r="BZ21" s="154"/>
      <c r="CA21" s="154"/>
      <c r="CB21" s="154"/>
      <c r="CC21" s="154"/>
      <c r="CD21" s="154"/>
      <c r="CE21" s="154"/>
      <c r="CF21" s="154"/>
      <c r="CG21" s="154"/>
      <c r="CH21" s="154"/>
      <c r="CI21" s="154"/>
      <c r="CJ21" s="154"/>
      <c r="CK21" s="154"/>
      <c r="CL21" s="154"/>
      <c r="CM21" s="154"/>
      <c r="CN21" s="154"/>
      <c r="CO21" s="154"/>
      <c r="CP21" s="154"/>
      <c r="CQ21" s="154"/>
      <c r="CR21" s="154"/>
      <c r="CS21" s="154"/>
      <c r="CT21" s="154"/>
      <c r="CU21" s="154"/>
      <c r="CV21" s="154"/>
      <c r="CW21" s="154"/>
      <c r="CX21" s="154"/>
      <c r="CY21" s="154"/>
      <c r="CZ21" s="154"/>
      <c r="DA21" s="154"/>
      <c r="DB21" s="154"/>
      <c r="DC21" s="154"/>
      <c r="DD21" s="154"/>
      <c r="DE21" s="154"/>
      <c r="DF21" s="154"/>
      <c r="DG21" s="154"/>
      <c r="DH21" s="154"/>
      <c r="DI21" s="154"/>
      <c r="DJ21" s="154"/>
      <c r="DK21" s="154"/>
      <c r="DL21" s="154"/>
      <c r="DM21" s="154"/>
      <c r="DN21" s="154"/>
      <c r="DO21" s="154"/>
      <c r="DP21" s="154"/>
      <c r="DQ21" s="154"/>
      <c r="DR21" s="154"/>
      <c r="DS21" s="154"/>
      <c r="DT21" s="154"/>
      <c r="DU21" s="154"/>
      <c r="DV21" s="154"/>
      <c r="DW21" s="154"/>
      <c r="DX21" s="154"/>
      <c r="DY21" s="154"/>
      <c r="DZ21" s="154"/>
      <c r="EA21" s="154"/>
      <c r="EB21" s="154"/>
      <c r="EC21" s="154"/>
      <c r="ED21" s="154"/>
      <c r="EE21" s="154"/>
      <c r="EF21" s="154"/>
      <c r="EG21" s="154"/>
      <c r="EH21" s="154"/>
      <c r="EI21" s="154"/>
      <c r="EJ21" s="154"/>
      <c r="EK21" s="154"/>
      <c r="EL21" s="154"/>
      <c r="EM21" s="154"/>
      <c r="EN21" s="154"/>
      <c r="EO21" s="154"/>
      <c r="EP21" s="154"/>
      <c r="EQ21" s="154"/>
      <c r="ER21" s="154"/>
      <c r="ES21" s="154"/>
      <c r="ET21" s="154"/>
      <c r="EU21" s="154"/>
      <c r="EV21" s="154"/>
      <c r="EW21" s="154"/>
    </row>
    <row r="22" spans="1:153" ht="12.95" customHeight="1">
      <c r="B22" s="395" t="s">
        <v>865</v>
      </c>
      <c r="C22" s="551" t="s">
        <v>778</v>
      </c>
      <c r="D22" s="494">
        <f>'graph data'!F7</f>
        <v>60.008007851461585</v>
      </c>
      <c r="P22" s="154"/>
      <c r="Q22" s="154"/>
      <c r="R22" s="154"/>
      <c r="S22" s="154"/>
      <c r="T22" s="154"/>
      <c r="U22" s="154"/>
      <c r="V22" s="154"/>
      <c r="W22" s="154"/>
      <c r="X22" s="154"/>
      <c r="Y22" s="154"/>
      <c r="Z22" s="154"/>
      <c r="AA22" s="154"/>
      <c r="AB22" s="154"/>
      <c r="AC22" s="154"/>
      <c r="AD22" s="154"/>
      <c r="AE22" s="154"/>
      <c r="AF22" s="367"/>
      <c r="AG22" s="368"/>
      <c r="AH22" s="368"/>
      <c r="AI22" s="368"/>
      <c r="AJ22" s="154"/>
      <c r="AK22" s="154"/>
      <c r="AL22" s="154"/>
      <c r="AM22" s="154"/>
      <c r="AN22" s="154"/>
      <c r="AO22" s="154"/>
      <c r="AP22" s="154"/>
      <c r="AQ22" s="154"/>
      <c r="AR22" s="154"/>
      <c r="AS22" s="154"/>
      <c r="AT22" s="154"/>
      <c r="AU22" s="154"/>
      <c r="AV22" s="154"/>
      <c r="AW22" s="154"/>
      <c r="AX22" s="154"/>
      <c r="AY22" s="154"/>
      <c r="AZ22" s="154"/>
      <c r="BA22" s="154"/>
      <c r="BB22" s="154"/>
      <c r="BC22" s="154"/>
      <c r="BD22" s="154"/>
      <c r="BE22" s="154"/>
      <c r="BF22" s="154"/>
      <c r="BG22" s="154"/>
      <c r="BH22" s="154"/>
      <c r="BI22" s="154"/>
      <c r="BJ22" s="154"/>
      <c r="BK22" s="154"/>
      <c r="BL22" s="154"/>
      <c r="BM22" s="154"/>
      <c r="BN22" s="154"/>
      <c r="BO22" s="154"/>
      <c r="BP22" s="154"/>
      <c r="BQ22" s="154"/>
      <c r="BR22" s="154"/>
      <c r="BS22" s="154"/>
      <c r="BT22" s="154"/>
      <c r="BU22" s="154"/>
      <c r="BV22" s="154"/>
      <c r="BW22" s="154"/>
      <c r="BX22" s="154"/>
      <c r="BY22" s="154"/>
      <c r="BZ22" s="154"/>
      <c r="CA22" s="154"/>
      <c r="CB22" s="154"/>
      <c r="CC22" s="154"/>
      <c r="CD22" s="154"/>
      <c r="CE22" s="154"/>
      <c r="CF22" s="154"/>
      <c r="CG22" s="154"/>
      <c r="CH22" s="154"/>
      <c r="CI22" s="154"/>
      <c r="CJ22" s="154"/>
      <c r="CK22" s="154"/>
      <c r="CL22" s="154"/>
      <c r="CM22" s="154"/>
      <c r="CN22" s="154"/>
      <c r="CO22" s="154"/>
      <c r="CP22" s="154"/>
      <c r="CQ22" s="154"/>
      <c r="CR22" s="154"/>
      <c r="CS22" s="154"/>
      <c r="CT22" s="154"/>
      <c r="CU22" s="154"/>
      <c r="CV22" s="154"/>
      <c r="CW22" s="154"/>
      <c r="CX22" s="154"/>
      <c r="CY22" s="154"/>
      <c r="CZ22" s="154"/>
      <c r="DA22" s="154"/>
      <c r="DB22" s="154"/>
      <c r="DC22" s="154"/>
      <c r="DD22" s="154"/>
      <c r="DE22" s="154"/>
      <c r="DF22" s="154"/>
      <c r="DG22" s="154"/>
      <c r="DH22" s="154"/>
      <c r="DI22" s="154"/>
      <c r="DJ22" s="154"/>
      <c r="DK22" s="154"/>
      <c r="DL22" s="154"/>
      <c r="DM22" s="154"/>
      <c r="DN22" s="154"/>
      <c r="DO22" s="154"/>
      <c r="DP22" s="154"/>
      <c r="DQ22" s="154"/>
      <c r="DR22" s="154"/>
      <c r="DS22" s="154"/>
      <c r="DT22" s="154"/>
      <c r="DU22" s="154"/>
      <c r="DV22" s="154"/>
      <c r="DW22" s="154"/>
      <c r="DX22" s="154"/>
      <c r="DY22" s="154"/>
      <c r="DZ22" s="154"/>
      <c r="EA22" s="154"/>
      <c r="EB22" s="154"/>
      <c r="EC22" s="154"/>
      <c r="ED22" s="154"/>
      <c r="EE22" s="154"/>
      <c r="EF22" s="154"/>
      <c r="EG22" s="154"/>
      <c r="EH22" s="154"/>
      <c r="EI22" s="154"/>
      <c r="EJ22" s="154"/>
      <c r="EK22" s="154"/>
      <c r="EL22" s="154"/>
      <c r="EM22" s="154"/>
      <c r="EN22" s="154"/>
      <c r="EO22" s="154"/>
      <c r="EP22" s="154"/>
      <c r="EQ22" s="154"/>
      <c r="ER22" s="154"/>
      <c r="ES22" s="154"/>
      <c r="ET22" s="154"/>
      <c r="EU22" s="154"/>
      <c r="EV22" s="154"/>
      <c r="EW22" s="154"/>
    </row>
    <row r="23" spans="1:153" ht="12.95" customHeight="1">
      <c r="B23" s="451" t="s">
        <v>856</v>
      </c>
      <c r="C23" s="452" t="s">
        <v>778</v>
      </c>
      <c r="D23" s="456">
        <f>HLOOKUP("AHU Air Loop Inlet:System Node Temp[C](Hourly)",'Eplus results'!1:1048576,'graph data'!D4,FALSE)*9/5+32</f>
        <v>78.543192178621752</v>
      </c>
      <c r="P23" s="154"/>
      <c r="Q23" s="154"/>
      <c r="R23" s="154"/>
      <c r="S23" s="154"/>
      <c r="T23" s="154"/>
      <c r="U23" s="154"/>
      <c r="V23" s="154"/>
      <c r="W23" s="154"/>
      <c r="X23" s="154"/>
      <c r="Y23" s="154"/>
      <c r="Z23" s="154"/>
      <c r="AA23" s="154"/>
      <c r="AB23" s="154"/>
      <c r="AC23" s="154"/>
      <c r="AD23" s="154"/>
      <c r="AE23" s="154"/>
      <c r="AF23" s="367"/>
      <c r="AG23" s="368"/>
      <c r="AH23" s="368"/>
      <c r="AI23" s="368"/>
      <c r="AJ23" s="154"/>
      <c r="AK23" s="154"/>
      <c r="AL23" s="154"/>
      <c r="AM23" s="154"/>
      <c r="AN23" s="154"/>
      <c r="AO23" s="154"/>
      <c r="AP23" s="154"/>
      <c r="AQ23" s="154"/>
      <c r="AR23" s="154"/>
      <c r="AS23" s="154"/>
      <c r="AT23" s="154"/>
      <c r="AU23" s="154"/>
      <c r="AV23" s="154"/>
      <c r="AW23" s="154"/>
      <c r="AX23" s="154"/>
      <c r="AY23" s="154"/>
      <c r="AZ23" s="154"/>
      <c r="BA23" s="154"/>
      <c r="BB23" s="154"/>
      <c r="BC23" s="154"/>
      <c r="BD23" s="154"/>
      <c r="BE23" s="154"/>
      <c r="BF23" s="154"/>
      <c r="BG23" s="154"/>
      <c r="BH23" s="154"/>
      <c r="BI23" s="154"/>
      <c r="BJ23" s="154"/>
      <c r="BK23" s="154"/>
      <c r="BL23" s="154"/>
      <c r="BM23" s="154"/>
      <c r="BN23" s="154"/>
      <c r="BO23" s="154"/>
      <c r="BP23" s="154"/>
      <c r="BQ23" s="154"/>
      <c r="BR23" s="154"/>
      <c r="BS23" s="154"/>
      <c r="BT23" s="154"/>
      <c r="BU23" s="154"/>
      <c r="BV23" s="154"/>
      <c r="BW23" s="154"/>
      <c r="BX23" s="154"/>
      <c r="BY23" s="154"/>
      <c r="BZ23" s="154"/>
      <c r="CA23" s="154"/>
      <c r="CB23" s="154"/>
      <c r="CC23" s="154"/>
      <c r="CD23" s="154"/>
      <c r="CE23" s="154"/>
      <c r="CF23" s="154"/>
      <c r="CG23" s="154"/>
      <c r="CH23" s="154"/>
      <c r="CI23" s="154"/>
      <c r="CJ23" s="154"/>
      <c r="CK23" s="154"/>
      <c r="CL23" s="154"/>
      <c r="CM23" s="154"/>
      <c r="CN23" s="154"/>
      <c r="CO23" s="154"/>
      <c r="CP23" s="154"/>
      <c r="CQ23" s="154"/>
      <c r="CR23" s="154"/>
      <c r="CS23" s="154"/>
      <c r="CT23" s="154"/>
      <c r="CU23" s="154"/>
      <c r="CV23" s="154"/>
      <c r="CW23" s="154"/>
      <c r="CX23" s="154"/>
      <c r="CY23" s="154"/>
      <c r="CZ23" s="154"/>
      <c r="DA23" s="154"/>
      <c r="DB23" s="154"/>
      <c r="DC23" s="154"/>
      <c r="DD23" s="154"/>
      <c r="DE23" s="154"/>
      <c r="DF23" s="154"/>
      <c r="DG23" s="154"/>
      <c r="DH23" s="154"/>
      <c r="DI23" s="154"/>
      <c r="DJ23" s="154"/>
      <c r="DK23" s="154"/>
      <c r="DL23" s="154"/>
      <c r="DM23" s="154"/>
      <c r="DN23" s="154"/>
      <c r="DO23" s="154"/>
      <c r="DP23" s="154"/>
      <c r="DQ23" s="154"/>
      <c r="DR23" s="154"/>
      <c r="DS23" s="154"/>
      <c r="DT23" s="154"/>
      <c r="DU23" s="154"/>
      <c r="DV23" s="154"/>
      <c r="DW23" s="154"/>
      <c r="DX23" s="154"/>
      <c r="DY23" s="154"/>
      <c r="DZ23" s="154"/>
      <c r="EA23" s="154"/>
      <c r="EB23" s="154"/>
      <c r="EC23" s="154"/>
      <c r="ED23" s="154"/>
      <c r="EE23" s="154"/>
      <c r="EF23" s="154"/>
      <c r="EG23" s="154"/>
      <c r="EH23" s="154"/>
      <c r="EI23" s="154"/>
      <c r="EJ23" s="154"/>
      <c r="EK23" s="154"/>
      <c r="EL23" s="154"/>
      <c r="EM23" s="154"/>
      <c r="EN23" s="154"/>
      <c r="EO23" s="154"/>
      <c r="EP23" s="154"/>
      <c r="EQ23" s="154"/>
      <c r="ER23" s="154"/>
      <c r="ES23" s="154"/>
      <c r="ET23" s="154"/>
      <c r="EU23" s="154"/>
      <c r="EV23" s="154"/>
      <c r="EW23" s="154"/>
    </row>
    <row r="24" spans="1:153" ht="12.95" customHeight="1">
      <c r="B24" s="451" t="s">
        <v>857</v>
      </c>
      <c r="C24" s="454" t="s">
        <v>108</v>
      </c>
      <c r="D24" s="455" t="e">
        <f>HLOOKUP("AHU Air Loop Inlet:System Node VolFlowRate[m3/s](Hourly)",'Eplus results'!1:1048576,'graph data'!D4,FALSE)*35.314667*60</f>
        <v>#N/A</v>
      </c>
      <c r="P24" s="154"/>
      <c r="Q24" s="154"/>
      <c r="R24" s="154"/>
      <c r="S24" s="154"/>
      <c r="T24" s="154"/>
      <c r="U24" s="154"/>
      <c r="V24" s="154"/>
      <c r="W24" s="154"/>
      <c r="X24" s="154"/>
      <c r="Y24" s="154"/>
      <c r="Z24" s="154"/>
      <c r="AA24" s="154"/>
      <c r="AB24" s="154"/>
      <c r="AC24" s="154"/>
      <c r="AD24" s="154"/>
      <c r="AE24" s="154"/>
      <c r="AF24" s="367"/>
      <c r="AG24" s="368"/>
      <c r="AH24" s="368"/>
      <c r="AI24" s="368"/>
      <c r="AJ24" s="154"/>
      <c r="AK24" s="154"/>
      <c r="AL24" s="154"/>
      <c r="AM24" s="154"/>
      <c r="AN24" s="154"/>
      <c r="AO24" s="154"/>
      <c r="AP24" s="154"/>
      <c r="AQ24" s="154"/>
      <c r="AR24" s="154"/>
      <c r="AS24" s="154"/>
      <c r="AT24" s="154"/>
      <c r="AU24" s="154"/>
      <c r="AV24" s="154"/>
      <c r="AW24" s="154"/>
      <c r="AX24" s="154"/>
      <c r="AY24" s="154"/>
      <c r="AZ24" s="154"/>
      <c r="BA24" s="154"/>
      <c r="BB24" s="154"/>
      <c r="BC24" s="154"/>
      <c r="BD24" s="154"/>
      <c r="BE24" s="154"/>
      <c r="BF24" s="154"/>
      <c r="BG24" s="154"/>
      <c r="BH24" s="154"/>
      <c r="BI24" s="154"/>
      <c r="BJ24" s="154"/>
      <c r="BK24" s="154"/>
      <c r="BL24" s="154"/>
      <c r="BM24" s="154"/>
      <c r="BN24" s="154"/>
      <c r="BO24" s="154"/>
      <c r="BP24" s="154"/>
      <c r="BQ24" s="154"/>
      <c r="BR24" s="154"/>
      <c r="BS24" s="154"/>
      <c r="BT24" s="154"/>
      <c r="BU24" s="154"/>
      <c r="BV24" s="154"/>
      <c r="BW24" s="154"/>
      <c r="BX24" s="154"/>
      <c r="BY24" s="154"/>
      <c r="BZ24" s="154"/>
      <c r="CA24" s="154"/>
      <c r="CB24" s="154"/>
      <c r="CC24" s="154"/>
      <c r="CD24" s="154"/>
      <c r="CE24" s="154"/>
      <c r="CF24" s="154"/>
      <c r="CG24" s="154"/>
      <c r="CH24" s="154"/>
      <c r="CI24" s="154"/>
      <c r="CJ24" s="154"/>
      <c r="CK24" s="154"/>
      <c r="CL24" s="154"/>
      <c r="CM24" s="154"/>
      <c r="CN24" s="154"/>
      <c r="CO24" s="154"/>
      <c r="CP24" s="154"/>
      <c r="CQ24" s="154"/>
      <c r="CR24" s="154"/>
      <c r="CS24" s="154"/>
      <c r="CT24" s="154"/>
      <c r="CU24" s="154"/>
      <c r="CV24" s="154"/>
      <c r="CW24" s="154"/>
      <c r="CX24" s="154"/>
      <c r="CY24" s="154"/>
      <c r="CZ24" s="154"/>
      <c r="DA24" s="154"/>
      <c r="DB24" s="154"/>
      <c r="DC24" s="154"/>
      <c r="DD24" s="154"/>
      <c r="DE24" s="154"/>
      <c r="DF24" s="154"/>
      <c r="DG24" s="154"/>
      <c r="DH24" s="154"/>
      <c r="DI24" s="154"/>
      <c r="DJ24" s="154"/>
      <c r="DK24" s="154"/>
      <c r="DL24" s="154"/>
      <c r="DM24" s="154"/>
      <c r="DN24" s="154"/>
      <c r="DO24" s="154"/>
      <c r="DP24" s="154"/>
      <c r="DQ24" s="154"/>
      <c r="DR24" s="154"/>
      <c r="DS24" s="154"/>
      <c r="DT24" s="154"/>
      <c r="DU24" s="154"/>
      <c r="DV24" s="154"/>
      <c r="DW24" s="154"/>
      <c r="DX24" s="154"/>
      <c r="DY24" s="154"/>
      <c r="DZ24" s="154"/>
      <c r="EA24" s="154"/>
      <c r="EB24" s="154"/>
      <c r="EC24" s="154"/>
      <c r="ED24" s="154"/>
      <c r="EE24" s="154"/>
      <c r="EF24" s="154"/>
      <c r="EG24" s="154"/>
      <c r="EH24" s="154"/>
      <c r="EI24" s="154"/>
      <c r="EJ24" s="154"/>
      <c r="EK24" s="154"/>
      <c r="EL24" s="154"/>
      <c r="EM24" s="154"/>
      <c r="EN24" s="154"/>
      <c r="EO24" s="154"/>
      <c r="EP24" s="154"/>
      <c r="EQ24" s="154"/>
      <c r="ER24" s="154"/>
      <c r="ES24" s="154"/>
      <c r="ET24" s="154"/>
      <c r="EU24" s="154"/>
      <c r="EV24" s="154"/>
      <c r="EW24" s="154"/>
    </row>
    <row r="25" spans="1:153" ht="12.95" customHeight="1">
      <c r="B25" s="451" t="s">
        <v>858</v>
      </c>
      <c r="C25" s="452" t="s">
        <v>778</v>
      </c>
      <c r="D25" s="456">
        <f>HLOOKUP("AHU RELIEF AIR OUTLET:System Node Temp[C](Hourly)",'Eplus results'!1:1048576,'graph data'!D4,FALSE)*9/5+32</f>
        <v>78.543192178621752</v>
      </c>
      <c r="P25" s="154"/>
      <c r="Q25" s="154"/>
      <c r="R25" s="154"/>
      <c r="S25" s="154"/>
      <c r="T25" s="154"/>
      <c r="U25" s="154"/>
      <c r="V25" s="154"/>
      <c r="W25" s="154"/>
      <c r="X25" s="154"/>
      <c r="Y25" s="154"/>
      <c r="Z25" s="154"/>
      <c r="AA25" s="154"/>
      <c r="AB25" s="154"/>
      <c r="AC25" s="154"/>
      <c r="AD25" s="154"/>
      <c r="AE25" s="154"/>
      <c r="AF25" s="367"/>
      <c r="AG25" s="368"/>
      <c r="AH25" s="368"/>
      <c r="AI25" s="368"/>
      <c r="AJ25" s="154"/>
      <c r="AK25" s="154"/>
      <c r="AL25" s="154"/>
      <c r="AM25" s="154"/>
      <c r="AN25" s="154"/>
      <c r="AO25" s="154"/>
      <c r="AP25" s="154"/>
      <c r="AQ25" s="154"/>
      <c r="AR25" s="154"/>
      <c r="AS25" s="154"/>
      <c r="AT25" s="154"/>
      <c r="AU25" s="154"/>
      <c r="AV25" s="154"/>
      <c r="AW25" s="154"/>
      <c r="AX25" s="154"/>
      <c r="AY25" s="154"/>
      <c r="AZ25" s="154"/>
      <c r="BA25" s="154"/>
      <c r="BB25" s="154"/>
      <c r="BC25" s="154"/>
      <c r="BD25" s="154"/>
      <c r="BE25" s="154"/>
      <c r="BF25" s="154"/>
      <c r="BG25" s="154"/>
      <c r="BH25" s="154"/>
      <c r="BI25" s="154"/>
      <c r="BJ25" s="154"/>
      <c r="BK25" s="154"/>
      <c r="BL25" s="154"/>
      <c r="BM25" s="154"/>
      <c r="BN25" s="154"/>
      <c r="BO25" s="154"/>
      <c r="BP25" s="154"/>
      <c r="BQ25" s="154"/>
      <c r="BR25" s="154"/>
      <c r="BS25" s="154"/>
      <c r="BT25" s="154"/>
      <c r="BU25" s="154"/>
      <c r="BV25" s="154"/>
      <c r="BW25" s="154"/>
      <c r="BX25" s="154"/>
      <c r="BY25" s="154"/>
      <c r="BZ25" s="154"/>
      <c r="CA25" s="154"/>
      <c r="CB25" s="154"/>
      <c r="CC25" s="154"/>
      <c r="CD25" s="154"/>
      <c r="CE25" s="154"/>
      <c r="CF25" s="154"/>
      <c r="CG25" s="154"/>
      <c r="CH25" s="154"/>
      <c r="CI25" s="154"/>
      <c r="CJ25" s="154"/>
      <c r="CK25" s="154"/>
      <c r="CL25" s="154"/>
      <c r="CM25" s="154"/>
      <c r="CN25" s="154"/>
      <c r="CO25" s="154"/>
      <c r="CP25" s="154"/>
      <c r="CQ25" s="154"/>
      <c r="CR25" s="154"/>
      <c r="CS25" s="154"/>
      <c r="CT25" s="154"/>
      <c r="CU25" s="154"/>
      <c r="CV25" s="154"/>
      <c r="CW25" s="154"/>
      <c r="CX25" s="154"/>
      <c r="CY25" s="154"/>
      <c r="CZ25" s="154"/>
      <c r="DA25" s="154"/>
      <c r="DB25" s="154"/>
      <c r="DC25" s="154"/>
      <c r="DD25" s="154"/>
      <c r="DE25" s="154"/>
      <c r="DF25" s="154"/>
      <c r="DG25" s="154"/>
      <c r="DH25" s="154"/>
      <c r="DI25" s="154"/>
      <c r="DJ25" s="154"/>
      <c r="DK25" s="154"/>
      <c r="DL25" s="154"/>
      <c r="DM25" s="154"/>
      <c r="DN25" s="154"/>
      <c r="DO25" s="154"/>
      <c r="DP25" s="154"/>
      <c r="DQ25" s="154"/>
      <c r="DR25" s="154"/>
      <c r="DS25" s="154"/>
      <c r="DT25" s="154"/>
      <c r="DU25" s="154"/>
      <c r="DV25" s="154"/>
      <c r="DW25" s="154"/>
      <c r="DX25" s="154"/>
      <c r="DY25" s="154"/>
      <c r="DZ25" s="154"/>
      <c r="EA25" s="154"/>
      <c r="EB25" s="154"/>
      <c r="EC25" s="154"/>
      <c r="ED25" s="154"/>
      <c r="EE25" s="154"/>
      <c r="EF25" s="154"/>
      <c r="EG25" s="154"/>
      <c r="EH25" s="154"/>
      <c r="EI25" s="154"/>
      <c r="EJ25" s="154"/>
      <c r="EK25" s="154"/>
      <c r="EL25" s="154"/>
      <c r="EM25" s="154"/>
      <c r="EN25" s="154"/>
      <c r="EO25" s="154"/>
      <c r="EP25" s="154"/>
      <c r="EQ25" s="154"/>
      <c r="ER25" s="154"/>
      <c r="ES25" s="154"/>
      <c r="ET25" s="154"/>
      <c r="EU25" s="154"/>
      <c r="EV25" s="154"/>
      <c r="EW25" s="154"/>
    </row>
    <row r="26" spans="1:153" ht="12.95" customHeight="1">
      <c r="B26" s="549" t="s">
        <v>859</v>
      </c>
      <c r="C26" s="550" t="s">
        <v>108</v>
      </c>
      <c r="D26" s="450" t="e">
        <f>HLOOKUP("AHU RELIEF AIR OUTLET:System Node VolFlowRate[m3/s](Hourly) ",'Eplus results'!1:1048576,'graph data'!D4,FALSE)*35.314667*60</f>
        <v>#N/A</v>
      </c>
      <c r="P26" s="154"/>
      <c r="Q26" s="154"/>
      <c r="R26" s="154"/>
      <c r="S26" s="154"/>
      <c r="T26" s="154"/>
      <c r="U26" s="154"/>
      <c r="V26" s="154"/>
      <c r="W26" s="154"/>
      <c r="X26" s="154"/>
      <c r="Y26" s="154"/>
      <c r="Z26" s="154"/>
      <c r="AA26" s="154"/>
      <c r="AB26" s="154"/>
      <c r="AC26" s="154"/>
      <c r="AD26" s="154"/>
      <c r="AE26" s="154"/>
      <c r="AF26" s="367"/>
      <c r="AG26" s="368"/>
      <c r="AH26" s="368"/>
      <c r="AI26" s="368"/>
      <c r="AJ26" s="154"/>
      <c r="AK26" s="154"/>
      <c r="AL26" s="154"/>
      <c r="AM26" s="154"/>
      <c r="AN26" s="154"/>
      <c r="AO26" s="154"/>
      <c r="AP26" s="154"/>
      <c r="AQ26" s="154"/>
      <c r="AR26" s="154"/>
      <c r="AS26" s="154"/>
      <c r="AT26" s="154"/>
      <c r="AU26" s="154"/>
      <c r="AV26" s="154"/>
      <c r="AW26" s="154"/>
      <c r="AX26" s="154"/>
      <c r="AY26" s="154"/>
      <c r="AZ26" s="154"/>
      <c r="BA26" s="154"/>
      <c r="BB26" s="154"/>
      <c r="BC26" s="154"/>
      <c r="BD26" s="154"/>
      <c r="BE26" s="154"/>
      <c r="BF26" s="154"/>
      <c r="BG26" s="154"/>
      <c r="BH26" s="154"/>
      <c r="BI26" s="154"/>
      <c r="BJ26" s="154"/>
      <c r="BK26" s="154"/>
      <c r="BL26" s="154"/>
      <c r="BM26" s="154"/>
      <c r="BN26" s="154"/>
      <c r="BO26" s="154"/>
      <c r="BP26" s="154"/>
      <c r="BQ26" s="154"/>
      <c r="BR26" s="154"/>
      <c r="BS26" s="154"/>
      <c r="BT26" s="154"/>
      <c r="BU26" s="154"/>
      <c r="BV26" s="154"/>
      <c r="BW26" s="154"/>
      <c r="BX26" s="154"/>
      <c r="BY26" s="154"/>
      <c r="BZ26" s="154"/>
      <c r="CA26" s="154"/>
      <c r="CB26" s="154"/>
      <c r="CC26" s="154"/>
      <c r="CD26" s="154"/>
      <c r="CE26" s="154"/>
      <c r="CF26" s="154"/>
      <c r="CG26" s="154"/>
      <c r="CH26" s="154"/>
      <c r="CI26" s="154"/>
      <c r="CJ26" s="154"/>
      <c r="CK26" s="154"/>
      <c r="CL26" s="154"/>
      <c r="CM26" s="154"/>
      <c r="CN26" s="154"/>
      <c r="CO26" s="154"/>
      <c r="CP26" s="154"/>
      <c r="CQ26" s="154"/>
      <c r="CR26" s="154"/>
      <c r="CS26" s="154"/>
      <c r="CT26" s="154"/>
      <c r="CU26" s="154"/>
      <c r="CV26" s="154"/>
      <c r="CW26" s="154"/>
      <c r="CX26" s="154"/>
      <c r="CY26" s="154"/>
      <c r="CZ26" s="154"/>
      <c r="DA26" s="154"/>
      <c r="DB26" s="154"/>
      <c r="DC26" s="154"/>
      <c r="DD26" s="154"/>
      <c r="DE26" s="154"/>
      <c r="DF26" s="154"/>
      <c r="DG26" s="154"/>
      <c r="DH26" s="154"/>
      <c r="DI26" s="154"/>
      <c r="DJ26" s="154"/>
      <c r="DK26" s="154"/>
      <c r="DL26" s="154"/>
      <c r="DM26" s="154"/>
      <c r="DN26" s="154"/>
      <c r="DO26" s="154"/>
      <c r="DP26" s="154"/>
      <c r="DQ26" s="154"/>
      <c r="DR26" s="154"/>
      <c r="DS26" s="154"/>
      <c r="DT26" s="154"/>
      <c r="DU26" s="154"/>
      <c r="DV26" s="154"/>
      <c r="DW26" s="154"/>
      <c r="DX26" s="154"/>
      <c r="DY26" s="154"/>
      <c r="DZ26" s="154"/>
      <c r="EA26" s="154"/>
      <c r="EB26" s="154"/>
      <c r="EC26" s="154"/>
      <c r="ED26" s="154"/>
      <c r="EE26" s="154"/>
      <c r="EF26" s="154"/>
      <c r="EG26" s="154"/>
      <c r="EH26" s="154"/>
      <c r="EI26" s="154"/>
      <c r="EJ26" s="154"/>
      <c r="EK26" s="154"/>
      <c r="EL26" s="154"/>
      <c r="EM26" s="154"/>
      <c r="EN26" s="154"/>
      <c r="EO26" s="154"/>
      <c r="EP26" s="154"/>
      <c r="EQ26" s="154"/>
      <c r="ER26" s="154"/>
      <c r="ES26" s="154"/>
      <c r="ET26" s="154"/>
      <c r="EU26" s="154"/>
      <c r="EV26" s="154"/>
      <c r="EW26" s="154"/>
    </row>
    <row r="27" spans="1:153" ht="12.95" customHeight="1">
      <c r="B27" s="363" t="s">
        <v>873</v>
      </c>
      <c r="C27" s="360" t="s">
        <v>961</v>
      </c>
      <c r="D27" s="480" t="e">
        <f>(HLOOKUP("AHU SUPPLY FAN:Fan Electric Power[W](Hourly)",'Eplus results'!1:1048576,'graph data'!D4,FALSE)+HLOOKUP("RETURN FAN 1:Fan Electric Power[W](Hourly)",'Eplus results'!1:1048576,'graph data'!D4,FALSE))/1000</f>
        <v>#N/A</v>
      </c>
      <c r="P27" s="154"/>
      <c r="Q27" s="154"/>
      <c r="R27" s="154"/>
      <c r="S27" s="154"/>
      <c r="T27" s="154"/>
      <c r="U27" s="154"/>
      <c r="V27" s="154"/>
      <c r="W27" s="154"/>
      <c r="X27" s="154"/>
      <c r="Y27" s="154"/>
      <c r="Z27" s="154"/>
      <c r="AA27" s="154"/>
      <c r="AB27" s="154"/>
      <c r="AC27" s="154"/>
      <c r="AD27" s="154"/>
      <c r="AE27" s="154"/>
      <c r="AF27" s="367"/>
      <c r="AG27" s="368"/>
      <c r="AH27" s="368"/>
      <c r="AI27" s="368"/>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c r="BS27" s="154"/>
      <c r="BT27" s="154"/>
      <c r="BU27" s="154"/>
      <c r="BV27" s="154"/>
      <c r="BW27" s="154"/>
      <c r="BX27" s="154"/>
      <c r="BY27" s="154"/>
      <c r="BZ27" s="154"/>
      <c r="CA27" s="154"/>
      <c r="CB27" s="154"/>
      <c r="CC27" s="154"/>
      <c r="CD27" s="154"/>
      <c r="CE27" s="154"/>
      <c r="CF27" s="154"/>
      <c r="CG27" s="154"/>
      <c r="CH27" s="154"/>
      <c r="CI27" s="154"/>
      <c r="CJ27" s="154"/>
      <c r="CK27" s="154"/>
      <c r="CL27" s="154"/>
      <c r="CM27" s="154"/>
      <c r="CN27" s="154"/>
      <c r="CO27" s="154"/>
      <c r="CP27" s="154"/>
      <c r="CQ27" s="154"/>
      <c r="CR27" s="154"/>
      <c r="CS27" s="154"/>
      <c r="CT27" s="154"/>
      <c r="CU27" s="154"/>
      <c r="CV27" s="154"/>
      <c r="CW27" s="154"/>
      <c r="CX27" s="154"/>
      <c r="CY27" s="154"/>
      <c r="CZ27" s="154"/>
      <c r="DA27" s="154"/>
      <c r="DB27" s="154"/>
      <c r="DC27" s="154"/>
      <c r="DD27" s="154"/>
      <c r="DE27" s="154"/>
      <c r="DF27" s="154"/>
      <c r="DG27" s="154"/>
      <c r="DH27" s="154"/>
      <c r="DI27" s="154"/>
      <c r="DJ27" s="154"/>
      <c r="DK27" s="154"/>
      <c r="DL27" s="154"/>
      <c r="DM27" s="154"/>
      <c r="DN27" s="154"/>
      <c r="DO27" s="154"/>
      <c r="DP27" s="154"/>
      <c r="DQ27" s="154"/>
      <c r="DR27" s="154"/>
      <c r="DS27" s="154"/>
      <c r="DT27" s="154"/>
      <c r="DU27" s="154"/>
      <c r="DV27" s="154"/>
      <c r="DW27" s="154"/>
      <c r="DX27" s="154"/>
      <c r="DY27" s="154"/>
      <c r="DZ27" s="154"/>
      <c r="EA27" s="154"/>
      <c r="EB27" s="154"/>
      <c r="EC27" s="154"/>
      <c r="ED27" s="154"/>
      <c r="EE27" s="154"/>
      <c r="EF27" s="154"/>
      <c r="EG27" s="154"/>
      <c r="EH27" s="154"/>
      <c r="EI27" s="154"/>
      <c r="EJ27" s="154"/>
      <c r="EK27" s="154"/>
      <c r="EL27" s="154"/>
      <c r="EM27" s="154"/>
      <c r="EN27" s="154"/>
      <c r="EO27" s="154"/>
      <c r="EP27" s="154"/>
      <c r="EQ27" s="154"/>
      <c r="ER27" s="154"/>
      <c r="ES27" s="154"/>
      <c r="ET27" s="154"/>
      <c r="EU27" s="154"/>
      <c r="EV27" s="154"/>
      <c r="EW27" s="154"/>
    </row>
    <row r="28" spans="1:153" ht="12.95" customHeight="1">
      <c r="B28" s="363" t="s">
        <v>874</v>
      </c>
      <c r="C28" s="360" t="s">
        <v>961</v>
      </c>
      <c r="D28" s="480">
        <f>(HLOOKUP("GFEAST FCU FAN:Fan Electric Power[W](Hourly)",'Eplus results'!1:1048576,'graph data'!D4,FALSE)+HLOOKUP("GFWEST FCU FAN:Fan Electric Power[W](Hourly)",'Eplus results'!1:1048576,'graph data'!D4,FALSE)+HLOOKUP("GFSOUTH FCU FAN:Fan Electric Power[W](Hourly)",'Eplus results'!1:1048576,'graph data'!D4,FALSE)+HLOOKUP("GFNORTH FCU FAN:Fan Electric Power[W](Hourly)",'Eplus results'!1:1048576,'graph data'!D4,FALSE)+HLOOKUP("MFEAST FCU FAN:Fan Electric Power[W](Hourly)",'Eplus results'!1:1048576,'graph data'!D4,FALSE)+HLOOKUP("MFWEST FCU FAN:Fan Electric Power[W](Hourly)",'Eplus results'!1:1048576,'graph data'!D4,FALSE)+HLOOKUP("MFSOUTH FCU FAN:Fan Electric Power[W](Hourly)",'Eplus results'!1:1048576,'graph data'!D4,FALSE)+HLOOKUP("MFNORTH FCU FAN:Fan Electric Power[W](Hourly)",'Eplus results'!1:1048576,'graph data'!D4,FALSE)+HLOOKUP("TFEAST FCU FAN:Fan Electric Power[W](Hourly)",'Eplus results'!1:1048576,'graph data'!D4,FALSE)+HLOOKUP("TFWEST FCU FAN:Fan Electric Power[W](Hourly)",'Eplus results'!1:1048576,'graph data'!D4,FALSE)+HLOOKUP("TFSOUTH FCU FAN:Fan Electric Power[W](Hourly)",'Eplus results'!1:1048576,'graph data'!D4,FALSE)+HLOOKUP("TFNORTH FCU FAN:Fan Electric Power[W](Hourly)",'Eplus results'!1:1048576,'graph data'!D4,FALSE))/1000</f>
        <v>3.6178093121488515</v>
      </c>
      <c r="P28" s="154"/>
      <c r="Q28" s="154"/>
      <c r="R28" s="154"/>
      <c r="S28" s="154"/>
      <c r="T28" s="154"/>
      <c r="U28" s="154"/>
      <c r="V28" s="154"/>
      <c r="W28" s="154"/>
      <c r="X28" s="154"/>
      <c r="Y28" s="154"/>
      <c r="Z28" s="154"/>
      <c r="AA28" s="154"/>
      <c r="AB28" s="154"/>
      <c r="AC28" s="154"/>
      <c r="AD28" s="154"/>
      <c r="AE28" s="154"/>
      <c r="AF28" s="367"/>
      <c r="AG28" s="368"/>
      <c r="AH28" s="368"/>
      <c r="AI28" s="368"/>
      <c r="AJ28" s="154"/>
      <c r="AK28" s="154"/>
      <c r="AL28" s="154"/>
      <c r="AM28" s="154"/>
      <c r="AN28" s="154"/>
      <c r="AO28" s="154"/>
      <c r="AP28" s="154"/>
      <c r="AQ28" s="154"/>
      <c r="AR28" s="154"/>
      <c r="AS28" s="154"/>
      <c r="AT28" s="154"/>
      <c r="AU28" s="154"/>
      <c r="AV28" s="154"/>
      <c r="AW28" s="154"/>
      <c r="AX28" s="154"/>
      <c r="AY28" s="154"/>
      <c r="AZ28" s="154"/>
      <c r="BA28" s="154"/>
      <c r="BB28" s="154"/>
      <c r="BC28" s="154"/>
      <c r="BD28" s="154"/>
      <c r="BE28" s="154"/>
      <c r="BF28" s="154"/>
      <c r="BG28" s="154"/>
      <c r="BH28" s="154"/>
      <c r="BI28" s="154"/>
      <c r="BJ28" s="154"/>
      <c r="BK28" s="154"/>
      <c r="BL28" s="154"/>
      <c r="BM28" s="154"/>
      <c r="BN28" s="154"/>
      <c r="BO28" s="154"/>
      <c r="BP28" s="154"/>
      <c r="BQ28" s="154"/>
      <c r="BR28" s="154"/>
      <c r="BS28" s="154"/>
      <c r="BT28" s="154"/>
      <c r="BU28" s="154"/>
      <c r="BV28" s="154"/>
      <c r="BW28" s="154"/>
      <c r="BX28" s="154"/>
      <c r="BY28" s="154"/>
      <c r="BZ28" s="154"/>
      <c r="CA28" s="154"/>
      <c r="CB28" s="154"/>
      <c r="CC28" s="154"/>
      <c r="CD28" s="154"/>
      <c r="CE28" s="154"/>
      <c r="CF28" s="154"/>
      <c r="CG28" s="154"/>
      <c r="CH28" s="154"/>
      <c r="CI28" s="154"/>
      <c r="CJ28" s="154"/>
      <c r="CK28" s="154"/>
      <c r="CL28" s="154"/>
      <c r="CM28" s="154"/>
      <c r="CN28" s="154"/>
      <c r="CO28" s="154"/>
      <c r="CP28" s="154"/>
      <c r="CQ28" s="154"/>
      <c r="CR28" s="154"/>
      <c r="CS28" s="154"/>
      <c r="CT28" s="154"/>
      <c r="CU28" s="154"/>
      <c r="CV28" s="154"/>
      <c r="CW28" s="154"/>
      <c r="CX28" s="154"/>
      <c r="CY28" s="154"/>
      <c r="CZ28" s="154"/>
      <c r="DA28" s="154"/>
      <c r="DB28" s="154"/>
      <c r="DC28" s="154"/>
      <c r="DD28" s="154"/>
      <c r="DE28" s="154"/>
      <c r="DF28" s="154"/>
      <c r="DG28" s="154"/>
      <c r="DH28" s="154"/>
      <c r="DI28" s="154"/>
      <c r="DJ28" s="154"/>
      <c r="DK28" s="154"/>
      <c r="DL28" s="154"/>
      <c r="DM28" s="154"/>
      <c r="DN28" s="154"/>
      <c r="DO28" s="154"/>
      <c r="DP28" s="154"/>
      <c r="DQ28" s="154"/>
      <c r="DR28" s="154"/>
      <c r="DS28" s="154"/>
      <c r="DT28" s="154"/>
      <c r="DU28" s="154"/>
      <c r="DV28" s="154"/>
      <c r="DW28" s="154"/>
      <c r="DX28" s="154"/>
      <c r="DY28" s="154"/>
      <c r="DZ28" s="154"/>
      <c r="EA28" s="154"/>
      <c r="EB28" s="154"/>
      <c r="EC28" s="154"/>
      <c r="ED28" s="154"/>
      <c r="EE28" s="154"/>
      <c r="EF28" s="154"/>
      <c r="EG28" s="154"/>
      <c r="EH28" s="154"/>
      <c r="EI28" s="154"/>
      <c r="EJ28" s="154"/>
      <c r="EK28" s="154"/>
      <c r="EL28" s="154"/>
      <c r="EM28" s="154"/>
      <c r="EN28" s="154"/>
      <c r="EO28" s="154"/>
      <c r="EP28" s="154"/>
      <c r="EQ28" s="154"/>
      <c r="ER28" s="154"/>
      <c r="ES28" s="154"/>
      <c r="ET28" s="154"/>
      <c r="EU28" s="154"/>
      <c r="EV28" s="154"/>
      <c r="EW28" s="154"/>
    </row>
    <row r="29" spans="1:153" ht="12.95" customHeight="1">
      <c r="B29" s="395" t="s">
        <v>875</v>
      </c>
      <c r="C29" s="364" t="s">
        <v>212</v>
      </c>
      <c r="D29" s="457" t="e">
        <f>D27/D28</f>
        <v>#N/A</v>
      </c>
      <c r="P29" s="154"/>
      <c r="Q29" s="154"/>
      <c r="R29" s="154"/>
      <c r="S29" s="154"/>
      <c r="T29" s="154"/>
      <c r="U29" s="154"/>
      <c r="V29" s="154"/>
      <c r="W29" s="154"/>
      <c r="X29" s="154"/>
      <c r="Y29" s="154"/>
      <c r="Z29" s="154"/>
      <c r="AA29" s="154"/>
      <c r="AB29" s="154"/>
      <c r="AC29" s="154"/>
      <c r="AD29" s="154"/>
      <c r="AE29" s="154"/>
      <c r="AF29" s="367"/>
      <c r="AG29" s="368"/>
      <c r="AH29" s="368"/>
      <c r="AI29" s="368"/>
      <c r="AJ29" s="154"/>
      <c r="AK29" s="154"/>
      <c r="AL29" s="154"/>
      <c r="AM29" s="154"/>
      <c r="AN29" s="154"/>
      <c r="AO29" s="154"/>
      <c r="AP29" s="154"/>
      <c r="AQ29" s="154"/>
      <c r="AR29" s="154"/>
      <c r="AS29" s="154"/>
      <c r="AT29" s="154"/>
      <c r="AU29" s="154"/>
      <c r="AV29" s="154"/>
      <c r="AW29" s="154"/>
      <c r="AX29" s="154"/>
      <c r="AY29" s="154"/>
      <c r="AZ29" s="154"/>
      <c r="BA29" s="154"/>
      <c r="BB29" s="154"/>
      <c r="BC29" s="154"/>
      <c r="BD29" s="154"/>
      <c r="BE29" s="154"/>
      <c r="BF29" s="154"/>
      <c r="BG29" s="154"/>
      <c r="BH29" s="154"/>
      <c r="BI29" s="154"/>
      <c r="BJ29" s="154"/>
      <c r="BK29" s="154"/>
      <c r="BL29" s="154"/>
      <c r="BM29" s="154"/>
      <c r="BN29" s="154"/>
      <c r="BO29" s="154"/>
      <c r="BP29" s="154"/>
      <c r="BQ29" s="154"/>
      <c r="BR29" s="154"/>
      <c r="BS29" s="154"/>
      <c r="BT29" s="154"/>
      <c r="BU29" s="154"/>
      <c r="BV29" s="154"/>
      <c r="BW29" s="154"/>
      <c r="BX29" s="154"/>
      <c r="BY29" s="154"/>
      <c r="BZ29" s="154"/>
      <c r="CA29" s="154"/>
      <c r="CB29" s="154"/>
      <c r="CC29" s="154"/>
      <c r="CD29" s="154"/>
      <c r="CE29" s="154"/>
      <c r="CF29" s="154"/>
      <c r="CG29" s="154"/>
      <c r="CH29" s="154"/>
      <c r="CI29" s="154"/>
      <c r="CJ29" s="154"/>
      <c r="CK29" s="154"/>
      <c r="CL29" s="154"/>
      <c r="CM29" s="154"/>
      <c r="CN29" s="154"/>
      <c r="CO29" s="154"/>
      <c r="CP29" s="154"/>
      <c r="CQ29" s="154"/>
      <c r="CR29" s="154"/>
      <c r="CS29" s="154"/>
      <c r="CT29" s="154"/>
      <c r="CU29" s="154"/>
      <c r="CV29" s="154"/>
      <c r="CW29" s="154"/>
      <c r="CX29" s="154"/>
      <c r="CY29" s="154"/>
      <c r="CZ29" s="154"/>
      <c r="DA29" s="154"/>
      <c r="DB29" s="154"/>
      <c r="DC29" s="154"/>
      <c r="DD29" s="154"/>
      <c r="DE29" s="154"/>
      <c r="DF29" s="154"/>
      <c r="DG29" s="154"/>
      <c r="DH29" s="154"/>
      <c r="DI29" s="154"/>
      <c r="DJ29" s="154"/>
      <c r="DK29" s="154"/>
      <c r="DL29" s="154"/>
      <c r="DM29" s="154"/>
      <c r="DN29" s="154"/>
      <c r="DO29" s="154"/>
      <c r="DP29" s="154"/>
      <c r="DQ29" s="154"/>
      <c r="DR29" s="154"/>
      <c r="DS29" s="154"/>
      <c r="DT29" s="154"/>
      <c r="DU29" s="154"/>
      <c r="DV29" s="154"/>
      <c r="DW29" s="154"/>
      <c r="DX29" s="154"/>
      <c r="DY29" s="154"/>
      <c r="DZ29" s="154"/>
      <c r="EA29" s="154"/>
      <c r="EB29" s="154"/>
      <c r="EC29" s="154"/>
      <c r="ED29" s="154"/>
      <c r="EE29" s="154"/>
      <c r="EF29" s="154"/>
      <c r="EG29" s="154"/>
      <c r="EH29" s="154"/>
      <c r="EI29" s="154"/>
      <c r="EJ29" s="154"/>
      <c r="EK29" s="154"/>
      <c r="EL29" s="154"/>
      <c r="EM29" s="154"/>
      <c r="EN29" s="154"/>
      <c r="EO29" s="154"/>
      <c r="EP29" s="154"/>
      <c r="EQ29" s="154"/>
      <c r="ER29" s="154"/>
      <c r="ES29" s="154"/>
      <c r="ET29" s="154"/>
      <c r="EU29" s="154"/>
      <c r="EV29" s="154"/>
      <c r="EW29" s="154"/>
    </row>
    <row r="30" spans="1:153" ht="12.95" customHeight="1">
      <c r="P30" s="154"/>
      <c r="Q30" s="154"/>
      <c r="R30" s="154"/>
      <c r="S30" s="154"/>
      <c r="T30" s="154"/>
      <c r="U30" s="154"/>
      <c r="V30" s="154"/>
      <c r="W30" s="154"/>
      <c r="X30" s="154"/>
      <c r="Y30" s="154"/>
      <c r="Z30" s="154"/>
      <c r="AA30" s="154"/>
      <c r="AB30" s="154"/>
      <c r="AC30" s="365"/>
      <c r="AD30" s="369"/>
      <c r="AE30" s="369"/>
      <c r="AF30" s="370"/>
      <c r="AG30" s="369"/>
      <c r="AH30" s="369"/>
      <c r="AI30" s="368"/>
      <c r="AJ30" s="154"/>
      <c r="AK30" s="154"/>
      <c r="AL30" s="154"/>
      <c r="AM30" s="154"/>
      <c r="AN30" s="154"/>
      <c r="AO30" s="154"/>
      <c r="AP30" s="154"/>
      <c r="AQ30" s="154"/>
      <c r="AR30" s="154"/>
      <c r="AS30" s="154"/>
      <c r="AT30" s="154"/>
      <c r="AU30" s="154"/>
      <c r="AV30" s="154"/>
      <c r="AW30" s="154"/>
      <c r="AX30" s="154"/>
      <c r="AY30" s="154"/>
      <c r="AZ30" s="154"/>
      <c r="BA30" s="154"/>
      <c r="BB30" s="154"/>
      <c r="BC30" s="154"/>
      <c r="BD30" s="154"/>
      <c r="BE30" s="154"/>
      <c r="BF30" s="154"/>
      <c r="BG30" s="154"/>
      <c r="BH30" s="154"/>
      <c r="BI30" s="154"/>
      <c r="BJ30" s="154"/>
      <c r="BK30" s="154"/>
      <c r="BL30" s="154"/>
      <c r="BM30" s="154"/>
      <c r="BN30" s="154"/>
      <c r="BO30" s="154"/>
      <c r="BP30" s="154"/>
      <c r="BQ30" s="154"/>
      <c r="BR30" s="154"/>
      <c r="BS30" s="154"/>
      <c r="BT30" s="154"/>
      <c r="BU30" s="154"/>
      <c r="BV30" s="154"/>
      <c r="BW30" s="154"/>
      <c r="BX30" s="154"/>
      <c r="BY30" s="154"/>
      <c r="BZ30" s="154"/>
      <c r="CA30" s="154"/>
      <c r="CB30" s="154"/>
      <c r="CC30" s="154"/>
      <c r="CD30" s="154"/>
      <c r="CE30" s="154"/>
      <c r="CF30" s="154"/>
      <c r="CG30" s="154"/>
      <c r="CH30" s="154"/>
      <c r="CI30" s="154"/>
      <c r="CJ30" s="154"/>
      <c r="CK30" s="154"/>
      <c r="CL30" s="154"/>
      <c r="CM30" s="154"/>
      <c r="CN30" s="154"/>
      <c r="CO30" s="154"/>
      <c r="CP30" s="154"/>
      <c r="CQ30" s="154"/>
      <c r="CR30" s="154"/>
      <c r="CS30" s="154"/>
      <c r="CT30" s="154"/>
      <c r="CU30" s="154"/>
      <c r="CV30" s="154"/>
      <c r="CW30" s="154"/>
      <c r="CX30" s="154"/>
      <c r="CY30" s="154"/>
      <c r="CZ30" s="154"/>
      <c r="DA30" s="154"/>
      <c r="DB30" s="154"/>
      <c r="DC30" s="154"/>
      <c r="DD30" s="154"/>
      <c r="DE30" s="154"/>
      <c r="DF30" s="154"/>
      <c r="DG30" s="154"/>
      <c r="DH30" s="154"/>
      <c r="DI30" s="154"/>
      <c r="DJ30" s="154"/>
      <c r="DK30" s="154"/>
      <c r="DL30" s="154"/>
      <c r="DM30" s="154"/>
      <c r="DN30" s="154"/>
      <c r="DO30" s="154"/>
      <c r="DP30" s="154"/>
      <c r="DQ30" s="154"/>
      <c r="DR30" s="154"/>
      <c r="DS30" s="154"/>
      <c r="DT30" s="154"/>
      <c r="DU30" s="154"/>
      <c r="DV30" s="154"/>
      <c r="DW30" s="154"/>
      <c r="DX30" s="154"/>
      <c r="DY30" s="154"/>
      <c r="DZ30" s="154"/>
      <c r="EA30" s="154"/>
      <c r="EB30" s="154"/>
      <c r="EC30" s="154"/>
      <c r="ED30" s="154"/>
      <c r="EE30" s="154"/>
      <c r="EF30" s="154"/>
      <c r="EG30" s="154"/>
      <c r="EH30" s="154"/>
      <c r="EI30" s="154"/>
      <c r="EJ30" s="154"/>
      <c r="EK30" s="154"/>
      <c r="EL30" s="154"/>
      <c r="EM30" s="154"/>
      <c r="EN30" s="154"/>
      <c r="EO30" s="154"/>
      <c r="EP30" s="154"/>
      <c r="EQ30" s="154"/>
      <c r="ER30" s="154"/>
      <c r="ES30" s="154"/>
      <c r="ET30" s="154"/>
      <c r="EU30" s="154"/>
      <c r="EV30" s="154"/>
      <c r="EW30" s="154"/>
    </row>
    <row r="31" spans="1:153" ht="12.95" customHeight="1">
      <c r="B31" s="667" t="s">
        <v>807</v>
      </c>
      <c r="C31" s="668"/>
      <c r="D31" s="669"/>
      <c r="J31" s="54"/>
      <c r="P31" s="154"/>
      <c r="Q31" s="154"/>
      <c r="R31" s="154"/>
      <c r="S31" s="678"/>
      <c r="T31" s="678"/>
      <c r="U31" s="154"/>
      <c r="V31" s="154"/>
      <c r="W31" s="154"/>
      <c r="X31" s="154"/>
      <c r="Y31" s="154"/>
      <c r="Z31" s="154"/>
      <c r="AA31" s="154"/>
      <c r="AB31" s="154"/>
      <c r="AC31" s="365"/>
      <c r="AD31" s="369"/>
      <c r="AE31" s="369"/>
      <c r="AF31" s="369"/>
      <c r="AG31" s="371"/>
      <c r="AH31" s="371"/>
      <c r="AI31" s="368"/>
      <c r="AJ31" s="154"/>
      <c r="AK31" s="154"/>
      <c r="AL31" s="154"/>
      <c r="AM31" s="154"/>
      <c r="AN31" s="154"/>
      <c r="AO31" s="154"/>
      <c r="AP31" s="154"/>
      <c r="AQ31" s="154"/>
      <c r="AR31" s="154"/>
      <c r="AS31" s="154"/>
      <c r="AT31" s="154"/>
      <c r="AU31" s="154"/>
      <c r="AV31" s="154"/>
      <c r="AW31" s="154"/>
      <c r="AX31" s="154"/>
      <c r="AY31" s="154"/>
      <c r="AZ31" s="154"/>
      <c r="BA31" s="154"/>
      <c r="BB31" s="154"/>
      <c r="BC31" s="154"/>
      <c r="BD31" s="154"/>
      <c r="BE31" s="154"/>
      <c r="BF31" s="154"/>
      <c r="BG31" s="154"/>
      <c r="BH31" s="154"/>
      <c r="BI31" s="154"/>
      <c r="BJ31" s="154"/>
      <c r="BK31" s="154"/>
      <c r="BL31" s="154"/>
      <c r="BM31" s="154"/>
      <c r="BN31" s="154"/>
      <c r="BO31" s="154"/>
      <c r="BP31" s="154"/>
      <c r="BQ31" s="154"/>
      <c r="BR31" s="154"/>
      <c r="BS31" s="154"/>
      <c r="BT31" s="154"/>
      <c r="BU31" s="154"/>
      <c r="BV31" s="154"/>
      <c r="BW31" s="154"/>
      <c r="BX31" s="154"/>
      <c r="BY31" s="154"/>
      <c r="BZ31" s="154"/>
      <c r="CA31" s="154"/>
      <c r="CB31" s="154"/>
      <c r="CC31" s="154"/>
      <c r="CD31" s="154"/>
      <c r="CE31" s="154"/>
      <c r="CF31" s="154"/>
      <c r="CG31" s="154"/>
      <c r="CH31" s="154"/>
      <c r="CI31" s="154"/>
      <c r="CJ31" s="154"/>
      <c r="CK31" s="154"/>
      <c r="CL31" s="154"/>
      <c r="CM31" s="154"/>
      <c r="CN31" s="154"/>
      <c r="CO31" s="154"/>
      <c r="CP31" s="154"/>
      <c r="CQ31" s="154"/>
      <c r="CR31" s="154"/>
      <c r="CS31" s="154"/>
      <c r="CT31" s="154"/>
      <c r="CU31" s="154"/>
      <c r="CV31" s="154"/>
      <c r="CW31" s="154"/>
      <c r="CX31" s="154"/>
      <c r="CY31" s="154"/>
      <c r="CZ31" s="154"/>
      <c r="DA31" s="154"/>
      <c r="DB31" s="154"/>
      <c r="DC31" s="154"/>
      <c r="DD31" s="154"/>
      <c r="DE31" s="154"/>
      <c r="DF31" s="154"/>
      <c r="DG31" s="154"/>
      <c r="DH31" s="154"/>
      <c r="DI31" s="154"/>
      <c r="DJ31" s="154"/>
      <c r="DK31" s="154"/>
      <c r="DL31" s="154"/>
      <c r="DM31" s="154"/>
      <c r="DN31" s="154"/>
      <c r="DO31" s="154"/>
      <c r="DP31" s="154"/>
      <c r="DQ31" s="154"/>
      <c r="DR31" s="154"/>
      <c r="DS31" s="154"/>
      <c r="DT31" s="154"/>
      <c r="DU31" s="154"/>
      <c r="DV31" s="154"/>
      <c r="DW31" s="154"/>
      <c r="DX31" s="154"/>
      <c r="DY31" s="154"/>
      <c r="DZ31" s="154"/>
      <c r="EA31" s="154"/>
      <c r="EB31" s="154"/>
      <c r="EC31" s="154"/>
      <c r="ED31" s="154"/>
      <c r="EE31" s="154"/>
      <c r="EF31" s="154"/>
      <c r="EG31" s="154"/>
      <c r="EH31" s="154"/>
      <c r="EI31" s="154"/>
      <c r="EJ31" s="154"/>
      <c r="EK31" s="154"/>
      <c r="EL31" s="154"/>
      <c r="EM31" s="154"/>
      <c r="EN31" s="154"/>
      <c r="EO31" s="154"/>
      <c r="EP31" s="154"/>
      <c r="EQ31" s="154"/>
      <c r="ER31" s="154"/>
      <c r="ES31" s="154"/>
      <c r="ET31" s="154"/>
      <c r="EU31" s="154"/>
      <c r="EV31" s="154"/>
      <c r="EW31" s="154"/>
    </row>
    <row r="32" spans="1:153" ht="12.95" customHeight="1">
      <c r="B32" s="458" t="s">
        <v>901</v>
      </c>
      <c r="C32" s="452" t="s">
        <v>778</v>
      </c>
      <c r="D32" s="480">
        <f>HLOOKUP("BOILER:Boiler Water Inlet Temp [C](Hourly)",'Eplus results'!1:1048576,'graph data'!D4,FALSE)*9/5+32</f>
        <v>150.00799999999998</v>
      </c>
      <c r="J32" s="54"/>
      <c r="P32" s="154"/>
      <c r="Q32" s="154"/>
      <c r="R32" s="154"/>
      <c r="S32" s="154"/>
      <c r="T32" s="154"/>
      <c r="U32" s="154"/>
      <c r="V32" s="154"/>
      <c r="W32" s="154"/>
      <c r="X32" s="154"/>
      <c r="Y32" s="154"/>
      <c r="Z32" s="154"/>
      <c r="AA32" s="154"/>
      <c r="AB32" s="154"/>
      <c r="AC32" s="365"/>
      <c r="AD32" s="372"/>
      <c r="AE32" s="373"/>
      <c r="AF32" s="373"/>
      <c r="AG32" s="373"/>
      <c r="AH32" s="374"/>
      <c r="AI32" s="368"/>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c r="BK32" s="154"/>
      <c r="BL32" s="154"/>
      <c r="BM32" s="154"/>
      <c r="BN32" s="154"/>
      <c r="BO32" s="154"/>
      <c r="BP32" s="154"/>
      <c r="BQ32" s="154"/>
      <c r="BR32" s="154"/>
      <c r="BS32" s="154"/>
      <c r="BT32" s="154"/>
      <c r="BU32" s="154"/>
      <c r="BV32" s="154"/>
      <c r="BW32" s="154"/>
      <c r="BX32" s="154"/>
      <c r="BY32" s="154"/>
      <c r="BZ32" s="154"/>
      <c r="CA32" s="154"/>
      <c r="CB32" s="154"/>
      <c r="CC32" s="154"/>
      <c r="CD32" s="154"/>
      <c r="CE32" s="154"/>
      <c r="CF32" s="154"/>
      <c r="CG32" s="154"/>
      <c r="CH32" s="154"/>
      <c r="CI32" s="154"/>
      <c r="CJ32" s="154"/>
      <c r="CK32" s="154"/>
      <c r="CL32" s="154"/>
      <c r="CM32" s="154"/>
      <c r="CN32" s="154"/>
      <c r="CO32" s="154"/>
      <c r="CP32" s="154"/>
      <c r="CQ32" s="154"/>
      <c r="CR32" s="154"/>
      <c r="CS32" s="154"/>
      <c r="CT32" s="154"/>
      <c r="CU32" s="154"/>
      <c r="CV32" s="154"/>
      <c r="CW32" s="154"/>
      <c r="CX32" s="154"/>
      <c r="CY32" s="154"/>
      <c r="CZ32" s="154"/>
      <c r="DA32" s="154"/>
      <c r="DB32" s="154"/>
      <c r="DC32" s="154"/>
      <c r="DD32" s="154"/>
      <c r="DE32" s="154"/>
      <c r="DF32" s="154"/>
      <c r="DG32" s="154"/>
      <c r="DH32" s="154"/>
      <c r="DI32" s="154"/>
      <c r="DJ32" s="154"/>
      <c r="DK32" s="154"/>
      <c r="DL32" s="154"/>
      <c r="DM32" s="154"/>
      <c r="DN32" s="154"/>
      <c r="DO32" s="154"/>
      <c r="DP32" s="154"/>
      <c r="DQ32" s="154"/>
      <c r="DR32" s="154"/>
      <c r="DS32" s="154"/>
      <c r="DT32" s="154"/>
      <c r="DU32" s="154"/>
      <c r="DV32" s="154"/>
      <c r="DW32" s="154"/>
      <c r="DX32" s="154"/>
      <c r="DY32" s="154"/>
      <c r="DZ32" s="154"/>
      <c r="EA32" s="154"/>
      <c r="EB32" s="154"/>
      <c r="EC32" s="154"/>
      <c r="ED32" s="154"/>
      <c r="EE32" s="154"/>
      <c r="EF32" s="154"/>
      <c r="EG32" s="154"/>
      <c r="EH32" s="154"/>
      <c r="EI32" s="154"/>
      <c r="EJ32" s="154"/>
      <c r="EK32" s="154"/>
      <c r="EL32" s="154"/>
      <c r="EM32" s="154"/>
      <c r="EN32" s="154"/>
      <c r="EO32" s="154"/>
      <c r="EP32" s="154"/>
      <c r="EQ32" s="154"/>
      <c r="ER32" s="154"/>
      <c r="ES32" s="154"/>
      <c r="ET32" s="154"/>
      <c r="EU32" s="154"/>
      <c r="EV32" s="154"/>
      <c r="EW32" s="154"/>
    </row>
    <row r="33" spans="1:153" ht="12.95" customHeight="1">
      <c r="B33" s="458" t="s">
        <v>898</v>
      </c>
      <c r="C33" s="452" t="s">
        <v>778</v>
      </c>
      <c r="D33" s="480">
        <f>HLOOKUP("BOILER:Boiler Water Outlet Temp [C](Hourly)",'Eplus results'!1:1048576,'graph data'!D4,FALSE)*9/5+32</f>
        <v>150.00799999999998</v>
      </c>
      <c r="J33" s="179"/>
      <c r="P33" s="154"/>
      <c r="Q33" s="154"/>
      <c r="R33" s="154"/>
      <c r="S33" s="154"/>
      <c r="T33" s="154"/>
      <c r="U33" s="154"/>
      <c r="V33" s="154"/>
      <c r="W33" s="154"/>
      <c r="X33" s="154"/>
      <c r="Y33" s="154"/>
      <c r="Z33" s="154"/>
      <c r="AA33" s="154"/>
      <c r="AB33" s="154"/>
      <c r="AC33" s="365"/>
      <c r="AD33" s="365"/>
      <c r="AE33" s="365"/>
      <c r="AF33" s="370"/>
      <c r="AG33" s="369"/>
      <c r="AH33" s="369"/>
      <c r="AI33" s="368"/>
      <c r="AJ33" s="154"/>
      <c r="AK33" s="154"/>
      <c r="AL33" s="154"/>
      <c r="AM33" s="154"/>
      <c r="AN33" s="154"/>
      <c r="AO33" s="154"/>
      <c r="AP33" s="154"/>
      <c r="AQ33" s="154"/>
      <c r="AR33" s="154"/>
      <c r="AS33" s="154"/>
      <c r="AT33" s="154"/>
      <c r="AU33" s="154"/>
      <c r="AV33" s="154"/>
      <c r="AW33" s="154"/>
      <c r="AX33" s="154"/>
      <c r="AY33" s="154"/>
      <c r="AZ33" s="154"/>
      <c r="BA33" s="154"/>
      <c r="BB33" s="154"/>
      <c r="BC33" s="154"/>
      <c r="BD33" s="154"/>
      <c r="BE33" s="154"/>
      <c r="BF33" s="154"/>
      <c r="BG33" s="154"/>
      <c r="BH33" s="154"/>
      <c r="BI33" s="154"/>
      <c r="BJ33" s="154"/>
      <c r="BK33" s="154"/>
      <c r="BL33" s="154"/>
      <c r="BM33" s="154"/>
      <c r="BN33" s="154"/>
      <c r="BO33" s="154"/>
      <c r="BP33" s="154"/>
      <c r="BQ33" s="154"/>
      <c r="BR33" s="154"/>
      <c r="BS33" s="154"/>
      <c r="BT33" s="154"/>
      <c r="BU33" s="154"/>
      <c r="BV33" s="154"/>
      <c r="BW33" s="154"/>
      <c r="BX33" s="154"/>
      <c r="BY33" s="154"/>
      <c r="BZ33" s="154"/>
      <c r="CA33" s="154"/>
      <c r="CB33" s="154"/>
      <c r="CC33" s="154"/>
      <c r="CD33" s="154"/>
      <c r="CE33" s="154"/>
      <c r="CF33" s="154"/>
      <c r="CG33" s="154"/>
      <c r="CH33" s="154"/>
      <c r="CI33" s="154"/>
      <c r="CJ33" s="154"/>
      <c r="CK33" s="154"/>
      <c r="CL33" s="154"/>
      <c r="CM33" s="154"/>
      <c r="CN33" s="154"/>
      <c r="CO33" s="154"/>
      <c r="CP33" s="154"/>
      <c r="CQ33" s="154"/>
      <c r="CR33" s="154"/>
      <c r="CS33" s="154"/>
      <c r="CT33" s="154"/>
      <c r="CU33" s="154"/>
      <c r="CV33" s="154"/>
      <c r="CW33" s="154"/>
      <c r="CX33" s="154"/>
      <c r="CY33" s="154"/>
      <c r="CZ33" s="154"/>
      <c r="DA33" s="154"/>
      <c r="DB33" s="154"/>
      <c r="DC33" s="154"/>
      <c r="DD33" s="154"/>
      <c r="DE33" s="154"/>
      <c r="DF33" s="154"/>
      <c r="DG33" s="154"/>
      <c r="DH33" s="154"/>
      <c r="DI33" s="154"/>
      <c r="DJ33" s="154"/>
      <c r="DK33" s="154"/>
      <c r="DL33" s="154"/>
      <c r="DM33" s="154"/>
      <c r="DN33" s="154"/>
      <c r="DO33" s="154"/>
      <c r="DP33" s="154"/>
      <c r="DQ33" s="154"/>
      <c r="DR33" s="154"/>
      <c r="DS33" s="154"/>
      <c r="DT33" s="154"/>
      <c r="DU33" s="154"/>
      <c r="DV33" s="154"/>
      <c r="DW33" s="154"/>
      <c r="DX33" s="154"/>
      <c r="DY33" s="154"/>
      <c r="DZ33" s="154"/>
      <c r="EA33" s="154"/>
      <c r="EB33" s="154"/>
      <c r="EC33" s="154"/>
      <c r="ED33" s="154"/>
      <c r="EE33" s="154"/>
      <c r="EF33" s="154"/>
      <c r="EG33" s="154"/>
      <c r="EH33" s="154"/>
      <c r="EI33" s="154"/>
      <c r="EJ33" s="154"/>
      <c r="EK33" s="154"/>
      <c r="EL33" s="154"/>
      <c r="EM33" s="154"/>
      <c r="EN33" s="154"/>
      <c r="EO33" s="154"/>
      <c r="EP33" s="154"/>
      <c r="EQ33" s="154"/>
      <c r="ER33" s="154"/>
      <c r="ES33" s="154"/>
      <c r="ET33" s="154"/>
      <c r="EU33" s="154"/>
      <c r="EV33" s="154"/>
      <c r="EW33" s="154"/>
    </row>
    <row r="34" spans="1:153" ht="12.95" customHeight="1">
      <c r="B34" s="458" t="s">
        <v>895</v>
      </c>
      <c r="C34" s="454" t="s">
        <v>947</v>
      </c>
      <c r="D34" s="480">
        <f>HLOOKUP("BOILER:Boiler Water Mass Flow Rate [kg/s](Hourly)",'Eplus results'!1:1048576,'graph data'!D4,FALSE)/(3.785/60)</f>
        <v>0</v>
      </c>
      <c r="J34" s="54"/>
      <c r="P34" s="154"/>
      <c r="Q34" s="154"/>
      <c r="R34" s="154"/>
      <c r="S34" s="154"/>
      <c r="T34" s="154"/>
      <c r="U34" s="154"/>
      <c r="V34" s="154"/>
      <c r="W34" s="154"/>
      <c r="X34" s="154"/>
      <c r="Y34" s="154"/>
      <c r="Z34" s="154"/>
      <c r="AA34" s="154"/>
      <c r="AB34" s="154"/>
      <c r="AC34" s="365"/>
      <c r="AD34" s="365"/>
      <c r="AE34" s="365"/>
      <c r="AF34" s="370"/>
      <c r="AG34" s="369"/>
      <c r="AH34" s="369"/>
      <c r="AI34" s="368"/>
      <c r="AJ34" s="154"/>
      <c r="AK34" s="154"/>
      <c r="AL34" s="154"/>
      <c r="AM34" s="154"/>
      <c r="AN34" s="154"/>
      <c r="AO34" s="154"/>
      <c r="AP34" s="154"/>
      <c r="AQ34" s="154"/>
      <c r="AR34" s="154"/>
      <c r="AS34" s="154"/>
      <c r="AT34" s="154"/>
      <c r="AU34" s="154"/>
      <c r="AV34" s="154"/>
      <c r="AW34" s="154"/>
      <c r="AX34" s="154"/>
      <c r="AY34" s="154"/>
      <c r="AZ34" s="154"/>
      <c r="BA34" s="154"/>
      <c r="BB34" s="154"/>
      <c r="BC34" s="154"/>
      <c r="BD34" s="154"/>
      <c r="BE34" s="154"/>
      <c r="BF34" s="154"/>
      <c r="BG34" s="154"/>
      <c r="BH34" s="154"/>
      <c r="BI34" s="154"/>
      <c r="BJ34" s="154"/>
      <c r="BK34" s="154"/>
      <c r="BL34" s="154"/>
      <c r="BM34" s="154"/>
      <c r="BN34" s="154"/>
      <c r="BO34" s="154"/>
      <c r="BP34" s="154"/>
      <c r="BQ34" s="154"/>
      <c r="BR34" s="154"/>
      <c r="BS34" s="154"/>
      <c r="BT34" s="154"/>
      <c r="BU34" s="154"/>
      <c r="BV34" s="154"/>
      <c r="BW34" s="154"/>
      <c r="BX34" s="154"/>
      <c r="BY34" s="154"/>
      <c r="BZ34" s="154"/>
      <c r="CA34" s="154"/>
      <c r="CB34" s="154"/>
      <c r="CC34" s="154"/>
      <c r="CD34" s="154"/>
      <c r="CE34" s="154"/>
      <c r="CF34" s="154"/>
      <c r="CG34" s="154"/>
      <c r="CH34" s="154"/>
      <c r="CI34" s="154"/>
      <c r="CJ34" s="154"/>
      <c r="CK34" s="154"/>
      <c r="CL34" s="154"/>
      <c r="CM34" s="154"/>
      <c r="CN34" s="154"/>
      <c r="CO34" s="154"/>
      <c r="CP34" s="154"/>
      <c r="CQ34" s="154"/>
      <c r="CR34" s="154"/>
      <c r="CS34" s="154"/>
      <c r="CT34" s="154"/>
      <c r="CU34" s="154"/>
      <c r="CV34" s="154"/>
      <c r="CW34" s="154"/>
      <c r="CX34" s="154"/>
      <c r="CY34" s="154"/>
      <c r="CZ34" s="154"/>
      <c r="DA34" s="154"/>
      <c r="DB34" s="154"/>
      <c r="DC34" s="154"/>
      <c r="DD34" s="154"/>
      <c r="DE34" s="154"/>
      <c r="DF34" s="154"/>
      <c r="DG34" s="154"/>
      <c r="DH34" s="154"/>
      <c r="DI34" s="154"/>
      <c r="DJ34" s="154"/>
      <c r="DK34" s="154"/>
      <c r="DL34" s="154"/>
      <c r="DM34" s="154"/>
      <c r="DN34" s="154"/>
      <c r="DO34" s="154"/>
      <c r="DP34" s="154"/>
      <c r="DQ34" s="154"/>
      <c r="DR34" s="154"/>
      <c r="DS34" s="154"/>
      <c r="DT34" s="154"/>
      <c r="DU34" s="154"/>
      <c r="DV34" s="154"/>
      <c r="DW34" s="154"/>
      <c r="DX34" s="154"/>
      <c r="DY34" s="154"/>
      <c r="DZ34" s="154"/>
      <c r="EA34" s="154"/>
      <c r="EB34" s="154"/>
      <c r="EC34" s="154"/>
      <c r="ED34" s="154"/>
      <c r="EE34" s="154"/>
      <c r="EF34" s="154"/>
      <c r="EG34" s="154"/>
      <c r="EH34" s="154"/>
      <c r="EI34" s="154"/>
      <c r="EJ34" s="154"/>
      <c r="EK34" s="154"/>
      <c r="EL34" s="154"/>
      <c r="EM34" s="154"/>
      <c r="EN34" s="154"/>
      <c r="EO34" s="154"/>
      <c r="EP34" s="154"/>
      <c r="EQ34" s="154"/>
      <c r="ER34" s="154"/>
      <c r="ES34" s="154"/>
      <c r="ET34" s="154"/>
      <c r="EU34" s="154"/>
      <c r="EV34" s="154"/>
      <c r="EW34" s="154"/>
    </row>
    <row r="35" spans="1:153" ht="12.95" customHeight="1">
      <c r="B35" s="479" t="s">
        <v>884</v>
      </c>
      <c r="C35" s="360" t="s">
        <v>939</v>
      </c>
      <c r="D35" s="480">
        <f>HLOOKUP("BOILER:Boiler Heating Output Rate [W](Hourly)",'Eplus results'!1:1048576,'graph data'!D4,FALSE)*3.415179/1000</f>
        <v>0</v>
      </c>
      <c r="E35" s="185"/>
      <c r="J35" s="54"/>
      <c r="P35" s="154"/>
      <c r="Q35" s="154"/>
      <c r="R35" s="154"/>
      <c r="S35" s="154"/>
      <c r="T35" s="154"/>
      <c r="U35" s="154"/>
      <c r="V35" s="154"/>
      <c r="W35" s="154"/>
      <c r="X35" s="154"/>
      <c r="Y35" s="154"/>
      <c r="Z35" s="154"/>
      <c r="AA35" s="154"/>
      <c r="AB35" s="154"/>
      <c r="AC35" s="154"/>
      <c r="AD35" s="154"/>
      <c r="AE35" s="154"/>
      <c r="AF35" s="367"/>
      <c r="AG35" s="368"/>
      <c r="AH35" s="368"/>
      <c r="AI35" s="368"/>
      <c r="AJ35" s="154"/>
      <c r="AK35" s="154"/>
      <c r="AL35" s="154"/>
      <c r="AM35" s="154"/>
      <c r="AN35" s="154"/>
      <c r="AO35" s="154"/>
      <c r="AP35" s="154"/>
      <c r="AQ35" s="154"/>
      <c r="AR35" s="154"/>
      <c r="AS35" s="154"/>
      <c r="AT35" s="154"/>
      <c r="AU35" s="154"/>
      <c r="AV35" s="154"/>
      <c r="AW35" s="154"/>
      <c r="AX35" s="154"/>
      <c r="AY35" s="154"/>
      <c r="AZ35" s="154"/>
      <c r="BA35" s="154"/>
      <c r="BB35" s="154"/>
      <c r="BC35" s="154"/>
      <c r="BD35" s="154"/>
      <c r="BE35" s="154"/>
      <c r="BF35" s="154"/>
      <c r="BG35" s="154"/>
      <c r="BH35" s="154"/>
      <c r="BI35" s="154"/>
      <c r="BJ35" s="154"/>
      <c r="BK35" s="154"/>
      <c r="BL35" s="154"/>
      <c r="BM35" s="154"/>
      <c r="BN35" s="154"/>
      <c r="BO35" s="154"/>
      <c r="BP35" s="154"/>
      <c r="BQ35" s="154"/>
      <c r="BR35" s="154"/>
      <c r="BS35" s="154"/>
      <c r="BT35" s="154"/>
      <c r="BU35" s="154"/>
      <c r="BV35" s="154"/>
      <c r="BW35" s="154"/>
      <c r="BX35" s="154"/>
      <c r="BY35" s="154"/>
      <c r="BZ35" s="154"/>
      <c r="CA35" s="154"/>
      <c r="CB35" s="154"/>
      <c r="CC35" s="154"/>
      <c r="CD35" s="154"/>
      <c r="CE35" s="154"/>
      <c r="CF35" s="154"/>
      <c r="CG35" s="154"/>
      <c r="CH35" s="154"/>
      <c r="CI35" s="154"/>
      <c r="CJ35" s="154"/>
      <c r="CK35" s="154"/>
      <c r="CL35" s="154"/>
      <c r="CM35" s="154"/>
      <c r="CN35" s="154"/>
      <c r="CO35" s="154"/>
      <c r="CP35" s="154"/>
      <c r="CQ35" s="154"/>
      <c r="CR35" s="154"/>
      <c r="CS35" s="154"/>
      <c r="CT35" s="154"/>
      <c r="CU35" s="154"/>
      <c r="CV35" s="154"/>
      <c r="CW35" s="154"/>
      <c r="CX35" s="154"/>
      <c r="CY35" s="154"/>
      <c r="CZ35" s="154"/>
      <c r="DA35" s="154"/>
      <c r="DB35" s="154"/>
      <c r="DC35" s="154"/>
      <c r="DD35" s="154"/>
      <c r="DE35" s="154"/>
      <c r="DF35" s="154"/>
      <c r="DG35" s="154"/>
      <c r="DH35" s="154"/>
      <c r="DI35" s="154"/>
      <c r="DJ35" s="154"/>
      <c r="DK35" s="154"/>
      <c r="DL35" s="154"/>
      <c r="DM35" s="154"/>
      <c r="DN35" s="154"/>
      <c r="DO35" s="154"/>
      <c r="DP35" s="154"/>
      <c r="DQ35" s="154"/>
      <c r="DR35" s="154"/>
      <c r="DS35" s="154"/>
      <c r="DT35" s="154"/>
      <c r="DU35" s="154"/>
      <c r="DV35" s="154"/>
      <c r="DW35" s="154"/>
      <c r="DX35" s="154"/>
      <c r="DY35" s="154"/>
      <c r="DZ35" s="154"/>
      <c r="EA35" s="154"/>
      <c r="EB35" s="154"/>
      <c r="EC35" s="154"/>
      <c r="ED35" s="154"/>
      <c r="EE35" s="154"/>
      <c r="EF35" s="154"/>
      <c r="EG35" s="154"/>
      <c r="EH35" s="154"/>
      <c r="EI35" s="154"/>
      <c r="EJ35" s="154"/>
      <c r="EK35" s="154"/>
      <c r="EL35" s="154"/>
      <c r="EM35" s="154"/>
      <c r="EN35" s="154"/>
      <c r="EO35" s="154"/>
      <c r="EP35" s="154"/>
      <c r="EQ35" s="154"/>
      <c r="ER35" s="154"/>
      <c r="ES35" s="154"/>
      <c r="ET35" s="154"/>
      <c r="EU35" s="154"/>
      <c r="EV35" s="154"/>
      <c r="EW35" s="154"/>
    </row>
    <row r="36" spans="1:153" ht="12.95" customHeight="1">
      <c r="B36" s="487" t="s">
        <v>948</v>
      </c>
      <c r="C36" s="364" t="s">
        <v>212</v>
      </c>
      <c r="D36" s="496">
        <f>HLOOKUP("BOILER:Boiler Part-Load Ratio(Hourly)",'Eplus results'!1:1048576,'graph data'!D4,FALSE)</f>
        <v>0</v>
      </c>
      <c r="E36" s="185"/>
      <c r="J36" s="54"/>
      <c r="P36" s="154"/>
      <c r="Q36" s="154"/>
      <c r="R36" s="154"/>
      <c r="S36" s="154"/>
      <c r="T36" s="154"/>
      <c r="U36" s="154"/>
      <c r="V36" s="154"/>
      <c r="W36" s="154"/>
      <c r="X36" s="154"/>
      <c r="Y36" s="154"/>
      <c r="Z36" s="154"/>
      <c r="AA36" s="154"/>
      <c r="AB36" s="154"/>
      <c r="AC36" s="154"/>
      <c r="AD36" s="154"/>
      <c r="AE36" s="154"/>
      <c r="AF36" s="367"/>
      <c r="AG36" s="444"/>
      <c r="AH36" s="444"/>
      <c r="AI36" s="444"/>
      <c r="AJ36" s="154"/>
      <c r="AK36" s="154"/>
      <c r="AL36" s="154"/>
      <c r="AM36" s="154"/>
      <c r="AN36" s="154"/>
      <c r="AO36" s="154"/>
      <c r="AP36" s="154"/>
      <c r="AQ36" s="154"/>
      <c r="AR36" s="154"/>
      <c r="AS36" s="154"/>
      <c r="AT36" s="154"/>
      <c r="AU36" s="154"/>
      <c r="AV36" s="154"/>
      <c r="AW36" s="154"/>
      <c r="AX36" s="154"/>
      <c r="AY36" s="154"/>
      <c r="AZ36" s="154"/>
      <c r="BA36" s="154"/>
      <c r="BB36" s="154"/>
      <c r="BC36" s="154"/>
      <c r="BD36" s="154"/>
      <c r="BE36" s="154"/>
      <c r="BF36" s="154"/>
      <c r="BG36" s="154"/>
      <c r="BH36" s="154"/>
      <c r="BI36" s="154"/>
      <c r="BJ36" s="154"/>
      <c r="BK36" s="154"/>
      <c r="BL36" s="154"/>
      <c r="BM36" s="154"/>
      <c r="BN36" s="154"/>
      <c r="BO36" s="154"/>
      <c r="BP36" s="154"/>
      <c r="BQ36" s="154"/>
      <c r="BR36" s="154"/>
      <c r="BS36" s="154"/>
      <c r="BT36" s="154"/>
      <c r="BU36" s="154"/>
      <c r="BV36" s="154"/>
      <c r="BW36" s="154"/>
      <c r="BX36" s="154"/>
      <c r="BY36" s="154"/>
      <c r="BZ36" s="154"/>
      <c r="CA36" s="154"/>
      <c r="CB36" s="154"/>
      <c r="CC36" s="154"/>
      <c r="CD36" s="154"/>
      <c r="CE36" s="154"/>
      <c r="CF36" s="154"/>
      <c r="CG36" s="154"/>
      <c r="CH36" s="154"/>
      <c r="CI36" s="154"/>
      <c r="CJ36" s="154"/>
      <c r="CK36" s="154"/>
      <c r="CL36" s="154"/>
      <c r="CM36" s="154"/>
      <c r="CN36" s="154"/>
      <c r="CO36" s="154"/>
      <c r="CP36" s="154"/>
      <c r="CQ36" s="154"/>
      <c r="CR36" s="154"/>
      <c r="CS36" s="154"/>
      <c r="CT36" s="154"/>
      <c r="CU36" s="154"/>
      <c r="CV36" s="154"/>
      <c r="CW36" s="154"/>
      <c r="CX36" s="154"/>
      <c r="CY36" s="154"/>
      <c r="CZ36" s="154"/>
      <c r="DA36" s="154"/>
      <c r="DB36" s="154"/>
      <c r="DC36" s="154"/>
      <c r="DD36" s="154"/>
      <c r="DE36" s="154"/>
      <c r="DF36" s="154"/>
      <c r="DG36" s="154"/>
      <c r="DH36" s="154"/>
      <c r="DI36" s="154"/>
      <c r="DJ36" s="154"/>
      <c r="DK36" s="154"/>
      <c r="DL36" s="154"/>
      <c r="DM36" s="154"/>
      <c r="DN36" s="154"/>
      <c r="DO36" s="154"/>
      <c r="DP36" s="154"/>
      <c r="DQ36" s="154"/>
      <c r="DR36" s="154"/>
      <c r="DS36" s="154"/>
      <c r="DT36" s="154"/>
      <c r="DU36" s="154"/>
      <c r="DV36" s="154"/>
      <c r="DW36" s="154"/>
      <c r="DX36" s="154"/>
      <c r="DY36" s="154"/>
      <c r="DZ36" s="154"/>
      <c r="EA36" s="154"/>
      <c r="EB36" s="154"/>
      <c r="EC36" s="154"/>
      <c r="ED36" s="154"/>
      <c r="EE36" s="154"/>
      <c r="EF36" s="154"/>
      <c r="EG36" s="154"/>
      <c r="EH36" s="154"/>
      <c r="EI36" s="154"/>
      <c r="EJ36" s="154"/>
      <c r="EK36" s="154"/>
      <c r="EL36" s="154"/>
      <c r="EM36" s="154"/>
      <c r="EN36" s="154"/>
      <c r="EO36" s="154"/>
      <c r="EP36" s="154"/>
      <c r="EQ36" s="154"/>
      <c r="ER36" s="154"/>
      <c r="ES36" s="154"/>
      <c r="ET36" s="154"/>
      <c r="EU36" s="154"/>
      <c r="EV36" s="154"/>
      <c r="EW36" s="154"/>
    </row>
    <row r="37" spans="1:153" ht="12.95" customHeight="1">
      <c r="B37" s="488" t="s">
        <v>902</v>
      </c>
      <c r="C37" s="489" t="s">
        <v>778</v>
      </c>
      <c r="D37" s="490">
        <f>HLOOKUP("CHILLER:Chiller Evap Water Inlet Temp [C](Hourly)",'Eplus results'!1:1048576,'graph data'!D4,FALSE)*9/5+32</f>
        <v>55.089849220658422</v>
      </c>
      <c r="P37" s="154"/>
      <c r="Q37" s="154"/>
      <c r="R37" s="154"/>
      <c r="S37" s="154"/>
      <c r="T37" s="154"/>
      <c r="U37" s="154"/>
      <c r="V37" s="154"/>
      <c r="W37" s="154"/>
      <c r="X37" s="154"/>
      <c r="Y37" s="154"/>
      <c r="Z37" s="154"/>
      <c r="AA37" s="154"/>
      <c r="AB37" s="154"/>
      <c r="AC37" s="154"/>
      <c r="AD37" s="154"/>
      <c r="AE37" s="154"/>
      <c r="AF37" s="367"/>
      <c r="AG37" s="368"/>
      <c r="AH37" s="368"/>
      <c r="AI37" s="368"/>
      <c r="AJ37" s="154"/>
      <c r="AK37" s="154"/>
      <c r="AL37" s="154"/>
      <c r="AM37" s="154"/>
      <c r="AN37" s="154"/>
      <c r="AO37" s="154"/>
      <c r="AP37" s="154"/>
      <c r="AQ37" s="154"/>
      <c r="AR37" s="154"/>
      <c r="AS37" s="154"/>
      <c r="AT37" s="154"/>
      <c r="AU37" s="154"/>
      <c r="AV37" s="154"/>
      <c r="AW37" s="154"/>
      <c r="AX37" s="154"/>
      <c r="AY37" s="154"/>
      <c r="AZ37" s="154"/>
      <c r="BA37" s="154"/>
      <c r="BB37" s="154"/>
      <c r="BC37" s="154"/>
      <c r="BD37" s="154"/>
      <c r="BE37" s="154"/>
      <c r="BF37" s="154"/>
      <c r="BG37" s="154"/>
      <c r="BH37" s="154"/>
      <c r="BI37" s="154"/>
      <c r="BJ37" s="154"/>
      <c r="BK37" s="154"/>
      <c r="BL37" s="154"/>
      <c r="BM37" s="154"/>
      <c r="BN37" s="154"/>
      <c r="BO37" s="154"/>
      <c r="BP37" s="154"/>
      <c r="BQ37" s="154"/>
      <c r="BR37" s="154"/>
      <c r="BS37" s="154"/>
      <c r="BT37" s="154"/>
      <c r="BU37" s="154"/>
      <c r="BV37" s="154"/>
      <c r="BW37" s="154"/>
      <c r="BX37" s="154"/>
      <c r="BY37" s="154"/>
      <c r="BZ37" s="154"/>
      <c r="CA37" s="154"/>
      <c r="CB37" s="154"/>
      <c r="CC37" s="154"/>
      <c r="CD37" s="154"/>
      <c r="CE37" s="154"/>
      <c r="CF37" s="154"/>
      <c r="CG37" s="154"/>
      <c r="CH37" s="154"/>
      <c r="CI37" s="154"/>
      <c r="CJ37" s="154"/>
      <c r="CK37" s="154"/>
      <c r="CL37" s="154"/>
      <c r="CM37" s="154"/>
      <c r="CN37" s="154"/>
      <c r="CO37" s="154"/>
      <c r="CP37" s="154"/>
      <c r="CQ37" s="154"/>
      <c r="CR37" s="154"/>
      <c r="CS37" s="154"/>
      <c r="CT37" s="154"/>
      <c r="CU37" s="154"/>
      <c r="CV37" s="154"/>
      <c r="CW37" s="154"/>
      <c r="CX37" s="154"/>
      <c r="CY37" s="154"/>
      <c r="CZ37" s="154"/>
      <c r="DA37" s="154"/>
      <c r="DB37" s="154"/>
      <c r="DC37" s="154"/>
      <c r="DD37" s="154"/>
      <c r="DE37" s="154"/>
      <c r="DF37" s="154"/>
      <c r="DG37" s="154"/>
      <c r="DH37" s="154"/>
      <c r="DI37" s="154"/>
      <c r="DJ37" s="154"/>
      <c r="DK37" s="154"/>
      <c r="DL37" s="154"/>
      <c r="DM37" s="154"/>
      <c r="DN37" s="154"/>
      <c r="DO37" s="154"/>
      <c r="DP37" s="154"/>
      <c r="DQ37" s="154"/>
      <c r="DR37" s="154"/>
      <c r="DS37" s="154"/>
      <c r="DT37" s="154"/>
      <c r="DU37" s="154"/>
      <c r="DV37" s="154"/>
      <c r="DW37" s="154"/>
      <c r="DX37" s="154"/>
      <c r="DY37" s="154"/>
      <c r="DZ37" s="154"/>
      <c r="EA37" s="154"/>
      <c r="EB37" s="154"/>
      <c r="EC37" s="154"/>
      <c r="ED37" s="154"/>
      <c r="EE37" s="154"/>
      <c r="EF37" s="154"/>
      <c r="EG37" s="154"/>
      <c r="EH37" s="154"/>
      <c r="EI37" s="154"/>
      <c r="EJ37" s="154"/>
      <c r="EK37" s="154"/>
      <c r="EL37" s="154"/>
      <c r="EM37" s="154"/>
      <c r="EN37" s="154"/>
      <c r="EO37" s="154"/>
      <c r="EP37" s="154"/>
      <c r="EQ37" s="154"/>
      <c r="ER37" s="154"/>
      <c r="ES37" s="154"/>
      <c r="ET37" s="154"/>
      <c r="EU37" s="154"/>
      <c r="EV37" s="154"/>
      <c r="EW37" s="154"/>
    </row>
    <row r="38" spans="1:153" ht="12.95" customHeight="1">
      <c r="A38" s="154"/>
      <c r="B38" s="458" t="s">
        <v>899</v>
      </c>
      <c r="C38" s="468" t="s">
        <v>778</v>
      </c>
      <c r="D38" s="453">
        <f>HLOOKUP("CHILLER:Chiller Evap Water Outlet Temp [C](Hourly)",'Eplus results'!1:1048576,'graph data'!D4,FALSE)*9/5+32</f>
        <v>44.06</v>
      </c>
      <c r="P38" s="154"/>
      <c r="Q38" s="154"/>
      <c r="R38" s="154"/>
      <c r="S38" s="154"/>
      <c r="T38" s="154"/>
      <c r="U38" s="154"/>
      <c r="V38" s="154"/>
      <c r="W38" s="154"/>
      <c r="X38" s="154"/>
      <c r="Y38" s="154"/>
      <c r="Z38" s="154"/>
      <c r="AA38" s="154"/>
      <c r="AB38" s="154"/>
      <c r="AC38" s="154"/>
      <c r="AD38" s="154"/>
      <c r="AE38" s="154"/>
      <c r="AF38" s="367"/>
      <c r="AG38" s="368"/>
      <c r="AH38" s="368"/>
      <c r="AI38" s="368"/>
      <c r="AJ38" s="154"/>
      <c r="AK38" s="154"/>
      <c r="AL38" s="154"/>
      <c r="AM38" s="154"/>
      <c r="AN38" s="154"/>
      <c r="AO38" s="154"/>
      <c r="AP38" s="154"/>
      <c r="AQ38" s="154"/>
      <c r="AR38" s="154"/>
      <c r="AS38" s="154"/>
      <c r="AT38" s="154"/>
      <c r="AU38" s="154"/>
      <c r="AV38" s="154"/>
      <c r="AW38" s="154"/>
      <c r="AX38" s="154"/>
      <c r="AY38" s="154"/>
      <c r="AZ38" s="154"/>
      <c r="BA38" s="154"/>
      <c r="BB38" s="154"/>
      <c r="BC38" s="154"/>
      <c r="BD38" s="154"/>
      <c r="BE38" s="154"/>
      <c r="BF38" s="154"/>
      <c r="BG38" s="154"/>
      <c r="BH38" s="154"/>
      <c r="BI38" s="154"/>
      <c r="BJ38" s="154"/>
      <c r="BK38" s="154"/>
      <c r="BL38" s="154"/>
      <c r="BM38" s="154"/>
      <c r="BN38" s="154"/>
      <c r="BO38" s="154"/>
      <c r="BP38" s="154"/>
      <c r="BQ38" s="154"/>
      <c r="BR38" s="154"/>
      <c r="BS38" s="154"/>
      <c r="BT38" s="154"/>
      <c r="BU38" s="154"/>
      <c r="BV38" s="154"/>
      <c r="BW38" s="154"/>
      <c r="BX38" s="154"/>
      <c r="BY38" s="154"/>
      <c r="BZ38" s="154"/>
      <c r="CA38" s="154"/>
      <c r="CB38" s="154"/>
      <c r="CC38" s="154"/>
      <c r="CD38" s="154"/>
      <c r="CE38" s="154"/>
      <c r="CF38" s="154"/>
      <c r="CG38" s="154"/>
      <c r="CH38" s="154"/>
      <c r="CI38" s="154"/>
      <c r="CJ38" s="154"/>
      <c r="CK38" s="154"/>
      <c r="CL38" s="154"/>
      <c r="CM38" s="154"/>
      <c r="CN38" s="154"/>
      <c r="CO38" s="154"/>
      <c r="CP38" s="154"/>
      <c r="CQ38" s="154"/>
      <c r="CR38" s="154"/>
      <c r="CS38" s="154"/>
      <c r="CT38" s="154"/>
      <c r="CU38" s="154"/>
      <c r="CV38" s="154"/>
      <c r="CW38" s="154"/>
      <c r="CX38" s="154"/>
      <c r="CY38" s="154"/>
      <c r="CZ38" s="154"/>
      <c r="DA38" s="154"/>
      <c r="DB38" s="154"/>
      <c r="DC38" s="154"/>
      <c r="DD38" s="154"/>
      <c r="DE38" s="154"/>
      <c r="DF38" s="154"/>
      <c r="DG38" s="154"/>
      <c r="DH38" s="154"/>
      <c r="DI38" s="154"/>
      <c r="DJ38" s="154"/>
      <c r="DK38" s="154"/>
      <c r="DL38" s="154"/>
      <c r="DM38" s="154"/>
      <c r="DN38" s="154"/>
      <c r="DO38" s="154"/>
      <c r="DP38" s="154"/>
      <c r="DQ38" s="154"/>
      <c r="DR38" s="154"/>
      <c r="DS38" s="154"/>
      <c r="DT38" s="154"/>
      <c r="DU38" s="154"/>
      <c r="DV38" s="154"/>
      <c r="DW38" s="154"/>
      <c r="DX38" s="154"/>
      <c r="DY38" s="154"/>
      <c r="DZ38" s="154"/>
      <c r="EA38" s="154"/>
      <c r="EB38" s="154"/>
      <c r="EC38" s="154"/>
      <c r="ED38" s="154"/>
      <c r="EE38" s="154"/>
      <c r="EF38" s="154"/>
      <c r="EG38" s="154"/>
      <c r="EH38" s="154"/>
      <c r="EI38" s="154"/>
      <c r="EJ38" s="154"/>
      <c r="EK38" s="154"/>
      <c r="EL38" s="154"/>
      <c r="EM38" s="154"/>
      <c r="EN38" s="154"/>
      <c r="EO38" s="154"/>
      <c r="EP38" s="154"/>
      <c r="EQ38" s="154"/>
      <c r="ER38" s="154"/>
      <c r="ES38" s="154"/>
      <c r="ET38" s="154"/>
      <c r="EU38" s="154"/>
      <c r="EV38" s="154"/>
      <c r="EW38" s="154"/>
    </row>
    <row r="39" spans="1:153" ht="12.95" customHeight="1">
      <c r="B39" s="458" t="s">
        <v>896</v>
      </c>
      <c r="C39" s="454" t="s">
        <v>947</v>
      </c>
      <c r="D39" s="453">
        <f>HLOOKUP("CHILLER:Chiller Evap Water Outlet Temp [C](Hourly)",'Eplus results'!1:1048576,'graph data'!D4,FALSE)/(3.785/60)</f>
        <v>106.20871862615587</v>
      </c>
      <c r="P39" s="154"/>
      <c r="Q39" s="154"/>
      <c r="R39" s="154"/>
      <c r="S39" s="154"/>
      <c r="T39" s="154"/>
      <c r="U39" s="154"/>
      <c r="V39" s="154"/>
      <c r="W39" s="154"/>
      <c r="X39" s="154"/>
      <c r="Y39" s="154"/>
      <c r="Z39" s="154"/>
      <c r="AA39" s="154"/>
      <c r="AB39" s="154"/>
      <c r="AC39" s="154"/>
      <c r="AD39" s="154"/>
      <c r="AE39" s="154"/>
      <c r="AF39" s="367"/>
      <c r="AG39" s="368"/>
      <c r="AH39" s="368"/>
      <c r="AI39" s="368"/>
      <c r="AJ39" s="154"/>
      <c r="AK39" s="154"/>
      <c r="AL39" s="154"/>
      <c r="AM39" s="154"/>
      <c r="AN39" s="154"/>
      <c r="AO39" s="154"/>
      <c r="AP39" s="154"/>
      <c r="AQ39" s="154"/>
      <c r="AR39" s="154"/>
      <c r="AS39" s="154"/>
      <c r="AT39" s="154"/>
      <c r="AU39" s="154"/>
      <c r="AV39" s="154"/>
      <c r="AW39" s="154"/>
      <c r="AX39" s="154"/>
      <c r="AY39" s="154"/>
      <c r="AZ39" s="154"/>
      <c r="BA39" s="154"/>
      <c r="BB39" s="154"/>
      <c r="BC39" s="154"/>
      <c r="BD39" s="154"/>
      <c r="BE39" s="154"/>
      <c r="BF39" s="154"/>
      <c r="BG39" s="154"/>
      <c r="BH39" s="154"/>
      <c r="BI39" s="154"/>
      <c r="BJ39" s="154"/>
      <c r="BK39" s="154"/>
      <c r="BL39" s="154"/>
      <c r="BM39" s="154"/>
      <c r="BN39" s="154"/>
      <c r="BO39" s="154"/>
      <c r="BP39" s="154"/>
      <c r="BQ39" s="154"/>
      <c r="BR39" s="154"/>
      <c r="BS39" s="154"/>
      <c r="BT39" s="154"/>
      <c r="BU39" s="154"/>
      <c r="BV39" s="154"/>
      <c r="BW39" s="154"/>
      <c r="BX39" s="154"/>
      <c r="BY39" s="154"/>
      <c r="BZ39" s="154"/>
      <c r="CA39" s="154"/>
      <c r="CB39" s="154"/>
      <c r="CC39" s="154"/>
      <c r="CD39" s="154"/>
      <c r="CE39" s="154"/>
      <c r="CF39" s="154"/>
      <c r="CG39" s="154"/>
      <c r="CH39" s="154"/>
      <c r="CI39" s="154"/>
      <c r="CJ39" s="154"/>
      <c r="CK39" s="154"/>
      <c r="CL39" s="154"/>
      <c r="CM39" s="154"/>
      <c r="CN39" s="154"/>
      <c r="CO39" s="154"/>
      <c r="CP39" s="154"/>
      <c r="CQ39" s="154"/>
      <c r="CR39" s="154"/>
      <c r="CS39" s="154"/>
      <c r="CT39" s="154"/>
      <c r="CU39" s="154"/>
      <c r="CV39" s="154"/>
      <c r="CW39" s="154"/>
      <c r="CX39" s="154"/>
      <c r="CY39" s="154"/>
      <c r="CZ39" s="154"/>
      <c r="DA39" s="154"/>
      <c r="DB39" s="154"/>
      <c r="DC39" s="154"/>
      <c r="DD39" s="154"/>
      <c r="DE39" s="154"/>
      <c r="DF39" s="154"/>
      <c r="DG39" s="154"/>
      <c r="DH39" s="154"/>
      <c r="DI39" s="154"/>
      <c r="DJ39" s="154"/>
      <c r="DK39" s="154"/>
      <c r="DL39" s="154"/>
      <c r="DM39" s="154"/>
      <c r="DN39" s="154"/>
      <c r="DO39" s="154"/>
      <c r="DP39" s="154"/>
      <c r="DQ39" s="154"/>
      <c r="DR39" s="154"/>
      <c r="DS39" s="154"/>
      <c r="DT39" s="154"/>
      <c r="DU39" s="154"/>
      <c r="DV39" s="154"/>
      <c r="DW39" s="154"/>
      <c r="DX39" s="154"/>
      <c r="DY39" s="154"/>
      <c r="DZ39" s="154"/>
      <c r="EA39" s="154"/>
      <c r="EB39" s="154"/>
      <c r="EC39" s="154"/>
      <c r="ED39" s="154"/>
      <c r="EE39" s="154"/>
      <c r="EF39" s="154"/>
      <c r="EG39" s="154"/>
      <c r="EH39" s="154"/>
      <c r="EI39" s="154"/>
      <c r="EJ39" s="154"/>
      <c r="EK39" s="154"/>
      <c r="EL39" s="154"/>
      <c r="EM39" s="154"/>
      <c r="EN39" s="154"/>
      <c r="EO39" s="154"/>
      <c r="EP39" s="154"/>
      <c r="EQ39" s="154"/>
      <c r="ER39" s="154"/>
      <c r="ES39" s="154"/>
      <c r="ET39" s="154"/>
      <c r="EU39" s="154"/>
      <c r="EV39" s="154"/>
      <c r="EW39" s="154"/>
    </row>
    <row r="40" spans="1:153" ht="12.95" customHeight="1">
      <c r="B40" s="363" t="s">
        <v>888</v>
      </c>
      <c r="C40" s="360" t="s">
        <v>212</v>
      </c>
      <c r="D40" s="481">
        <f>HLOOKUP("CHILLER:Chiller COP [W/W](Hourly)",'Eplus results'!1:1048576,'graph data'!D4,FALSE)</f>
        <v>5.2446902772420998</v>
      </c>
      <c r="P40" s="154"/>
      <c r="Q40" s="154"/>
      <c r="R40" s="154"/>
      <c r="S40" s="154"/>
      <c r="T40" s="154"/>
      <c r="U40" s="154"/>
      <c r="V40" s="154"/>
      <c r="W40" s="154"/>
      <c r="X40" s="154"/>
      <c r="Y40" s="154"/>
      <c r="Z40" s="154"/>
      <c r="AA40" s="154"/>
      <c r="AB40" s="154"/>
      <c r="AC40" s="154"/>
      <c r="AD40" s="154"/>
      <c r="AE40" s="154"/>
      <c r="AF40" s="367"/>
      <c r="AG40" s="368"/>
      <c r="AH40" s="368"/>
      <c r="AI40" s="368"/>
      <c r="AJ40" s="154"/>
      <c r="AK40" s="154"/>
      <c r="AL40" s="154"/>
      <c r="AM40" s="154"/>
      <c r="AN40" s="154"/>
      <c r="AO40" s="154"/>
      <c r="AP40" s="154"/>
      <c r="AQ40" s="154"/>
      <c r="AR40" s="154"/>
      <c r="AS40" s="154"/>
      <c r="AT40" s="154"/>
      <c r="AU40" s="154"/>
      <c r="AV40" s="154"/>
      <c r="AW40" s="154"/>
      <c r="AX40" s="154"/>
      <c r="AY40" s="154"/>
      <c r="AZ40" s="154"/>
      <c r="BA40" s="154"/>
      <c r="BB40" s="154"/>
      <c r="BC40" s="154"/>
      <c r="BD40" s="154"/>
      <c r="BE40" s="154"/>
      <c r="BF40" s="154"/>
      <c r="BG40" s="154"/>
      <c r="BH40" s="154"/>
      <c r="BI40" s="154"/>
      <c r="BJ40" s="154"/>
      <c r="BK40" s="154"/>
      <c r="BL40" s="154"/>
      <c r="BM40" s="154"/>
      <c r="BN40" s="154"/>
      <c r="BO40" s="154"/>
      <c r="BP40" s="154"/>
      <c r="BQ40" s="154"/>
      <c r="BR40" s="154"/>
      <c r="BS40" s="154"/>
      <c r="BT40" s="154"/>
      <c r="BU40" s="154"/>
      <c r="BV40" s="154"/>
      <c r="BW40" s="154"/>
      <c r="BX40" s="154"/>
      <c r="BY40" s="154"/>
      <c r="BZ40" s="154"/>
      <c r="CA40" s="154"/>
      <c r="CB40" s="154"/>
      <c r="CC40" s="154"/>
      <c r="CD40" s="154"/>
      <c r="CE40" s="154"/>
      <c r="CF40" s="154"/>
      <c r="CG40" s="154"/>
      <c r="CH40" s="154"/>
      <c r="CI40" s="154"/>
      <c r="CJ40" s="154"/>
      <c r="CK40" s="154"/>
      <c r="CL40" s="154"/>
      <c r="CM40" s="154"/>
      <c r="CN40" s="154"/>
      <c r="CO40" s="154"/>
      <c r="CP40" s="154"/>
      <c r="CQ40" s="154"/>
      <c r="CR40" s="154"/>
      <c r="CS40" s="154"/>
      <c r="CT40" s="154"/>
      <c r="CU40" s="154"/>
      <c r="CV40" s="154"/>
      <c r="CW40" s="154"/>
      <c r="CX40" s="154"/>
      <c r="CY40" s="154"/>
      <c r="CZ40" s="154"/>
      <c r="DA40" s="154"/>
      <c r="DB40" s="154"/>
      <c r="DC40" s="154"/>
      <c r="DD40" s="154"/>
      <c r="DE40" s="154"/>
      <c r="DF40" s="154"/>
      <c r="DG40" s="154"/>
      <c r="DH40" s="154"/>
      <c r="DI40" s="154"/>
      <c r="DJ40" s="154"/>
      <c r="DK40" s="154"/>
      <c r="DL40" s="154"/>
      <c r="DM40" s="154"/>
      <c r="DN40" s="154"/>
      <c r="DO40" s="154"/>
      <c r="DP40" s="154"/>
      <c r="DQ40" s="154"/>
      <c r="DR40" s="154"/>
      <c r="DS40" s="154"/>
      <c r="DT40" s="154"/>
      <c r="DU40" s="154"/>
      <c r="DV40" s="154"/>
      <c r="DW40" s="154"/>
      <c r="DX40" s="154"/>
      <c r="DY40" s="154"/>
      <c r="DZ40" s="154"/>
      <c r="EA40" s="154"/>
      <c r="EB40" s="154"/>
      <c r="EC40" s="154"/>
      <c r="ED40" s="154"/>
      <c r="EE40" s="154"/>
      <c r="EF40" s="154"/>
      <c r="EG40" s="154"/>
      <c r="EH40" s="154"/>
      <c r="EI40" s="154"/>
      <c r="EJ40" s="154"/>
      <c r="EK40" s="154"/>
      <c r="EL40" s="154"/>
      <c r="EM40" s="154"/>
      <c r="EN40" s="154"/>
      <c r="EO40" s="154"/>
      <c r="EP40" s="154"/>
      <c r="EQ40" s="154"/>
      <c r="ER40" s="154"/>
      <c r="ES40" s="154"/>
      <c r="ET40" s="154"/>
      <c r="EU40" s="154"/>
      <c r="EV40" s="154"/>
      <c r="EW40" s="154"/>
    </row>
    <row r="41" spans="1:153" ht="12.95" customHeight="1">
      <c r="B41" s="363" t="s">
        <v>889</v>
      </c>
      <c r="C41" s="360" t="s">
        <v>212</v>
      </c>
      <c r="D41" s="481">
        <f>HLOOKUP("CHILLER:Chiller Part Load Ratio(Hourly)",'Eplus results'!1:1048576,'graph data'!D4,FALSE)</f>
        <v>0.79122910829584203</v>
      </c>
      <c r="G41" s="164"/>
      <c r="P41" s="154"/>
      <c r="Q41" s="154"/>
      <c r="R41" s="154"/>
      <c r="S41" s="154"/>
      <c r="T41" s="154"/>
      <c r="U41" s="154"/>
      <c r="V41" s="154"/>
      <c r="W41" s="672"/>
      <c r="X41" s="672"/>
      <c r="Y41" s="154"/>
      <c r="Z41" s="375"/>
      <c r="AA41" s="375"/>
      <c r="AB41" s="154"/>
      <c r="AC41" s="153"/>
      <c r="AD41" s="154"/>
      <c r="AE41" s="154"/>
      <c r="AF41" s="367"/>
      <c r="AG41" s="368"/>
      <c r="AH41" s="368"/>
      <c r="AI41" s="368"/>
      <c r="AJ41" s="154"/>
      <c r="AK41" s="154"/>
      <c r="AL41" s="154"/>
      <c r="AM41" s="154"/>
      <c r="AN41" s="154"/>
      <c r="AO41" s="154"/>
      <c r="AP41" s="154"/>
      <c r="AQ41" s="154"/>
      <c r="AR41" s="154"/>
      <c r="AS41" s="154"/>
      <c r="AT41" s="154"/>
      <c r="AU41" s="154"/>
      <c r="AV41" s="154"/>
      <c r="AW41" s="154"/>
      <c r="AX41" s="154"/>
      <c r="AY41" s="154"/>
      <c r="AZ41" s="154"/>
      <c r="BA41" s="154"/>
      <c r="BB41" s="154"/>
      <c r="BC41" s="154"/>
      <c r="BD41" s="154"/>
      <c r="BE41" s="154"/>
      <c r="BF41" s="154"/>
      <c r="BG41" s="154"/>
      <c r="BH41" s="154"/>
      <c r="BI41" s="154"/>
      <c r="BJ41" s="154"/>
      <c r="BK41" s="154"/>
      <c r="BL41" s="154"/>
      <c r="BM41" s="154"/>
      <c r="BN41" s="154"/>
      <c r="BO41" s="154"/>
      <c r="BP41" s="154"/>
      <c r="BQ41" s="154"/>
      <c r="BR41" s="154"/>
      <c r="BS41" s="154"/>
      <c r="BT41" s="154"/>
      <c r="BU41" s="154"/>
      <c r="BV41" s="154"/>
      <c r="BW41" s="154"/>
      <c r="BX41" s="154"/>
      <c r="BY41" s="154"/>
      <c r="BZ41" s="154"/>
      <c r="CA41" s="154"/>
      <c r="CB41" s="154"/>
      <c r="CC41" s="154"/>
      <c r="CD41" s="154"/>
      <c r="CE41" s="154"/>
      <c r="CF41" s="154"/>
      <c r="CG41" s="154"/>
      <c r="CH41" s="154"/>
      <c r="CI41" s="154"/>
      <c r="CJ41" s="154"/>
      <c r="CK41" s="154"/>
      <c r="CL41" s="154"/>
      <c r="CM41" s="154"/>
      <c r="CN41" s="154"/>
      <c r="CO41" s="154"/>
      <c r="CP41" s="154"/>
      <c r="CQ41" s="154"/>
      <c r="CR41" s="154"/>
      <c r="CS41" s="154"/>
      <c r="CT41" s="154"/>
      <c r="CU41" s="154"/>
      <c r="CV41" s="154"/>
      <c r="CW41" s="154"/>
      <c r="CX41" s="154"/>
      <c r="CY41" s="154"/>
      <c r="CZ41" s="154"/>
      <c r="DA41" s="154"/>
      <c r="DB41" s="154"/>
      <c r="DC41" s="154"/>
      <c r="DD41" s="154"/>
      <c r="DE41" s="154"/>
      <c r="DF41" s="154"/>
      <c r="DG41" s="154"/>
      <c r="DH41" s="154"/>
      <c r="DI41" s="154"/>
      <c r="DJ41" s="154"/>
      <c r="DK41" s="154"/>
      <c r="DL41" s="154"/>
      <c r="DM41" s="154"/>
      <c r="DN41" s="154"/>
      <c r="DO41" s="154"/>
      <c r="DP41" s="154"/>
      <c r="DQ41" s="154"/>
      <c r="DR41" s="154"/>
      <c r="DS41" s="154"/>
      <c r="DT41" s="154"/>
      <c r="DU41" s="154"/>
      <c r="DV41" s="154"/>
      <c r="DW41" s="154"/>
      <c r="DX41" s="154"/>
      <c r="DY41" s="154"/>
      <c r="DZ41" s="154"/>
      <c r="EA41" s="154"/>
      <c r="EB41" s="154"/>
      <c r="EC41" s="154"/>
      <c r="ED41" s="154"/>
      <c r="EE41" s="154"/>
      <c r="EF41" s="154"/>
      <c r="EG41" s="154"/>
      <c r="EH41" s="154"/>
      <c r="EI41" s="154"/>
      <c r="EJ41" s="154"/>
      <c r="EK41" s="154"/>
      <c r="EL41" s="154"/>
      <c r="EM41" s="154"/>
      <c r="EN41" s="154"/>
      <c r="EO41" s="154"/>
      <c r="EP41" s="154"/>
      <c r="EQ41" s="154"/>
      <c r="ER41" s="154"/>
      <c r="ES41" s="154"/>
      <c r="ET41" s="154"/>
      <c r="EU41" s="154"/>
      <c r="EV41" s="154"/>
      <c r="EW41" s="154"/>
    </row>
    <row r="42" spans="1:153" ht="12.95" customHeight="1">
      <c r="A42" s="178"/>
      <c r="B42" s="363" t="s">
        <v>890</v>
      </c>
      <c r="C42" s="360" t="s">
        <v>961</v>
      </c>
      <c r="D42" s="453">
        <f>HLOOKUP("CHILLER:Chiller Electric Consumption [J](Hourly)",'Eplus results'!1:1048576,'graph data'!D4,FALSE)/(3600*1000)</f>
        <v>65.930909036960557</v>
      </c>
      <c r="G42" s="164"/>
      <c r="P42" s="154"/>
      <c r="Q42" s="375"/>
      <c r="R42" s="154"/>
      <c r="S42" s="382"/>
      <c r="T42" s="154"/>
      <c r="U42" s="382"/>
      <c r="V42" s="154"/>
      <c r="W42" s="672"/>
      <c r="X42" s="672"/>
      <c r="Y42" s="154"/>
      <c r="Z42" s="375"/>
      <c r="AA42" s="154"/>
      <c r="AB42" s="375"/>
      <c r="AC42" s="154"/>
      <c r="AD42" s="154"/>
      <c r="AE42" s="154"/>
      <c r="AF42" s="367"/>
      <c r="AG42" s="368"/>
      <c r="AH42" s="368"/>
      <c r="AI42" s="368"/>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c r="BS42" s="154"/>
      <c r="BT42" s="154"/>
      <c r="BU42" s="154"/>
      <c r="BV42" s="154"/>
      <c r="BW42" s="154"/>
      <c r="BX42" s="154"/>
      <c r="BY42" s="154"/>
      <c r="BZ42" s="154"/>
      <c r="CA42" s="154"/>
      <c r="CB42" s="154"/>
      <c r="CC42" s="154"/>
      <c r="CD42" s="154"/>
      <c r="CE42" s="154"/>
      <c r="CF42" s="154"/>
      <c r="CG42" s="154"/>
      <c r="CH42" s="154"/>
      <c r="CI42" s="154"/>
      <c r="CJ42" s="154"/>
      <c r="CK42" s="154"/>
      <c r="CL42" s="154"/>
      <c r="CM42" s="154"/>
      <c r="CN42" s="154"/>
      <c r="CO42" s="154"/>
      <c r="CP42" s="154"/>
      <c r="CQ42" s="154"/>
      <c r="CR42" s="154"/>
      <c r="CS42" s="154"/>
      <c r="CT42" s="154"/>
      <c r="CU42" s="154"/>
      <c r="CV42" s="154"/>
      <c r="CW42" s="154"/>
      <c r="CX42" s="154"/>
      <c r="CY42" s="154"/>
      <c r="CZ42" s="154"/>
      <c r="DA42" s="154"/>
      <c r="DB42" s="154"/>
      <c r="DC42" s="154"/>
      <c r="DD42" s="154"/>
      <c r="DE42" s="154"/>
      <c r="DF42" s="154"/>
      <c r="DG42" s="154"/>
      <c r="DH42" s="154"/>
      <c r="DI42" s="154"/>
      <c r="DJ42" s="154"/>
      <c r="DK42" s="154"/>
      <c r="DL42" s="154"/>
      <c r="DM42" s="154"/>
      <c r="DN42" s="154"/>
      <c r="DO42" s="154"/>
      <c r="DP42" s="154"/>
      <c r="DQ42" s="154"/>
      <c r="DR42" s="154"/>
      <c r="DS42" s="154"/>
      <c r="DT42" s="154"/>
      <c r="DU42" s="154"/>
      <c r="DV42" s="154"/>
      <c r="DW42" s="154"/>
      <c r="DX42" s="154"/>
      <c r="DY42" s="154"/>
      <c r="DZ42" s="154"/>
      <c r="EA42" s="154"/>
      <c r="EB42" s="154"/>
      <c r="EC42" s="154"/>
      <c r="ED42" s="154"/>
      <c r="EE42" s="154"/>
      <c r="EF42" s="154"/>
      <c r="EG42" s="154"/>
      <c r="EH42" s="154"/>
      <c r="EI42" s="154"/>
      <c r="EJ42" s="154"/>
      <c r="EK42" s="154"/>
      <c r="EL42" s="154"/>
      <c r="EM42" s="154"/>
      <c r="EN42" s="154"/>
      <c r="EO42" s="154"/>
      <c r="EP42" s="154"/>
      <c r="EQ42" s="154"/>
      <c r="ER42" s="154"/>
      <c r="ES42" s="154"/>
      <c r="ET42" s="154"/>
      <c r="EU42" s="154"/>
      <c r="EV42" s="154"/>
      <c r="EW42" s="154"/>
    </row>
    <row r="43" spans="1:153" ht="12.95" customHeight="1">
      <c r="A43" s="176"/>
      <c r="B43" s="395" t="s">
        <v>897</v>
      </c>
      <c r="C43" s="364" t="s">
        <v>961</v>
      </c>
      <c r="D43" s="494">
        <f>HLOOKUP("CHILLER:Chiller Evap Heat Trans Rate [W](Hourly)",'Eplus results'!1:1048576,'graph data'!D4,FALSE)/1000</f>
        <v>345.78586563551897</v>
      </c>
      <c r="E43" s="187"/>
      <c r="G43" s="164"/>
      <c r="P43" s="154"/>
      <c r="Q43" s="154"/>
      <c r="R43" s="383"/>
      <c r="S43" s="382"/>
      <c r="T43" s="154"/>
      <c r="U43" s="382"/>
      <c r="V43" s="154"/>
      <c r="W43" s="154"/>
      <c r="X43" s="154"/>
      <c r="Y43" s="154"/>
      <c r="Z43" s="154"/>
      <c r="AA43" s="154"/>
      <c r="AB43" s="154"/>
      <c r="AC43" s="153"/>
      <c r="AD43" s="154"/>
      <c r="AE43" s="154"/>
      <c r="AF43" s="367"/>
      <c r="AG43" s="368"/>
      <c r="AH43" s="368"/>
      <c r="AI43" s="368"/>
      <c r="AJ43" s="154"/>
      <c r="AK43" s="154"/>
      <c r="AL43" s="154"/>
      <c r="AM43" s="154"/>
      <c r="AN43" s="154"/>
      <c r="AO43" s="154"/>
      <c r="AP43" s="154"/>
      <c r="AQ43" s="154"/>
      <c r="AR43" s="154"/>
      <c r="AS43" s="154"/>
      <c r="AT43" s="154"/>
      <c r="AU43" s="154"/>
      <c r="AV43" s="154"/>
      <c r="AW43" s="154"/>
      <c r="AX43" s="154"/>
      <c r="AY43" s="154"/>
      <c r="AZ43" s="154"/>
      <c r="BA43" s="154"/>
      <c r="BB43" s="154"/>
      <c r="BC43" s="154"/>
      <c r="BD43" s="154"/>
      <c r="BE43" s="154"/>
      <c r="BF43" s="154"/>
      <c r="BG43" s="154"/>
      <c r="BH43" s="154"/>
      <c r="BI43" s="154"/>
      <c r="BJ43" s="154"/>
      <c r="BK43" s="154"/>
      <c r="BL43" s="154"/>
      <c r="BM43" s="154"/>
      <c r="BN43" s="154"/>
      <c r="BO43" s="154"/>
      <c r="BP43" s="154"/>
      <c r="BQ43" s="154"/>
      <c r="BR43" s="154"/>
      <c r="BS43" s="154"/>
      <c r="BT43" s="154"/>
      <c r="BU43" s="154"/>
      <c r="BV43" s="154"/>
      <c r="BW43" s="154"/>
      <c r="BX43" s="154"/>
      <c r="BY43" s="154"/>
      <c r="BZ43" s="154"/>
      <c r="CA43" s="154"/>
      <c r="CB43" s="154"/>
      <c r="CC43" s="154"/>
      <c r="CD43" s="154"/>
      <c r="CE43" s="154"/>
      <c r="CF43" s="154"/>
      <c r="CG43" s="154"/>
      <c r="CH43" s="154"/>
      <c r="CI43" s="154"/>
      <c r="CJ43" s="154"/>
      <c r="CK43" s="154"/>
      <c r="CL43" s="154"/>
      <c r="CM43" s="154"/>
      <c r="CN43" s="154"/>
      <c r="CO43" s="154"/>
      <c r="CP43" s="154"/>
      <c r="CQ43" s="154"/>
      <c r="CR43" s="154"/>
      <c r="CS43" s="154"/>
      <c r="CT43" s="154"/>
      <c r="CU43" s="154"/>
      <c r="CV43" s="154"/>
      <c r="CW43" s="154"/>
      <c r="CX43" s="154"/>
      <c r="CY43" s="154"/>
      <c r="CZ43" s="154"/>
      <c r="DA43" s="154"/>
      <c r="DB43" s="154"/>
      <c r="DC43" s="154"/>
      <c r="DD43" s="154"/>
      <c r="DE43" s="154"/>
      <c r="DF43" s="154"/>
      <c r="DG43" s="154"/>
      <c r="DH43" s="154"/>
      <c r="DI43" s="154"/>
      <c r="DJ43" s="154"/>
      <c r="DK43" s="154"/>
      <c r="DL43" s="154"/>
      <c r="DM43" s="154"/>
      <c r="DN43" s="154"/>
      <c r="DO43" s="154"/>
      <c r="DP43" s="154"/>
      <c r="DQ43" s="154"/>
      <c r="DR43" s="154"/>
      <c r="DS43" s="154"/>
      <c r="DT43" s="154"/>
      <c r="DU43" s="154"/>
      <c r="DV43" s="154"/>
      <c r="DW43" s="154"/>
      <c r="DX43" s="154"/>
      <c r="DY43" s="154"/>
      <c r="DZ43" s="154"/>
      <c r="EA43" s="154"/>
      <c r="EB43" s="154"/>
      <c r="EC43" s="154"/>
      <c r="ED43" s="154"/>
      <c r="EE43" s="154"/>
      <c r="EF43" s="154"/>
      <c r="EG43" s="154"/>
      <c r="EH43" s="154"/>
      <c r="EI43" s="154"/>
      <c r="EJ43" s="154"/>
      <c r="EK43" s="154"/>
      <c r="EL43" s="154"/>
      <c r="EM43" s="154"/>
      <c r="EN43" s="154"/>
      <c r="EO43" s="154"/>
      <c r="EP43" s="154"/>
      <c r="EQ43" s="154"/>
      <c r="ER43" s="154"/>
      <c r="ES43" s="154"/>
      <c r="ET43" s="154"/>
      <c r="EU43" s="154"/>
      <c r="EV43" s="154"/>
      <c r="EW43" s="154"/>
    </row>
    <row r="44" spans="1:153" ht="12.95" customHeight="1">
      <c r="B44" s="458" t="s">
        <v>903</v>
      </c>
      <c r="C44" s="468" t="s">
        <v>778</v>
      </c>
      <c r="D44" s="449">
        <f>HLOOKUP("TOWER:Tower Water Inlet Temp [C](Hourly)",'Eplus results'!1:1048576,'graph data'!D4,FALSE)*9/5+32</f>
        <v>90.867365741758277</v>
      </c>
      <c r="E44" s="189"/>
      <c r="G44" s="164"/>
      <c r="P44" s="154"/>
      <c r="Q44" s="154"/>
      <c r="R44" s="384"/>
      <c r="S44" s="382"/>
      <c r="T44" s="154"/>
      <c r="U44" s="382"/>
      <c r="V44" s="154"/>
      <c r="W44" s="154"/>
      <c r="X44" s="154"/>
      <c r="Y44" s="154"/>
      <c r="Z44" s="154"/>
      <c r="AA44" s="154"/>
      <c r="AB44" s="154"/>
      <c r="AC44" s="154"/>
      <c r="AD44" s="154"/>
      <c r="AE44" s="154"/>
      <c r="AF44" s="367"/>
      <c r="AG44" s="368"/>
      <c r="AH44" s="368"/>
      <c r="AI44" s="368"/>
      <c r="AJ44" s="154"/>
      <c r="AK44" s="154"/>
      <c r="AL44" s="154"/>
      <c r="AM44" s="154"/>
      <c r="AN44" s="154"/>
      <c r="AO44" s="154"/>
      <c r="AP44" s="154"/>
      <c r="AQ44" s="154"/>
      <c r="AR44" s="154"/>
      <c r="AS44" s="154"/>
      <c r="AT44" s="154"/>
      <c r="AU44" s="154"/>
      <c r="AV44" s="154"/>
      <c r="AW44" s="154"/>
      <c r="AX44" s="154"/>
      <c r="AY44" s="154"/>
      <c r="AZ44" s="154"/>
      <c r="BA44" s="154"/>
      <c r="BB44" s="154"/>
      <c r="BC44" s="154"/>
      <c r="BD44" s="154"/>
      <c r="BE44" s="154"/>
      <c r="BF44" s="154"/>
      <c r="BG44" s="154"/>
      <c r="BH44" s="154"/>
      <c r="BI44" s="154"/>
      <c r="BJ44" s="154"/>
      <c r="BK44" s="154"/>
      <c r="BL44" s="154"/>
      <c r="BM44" s="154"/>
      <c r="BN44" s="154"/>
      <c r="BO44" s="154"/>
      <c r="BP44" s="154"/>
      <c r="BQ44" s="154"/>
      <c r="BR44" s="154"/>
      <c r="BS44" s="154"/>
      <c r="BT44" s="154"/>
      <c r="BU44" s="154"/>
      <c r="BV44" s="154"/>
      <c r="BW44" s="154"/>
      <c r="BX44" s="154"/>
      <c r="BY44" s="154"/>
      <c r="BZ44" s="154"/>
      <c r="CA44" s="154"/>
      <c r="CB44" s="154"/>
      <c r="CC44" s="154"/>
      <c r="CD44" s="154"/>
      <c r="CE44" s="154"/>
      <c r="CF44" s="154"/>
      <c r="CG44" s="154"/>
      <c r="CH44" s="154"/>
      <c r="CI44" s="154"/>
      <c r="CJ44" s="154"/>
      <c r="CK44" s="154"/>
      <c r="CL44" s="154"/>
      <c r="CM44" s="154"/>
      <c r="CN44" s="154"/>
      <c r="CO44" s="154"/>
      <c r="CP44" s="154"/>
      <c r="CQ44" s="154"/>
      <c r="CR44" s="154"/>
      <c r="CS44" s="154"/>
      <c r="CT44" s="154"/>
      <c r="CU44" s="154"/>
      <c r="CV44" s="154"/>
      <c r="CW44" s="154"/>
      <c r="CX44" s="154"/>
      <c r="CY44" s="154"/>
      <c r="CZ44" s="154"/>
      <c r="DA44" s="154"/>
      <c r="DB44" s="154"/>
      <c r="DC44" s="154"/>
      <c r="DD44" s="154"/>
      <c r="DE44" s="154"/>
      <c r="DF44" s="154"/>
      <c r="DG44" s="154"/>
      <c r="DH44" s="154"/>
      <c r="DI44" s="154"/>
      <c r="DJ44" s="154"/>
      <c r="DK44" s="154"/>
      <c r="DL44" s="154"/>
      <c r="DM44" s="154"/>
      <c r="DN44" s="154"/>
      <c r="DO44" s="154"/>
      <c r="DP44" s="154"/>
      <c r="DQ44" s="154"/>
      <c r="DR44" s="154"/>
      <c r="DS44" s="154"/>
      <c r="DT44" s="154"/>
      <c r="DU44" s="154"/>
      <c r="DV44" s="154"/>
      <c r="DW44" s="154"/>
      <c r="DX44" s="154"/>
      <c r="DY44" s="154"/>
      <c r="DZ44" s="154"/>
      <c r="EA44" s="154"/>
      <c r="EB44" s="154"/>
      <c r="EC44" s="154"/>
      <c r="ED44" s="154"/>
      <c r="EE44" s="154"/>
      <c r="EF44" s="154"/>
      <c r="EG44" s="154"/>
      <c r="EH44" s="154"/>
      <c r="EI44" s="154"/>
      <c r="EJ44" s="154"/>
      <c r="EK44" s="154"/>
      <c r="EL44" s="154"/>
      <c r="EM44" s="154"/>
      <c r="EN44" s="154"/>
      <c r="EO44" s="154"/>
      <c r="EP44" s="154"/>
      <c r="EQ44" s="154"/>
      <c r="ER44" s="154"/>
      <c r="ES44" s="154"/>
      <c r="ET44" s="154"/>
      <c r="EU44" s="154"/>
      <c r="EV44" s="154"/>
      <c r="EW44" s="154"/>
    </row>
    <row r="45" spans="1:153" ht="12.95" customHeight="1">
      <c r="B45" s="458" t="s">
        <v>900</v>
      </c>
      <c r="C45" s="468" t="s">
        <v>778</v>
      </c>
      <c r="D45" s="449">
        <f>HLOOKUP("TOWER:Tower Water Outlet Temp [C](Hourly)",'Eplus results'!1:1048576,'graph data'!D4,FALSE)*9/5+32</f>
        <v>79.723744453792037</v>
      </c>
      <c r="E45" s="181"/>
      <c r="P45" s="154"/>
      <c r="Q45" s="154"/>
      <c r="R45" s="384"/>
      <c r="S45" s="384"/>
      <c r="T45" s="385"/>
      <c r="U45" s="154"/>
      <c r="V45" s="154"/>
      <c r="W45" s="154"/>
      <c r="X45" s="154"/>
      <c r="Y45" s="154"/>
      <c r="Z45" s="154"/>
      <c r="AA45" s="154"/>
      <c r="AB45" s="154"/>
      <c r="AC45" s="154"/>
      <c r="AD45" s="154"/>
      <c r="AE45" s="154"/>
      <c r="AF45" s="367"/>
      <c r="AG45" s="368"/>
      <c r="AH45" s="368"/>
      <c r="AI45" s="368"/>
      <c r="AJ45" s="154"/>
      <c r="AK45" s="154"/>
      <c r="AL45" s="154"/>
      <c r="AM45" s="154"/>
      <c r="AN45" s="154"/>
      <c r="AO45" s="154"/>
      <c r="AP45" s="154"/>
      <c r="AQ45" s="154"/>
      <c r="AR45" s="154"/>
      <c r="AS45" s="154"/>
      <c r="AT45" s="154"/>
      <c r="AU45" s="154"/>
      <c r="AV45" s="154"/>
      <c r="AW45" s="154"/>
      <c r="AX45" s="154"/>
      <c r="AY45" s="154"/>
      <c r="AZ45" s="154"/>
      <c r="BA45" s="154"/>
      <c r="BB45" s="154"/>
      <c r="BC45" s="154"/>
      <c r="BD45" s="154"/>
      <c r="BE45" s="154"/>
      <c r="BF45" s="154"/>
      <c r="BG45" s="154"/>
      <c r="BH45" s="154"/>
      <c r="BI45" s="154"/>
      <c r="BJ45" s="154"/>
      <c r="BK45" s="154"/>
      <c r="BL45" s="154"/>
      <c r="BM45" s="154"/>
      <c r="BN45" s="154"/>
      <c r="BO45" s="154"/>
      <c r="BP45" s="154"/>
      <c r="BQ45" s="154"/>
      <c r="BR45" s="154"/>
      <c r="BS45" s="154"/>
      <c r="BT45" s="154"/>
      <c r="BU45" s="154"/>
      <c r="BV45" s="154"/>
      <c r="BW45" s="154"/>
      <c r="BX45" s="154"/>
      <c r="BY45" s="154"/>
      <c r="BZ45" s="154"/>
      <c r="CA45" s="154"/>
      <c r="CB45" s="154"/>
      <c r="CC45" s="154"/>
      <c r="CD45" s="154"/>
      <c r="CE45" s="154"/>
      <c r="CF45" s="154"/>
      <c r="CG45" s="154"/>
      <c r="CH45" s="154"/>
      <c r="CI45" s="154"/>
      <c r="CJ45" s="154"/>
      <c r="CK45" s="154"/>
      <c r="CL45" s="154"/>
      <c r="CM45" s="154"/>
      <c r="CN45" s="154"/>
      <c r="CO45" s="154"/>
      <c r="CP45" s="154"/>
      <c r="CQ45" s="154"/>
      <c r="CR45" s="154"/>
      <c r="CS45" s="154"/>
      <c r="CT45" s="154"/>
      <c r="CU45" s="154"/>
      <c r="CV45" s="154"/>
      <c r="CW45" s="154"/>
      <c r="CX45" s="154"/>
      <c r="CY45" s="154"/>
      <c r="CZ45" s="154"/>
      <c r="DA45" s="154"/>
      <c r="DB45" s="154"/>
      <c r="DC45" s="154"/>
      <c r="DD45" s="154"/>
      <c r="DE45" s="154"/>
      <c r="DF45" s="154"/>
      <c r="DG45" s="154"/>
      <c r="DH45" s="154"/>
      <c r="DI45" s="154"/>
      <c r="DJ45" s="154"/>
      <c r="DK45" s="154"/>
      <c r="DL45" s="154"/>
      <c r="DM45" s="154"/>
      <c r="DN45" s="154"/>
      <c r="DO45" s="154"/>
      <c r="DP45" s="154"/>
      <c r="DQ45" s="154"/>
      <c r="DR45" s="154"/>
      <c r="DS45" s="154"/>
      <c r="DT45" s="154"/>
      <c r="DU45" s="154"/>
      <c r="DV45" s="154"/>
      <c r="DW45" s="154"/>
      <c r="DX45" s="154"/>
      <c r="DY45" s="154"/>
      <c r="DZ45" s="154"/>
      <c r="EA45" s="154"/>
      <c r="EB45" s="154"/>
      <c r="EC45" s="154"/>
      <c r="ED45" s="154"/>
      <c r="EE45" s="154"/>
      <c r="EF45" s="154"/>
      <c r="EG45" s="154"/>
      <c r="EH45" s="154"/>
      <c r="EI45" s="154"/>
      <c r="EJ45" s="154"/>
      <c r="EK45" s="154"/>
      <c r="EL45" s="154"/>
      <c r="EM45" s="154"/>
      <c r="EN45" s="154"/>
      <c r="EO45" s="154"/>
      <c r="EP45" s="154"/>
      <c r="EQ45" s="154"/>
      <c r="ER45" s="154"/>
      <c r="ES45" s="154"/>
      <c r="ET45" s="154"/>
      <c r="EU45" s="154"/>
      <c r="EV45" s="154"/>
      <c r="EW45" s="154"/>
    </row>
    <row r="46" spans="1:153" ht="12.95" customHeight="1">
      <c r="B46" s="458" t="s">
        <v>885</v>
      </c>
      <c r="C46" s="454" t="s">
        <v>947</v>
      </c>
      <c r="D46" s="486">
        <f>HLOOKUP("TOWER:Tower Water Mass Flow Rate [kg/s](Hourly)",'Eplus results'!1:1048576,'graph data'!D4,FALSE)/(3.785/60)</f>
        <v>249.98685688257382</v>
      </c>
      <c r="P46" s="154"/>
      <c r="Q46" s="154"/>
      <c r="R46" s="384"/>
      <c r="S46" s="384"/>
      <c r="T46" s="385"/>
      <c r="U46" s="154"/>
      <c r="V46" s="154"/>
      <c r="W46" s="154"/>
      <c r="X46" s="154"/>
      <c r="Y46" s="154"/>
      <c r="Z46" s="154"/>
      <c r="AA46" s="154"/>
      <c r="AB46" s="154"/>
      <c r="AC46" s="154"/>
      <c r="AD46" s="154"/>
      <c r="AE46" s="154"/>
      <c r="AF46" s="367"/>
      <c r="AG46" s="368"/>
      <c r="AH46" s="368"/>
      <c r="AI46" s="368"/>
      <c r="AJ46" s="154"/>
      <c r="AK46" s="154"/>
      <c r="AL46" s="154"/>
      <c r="AM46" s="154"/>
      <c r="AN46" s="154"/>
      <c r="AO46" s="154"/>
      <c r="AP46" s="154"/>
      <c r="AQ46" s="154"/>
      <c r="AR46" s="154"/>
      <c r="AS46" s="154"/>
      <c r="AT46" s="154"/>
      <c r="AU46" s="154"/>
      <c r="AV46" s="154"/>
      <c r="AW46" s="154"/>
      <c r="AX46" s="154"/>
      <c r="AY46" s="154"/>
      <c r="AZ46" s="154"/>
      <c r="BA46" s="154"/>
      <c r="BB46" s="154"/>
      <c r="BC46" s="154"/>
      <c r="BD46" s="154"/>
      <c r="BE46" s="154"/>
      <c r="BF46" s="154"/>
      <c r="BG46" s="154"/>
      <c r="BH46" s="154"/>
      <c r="BI46" s="154"/>
      <c r="BJ46" s="154"/>
      <c r="BK46" s="154"/>
      <c r="BL46" s="154"/>
      <c r="BM46" s="154"/>
      <c r="BN46" s="154"/>
      <c r="BO46" s="154"/>
      <c r="BP46" s="154"/>
      <c r="BQ46" s="154"/>
      <c r="BR46" s="154"/>
      <c r="BS46" s="154"/>
      <c r="BT46" s="154"/>
      <c r="BU46" s="154"/>
      <c r="BV46" s="154"/>
      <c r="BW46" s="154"/>
      <c r="BX46" s="154"/>
      <c r="BY46" s="154"/>
      <c r="BZ46" s="154"/>
      <c r="CA46" s="154"/>
      <c r="CB46" s="154"/>
      <c r="CC46" s="154"/>
      <c r="CD46" s="154"/>
      <c r="CE46" s="154"/>
      <c r="CF46" s="154"/>
      <c r="CG46" s="154"/>
      <c r="CH46" s="154"/>
      <c r="CI46" s="154"/>
      <c r="CJ46" s="154"/>
      <c r="CK46" s="154"/>
      <c r="CL46" s="154"/>
      <c r="CM46" s="154"/>
      <c r="CN46" s="154"/>
      <c r="CO46" s="154"/>
      <c r="CP46" s="154"/>
      <c r="CQ46" s="154"/>
      <c r="CR46" s="154"/>
      <c r="CS46" s="154"/>
      <c r="CT46" s="154"/>
      <c r="CU46" s="154"/>
      <c r="CV46" s="154"/>
      <c r="CW46" s="154"/>
      <c r="CX46" s="154"/>
      <c r="CY46" s="154"/>
      <c r="CZ46" s="154"/>
      <c r="DA46" s="154"/>
      <c r="DB46" s="154"/>
      <c r="DC46" s="154"/>
      <c r="DD46" s="154"/>
      <c r="DE46" s="154"/>
      <c r="DF46" s="154"/>
      <c r="DG46" s="154"/>
      <c r="DH46" s="154"/>
      <c r="DI46" s="154"/>
      <c r="DJ46" s="154"/>
      <c r="DK46" s="154"/>
      <c r="DL46" s="154"/>
      <c r="DM46" s="154"/>
      <c r="DN46" s="154"/>
      <c r="DO46" s="154"/>
      <c r="DP46" s="154"/>
      <c r="DQ46" s="154"/>
      <c r="DR46" s="154"/>
      <c r="DS46" s="154"/>
      <c r="DT46" s="154"/>
      <c r="DU46" s="154"/>
      <c r="DV46" s="154"/>
      <c r="DW46" s="154"/>
      <c r="DX46" s="154"/>
      <c r="DY46" s="154"/>
      <c r="DZ46" s="154"/>
      <c r="EA46" s="154"/>
      <c r="EB46" s="154"/>
      <c r="EC46" s="154"/>
      <c r="ED46" s="154"/>
      <c r="EE46" s="154"/>
      <c r="EF46" s="154"/>
      <c r="EG46" s="154"/>
      <c r="EH46" s="154"/>
      <c r="EI46" s="154"/>
      <c r="EJ46" s="154"/>
      <c r="EK46" s="154"/>
      <c r="EL46" s="154"/>
      <c r="EM46" s="154"/>
      <c r="EN46" s="154"/>
      <c r="EO46" s="154"/>
      <c r="EP46" s="154"/>
      <c r="EQ46" s="154"/>
      <c r="ER46" s="154"/>
      <c r="ES46" s="154"/>
      <c r="ET46" s="154"/>
      <c r="EU46" s="154"/>
      <c r="EV46" s="154"/>
      <c r="EW46" s="154"/>
    </row>
    <row r="47" spans="1:153" ht="12.95" customHeight="1">
      <c r="B47" s="363" t="s">
        <v>886</v>
      </c>
      <c r="C47" s="360" t="s">
        <v>961</v>
      </c>
      <c r="D47" s="453">
        <f>HLOOKUP("TOWER:Tower Fan Electric Power [W](Hourly)",'Eplus results'!1:1048576,'graph data'!D4,FALSE)/1000</f>
        <v>3.8760147176203401</v>
      </c>
      <c r="P47" s="154"/>
      <c r="Q47" s="154"/>
      <c r="R47" s="154"/>
      <c r="S47" s="154"/>
      <c r="T47" s="154"/>
      <c r="U47" s="154"/>
      <c r="V47" s="154"/>
      <c r="W47" s="154"/>
      <c r="X47" s="154"/>
      <c r="Y47" s="154"/>
      <c r="Z47" s="154"/>
      <c r="AA47" s="154"/>
      <c r="AB47" s="154"/>
      <c r="AC47" s="154"/>
      <c r="AD47" s="154"/>
      <c r="AE47" s="154"/>
      <c r="AF47" s="367"/>
      <c r="AG47" s="368"/>
      <c r="AH47" s="368"/>
      <c r="AI47" s="368"/>
      <c r="AJ47" s="154"/>
      <c r="AK47" s="154"/>
      <c r="AL47" s="154"/>
      <c r="AM47" s="154"/>
      <c r="AN47" s="154"/>
      <c r="AO47" s="154"/>
      <c r="AP47" s="154"/>
      <c r="AQ47" s="154"/>
      <c r="AR47" s="154"/>
      <c r="AS47" s="154"/>
      <c r="AT47" s="154"/>
      <c r="AU47" s="154"/>
      <c r="AV47" s="154"/>
      <c r="AW47" s="154"/>
      <c r="AX47" s="154"/>
      <c r="AY47" s="154"/>
      <c r="AZ47" s="154"/>
      <c r="BA47" s="154"/>
      <c r="BB47" s="154"/>
      <c r="BC47" s="154"/>
      <c r="BD47" s="154"/>
      <c r="BE47" s="154"/>
      <c r="BF47" s="154"/>
      <c r="BG47" s="154"/>
      <c r="BH47" s="154"/>
      <c r="BI47" s="154"/>
      <c r="BJ47" s="154"/>
      <c r="BK47" s="154"/>
      <c r="BL47" s="154"/>
      <c r="BM47" s="154"/>
      <c r="BN47" s="154"/>
      <c r="BO47" s="154"/>
      <c r="BP47" s="154"/>
      <c r="BQ47" s="154"/>
      <c r="BR47" s="154"/>
      <c r="BS47" s="154"/>
      <c r="BT47" s="154"/>
      <c r="BU47" s="154"/>
      <c r="BV47" s="154"/>
      <c r="BW47" s="154"/>
      <c r="BX47" s="154"/>
      <c r="BY47" s="154"/>
      <c r="BZ47" s="154"/>
      <c r="CA47" s="154"/>
      <c r="CB47" s="154"/>
      <c r="CC47" s="154"/>
      <c r="CD47" s="154"/>
      <c r="CE47" s="154"/>
      <c r="CF47" s="154"/>
      <c r="CG47" s="154"/>
      <c r="CH47" s="154"/>
      <c r="CI47" s="154"/>
      <c r="CJ47" s="154"/>
      <c r="CK47" s="154"/>
      <c r="CL47" s="154"/>
      <c r="CM47" s="154"/>
      <c r="CN47" s="154"/>
      <c r="CO47" s="154"/>
      <c r="CP47" s="154"/>
      <c r="CQ47" s="154"/>
      <c r="CR47" s="154"/>
      <c r="CS47" s="154"/>
      <c r="CT47" s="154"/>
      <c r="CU47" s="154"/>
      <c r="CV47" s="154"/>
      <c r="CW47" s="154"/>
      <c r="CX47" s="154"/>
      <c r="CY47" s="154"/>
      <c r="CZ47" s="154"/>
      <c r="DA47" s="154"/>
      <c r="DB47" s="154"/>
      <c r="DC47" s="154"/>
      <c r="DD47" s="154"/>
      <c r="DE47" s="154"/>
      <c r="DF47" s="154"/>
      <c r="DG47" s="154"/>
      <c r="DH47" s="154"/>
      <c r="DI47" s="154"/>
      <c r="DJ47" s="154"/>
      <c r="DK47" s="154"/>
      <c r="DL47" s="154"/>
      <c r="DM47" s="154"/>
      <c r="DN47" s="154"/>
      <c r="DO47" s="154"/>
      <c r="DP47" s="154"/>
      <c r="DQ47" s="154"/>
      <c r="DR47" s="154"/>
      <c r="DS47" s="154"/>
      <c r="DT47" s="154"/>
      <c r="DU47" s="154"/>
      <c r="DV47" s="154"/>
      <c r="DW47" s="154"/>
      <c r="DX47" s="154"/>
      <c r="DY47" s="154"/>
      <c r="DZ47" s="154"/>
      <c r="EA47" s="154"/>
      <c r="EB47" s="154"/>
      <c r="EC47" s="154"/>
      <c r="ED47" s="154"/>
      <c r="EE47" s="154"/>
      <c r="EF47" s="154"/>
      <c r="EG47" s="154"/>
      <c r="EH47" s="154"/>
      <c r="EI47" s="154"/>
      <c r="EJ47" s="154"/>
      <c r="EK47" s="154"/>
      <c r="EL47" s="154"/>
      <c r="EM47" s="154"/>
      <c r="EN47" s="154"/>
      <c r="EO47" s="154"/>
      <c r="EP47" s="154"/>
      <c r="EQ47" s="154"/>
      <c r="ER47" s="154"/>
      <c r="ES47" s="154"/>
      <c r="ET47" s="154"/>
      <c r="EU47" s="154"/>
      <c r="EV47" s="154"/>
      <c r="EW47" s="154"/>
    </row>
    <row r="48" spans="1:153" ht="12.95" customHeight="1">
      <c r="B48" s="395" t="s">
        <v>887</v>
      </c>
      <c r="C48" s="364" t="s">
        <v>961</v>
      </c>
      <c r="D48" s="494">
        <f>HLOOKUP("TOWER:Tower Heat Transfer [W](Hourly)",'Eplus results'!1:1048576,'graph data'!D4,FALSE)/1000</f>
        <v>408.09561715556401</v>
      </c>
      <c r="P48" s="154"/>
      <c r="Q48" s="154"/>
      <c r="R48" s="154"/>
      <c r="S48" s="154"/>
      <c r="T48" s="154"/>
      <c r="U48" s="154"/>
      <c r="V48" s="154"/>
      <c r="W48" s="154"/>
      <c r="X48" s="154"/>
      <c r="Y48" s="154"/>
      <c r="Z48" s="154"/>
      <c r="AA48" s="154"/>
      <c r="AB48" s="154"/>
      <c r="AC48" s="154"/>
      <c r="AD48" s="154"/>
      <c r="AE48" s="154"/>
      <c r="AF48" s="367"/>
      <c r="AG48" s="368"/>
      <c r="AH48" s="368"/>
      <c r="AI48" s="368"/>
      <c r="AJ48" s="154"/>
      <c r="AK48" s="154"/>
      <c r="AL48" s="154"/>
      <c r="AM48" s="154"/>
      <c r="AN48" s="154"/>
      <c r="AO48" s="154"/>
      <c r="AP48" s="154"/>
      <c r="AQ48" s="154"/>
      <c r="AR48" s="154"/>
      <c r="AS48" s="154"/>
      <c r="AT48" s="154"/>
      <c r="AU48" s="154"/>
      <c r="AV48" s="154"/>
      <c r="AW48" s="154"/>
      <c r="AX48" s="154"/>
      <c r="AY48" s="154"/>
      <c r="AZ48" s="154"/>
      <c r="BA48" s="154"/>
      <c r="BB48" s="154"/>
      <c r="BC48" s="154"/>
      <c r="BD48" s="154"/>
      <c r="BE48" s="154"/>
      <c r="BF48" s="154"/>
      <c r="BG48" s="154"/>
      <c r="BH48" s="154"/>
      <c r="BI48" s="154"/>
      <c r="BJ48" s="154"/>
      <c r="BK48" s="154"/>
      <c r="BL48" s="154"/>
      <c r="BM48" s="154"/>
      <c r="BN48" s="154"/>
      <c r="BO48" s="154"/>
      <c r="BP48" s="154"/>
      <c r="BQ48" s="154"/>
      <c r="BR48" s="154"/>
      <c r="BS48" s="154"/>
      <c r="BT48" s="154"/>
      <c r="BU48" s="154"/>
      <c r="BV48" s="154"/>
      <c r="BW48" s="154"/>
      <c r="BX48" s="154"/>
      <c r="BY48" s="154"/>
      <c r="BZ48" s="154"/>
      <c r="CA48" s="154"/>
      <c r="CB48" s="154"/>
      <c r="CC48" s="154"/>
      <c r="CD48" s="154"/>
      <c r="CE48" s="154"/>
      <c r="CF48" s="154"/>
      <c r="CG48" s="154"/>
      <c r="CH48" s="154"/>
      <c r="CI48" s="154"/>
      <c r="CJ48" s="154"/>
      <c r="CK48" s="154"/>
      <c r="CL48" s="154"/>
      <c r="CM48" s="154"/>
      <c r="CN48" s="154"/>
      <c r="CO48" s="154"/>
      <c r="CP48" s="154"/>
      <c r="CQ48" s="154"/>
      <c r="CR48" s="154"/>
      <c r="CS48" s="154"/>
      <c r="CT48" s="154"/>
      <c r="CU48" s="154"/>
      <c r="CV48" s="154"/>
      <c r="CW48" s="154"/>
      <c r="CX48" s="154"/>
      <c r="CY48" s="154"/>
      <c r="CZ48" s="154"/>
      <c r="DA48" s="154"/>
      <c r="DB48" s="154"/>
      <c r="DC48" s="154"/>
      <c r="DD48" s="154"/>
      <c r="DE48" s="154"/>
      <c r="DF48" s="154"/>
      <c r="DG48" s="154"/>
      <c r="DH48" s="154"/>
      <c r="DI48" s="154"/>
      <c r="DJ48" s="154"/>
      <c r="DK48" s="154"/>
      <c r="DL48" s="154"/>
      <c r="DM48" s="154"/>
      <c r="DN48" s="154"/>
      <c r="DO48" s="154"/>
      <c r="DP48" s="154"/>
      <c r="DQ48" s="154"/>
      <c r="DR48" s="154"/>
      <c r="DS48" s="154"/>
      <c r="DT48" s="154"/>
      <c r="DU48" s="154"/>
      <c r="DV48" s="154"/>
      <c r="DW48" s="154"/>
      <c r="DX48" s="154"/>
      <c r="DY48" s="154"/>
      <c r="DZ48" s="154"/>
      <c r="EA48" s="154"/>
      <c r="EB48" s="154"/>
      <c r="EC48" s="154"/>
      <c r="ED48" s="154"/>
      <c r="EE48" s="154"/>
      <c r="EF48" s="154"/>
      <c r="EG48" s="154"/>
      <c r="EH48" s="154"/>
      <c r="EI48" s="154"/>
      <c r="EJ48" s="154"/>
      <c r="EK48" s="154"/>
      <c r="EL48" s="154"/>
      <c r="EM48" s="154"/>
      <c r="EN48" s="154"/>
      <c r="EO48" s="154"/>
      <c r="EP48" s="154"/>
      <c r="EQ48" s="154"/>
      <c r="ER48" s="154"/>
      <c r="ES48" s="154"/>
      <c r="ET48" s="154"/>
      <c r="EU48" s="154"/>
      <c r="EV48" s="154"/>
      <c r="EW48" s="154"/>
    </row>
    <row r="49" spans="2:153" s="178" customFormat="1" ht="12.95" customHeight="1">
      <c r="B49" s="459"/>
      <c r="C49" s="459"/>
      <c r="D49" s="459"/>
      <c r="F49" s="467" t="str">
        <f>B8</f>
        <v>Hour from starting simulation</v>
      </c>
      <c r="G49" s="441" t="s">
        <v>212</v>
      </c>
      <c r="H49" s="676">
        <f>D8</f>
        <v>15</v>
      </c>
      <c r="I49" s="677"/>
      <c r="P49" s="376"/>
      <c r="Q49" s="383"/>
      <c r="R49" s="386" t="s">
        <v>369</v>
      </c>
      <c r="S49" s="383"/>
      <c r="T49" s="383"/>
      <c r="U49" s="383"/>
      <c r="V49" s="376"/>
      <c r="W49" s="376"/>
      <c r="X49" s="376"/>
      <c r="Y49" s="376"/>
      <c r="Z49" s="376"/>
      <c r="AA49" s="376"/>
      <c r="AB49" s="376"/>
      <c r="AC49" s="376"/>
      <c r="AD49" s="376"/>
      <c r="AE49" s="376"/>
      <c r="AF49" s="376"/>
      <c r="AG49" s="376"/>
      <c r="AH49" s="376"/>
      <c r="AI49" s="376"/>
      <c r="AJ49" s="376"/>
      <c r="AK49" s="376"/>
      <c r="AL49" s="376"/>
      <c r="AM49" s="376"/>
      <c r="AN49" s="376"/>
      <c r="AO49" s="376"/>
      <c r="AP49" s="376"/>
      <c r="AQ49" s="376"/>
      <c r="AR49" s="376"/>
      <c r="AS49" s="376"/>
      <c r="AT49" s="376"/>
      <c r="AU49" s="376"/>
      <c r="AV49" s="376"/>
      <c r="AW49" s="376"/>
      <c r="AX49" s="376"/>
      <c r="AY49" s="376"/>
      <c r="AZ49" s="376"/>
      <c r="BA49" s="376"/>
      <c r="BB49" s="376"/>
      <c r="BC49" s="376"/>
      <c r="BD49" s="376"/>
      <c r="BE49" s="376"/>
      <c r="BF49" s="376"/>
      <c r="BG49" s="376"/>
      <c r="BH49" s="376"/>
      <c r="BI49" s="376"/>
      <c r="BJ49" s="376"/>
      <c r="BK49" s="376"/>
      <c r="BL49" s="376"/>
      <c r="BM49" s="376"/>
      <c r="BN49" s="376"/>
      <c r="BO49" s="376"/>
      <c r="BP49" s="376"/>
      <c r="BQ49" s="376"/>
      <c r="BR49" s="376"/>
      <c r="BS49" s="376"/>
      <c r="BT49" s="376"/>
      <c r="BU49" s="376"/>
      <c r="BV49" s="376"/>
      <c r="BW49" s="376"/>
      <c r="BX49" s="376"/>
      <c r="BY49" s="376"/>
      <c r="BZ49" s="376"/>
      <c r="CA49" s="376"/>
      <c r="CB49" s="376"/>
      <c r="CC49" s="376"/>
      <c r="CD49" s="376"/>
      <c r="CE49" s="376"/>
      <c r="CF49" s="376"/>
      <c r="CG49" s="376"/>
      <c r="CH49" s="376"/>
      <c r="CI49" s="376"/>
      <c r="CJ49" s="376"/>
      <c r="CK49" s="376"/>
      <c r="CL49" s="376"/>
      <c r="CM49" s="376"/>
      <c r="CN49" s="376"/>
      <c r="CO49" s="376"/>
      <c r="CP49" s="376"/>
      <c r="CQ49" s="376"/>
      <c r="CR49" s="376"/>
      <c r="CS49" s="376"/>
      <c r="CT49" s="376"/>
      <c r="CU49" s="376"/>
      <c r="CV49" s="376"/>
      <c r="CW49" s="376"/>
      <c r="CX49" s="376"/>
      <c r="CY49" s="376"/>
      <c r="CZ49" s="376"/>
      <c r="DA49" s="376"/>
      <c r="DB49" s="376"/>
      <c r="DC49" s="376"/>
      <c r="DD49" s="376"/>
      <c r="DE49" s="376"/>
      <c r="DF49" s="376"/>
      <c r="DG49" s="376"/>
      <c r="DH49" s="376"/>
      <c r="DI49" s="376"/>
      <c r="DJ49" s="376"/>
      <c r="DK49" s="376"/>
      <c r="DL49" s="376"/>
      <c r="DM49" s="376"/>
      <c r="DN49" s="376"/>
      <c r="DO49" s="376"/>
      <c r="DP49" s="376"/>
      <c r="DQ49" s="376"/>
      <c r="DR49" s="376"/>
      <c r="DS49" s="376"/>
      <c r="DT49" s="376"/>
      <c r="DU49" s="376"/>
      <c r="DV49" s="376"/>
      <c r="DW49" s="376"/>
      <c r="DX49" s="376"/>
      <c r="DY49" s="376"/>
      <c r="DZ49" s="376"/>
      <c r="EA49" s="376"/>
      <c r="EB49" s="376"/>
      <c r="EC49" s="376"/>
      <c r="ED49" s="376"/>
      <c r="EE49" s="376"/>
      <c r="EF49" s="376"/>
      <c r="EG49" s="376"/>
      <c r="EH49" s="376"/>
      <c r="EI49" s="376"/>
      <c r="EJ49" s="376"/>
      <c r="EK49" s="376"/>
      <c r="EL49" s="376"/>
      <c r="EM49" s="376"/>
      <c r="EN49" s="376"/>
      <c r="EO49" s="376"/>
      <c r="EP49" s="376"/>
      <c r="EQ49" s="376"/>
      <c r="ER49" s="376"/>
      <c r="ES49" s="376"/>
      <c r="ET49" s="376"/>
      <c r="EU49" s="376"/>
      <c r="EV49" s="376"/>
      <c r="EW49" s="376"/>
    </row>
    <row r="50" spans="2:153" s="176" customFormat="1" ht="12.95" customHeight="1">
      <c r="B50" s="673" t="s">
        <v>945</v>
      </c>
      <c r="C50" s="674"/>
      <c r="D50" s="675"/>
      <c r="F50" s="465"/>
      <c r="G50" s="463"/>
      <c r="H50" s="464" t="str">
        <f>Int_zone</f>
        <v>Core</v>
      </c>
      <c r="I50" s="466" t="str">
        <f>perim_zone</f>
        <v>West</v>
      </c>
      <c r="N50" s="177"/>
      <c r="O50" s="186"/>
      <c r="P50" s="377"/>
      <c r="Q50" s="387"/>
      <c r="R50" s="377"/>
      <c r="S50" s="377"/>
      <c r="T50" s="375"/>
      <c r="U50" s="377"/>
      <c r="V50" s="377"/>
      <c r="W50" s="375"/>
      <c r="X50" s="375"/>
      <c r="Y50" s="375"/>
      <c r="Z50" s="375"/>
      <c r="AA50" s="375"/>
      <c r="AB50" s="375"/>
      <c r="AC50" s="375"/>
      <c r="AD50" s="375"/>
      <c r="AE50" s="375"/>
      <c r="AF50" s="375"/>
      <c r="AG50" s="375"/>
      <c r="AH50" s="375"/>
      <c r="AI50" s="375"/>
      <c r="AJ50" s="375"/>
      <c r="AK50" s="375"/>
      <c r="AL50" s="375"/>
      <c r="AM50" s="375"/>
      <c r="AN50" s="375"/>
      <c r="AO50" s="375"/>
      <c r="AP50" s="375"/>
      <c r="AQ50" s="375"/>
      <c r="AR50" s="375"/>
      <c r="AS50" s="375"/>
      <c r="AT50" s="375"/>
      <c r="AU50" s="375"/>
      <c r="AV50" s="375"/>
      <c r="AW50" s="375"/>
      <c r="AX50" s="375"/>
      <c r="AY50" s="375"/>
      <c r="AZ50" s="375"/>
      <c r="BA50" s="375"/>
      <c r="BB50" s="375"/>
      <c r="BC50" s="375"/>
      <c r="BD50" s="375"/>
      <c r="BE50" s="375"/>
      <c r="BF50" s="375"/>
      <c r="BG50" s="375"/>
      <c r="BH50" s="375"/>
      <c r="BI50" s="375"/>
      <c r="BJ50" s="375"/>
      <c r="BK50" s="375"/>
      <c r="BL50" s="375"/>
      <c r="BM50" s="375"/>
      <c r="BN50" s="375"/>
      <c r="BO50" s="375"/>
      <c r="BP50" s="375"/>
      <c r="BQ50" s="375"/>
      <c r="BR50" s="375"/>
      <c r="BS50" s="375"/>
      <c r="BT50" s="375"/>
      <c r="BU50" s="375"/>
      <c r="BV50" s="375"/>
      <c r="BW50" s="375"/>
      <c r="BX50" s="375"/>
      <c r="BY50" s="375"/>
      <c r="BZ50" s="375"/>
      <c r="CA50" s="375"/>
      <c r="CB50" s="375"/>
      <c r="CC50" s="375"/>
      <c r="CD50" s="375"/>
      <c r="CE50" s="375"/>
      <c r="CF50" s="375"/>
      <c r="CG50" s="375"/>
      <c r="CH50" s="375"/>
      <c r="CI50" s="375"/>
      <c r="CJ50" s="375"/>
      <c r="CK50" s="375"/>
      <c r="CL50" s="375"/>
      <c r="CM50" s="375"/>
      <c r="CN50" s="375"/>
      <c r="CO50" s="375"/>
      <c r="CP50" s="375"/>
      <c r="CQ50" s="375"/>
      <c r="CR50" s="375"/>
      <c r="CS50" s="375"/>
      <c r="CT50" s="375"/>
      <c r="CU50" s="375"/>
      <c r="CV50" s="375"/>
      <c r="CW50" s="375"/>
      <c r="CX50" s="375"/>
      <c r="CY50" s="375"/>
      <c r="CZ50" s="375"/>
      <c r="DA50" s="375"/>
      <c r="DB50" s="375"/>
      <c r="DC50" s="375"/>
      <c r="DD50" s="375"/>
      <c r="DE50" s="375"/>
      <c r="DF50" s="375"/>
      <c r="DG50" s="375"/>
      <c r="DH50" s="375"/>
      <c r="DI50" s="375"/>
      <c r="DJ50" s="375"/>
      <c r="DK50" s="375"/>
      <c r="DL50" s="375"/>
      <c r="DM50" s="375"/>
      <c r="DN50" s="375"/>
      <c r="DO50" s="375"/>
      <c r="DP50" s="375"/>
      <c r="DQ50" s="375"/>
      <c r="DR50" s="375"/>
      <c r="DS50" s="375"/>
      <c r="DT50" s="375"/>
      <c r="DU50" s="375"/>
      <c r="DV50" s="375"/>
      <c r="DW50" s="375"/>
      <c r="DX50" s="375"/>
      <c r="DY50" s="375"/>
      <c r="DZ50" s="375"/>
      <c r="EA50" s="375"/>
      <c r="EB50" s="375"/>
      <c r="EC50" s="375"/>
      <c r="ED50" s="375"/>
      <c r="EE50" s="375"/>
      <c r="EF50" s="375"/>
      <c r="EG50" s="375"/>
      <c r="EH50" s="375"/>
      <c r="EI50" s="375"/>
      <c r="EJ50" s="375"/>
      <c r="EK50" s="375"/>
      <c r="EL50" s="375"/>
      <c r="EM50" s="375"/>
      <c r="EN50" s="375"/>
      <c r="EO50" s="375"/>
      <c r="EP50" s="375"/>
      <c r="EQ50" s="375"/>
      <c r="ER50" s="375"/>
      <c r="ES50" s="375"/>
      <c r="ET50" s="375"/>
      <c r="EU50" s="375"/>
      <c r="EV50" s="375"/>
      <c r="EW50" s="375"/>
    </row>
    <row r="51" spans="2:153" ht="12.95" customHeight="1">
      <c r="B51" s="394" t="s">
        <v>934</v>
      </c>
      <c r="C51" s="439"/>
      <c r="D51" s="460" t="s">
        <v>935</v>
      </c>
      <c r="F51" s="451" t="s">
        <v>866</v>
      </c>
      <c r="G51" s="468" t="s">
        <v>778</v>
      </c>
      <c r="H51" s="469">
        <f>HLOOKUP("GFCore:Zone/sys Thermostat Heating Setpoint [C](hourly)",'Eplus results'!1:1048576,'graph data'!D4,FALSE)*9/5+32</f>
        <v>69.999979999999994</v>
      </c>
      <c r="I51" s="470">
        <f>HLOOKUP("GFCore:Zone/sys Thermostat Heating Setpoint [C](hourly)",'Eplus results'!1:1048576,'graph data'!D4,FALSE)*9/5+32</f>
        <v>69.999979999999994</v>
      </c>
      <c r="J51" s="176"/>
      <c r="N51" s="188"/>
      <c r="O51" s="186"/>
      <c r="P51" s="377"/>
      <c r="Q51" s="388"/>
      <c r="R51" s="377"/>
      <c r="S51" s="377"/>
      <c r="T51" s="377"/>
      <c r="U51" s="377"/>
      <c r="V51" s="377"/>
      <c r="W51" s="154"/>
      <c r="X51" s="154"/>
      <c r="Y51" s="154"/>
      <c r="Z51" s="154"/>
      <c r="AA51" s="154"/>
      <c r="AB51" s="154"/>
      <c r="AC51" s="378"/>
      <c r="AD51" s="154"/>
      <c r="AE51" s="154"/>
      <c r="AF51" s="367"/>
      <c r="AG51" s="368"/>
      <c r="AH51" s="368"/>
      <c r="AI51" s="368"/>
      <c r="AJ51" s="154"/>
      <c r="AK51" s="154"/>
      <c r="AL51" s="154"/>
      <c r="AM51" s="154"/>
      <c r="AN51" s="154"/>
      <c r="AO51" s="154"/>
      <c r="AP51" s="154"/>
      <c r="AQ51" s="154"/>
      <c r="AR51" s="154"/>
      <c r="AS51" s="154"/>
      <c r="AT51" s="154"/>
      <c r="AU51" s="154"/>
      <c r="AV51" s="154"/>
      <c r="AW51" s="154"/>
      <c r="AX51" s="154"/>
      <c r="AY51" s="154"/>
      <c r="AZ51" s="154"/>
      <c r="BA51" s="154"/>
      <c r="BB51" s="154"/>
      <c r="BC51" s="154"/>
      <c r="BD51" s="154"/>
      <c r="BE51" s="154"/>
      <c r="BF51" s="154"/>
      <c r="BG51" s="154"/>
      <c r="BH51" s="154"/>
      <c r="BI51" s="154"/>
      <c r="BJ51" s="154"/>
      <c r="BK51" s="154"/>
      <c r="BL51" s="154"/>
      <c r="BM51" s="154"/>
      <c r="BN51" s="154"/>
      <c r="BO51" s="154"/>
      <c r="BP51" s="154"/>
      <c r="BQ51" s="154"/>
      <c r="BR51" s="154"/>
      <c r="BS51" s="154"/>
      <c r="BT51" s="154"/>
      <c r="BU51" s="154"/>
      <c r="BV51" s="154"/>
      <c r="BW51" s="154"/>
      <c r="BX51" s="154"/>
      <c r="BY51" s="154"/>
      <c r="BZ51" s="154"/>
      <c r="CA51" s="154"/>
      <c r="CB51" s="154"/>
      <c r="CC51" s="154"/>
      <c r="CD51" s="154"/>
      <c r="CE51" s="154"/>
      <c r="CF51" s="154"/>
      <c r="CG51" s="154"/>
      <c r="CH51" s="154"/>
      <c r="CI51" s="154"/>
      <c r="CJ51" s="154"/>
      <c r="CK51" s="154"/>
      <c r="CL51" s="154"/>
      <c r="CM51" s="154"/>
      <c r="CN51" s="154"/>
      <c r="CO51" s="154"/>
      <c r="CP51" s="154"/>
      <c r="CQ51" s="154"/>
      <c r="CR51" s="154"/>
      <c r="CS51" s="154"/>
      <c r="CT51" s="154"/>
      <c r="CU51" s="154"/>
      <c r="CV51" s="154"/>
      <c r="CW51" s="154"/>
      <c r="CX51" s="154"/>
      <c r="CY51" s="154"/>
      <c r="CZ51" s="154"/>
      <c r="DA51" s="154"/>
      <c r="DB51" s="154"/>
      <c r="DC51" s="154"/>
      <c r="DD51" s="154"/>
      <c r="DE51" s="154"/>
      <c r="DF51" s="154"/>
      <c r="DG51" s="154"/>
      <c r="DH51" s="154"/>
      <c r="DI51" s="154"/>
      <c r="DJ51" s="154"/>
      <c r="DK51" s="154"/>
      <c r="DL51" s="154"/>
      <c r="DM51" s="154"/>
      <c r="DN51" s="154"/>
      <c r="DO51" s="154"/>
      <c r="DP51" s="154"/>
      <c r="DQ51" s="154"/>
      <c r="DR51" s="154"/>
      <c r="DS51" s="154"/>
      <c r="DT51" s="154"/>
      <c r="DU51" s="154"/>
      <c r="DV51" s="154"/>
      <c r="DW51" s="154"/>
      <c r="DX51" s="154"/>
      <c r="DY51" s="154"/>
      <c r="DZ51" s="154"/>
      <c r="EA51" s="154"/>
      <c r="EB51" s="154"/>
      <c r="EC51" s="154"/>
      <c r="ED51" s="154"/>
      <c r="EE51" s="154"/>
      <c r="EF51" s="154"/>
      <c r="EG51" s="154"/>
      <c r="EH51" s="154"/>
      <c r="EI51" s="154"/>
      <c r="EJ51" s="154"/>
      <c r="EK51" s="154"/>
      <c r="EL51" s="154"/>
      <c r="EM51" s="154"/>
      <c r="EN51" s="154"/>
      <c r="EO51" s="154"/>
      <c r="EP51" s="154"/>
      <c r="EQ51" s="154"/>
      <c r="ER51" s="154"/>
      <c r="ES51" s="154"/>
      <c r="ET51" s="154"/>
      <c r="EU51" s="154"/>
      <c r="EV51" s="154"/>
      <c r="EW51" s="154"/>
    </row>
    <row r="52" spans="2:153" ht="12.95" customHeight="1">
      <c r="B52" s="482" t="str">
        <f>ROUND(HLOOKUP("AHU RELIEF AIR OUTLET:System Node Volume Flow Rate Standard Density [m3/s](Hourly)",'Eplus results'!1:1048576,'graph data'!D4,FALSE)*35.314667*60, 0)&amp;" cfm"</f>
        <v>9000 cfm</v>
      </c>
      <c r="C52" s="433"/>
      <c r="D52" s="484" t="str">
        <f>ROUND(HLOOKUP("AHU Air Loop Inlet:System Node Volume Flow Rate Standard Density [m3/s](Hourly)",'Eplus results'!1:1048576,'graph data'!D4,FALSE)*35.314667*60, 0)&amp;" cfm"</f>
        <v>41971 cfm</v>
      </c>
      <c r="E52" s="357"/>
      <c r="F52" s="451" t="s">
        <v>867</v>
      </c>
      <c r="G52" s="468" t="s">
        <v>778</v>
      </c>
      <c r="H52" s="469">
        <f>HLOOKUP("GFCore:Zone/sys Thermostat Cooling Setpoint [C](hourly)",'Eplus results'!1:1048576,'graph data'!D4,FALSE)*9/5+32</f>
        <v>75.000020000000006</v>
      </c>
      <c r="I52" s="470">
        <f>HLOOKUP("GFCore:Zone/sys Thermostat Cooling Setpoint [C](hourly)",'Eplus results'!1:1048576,'graph data'!D4,FALSE)*9/5+32</f>
        <v>75.000020000000006</v>
      </c>
      <c r="N52" s="188"/>
      <c r="O52" s="186"/>
      <c r="P52" s="377"/>
      <c r="Q52" s="388"/>
      <c r="R52" s="377"/>
      <c r="S52" s="377"/>
      <c r="T52" s="377"/>
      <c r="U52" s="377"/>
      <c r="V52" s="377"/>
      <c r="W52" s="154"/>
      <c r="X52" s="154"/>
      <c r="Y52" s="154"/>
      <c r="Z52" s="154"/>
      <c r="AA52" s="154"/>
      <c r="AB52" s="154"/>
      <c r="AC52" s="154"/>
      <c r="AD52" s="154"/>
      <c r="AE52" s="154"/>
      <c r="AF52" s="367"/>
      <c r="AG52" s="368"/>
      <c r="AH52" s="368"/>
      <c r="AI52" s="368"/>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54"/>
      <c r="BH52" s="154"/>
      <c r="BI52" s="154"/>
      <c r="BJ52" s="154"/>
      <c r="BK52" s="154"/>
      <c r="BL52" s="154"/>
      <c r="BM52" s="154"/>
      <c r="BN52" s="154"/>
      <c r="BO52" s="154"/>
      <c r="BP52" s="154"/>
      <c r="BQ52" s="154"/>
      <c r="BR52" s="154"/>
      <c r="BS52" s="154"/>
      <c r="BT52" s="154"/>
      <c r="BU52" s="154"/>
      <c r="BV52" s="154"/>
      <c r="BW52" s="154"/>
      <c r="BX52" s="154"/>
      <c r="BY52" s="154"/>
      <c r="BZ52" s="154"/>
      <c r="CA52" s="154"/>
      <c r="CB52" s="154"/>
      <c r="CC52" s="154"/>
      <c r="CD52" s="154"/>
      <c r="CE52" s="154"/>
      <c r="CF52" s="154"/>
      <c r="CG52" s="154"/>
      <c r="CH52" s="154"/>
      <c r="CI52" s="154"/>
      <c r="CJ52" s="154"/>
      <c r="CK52" s="154"/>
      <c r="CL52" s="154"/>
      <c r="CM52" s="154"/>
      <c r="CN52" s="154"/>
      <c r="CO52" s="154"/>
      <c r="CP52" s="154"/>
      <c r="CQ52" s="154"/>
      <c r="CR52" s="154"/>
      <c r="CS52" s="154"/>
      <c r="CT52" s="154"/>
      <c r="CU52" s="154"/>
      <c r="CV52" s="154"/>
      <c r="CW52" s="154"/>
      <c r="CX52" s="154"/>
      <c r="CY52" s="154"/>
      <c r="CZ52" s="154"/>
      <c r="DA52" s="154"/>
      <c r="DB52" s="154"/>
      <c r="DC52" s="154"/>
      <c r="DD52" s="154"/>
      <c r="DE52" s="154"/>
      <c r="DF52" s="154"/>
      <c r="DG52" s="154"/>
      <c r="DH52" s="154"/>
      <c r="DI52" s="154"/>
      <c r="DJ52" s="154"/>
      <c r="DK52" s="154"/>
      <c r="DL52" s="154"/>
      <c r="DM52" s="154"/>
      <c r="DN52" s="154"/>
      <c r="DO52" s="154"/>
      <c r="DP52" s="154"/>
      <c r="DQ52" s="154"/>
      <c r="DR52" s="154"/>
      <c r="DS52" s="154"/>
      <c r="DT52" s="154"/>
      <c r="DU52" s="154"/>
      <c r="DV52" s="154"/>
      <c r="DW52" s="154"/>
      <c r="DX52" s="154"/>
      <c r="DY52" s="154"/>
      <c r="DZ52" s="154"/>
      <c r="EA52" s="154"/>
      <c r="EB52" s="154"/>
      <c r="EC52" s="154"/>
      <c r="ED52" s="154"/>
      <c r="EE52" s="154"/>
      <c r="EF52" s="154"/>
      <c r="EG52" s="154"/>
      <c r="EH52" s="154"/>
      <c r="EI52" s="154"/>
      <c r="EJ52" s="154"/>
      <c r="EK52" s="154"/>
      <c r="EL52" s="154"/>
      <c r="EM52" s="154"/>
      <c r="EN52" s="154"/>
      <c r="EO52" s="154"/>
      <c r="EP52" s="154"/>
      <c r="EQ52" s="154"/>
      <c r="ER52" s="154"/>
      <c r="ES52" s="154"/>
      <c r="ET52" s="154"/>
      <c r="EU52" s="154"/>
      <c r="EV52" s="154"/>
      <c r="EW52" s="154"/>
    </row>
    <row r="53" spans="2:153" ht="12.95" customHeight="1">
      <c r="B53" s="482" t="str">
        <f>ROUND(HLOOKUP("AHU RELIEF AIR OUTLET:System Node Temp[C](Hourly)",'Eplus results'!1:1048576,'graph data'!D4,FALSE)*9/5+32, 1)&amp;" F"</f>
        <v>78.5 F</v>
      </c>
      <c r="C53" s="433"/>
      <c r="D53" s="484" t="str">
        <f>ROUND(HLOOKUP("AHU Air Loop Inlet:System Node Temp[C](Hourly)",'Eplus results'!1:1048576,'graph data'!D4,FALSE)*9/5+32, 1)&amp;" F"</f>
        <v>78.5 F</v>
      </c>
      <c r="F53" s="451" t="s">
        <v>869</v>
      </c>
      <c r="G53" s="360" t="s">
        <v>946</v>
      </c>
      <c r="H53" s="469">
        <f>35.314667*'graph data'!F46*60/D11</f>
        <v>0.41317749676370413</v>
      </c>
      <c r="I53" s="470">
        <f>35.314667*'graph data'!F45*60/D12</f>
        <v>1.6840835412688855</v>
      </c>
      <c r="N53" s="188"/>
      <c r="O53" s="186"/>
      <c r="P53" s="377"/>
      <c r="Q53" s="388"/>
      <c r="R53" s="377"/>
      <c r="S53" s="377"/>
      <c r="T53" s="377"/>
      <c r="U53" s="377"/>
      <c r="V53" s="377"/>
      <c r="W53" s="154"/>
      <c r="X53" s="154"/>
      <c r="Y53" s="154"/>
      <c r="Z53" s="154"/>
      <c r="AA53" s="154"/>
      <c r="AB53" s="154"/>
      <c r="AC53" s="378"/>
      <c r="AD53" s="154"/>
      <c r="AE53" s="154"/>
      <c r="AF53" s="367"/>
      <c r="AG53" s="368"/>
      <c r="AH53" s="368"/>
      <c r="AI53" s="368"/>
      <c r="AJ53" s="154"/>
      <c r="AK53" s="154"/>
      <c r="AL53" s="154"/>
      <c r="AM53" s="154"/>
      <c r="AN53" s="154"/>
      <c r="AO53" s="154"/>
      <c r="AP53" s="154"/>
      <c r="AQ53" s="154"/>
      <c r="AR53" s="154"/>
      <c r="AS53" s="154"/>
      <c r="AT53" s="154"/>
      <c r="AU53" s="154"/>
      <c r="AV53" s="154"/>
      <c r="AW53" s="154"/>
      <c r="AX53" s="154"/>
      <c r="AY53" s="154"/>
      <c r="AZ53" s="154"/>
      <c r="BA53" s="154"/>
      <c r="BB53" s="154"/>
      <c r="BC53" s="154"/>
      <c r="BD53" s="154"/>
      <c r="BE53" s="154"/>
      <c r="BF53" s="154"/>
      <c r="BG53" s="154"/>
      <c r="BH53" s="154"/>
      <c r="BI53" s="154"/>
      <c r="BJ53" s="154"/>
      <c r="BK53" s="154"/>
      <c r="BL53" s="154"/>
      <c r="BM53" s="154"/>
      <c r="BN53" s="154"/>
      <c r="BO53" s="154"/>
      <c r="BP53" s="154"/>
      <c r="BQ53" s="154"/>
      <c r="BR53" s="154"/>
      <c r="BS53" s="154"/>
      <c r="BT53" s="154"/>
      <c r="BU53" s="154"/>
      <c r="BV53" s="154"/>
      <c r="BW53" s="154"/>
      <c r="BX53" s="154"/>
      <c r="BY53" s="154"/>
      <c r="BZ53" s="154"/>
      <c r="CA53" s="154"/>
      <c r="CB53" s="154"/>
      <c r="CC53" s="154"/>
      <c r="CD53" s="154"/>
      <c r="CE53" s="154"/>
      <c r="CF53" s="154"/>
      <c r="CG53" s="154"/>
      <c r="CH53" s="154"/>
      <c r="CI53" s="154"/>
      <c r="CJ53" s="154"/>
      <c r="CK53" s="154"/>
      <c r="CL53" s="154"/>
      <c r="CM53" s="154"/>
      <c r="CN53" s="154"/>
      <c r="CO53" s="154"/>
      <c r="CP53" s="154"/>
      <c r="CQ53" s="154"/>
      <c r="CR53" s="154"/>
      <c r="CS53" s="154"/>
      <c r="CT53" s="154"/>
      <c r="CU53" s="154"/>
      <c r="CV53" s="154"/>
      <c r="CW53" s="154"/>
      <c r="CX53" s="154"/>
      <c r="CY53" s="154"/>
      <c r="CZ53" s="154"/>
      <c r="DA53" s="154"/>
      <c r="DB53" s="154"/>
      <c r="DC53" s="154"/>
      <c r="DD53" s="154"/>
      <c r="DE53" s="154"/>
      <c r="DF53" s="154"/>
      <c r="DG53" s="154"/>
      <c r="DH53" s="154"/>
      <c r="DI53" s="154"/>
      <c r="DJ53" s="154"/>
      <c r="DK53" s="154"/>
      <c r="DL53" s="154"/>
      <c r="DM53" s="154"/>
      <c r="DN53" s="154"/>
      <c r="DO53" s="154"/>
      <c r="DP53" s="154"/>
      <c r="DQ53" s="154"/>
      <c r="DR53" s="154"/>
      <c r="DS53" s="154"/>
      <c r="DT53" s="154"/>
      <c r="DU53" s="154"/>
      <c r="DV53" s="154"/>
      <c r="DW53" s="154"/>
      <c r="DX53" s="154"/>
      <c r="DY53" s="154"/>
      <c r="DZ53" s="154"/>
      <c r="EA53" s="154"/>
      <c r="EB53" s="154"/>
      <c r="EC53" s="154"/>
      <c r="ED53" s="154"/>
      <c r="EE53" s="154"/>
      <c r="EF53" s="154"/>
      <c r="EG53" s="154"/>
      <c r="EH53" s="154"/>
      <c r="EI53" s="154"/>
      <c r="EJ53" s="154"/>
      <c r="EK53" s="154"/>
      <c r="EL53" s="154"/>
      <c r="EM53" s="154"/>
      <c r="EN53" s="154"/>
      <c r="EO53" s="154"/>
      <c r="EP53" s="154"/>
      <c r="EQ53" s="154"/>
      <c r="ER53" s="154"/>
      <c r="ES53" s="154"/>
      <c r="ET53" s="154"/>
      <c r="EU53" s="154"/>
      <c r="EV53" s="154"/>
      <c r="EW53" s="154"/>
    </row>
    <row r="54" spans="2:153" ht="12.95" customHeight="1">
      <c r="B54" s="363" t="s">
        <v>937</v>
      </c>
      <c r="C54" s="433"/>
      <c r="D54" s="461"/>
      <c r="F54" s="451" t="s">
        <v>860</v>
      </c>
      <c r="G54" s="468" t="s">
        <v>778</v>
      </c>
      <c r="H54" s="471">
        <f>1.8*ROUND(HLOOKUP(floor&amp;Int_zone&amp;":Zone Operative Temperature [C](Hourly)",'Eplus results'!1:1048576,'graph data'!D4,FALSE), 1)+32</f>
        <v>77.180000000000007</v>
      </c>
      <c r="I54" s="472">
        <f>1.8*ROUND(HLOOKUP(floor&amp;perim_zone&amp;":Zone Operative Temperature [C](Hourly)",'Eplus results'!1:1048576,'graph data'!D4,FALSE), 1)+32</f>
        <v>80.960000000000008</v>
      </c>
      <c r="N54" s="183"/>
      <c r="O54" s="186"/>
      <c r="P54" s="377"/>
      <c r="Q54" s="388"/>
      <c r="R54" s="377"/>
      <c r="S54" s="377"/>
      <c r="T54" s="377"/>
      <c r="U54" s="377"/>
      <c r="V54" s="154"/>
      <c r="W54" s="154"/>
      <c r="X54" s="154"/>
      <c r="Y54" s="154"/>
      <c r="Z54" s="154"/>
      <c r="AA54" s="154"/>
      <c r="AB54" s="154"/>
      <c r="AC54" s="378"/>
      <c r="AD54" s="154"/>
      <c r="AE54" s="154"/>
      <c r="AF54" s="367"/>
      <c r="AG54" s="368"/>
      <c r="AH54" s="368"/>
      <c r="AI54" s="368"/>
      <c r="AJ54" s="154"/>
      <c r="AK54" s="154"/>
      <c r="AL54" s="154"/>
      <c r="AM54" s="154"/>
      <c r="AN54" s="154"/>
      <c r="AO54" s="154"/>
      <c r="AP54" s="154"/>
      <c r="AQ54" s="154"/>
      <c r="AR54" s="154"/>
      <c r="AS54" s="154"/>
      <c r="AT54" s="154"/>
      <c r="AU54" s="154"/>
      <c r="AV54" s="154"/>
      <c r="AW54" s="154"/>
      <c r="AX54" s="154"/>
      <c r="AY54" s="154"/>
      <c r="AZ54" s="154"/>
      <c r="BA54" s="154"/>
      <c r="BB54" s="154"/>
      <c r="BC54" s="154"/>
      <c r="BD54" s="154"/>
      <c r="BE54" s="154"/>
      <c r="BF54" s="154"/>
      <c r="BG54" s="154"/>
      <c r="BH54" s="154"/>
      <c r="BI54" s="154"/>
      <c r="BJ54" s="154"/>
      <c r="BK54" s="154"/>
      <c r="BL54" s="154"/>
      <c r="BM54" s="154"/>
      <c r="BN54" s="154"/>
      <c r="BO54" s="154"/>
      <c r="BP54" s="154"/>
      <c r="BQ54" s="154"/>
      <c r="BR54" s="154"/>
      <c r="BS54" s="154"/>
      <c r="BT54" s="154"/>
      <c r="BU54" s="154"/>
      <c r="BV54" s="154"/>
      <c r="BW54" s="154"/>
      <c r="BX54" s="154"/>
      <c r="BY54" s="154"/>
      <c r="BZ54" s="154"/>
      <c r="CA54" s="154"/>
      <c r="CB54" s="154"/>
      <c r="CC54" s="154"/>
      <c r="CD54" s="154"/>
      <c r="CE54" s="154"/>
      <c r="CF54" s="154"/>
      <c r="CG54" s="154"/>
      <c r="CH54" s="154"/>
      <c r="CI54" s="154"/>
      <c r="CJ54" s="154"/>
      <c r="CK54" s="154"/>
      <c r="CL54" s="154"/>
      <c r="CM54" s="154"/>
      <c r="CN54" s="154"/>
      <c r="CO54" s="154"/>
      <c r="CP54" s="154"/>
      <c r="CQ54" s="154"/>
      <c r="CR54" s="154"/>
      <c r="CS54" s="154"/>
      <c r="CT54" s="154"/>
      <c r="CU54" s="154"/>
      <c r="CV54" s="154"/>
      <c r="CW54" s="154"/>
      <c r="CX54" s="154"/>
      <c r="CY54" s="154"/>
      <c r="CZ54" s="154"/>
      <c r="DA54" s="154"/>
      <c r="DB54" s="154"/>
      <c r="DC54" s="154"/>
      <c r="DD54" s="154"/>
      <c r="DE54" s="154"/>
      <c r="DF54" s="154"/>
      <c r="DG54" s="154"/>
      <c r="DH54" s="154"/>
      <c r="DI54" s="154"/>
      <c r="DJ54" s="154"/>
      <c r="DK54" s="154"/>
      <c r="DL54" s="154"/>
      <c r="DM54" s="154"/>
      <c r="DN54" s="154"/>
      <c r="DO54" s="154"/>
      <c r="DP54" s="154"/>
      <c r="DQ54" s="154"/>
      <c r="DR54" s="154"/>
      <c r="DS54" s="154"/>
      <c r="DT54" s="154"/>
      <c r="DU54" s="154"/>
      <c r="DV54" s="154"/>
      <c r="DW54" s="154"/>
      <c r="DX54" s="154"/>
      <c r="DY54" s="154"/>
      <c r="DZ54" s="154"/>
      <c r="EA54" s="154"/>
      <c r="EB54" s="154"/>
      <c r="EC54" s="154"/>
      <c r="ED54" s="154"/>
      <c r="EE54" s="154"/>
      <c r="EF54" s="154"/>
      <c r="EG54" s="154"/>
      <c r="EH54" s="154"/>
      <c r="EI54" s="154"/>
      <c r="EJ54" s="154"/>
      <c r="EK54" s="154"/>
      <c r="EL54" s="154"/>
      <c r="EM54" s="154"/>
      <c r="EN54" s="154"/>
      <c r="EO54" s="154"/>
      <c r="EP54" s="154"/>
      <c r="EQ54" s="154"/>
      <c r="ER54" s="154"/>
      <c r="ES54" s="154"/>
      <c r="ET54" s="154"/>
      <c r="EU54" s="154"/>
      <c r="EV54" s="154"/>
      <c r="EW54" s="154"/>
    </row>
    <row r="55" spans="2:153" ht="12.95" customHeight="1">
      <c r="B55" s="482" t="str">
        <f>ROUND(HLOOKUP("AHU OUTSIDE AIR INLET:System Node Volume Flow Rate Standard Density [m3/s](Hourly)",'Eplus results'!1:1048576,'graph data'!D4,FALSE)*35.314667*60, 0)&amp;" cfm"</f>
        <v>9000 cfm</v>
      </c>
      <c r="C55" s="433"/>
      <c r="D55" s="461" t="s">
        <v>936</v>
      </c>
      <c r="F55" s="451" t="s">
        <v>861</v>
      </c>
      <c r="G55" s="468" t="s">
        <v>778</v>
      </c>
      <c r="H55" s="471">
        <f>1.8*ROUND(HLOOKUP(floor&amp;Int_zone&amp;":Zone Mean Radiant Temperature [C](Hourly)",'Eplus results'!1:1048576,'graph data'!D4,FALSE), 1)+32</f>
        <v>77.72</v>
      </c>
      <c r="I55" s="472">
        <f>1.8*ROUND(HLOOKUP(floor&amp;perim_zone&amp;":Zone Mean Radiant Temperature [C](Hourly)",'Eplus results'!1:1048576,'graph data'!D4,FALSE), 1)+32</f>
        <v>81.86</v>
      </c>
      <c r="N55" s="189"/>
      <c r="P55" s="154"/>
      <c r="Q55" s="154"/>
      <c r="R55" s="154"/>
      <c r="S55" s="154"/>
      <c r="T55" s="154"/>
      <c r="U55" s="154"/>
      <c r="V55" s="154"/>
      <c r="W55" s="154"/>
      <c r="X55" s="154"/>
      <c r="Y55" s="154"/>
      <c r="Z55" s="154"/>
      <c r="AA55" s="154"/>
      <c r="AB55" s="154"/>
      <c r="AC55" s="154"/>
      <c r="AD55" s="154"/>
      <c r="AE55" s="154"/>
      <c r="AF55" s="367"/>
      <c r="AG55" s="368"/>
      <c r="AH55" s="368"/>
      <c r="AI55" s="368"/>
      <c r="AJ55" s="154"/>
      <c r="AK55" s="154"/>
      <c r="AL55" s="154"/>
      <c r="AM55" s="154"/>
      <c r="AN55" s="154"/>
      <c r="AO55" s="154"/>
      <c r="AP55" s="154"/>
      <c r="AQ55" s="154"/>
      <c r="AR55" s="154"/>
      <c r="AS55" s="154"/>
      <c r="AT55" s="154"/>
      <c r="AU55" s="154"/>
      <c r="AV55" s="154"/>
      <c r="AW55" s="154"/>
      <c r="AX55" s="154"/>
      <c r="AY55" s="154"/>
      <c r="AZ55" s="154"/>
      <c r="BA55" s="154"/>
      <c r="BB55" s="154"/>
      <c r="BC55" s="154"/>
      <c r="BD55" s="154"/>
      <c r="BE55" s="154"/>
      <c r="BF55" s="154"/>
      <c r="BG55" s="154"/>
      <c r="BH55" s="154"/>
      <c r="BI55" s="154"/>
      <c r="BJ55" s="154"/>
      <c r="BK55" s="154"/>
      <c r="BL55" s="154"/>
      <c r="BM55" s="154"/>
      <c r="BN55" s="154"/>
      <c r="BO55" s="154"/>
      <c r="BP55" s="154"/>
      <c r="BQ55" s="154"/>
      <c r="BR55" s="154"/>
      <c r="BS55" s="154"/>
      <c r="BT55" s="154"/>
      <c r="BU55" s="154"/>
      <c r="BV55" s="154"/>
      <c r="BW55" s="154"/>
      <c r="BX55" s="154"/>
      <c r="BY55" s="154"/>
      <c r="BZ55" s="154"/>
      <c r="CA55" s="154"/>
      <c r="CB55" s="154"/>
      <c r="CC55" s="154"/>
      <c r="CD55" s="154"/>
      <c r="CE55" s="154"/>
      <c r="CF55" s="154"/>
      <c r="CG55" s="154"/>
      <c r="CH55" s="154"/>
      <c r="CI55" s="154"/>
      <c r="CJ55" s="154"/>
      <c r="CK55" s="154"/>
      <c r="CL55" s="154"/>
      <c r="CM55" s="154"/>
      <c r="CN55" s="154"/>
      <c r="CO55" s="154"/>
      <c r="CP55" s="154"/>
      <c r="CQ55" s="154"/>
      <c r="CR55" s="154"/>
      <c r="CS55" s="154"/>
      <c r="CT55" s="154"/>
      <c r="CU55" s="154"/>
      <c r="CV55" s="154"/>
      <c r="CW55" s="154"/>
      <c r="CX55" s="154"/>
      <c r="CY55" s="154"/>
      <c r="CZ55" s="154"/>
      <c r="DA55" s="154"/>
      <c r="DB55" s="154"/>
      <c r="DC55" s="154"/>
      <c r="DD55" s="154"/>
      <c r="DE55" s="154"/>
      <c r="DF55" s="154"/>
      <c r="DG55" s="154"/>
      <c r="DH55" s="154"/>
      <c r="DI55" s="154"/>
      <c r="DJ55" s="154"/>
      <c r="DK55" s="154"/>
      <c r="DL55" s="154"/>
      <c r="DM55" s="154"/>
      <c r="DN55" s="154"/>
      <c r="DO55" s="154"/>
      <c r="DP55" s="154"/>
      <c r="DQ55" s="154"/>
      <c r="DR55" s="154"/>
      <c r="DS55" s="154"/>
      <c r="DT55" s="154"/>
      <c r="DU55" s="154"/>
      <c r="DV55" s="154"/>
      <c r="DW55" s="154"/>
      <c r="DX55" s="154"/>
      <c r="DY55" s="154"/>
      <c r="DZ55" s="154"/>
      <c r="EA55" s="154"/>
      <c r="EB55" s="154"/>
      <c r="EC55" s="154"/>
      <c r="ED55" s="154"/>
      <c r="EE55" s="154"/>
      <c r="EF55" s="154"/>
      <c r="EG55" s="154"/>
      <c r="EH55" s="154"/>
      <c r="EI55" s="154"/>
      <c r="EJ55" s="154"/>
      <c r="EK55" s="154"/>
      <c r="EL55" s="154"/>
      <c r="EM55" s="154"/>
      <c r="EN55" s="154"/>
      <c r="EO55" s="154"/>
      <c r="EP55" s="154"/>
      <c r="EQ55" s="154"/>
      <c r="ER55" s="154"/>
      <c r="ES55" s="154"/>
      <c r="ET55" s="154"/>
      <c r="EU55" s="154"/>
      <c r="EV55" s="154"/>
      <c r="EW55" s="154"/>
    </row>
    <row r="56" spans="2:153" ht="12.95" customHeight="1">
      <c r="B56" s="482" t="str">
        <f>ROUND(HLOOKUP("Environment:Outdoor Dry Bulb [C](Hourly)",'Eplus results'!1:1048576,'graph data'!D4,FALSE)*9/5+32, 1)&amp;" F"</f>
        <v>100 F</v>
      </c>
      <c r="C56" s="433"/>
      <c r="D56" s="484" t="str">
        <f>ROUND(HLOOKUP("AHU MIXED AIR OUTLET:System Node Volume Flow Rate Standard Density [m3/s](Hourly)",'Eplus results'!1:1048576,'graph data'!D4,FALSE)*35.314667*60, 0)&amp;" cfm"</f>
        <v>41971 cfm</v>
      </c>
      <c r="F56" s="451" t="s">
        <v>862</v>
      </c>
      <c r="G56" s="360" t="s">
        <v>258</v>
      </c>
      <c r="H56" s="473">
        <f>39.36996*HLOOKUP(floor&amp;Int_zone&amp;":UF Transition Height [m](Hourly)",'Eplus results'!$1:$1048576,'graph data'!D4, FALSE)</f>
        <v>66.928932000000003</v>
      </c>
      <c r="I56" s="474">
        <f>39.36996*HLOOKUP(floor&amp;perim_zone&amp;":UF Transition Height [m](Hourly)",'Eplus results'!$1:$1048576,'graph data'!D4, FALSE)</f>
        <v>66.928932000000003</v>
      </c>
      <c r="N56" s="181"/>
      <c r="P56" s="154"/>
      <c r="Q56" s="154"/>
      <c r="R56" s="154"/>
      <c r="S56" s="154"/>
      <c r="T56" s="154"/>
      <c r="U56" s="154"/>
      <c r="V56" s="154"/>
      <c r="W56" s="154"/>
      <c r="X56" s="154"/>
      <c r="Y56" s="154"/>
      <c r="Z56" s="154"/>
      <c r="AA56" s="154"/>
      <c r="AB56" s="154"/>
      <c r="AC56" s="375"/>
      <c r="AD56" s="154"/>
      <c r="AE56" s="154"/>
      <c r="AF56" s="367"/>
      <c r="AG56" s="368"/>
      <c r="AH56" s="368"/>
      <c r="AI56" s="368"/>
      <c r="AJ56" s="154"/>
      <c r="AK56" s="154"/>
      <c r="AL56" s="154"/>
      <c r="AM56" s="154"/>
      <c r="AN56" s="154"/>
      <c r="AO56" s="154"/>
      <c r="AP56" s="154"/>
      <c r="AQ56" s="154"/>
      <c r="AR56" s="154"/>
      <c r="AS56" s="154"/>
      <c r="AT56" s="154"/>
      <c r="AU56" s="154"/>
      <c r="AV56" s="154"/>
      <c r="AW56" s="154"/>
      <c r="AX56" s="154"/>
      <c r="AY56" s="154"/>
      <c r="AZ56" s="154"/>
      <c r="BA56" s="154"/>
      <c r="BB56" s="154"/>
      <c r="BC56" s="154"/>
      <c r="BD56" s="154"/>
      <c r="BE56" s="154"/>
      <c r="BF56" s="154"/>
      <c r="BG56" s="154"/>
      <c r="BH56" s="154"/>
      <c r="BI56" s="154"/>
      <c r="BJ56" s="154"/>
      <c r="BK56" s="154"/>
      <c r="BL56" s="154"/>
      <c r="BM56" s="154"/>
      <c r="BN56" s="154"/>
      <c r="BO56" s="154"/>
      <c r="BP56" s="154"/>
      <c r="BQ56" s="154"/>
      <c r="BR56" s="154"/>
      <c r="BS56" s="154"/>
      <c r="BT56" s="154"/>
      <c r="BU56" s="154"/>
      <c r="BV56" s="154"/>
      <c r="BW56" s="154"/>
      <c r="BX56" s="154"/>
      <c r="BY56" s="154"/>
      <c r="BZ56" s="154"/>
      <c r="CA56" s="154"/>
      <c r="CB56" s="154"/>
      <c r="CC56" s="154"/>
      <c r="CD56" s="154"/>
      <c r="CE56" s="154"/>
      <c r="CF56" s="154"/>
      <c r="CG56" s="154"/>
      <c r="CH56" s="154"/>
      <c r="CI56" s="154"/>
      <c r="CJ56" s="154"/>
      <c r="CK56" s="154"/>
      <c r="CL56" s="154"/>
      <c r="CM56" s="154"/>
      <c r="CN56" s="154"/>
      <c r="CO56" s="154"/>
      <c r="CP56" s="154"/>
      <c r="CQ56" s="154"/>
      <c r="CR56" s="154"/>
      <c r="CS56" s="154"/>
      <c r="CT56" s="154"/>
      <c r="CU56" s="154"/>
      <c r="CV56" s="154"/>
      <c r="CW56" s="154"/>
      <c r="CX56" s="154"/>
      <c r="CY56" s="154"/>
      <c r="CZ56" s="154"/>
      <c r="DA56" s="154"/>
      <c r="DB56" s="154"/>
      <c r="DC56" s="154"/>
      <c r="DD56" s="154"/>
      <c r="DE56" s="154"/>
      <c r="DF56" s="154"/>
      <c r="DG56" s="154"/>
      <c r="DH56" s="154"/>
      <c r="DI56" s="154"/>
      <c r="DJ56" s="154"/>
      <c r="DK56" s="154"/>
      <c r="DL56" s="154"/>
      <c r="DM56" s="154"/>
      <c r="DN56" s="154"/>
      <c r="DO56" s="154"/>
      <c r="DP56" s="154"/>
      <c r="DQ56" s="154"/>
      <c r="DR56" s="154"/>
      <c r="DS56" s="154"/>
      <c r="DT56" s="154"/>
      <c r="DU56" s="154"/>
      <c r="DV56" s="154"/>
      <c r="DW56" s="154"/>
      <c r="DX56" s="154"/>
      <c r="DY56" s="154"/>
      <c r="DZ56" s="154"/>
      <c r="EA56" s="154"/>
      <c r="EB56" s="154"/>
      <c r="EC56" s="154"/>
      <c r="ED56" s="154"/>
      <c r="EE56" s="154"/>
      <c r="EF56" s="154"/>
      <c r="EG56" s="154"/>
      <c r="EH56" s="154"/>
      <c r="EI56" s="154"/>
      <c r="EJ56" s="154"/>
      <c r="EK56" s="154"/>
      <c r="EL56" s="154"/>
      <c r="EM56" s="154"/>
      <c r="EN56" s="154"/>
      <c r="EO56" s="154"/>
      <c r="EP56" s="154"/>
      <c r="EQ56" s="154"/>
      <c r="ER56" s="154"/>
      <c r="ES56" s="154"/>
      <c r="ET56" s="154"/>
      <c r="EU56" s="154"/>
      <c r="EV56" s="154"/>
      <c r="EW56" s="154"/>
    </row>
    <row r="57" spans="2:153" ht="12.95" customHeight="1">
      <c r="B57" s="483" t="e">
        <f>(('graph data'!C646)*100) &amp; "% OA damper position"</f>
        <v>#N/A</v>
      </c>
      <c r="C57" s="462"/>
      <c r="D57" s="485" t="str">
        <f>ROUND(HLOOKUP("AHU MIXED AIR OUTLET:System Node Temp[C](Hourly)",'Eplus results'!1:1048576,'graph data'!D4,FALSE)*9/5+32, 1)&amp;" F"</f>
        <v>83.1 F</v>
      </c>
      <c r="F57" s="451" t="s">
        <v>868</v>
      </c>
      <c r="G57" s="468" t="s">
        <v>778</v>
      </c>
      <c r="H57" s="475">
        <f>'graph data'!C174-'graph data'!C177</f>
        <v>2.5421083246418448</v>
      </c>
      <c r="I57" s="476">
        <f>'graph data'!C157-'graph data'!C160</f>
        <v>2.4331011010964971</v>
      </c>
      <c r="P57" s="154"/>
      <c r="Q57" s="154"/>
      <c r="R57" s="154"/>
      <c r="S57" s="154"/>
      <c r="T57" s="154"/>
      <c r="U57" s="154"/>
      <c r="V57" s="154"/>
      <c r="W57" s="154"/>
      <c r="X57" s="154"/>
      <c r="Y57" s="154"/>
      <c r="Z57" s="154"/>
      <c r="AA57" s="154"/>
      <c r="AB57" s="154"/>
      <c r="AC57" s="375"/>
      <c r="AD57" s="154"/>
      <c r="AE57" s="154"/>
      <c r="AF57" s="367"/>
      <c r="AG57" s="368"/>
      <c r="AH57" s="368"/>
      <c r="AI57" s="368"/>
      <c r="AJ57" s="154"/>
      <c r="AK57" s="154"/>
      <c r="AL57" s="154"/>
      <c r="AM57" s="154"/>
      <c r="AN57" s="154"/>
      <c r="AO57" s="154"/>
      <c r="AP57" s="154"/>
      <c r="AQ57" s="154"/>
      <c r="AR57" s="154"/>
      <c r="AS57" s="154"/>
      <c r="AT57" s="154"/>
      <c r="AU57" s="154"/>
      <c r="AV57" s="154"/>
      <c r="AW57" s="154"/>
      <c r="AX57" s="154"/>
      <c r="AY57" s="154"/>
      <c r="AZ57" s="154"/>
      <c r="BA57" s="154"/>
      <c r="BB57" s="154"/>
      <c r="BC57" s="154"/>
      <c r="BD57" s="154"/>
      <c r="BE57" s="154"/>
      <c r="BF57" s="154"/>
      <c r="BG57" s="154"/>
      <c r="BH57" s="154"/>
      <c r="BI57" s="154"/>
      <c r="BJ57" s="154"/>
      <c r="BK57" s="154"/>
      <c r="BL57" s="154"/>
      <c r="BM57" s="154"/>
      <c r="BN57" s="154"/>
      <c r="BO57" s="154"/>
      <c r="BP57" s="154"/>
      <c r="BQ57" s="154"/>
      <c r="BR57" s="154"/>
      <c r="BS57" s="154"/>
      <c r="BT57" s="154"/>
      <c r="BU57" s="154"/>
      <c r="BV57" s="154"/>
      <c r="BW57" s="154"/>
      <c r="BX57" s="154"/>
      <c r="BY57" s="154"/>
      <c r="BZ57" s="154"/>
      <c r="CA57" s="154"/>
      <c r="CB57" s="154"/>
      <c r="CC57" s="154"/>
      <c r="CD57" s="154"/>
      <c r="CE57" s="154"/>
      <c r="CF57" s="154"/>
      <c r="CG57" s="154"/>
      <c r="CH57" s="154"/>
      <c r="CI57" s="154"/>
      <c r="CJ57" s="154"/>
      <c r="CK57" s="154"/>
      <c r="CL57" s="154"/>
      <c r="CM57" s="154"/>
      <c r="CN57" s="154"/>
      <c r="CO57" s="154"/>
      <c r="CP57" s="154"/>
      <c r="CQ57" s="154"/>
      <c r="CR57" s="154"/>
      <c r="CS57" s="154"/>
      <c r="CT57" s="154"/>
      <c r="CU57" s="154"/>
      <c r="CV57" s="154"/>
      <c r="CW57" s="154"/>
      <c r="CX57" s="154"/>
      <c r="CY57" s="154"/>
      <c r="CZ57" s="154"/>
      <c r="DA57" s="154"/>
      <c r="DB57" s="154"/>
      <c r="DC57" s="154"/>
      <c r="DD57" s="154"/>
      <c r="DE57" s="154"/>
      <c r="DF57" s="154"/>
      <c r="DG57" s="154"/>
      <c r="DH57" s="154"/>
      <c r="DI57" s="154"/>
      <c r="DJ57" s="154"/>
      <c r="DK57" s="154"/>
      <c r="DL57" s="154"/>
      <c r="DM57" s="154"/>
      <c r="DN57" s="154"/>
      <c r="DO57" s="154"/>
      <c r="DP57" s="154"/>
      <c r="DQ57" s="154"/>
      <c r="DR57" s="154"/>
      <c r="DS57" s="154"/>
      <c r="DT57" s="154"/>
      <c r="DU57" s="154"/>
      <c r="DV57" s="154"/>
      <c r="DW57" s="154"/>
      <c r="DX57" s="154"/>
      <c r="DY57" s="154"/>
      <c r="DZ57" s="154"/>
      <c r="EA57" s="154"/>
      <c r="EB57" s="154"/>
      <c r="EC57" s="154"/>
      <c r="ED57" s="154"/>
      <c r="EE57" s="154"/>
      <c r="EF57" s="154"/>
      <c r="EG57" s="154"/>
      <c r="EH57" s="154"/>
      <c r="EI57" s="154"/>
      <c r="EJ57" s="154"/>
      <c r="EK57" s="154"/>
      <c r="EL57" s="154"/>
      <c r="EM57" s="154"/>
      <c r="EN57" s="154"/>
      <c r="EO57" s="154"/>
      <c r="EP57" s="154"/>
      <c r="EQ57" s="154"/>
      <c r="ER57" s="154"/>
      <c r="ES57" s="154"/>
      <c r="ET57" s="154"/>
      <c r="EU57" s="154"/>
      <c r="EV57" s="154"/>
      <c r="EW57" s="154"/>
    </row>
    <row r="58" spans="2:153" ht="12.95" customHeight="1">
      <c r="C58" s="433"/>
      <c r="F58" s="363" t="s">
        <v>923</v>
      </c>
      <c r="G58" s="360" t="s">
        <v>924</v>
      </c>
      <c r="H58" s="469">
        <f>IF(Int_zone="Core", 35.314667*'graph data'!F46*60/'imf input text'!E45, "NA")</f>
        <v>42.686325707816579</v>
      </c>
      <c r="I58" s="470">
        <f>IF(perim_zone="East", 35.314667*'graph data'!F45*60/'imf input text'!E18, IF(perim_zone="West", 35.314667*'graph data'!F45*60/'imf input text'!E19, IF(perim_zone="South", 35.314667*'graph data'!F45*60/'imf input text'!E20, IF(perim_zone="North", 35.314667*'graph data'!F45*60/'imf input text'!E21))))</f>
        <v>72.724247480279288</v>
      </c>
      <c r="P58" s="154"/>
      <c r="Q58" s="154"/>
      <c r="R58" s="154"/>
      <c r="S58" s="154"/>
      <c r="T58" s="154"/>
      <c r="U58" s="154"/>
      <c r="V58" s="154"/>
      <c r="W58" s="154"/>
      <c r="X58" s="154"/>
      <c r="Y58" s="154"/>
      <c r="Z58" s="154"/>
      <c r="AA58" s="154"/>
      <c r="AB58" s="154"/>
      <c r="AC58" s="375"/>
      <c r="AD58" s="154"/>
      <c r="AE58" s="154"/>
      <c r="AF58" s="367"/>
      <c r="AG58" s="368"/>
      <c r="AH58" s="368"/>
      <c r="AI58" s="368"/>
      <c r="AJ58" s="154"/>
      <c r="AK58" s="154"/>
      <c r="AL58" s="154"/>
      <c r="AM58" s="154"/>
      <c r="AN58" s="154"/>
      <c r="AO58" s="154"/>
      <c r="AP58" s="154"/>
      <c r="AQ58" s="154"/>
      <c r="AR58" s="154"/>
      <c r="AS58" s="154"/>
      <c r="AT58" s="154"/>
      <c r="AU58" s="154"/>
      <c r="AV58" s="154"/>
      <c r="AW58" s="154"/>
      <c r="AX58" s="154"/>
      <c r="AY58" s="154"/>
      <c r="AZ58" s="154"/>
      <c r="BA58" s="154"/>
      <c r="BB58" s="154"/>
      <c r="BC58" s="154"/>
      <c r="BD58" s="154"/>
      <c r="BE58" s="154"/>
      <c r="BF58" s="154"/>
      <c r="BG58" s="154"/>
      <c r="BH58" s="154"/>
      <c r="BI58" s="154"/>
      <c r="BJ58" s="154"/>
      <c r="BK58" s="154"/>
      <c r="BL58" s="154"/>
      <c r="BM58" s="154"/>
      <c r="BN58" s="154"/>
      <c r="BO58" s="154"/>
      <c r="BP58" s="154"/>
      <c r="BQ58" s="154"/>
      <c r="BR58" s="154"/>
      <c r="BS58" s="154"/>
      <c r="BT58" s="154"/>
      <c r="BU58" s="154"/>
      <c r="BV58" s="154"/>
      <c r="BW58" s="154"/>
      <c r="BX58" s="154"/>
      <c r="BY58" s="154"/>
      <c r="BZ58" s="154"/>
      <c r="CA58" s="154"/>
      <c r="CB58" s="154"/>
      <c r="CC58" s="154"/>
      <c r="CD58" s="154"/>
      <c r="CE58" s="154"/>
      <c r="CF58" s="154"/>
      <c r="CG58" s="154"/>
      <c r="CH58" s="154"/>
      <c r="CI58" s="154"/>
      <c r="CJ58" s="154"/>
      <c r="CK58" s="154"/>
      <c r="CL58" s="154"/>
      <c r="CM58" s="154"/>
      <c r="CN58" s="154"/>
      <c r="CO58" s="154"/>
      <c r="CP58" s="154"/>
      <c r="CQ58" s="154"/>
      <c r="CR58" s="154"/>
      <c r="CS58" s="154"/>
      <c r="CT58" s="154"/>
      <c r="CU58" s="154"/>
      <c r="CV58" s="154"/>
      <c r="CW58" s="154"/>
      <c r="CX58" s="154"/>
      <c r="CY58" s="154"/>
      <c r="CZ58" s="154"/>
      <c r="DA58" s="154"/>
      <c r="DB58" s="154"/>
      <c r="DC58" s="154"/>
      <c r="DD58" s="154"/>
      <c r="DE58" s="154"/>
      <c r="DF58" s="154"/>
      <c r="DG58" s="154"/>
      <c r="DH58" s="154"/>
      <c r="DI58" s="154"/>
      <c r="DJ58" s="154"/>
      <c r="DK58" s="154"/>
      <c r="DL58" s="154"/>
      <c r="DM58" s="154"/>
      <c r="DN58" s="154"/>
      <c r="DO58" s="154"/>
      <c r="DP58" s="154"/>
      <c r="DQ58" s="154"/>
      <c r="DR58" s="154"/>
      <c r="DS58" s="154"/>
      <c r="DT58" s="154"/>
      <c r="DU58" s="154"/>
      <c r="DV58" s="154"/>
      <c r="DW58" s="154"/>
      <c r="DX58" s="154"/>
      <c r="DY58" s="154"/>
      <c r="DZ58" s="154"/>
      <c r="EA58" s="154"/>
      <c r="EB58" s="154"/>
      <c r="EC58" s="154"/>
      <c r="ED58" s="154"/>
      <c r="EE58" s="154"/>
      <c r="EF58" s="154"/>
      <c r="EG58" s="154"/>
      <c r="EH58" s="154"/>
      <c r="EI58" s="154"/>
      <c r="EJ58" s="154"/>
      <c r="EK58" s="154"/>
      <c r="EL58" s="154"/>
      <c r="EM58" s="154"/>
      <c r="EN58" s="154"/>
      <c r="EO58" s="154"/>
      <c r="EP58" s="154"/>
      <c r="EQ58" s="154"/>
      <c r="ER58" s="154"/>
      <c r="ES58" s="154"/>
      <c r="ET58" s="154"/>
      <c r="EU58" s="154"/>
      <c r="EV58" s="154"/>
      <c r="EW58" s="154"/>
    </row>
    <row r="59" spans="2:153" ht="12.95" customHeight="1">
      <c r="B59" s="54"/>
      <c r="C59" s="433"/>
      <c r="D59" s="433"/>
      <c r="F59" s="495" t="s">
        <v>931</v>
      </c>
      <c r="G59" s="360" t="s">
        <v>212</v>
      </c>
      <c r="H59" s="469">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data'!D4,FALSE))=0,#N/A,HLOOKUP(floor&amp;"SP"&amp;Int_zone&amp;":Zone/Sys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0.52465270992019208</v>
      </c>
      <c r="I59" s="470">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data'!D4,FALSE))=0,#N/A,HLOOKUP(floor&amp;"SP"&amp;perim_zone&amp;":Zone/Sys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0.2708617371000846</v>
      </c>
      <c r="N59" s="154"/>
      <c r="P59" s="154"/>
      <c r="Q59" s="154"/>
      <c r="R59" s="154"/>
      <c r="S59" s="154"/>
      <c r="T59" s="154"/>
      <c r="U59" s="154"/>
      <c r="V59" s="154"/>
      <c r="W59" s="154"/>
      <c r="X59" s="154"/>
      <c r="Y59" s="154"/>
      <c r="Z59" s="154"/>
      <c r="AA59" s="154"/>
      <c r="AB59" s="154"/>
      <c r="AC59" s="375"/>
      <c r="AD59" s="154"/>
      <c r="AE59" s="154"/>
      <c r="AF59" s="367"/>
      <c r="AG59" s="368"/>
      <c r="AH59" s="368"/>
      <c r="AI59" s="368"/>
      <c r="AJ59" s="154"/>
      <c r="AK59" s="154"/>
      <c r="AL59" s="154"/>
      <c r="AM59" s="154"/>
      <c r="AN59" s="154"/>
      <c r="AO59" s="154"/>
      <c r="AP59" s="154"/>
      <c r="AQ59" s="154"/>
      <c r="AR59" s="154"/>
      <c r="AS59" s="154"/>
      <c r="AT59" s="154"/>
      <c r="AU59" s="154"/>
      <c r="AV59" s="154"/>
      <c r="AW59" s="154"/>
      <c r="AX59" s="154"/>
      <c r="AY59" s="154"/>
      <c r="AZ59" s="154"/>
      <c r="BA59" s="154"/>
      <c r="BB59" s="154"/>
      <c r="BC59" s="154"/>
      <c r="BD59" s="154"/>
      <c r="BE59" s="154"/>
      <c r="BF59" s="154"/>
      <c r="BG59" s="154"/>
      <c r="BH59" s="154"/>
      <c r="BI59" s="154"/>
      <c r="BJ59" s="154"/>
      <c r="BK59" s="154"/>
      <c r="BL59" s="154"/>
      <c r="BM59" s="154"/>
      <c r="BN59" s="154"/>
      <c r="BO59" s="154"/>
      <c r="BP59" s="154"/>
      <c r="BQ59" s="154"/>
      <c r="BR59" s="154"/>
      <c r="BS59" s="154"/>
      <c r="BT59" s="154"/>
      <c r="BU59" s="154"/>
      <c r="BV59" s="154"/>
      <c r="BW59" s="154"/>
      <c r="BX59" s="154"/>
      <c r="BY59" s="154"/>
      <c r="BZ59" s="154"/>
      <c r="CA59" s="154"/>
      <c r="CB59" s="154"/>
      <c r="CC59" s="154"/>
      <c r="CD59" s="154"/>
      <c r="CE59" s="154"/>
      <c r="CF59" s="154"/>
      <c r="CG59" s="154"/>
      <c r="CH59" s="154"/>
      <c r="CI59" s="154"/>
      <c r="CJ59" s="154"/>
      <c r="CK59" s="154"/>
      <c r="CL59" s="154"/>
      <c r="CM59" s="154"/>
      <c r="CN59" s="154"/>
      <c r="CO59" s="154"/>
      <c r="CP59" s="154"/>
      <c r="CQ59" s="154"/>
      <c r="CR59" s="154"/>
      <c r="CS59" s="154"/>
      <c r="CT59" s="154"/>
      <c r="CU59" s="154"/>
      <c r="CV59" s="154"/>
      <c r="CW59" s="154"/>
      <c r="CX59" s="154"/>
      <c r="CY59" s="154"/>
      <c r="CZ59" s="154"/>
      <c r="DA59" s="154"/>
      <c r="DB59" s="154"/>
      <c r="DC59" s="154"/>
      <c r="DD59" s="154"/>
      <c r="DE59" s="154"/>
      <c r="DF59" s="154"/>
      <c r="DG59" s="154"/>
      <c r="DH59" s="154"/>
      <c r="DI59" s="154"/>
      <c r="DJ59" s="154"/>
      <c r="DK59" s="154"/>
      <c r="DL59" s="154"/>
      <c r="DM59" s="154"/>
      <c r="DN59" s="154"/>
      <c r="DO59" s="154"/>
      <c r="DP59" s="154"/>
      <c r="DQ59" s="154"/>
      <c r="DR59" s="154"/>
      <c r="DS59" s="154"/>
      <c r="DT59" s="154"/>
      <c r="DU59" s="154"/>
      <c r="DV59" s="154"/>
      <c r="DW59" s="154"/>
      <c r="DX59" s="154"/>
      <c r="DY59" s="154"/>
      <c r="DZ59" s="154"/>
      <c r="EA59" s="154"/>
      <c r="EB59" s="154"/>
      <c r="EC59" s="154"/>
      <c r="ED59" s="154"/>
      <c r="EE59" s="154"/>
      <c r="EF59" s="154"/>
      <c r="EG59" s="154"/>
      <c r="EH59" s="154"/>
      <c r="EI59" s="154"/>
      <c r="EJ59" s="154"/>
      <c r="EK59" s="154"/>
      <c r="EL59" s="154"/>
      <c r="EM59" s="154"/>
      <c r="EN59" s="154"/>
      <c r="EO59" s="154"/>
      <c r="EP59" s="154"/>
      <c r="EQ59" s="154"/>
      <c r="ER59" s="154"/>
      <c r="ES59" s="154"/>
      <c r="ET59" s="154"/>
      <c r="EU59" s="154"/>
      <c r="EV59" s="154"/>
      <c r="EW59" s="154"/>
    </row>
    <row r="60" spans="2:153" ht="12.95" customHeight="1">
      <c r="D60" s="380"/>
      <c r="F60" s="363" t="s">
        <v>932</v>
      </c>
      <c r="G60" s="360" t="s">
        <v>212</v>
      </c>
      <c r="H60" s="469">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0.47534729007980797</v>
      </c>
      <c r="I60" s="470">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0.69262461850401502</v>
      </c>
      <c r="P60" s="154"/>
      <c r="Q60" s="154"/>
      <c r="R60" s="154"/>
      <c r="S60" s="154"/>
      <c r="T60" s="154"/>
      <c r="U60" s="154"/>
      <c r="V60" s="154"/>
      <c r="W60" s="154"/>
      <c r="X60" s="154"/>
      <c r="Y60" s="154"/>
      <c r="Z60" s="154"/>
      <c r="AA60" s="154"/>
      <c r="AB60" s="154"/>
      <c r="AC60" s="375"/>
      <c r="AD60" s="154"/>
      <c r="AE60" s="154"/>
      <c r="AF60" s="367"/>
      <c r="AG60" s="368"/>
      <c r="AH60" s="368"/>
      <c r="AI60" s="368"/>
      <c r="AJ60" s="154"/>
      <c r="AK60" s="154"/>
      <c r="AL60" s="154"/>
      <c r="AM60" s="154"/>
      <c r="AN60" s="154"/>
      <c r="AO60" s="154"/>
      <c r="AP60" s="154"/>
      <c r="AQ60" s="154"/>
      <c r="AR60" s="154"/>
      <c r="AS60" s="154"/>
      <c r="AT60" s="154"/>
      <c r="AU60" s="154"/>
      <c r="AV60" s="154"/>
      <c r="AW60" s="154"/>
      <c r="AX60" s="154"/>
      <c r="AY60" s="154"/>
      <c r="AZ60" s="154"/>
      <c r="BA60" s="154"/>
      <c r="BB60" s="154"/>
      <c r="BC60" s="154"/>
      <c r="BD60" s="154"/>
      <c r="BE60" s="154"/>
      <c r="BF60" s="154"/>
      <c r="BG60" s="154"/>
      <c r="BH60" s="154"/>
      <c r="BI60" s="154"/>
      <c r="BJ60" s="154"/>
      <c r="BK60" s="154"/>
      <c r="BL60" s="154"/>
      <c r="BM60" s="154"/>
      <c r="BN60" s="154"/>
      <c r="BO60" s="154"/>
      <c r="BP60" s="154"/>
      <c r="BQ60" s="154"/>
      <c r="BR60" s="154"/>
      <c r="BS60" s="154"/>
      <c r="BT60" s="154"/>
      <c r="BU60" s="154"/>
      <c r="BV60" s="154"/>
      <c r="BW60" s="154"/>
      <c r="BX60" s="154"/>
      <c r="BY60" s="154"/>
      <c r="BZ60" s="154"/>
      <c r="CA60" s="154"/>
      <c r="CB60" s="154"/>
      <c r="CC60" s="154"/>
      <c r="CD60" s="154"/>
      <c r="CE60" s="154"/>
      <c r="CF60" s="154"/>
      <c r="CG60" s="154"/>
      <c r="CH60" s="154"/>
      <c r="CI60" s="154"/>
      <c r="CJ60" s="154"/>
      <c r="CK60" s="154"/>
      <c r="CL60" s="154"/>
      <c r="CM60" s="154"/>
      <c r="CN60" s="154"/>
      <c r="CO60" s="154"/>
      <c r="CP60" s="154"/>
      <c r="CQ60" s="154"/>
      <c r="CR60" s="154"/>
      <c r="CS60" s="154"/>
      <c r="CT60" s="154"/>
      <c r="CU60" s="154"/>
      <c r="CV60" s="154"/>
      <c r="CW60" s="154"/>
      <c r="CX60" s="154"/>
      <c r="CY60" s="154"/>
      <c r="CZ60" s="154"/>
      <c r="DA60" s="154"/>
      <c r="DB60" s="154"/>
      <c r="DC60" s="154"/>
      <c r="DD60" s="154"/>
      <c r="DE60" s="154"/>
      <c r="DF60" s="154"/>
      <c r="DG60" s="154"/>
      <c r="DH60" s="154"/>
      <c r="DI60" s="154"/>
      <c r="DJ60" s="154"/>
      <c r="DK60" s="154"/>
      <c r="DL60" s="154"/>
      <c r="DM60" s="154"/>
      <c r="DN60" s="154"/>
      <c r="DO60" s="154"/>
      <c r="DP60" s="154"/>
      <c r="DQ60" s="154"/>
      <c r="DR60" s="154"/>
      <c r="DS60" s="154"/>
      <c r="DT60" s="154"/>
      <c r="DU60" s="154"/>
      <c r="DV60" s="154"/>
      <c r="DW60" s="154"/>
      <c r="DX60" s="154"/>
      <c r="DY60" s="154"/>
      <c r="DZ60" s="154"/>
      <c r="EA60" s="154"/>
      <c r="EB60" s="154"/>
      <c r="EC60" s="154"/>
      <c r="ED60" s="154"/>
      <c r="EE60" s="154"/>
      <c r="EF60" s="154"/>
      <c r="EG60" s="154"/>
      <c r="EH60" s="154"/>
      <c r="EI60" s="154"/>
      <c r="EJ60" s="154"/>
      <c r="EK60" s="154"/>
      <c r="EL60" s="154"/>
      <c r="EM60" s="154"/>
      <c r="EN60" s="154"/>
      <c r="EO60" s="154"/>
      <c r="EP60" s="154"/>
      <c r="EQ60" s="154"/>
      <c r="ER60" s="154"/>
      <c r="ES60" s="154"/>
      <c r="ET60" s="154"/>
      <c r="EU60" s="154"/>
      <c r="EV60" s="154"/>
      <c r="EW60" s="154"/>
    </row>
    <row r="61" spans="2:153" ht="12.95" customHeight="1">
      <c r="D61" s="380"/>
      <c r="F61" s="395" t="s">
        <v>933</v>
      </c>
      <c r="G61" s="364" t="s">
        <v>212</v>
      </c>
      <c r="H61" s="477">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data'!D4,FALSE))=0,#N/A,HLOOKUP(floor&amp;"RP"&amp;Int_zone&amp;":Zone/Sys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v>
      </c>
      <c r="I61" s="478">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data'!D4,FALSE))=0,#N/A,HLOOKUP(floor&amp;"RP"&amp;perim_zone&amp;":Zone/Sys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3.6513644395900449E-2</v>
      </c>
      <c r="P61" s="154"/>
      <c r="Q61" s="154"/>
      <c r="R61" s="154"/>
      <c r="S61" s="154"/>
      <c r="T61" s="154"/>
      <c r="U61" s="154"/>
      <c r="V61" s="154"/>
      <c r="W61" s="154"/>
      <c r="X61" s="154"/>
      <c r="Y61" s="154"/>
      <c r="Z61" s="154"/>
      <c r="AA61" s="154"/>
      <c r="AB61" s="154"/>
      <c r="AC61" s="154"/>
      <c r="AD61" s="154"/>
      <c r="AE61" s="154"/>
      <c r="AF61" s="367"/>
      <c r="AG61" s="368"/>
      <c r="AH61" s="368"/>
      <c r="AI61" s="368"/>
      <c r="AJ61" s="154"/>
      <c r="AK61" s="154"/>
      <c r="AL61" s="154"/>
      <c r="AM61" s="154"/>
      <c r="AN61" s="154"/>
      <c r="AO61" s="154"/>
      <c r="AP61" s="154"/>
      <c r="AQ61" s="154"/>
      <c r="AR61" s="154"/>
      <c r="AS61" s="154"/>
      <c r="AT61" s="154"/>
      <c r="AU61" s="154"/>
      <c r="AV61" s="154"/>
      <c r="AW61" s="154"/>
      <c r="AX61" s="154"/>
      <c r="AY61" s="154"/>
      <c r="AZ61" s="154"/>
      <c r="BA61" s="154"/>
      <c r="BB61" s="154"/>
      <c r="BC61" s="154"/>
      <c r="BD61" s="154"/>
      <c r="BE61" s="154"/>
      <c r="BF61" s="154"/>
      <c r="BG61" s="154"/>
      <c r="BH61" s="154"/>
      <c r="BI61" s="154"/>
      <c r="BJ61" s="154"/>
      <c r="BK61" s="154"/>
      <c r="BL61" s="154"/>
      <c r="BM61" s="154"/>
      <c r="BN61" s="154"/>
      <c r="BO61" s="154"/>
      <c r="BP61" s="154"/>
      <c r="BQ61" s="154"/>
      <c r="BR61" s="154"/>
      <c r="BS61" s="154"/>
      <c r="BT61" s="154"/>
      <c r="BU61" s="154"/>
      <c r="BV61" s="154"/>
      <c r="BW61" s="154"/>
      <c r="BX61" s="154"/>
      <c r="BY61" s="154"/>
      <c r="BZ61" s="154"/>
      <c r="CA61" s="154"/>
      <c r="CB61" s="154"/>
      <c r="CC61" s="154"/>
      <c r="CD61" s="154"/>
      <c r="CE61" s="154"/>
      <c r="CF61" s="154"/>
      <c r="CG61" s="154"/>
      <c r="CH61" s="154"/>
      <c r="CI61" s="154"/>
      <c r="CJ61" s="154"/>
      <c r="CK61" s="154"/>
      <c r="CL61" s="154"/>
      <c r="CM61" s="154"/>
      <c r="CN61" s="154"/>
      <c r="CO61" s="154"/>
      <c r="CP61" s="154"/>
      <c r="CQ61" s="154"/>
      <c r="CR61" s="154"/>
      <c r="CS61" s="154"/>
      <c r="CT61" s="154"/>
      <c r="CU61" s="154"/>
      <c r="CV61" s="154"/>
      <c r="CW61" s="154"/>
      <c r="CX61" s="154"/>
      <c r="CY61" s="154"/>
      <c r="CZ61" s="154"/>
      <c r="DA61" s="154"/>
      <c r="DB61" s="154"/>
      <c r="DC61" s="154"/>
      <c r="DD61" s="154"/>
      <c r="DE61" s="154"/>
      <c r="DF61" s="154"/>
      <c r="DG61" s="154"/>
      <c r="DH61" s="154"/>
      <c r="DI61" s="154"/>
      <c r="DJ61" s="154"/>
      <c r="DK61" s="154"/>
      <c r="DL61" s="154"/>
      <c r="DM61" s="154"/>
      <c r="DN61" s="154"/>
      <c r="DO61" s="154"/>
      <c r="DP61" s="154"/>
      <c r="DQ61" s="154"/>
      <c r="DR61" s="154"/>
      <c r="DS61" s="154"/>
      <c r="DT61" s="154"/>
      <c r="DU61" s="154"/>
      <c r="DV61" s="154"/>
      <c r="DW61" s="154"/>
      <c r="DX61" s="154"/>
      <c r="DY61" s="154"/>
      <c r="DZ61" s="154"/>
      <c r="EA61" s="154"/>
      <c r="EB61" s="154"/>
      <c r="EC61" s="154"/>
      <c r="ED61" s="154"/>
      <c r="EE61" s="154"/>
      <c r="EF61" s="154"/>
      <c r="EG61" s="154"/>
      <c r="EH61" s="154"/>
      <c r="EI61" s="154"/>
      <c r="EJ61" s="154"/>
      <c r="EK61" s="154"/>
      <c r="EL61" s="154"/>
      <c r="EM61" s="154"/>
      <c r="EN61" s="154"/>
      <c r="EO61" s="154"/>
      <c r="EP61" s="154"/>
      <c r="EQ61" s="154"/>
      <c r="ER61" s="154"/>
      <c r="ES61" s="154"/>
      <c r="ET61" s="154"/>
      <c r="EU61" s="154"/>
      <c r="EV61" s="154"/>
      <c r="EW61" s="154"/>
    </row>
    <row r="62" spans="2:153" ht="12.95" customHeight="1">
      <c r="P62" s="154"/>
      <c r="Q62" s="154"/>
      <c r="R62" s="154"/>
      <c r="S62" s="154"/>
      <c r="T62" s="154"/>
      <c r="U62" s="154"/>
      <c r="V62" s="154"/>
      <c r="W62" s="154"/>
      <c r="X62" s="154"/>
      <c r="Y62" s="154"/>
      <c r="Z62" s="154"/>
      <c r="AA62" s="154"/>
      <c r="AB62" s="154"/>
      <c r="AC62" s="154"/>
      <c r="AD62" s="154"/>
      <c r="AE62" s="154"/>
      <c r="AF62" s="367"/>
      <c r="AG62" s="368"/>
      <c r="AH62" s="368"/>
      <c r="AI62" s="368"/>
      <c r="AJ62" s="154"/>
      <c r="AK62" s="154"/>
      <c r="AL62" s="154"/>
      <c r="AM62" s="154"/>
      <c r="AN62" s="154"/>
      <c r="AO62" s="154"/>
      <c r="AP62" s="154"/>
      <c r="AQ62" s="154"/>
      <c r="AR62" s="154"/>
      <c r="AS62" s="154"/>
      <c r="AT62" s="154"/>
      <c r="AU62" s="154"/>
      <c r="AV62" s="154"/>
      <c r="AW62" s="154"/>
      <c r="AX62" s="154"/>
      <c r="AY62" s="154"/>
      <c r="AZ62" s="154"/>
      <c r="BA62" s="154"/>
      <c r="BB62" s="154"/>
      <c r="BC62" s="154"/>
      <c r="BD62" s="154"/>
      <c r="BE62" s="154"/>
      <c r="BF62" s="154"/>
      <c r="BG62" s="154"/>
      <c r="BH62" s="154"/>
      <c r="BI62" s="154"/>
      <c r="BJ62" s="154"/>
      <c r="BK62" s="154"/>
      <c r="BL62" s="154"/>
      <c r="BM62" s="154"/>
      <c r="BN62" s="154"/>
      <c r="BO62" s="154"/>
      <c r="BP62" s="154"/>
      <c r="BQ62" s="154"/>
      <c r="BR62" s="154"/>
      <c r="BS62" s="154"/>
      <c r="BT62" s="154"/>
      <c r="BU62" s="154"/>
      <c r="BV62" s="154"/>
      <c r="BW62" s="154"/>
      <c r="BX62" s="154"/>
      <c r="BY62" s="154"/>
      <c r="BZ62" s="154"/>
      <c r="CA62" s="154"/>
      <c r="CB62" s="154"/>
      <c r="CC62" s="154"/>
      <c r="CD62" s="154"/>
      <c r="CE62" s="154"/>
      <c r="CF62" s="154"/>
      <c r="CG62" s="154"/>
      <c r="CH62" s="154"/>
      <c r="CI62" s="154"/>
      <c r="CJ62" s="154"/>
      <c r="CK62" s="154"/>
      <c r="CL62" s="154"/>
      <c r="CM62" s="154"/>
      <c r="CN62" s="154"/>
      <c r="CO62" s="154"/>
      <c r="CP62" s="154"/>
      <c r="CQ62" s="154"/>
      <c r="CR62" s="154"/>
      <c r="CS62" s="154"/>
      <c r="CT62" s="154"/>
      <c r="CU62" s="154"/>
      <c r="CV62" s="154"/>
      <c r="CW62" s="154"/>
      <c r="CX62" s="154"/>
      <c r="CY62" s="154"/>
      <c r="CZ62" s="154"/>
      <c r="DA62" s="154"/>
      <c r="DB62" s="154"/>
      <c r="DC62" s="154"/>
      <c r="DD62" s="154"/>
      <c r="DE62" s="154"/>
      <c r="DF62" s="154"/>
      <c r="DG62" s="154"/>
      <c r="DH62" s="154"/>
      <c r="DI62" s="154"/>
      <c r="DJ62" s="154"/>
      <c r="DK62" s="154"/>
      <c r="DL62" s="154"/>
      <c r="DM62" s="154"/>
      <c r="DN62" s="154"/>
      <c r="DO62" s="154"/>
      <c r="DP62" s="154"/>
      <c r="DQ62" s="154"/>
      <c r="DR62" s="154"/>
      <c r="DS62" s="154"/>
      <c r="DT62" s="154"/>
      <c r="DU62" s="154"/>
      <c r="DV62" s="154"/>
      <c r="DW62" s="154"/>
      <c r="DX62" s="154"/>
      <c r="DY62" s="154"/>
      <c r="DZ62" s="154"/>
      <c r="EA62" s="154"/>
      <c r="EB62" s="154"/>
      <c r="EC62" s="154"/>
      <c r="ED62" s="154"/>
      <c r="EE62" s="154"/>
      <c r="EF62" s="154"/>
      <c r="EG62" s="154"/>
      <c r="EH62" s="154"/>
      <c r="EI62" s="154"/>
      <c r="EJ62" s="154"/>
      <c r="EK62" s="154"/>
      <c r="EL62" s="154"/>
      <c r="EM62" s="154"/>
      <c r="EN62" s="154"/>
      <c r="EO62" s="154"/>
      <c r="EP62" s="154"/>
      <c r="EQ62" s="154"/>
      <c r="ER62" s="154"/>
      <c r="ES62" s="154"/>
      <c r="ET62" s="154"/>
      <c r="EU62" s="154"/>
      <c r="EV62" s="154"/>
      <c r="EW62" s="154"/>
    </row>
    <row r="63" spans="2:153" ht="12.95" customHeight="1">
      <c r="P63" s="154"/>
      <c r="Q63" s="154"/>
      <c r="R63" s="154"/>
      <c r="S63" s="154"/>
      <c r="T63" s="154"/>
      <c r="U63" s="154"/>
      <c r="V63" s="154"/>
      <c r="W63" s="154"/>
      <c r="X63" s="154"/>
      <c r="Y63" s="154"/>
      <c r="Z63" s="154"/>
      <c r="AA63" s="154"/>
      <c r="AB63" s="154"/>
      <c r="AC63" s="154"/>
      <c r="AD63" s="154"/>
      <c r="AE63" s="154"/>
      <c r="AF63" s="367"/>
      <c r="AG63" s="368"/>
      <c r="AH63" s="368"/>
      <c r="AI63" s="368"/>
      <c r="AJ63" s="154"/>
      <c r="AK63" s="154"/>
      <c r="AL63" s="154"/>
      <c r="AM63" s="154"/>
      <c r="AN63" s="154"/>
      <c r="AO63" s="154"/>
      <c r="AP63" s="154"/>
      <c r="AQ63" s="154"/>
      <c r="AR63" s="154"/>
      <c r="AS63" s="154"/>
      <c r="AT63" s="154"/>
      <c r="AU63" s="154"/>
      <c r="AV63" s="154"/>
      <c r="AW63" s="154"/>
      <c r="AX63" s="154"/>
      <c r="AY63" s="154"/>
      <c r="AZ63" s="154"/>
      <c r="BA63" s="154"/>
      <c r="BB63" s="154"/>
      <c r="BC63" s="154"/>
      <c r="BD63" s="154"/>
      <c r="BE63" s="154"/>
      <c r="BF63" s="154"/>
      <c r="BG63" s="154"/>
      <c r="BH63" s="154"/>
      <c r="BI63" s="154"/>
      <c r="BJ63" s="154"/>
      <c r="BK63" s="154"/>
      <c r="BL63" s="154"/>
      <c r="BM63" s="154"/>
      <c r="BN63" s="154"/>
      <c r="BO63" s="154"/>
      <c r="BP63" s="154"/>
      <c r="BQ63" s="154"/>
      <c r="BR63" s="154"/>
      <c r="BS63" s="154"/>
      <c r="BT63" s="154"/>
      <c r="BU63" s="154"/>
      <c r="BV63" s="154"/>
      <c r="BW63" s="154"/>
      <c r="BX63" s="154"/>
      <c r="BY63" s="154"/>
      <c r="BZ63" s="154"/>
      <c r="CA63" s="154"/>
      <c r="CB63" s="154"/>
      <c r="CC63" s="154"/>
      <c r="CD63" s="154"/>
      <c r="CE63" s="154"/>
      <c r="CF63" s="154"/>
      <c r="CG63" s="154"/>
      <c r="CH63" s="154"/>
      <c r="CI63" s="154"/>
      <c r="CJ63" s="154"/>
      <c r="CK63" s="154"/>
      <c r="CL63" s="154"/>
      <c r="CM63" s="154"/>
      <c r="CN63" s="154"/>
      <c r="CO63" s="154"/>
      <c r="CP63" s="154"/>
      <c r="CQ63" s="154"/>
      <c r="CR63" s="154"/>
      <c r="CS63" s="154"/>
      <c r="CT63" s="154"/>
      <c r="CU63" s="154"/>
      <c r="CV63" s="154"/>
      <c r="CW63" s="154"/>
      <c r="CX63" s="154"/>
      <c r="CY63" s="154"/>
      <c r="CZ63" s="154"/>
      <c r="DA63" s="154"/>
      <c r="DB63" s="154"/>
      <c r="DC63" s="154"/>
      <c r="DD63" s="154"/>
      <c r="DE63" s="154"/>
      <c r="DF63" s="154"/>
      <c r="DG63" s="154"/>
      <c r="DH63" s="154"/>
      <c r="DI63" s="154"/>
      <c r="DJ63" s="154"/>
      <c r="DK63" s="154"/>
      <c r="DL63" s="154"/>
      <c r="DM63" s="154"/>
      <c r="DN63" s="154"/>
      <c r="DO63" s="154"/>
      <c r="DP63" s="154"/>
      <c r="DQ63" s="154"/>
      <c r="DR63" s="154"/>
      <c r="DS63" s="154"/>
      <c r="DT63" s="154"/>
      <c r="DU63" s="154"/>
      <c r="DV63" s="154"/>
      <c r="DW63" s="154"/>
      <c r="DX63" s="154"/>
      <c r="DY63" s="154"/>
      <c r="DZ63" s="154"/>
      <c r="EA63" s="154"/>
      <c r="EB63" s="154"/>
      <c r="EC63" s="154"/>
      <c r="ED63" s="154"/>
      <c r="EE63" s="154"/>
      <c r="EF63" s="154"/>
      <c r="EG63" s="154"/>
      <c r="EH63" s="154"/>
      <c r="EI63" s="154"/>
      <c r="EJ63" s="154"/>
      <c r="EK63" s="154"/>
      <c r="EL63" s="154"/>
      <c r="EM63" s="154"/>
      <c r="EN63" s="154"/>
      <c r="EO63" s="154"/>
      <c r="EP63" s="154"/>
      <c r="EQ63" s="154"/>
      <c r="ER63" s="154"/>
      <c r="ES63" s="154"/>
      <c r="ET63" s="154"/>
      <c r="EU63" s="154"/>
      <c r="EV63" s="154"/>
      <c r="EW63" s="154"/>
    </row>
    <row r="64" spans="2:153" ht="12.95" customHeight="1">
      <c r="B64" s="154"/>
      <c r="C64" s="380"/>
      <c r="D64" s="380"/>
      <c r="H64" s="54"/>
      <c r="K64" s="154"/>
      <c r="L64" s="154"/>
      <c r="M64" s="154"/>
      <c r="N64" s="154"/>
      <c r="O64" s="154"/>
      <c r="P64" s="154"/>
      <c r="Q64" s="154"/>
      <c r="R64" s="154"/>
      <c r="S64" s="154"/>
      <c r="T64" s="154"/>
      <c r="U64" s="154"/>
      <c r="V64" s="154"/>
      <c r="W64" s="154"/>
      <c r="X64" s="154"/>
      <c r="Y64" s="154"/>
      <c r="Z64" s="154"/>
      <c r="AA64" s="154"/>
      <c r="AB64" s="154"/>
      <c r="AC64" s="154"/>
      <c r="AD64" s="154"/>
      <c r="AE64" s="154"/>
      <c r="AF64" s="367"/>
      <c r="AG64" s="368"/>
      <c r="AH64" s="368"/>
      <c r="AI64" s="368"/>
      <c r="AJ64" s="154"/>
      <c r="AK64" s="154"/>
      <c r="AL64" s="154"/>
      <c r="AM64" s="154"/>
      <c r="AN64" s="154"/>
      <c r="AO64" s="154"/>
      <c r="AP64" s="154"/>
      <c r="AQ64" s="154"/>
      <c r="AR64" s="154"/>
      <c r="AS64" s="154"/>
      <c r="AT64" s="154"/>
      <c r="AU64" s="154"/>
      <c r="AV64" s="154"/>
      <c r="AW64" s="154"/>
      <c r="AX64" s="154"/>
      <c r="AY64" s="154"/>
      <c r="AZ64" s="154"/>
      <c r="BA64" s="154"/>
      <c r="BB64" s="154"/>
      <c r="BC64" s="154"/>
      <c r="BD64" s="154"/>
      <c r="BE64" s="154"/>
      <c r="BF64" s="154"/>
      <c r="BG64" s="154"/>
      <c r="BH64" s="154"/>
      <c r="BI64" s="154"/>
      <c r="BJ64" s="154"/>
      <c r="BK64" s="154"/>
      <c r="BL64" s="154"/>
      <c r="BM64" s="154"/>
      <c r="BN64" s="154"/>
      <c r="BO64" s="154"/>
      <c r="BP64" s="154"/>
      <c r="BQ64" s="154"/>
      <c r="BR64" s="154"/>
      <c r="BS64" s="154"/>
      <c r="BT64" s="154"/>
      <c r="BU64" s="154"/>
      <c r="BV64" s="154"/>
      <c r="BW64" s="154"/>
      <c r="BX64" s="154"/>
      <c r="BY64" s="154"/>
      <c r="BZ64" s="154"/>
      <c r="CA64" s="154"/>
      <c r="CB64" s="154"/>
      <c r="CC64" s="154"/>
      <c r="CD64" s="154"/>
      <c r="CE64" s="154"/>
      <c r="CF64" s="154"/>
      <c r="CG64" s="154"/>
      <c r="CH64" s="154"/>
      <c r="CI64" s="154"/>
      <c r="CJ64" s="154"/>
      <c r="CK64" s="154"/>
      <c r="CL64" s="154"/>
      <c r="CM64" s="154"/>
      <c r="CN64" s="154"/>
      <c r="CO64" s="154"/>
      <c r="CP64" s="154"/>
      <c r="CQ64" s="154"/>
      <c r="CR64" s="154"/>
      <c r="CS64" s="154"/>
      <c r="CT64" s="154"/>
      <c r="CU64" s="154"/>
      <c r="CV64" s="154"/>
      <c r="CW64" s="154"/>
      <c r="CX64" s="154"/>
      <c r="CY64" s="154"/>
      <c r="CZ64" s="154"/>
      <c r="DA64" s="154"/>
      <c r="DB64" s="154"/>
      <c r="DC64" s="154"/>
      <c r="DD64" s="154"/>
      <c r="DE64" s="154"/>
      <c r="DF64" s="154"/>
      <c r="DG64" s="154"/>
      <c r="DH64" s="154"/>
      <c r="DI64" s="154"/>
      <c r="DJ64" s="154"/>
      <c r="DK64" s="154"/>
      <c r="DL64" s="154"/>
      <c r="DM64" s="154"/>
      <c r="DN64" s="154"/>
      <c r="DO64" s="154"/>
      <c r="DP64" s="154"/>
      <c r="DQ64" s="154"/>
      <c r="DR64" s="154"/>
      <c r="DS64" s="154"/>
      <c r="DT64" s="154"/>
      <c r="DU64" s="154"/>
      <c r="DV64" s="154"/>
      <c r="DW64" s="154"/>
      <c r="DX64" s="154"/>
      <c r="DY64" s="154"/>
      <c r="DZ64" s="154"/>
      <c r="EA64" s="154"/>
      <c r="EB64" s="154"/>
      <c r="EC64" s="154"/>
      <c r="ED64" s="154"/>
      <c r="EE64" s="154"/>
      <c r="EF64" s="154"/>
      <c r="EG64" s="154"/>
      <c r="EH64" s="154"/>
      <c r="EI64" s="154"/>
      <c r="EJ64" s="154"/>
      <c r="EK64" s="154"/>
      <c r="EL64" s="154"/>
      <c r="EM64" s="154"/>
      <c r="EN64" s="154"/>
      <c r="EO64" s="154"/>
      <c r="EP64" s="154"/>
      <c r="EQ64" s="154"/>
      <c r="ER64" s="154"/>
      <c r="ES64" s="154"/>
      <c r="ET64" s="154"/>
      <c r="EU64" s="154"/>
      <c r="EV64" s="154"/>
      <c r="EW64" s="154"/>
    </row>
    <row r="65" spans="2:153" ht="12.95" customHeight="1">
      <c r="B65" s="154"/>
      <c r="C65" s="380"/>
      <c r="D65" s="380"/>
      <c r="H65" s="54"/>
      <c r="K65" s="154"/>
      <c r="L65" s="154"/>
      <c r="M65" s="154"/>
      <c r="N65" s="154"/>
      <c r="O65" s="154"/>
      <c r="P65" s="154"/>
      <c r="Q65" s="154"/>
      <c r="R65" s="154"/>
      <c r="S65" s="154"/>
      <c r="T65" s="154"/>
      <c r="U65" s="154"/>
      <c r="V65" s="154"/>
      <c r="W65" s="154"/>
      <c r="X65" s="154"/>
      <c r="Y65" s="154"/>
      <c r="Z65" s="154"/>
      <c r="AA65" s="154"/>
      <c r="AB65" s="154"/>
      <c r="AC65" s="154"/>
      <c r="AD65" s="154"/>
      <c r="AE65" s="154"/>
      <c r="AF65" s="367"/>
      <c r="AG65" s="368"/>
      <c r="AH65" s="368"/>
      <c r="AI65" s="368"/>
      <c r="AJ65" s="154"/>
      <c r="AK65" s="154"/>
      <c r="AL65" s="154"/>
      <c r="AM65" s="154"/>
      <c r="AN65" s="154"/>
      <c r="AO65" s="154"/>
      <c r="AP65" s="154"/>
      <c r="AQ65" s="154"/>
      <c r="AR65" s="154"/>
      <c r="AS65" s="154"/>
      <c r="AT65" s="154"/>
      <c r="AU65" s="154"/>
      <c r="AV65" s="154"/>
      <c r="AW65" s="154"/>
      <c r="AX65" s="154"/>
      <c r="AY65" s="154"/>
      <c r="AZ65" s="154"/>
      <c r="BA65" s="154"/>
      <c r="BB65" s="154"/>
      <c r="BC65" s="154"/>
      <c r="BD65" s="154"/>
      <c r="BE65" s="154"/>
      <c r="BF65" s="154"/>
      <c r="BG65" s="154"/>
      <c r="BH65" s="154"/>
      <c r="BI65" s="154"/>
      <c r="BJ65" s="154"/>
      <c r="BK65" s="154"/>
      <c r="BL65" s="154"/>
      <c r="BM65" s="154"/>
      <c r="BN65" s="154"/>
      <c r="BO65" s="154"/>
      <c r="BP65" s="154"/>
      <c r="BQ65" s="154"/>
      <c r="BR65" s="154"/>
      <c r="BS65" s="154"/>
      <c r="BT65" s="154"/>
      <c r="BU65" s="154"/>
      <c r="BV65" s="154"/>
      <c r="BW65" s="154"/>
      <c r="BX65" s="154"/>
      <c r="BY65" s="154"/>
      <c r="BZ65" s="154"/>
      <c r="CA65" s="154"/>
      <c r="CB65" s="154"/>
      <c r="CC65" s="154"/>
      <c r="CD65" s="154"/>
      <c r="CE65" s="154"/>
      <c r="CF65" s="154"/>
      <c r="CG65" s="154"/>
      <c r="CH65" s="154"/>
      <c r="CI65" s="154"/>
      <c r="CJ65" s="154"/>
      <c r="CK65" s="154"/>
      <c r="CL65" s="154"/>
      <c r="CM65" s="154"/>
      <c r="CN65" s="154"/>
      <c r="CO65" s="154"/>
      <c r="CP65" s="154"/>
      <c r="CQ65" s="154"/>
      <c r="CR65" s="154"/>
      <c r="CS65" s="154"/>
      <c r="CT65" s="154"/>
      <c r="CU65" s="154"/>
      <c r="CV65" s="154"/>
      <c r="CW65" s="154"/>
      <c r="CX65" s="154"/>
      <c r="CY65" s="154"/>
      <c r="CZ65" s="154"/>
      <c r="DA65" s="154"/>
      <c r="DB65" s="154"/>
      <c r="DC65" s="154"/>
      <c r="DD65" s="154"/>
      <c r="DE65" s="154"/>
      <c r="DF65" s="154"/>
      <c r="DG65" s="154"/>
      <c r="DH65" s="154"/>
      <c r="DI65" s="154"/>
      <c r="DJ65" s="154"/>
      <c r="DK65" s="154"/>
      <c r="DL65" s="154"/>
      <c r="DM65" s="154"/>
      <c r="DN65" s="154"/>
      <c r="DO65" s="154"/>
      <c r="DP65" s="154"/>
      <c r="DQ65" s="154"/>
      <c r="DR65" s="154"/>
      <c r="DS65" s="154"/>
      <c r="DT65" s="154"/>
      <c r="DU65" s="154"/>
      <c r="DV65" s="154"/>
      <c r="DW65" s="154"/>
      <c r="DX65" s="154"/>
      <c r="DY65" s="154"/>
      <c r="DZ65" s="154"/>
      <c r="EA65" s="154"/>
      <c r="EB65" s="154"/>
      <c r="EC65" s="154"/>
      <c r="ED65" s="154"/>
      <c r="EE65" s="154"/>
      <c r="EF65" s="154"/>
      <c r="EG65" s="154"/>
      <c r="EH65" s="154"/>
      <c r="EI65" s="154"/>
      <c r="EJ65" s="154"/>
      <c r="EK65" s="154"/>
      <c r="EL65" s="154"/>
      <c r="EM65" s="154"/>
      <c r="EN65" s="154"/>
      <c r="EO65" s="154"/>
      <c r="EP65" s="154"/>
      <c r="EQ65" s="154"/>
      <c r="ER65" s="154"/>
      <c r="ES65" s="154"/>
      <c r="ET65" s="154"/>
      <c r="EU65" s="154"/>
      <c r="EV65" s="154"/>
      <c r="EW65" s="154"/>
    </row>
    <row r="66" spans="2:153" ht="12.95" customHeight="1">
      <c r="B66" s="154"/>
      <c r="C66" s="380"/>
      <c r="D66" s="380"/>
      <c r="H66" s="54"/>
      <c r="K66" s="154"/>
      <c r="L66" s="154"/>
      <c r="M66" s="154"/>
      <c r="N66" s="154"/>
      <c r="O66" s="154"/>
      <c r="P66" s="154"/>
      <c r="Q66" s="154"/>
      <c r="R66" s="154"/>
      <c r="S66" s="154"/>
      <c r="T66" s="154"/>
      <c r="U66" s="154"/>
      <c r="V66" s="154"/>
      <c r="W66" s="154"/>
      <c r="X66" s="154"/>
      <c r="Y66" s="154"/>
      <c r="Z66" s="154"/>
      <c r="AA66" s="154"/>
      <c r="AB66" s="154"/>
      <c r="AC66" s="154"/>
      <c r="AD66" s="154"/>
      <c r="AE66" s="154"/>
      <c r="AF66" s="367"/>
      <c r="AG66" s="368"/>
      <c r="AH66" s="368"/>
      <c r="AI66" s="368"/>
      <c r="AJ66" s="154"/>
      <c r="AK66" s="154"/>
      <c r="AL66" s="154"/>
      <c r="AM66" s="154"/>
      <c r="AN66" s="154"/>
      <c r="AO66" s="154"/>
      <c r="AP66" s="154"/>
      <c r="AQ66" s="154"/>
      <c r="AR66" s="154"/>
      <c r="AS66" s="154"/>
      <c r="AT66" s="154"/>
      <c r="AU66" s="154"/>
      <c r="AV66" s="154"/>
      <c r="AW66" s="154"/>
      <c r="AX66" s="154"/>
      <c r="AY66" s="154"/>
      <c r="AZ66" s="154"/>
      <c r="BA66" s="154"/>
      <c r="BB66" s="154"/>
      <c r="BC66" s="154"/>
      <c r="BD66" s="154"/>
      <c r="BE66" s="154"/>
      <c r="BF66" s="154"/>
      <c r="BG66" s="154"/>
      <c r="BH66" s="154"/>
      <c r="BI66" s="154"/>
      <c r="BJ66" s="154"/>
      <c r="BK66" s="154"/>
      <c r="BL66" s="154"/>
      <c r="BM66" s="154"/>
      <c r="BN66" s="154"/>
      <c r="BO66" s="154"/>
      <c r="BP66" s="154"/>
      <c r="BQ66" s="154"/>
      <c r="BR66" s="154"/>
      <c r="BS66" s="154"/>
      <c r="BT66" s="154"/>
      <c r="BU66" s="154"/>
      <c r="BV66" s="154"/>
      <c r="BW66" s="154"/>
      <c r="BX66" s="154"/>
      <c r="BY66" s="154"/>
      <c r="BZ66" s="154"/>
      <c r="CA66" s="154"/>
      <c r="CB66" s="154"/>
      <c r="CC66" s="154"/>
      <c r="CD66" s="154"/>
      <c r="CE66" s="154"/>
      <c r="CF66" s="154"/>
      <c r="CG66" s="154"/>
      <c r="CH66" s="154"/>
      <c r="CI66" s="154"/>
      <c r="CJ66" s="154"/>
      <c r="CK66" s="154"/>
      <c r="CL66" s="154"/>
      <c r="CM66" s="154"/>
      <c r="CN66" s="154"/>
      <c r="CO66" s="154"/>
      <c r="CP66" s="154"/>
      <c r="CQ66" s="154"/>
      <c r="CR66" s="154"/>
      <c r="CS66" s="154"/>
      <c r="CT66" s="154"/>
      <c r="CU66" s="154"/>
      <c r="CV66" s="154"/>
      <c r="CW66" s="154"/>
      <c r="CX66" s="154"/>
      <c r="CY66" s="154"/>
      <c r="CZ66" s="154"/>
      <c r="DA66" s="154"/>
      <c r="DB66" s="154"/>
      <c r="DC66" s="154"/>
      <c r="DD66" s="154"/>
      <c r="DE66" s="154"/>
      <c r="DF66" s="154"/>
      <c r="DG66" s="154"/>
      <c r="DH66" s="154"/>
      <c r="DI66" s="154"/>
      <c r="DJ66" s="154"/>
      <c r="DK66" s="154"/>
      <c r="DL66" s="154"/>
      <c r="DM66" s="154"/>
      <c r="DN66" s="154"/>
      <c r="DO66" s="154"/>
      <c r="DP66" s="154"/>
      <c r="DQ66" s="154"/>
      <c r="DR66" s="154"/>
      <c r="DS66" s="154"/>
      <c r="DT66" s="154"/>
      <c r="DU66" s="154"/>
      <c r="DV66" s="154"/>
      <c r="DW66" s="154"/>
      <c r="DX66" s="154"/>
      <c r="DY66" s="154"/>
      <c r="DZ66" s="154"/>
      <c r="EA66" s="154"/>
      <c r="EB66" s="154"/>
      <c r="EC66" s="154"/>
      <c r="ED66" s="154"/>
      <c r="EE66" s="154"/>
      <c r="EF66" s="154"/>
      <c r="EG66" s="154"/>
      <c r="EH66" s="154"/>
      <c r="EI66" s="154"/>
      <c r="EJ66" s="154"/>
      <c r="EK66" s="154"/>
      <c r="EL66" s="154"/>
      <c r="EM66" s="154"/>
      <c r="EN66" s="154"/>
      <c r="EO66" s="154"/>
      <c r="EP66" s="154"/>
      <c r="EQ66" s="154"/>
      <c r="ER66" s="154"/>
      <c r="ES66" s="154"/>
      <c r="ET66" s="154"/>
      <c r="EU66" s="154"/>
      <c r="EV66" s="154"/>
      <c r="EW66" s="154"/>
    </row>
    <row r="67" spans="2:153" ht="12.95" customHeight="1">
      <c r="B67" s="154"/>
      <c r="C67" s="380"/>
      <c r="D67" s="380"/>
      <c r="H67" s="54"/>
      <c r="J67" s="154"/>
      <c r="K67" s="154"/>
      <c r="L67" s="154"/>
      <c r="M67" s="154"/>
      <c r="N67" s="154"/>
      <c r="O67" s="154"/>
      <c r="P67" s="154"/>
      <c r="Q67" s="154"/>
      <c r="R67" s="154"/>
      <c r="S67" s="154"/>
      <c r="T67" s="154"/>
      <c r="U67" s="154"/>
      <c r="V67" s="154"/>
      <c r="W67" s="154"/>
      <c r="X67" s="154"/>
      <c r="Y67" s="154"/>
      <c r="Z67" s="154"/>
      <c r="AA67" s="154"/>
      <c r="AB67" s="154"/>
      <c r="AC67" s="154"/>
      <c r="AD67" s="154"/>
      <c r="AE67" s="154"/>
      <c r="AF67" s="367"/>
      <c r="AG67" s="368"/>
      <c r="AH67" s="368"/>
      <c r="AI67" s="368"/>
      <c r="AJ67" s="154"/>
      <c r="AK67" s="154"/>
      <c r="AL67" s="154"/>
      <c r="AM67" s="154"/>
      <c r="AN67" s="154"/>
      <c r="AO67" s="154"/>
      <c r="AP67" s="154"/>
      <c r="AQ67" s="154"/>
      <c r="AR67" s="154"/>
      <c r="AS67" s="154"/>
      <c r="AT67" s="154"/>
      <c r="AU67" s="154"/>
      <c r="AV67" s="154"/>
      <c r="AW67" s="154"/>
      <c r="AX67" s="154"/>
      <c r="AY67" s="154"/>
      <c r="AZ67" s="154"/>
      <c r="BA67" s="154"/>
      <c r="BB67" s="154"/>
      <c r="BC67" s="154"/>
      <c r="BD67" s="154"/>
      <c r="BE67" s="154"/>
      <c r="BF67" s="154"/>
      <c r="BG67" s="154"/>
      <c r="BH67" s="154"/>
      <c r="BI67" s="154"/>
      <c r="BJ67" s="154"/>
      <c r="BK67" s="154"/>
      <c r="BL67" s="154"/>
      <c r="BM67" s="154"/>
      <c r="BN67" s="154"/>
      <c r="BO67" s="154"/>
      <c r="BP67" s="154"/>
      <c r="BQ67" s="154"/>
      <c r="BR67" s="154"/>
      <c r="BS67" s="154"/>
      <c r="BT67" s="154"/>
      <c r="BU67" s="154"/>
      <c r="BV67" s="154"/>
      <c r="BW67" s="154"/>
      <c r="BX67" s="154"/>
      <c r="BY67" s="154"/>
      <c r="BZ67" s="154"/>
      <c r="CA67" s="154"/>
      <c r="CB67" s="154"/>
      <c r="CC67" s="154"/>
      <c r="CD67" s="154"/>
      <c r="CE67" s="154"/>
      <c r="CF67" s="154"/>
      <c r="CG67" s="154"/>
      <c r="CH67" s="154"/>
      <c r="CI67" s="154"/>
      <c r="CJ67" s="154"/>
      <c r="CK67" s="154"/>
      <c r="CL67" s="154"/>
      <c r="CM67" s="154"/>
      <c r="CN67" s="154"/>
      <c r="CO67" s="154"/>
      <c r="CP67" s="154"/>
      <c r="CQ67" s="154"/>
      <c r="CR67" s="154"/>
      <c r="CS67" s="154"/>
      <c r="CT67" s="154"/>
      <c r="CU67" s="154"/>
      <c r="CV67" s="154"/>
      <c r="CW67" s="154"/>
      <c r="CX67" s="154"/>
      <c r="CY67" s="154"/>
      <c r="CZ67" s="154"/>
      <c r="DA67" s="154"/>
      <c r="DB67" s="154"/>
      <c r="DC67" s="154"/>
      <c r="DD67" s="154"/>
      <c r="DE67" s="154"/>
      <c r="DF67" s="154"/>
      <c r="DG67" s="154"/>
      <c r="DH67" s="154"/>
      <c r="DI67" s="154"/>
      <c r="DJ67" s="154"/>
      <c r="DK67" s="154"/>
      <c r="DL67" s="154"/>
      <c r="DM67" s="154"/>
      <c r="DN67" s="154"/>
      <c r="DO67" s="154"/>
      <c r="DP67" s="154"/>
      <c r="DQ67" s="154"/>
      <c r="DR67" s="154"/>
      <c r="DS67" s="154"/>
      <c r="DT67" s="154"/>
      <c r="DU67" s="154"/>
      <c r="DV67" s="154"/>
      <c r="DW67" s="154"/>
      <c r="DX67" s="154"/>
      <c r="DY67" s="154"/>
      <c r="DZ67" s="154"/>
      <c r="EA67" s="154"/>
      <c r="EB67" s="154"/>
      <c r="EC67" s="154"/>
      <c r="ED67" s="154"/>
      <c r="EE67" s="154"/>
      <c r="EF67" s="154"/>
      <c r="EG67" s="154"/>
      <c r="EH67" s="154"/>
      <c r="EI67" s="154"/>
      <c r="EJ67" s="154"/>
      <c r="EK67" s="154"/>
      <c r="EL67" s="154"/>
      <c r="EM67" s="154"/>
      <c r="EN67" s="154"/>
      <c r="EO67" s="154"/>
      <c r="EP67" s="154"/>
      <c r="EQ67" s="154"/>
      <c r="ER67" s="154"/>
      <c r="ES67" s="154"/>
      <c r="ET67" s="154"/>
      <c r="EU67" s="154"/>
      <c r="EV67" s="154"/>
      <c r="EW67" s="154"/>
    </row>
    <row r="68" spans="2:153" ht="12.95" customHeight="1">
      <c r="B68" s="154"/>
      <c r="C68" s="380"/>
      <c r="D68" s="380"/>
      <c r="H68" s="54"/>
      <c r="K68" s="154"/>
      <c r="L68" s="154"/>
      <c r="M68" s="154"/>
      <c r="N68" s="377"/>
      <c r="O68" s="154"/>
      <c r="P68" s="154"/>
      <c r="Q68" s="154"/>
      <c r="R68" s="154"/>
      <c r="S68" s="154"/>
      <c r="T68" s="154"/>
      <c r="U68" s="154"/>
      <c r="V68" s="154"/>
      <c r="W68" s="154"/>
      <c r="X68" s="154"/>
      <c r="Y68" s="375"/>
      <c r="Z68" s="377"/>
      <c r="AA68" s="154"/>
      <c r="AB68" s="154"/>
      <c r="AC68" s="154"/>
      <c r="AD68" s="154"/>
      <c r="AE68" s="154"/>
      <c r="AF68" s="367"/>
      <c r="AG68" s="368"/>
      <c r="AH68" s="368"/>
      <c r="AI68" s="368"/>
      <c r="AJ68" s="154"/>
      <c r="AK68" s="154"/>
      <c r="AL68" s="154"/>
      <c r="AM68" s="154"/>
      <c r="AN68" s="154"/>
      <c r="AO68" s="154"/>
      <c r="AP68" s="154"/>
      <c r="AQ68" s="154"/>
      <c r="AR68" s="154"/>
      <c r="AS68" s="154"/>
      <c r="AT68" s="154"/>
      <c r="AU68" s="154"/>
      <c r="AV68" s="154"/>
      <c r="AW68" s="154"/>
      <c r="AX68" s="154"/>
      <c r="AY68" s="154"/>
      <c r="AZ68" s="154"/>
      <c r="BA68" s="154"/>
      <c r="BB68" s="154"/>
      <c r="BC68" s="154"/>
      <c r="BD68" s="154"/>
      <c r="BE68" s="154"/>
      <c r="BF68" s="154"/>
      <c r="BG68" s="154"/>
      <c r="BH68" s="154"/>
      <c r="BI68" s="154"/>
      <c r="BJ68" s="154"/>
      <c r="BK68" s="154"/>
      <c r="BL68" s="154"/>
      <c r="BM68" s="154"/>
      <c r="BN68" s="154"/>
      <c r="BO68" s="154"/>
      <c r="BP68" s="154"/>
      <c r="BQ68" s="154"/>
      <c r="BR68" s="154"/>
      <c r="BS68" s="154"/>
      <c r="BT68" s="154"/>
      <c r="BU68" s="154"/>
      <c r="BV68" s="154"/>
      <c r="BW68" s="154"/>
      <c r="BX68" s="154"/>
      <c r="BY68" s="154"/>
      <c r="BZ68" s="154"/>
      <c r="CA68" s="154"/>
      <c r="CB68" s="154"/>
      <c r="CC68" s="154"/>
      <c r="CD68" s="154"/>
      <c r="CE68" s="154"/>
      <c r="CF68" s="154"/>
      <c r="CG68" s="154"/>
      <c r="CH68" s="154"/>
      <c r="CI68" s="154"/>
      <c r="CJ68" s="154"/>
      <c r="CK68" s="154"/>
      <c r="CL68" s="154"/>
      <c r="CM68" s="154"/>
      <c r="CN68" s="154"/>
      <c r="CO68" s="154"/>
      <c r="CP68" s="154"/>
      <c r="CQ68" s="154"/>
      <c r="CR68" s="154"/>
      <c r="CS68" s="154"/>
      <c r="CT68" s="154"/>
      <c r="CU68" s="154"/>
      <c r="CV68" s="154"/>
      <c r="CW68" s="154"/>
      <c r="CX68" s="154"/>
      <c r="CY68" s="154"/>
      <c r="CZ68" s="154"/>
      <c r="DA68" s="154"/>
      <c r="DB68" s="154"/>
      <c r="DC68" s="154"/>
      <c r="DD68" s="154"/>
      <c r="DE68" s="154"/>
      <c r="DF68" s="154"/>
      <c r="DG68" s="154"/>
      <c r="DH68" s="154"/>
      <c r="DI68" s="154"/>
      <c r="DJ68" s="154"/>
      <c r="DK68" s="154"/>
      <c r="DL68" s="154"/>
      <c r="DM68" s="154"/>
      <c r="DN68" s="154"/>
      <c r="DO68" s="154"/>
      <c r="DP68" s="154"/>
      <c r="DQ68" s="154"/>
      <c r="DR68" s="154"/>
      <c r="DS68" s="154"/>
      <c r="DT68" s="154"/>
      <c r="DU68" s="154"/>
      <c r="DV68" s="154"/>
      <c r="DW68" s="154"/>
      <c r="DX68" s="154"/>
      <c r="DY68" s="154"/>
      <c r="DZ68" s="154"/>
      <c r="EA68" s="154"/>
      <c r="EB68" s="154"/>
      <c r="EC68" s="154"/>
      <c r="ED68" s="154"/>
      <c r="EE68" s="154"/>
      <c r="EF68" s="154"/>
      <c r="EG68" s="154"/>
      <c r="EH68" s="154"/>
      <c r="EI68" s="154"/>
      <c r="EJ68" s="154"/>
      <c r="EK68" s="154"/>
      <c r="EL68" s="154"/>
      <c r="EM68" s="154"/>
      <c r="EN68" s="154"/>
      <c r="EO68" s="154"/>
      <c r="EP68" s="154"/>
      <c r="EQ68" s="154"/>
      <c r="ER68" s="154"/>
      <c r="ES68" s="154"/>
      <c r="ET68" s="154"/>
      <c r="EU68" s="154"/>
      <c r="EV68" s="154"/>
      <c r="EW68" s="154"/>
    </row>
    <row r="69" spans="2:153" ht="12.95" customHeight="1">
      <c r="B69" s="154"/>
      <c r="C69" s="380"/>
      <c r="D69" s="380"/>
      <c r="H69" s="54"/>
      <c r="K69" s="154"/>
      <c r="L69" s="154"/>
      <c r="M69" s="154"/>
      <c r="N69" s="154"/>
      <c r="O69" s="154"/>
      <c r="P69" s="154"/>
      <c r="Q69" s="154"/>
      <c r="R69" s="154"/>
      <c r="S69" s="154"/>
      <c r="T69" s="154"/>
      <c r="U69" s="154"/>
      <c r="V69" s="154"/>
      <c r="W69" s="154"/>
      <c r="X69" s="154"/>
      <c r="Y69" s="375"/>
      <c r="Z69" s="154"/>
      <c r="AA69" s="154"/>
      <c r="AB69" s="154"/>
      <c r="AC69" s="154"/>
      <c r="AD69" s="154"/>
      <c r="AE69" s="154"/>
      <c r="AF69" s="367"/>
      <c r="AG69" s="368"/>
      <c r="AH69" s="368"/>
      <c r="AI69" s="368"/>
      <c r="AJ69" s="154"/>
      <c r="AK69" s="154"/>
      <c r="AL69" s="154"/>
      <c r="AM69" s="154"/>
      <c r="AN69" s="154"/>
      <c r="AO69" s="154"/>
      <c r="AP69" s="154"/>
      <c r="AQ69" s="154"/>
      <c r="AR69" s="154"/>
      <c r="AS69" s="154"/>
      <c r="AT69" s="154"/>
      <c r="AU69" s="154"/>
      <c r="AV69" s="154"/>
      <c r="AW69" s="154"/>
      <c r="AX69" s="154"/>
      <c r="AY69" s="154"/>
      <c r="AZ69" s="154"/>
      <c r="BA69" s="154"/>
      <c r="BB69" s="154"/>
      <c r="BC69" s="154"/>
      <c r="BD69" s="154"/>
      <c r="BE69" s="154"/>
      <c r="BF69" s="154"/>
      <c r="BG69" s="154"/>
      <c r="BH69" s="154"/>
      <c r="BI69" s="154"/>
      <c r="BJ69" s="154"/>
      <c r="BK69" s="154"/>
      <c r="BL69" s="154"/>
      <c r="BM69" s="154"/>
      <c r="BN69" s="154"/>
      <c r="BO69" s="154"/>
      <c r="BP69" s="154"/>
      <c r="BQ69" s="154"/>
      <c r="BR69" s="154"/>
      <c r="BS69" s="154"/>
      <c r="BT69" s="154"/>
      <c r="BU69" s="154"/>
      <c r="BV69" s="154"/>
      <c r="BW69" s="154"/>
      <c r="BX69" s="154"/>
      <c r="BY69" s="154"/>
      <c r="BZ69" s="154"/>
      <c r="CA69" s="154"/>
      <c r="CB69" s="154"/>
      <c r="CC69" s="154"/>
      <c r="CD69" s="154"/>
      <c r="CE69" s="154"/>
      <c r="CF69" s="154"/>
      <c r="CG69" s="154"/>
      <c r="CH69" s="154"/>
      <c r="CI69" s="154"/>
      <c r="CJ69" s="154"/>
      <c r="CK69" s="154"/>
      <c r="CL69" s="154"/>
      <c r="CM69" s="154"/>
      <c r="CN69" s="154"/>
      <c r="CO69" s="154"/>
      <c r="CP69" s="154"/>
      <c r="CQ69" s="154"/>
      <c r="CR69" s="154"/>
      <c r="CS69" s="154"/>
      <c r="CT69" s="154"/>
      <c r="CU69" s="154"/>
      <c r="CV69" s="154"/>
      <c r="CW69" s="154"/>
      <c r="CX69" s="154"/>
      <c r="CY69" s="154"/>
      <c r="CZ69" s="154"/>
      <c r="DA69" s="154"/>
      <c r="DB69" s="154"/>
      <c r="DC69" s="154"/>
      <c r="DD69" s="154"/>
      <c r="DE69" s="154"/>
      <c r="DF69" s="154"/>
      <c r="DG69" s="154"/>
      <c r="DH69" s="154"/>
      <c r="DI69" s="154"/>
      <c r="DJ69" s="154"/>
      <c r="DK69" s="154"/>
      <c r="DL69" s="154"/>
      <c r="DM69" s="154"/>
      <c r="DN69" s="154"/>
      <c r="DO69" s="154"/>
      <c r="DP69" s="154"/>
      <c r="DQ69" s="154"/>
      <c r="DR69" s="154"/>
      <c r="DS69" s="154"/>
      <c r="DT69" s="154"/>
      <c r="DU69" s="154"/>
      <c r="DV69" s="154"/>
      <c r="DW69" s="154"/>
      <c r="DX69" s="154"/>
      <c r="DY69" s="154"/>
      <c r="DZ69" s="154"/>
      <c r="EA69" s="154"/>
      <c r="EB69" s="154"/>
      <c r="EC69" s="154"/>
      <c r="ED69" s="154"/>
      <c r="EE69" s="154"/>
      <c r="EF69" s="154"/>
      <c r="EG69" s="154"/>
      <c r="EH69" s="154"/>
      <c r="EI69" s="154"/>
      <c r="EJ69" s="154"/>
      <c r="EK69" s="154"/>
      <c r="EL69" s="154"/>
      <c r="EM69" s="154"/>
      <c r="EN69" s="154"/>
      <c r="EO69" s="154"/>
      <c r="EP69" s="154"/>
      <c r="EQ69" s="154"/>
      <c r="ER69" s="154"/>
      <c r="ES69" s="154"/>
      <c r="ET69" s="154"/>
      <c r="EU69" s="154"/>
      <c r="EV69" s="154"/>
      <c r="EW69" s="154"/>
    </row>
    <row r="70" spans="2:153" ht="12.95" customHeight="1">
      <c r="B70" s="154"/>
      <c r="C70" s="380"/>
      <c r="D70" s="380"/>
      <c r="E70" s="154"/>
      <c r="H70" s="54"/>
      <c r="K70" s="154"/>
      <c r="L70" s="154"/>
      <c r="M70" s="154"/>
      <c r="N70" s="154"/>
      <c r="O70" s="154"/>
      <c r="P70" s="154"/>
      <c r="Q70" s="154"/>
      <c r="R70" s="154"/>
      <c r="S70" s="154"/>
      <c r="T70" s="154"/>
      <c r="U70" s="154"/>
      <c r="V70" s="154"/>
      <c r="W70" s="154"/>
      <c r="X70" s="154"/>
      <c r="Y70" s="154"/>
      <c r="Z70" s="154"/>
      <c r="AA70" s="154"/>
      <c r="AB70" s="154"/>
      <c r="AC70" s="154"/>
      <c r="AD70" s="154"/>
      <c r="AE70" s="154"/>
      <c r="AF70" s="367"/>
      <c r="AG70" s="368"/>
      <c r="AH70" s="368"/>
      <c r="AI70" s="368"/>
      <c r="AJ70" s="154"/>
      <c r="AK70" s="154"/>
      <c r="AL70" s="154"/>
      <c r="AM70" s="154"/>
      <c r="AN70" s="154"/>
      <c r="AO70" s="154"/>
      <c r="AP70" s="154"/>
      <c r="AQ70" s="154"/>
      <c r="AR70" s="154"/>
      <c r="AS70" s="154"/>
      <c r="AT70" s="154"/>
      <c r="AU70" s="154"/>
      <c r="AV70" s="154"/>
      <c r="AW70" s="154"/>
      <c r="AX70" s="154"/>
      <c r="AY70" s="154"/>
      <c r="AZ70" s="154"/>
      <c r="BA70" s="154"/>
      <c r="BB70" s="154"/>
      <c r="BC70" s="154"/>
      <c r="BD70" s="154"/>
      <c r="BE70" s="154"/>
      <c r="BF70" s="154"/>
      <c r="BG70" s="154"/>
      <c r="BH70" s="154"/>
      <c r="BI70" s="154"/>
      <c r="BJ70" s="154"/>
      <c r="BK70" s="154"/>
      <c r="BL70" s="154"/>
      <c r="BM70" s="154"/>
      <c r="BN70" s="154"/>
      <c r="BO70" s="154"/>
      <c r="BP70" s="154"/>
      <c r="BQ70" s="154"/>
      <c r="BR70" s="154"/>
      <c r="BS70" s="154"/>
      <c r="BT70" s="154"/>
      <c r="BU70" s="154"/>
      <c r="BV70" s="154"/>
      <c r="BW70" s="154"/>
      <c r="BX70" s="154"/>
      <c r="BY70" s="154"/>
      <c r="BZ70" s="154"/>
      <c r="CA70" s="154"/>
      <c r="CB70" s="154"/>
      <c r="CC70" s="154"/>
      <c r="CD70" s="154"/>
      <c r="CE70" s="154"/>
      <c r="CF70" s="154"/>
      <c r="CG70" s="154"/>
      <c r="CH70" s="154"/>
      <c r="CI70" s="154"/>
      <c r="CJ70" s="154"/>
      <c r="CK70" s="154"/>
      <c r="CL70" s="154"/>
      <c r="CM70" s="154"/>
      <c r="CN70" s="154"/>
      <c r="CO70" s="154"/>
      <c r="CP70" s="154"/>
      <c r="CQ70" s="154"/>
      <c r="CR70" s="154"/>
      <c r="CS70" s="154"/>
      <c r="CT70" s="154"/>
      <c r="CU70" s="154"/>
      <c r="CV70" s="154"/>
      <c r="CW70" s="154"/>
      <c r="CX70" s="154"/>
      <c r="CY70" s="154"/>
      <c r="CZ70" s="154"/>
      <c r="DA70" s="154"/>
      <c r="DB70" s="154"/>
      <c r="DC70" s="154"/>
      <c r="DD70" s="154"/>
      <c r="DE70" s="154"/>
      <c r="DF70" s="154"/>
      <c r="DG70" s="154"/>
      <c r="DH70" s="154"/>
      <c r="DI70" s="154"/>
      <c r="DJ70" s="154"/>
      <c r="DK70" s="154"/>
      <c r="DL70" s="154"/>
      <c r="DM70" s="154"/>
      <c r="DN70" s="154"/>
      <c r="DO70" s="154"/>
      <c r="DP70" s="154"/>
      <c r="DQ70" s="154"/>
      <c r="DR70" s="154"/>
      <c r="DS70" s="154"/>
      <c r="DT70" s="154"/>
      <c r="DU70" s="154"/>
      <c r="DV70" s="154"/>
      <c r="DW70" s="154"/>
      <c r="DX70" s="154"/>
      <c r="DY70" s="154"/>
      <c r="DZ70" s="154"/>
      <c r="EA70" s="154"/>
      <c r="EB70" s="154"/>
      <c r="EC70" s="154"/>
      <c r="ED70" s="154"/>
      <c r="EE70" s="154"/>
      <c r="EF70" s="154"/>
      <c r="EG70" s="154"/>
      <c r="EH70" s="154"/>
      <c r="EI70" s="154"/>
      <c r="EJ70" s="154"/>
      <c r="EK70" s="154"/>
      <c r="EL70" s="154"/>
      <c r="EM70" s="154"/>
      <c r="EN70" s="154"/>
      <c r="EO70" s="154"/>
      <c r="EP70" s="154"/>
      <c r="EQ70" s="154"/>
      <c r="ER70" s="154"/>
      <c r="ES70" s="154"/>
      <c r="ET70" s="154"/>
      <c r="EU70" s="154"/>
      <c r="EV70" s="154"/>
      <c r="EW70" s="154"/>
    </row>
    <row r="71" spans="2:153" ht="12.95" customHeight="1">
      <c r="B71" s="154"/>
      <c r="C71" s="380"/>
      <c r="D71" s="380"/>
      <c r="E71" s="154"/>
      <c r="H71" s="54"/>
      <c r="I71" s="54"/>
      <c r="K71" s="154"/>
      <c r="L71" s="154"/>
      <c r="M71" s="154"/>
      <c r="N71" s="154"/>
      <c r="O71" s="154"/>
      <c r="P71" s="154"/>
      <c r="Q71" s="154"/>
      <c r="R71" s="154"/>
      <c r="S71" s="154"/>
      <c r="T71" s="154"/>
      <c r="U71" s="154"/>
      <c r="V71" s="154"/>
      <c r="W71" s="154"/>
      <c r="X71" s="154"/>
      <c r="Y71" s="154"/>
      <c r="Z71" s="154"/>
      <c r="AA71" s="154"/>
      <c r="AB71" s="154"/>
      <c r="AC71" s="154"/>
      <c r="AD71" s="154"/>
      <c r="AE71" s="154"/>
      <c r="AF71" s="367"/>
      <c r="AG71" s="368"/>
      <c r="AH71" s="368"/>
      <c r="AI71" s="368"/>
      <c r="AJ71" s="154"/>
      <c r="AK71" s="154"/>
      <c r="AL71" s="154"/>
      <c r="AM71" s="154"/>
      <c r="AN71" s="154"/>
      <c r="AO71" s="154"/>
      <c r="AP71" s="154"/>
      <c r="AQ71" s="154"/>
      <c r="AR71" s="154"/>
      <c r="AS71" s="154"/>
      <c r="AT71" s="154"/>
      <c r="AU71" s="154"/>
      <c r="AV71" s="154"/>
      <c r="AW71" s="154"/>
      <c r="AX71" s="154"/>
      <c r="AY71" s="154"/>
      <c r="AZ71" s="154"/>
      <c r="BA71" s="154"/>
      <c r="BB71" s="154"/>
      <c r="BC71" s="154"/>
      <c r="BD71" s="154"/>
      <c r="BE71" s="154"/>
      <c r="BF71" s="154"/>
      <c r="BG71" s="154"/>
      <c r="BH71" s="154"/>
      <c r="BI71" s="154"/>
      <c r="BJ71" s="154"/>
      <c r="BK71" s="154"/>
      <c r="BL71" s="154"/>
      <c r="BM71" s="154"/>
      <c r="BN71" s="154"/>
      <c r="BO71" s="154"/>
      <c r="BP71" s="154"/>
      <c r="BQ71" s="154"/>
      <c r="BR71" s="154"/>
      <c r="BS71" s="154"/>
      <c r="BT71" s="154"/>
      <c r="BU71" s="154"/>
      <c r="BV71" s="154"/>
      <c r="BW71" s="154"/>
      <c r="BX71" s="154"/>
      <c r="BY71" s="154"/>
      <c r="BZ71" s="154"/>
      <c r="CA71" s="154"/>
      <c r="CB71" s="154"/>
      <c r="CC71" s="154"/>
      <c r="CD71" s="154"/>
      <c r="CE71" s="154"/>
      <c r="CF71" s="154"/>
      <c r="CG71" s="154"/>
      <c r="CH71" s="154"/>
      <c r="CI71" s="154"/>
      <c r="CJ71" s="154"/>
      <c r="CK71" s="154"/>
      <c r="CL71" s="154"/>
      <c r="CM71" s="154"/>
      <c r="CN71" s="154"/>
      <c r="CO71" s="154"/>
      <c r="CP71" s="154"/>
      <c r="CQ71" s="154"/>
      <c r="CR71" s="154"/>
      <c r="CS71" s="154"/>
      <c r="CT71" s="154"/>
      <c r="CU71" s="154"/>
      <c r="CV71" s="154"/>
      <c r="CW71" s="154"/>
      <c r="CX71" s="154"/>
      <c r="CY71" s="154"/>
      <c r="CZ71" s="154"/>
      <c r="DA71" s="154"/>
      <c r="DB71" s="154"/>
      <c r="DC71" s="154"/>
      <c r="DD71" s="154"/>
      <c r="DE71" s="154"/>
      <c r="DF71" s="154"/>
      <c r="DG71" s="154"/>
      <c r="DH71" s="154"/>
      <c r="DI71" s="154"/>
      <c r="DJ71" s="154"/>
      <c r="DK71" s="154"/>
      <c r="DL71" s="154"/>
      <c r="DM71" s="154"/>
      <c r="DN71" s="154"/>
      <c r="DO71" s="154"/>
      <c r="DP71" s="154"/>
      <c r="DQ71" s="154"/>
      <c r="DR71" s="154"/>
      <c r="DS71" s="154"/>
      <c r="DT71" s="154"/>
      <c r="DU71" s="154"/>
      <c r="DV71" s="154"/>
      <c r="DW71" s="154"/>
      <c r="DX71" s="154"/>
      <c r="DY71" s="154"/>
      <c r="DZ71" s="154"/>
      <c r="EA71" s="154"/>
      <c r="EB71" s="154"/>
      <c r="EC71" s="154"/>
      <c r="ED71" s="154"/>
      <c r="EE71" s="154"/>
      <c r="EF71" s="154"/>
      <c r="EG71" s="154"/>
      <c r="EH71" s="154"/>
      <c r="EI71" s="154"/>
      <c r="EJ71" s="154"/>
      <c r="EK71" s="154"/>
      <c r="EL71" s="154"/>
      <c r="EM71" s="154"/>
      <c r="EN71" s="154"/>
      <c r="EO71" s="154"/>
      <c r="EP71" s="154"/>
      <c r="EQ71" s="154"/>
      <c r="ER71" s="154"/>
      <c r="ES71" s="154"/>
      <c r="ET71" s="154"/>
      <c r="EU71" s="154"/>
      <c r="EV71" s="154"/>
      <c r="EW71" s="154"/>
    </row>
    <row r="72" spans="2:153" ht="12.95" customHeight="1">
      <c r="B72" s="154"/>
      <c r="C72" s="380"/>
      <c r="D72" s="380"/>
      <c r="E72" s="154"/>
      <c r="F72" s="154"/>
      <c r="G72" s="154"/>
      <c r="H72" s="388"/>
      <c r="I72" s="377"/>
      <c r="J72" s="154"/>
      <c r="K72" s="154"/>
      <c r="L72" s="154"/>
      <c r="M72" s="154"/>
      <c r="N72" s="154"/>
      <c r="O72" s="154"/>
      <c r="P72" s="154"/>
      <c r="Q72" s="154"/>
      <c r="R72" s="154"/>
      <c r="S72" s="154"/>
      <c r="T72" s="154"/>
      <c r="U72" s="154"/>
      <c r="V72" s="154"/>
      <c r="W72" s="154"/>
      <c r="X72" s="154"/>
      <c r="Y72" s="154"/>
      <c r="Z72" s="154"/>
      <c r="AA72" s="154"/>
      <c r="AB72" s="154"/>
      <c r="AC72" s="154"/>
      <c r="AD72" s="154"/>
      <c r="AE72" s="154"/>
      <c r="AF72" s="367"/>
      <c r="AG72" s="368"/>
      <c r="AH72" s="368"/>
      <c r="AI72" s="368"/>
      <c r="AJ72" s="154"/>
      <c r="AK72" s="154"/>
      <c r="AL72" s="154"/>
      <c r="AM72" s="154"/>
      <c r="AN72" s="154"/>
      <c r="AO72" s="154"/>
      <c r="AP72" s="154"/>
      <c r="AQ72" s="154"/>
      <c r="AR72" s="154"/>
      <c r="AS72" s="154"/>
      <c r="AT72" s="154"/>
      <c r="AU72" s="154"/>
      <c r="AV72" s="154"/>
      <c r="AW72" s="154"/>
      <c r="AX72" s="154"/>
      <c r="AY72" s="154"/>
      <c r="AZ72" s="154"/>
      <c r="BA72" s="154"/>
      <c r="BB72" s="154"/>
      <c r="BC72" s="154"/>
      <c r="BD72" s="154"/>
      <c r="BE72" s="154"/>
      <c r="BF72" s="154"/>
      <c r="BG72" s="154"/>
      <c r="BH72" s="154"/>
      <c r="BI72" s="154"/>
      <c r="BJ72" s="154"/>
      <c r="BK72" s="154"/>
      <c r="BL72" s="154"/>
      <c r="BM72" s="154"/>
      <c r="BN72" s="154"/>
      <c r="BO72" s="154"/>
      <c r="BP72" s="154"/>
      <c r="BQ72" s="154"/>
      <c r="BR72" s="154"/>
      <c r="BS72" s="154"/>
      <c r="BT72" s="154"/>
      <c r="BU72" s="154"/>
      <c r="BV72" s="154"/>
      <c r="BW72" s="154"/>
      <c r="BX72" s="154"/>
      <c r="BY72" s="154"/>
      <c r="BZ72" s="154"/>
      <c r="CA72" s="154"/>
      <c r="CB72" s="154"/>
      <c r="CC72" s="154"/>
      <c r="CD72" s="154"/>
      <c r="CE72" s="154"/>
      <c r="CF72" s="154"/>
      <c r="CG72" s="154"/>
      <c r="CH72" s="154"/>
      <c r="CI72" s="154"/>
      <c r="CJ72" s="154"/>
      <c r="CK72" s="154"/>
      <c r="CL72" s="154"/>
      <c r="CM72" s="154"/>
      <c r="CN72" s="154"/>
      <c r="CO72" s="154"/>
      <c r="CP72" s="154"/>
      <c r="CQ72" s="154"/>
      <c r="CR72" s="154"/>
      <c r="CS72" s="154"/>
      <c r="CT72" s="154"/>
      <c r="CU72" s="154"/>
      <c r="CV72" s="154"/>
      <c r="CW72" s="154"/>
      <c r="CX72" s="154"/>
      <c r="CY72" s="154"/>
      <c r="CZ72" s="154"/>
      <c r="DA72" s="154"/>
      <c r="DB72" s="154"/>
      <c r="DC72" s="154"/>
      <c r="DD72" s="154"/>
      <c r="DE72" s="154"/>
      <c r="DF72" s="154"/>
      <c r="DG72" s="154"/>
      <c r="DH72" s="154"/>
      <c r="DI72" s="154"/>
      <c r="DJ72" s="154"/>
      <c r="DK72" s="154"/>
      <c r="DL72" s="154"/>
      <c r="DM72" s="154"/>
      <c r="DN72" s="154"/>
      <c r="DO72" s="154"/>
      <c r="DP72" s="154"/>
      <c r="DQ72" s="154"/>
      <c r="DR72" s="154"/>
      <c r="DS72" s="154"/>
      <c r="DT72" s="154"/>
      <c r="DU72" s="154"/>
      <c r="DV72" s="154"/>
      <c r="DW72" s="154"/>
      <c r="DX72" s="154"/>
      <c r="DY72" s="154"/>
      <c r="DZ72" s="154"/>
      <c r="EA72" s="154"/>
      <c r="EB72" s="154"/>
      <c r="EC72" s="154"/>
      <c r="ED72" s="154"/>
      <c r="EE72" s="154"/>
      <c r="EF72" s="154"/>
      <c r="EG72" s="154"/>
      <c r="EH72" s="154"/>
      <c r="EI72" s="154"/>
      <c r="EJ72" s="154"/>
      <c r="EK72" s="154"/>
      <c r="EL72" s="154"/>
      <c r="EM72" s="154"/>
      <c r="EN72" s="154"/>
      <c r="EO72" s="154"/>
      <c r="EP72" s="154"/>
      <c r="EQ72" s="154"/>
      <c r="ER72" s="154"/>
      <c r="ES72" s="154"/>
      <c r="ET72" s="154"/>
      <c r="EU72" s="154"/>
      <c r="EV72" s="154"/>
      <c r="EW72" s="154"/>
    </row>
    <row r="73" spans="2:153" ht="12.95" customHeight="1">
      <c r="B73" s="154"/>
      <c r="C73" s="380"/>
      <c r="D73" s="380"/>
      <c r="E73" s="154"/>
      <c r="F73" s="154"/>
      <c r="G73" s="154"/>
      <c r="H73" s="388"/>
      <c r="I73" s="377"/>
      <c r="J73" s="154"/>
      <c r="K73" s="154"/>
      <c r="L73" s="154"/>
      <c r="M73" s="154"/>
      <c r="N73" s="154"/>
      <c r="O73" s="154"/>
      <c r="P73" s="154"/>
      <c r="Q73" s="154"/>
      <c r="R73" s="154"/>
      <c r="S73" s="154"/>
      <c r="T73" s="154"/>
      <c r="U73" s="154"/>
      <c r="V73" s="154"/>
      <c r="W73" s="154"/>
      <c r="X73" s="154"/>
      <c r="Y73" s="154"/>
      <c r="Z73" s="154"/>
      <c r="AA73" s="154"/>
      <c r="AB73" s="154"/>
      <c r="AC73" s="154"/>
      <c r="AD73" s="154"/>
      <c r="AE73" s="154"/>
      <c r="AF73" s="367"/>
      <c r="AG73" s="368"/>
      <c r="AH73" s="368"/>
      <c r="AI73" s="368"/>
      <c r="AJ73" s="154"/>
      <c r="AK73" s="154"/>
      <c r="AL73" s="154"/>
      <c r="AM73" s="154"/>
      <c r="AN73" s="154"/>
      <c r="AO73" s="154"/>
      <c r="AP73" s="154"/>
      <c r="AQ73" s="154"/>
      <c r="AR73" s="154"/>
      <c r="AS73" s="154"/>
      <c r="AT73" s="154"/>
      <c r="AU73" s="154"/>
      <c r="AV73" s="154"/>
      <c r="AW73" s="154"/>
      <c r="AX73" s="154"/>
      <c r="AY73" s="154"/>
      <c r="AZ73" s="154"/>
      <c r="BA73" s="154"/>
      <c r="BB73" s="154"/>
      <c r="BC73" s="154"/>
      <c r="BD73" s="154"/>
      <c r="BE73" s="154"/>
      <c r="BF73" s="154"/>
      <c r="BG73" s="154"/>
      <c r="BH73" s="154"/>
      <c r="BI73" s="154"/>
      <c r="BJ73" s="154"/>
      <c r="BK73" s="154"/>
      <c r="BL73" s="154"/>
      <c r="BM73" s="154"/>
      <c r="BN73" s="154"/>
      <c r="BO73" s="154"/>
      <c r="BP73" s="154"/>
      <c r="BQ73" s="154"/>
      <c r="BR73" s="154"/>
      <c r="BS73" s="154"/>
      <c r="BT73" s="154"/>
      <c r="BU73" s="154"/>
      <c r="BV73" s="154"/>
      <c r="BW73" s="154"/>
      <c r="BX73" s="154"/>
      <c r="BY73" s="154"/>
      <c r="BZ73" s="154"/>
      <c r="CA73" s="154"/>
      <c r="CB73" s="154"/>
      <c r="CC73" s="154"/>
      <c r="CD73" s="154"/>
      <c r="CE73" s="154"/>
      <c r="CF73" s="154"/>
      <c r="CG73" s="154"/>
      <c r="CH73" s="154"/>
      <c r="CI73" s="154"/>
      <c r="CJ73" s="154"/>
      <c r="CK73" s="154"/>
      <c r="CL73" s="154"/>
      <c r="CM73" s="154"/>
      <c r="CN73" s="154"/>
      <c r="CO73" s="154"/>
      <c r="CP73" s="154"/>
      <c r="CQ73" s="154"/>
      <c r="CR73" s="154"/>
      <c r="CS73" s="154"/>
      <c r="CT73" s="154"/>
      <c r="CU73" s="154"/>
      <c r="CV73" s="154"/>
      <c r="CW73" s="154"/>
      <c r="CX73" s="154"/>
      <c r="CY73" s="154"/>
      <c r="CZ73" s="154"/>
      <c r="DA73" s="154"/>
      <c r="DB73" s="154"/>
      <c r="DC73" s="154"/>
      <c r="DD73" s="154"/>
      <c r="DE73" s="154"/>
      <c r="DF73" s="154"/>
      <c r="DG73" s="154"/>
      <c r="DH73" s="154"/>
      <c r="DI73" s="154"/>
      <c r="DJ73" s="154"/>
      <c r="DK73" s="154"/>
      <c r="DL73" s="154"/>
      <c r="DM73" s="154"/>
      <c r="DN73" s="154"/>
      <c r="DO73" s="154"/>
      <c r="DP73" s="154"/>
      <c r="DQ73" s="154"/>
      <c r="DR73" s="154"/>
      <c r="DS73" s="154"/>
      <c r="DT73" s="154"/>
      <c r="DU73" s="154"/>
      <c r="DV73" s="154"/>
      <c r="DW73" s="154"/>
      <c r="DX73" s="154"/>
      <c r="DY73" s="154"/>
      <c r="DZ73" s="154"/>
      <c r="EA73" s="154"/>
      <c r="EB73" s="154"/>
      <c r="EC73" s="154"/>
      <c r="ED73" s="154"/>
      <c r="EE73" s="154"/>
      <c r="EF73" s="154"/>
      <c r="EG73" s="154"/>
      <c r="EH73" s="154"/>
      <c r="EI73" s="154"/>
      <c r="EJ73" s="154"/>
      <c r="EK73" s="154"/>
      <c r="EL73" s="154"/>
      <c r="EM73" s="154"/>
      <c r="EN73" s="154"/>
      <c r="EO73" s="154"/>
      <c r="EP73" s="154"/>
      <c r="EQ73" s="154"/>
      <c r="ER73" s="154"/>
      <c r="ES73" s="154"/>
      <c r="ET73" s="154"/>
      <c r="EU73" s="154"/>
      <c r="EV73" s="154"/>
      <c r="EW73" s="154"/>
    </row>
    <row r="74" spans="2:153" ht="12.95" customHeight="1">
      <c r="B74" s="154"/>
      <c r="C74" s="380"/>
      <c r="D74" s="380"/>
      <c r="E74" s="154"/>
      <c r="F74" s="154"/>
      <c r="G74" s="154"/>
      <c r="H74" s="388"/>
      <c r="I74" s="387"/>
      <c r="J74" s="154"/>
      <c r="K74" s="154"/>
      <c r="L74" s="154"/>
      <c r="M74" s="154"/>
      <c r="N74" s="154"/>
      <c r="O74" s="154"/>
      <c r="P74" s="154"/>
      <c r="Q74" s="154"/>
      <c r="R74" s="154"/>
      <c r="S74" s="154"/>
      <c r="T74" s="154"/>
      <c r="U74" s="154"/>
      <c r="V74" s="154"/>
      <c r="W74" s="154"/>
      <c r="X74" s="154"/>
      <c r="Y74" s="154"/>
      <c r="Z74" s="154"/>
      <c r="AA74" s="154"/>
      <c r="AB74" s="154"/>
      <c r="AC74" s="154"/>
      <c r="AD74" s="154"/>
      <c r="AE74" s="154"/>
      <c r="AF74" s="367"/>
      <c r="AG74" s="368"/>
      <c r="AH74" s="368"/>
      <c r="AI74" s="368"/>
      <c r="AJ74" s="154"/>
      <c r="AK74" s="154"/>
      <c r="AL74" s="154"/>
      <c r="AM74" s="154"/>
      <c r="AN74" s="154"/>
      <c r="AO74" s="154"/>
      <c r="AP74" s="154"/>
      <c r="AQ74" s="154"/>
      <c r="AR74" s="154"/>
      <c r="AS74" s="154"/>
      <c r="AT74" s="154"/>
      <c r="AU74" s="154"/>
      <c r="AV74" s="154"/>
      <c r="AW74" s="154"/>
      <c r="AX74" s="154"/>
      <c r="AY74" s="154"/>
      <c r="AZ74" s="154"/>
      <c r="BA74" s="154"/>
      <c r="BB74" s="154"/>
      <c r="BC74" s="154"/>
      <c r="BD74" s="154"/>
      <c r="BE74" s="154"/>
      <c r="BF74" s="154"/>
      <c r="BG74" s="154"/>
      <c r="BH74" s="154"/>
      <c r="BI74" s="154"/>
      <c r="BJ74" s="154"/>
      <c r="BK74" s="154"/>
      <c r="BL74" s="154"/>
      <c r="BM74" s="154"/>
      <c r="BN74" s="154"/>
      <c r="BO74" s="154"/>
      <c r="BP74" s="154"/>
      <c r="BQ74" s="154"/>
      <c r="BR74" s="154"/>
      <c r="BS74" s="154"/>
      <c r="BT74" s="154"/>
      <c r="BU74" s="154"/>
      <c r="BV74" s="154"/>
      <c r="BW74" s="154"/>
      <c r="BX74" s="154"/>
      <c r="BY74" s="154"/>
      <c r="BZ74" s="154"/>
      <c r="CA74" s="154"/>
      <c r="CB74" s="154"/>
      <c r="CC74" s="154"/>
      <c r="CD74" s="154"/>
      <c r="CE74" s="154"/>
      <c r="CF74" s="154"/>
      <c r="CG74" s="154"/>
      <c r="CH74" s="154"/>
      <c r="CI74" s="154"/>
      <c r="CJ74" s="154"/>
      <c r="CK74" s="154"/>
      <c r="CL74" s="154"/>
      <c r="CM74" s="154"/>
      <c r="CN74" s="154"/>
      <c r="CO74" s="154"/>
      <c r="CP74" s="154"/>
      <c r="CQ74" s="154"/>
      <c r="CR74" s="154"/>
      <c r="CS74" s="154"/>
      <c r="CT74" s="154"/>
      <c r="CU74" s="154"/>
      <c r="CV74" s="154"/>
      <c r="CW74" s="154"/>
      <c r="CX74" s="154"/>
      <c r="CY74" s="154"/>
      <c r="CZ74" s="154"/>
      <c r="DA74" s="154"/>
      <c r="DB74" s="154"/>
      <c r="DC74" s="154"/>
      <c r="DD74" s="154"/>
      <c r="DE74" s="154"/>
      <c r="DF74" s="154"/>
      <c r="DG74" s="154"/>
      <c r="DH74" s="154"/>
      <c r="DI74" s="154"/>
      <c r="DJ74" s="154"/>
      <c r="DK74" s="154"/>
      <c r="DL74" s="154"/>
      <c r="DM74" s="154"/>
      <c r="DN74" s="154"/>
      <c r="DO74" s="154"/>
      <c r="DP74" s="154"/>
      <c r="DQ74" s="154"/>
      <c r="DR74" s="154"/>
      <c r="DS74" s="154"/>
      <c r="DT74" s="154"/>
      <c r="DU74" s="154"/>
      <c r="DV74" s="154"/>
      <c r="DW74" s="154"/>
      <c r="DX74" s="154"/>
      <c r="DY74" s="154"/>
      <c r="DZ74" s="154"/>
      <c r="EA74" s="154"/>
      <c r="EB74" s="154"/>
      <c r="EC74" s="154"/>
      <c r="ED74" s="154"/>
      <c r="EE74" s="154"/>
      <c r="EF74" s="154"/>
      <c r="EG74" s="154"/>
      <c r="EH74" s="154"/>
      <c r="EI74" s="154"/>
      <c r="EJ74" s="154"/>
      <c r="EK74" s="154"/>
      <c r="EL74" s="154"/>
      <c r="EM74" s="154"/>
      <c r="EN74" s="154"/>
      <c r="EO74" s="154"/>
      <c r="EP74" s="154"/>
      <c r="EQ74" s="154"/>
      <c r="ER74" s="154"/>
      <c r="ES74" s="154"/>
      <c r="ET74" s="154"/>
      <c r="EU74" s="154"/>
      <c r="EV74" s="154"/>
      <c r="EW74" s="154"/>
    </row>
    <row r="75" spans="2:153" ht="12.95" customHeight="1">
      <c r="B75" s="154"/>
      <c r="C75" s="380"/>
      <c r="D75" s="380"/>
      <c r="E75" s="154"/>
      <c r="F75" s="154"/>
      <c r="G75" s="154"/>
      <c r="H75" s="388"/>
      <c r="I75" s="377"/>
      <c r="J75" s="154"/>
      <c r="K75" s="154"/>
      <c r="L75" s="154"/>
      <c r="M75" s="154"/>
      <c r="N75" s="154"/>
      <c r="O75" s="154"/>
      <c r="P75" s="154"/>
      <c r="Q75" s="154"/>
      <c r="R75" s="154"/>
      <c r="S75" s="154"/>
      <c r="T75" s="154"/>
      <c r="U75" s="154"/>
      <c r="V75" s="154"/>
      <c r="W75" s="154"/>
      <c r="X75" s="154"/>
      <c r="Y75" s="154"/>
      <c r="Z75" s="154"/>
      <c r="AA75" s="154"/>
      <c r="AB75" s="154"/>
      <c r="AC75" s="154"/>
      <c r="AD75" s="154"/>
      <c r="AE75" s="154"/>
      <c r="AF75" s="367"/>
      <c r="AG75" s="368"/>
      <c r="AH75" s="368"/>
      <c r="AI75" s="368"/>
      <c r="AJ75" s="154"/>
      <c r="AK75" s="154"/>
      <c r="AL75" s="154"/>
      <c r="AM75" s="154"/>
      <c r="AN75" s="154"/>
      <c r="AO75" s="154"/>
      <c r="AP75" s="154"/>
      <c r="AQ75" s="154"/>
      <c r="AR75" s="154"/>
      <c r="AS75" s="154"/>
      <c r="AT75" s="154"/>
      <c r="AU75" s="154"/>
      <c r="AV75" s="154"/>
      <c r="AW75" s="154"/>
      <c r="AX75" s="154"/>
      <c r="AY75" s="154"/>
      <c r="AZ75" s="154"/>
      <c r="BA75" s="154"/>
      <c r="BB75" s="154"/>
      <c r="BC75" s="154"/>
      <c r="BD75" s="154"/>
      <c r="BE75" s="154"/>
      <c r="BF75" s="154"/>
      <c r="BG75" s="154"/>
      <c r="BH75" s="154"/>
      <c r="BI75" s="154"/>
      <c r="BJ75" s="154"/>
      <c r="BK75" s="154"/>
      <c r="BL75" s="154"/>
      <c r="BM75" s="154"/>
      <c r="BN75" s="154"/>
      <c r="BO75" s="154"/>
      <c r="BP75" s="154"/>
      <c r="BQ75" s="154"/>
      <c r="BR75" s="154"/>
      <c r="BS75" s="154"/>
      <c r="BT75" s="154"/>
      <c r="BU75" s="154"/>
      <c r="BV75" s="154"/>
      <c r="BW75" s="154"/>
      <c r="BX75" s="154"/>
      <c r="BY75" s="154"/>
      <c r="BZ75" s="154"/>
      <c r="CA75" s="154"/>
      <c r="CB75" s="154"/>
      <c r="CC75" s="154"/>
      <c r="CD75" s="154"/>
      <c r="CE75" s="154"/>
      <c r="CF75" s="154"/>
      <c r="CG75" s="154"/>
      <c r="CH75" s="154"/>
      <c r="CI75" s="154"/>
      <c r="CJ75" s="154"/>
      <c r="CK75" s="154"/>
      <c r="CL75" s="154"/>
      <c r="CM75" s="154"/>
      <c r="CN75" s="154"/>
      <c r="CO75" s="154"/>
      <c r="CP75" s="154"/>
      <c r="CQ75" s="154"/>
      <c r="CR75" s="154"/>
      <c r="CS75" s="154"/>
      <c r="CT75" s="154"/>
      <c r="CU75" s="154"/>
      <c r="CV75" s="154"/>
      <c r="CW75" s="154"/>
      <c r="CX75" s="154"/>
      <c r="CY75" s="154"/>
      <c r="CZ75" s="154"/>
      <c r="DA75" s="154"/>
      <c r="DB75" s="154"/>
      <c r="DC75" s="154"/>
      <c r="DD75" s="154"/>
      <c r="DE75" s="154"/>
      <c r="DF75" s="154"/>
      <c r="DG75" s="154"/>
      <c r="DH75" s="154"/>
      <c r="DI75" s="154"/>
      <c r="DJ75" s="154"/>
      <c r="DK75" s="154"/>
      <c r="DL75" s="154"/>
      <c r="DM75" s="154"/>
      <c r="DN75" s="154"/>
      <c r="DO75" s="154"/>
      <c r="DP75" s="154"/>
      <c r="DQ75" s="154"/>
      <c r="DR75" s="154"/>
      <c r="DS75" s="154"/>
      <c r="DT75" s="154"/>
      <c r="DU75" s="154"/>
      <c r="DV75" s="154"/>
      <c r="DW75" s="154"/>
      <c r="DX75" s="154"/>
      <c r="DY75" s="154"/>
      <c r="DZ75" s="154"/>
      <c r="EA75" s="154"/>
      <c r="EB75" s="154"/>
      <c r="EC75" s="154"/>
      <c r="ED75" s="154"/>
      <c r="EE75" s="154"/>
      <c r="EF75" s="154"/>
      <c r="EG75" s="154"/>
      <c r="EH75" s="154"/>
      <c r="EI75" s="154"/>
      <c r="EJ75" s="154"/>
      <c r="EK75" s="154"/>
      <c r="EL75" s="154"/>
      <c r="EM75" s="154"/>
      <c r="EN75" s="154"/>
      <c r="EO75" s="154"/>
      <c r="EP75" s="154"/>
      <c r="EQ75" s="154"/>
      <c r="ER75" s="154"/>
      <c r="ES75" s="154"/>
      <c r="ET75" s="154"/>
      <c r="EU75" s="154"/>
      <c r="EV75" s="154"/>
      <c r="EW75" s="154"/>
    </row>
    <row r="76" spans="2:153" ht="12.95" customHeight="1">
      <c r="B76" s="154"/>
      <c r="C76" s="380"/>
      <c r="D76" s="380"/>
      <c r="E76" s="154"/>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c r="AD76" s="154"/>
      <c r="AE76" s="154"/>
      <c r="AF76" s="367"/>
      <c r="AG76" s="368"/>
      <c r="AH76" s="368"/>
      <c r="AI76" s="368"/>
      <c r="AJ76" s="154"/>
      <c r="AK76" s="154"/>
      <c r="AL76" s="154"/>
      <c r="AM76" s="154"/>
      <c r="AN76" s="154"/>
      <c r="AO76" s="154"/>
      <c r="AP76" s="154"/>
      <c r="AQ76" s="154"/>
      <c r="AR76" s="154"/>
      <c r="AS76" s="154"/>
      <c r="AT76" s="154"/>
      <c r="AU76" s="154"/>
      <c r="AV76" s="154"/>
      <c r="AW76" s="154"/>
      <c r="AX76" s="154"/>
      <c r="AY76" s="154"/>
      <c r="AZ76" s="154"/>
      <c r="BA76" s="154"/>
      <c r="BB76" s="154"/>
      <c r="BC76" s="154"/>
      <c r="BD76" s="154"/>
      <c r="BE76" s="154"/>
      <c r="BF76" s="154"/>
      <c r="BG76" s="154"/>
      <c r="BH76" s="154"/>
      <c r="BI76" s="154"/>
      <c r="BJ76" s="154"/>
      <c r="BK76" s="154"/>
      <c r="BL76" s="154"/>
      <c r="BM76" s="154"/>
      <c r="BN76" s="154"/>
      <c r="BO76" s="154"/>
      <c r="BP76" s="154"/>
      <c r="BQ76" s="154"/>
      <c r="BR76" s="154"/>
      <c r="BS76" s="154"/>
      <c r="BT76" s="154"/>
      <c r="BU76" s="154"/>
      <c r="BV76" s="154"/>
      <c r="BW76" s="154"/>
      <c r="BX76" s="154"/>
      <c r="BY76" s="154"/>
      <c r="BZ76" s="154"/>
      <c r="CA76" s="154"/>
      <c r="CB76" s="154"/>
      <c r="CC76" s="154"/>
      <c r="CD76" s="154"/>
      <c r="CE76" s="154"/>
      <c r="CF76" s="154"/>
      <c r="CG76" s="154"/>
      <c r="CH76" s="154"/>
      <c r="CI76" s="154"/>
      <c r="CJ76" s="154"/>
      <c r="CK76" s="154"/>
      <c r="CL76" s="154"/>
      <c r="CM76" s="154"/>
      <c r="CN76" s="154"/>
      <c r="CO76" s="154"/>
      <c r="CP76" s="154"/>
      <c r="CQ76" s="154"/>
      <c r="CR76" s="154"/>
      <c r="CS76" s="154"/>
      <c r="CT76" s="154"/>
      <c r="CU76" s="154"/>
      <c r="CV76" s="154"/>
      <c r="CW76" s="154"/>
      <c r="CX76" s="154"/>
      <c r="CY76" s="154"/>
      <c r="CZ76" s="154"/>
      <c r="DA76" s="154"/>
      <c r="DB76" s="154"/>
      <c r="DC76" s="154"/>
      <c r="DD76" s="154"/>
      <c r="DE76" s="154"/>
      <c r="DF76" s="154"/>
      <c r="DG76" s="154"/>
      <c r="DH76" s="154"/>
      <c r="DI76" s="154"/>
      <c r="DJ76" s="154"/>
      <c r="DK76" s="154"/>
      <c r="DL76" s="154"/>
      <c r="DM76" s="154"/>
      <c r="DN76" s="154"/>
      <c r="DO76" s="154"/>
      <c r="DP76" s="154"/>
      <c r="DQ76" s="154"/>
      <c r="DR76" s="154"/>
      <c r="DS76" s="154"/>
      <c r="DT76" s="154"/>
      <c r="DU76" s="154"/>
      <c r="DV76" s="154"/>
      <c r="DW76" s="154"/>
      <c r="DX76" s="154"/>
      <c r="DY76" s="154"/>
      <c r="DZ76" s="154"/>
      <c r="EA76" s="154"/>
      <c r="EB76" s="154"/>
      <c r="EC76" s="154"/>
      <c r="ED76" s="154"/>
      <c r="EE76" s="154"/>
      <c r="EF76" s="154"/>
      <c r="EG76" s="154"/>
      <c r="EH76" s="154"/>
      <c r="EI76" s="154"/>
      <c r="EJ76" s="154"/>
      <c r="EK76" s="154"/>
      <c r="EL76" s="154"/>
      <c r="EM76" s="154"/>
      <c r="EN76" s="154"/>
      <c r="EO76" s="154"/>
      <c r="EP76" s="154"/>
      <c r="EQ76" s="154"/>
      <c r="ER76" s="154"/>
      <c r="ES76" s="154"/>
      <c r="ET76" s="154"/>
      <c r="EU76" s="154"/>
      <c r="EV76" s="154"/>
      <c r="EW76" s="154"/>
    </row>
    <row r="77" spans="2:153" ht="12.95" customHeight="1">
      <c r="B77" s="154"/>
      <c r="C77" s="380"/>
      <c r="D77" s="380"/>
      <c r="E77" s="154"/>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c r="AD77" s="154"/>
      <c r="AE77" s="154"/>
      <c r="AF77" s="367"/>
      <c r="AG77" s="368"/>
      <c r="AH77" s="368"/>
      <c r="AI77" s="368"/>
      <c r="AJ77" s="154"/>
      <c r="AK77" s="154"/>
      <c r="AL77" s="154"/>
      <c r="AM77" s="154"/>
      <c r="AN77" s="154"/>
      <c r="AO77" s="154"/>
      <c r="AP77" s="154"/>
      <c r="AQ77" s="154"/>
      <c r="AR77" s="154"/>
      <c r="AS77" s="154"/>
      <c r="AT77" s="154"/>
      <c r="AU77" s="154"/>
      <c r="AV77" s="154"/>
      <c r="AW77" s="154"/>
      <c r="AX77" s="154"/>
      <c r="AY77" s="154"/>
      <c r="AZ77" s="154"/>
      <c r="BA77" s="154"/>
      <c r="BB77" s="154"/>
      <c r="BC77" s="154"/>
      <c r="BD77" s="154"/>
      <c r="BE77" s="154"/>
      <c r="BF77" s="154"/>
      <c r="BG77" s="154"/>
      <c r="BH77" s="154"/>
      <c r="BI77" s="154"/>
      <c r="BJ77" s="154"/>
      <c r="BK77" s="154"/>
      <c r="BL77" s="154"/>
      <c r="BM77" s="154"/>
      <c r="BN77" s="154"/>
      <c r="BO77" s="154"/>
      <c r="BP77" s="154"/>
      <c r="BQ77" s="154"/>
      <c r="BR77" s="154"/>
      <c r="BS77" s="154"/>
      <c r="BT77" s="154"/>
      <c r="BU77" s="154"/>
      <c r="BV77" s="154"/>
      <c r="BW77" s="154"/>
      <c r="BX77" s="154"/>
      <c r="BY77" s="154"/>
      <c r="BZ77" s="154"/>
      <c r="CA77" s="154"/>
      <c r="CB77" s="154"/>
      <c r="CC77" s="154"/>
      <c r="CD77" s="154"/>
      <c r="CE77" s="154"/>
      <c r="CF77" s="154"/>
      <c r="CG77" s="154"/>
      <c r="CH77" s="154"/>
      <c r="CI77" s="154"/>
      <c r="CJ77" s="154"/>
      <c r="CK77" s="154"/>
      <c r="CL77" s="154"/>
      <c r="CM77" s="154"/>
      <c r="CN77" s="154"/>
      <c r="CO77" s="154"/>
      <c r="CP77" s="154"/>
      <c r="CQ77" s="154"/>
      <c r="CR77" s="154"/>
      <c r="CS77" s="154"/>
      <c r="CT77" s="154"/>
      <c r="CU77" s="154"/>
      <c r="CV77" s="154"/>
      <c r="CW77" s="154"/>
      <c r="CX77" s="154"/>
      <c r="CY77" s="154"/>
      <c r="CZ77" s="154"/>
      <c r="DA77" s="154"/>
      <c r="DB77" s="154"/>
      <c r="DC77" s="154"/>
      <c r="DD77" s="154"/>
      <c r="DE77" s="154"/>
      <c r="DF77" s="154"/>
      <c r="DG77" s="154"/>
      <c r="DH77" s="154"/>
      <c r="DI77" s="154"/>
      <c r="DJ77" s="154"/>
      <c r="DK77" s="154"/>
      <c r="DL77" s="154"/>
      <c r="DM77" s="154"/>
      <c r="DN77" s="154"/>
      <c r="DO77" s="154"/>
      <c r="DP77" s="154"/>
      <c r="DQ77" s="154"/>
      <c r="DR77" s="154"/>
      <c r="DS77" s="154"/>
      <c r="DT77" s="154"/>
      <c r="DU77" s="154"/>
      <c r="DV77" s="154"/>
      <c r="DW77" s="154"/>
      <c r="DX77" s="154"/>
      <c r="DY77" s="154"/>
      <c r="DZ77" s="154"/>
      <c r="EA77" s="154"/>
      <c r="EB77" s="154"/>
      <c r="EC77" s="154"/>
      <c r="ED77" s="154"/>
      <c r="EE77" s="154"/>
      <c r="EF77" s="154"/>
      <c r="EG77" s="154"/>
      <c r="EH77" s="154"/>
      <c r="EI77" s="154"/>
      <c r="EJ77" s="154"/>
      <c r="EK77" s="154"/>
      <c r="EL77" s="154"/>
      <c r="EM77" s="154"/>
      <c r="EN77" s="154"/>
      <c r="EO77" s="154"/>
      <c r="EP77" s="154"/>
      <c r="EQ77" s="154"/>
      <c r="ER77" s="154"/>
      <c r="ES77" s="154"/>
      <c r="ET77" s="154"/>
      <c r="EU77" s="154"/>
      <c r="EV77" s="154"/>
      <c r="EW77" s="154"/>
    </row>
    <row r="78" spans="2:153" ht="12.95" customHeight="1">
      <c r="B78" s="154"/>
      <c r="C78" s="380"/>
      <c r="D78" s="380"/>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c r="AD78" s="154"/>
      <c r="AE78" s="154"/>
      <c r="AF78" s="367"/>
      <c r="AG78" s="368"/>
      <c r="AH78" s="368"/>
      <c r="AI78" s="368"/>
      <c r="AJ78" s="154"/>
      <c r="AK78" s="154"/>
      <c r="AL78" s="154"/>
      <c r="AM78" s="154"/>
      <c r="AN78" s="154"/>
      <c r="AO78" s="154"/>
      <c r="AP78" s="154"/>
      <c r="AQ78" s="154"/>
      <c r="AR78" s="154"/>
      <c r="AS78" s="154"/>
      <c r="AT78" s="154"/>
      <c r="AU78" s="154"/>
      <c r="AV78" s="154"/>
      <c r="AW78" s="154"/>
      <c r="AX78" s="154"/>
      <c r="AY78" s="154"/>
      <c r="AZ78" s="154"/>
      <c r="BA78" s="154"/>
      <c r="BB78" s="154"/>
      <c r="BC78" s="154"/>
      <c r="BD78" s="154"/>
      <c r="BE78" s="154"/>
      <c r="BF78" s="154"/>
      <c r="BG78" s="154"/>
      <c r="BH78" s="154"/>
      <c r="BI78" s="154"/>
      <c r="BJ78" s="154"/>
      <c r="BK78" s="154"/>
      <c r="BL78" s="154"/>
      <c r="BM78" s="154"/>
      <c r="BN78" s="154"/>
      <c r="BO78" s="154"/>
      <c r="BP78" s="154"/>
      <c r="BQ78" s="154"/>
      <c r="BR78" s="154"/>
      <c r="BS78" s="154"/>
      <c r="BT78" s="154"/>
      <c r="BU78" s="154"/>
      <c r="BV78" s="154"/>
      <c r="BW78" s="154"/>
      <c r="BX78" s="154"/>
      <c r="BY78" s="154"/>
      <c r="BZ78" s="154"/>
      <c r="CA78" s="154"/>
      <c r="CB78" s="154"/>
      <c r="CC78" s="154"/>
      <c r="CD78" s="154"/>
      <c r="CE78" s="154"/>
      <c r="CF78" s="154"/>
      <c r="CG78" s="154"/>
      <c r="CH78" s="154"/>
      <c r="CI78" s="154"/>
      <c r="CJ78" s="154"/>
      <c r="CK78" s="154"/>
      <c r="CL78" s="154"/>
      <c r="CM78" s="154"/>
      <c r="CN78" s="154"/>
      <c r="CO78" s="154"/>
      <c r="CP78" s="154"/>
      <c r="CQ78" s="154"/>
      <c r="CR78" s="154"/>
      <c r="CS78" s="154"/>
      <c r="CT78" s="154"/>
      <c r="CU78" s="154"/>
      <c r="CV78" s="154"/>
      <c r="CW78" s="154"/>
      <c r="CX78" s="154"/>
      <c r="CY78" s="154"/>
      <c r="CZ78" s="154"/>
      <c r="DA78" s="154"/>
      <c r="DB78" s="154"/>
      <c r="DC78" s="154"/>
      <c r="DD78" s="154"/>
      <c r="DE78" s="154"/>
      <c r="DF78" s="154"/>
      <c r="DG78" s="154"/>
      <c r="DH78" s="154"/>
      <c r="DI78" s="154"/>
      <c r="DJ78" s="154"/>
      <c r="DK78" s="154"/>
      <c r="DL78" s="154"/>
      <c r="DM78" s="154"/>
      <c r="DN78" s="154"/>
      <c r="DO78" s="154"/>
      <c r="DP78" s="154"/>
      <c r="DQ78" s="154"/>
      <c r="DR78" s="154"/>
      <c r="DS78" s="154"/>
      <c r="DT78" s="154"/>
      <c r="DU78" s="154"/>
      <c r="DV78" s="154"/>
      <c r="DW78" s="154"/>
      <c r="DX78" s="154"/>
      <c r="DY78" s="154"/>
      <c r="DZ78" s="154"/>
      <c r="EA78" s="154"/>
      <c r="EB78" s="154"/>
      <c r="EC78" s="154"/>
      <c r="ED78" s="154"/>
      <c r="EE78" s="154"/>
      <c r="EF78" s="154"/>
      <c r="EG78" s="154"/>
      <c r="EH78" s="154"/>
      <c r="EI78" s="154"/>
      <c r="EJ78" s="154"/>
      <c r="EK78" s="154"/>
      <c r="EL78" s="154"/>
      <c r="EM78" s="154"/>
      <c r="EN78" s="154"/>
      <c r="EO78" s="154"/>
      <c r="EP78" s="154"/>
      <c r="EQ78" s="154"/>
      <c r="ER78" s="154"/>
      <c r="ES78" s="154"/>
      <c r="ET78" s="154"/>
      <c r="EU78" s="154"/>
      <c r="EV78" s="154"/>
      <c r="EW78" s="154"/>
    </row>
    <row r="79" spans="2:153" ht="12.95" customHeight="1">
      <c r="B79" s="154"/>
      <c r="C79" s="380"/>
      <c r="D79" s="380"/>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c r="AD79" s="154"/>
      <c r="AE79" s="154"/>
      <c r="AF79" s="367"/>
      <c r="AG79" s="368"/>
      <c r="AH79" s="368"/>
      <c r="AI79" s="368"/>
      <c r="AJ79" s="154"/>
      <c r="AK79" s="154"/>
      <c r="AL79" s="154"/>
      <c r="AM79" s="154"/>
      <c r="AN79" s="154"/>
      <c r="AO79" s="154"/>
      <c r="AP79" s="154"/>
      <c r="AQ79" s="154"/>
      <c r="AR79" s="154"/>
      <c r="AS79" s="154"/>
      <c r="AT79" s="154"/>
      <c r="AU79" s="154"/>
      <c r="AV79" s="154"/>
      <c r="AW79" s="154"/>
      <c r="AX79" s="154"/>
      <c r="AY79" s="154"/>
      <c r="AZ79" s="154"/>
      <c r="BA79" s="154"/>
      <c r="BB79" s="154"/>
      <c r="BC79" s="154"/>
      <c r="BD79" s="154"/>
      <c r="BE79" s="154"/>
      <c r="BF79" s="154"/>
      <c r="BG79" s="154"/>
      <c r="BH79" s="154"/>
      <c r="BI79" s="154"/>
      <c r="BJ79" s="154"/>
      <c r="BK79" s="154"/>
      <c r="BL79" s="154"/>
      <c r="BM79" s="154"/>
      <c r="BN79" s="154"/>
      <c r="BO79" s="154"/>
      <c r="BP79" s="154"/>
      <c r="BQ79" s="154"/>
      <c r="BR79" s="154"/>
      <c r="BS79" s="154"/>
      <c r="BT79" s="154"/>
      <c r="BU79" s="154"/>
      <c r="BV79" s="154"/>
      <c r="BW79" s="154"/>
      <c r="BX79" s="154"/>
      <c r="BY79" s="154"/>
      <c r="BZ79" s="154"/>
      <c r="CA79" s="154"/>
      <c r="CB79" s="154"/>
      <c r="CC79" s="154"/>
      <c r="CD79" s="154"/>
      <c r="CE79" s="154"/>
      <c r="CF79" s="154"/>
      <c r="CG79" s="154"/>
      <c r="CH79" s="154"/>
      <c r="CI79" s="154"/>
      <c r="CJ79" s="154"/>
      <c r="CK79" s="154"/>
      <c r="CL79" s="154"/>
      <c r="CM79" s="154"/>
      <c r="CN79" s="154"/>
      <c r="CO79" s="154"/>
      <c r="CP79" s="154"/>
      <c r="CQ79" s="154"/>
      <c r="CR79" s="154"/>
      <c r="CS79" s="154"/>
      <c r="CT79" s="154"/>
      <c r="CU79" s="154"/>
      <c r="CV79" s="154"/>
      <c r="CW79" s="154"/>
      <c r="CX79" s="154"/>
      <c r="CY79" s="154"/>
      <c r="CZ79" s="154"/>
      <c r="DA79" s="154"/>
      <c r="DB79" s="154"/>
      <c r="DC79" s="154"/>
      <c r="DD79" s="154"/>
      <c r="DE79" s="154"/>
      <c r="DF79" s="154"/>
      <c r="DG79" s="154"/>
      <c r="DH79" s="154"/>
      <c r="DI79" s="154"/>
      <c r="DJ79" s="154"/>
      <c r="DK79" s="154"/>
      <c r="DL79" s="154"/>
      <c r="DM79" s="154"/>
      <c r="DN79" s="154"/>
      <c r="DO79" s="154"/>
      <c r="DP79" s="154"/>
      <c r="DQ79" s="154"/>
      <c r="DR79" s="154"/>
      <c r="DS79" s="154"/>
      <c r="DT79" s="154"/>
      <c r="DU79" s="154"/>
      <c r="DV79" s="154"/>
      <c r="DW79" s="154"/>
      <c r="DX79" s="154"/>
      <c r="DY79" s="154"/>
      <c r="DZ79" s="154"/>
      <c r="EA79" s="154"/>
      <c r="EB79" s="154"/>
      <c r="EC79" s="154"/>
      <c r="ED79" s="154"/>
      <c r="EE79" s="154"/>
      <c r="EF79" s="154"/>
      <c r="EG79" s="154"/>
      <c r="EH79" s="154"/>
      <c r="EI79" s="154"/>
      <c r="EJ79" s="154"/>
      <c r="EK79" s="154"/>
      <c r="EL79" s="154"/>
      <c r="EM79" s="154"/>
      <c r="EN79" s="154"/>
      <c r="EO79" s="154"/>
      <c r="EP79" s="154"/>
      <c r="EQ79" s="154"/>
      <c r="ER79" s="154"/>
      <c r="ES79" s="154"/>
      <c r="ET79" s="154"/>
      <c r="EU79" s="154"/>
      <c r="EV79" s="154"/>
      <c r="EW79" s="154"/>
    </row>
    <row r="80" spans="2:153" ht="12.95" customHeight="1">
      <c r="B80" s="154"/>
      <c r="C80" s="380"/>
      <c r="D80" s="380"/>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c r="AD80" s="154"/>
      <c r="AE80" s="154"/>
      <c r="AF80" s="367"/>
      <c r="AG80" s="368"/>
      <c r="AH80" s="368"/>
      <c r="AI80" s="368"/>
      <c r="AJ80" s="154"/>
      <c r="AK80" s="154"/>
      <c r="AL80" s="154"/>
      <c r="AM80" s="154"/>
      <c r="AN80" s="154"/>
      <c r="AO80" s="154"/>
      <c r="AP80" s="154"/>
      <c r="AQ80" s="154"/>
      <c r="AR80" s="154"/>
      <c r="AS80" s="154"/>
      <c r="AT80" s="154"/>
      <c r="AU80" s="154"/>
      <c r="AV80" s="154"/>
      <c r="AW80" s="154"/>
      <c r="AX80" s="154"/>
      <c r="AY80" s="154"/>
      <c r="AZ80" s="154"/>
      <c r="BA80" s="154"/>
      <c r="BB80" s="154"/>
      <c r="BC80" s="154"/>
      <c r="BD80" s="154"/>
      <c r="BE80" s="154"/>
      <c r="BF80" s="154"/>
      <c r="BG80" s="154"/>
      <c r="BH80" s="154"/>
      <c r="BI80" s="154"/>
      <c r="BJ80" s="154"/>
      <c r="BK80" s="154"/>
      <c r="BL80" s="154"/>
      <c r="BM80" s="154"/>
      <c r="BN80" s="154"/>
      <c r="BO80" s="154"/>
      <c r="BP80" s="154"/>
      <c r="BQ80" s="154"/>
      <c r="BR80" s="154"/>
      <c r="BS80" s="154"/>
      <c r="BT80" s="154"/>
      <c r="BU80" s="154"/>
      <c r="BV80" s="154"/>
      <c r="BW80" s="154"/>
      <c r="BX80" s="154"/>
      <c r="BY80" s="154"/>
      <c r="BZ80" s="154"/>
      <c r="CA80" s="154"/>
      <c r="CB80" s="154"/>
      <c r="CC80" s="154"/>
      <c r="CD80" s="154"/>
      <c r="CE80" s="154"/>
      <c r="CF80" s="154"/>
      <c r="CG80" s="154"/>
      <c r="CH80" s="154"/>
      <c r="CI80" s="154"/>
      <c r="CJ80" s="154"/>
      <c r="CK80" s="154"/>
      <c r="CL80" s="154"/>
      <c r="CM80" s="154"/>
      <c r="CN80" s="154"/>
      <c r="CO80" s="154"/>
      <c r="CP80" s="154"/>
      <c r="CQ80" s="154"/>
      <c r="CR80" s="154"/>
      <c r="CS80" s="154"/>
      <c r="CT80" s="154"/>
      <c r="CU80" s="154"/>
      <c r="CV80" s="154"/>
      <c r="CW80" s="154"/>
      <c r="CX80" s="154"/>
      <c r="CY80" s="154"/>
      <c r="CZ80" s="154"/>
      <c r="DA80" s="154"/>
      <c r="DB80" s="154"/>
      <c r="DC80" s="154"/>
      <c r="DD80" s="154"/>
      <c r="DE80" s="154"/>
      <c r="DF80" s="154"/>
      <c r="DG80" s="154"/>
      <c r="DH80" s="154"/>
      <c r="DI80" s="154"/>
      <c r="DJ80" s="154"/>
      <c r="DK80" s="154"/>
      <c r="DL80" s="154"/>
      <c r="DM80" s="154"/>
      <c r="DN80" s="154"/>
      <c r="DO80" s="154"/>
      <c r="DP80" s="154"/>
      <c r="DQ80" s="154"/>
      <c r="DR80" s="154"/>
      <c r="DS80" s="154"/>
      <c r="DT80" s="154"/>
      <c r="DU80" s="154"/>
      <c r="DV80" s="154"/>
      <c r="DW80" s="154"/>
      <c r="DX80" s="154"/>
      <c r="DY80" s="154"/>
      <c r="DZ80" s="154"/>
      <c r="EA80" s="154"/>
      <c r="EB80" s="154"/>
      <c r="EC80" s="154"/>
      <c r="ED80" s="154"/>
      <c r="EE80" s="154"/>
      <c r="EF80" s="154"/>
      <c r="EG80" s="154"/>
      <c r="EH80" s="154"/>
      <c r="EI80" s="154"/>
      <c r="EJ80" s="154"/>
      <c r="EK80" s="154"/>
      <c r="EL80" s="154"/>
      <c r="EM80" s="154"/>
      <c r="EN80" s="154"/>
      <c r="EO80" s="154"/>
      <c r="EP80" s="154"/>
      <c r="EQ80" s="154"/>
      <c r="ER80" s="154"/>
      <c r="ES80" s="154"/>
      <c r="ET80" s="154"/>
      <c r="EU80" s="154"/>
      <c r="EV80" s="154"/>
      <c r="EW80" s="154"/>
    </row>
    <row r="81" spans="2:153" ht="12.95" customHeight="1">
      <c r="B81" s="154"/>
      <c r="C81" s="380"/>
      <c r="D81" s="380"/>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c r="AD81" s="154"/>
      <c r="AE81" s="154"/>
      <c r="AF81" s="367"/>
      <c r="AG81" s="368"/>
      <c r="AH81" s="368"/>
      <c r="AI81" s="368"/>
      <c r="AJ81" s="154"/>
      <c r="AK81" s="154"/>
      <c r="AL81" s="154"/>
      <c r="AM81" s="154"/>
      <c r="AN81" s="154"/>
      <c r="AO81" s="154"/>
      <c r="AP81" s="154"/>
      <c r="AQ81" s="154"/>
      <c r="AR81" s="154"/>
      <c r="AS81" s="154"/>
      <c r="AT81" s="154"/>
      <c r="AU81" s="154"/>
      <c r="AV81" s="154"/>
      <c r="AW81" s="154"/>
      <c r="AX81" s="154"/>
      <c r="AY81" s="154"/>
      <c r="AZ81" s="154"/>
      <c r="BA81" s="154"/>
      <c r="BB81" s="154"/>
      <c r="BC81" s="154"/>
      <c r="BD81" s="154"/>
      <c r="BE81" s="154"/>
      <c r="BF81" s="154"/>
      <c r="BG81" s="154"/>
      <c r="BH81" s="154"/>
      <c r="BI81" s="154"/>
      <c r="BJ81" s="154"/>
      <c r="BK81" s="154"/>
      <c r="BL81" s="154"/>
      <c r="BM81" s="154"/>
      <c r="BN81" s="154"/>
      <c r="BO81" s="154"/>
      <c r="BP81" s="154"/>
      <c r="BQ81" s="154"/>
      <c r="BR81" s="154"/>
      <c r="BS81" s="154"/>
      <c r="BT81" s="154"/>
      <c r="BU81" s="154"/>
      <c r="BV81" s="154"/>
      <c r="BW81" s="154"/>
      <c r="BX81" s="154"/>
      <c r="BY81" s="154"/>
      <c r="BZ81" s="154"/>
      <c r="CA81" s="154"/>
      <c r="CB81" s="154"/>
      <c r="CC81" s="154"/>
      <c r="CD81" s="154"/>
      <c r="CE81" s="154"/>
      <c r="CF81" s="154"/>
      <c r="CG81" s="154"/>
      <c r="CH81" s="154"/>
      <c r="CI81" s="154"/>
      <c r="CJ81" s="154"/>
      <c r="CK81" s="154"/>
      <c r="CL81" s="154"/>
      <c r="CM81" s="154"/>
      <c r="CN81" s="154"/>
      <c r="CO81" s="154"/>
      <c r="CP81" s="154"/>
      <c r="CQ81" s="154"/>
      <c r="CR81" s="154"/>
      <c r="CS81" s="154"/>
      <c r="CT81" s="154"/>
      <c r="CU81" s="154"/>
      <c r="CV81" s="154"/>
      <c r="CW81" s="154"/>
      <c r="CX81" s="154"/>
      <c r="CY81" s="154"/>
      <c r="CZ81" s="154"/>
      <c r="DA81" s="154"/>
      <c r="DB81" s="154"/>
      <c r="DC81" s="154"/>
      <c r="DD81" s="154"/>
      <c r="DE81" s="154"/>
      <c r="DF81" s="154"/>
      <c r="DG81" s="154"/>
      <c r="DH81" s="154"/>
      <c r="DI81" s="154"/>
      <c r="DJ81" s="154"/>
      <c r="DK81" s="154"/>
      <c r="DL81" s="154"/>
      <c r="DM81" s="154"/>
      <c r="DN81" s="154"/>
      <c r="DO81" s="154"/>
      <c r="DP81" s="154"/>
      <c r="DQ81" s="154"/>
      <c r="DR81" s="154"/>
      <c r="DS81" s="154"/>
      <c r="DT81" s="154"/>
      <c r="DU81" s="154"/>
      <c r="DV81" s="154"/>
      <c r="DW81" s="154"/>
      <c r="DX81" s="154"/>
      <c r="DY81" s="154"/>
      <c r="DZ81" s="154"/>
      <c r="EA81" s="154"/>
      <c r="EB81" s="154"/>
      <c r="EC81" s="154"/>
      <c r="ED81" s="154"/>
      <c r="EE81" s="154"/>
      <c r="EF81" s="154"/>
      <c r="EG81" s="154"/>
      <c r="EH81" s="154"/>
      <c r="EI81" s="154"/>
      <c r="EJ81" s="154"/>
      <c r="EK81" s="154"/>
      <c r="EL81" s="154"/>
      <c r="EM81" s="154"/>
      <c r="EN81" s="154"/>
      <c r="EO81" s="154"/>
      <c r="EP81" s="154"/>
      <c r="EQ81" s="154"/>
      <c r="ER81" s="154"/>
      <c r="ES81" s="154"/>
      <c r="ET81" s="154"/>
      <c r="EU81" s="154"/>
      <c r="EV81" s="154"/>
      <c r="EW81" s="154"/>
    </row>
    <row r="82" spans="2:153" ht="12.95" customHeight="1">
      <c r="B82" s="154"/>
      <c r="C82" s="380"/>
      <c r="D82" s="380"/>
      <c r="E82" s="154"/>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c r="AD82" s="154"/>
      <c r="AE82" s="154"/>
      <c r="AF82" s="367"/>
      <c r="AG82" s="368"/>
      <c r="AH82" s="368"/>
      <c r="AI82" s="368"/>
      <c r="AJ82" s="154"/>
      <c r="AK82" s="154"/>
      <c r="AL82" s="154"/>
      <c r="AM82" s="154"/>
      <c r="AN82" s="154"/>
      <c r="AO82" s="154"/>
      <c r="AP82" s="154"/>
      <c r="AQ82" s="154"/>
      <c r="AR82" s="154"/>
      <c r="AS82" s="154"/>
      <c r="AT82" s="154"/>
      <c r="AU82" s="154"/>
      <c r="AV82" s="154"/>
      <c r="AW82" s="154"/>
      <c r="AX82" s="154"/>
      <c r="AY82" s="154"/>
      <c r="AZ82" s="154"/>
      <c r="BA82" s="154"/>
      <c r="BB82" s="154"/>
      <c r="BC82" s="154"/>
      <c r="BD82" s="154"/>
      <c r="BE82" s="154"/>
      <c r="BF82" s="154"/>
      <c r="BG82" s="154"/>
      <c r="BH82" s="154"/>
      <c r="BI82" s="154"/>
      <c r="BJ82" s="154"/>
      <c r="BK82" s="154"/>
      <c r="BL82" s="154"/>
      <c r="BM82" s="154"/>
      <c r="BN82" s="154"/>
      <c r="BO82" s="154"/>
      <c r="BP82" s="154"/>
      <c r="BQ82" s="154"/>
      <c r="BR82" s="154"/>
      <c r="BS82" s="154"/>
      <c r="BT82" s="154"/>
      <c r="BU82" s="154"/>
      <c r="BV82" s="154"/>
      <c r="BW82" s="154"/>
      <c r="BX82" s="154"/>
      <c r="BY82" s="154"/>
      <c r="BZ82" s="154"/>
      <c r="CA82" s="154"/>
      <c r="CB82" s="154"/>
      <c r="CC82" s="154"/>
      <c r="CD82" s="154"/>
      <c r="CE82" s="154"/>
      <c r="CF82" s="154"/>
      <c r="CG82" s="154"/>
      <c r="CH82" s="154"/>
      <c r="CI82" s="154"/>
      <c r="CJ82" s="154"/>
      <c r="CK82" s="154"/>
      <c r="CL82" s="154"/>
      <c r="CM82" s="154"/>
      <c r="CN82" s="154"/>
      <c r="CO82" s="154"/>
      <c r="CP82" s="154"/>
      <c r="CQ82" s="154"/>
      <c r="CR82" s="154"/>
      <c r="CS82" s="154"/>
      <c r="CT82" s="154"/>
      <c r="CU82" s="154"/>
      <c r="CV82" s="154"/>
      <c r="CW82" s="154"/>
      <c r="CX82" s="154"/>
      <c r="CY82" s="154"/>
      <c r="CZ82" s="154"/>
      <c r="DA82" s="154"/>
      <c r="DB82" s="154"/>
      <c r="DC82" s="154"/>
      <c r="DD82" s="154"/>
      <c r="DE82" s="154"/>
      <c r="DF82" s="154"/>
      <c r="DG82" s="154"/>
      <c r="DH82" s="154"/>
      <c r="DI82" s="154"/>
      <c r="DJ82" s="154"/>
      <c r="DK82" s="154"/>
      <c r="DL82" s="154"/>
      <c r="DM82" s="154"/>
      <c r="DN82" s="154"/>
      <c r="DO82" s="154"/>
      <c r="DP82" s="154"/>
      <c r="DQ82" s="154"/>
      <c r="DR82" s="154"/>
      <c r="DS82" s="154"/>
      <c r="DT82" s="154"/>
      <c r="DU82" s="154"/>
      <c r="DV82" s="154"/>
      <c r="DW82" s="154"/>
      <c r="DX82" s="154"/>
      <c r="DY82" s="154"/>
      <c r="DZ82" s="154"/>
      <c r="EA82" s="154"/>
      <c r="EB82" s="154"/>
      <c r="EC82" s="154"/>
      <c r="ED82" s="154"/>
      <c r="EE82" s="154"/>
      <c r="EF82" s="154"/>
      <c r="EG82" s="154"/>
      <c r="EH82" s="154"/>
      <c r="EI82" s="154"/>
      <c r="EJ82" s="154"/>
      <c r="EK82" s="154"/>
      <c r="EL82" s="154"/>
      <c r="EM82" s="154"/>
      <c r="EN82" s="154"/>
      <c r="EO82" s="154"/>
      <c r="EP82" s="154"/>
      <c r="EQ82" s="154"/>
      <c r="ER82" s="154"/>
      <c r="ES82" s="154"/>
      <c r="ET82" s="154"/>
      <c r="EU82" s="154"/>
      <c r="EV82" s="154"/>
      <c r="EW82" s="154"/>
    </row>
    <row r="83" spans="2:153" ht="12.95" customHeight="1">
      <c r="B83" s="154"/>
      <c r="C83" s="380"/>
      <c r="D83" s="380"/>
      <c r="E83" s="154"/>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c r="AD83" s="154"/>
      <c r="AE83" s="154"/>
      <c r="AF83" s="367"/>
      <c r="AG83" s="368"/>
      <c r="AH83" s="368"/>
      <c r="AI83" s="368"/>
      <c r="AJ83" s="154"/>
      <c r="AK83" s="154"/>
      <c r="AL83" s="154"/>
      <c r="AM83" s="154"/>
      <c r="AN83" s="154"/>
      <c r="AO83" s="154"/>
      <c r="AP83" s="154"/>
      <c r="AQ83" s="154"/>
      <c r="AR83" s="154"/>
      <c r="AS83" s="154"/>
      <c r="AT83" s="154"/>
      <c r="AU83" s="154"/>
      <c r="AV83" s="154"/>
      <c r="AW83" s="154"/>
      <c r="AX83" s="154"/>
      <c r="AY83" s="154"/>
      <c r="AZ83" s="154"/>
      <c r="BA83" s="154"/>
      <c r="BB83" s="154"/>
      <c r="BC83" s="154"/>
      <c r="BD83" s="154"/>
      <c r="BE83" s="154"/>
      <c r="BF83" s="154"/>
      <c r="BG83" s="154"/>
      <c r="BH83" s="154"/>
      <c r="BI83" s="154"/>
      <c r="BJ83" s="154"/>
      <c r="BK83" s="154"/>
      <c r="BL83" s="154"/>
      <c r="BM83" s="154"/>
      <c r="BN83" s="154"/>
      <c r="BO83" s="154"/>
      <c r="BP83" s="154"/>
      <c r="BQ83" s="154"/>
      <c r="BR83" s="154"/>
      <c r="BS83" s="154"/>
      <c r="BT83" s="154"/>
      <c r="BU83" s="154"/>
      <c r="BV83" s="154"/>
      <c r="BW83" s="154"/>
      <c r="BX83" s="154"/>
      <c r="BY83" s="154"/>
      <c r="BZ83" s="154"/>
      <c r="CA83" s="154"/>
      <c r="CB83" s="154"/>
      <c r="CC83" s="154"/>
      <c r="CD83" s="154"/>
      <c r="CE83" s="154"/>
      <c r="CF83" s="154"/>
      <c r="CG83" s="154"/>
      <c r="CH83" s="154"/>
      <c r="CI83" s="154"/>
      <c r="CJ83" s="154"/>
      <c r="CK83" s="154"/>
      <c r="CL83" s="154"/>
      <c r="CM83" s="154"/>
      <c r="CN83" s="154"/>
      <c r="CO83" s="154"/>
      <c r="CP83" s="154"/>
      <c r="CQ83" s="154"/>
      <c r="CR83" s="154"/>
      <c r="CS83" s="154"/>
      <c r="CT83" s="154"/>
      <c r="CU83" s="154"/>
      <c r="CV83" s="154"/>
      <c r="CW83" s="154"/>
      <c r="CX83" s="154"/>
      <c r="CY83" s="154"/>
      <c r="CZ83" s="154"/>
      <c r="DA83" s="154"/>
      <c r="DB83" s="154"/>
      <c r="DC83" s="154"/>
      <c r="DD83" s="154"/>
      <c r="DE83" s="154"/>
      <c r="DF83" s="154"/>
      <c r="DG83" s="154"/>
      <c r="DH83" s="154"/>
      <c r="DI83" s="154"/>
      <c r="DJ83" s="154"/>
      <c r="DK83" s="154"/>
      <c r="DL83" s="154"/>
      <c r="DM83" s="154"/>
      <c r="DN83" s="154"/>
      <c r="DO83" s="154"/>
      <c r="DP83" s="154"/>
      <c r="DQ83" s="154"/>
      <c r="DR83" s="154"/>
      <c r="DS83" s="154"/>
      <c r="DT83" s="154"/>
      <c r="DU83" s="154"/>
      <c r="DV83" s="154"/>
      <c r="DW83" s="154"/>
      <c r="DX83" s="154"/>
      <c r="DY83" s="154"/>
      <c r="DZ83" s="154"/>
      <c r="EA83" s="154"/>
      <c r="EB83" s="154"/>
      <c r="EC83" s="154"/>
      <c r="ED83" s="154"/>
      <c r="EE83" s="154"/>
      <c r="EF83" s="154"/>
      <c r="EG83" s="154"/>
      <c r="EH83" s="154"/>
      <c r="EI83" s="154"/>
      <c r="EJ83" s="154"/>
      <c r="EK83" s="154"/>
      <c r="EL83" s="154"/>
      <c r="EM83" s="154"/>
      <c r="EN83" s="154"/>
      <c r="EO83" s="154"/>
      <c r="EP83" s="154"/>
      <c r="EQ83" s="154"/>
      <c r="ER83" s="154"/>
      <c r="ES83" s="154"/>
      <c r="ET83" s="154"/>
      <c r="EU83" s="154"/>
      <c r="EV83" s="154"/>
      <c r="EW83" s="154"/>
    </row>
    <row r="84" spans="2:153" ht="12.95" customHeight="1">
      <c r="B84" s="154"/>
      <c r="C84" s="380"/>
      <c r="D84" s="380"/>
      <c r="E84" s="154"/>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c r="AD84" s="154"/>
      <c r="AE84" s="154"/>
      <c r="AF84" s="367"/>
      <c r="AG84" s="368"/>
      <c r="AH84" s="368"/>
      <c r="AI84" s="368"/>
      <c r="AJ84" s="154"/>
      <c r="AK84" s="154"/>
      <c r="AL84" s="154"/>
      <c r="AM84" s="154"/>
      <c r="AN84" s="154"/>
      <c r="AO84" s="154"/>
      <c r="AP84" s="154"/>
      <c r="AQ84" s="154"/>
      <c r="AR84" s="154"/>
      <c r="AS84" s="154"/>
      <c r="AT84" s="154"/>
      <c r="AU84" s="154"/>
      <c r="AV84" s="154"/>
      <c r="AW84" s="154"/>
      <c r="AX84" s="154"/>
      <c r="AY84" s="154"/>
      <c r="AZ84" s="154"/>
      <c r="BA84" s="154"/>
      <c r="BB84" s="154"/>
      <c r="BC84" s="154"/>
      <c r="BD84" s="154"/>
      <c r="BE84" s="154"/>
      <c r="BF84" s="154"/>
      <c r="BG84" s="154"/>
      <c r="BH84" s="154"/>
      <c r="BI84" s="154"/>
      <c r="BJ84" s="154"/>
      <c r="BK84" s="154"/>
      <c r="BL84" s="154"/>
      <c r="BM84" s="154"/>
      <c r="BN84" s="154"/>
      <c r="BO84" s="154"/>
      <c r="BP84" s="154"/>
      <c r="BQ84" s="154"/>
      <c r="BR84" s="154"/>
      <c r="BS84" s="154"/>
      <c r="BT84" s="154"/>
      <c r="BU84" s="154"/>
      <c r="BV84" s="154"/>
      <c r="BW84" s="154"/>
      <c r="BX84" s="154"/>
      <c r="BY84" s="154"/>
      <c r="BZ84" s="154"/>
      <c r="CA84" s="154"/>
      <c r="CB84" s="154"/>
      <c r="CC84" s="154"/>
      <c r="CD84" s="154"/>
      <c r="CE84" s="154"/>
      <c r="CF84" s="154"/>
      <c r="CG84" s="154"/>
      <c r="CH84" s="154"/>
      <c r="CI84" s="154"/>
      <c r="CJ84" s="154"/>
      <c r="CK84" s="154"/>
      <c r="CL84" s="154"/>
      <c r="CM84" s="154"/>
      <c r="CN84" s="154"/>
      <c r="CO84" s="154"/>
      <c r="CP84" s="154"/>
      <c r="CQ84" s="154"/>
      <c r="CR84" s="154"/>
      <c r="CS84" s="154"/>
      <c r="CT84" s="154"/>
      <c r="CU84" s="154"/>
      <c r="CV84" s="154"/>
      <c r="CW84" s="154"/>
      <c r="CX84" s="154"/>
      <c r="CY84" s="154"/>
      <c r="CZ84" s="154"/>
      <c r="DA84" s="154"/>
      <c r="DB84" s="154"/>
      <c r="DC84" s="154"/>
      <c r="DD84" s="154"/>
      <c r="DE84" s="154"/>
      <c r="DF84" s="154"/>
      <c r="DG84" s="154"/>
      <c r="DH84" s="154"/>
      <c r="DI84" s="154"/>
      <c r="DJ84" s="154"/>
      <c r="DK84" s="154"/>
      <c r="DL84" s="154"/>
      <c r="DM84" s="154"/>
      <c r="DN84" s="154"/>
      <c r="DO84" s="154"/>
      <c r="DP84" s="154"/>
      <c r="DQ84" s="154"/>
      <c r="DR84" s="154"/>
      <c r="DS84" s="154"/>
      <c r="DT84" s="154"/>
      <c r="DU84" s="154"/>
      <c r="DV84" s="154"/>
      <c r="DW84" s="154"/>
      <c r="DX84" s="154"/>
      <c r="DY84" s="154"/>
      <c r="DZ84" s="154"/>
      <c r="EA84" s="154"/>
      <c r="EB84" s="154"/>
      <c r="EC84" s="154"/>
      <c r="ED84" s="154"/>
      <c r="EE84" s="154"/>
      <c r="EF84" s="154"/>
      <c r="EG84" s="154"/>
      <c r="EH84" s="154"/>
      <c r="EI84" s="154"/>
      <c r="EJ84" s="154"/>
      <c r="EK84" s="154"/>
      <c r="EL84" s="154"/>
      <c r="EM84" s="154"/>
      <c r="EN84" s="154"/>
      <c r="EO84" s="154"/>
      <c r="EP84" s="154"/>
      <c r="EQ84" s="154"/>
      <c r="ER84" s="154"/>
      <c r="ES84" s="154"/>
      <c r="ET84" s="154"/>
      <c r="EU84" s="154"/>
      <c r="EV84" s="154"/>
      <c r="EW84" s="154"/>
    </row>
    <row r="85" spans="2:153" ht="12.95" customHeight="1">
      <c r="B85" s="154"/>
      <c r="C85" s="380"/>
      <c r="D85" s="380"/>
      <c r="E85" s="154"/>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c r="AD85" s="154"/>
      <c r="AE85" s="154"/>
      <c r="AF85" s="367"/>
      <c r="AG85" s="368"/>
      <c r="AH85" s="368"/>
      <c r="AI85" s="368"/>
      <c r="AJ85" s="154"/>
      <c r="AK85" s="154"/>
      <c r="AL85" s="154"/>
      <c r="AM85" s="154"/>
      <c r="AN85" s="154"/>
      <c r="AO85" s="154"/>
      <c r="AP85" s="154"/>
      <c r="AQ85" s="154"/>
      <c r="AR85" s="154"/>
      <c r="AS85" s="154"/>
      <c r="AT85" s="154"/>
      <c r="AU85" s="154"/>
      <c r="AV85" s="154"/>
      <c r="AW85" s="154"/>
      <c r="AX85" s="154"/>
      <c r="AY85" s="154"/>
      <c r="AZ85" s="154"/>
      <c r="BA85" s="154"/>
      <c r="BB85" s="154"/>
      <c r="BC85" s="154"/>
      <c r="BD85" s="154"/>
      <c r="BE85" s="154"/>
      <c r="BF85" s="154"/>
      <c r="BG85" s="154"/>
      <c r="BH85" s="154"/>
      <c r="BI85" s="154"/>
      <c r="BJ85" s="154"/>
      <c r="BK85" s="154"/>
      <c r="BL85" s="154"/>
      <c r="BM85" s="154"/>
      <c r="BN85" s="154"/>
      <c r="BO85" s="154"/>
      <c r="BP85" s="154"/>
      <c r="BQ85" s="154"/>
      <c r="BR85" s="154"/>
      <c r="BS85" s="154"/>
      <c r="BT85" s="154"/>
      <c r="BU85" s="154"/>
      <c r="BV85" s="154"/>
      <c r="BW85" s="154"/>
      <c r="BX85" s="154"/>
      <c r="BY85" s="154"/>
      <c r="BZ85" s="154"/>
      <c r="CA85" s="154"/>
      <c r="CB85" s="154"/>
      <c r="CC85" s="154"/>
      <c r="CD85" s="154"/>
      <c r="CE85" s="154"/>
      <c r="CF85" s="154"/>
      <c r="CG85" s="154"/>
      <c r="CH85" s="154"/>
      <c r="CI85" s="154"/>
      <c r="CJ85" s="154"/>
      <c r="CK85" s="154"/>
      <c r="CL85" s="154"/>
      <c r="CM85" s="154"/>
      <c r="CN85" s="154"/>
      <c r="CO85" s="154"/>
      <c r="CP85" s="154"/>
      <c r="CQ85" s="154"/>
      <c r="CR85" s="154"/>
      <c r="CS85" s="154"/>
      <c r="CT85" s="154"/>
      <c r="CU85" s="154"/>
      <c r="CV85" s="154"/>
      <c r="CW85" s="154"/>
      <c r="CX85" s="154"/>
      <c r="CY85" s="154"/>
      <c r="CZ85" s="154"/>
      <c r="DA85" s="154"/>
      <c r="DB85" s="154"/>
      <c r="DC85" s="154"/>
      <c r="DD85" s="154"/>
      <c r="DE85" s="154"/>
      <c r="DF85" s="154"/>
      <c r="DG85" s="154"/>
      <c r="DH85" s="154"/>
      <c r="DI85" s="154"/>
      <c r="DJ85" s="154"/>
      <c r="DK85" s="154"/>
      <c r="DL85" s="154"/>
      <c r="DM85" s="154"/>
      <c r="DN85" s="154"/>
      <c r="DO85" s="154"/>
      <c r="DP85" s="154"/>
      <c r="DQ85" s="154"/>
      <c r="DR85" s="154"/>
      <c r="DS85" s="154"/>
      <c r="DT85" s="154"/>
      <c r="DU85" s="154"/>
      <c r="DV85" s="154"/>
      <c r="DW85" s="154"/>
      <c r="DX85" s="154"/>
      <c r="DY85" s="154"/>
      <c r="DZ85" s="154"/>
      <c r="EA85" s="154"/>
      <c r="EB85" s="154"/>
      <c r="EC85" s="154"/>
      <c r="ED85" s="154"/>
      <c r="EE85" s="154"/>
      <c r="EF85" s="154"/>
      <c r="EG85" s="154"/>
      <c r="EH85" s="154"/>
      <c r="EI85" s="154"/>
      <c r="EJ85" s="154"/>
      <c r="EK85" s="154"/>
      <c r="EL85" s="154"/>
      <c r="EM85" s="154"/>
      <c r="EN85" s="154"/>
      <c r="EO85" s="154"/>
      <c r="EP85" s="154"/>
      <c r="EQ85" s="154"/>
      <c r="ER85" s="154"/>
      <c r="ES85" s="154"/>
      <c r="ET85" s="154"/>
      <c r="EU85" s="154"/>
      <c r="EV85" s="154"/>
      <c r="EW85" s="154"/>
    </row>
    <row r="86" spans="2:153" ht="12.95" customHeight="1">
      <c r="B86" s="154"/>
      <c r="C86" s="380"/>
      <c r="D86" s="380"/>
      <c r="E86" s="154"/>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c r="AD86" s="154"/>
      <c r="AE86" s="154"/>
      <c r="AF86" s="367"/>
      <c r="AG86" s="368"/>
      <c r="AH86" s="368"/>
      <c r="AI86" s="368"/>
      <c r="AJ86" s="154"/>
      <c r="AK86" s="154"/>
      <c r="AL86" s="154"/>
      <c r="AM86" s="154"/>
      <c r="AN86" s="154"/>
      <c r="AO86" s="154"/>
      <c r="AP86" s="154"/>
      <c r="AQ86" s="154"/>
      <c r="AR86" s="154"/>
      <c r="AS86" s="154"/>
      <c r="AT86" s="154"/>
      <c r="AU86" s="154"/>
      <c r="AV86" s="154"/>
      <c r="AW86" s="154"/>
      <c r="AX86" s="154"/>
      <c r="AY86" s="154"/>
      <c r="AZ86" s="154"/>
      <c r="BA86" s="154"/>
      <c r="BB86" s="154"/>
      <c r="BC86" s="154"/>
      <c r="BD86" s="154"/>
      <c r="BE86" s="154"/>
      <c r="BF86" s="154"/>
      <c r="BG86" s="154"/>
      <c r="BH86" s="154"/>
      <c r="BI86" s="154"/>
      <c r="BJ86" s="154"/>
      <c r="BK86" s="154"/>
      <c r="BL86" s="154"/>
      <c r="BM86" s="154"/>
      <c r="BN86" s="154"/>
      <c r="BO86" s="154"/>
      <c r="BP86" s="154"/>
      <c r="BQ86" s="154"/>
      <c r="BR86" s="154"/>
      <c r="BS86" s="154"/>
      <c r="BT86" s="154"/>
      <c r="BU86" s="154"/>
      <c r="BV86" s="154"/>
      <c r="BW86" s="154"/>
      <c r="BX86" s="154"/>
      <c r="BY86" s="154"/>
      <c r="BZ86" s="154"/>
      <c r="CA86" s="154"/>
      <c r="CB86" s="154"/>
      <c r="CC86" s="154"/>
      <c r="CD86" s="154"/>
      <c r="CE86" s="154"/>
      <c r="CF86" s="154"/>
      <c r="CG86" s="154"/>
      <c r="CH86" s="154"/>
      <c r="CI86" s="154"/>
      <c r="CJ86" s="154"/>
      <c r="CK86" s="154"/>
      <c r="CL86" s="154"/>
      <c r="CM86" s="154"/>
      <c r="CN86" s="154"/>
      <c r="CO86" s="154"/>
      <c r="CP86" s="154"/>
      <c r="CQ86" s="154"/>
      <c r="CR86" s="154"/>
      <c r="CS86" s="154"/>
      <c r="CT86" s="154"/>
      <c r="CU86" s="154"/>
      <c r="CV86" s="154"/>
      <c r="CW86" s="154"/>
      <c r="CX86" s="154"/>
      <c r="CY86" s="154"/>
      <c r="CZ86" s="154"/>
      <c r="DA86" s="154"/>
      <c r="DB86" s="154"/>
      <c r="DC86" s="154"/>
      <c r="DD86" s="154"/>
      <c r="DE86" s="154"/>
      <c r="DF86" s="154"/>
      <c r="DG86" s="154"/>
      <c r="DH86" s="154"/>
      <c r="DI86" s="154"/>
      <c r="DJ86" s="154"/>
      <c r="DK86" s="154"/>
      <c r="DL86" s="154"/>
      <c r="DM86" s="154"/>
      <c r="DN86" s="154"/>
      <c r="DO86" s="154"/>
      <c r="DP86" s="154"/>
      <c r="DQ86" s="154"/>
      <c r="DR86" s="154"/>
      <c r="DS86" s="154"/>
      <c r="DT86" s="154"/>
      <c r="DU86" s="154"/>
      <c r="DV86" s="154"/>
      <c r="DW86" s="154"/>
      <c r="DX86" s="154"/>
      <c r="DY86" s="154"/>
      <c r="DZ86" s="154"/>
      <c r="EA86" s="154"/>
      <c r="EB86" s="154"/>
      <c r="EC86" s="154"/>
      <c r="ED86" s="154"/>
      <c r="EE86" s="154"/>
      <c r="EF86" s="154"/>
      <c r="EG86" s="154"/>
      <c r="EH86" s="154"/>
      <c r="EI86" s="154"/>
      <c r="EJ86" s="154"/>
      <c r="EK86" s="154"/>
      <c r="EL86" s="154"/>
      <c r="EM86" s="154"/>
      <c r="EN86" s="154"/>
      <c r="EO86" s="154"/>
      <c r="EP86" s="154"/>
      <c r="EQ86" s="154"/>
      <c r="ER86" s="154"/>
      <c r="ES86" s="154"/>
      <c r="ET86" s="154"/>
      <c r="EU86" s="154"/>
      <c r="EV86" s="154"/>
      <c r="EW86" s="154"/>
    </row>
    <row r="87" spans="2:153" ht="12.95" customHeight="1">
      <c r="B87" s="154"/>
      <c r="C87" s="380"/>
      <c r="D87" s="380"/>
      <c r="E87" s="154"/>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c r="AD87" s="154"/>
      <c r="AE87" s="154"/>
      <c r="AF87" s="367"/>
      <c r="AG87" s="368"/>
      <c r="AH87" s="368"/>
      <c r="AI87" s="368"/>
      <c r="AJ87" s="154"/>
      <c r="AK87" s="154"/>
      <c r="AL87" s="154"/>
      <c r="AM87" s="154"/>
      <c r="AN87" s="154"/>
      <c r="AO87" s="154"/>
      <c r="AP87" s="154"/>
      <c r="AQ87" s="154"/>
      <c r="AR87" s="154"/>
      <c r="AS87" s="154"/>
      <c r="AT87" s="154"/>
      <c r="AU87" s="154"/>
      <c r="AV87" s="154"/>
      <c r="AW87" s="154"/>
      <c r="AX87" s="154"/>
      <c r="AY87" s="154"/>
      <c r="AZ87" s="154"/>
      <c r="BA87" s="154"/>
      <c r="BB87" s="154"/>
      <c r="BC87" s="154"/>
      <c r="BD87" s="154"/>
      <c r="BE87" s="154"/>
      <c r="BF87" s="154"/>
      <c r="BG87" s="154"/>
      <c r="BH87" s="154"/>
      <c r="BI87" s="154"/>
      <c r="BJ87" s="154"/>
      <c r="BK87" s="154"/>
      <c r="BL87" s="154"/>
      <c r="BM87" s="154"/>
      <c r="BN87" s="154"/>
      <c r="BO87" s="154"/>
      <c r="BP87" s="154"/>
      <c r="BQ87" s="154"/>
      <c r="BR87" s="154"/>
      <c r="BS87" s="154"/>
      <c r="BT87" s="154"/>
      <c r="BU87" s="154"/>
      <c r="BV87" s="154"/>
      <c r="BW87" s="154"/>
      <c r="BX87" s="154"/>
      <c r="BY87" s="154"/>
      <c r="BZ87" s="154"/>
      <c r="CA87" s="154"/>
      <c r="CB87" s="154"/>
      <c r="CC87" s="154"/>
      <c r="CD87" s="154"/>
      <c r="CE87" s="154"/>
      <c r="CF87" s="154"/>
      <c r="CG87" s="154"/>
      <c r="CH87" s="154"/>
      <c r="CI87" s="154"/>
      <c r="CJ87" s="154"/>
      <c r="CK87" s="154"/>
      <c r="CL87" s="154"/>
      <c r="CM87" s="154"/>
      <c r="CN87" s="154"/>
      <c r="CO87" s="154"/>
      <c r="CP87" s="154"/>
      <c r="CQ87" s="154"/>
      <c r="CR87" s="154"/>
      <c r="CS87" s="154"/>
      <c r="CT87" s="154"/>
      <c r="CU87" s="154"/>
      <c r="CV87" s="154"/>
      <c r="CW87" s="154"/>
      <c r="CX87" s="154"/>
      <c r="CY87" s="154"/>
      <c r="CZ87" s="154"/>
      <c r="DA87" s="154"/>
      <c r="DB87" s="154"/>
      <c r="DC87" s="154"/>
      <c r="DD87" s="154"/>
      <c r="DE87" s="154"/>
      <c r="DF87" s="154"/>
      <c r="DG87" s="154"/>
      <c r="DH87" s="154"/>
      <c r="DI87" s="154"/>
      <c r="DJ87" s="154"/>
      <c r="DK87" s="154"/>
      <c r="DL87" s="154"/>
      <c r="DM87" s="154"/>
      <c r="DN87" s="154"/>
      <c r="DO87" s="154"/>
      <c r="DP87" s="154"/>
      <c r="DQ87" s="154"/>
      <c r="DR87" s="154"/>
      <c r="DS87" s="154"/>
      <c r="DT87" s="154"/>
      <c r="DU87" s="154"/>
      <c r="DV87" s="154"/>
      <c r="DW87" s="154"/>
      <c r="DX87" s="154"/>
      <c r="DY87" s="154"/>
      <c r="DZ87" s="154"/>
      <c r="EA87" s="154"/>
      <c r="EB87" s="154"/>
      <c r="EC87" s="154"/>
      <c r="ED87" s="154"/>
      <c r="EE87" s="154"/>
      <c r="EF87" s="154"/>
      <c r="EG87" s="154"/>
      <c r="EH87" s="154"/>
      <c r="EI87" s="154"/>
      <c r="EJ87" s="154"/>
      <c r="EK87" s="154"/>
      <c r="EL87" s="154"/>
      <c r="EM87" s="154"/>
      <c r="EN87" s="154"/>
      <c r="EO87" s="154"/>
      <c r="EP87" s="154"/>
      <c r="EQ87" s="154"/>
      <c r="ER87" s="154"/>
      <c r="ES87" s="154"/>
      <c r="ET87" s="154"/>
      <c r="EU87" s="154"/>
      <c r="EV87" s="154"/>
      <c r="EW87" s="154"/>
    </row>
    <row r="88" spans="2:153" ht="12.95" customHeight="1">
      <c r="B88" s="154"/>
      <c r="C88" s="380"/>
      <c r="D88" s="380"/>
      <c r="E88" s="154"/>
      <c r="F88" s="154"/>
      <c r="G88" s="154"/>
      <c r="H88" s="154"/>
      <c r="I88" s="154"/>
      <c r="J88" s="154"/>
      <c r="K88" s="154"/>
      <c r="L88" s="154"/>
      <c r="M88" s="154"/>
      <c r="N88" s="154"/>
      <c r="O88" s="154"/>
      <c r="P88" s="154"/>
      <c r="Q88" s="154"/>
      <c r="R88" s="154"/>
      <c r="S88" s="154"/>
      <c r="T88" s="154"/>
      <c r="U88" s="154"/>
      <c r="V88" s="154"/>
      <c r="W88" s="154"/>
      <c r="X88" s="154"/>
      <c r="Y88" s="154"/>
      <c r="Z88" s="154"/>
      <c r="AA88" s="154"/>
      <c r="AB88" s="154"/>
      <c r="AC88" s="154"/>
      <c r="AD88" s="154"/>
      <c r="AE88" s="154"/>
      <c r="AF88" s="367"/>
      <c r="AG88" s="368"/>
      <c r="AH88" s="368"/>
      <c r="AI88" s="368"/>
      <c r="AJ88" s="154"/>
      <c r="AK88" s="154"/>
      <c r="AL88" s="154"/>
      <c r="AM88" s="154"/>
      <c r="AN88" s="154"/>
      <c r="AO88" s="154"/>
      <c r="AP88" s="154"/>
      <c r="AQ88" s="154"/>
      <c r="AR88" s="154"/>
      <c r="AS88" s="154"/>
      <c r="AT88" s="154"/>
      <c r="AU88" s="154"/>
      <c r="AV88" s="154"/>
      <c r="AW88" s="154"/>
      <c r="AX88" s="154"/>
      <c r="AY88" s="154"/>
      <c r="AZ88" s="154"/>
      <c r="BA88" s="154"/>
      <c r="BB88" s="154"/>
      <c r="BC88" s="154"/>
      <c r="BD88" s="154"/>
      <c r="BE88" s="154"/>
      <c r="BF88" s="154"/>
      <c r="BG88" s="154"/>
      <c r="BH88" s="154"/>
      <c r="BI88" s="154"/>
      <c r="BJ88" s="154"/>
      <c r="BK88" s="154"/>
      <c r="BL88" s="154"/>
      <c r="BM88" s="154"/>
      <c r="BN88" s="154"/>
      <c r="BO88" s="154"/>
      <c r="BP88" s="154"/>
      <c r="BQ88" s="154"/>
      <c r="BR88" s="154"/>
      <c r="BS88" s="154"/>
      <c r="BT88" s="154"/>
      <c r="BU88" s="154"/>
      <c r="BV88" s="154"/>
      <c r="BW88" s="154"/>
      <c r="BX88" s="154"/>
      <c r="BY88" s="154"/>
      <c r="BZ88" s="154"/>
      <c r="CA88" s="154"/>
      <c r="CB88" s="154"/>
      <c r="CC88" s="154"/>
      <c r="CD88" s="154"/>
      <c r="CE88" s="154"/>
      <c r="CF88" s="154"/>
      <c r="CG88" s="154"/>
      <c r="CH88" s="154"/>
      <c r="CI88" s="154"/>
      <c r="CJ88" s="154"/>
      <c r="CK88" s="154"/>
      <c r="CL88" s="154"/>
      <c r="CM88" s="154"/>
      <c r="CN88" s="154"/>
      <c r="CO88" s="154"/>
      <c r="CP88" s="154"/>
      <c r="CQ88" s="154"/>
      <c r="CR88" s="154"/>
      <c r="CS88" s="154"/>
      <c r="CT88" s="154"/>
      <c r="CU88" s="154"/>
      <c r="CV88" s="154"/>
      <c r="CW88" s="154"/>
      <c r="CX88" s="154"/>
      <c r="CY88" s="154"/>
      <c r="CZ88" s="154"/>
      <c r="DA88" s="154"/>
      <c r="DB88" s="154"/>
      <c r="DC88" s="154"/>
      <c r="DD88" s="154"/>
      <c r="DE88" s="154"/>
      <c r="DF88" s="154"/>
      <c r="DG88" s="154"/>
      <c r="DH88" s="154"/>
      <c r="DI88" s="154"/>
      <c r="DJ88" s="154"/>
      <c r="DK88" s="154"/>
      <c r="DL88" s="154"/>
      <c r="DM88" s="154"/>
      <c r="DN88" s="154"/>
      <c r="DO88" s="154"/>
      <c r="DP88" s="154"/>
      <c r="DQ88" s="154"/>
      <c r="DR88" s="154"/>
      <c r="DS88" s="154"/>
      <c r="DT88" s="154"/>
      <c r="DU88" s="154"/>
      <c r="DV88" s="154"/>
      <c r="DW88" s="154"/>
      <c r="DX88" s="154"/>
      <c r="DY88" s="154"/>
      <c r="DZ88" s="154"/>
      <c r="EA88" s="154"/>
      <c r="EB88" s="154"/>
      <c r="EC88" s="154"/>
      <c r="ED88" s="154"/>
      <c r="EE88" s="154"/>
      <c r="EF88" s="154"/>
      <c r="EG88" s="154"/>
      <c r="EH88" s="154"/>
      <c r="EI88" s="154"/>
      <c r="EJ88" s="154"/>
      <c r="EK88" s="154"/>
      <c r="EL88" s="154"/>
      <c r="EM88" s="154"/>
      <c r="EN88" s="154"/>
      <c r="EO88" s="154"/>
      <c r="EP88" s="154"/>
      <c r="EQ88" s="154"/>
      <c r="ER88" s="154"/>
      <c r="ES88" s="154"/>
      <c r="ET88" s="154"/>
      <c r="EU88" s="154"/>
      <c r="EV88" s="154"/>
      <c r="EW88" s="154"/>
    </row>
    <row r="89" spans="2:153" ht="12.95" customHeight="1">
      <c r="B89" s="154"/>
      <c r="C89" s="380"/>
      <c r="D89" s="380"/>
      <c r="E89" s="154"/>
      <c r="F89" s="154"/>
      <c r="G89" s="154"/>
      <c r="H89" s="154"/>
      <c r="I89" s="154"/>
      <c r="J89" s="154"/>
      <c r="K89" s="154"/>
      <c r="L89" s="154"/>
      <c r="M89" s="154"/>
      <c r="N89" s="154"/>
      <c r="O89" s="154"/>
      <c r="P89" s="154"/>
      <c r="Q89" s="154"/>
      <c r="R89" s="154"/>
      <c r="S89" s="154"/>
      <c r="T89" s="154"/>
      <c r="U89" s="154"/>
      <c r="V89" s="154"/>
      <c r="W89" s="154"/>
      <c r="X89" s="154"/>
      <c r="Y89" s="154"/>
      <c r="Z89" s="154"/>
      <c r="AA89" s="154"/>
      <c r="AB89" s="154"/>
      <c r="AC89" s="154"/>
      <c r="AD89" s="154"/>
      <c r="AE89" s="154"/>
      <c r="AF89" s="367"/>
      <c r="AG89" s="368"/>
      <c r="AH89" s="368"/>
      <c r="AI89" s="368"/>
      <c r="AJ89" s="154"/>
      <c r="AK89" s="154"/>
      <c r="AL89" s="154"/>
      <c r="AM89" s="154"/>
      <c r="AN89" s="154"/>
      <c r="AO89" s="154"/>
      <c r="AP89" s="154"/>
      <c r="AQ89" s="154"/>
      <c r="AR89" s="154"/>
      <c r="AS89" s="154"/>
      <c r="AT89" s="154"/>
      <c r="AU89" s="154"/>
      <c r="AV89" s="154"/>
      <c r="AW89" s="154"/>
      <c r="AX89" s="154"/>
      <c r="AY89" s="154"/>
      <c r="AZ89" s="154"/>
      <c r="BA89" s="154"/>
      <c r="BB89" s="154"/>
      <c r="BC89" s="154"/>
      <c r="BD89" s="154"/>
      <c r="BE89" s="154"/>
      <c r="BF89" s="154"/>
      <c r="BG89" s="154"/>
      <c r="BH89" s="154"/>
      <c r="BI89" s="154"/>
      <c r="BJ89" s="154"/>
      <c r="BK89" s="154"/>
      <c r="BL89" s="154"/>
      <c r="BM89" s="154"/>
      <c r="BN89" s="154"/>
      <c r="BO89" s="154"/>
      <c r="BP89" s="154"/>
      <c r="BQ89" s="154"/>
      <c r="BR89" s="154"/>
      <c r="BS89" s="154"/>
      <c r="BT89" s="154"/>
      <c r="BU89" s="154"/>
      <c r="BV89" s="154"/>
      <c r="BW89" s="154"/>
      <c r="BX89" s="154"/>
      <c r="BY89" s="154"/>
      <c r="BZ89" s="154"/>
      <c r="CA89" s="154"/>
      <c r="CB89" s="154"/>
      <c r="CC89" s="154"/>
      <c r="CD89" s="154"/>
      <c r="CE89" s="154"/>
      <c r="CF89" s="154"/>
      <c r="CG89" s="154"/>
      <c r="CH89" s="154"/>
      <c r="CI89" s="154"/>
      <c r="CJ89" s="154"/>
      <c r="CK89" s="154"/>
      <c r="CL89" s="154"/>
      <c r="CM89" s="154"/>
      <c r="CN89" s="154"/>
      <c r="CO89" s="154"/>
      <c r="CP89" s="154"/>
      <c r="CQ89" s="154"/>
      <c r="CR89" s="154"/>
      <c r="CS89" s="154"/>
      <c r="CT89" s="154"/>
      <c r="CU89" s="154"/>
      <c r="CV89" s="154"/>
      <c r="CW89" s="154"/>
      <c r="CX89" s="154"/>
      <c r="CY89" s="154"/>
      <c r="CZ89" s="154"/>
      <c r="DA89" s="154"/>
      <c r="DB89" s="154"/>
      <c r="DC89" s="154"/>
      <c r="DD89" s="154"/>
      <c r="DE89" s="154"/>
      <c r="DF89" s="154"/>
      <c r="DG89" s="154"/>
      <c r="DH89" s="154"/>
      <c r="DI89" s="154"/>
      <c r="DJ89" s="154"/>
      <c r="DK89" s="154"/>
      <c r="DL89" s="154"/>
      <c r="DM89" s="154"/>
      <c r="DN89" s="154"/>
      <c r="DO89" s="154"/>
      <c r="DP89" s="154"/>
      <c r="DQ89" s="154"/>
      <c r="DR89" s="154"/>
      <c r="DS89" s="154"/>
      <c r="DT89" s="154"/>
      <c r="DU89" s="154"/>
      <c r="DV89" s="154"/>
      <c r="DW89" s="154"/>
      <c r="DX89" s="154"/>
      <c r="DY89" s="154"/>
      <c r="DZ89" s="154"/>
      <c r="EA89" s="154"/>
      <c r="EB89" s="154"/>
      <c r="EC89" s="154"/>
      <c r="ED89" s="154"/>
      <c r="EE89" s="154"/>
      <c r="EF89" s="154"/>
      <c r="EG89" s="154"/>
      <c r="EH89" s="154"/>
      <c r="EI89" s="154"/>
      <c r="EJ89" s="154"/>
      <c r="EK89" s="154"/>
      <c r="EL89" s="154"/>
      <c r="EM89" s="154"/>
      <c r="EN89" s="154"/>
      <c r="EO89" s="154"/>
      <c r="EP89" s="154"/>
      <c r="EQ89" s="154"/>
      <c r="ER89" s="154"/>
      <c r="ES89" s="154"/>
      <c r="ET89" s="154"/>
      <c r="EU89" s="154"/>
      <c r="EV89" s="154"/>
      <c r="EW89" s="154"/>
    </row>
    <row r="90" spans="2:153" ht="12.95" customHeight="1">
      <c r="B90" s="154"/>
      <c r="C90" s="380"/>
      <c r="D90" s="380"/>
      <c r="E90" s="154"/>
      <c r="F90" s="154"/>
      <c r="G90" s="154"/>
      <c r="H90" s="154"/>
      <c r="I90" s="154"/>
      <c r="J90" s="154"/>
      <c r="K90" s="154"/>
      <c r="L90" s="154"/>
      <c r="M90" s="154"/>
      <c r="N90" s="154"/>
      <c r="O90" s="154"/>
      <c r="P90" s="154"/>
      <c r="Q90" s="154"/>
      <c r="R90" s="154"/>
      <c r="S90" s="154"/>
      <c r="T90" s="154"/>
      <c r="U90" s="154"/>
      <c r="V90" s="154"/>
      <c r="W90" s="154"/>
      <c r="X90" s="154"/>
      <c r="Y90" s="154"/>
      <c r="Z90" s="154"/>
      <c r="AA90" s="154"/>
      <c r="AB90" s="154"/>
      <c r="AC90" s="154"/>
      <c r="AD90" s="154"/>
      <c r="AE90" s="154"/>
      <c r="AF90" s="367"/>
      <c r="AG90" s="368"/>
      <c r="AH90" s="368"/>
      <c r="AI90" s="368"/>
      <c r="AJ90" s="154"/>
      <c r="AK90" s="154"/>
      <c r="AL90" s="154"/>
      <c r="AM90" s="154"/>
      <c r="AN90" s="154"/>
      <c r="AO90" s="154"/>
      <c r="AP90" s="154"/>
      <c r="AQ90" s="154"/>
      <c r="AR90" s="154"/>
      <c r="AS90" s="154"/>
      <c r="AT90" s="154"/>
      <c r="AU90" s="154"/>
      <c r="AV90" s="154"/>
      <c r="AW90" s="154"/>
      <c r="AX90" s="154"/>
      <c r="AY90" s="154"/>
      <c r="AZ90" s="154"/>
      <c r="BA90" s="154"/>
      <c r="BB90" s="154"/>
      <c r="BC90" s="154"/>
      <c r="BD90" s="154"/>
      <c r="BE90" s="154"/>
      <c r="BF90" s="154"/>
      <c r="BG90" s="154"/>
      <c r="BH90" s="154"/>
      <c r="BI90" s="154"/>
      <c r="BJ90" s="154"/>
      <c r="BK90" s="154"/>
      <c r="BL90" s="154"/>
      <c r="BM90" s="154"/>
      <c r="BN90" s="154"/>
      <c r="BO90" s="154"/>
      <c r="BP90" s="154"/>
      <c r="BQ90" s="154"/>
      <c r="BR90" s="154"/>
      <c r="BS90" s="154"/>
      <c r="BT90" s="154"/>
      <c r="BU90" s="154"/>
      <c r="BV90" s="154"/>
      <c r="BW90" s="154"/>
      <c r="BX90" s="154"/>
      <c r="BY90" s="154"/>
      <c r="BZ90" s="154"/>
      <c r="CA90" s="154"/>
      <c r="CB90" s="154"/>
      <c r="CC90" s="154"/>
      <c r="CD90" s="154"/>
      <c r="CE90" s="154"/>
      <c r="CF90" s="154"/>
      <c r="CG90" s="154"/>
      <c r="CH90" s="154"/>
      <c r="CI90" s="154"/>
      <c r="CJ90" s="154"/>
      <c r="CK90" s="154"/>
      <c r="CL90" s="154"/>
      <c r="CM90" s="154"/>
      <c r="CN90" s="154"/>
      <c r="CO90" s="154"/>
      <c r="CP90" s="154"/>
      <c r="CQ90" s="154"/>
      <c r="CR90" s="154"/>
      <c r="CS90" s="154"/>
      <c r="CT90" s="154"/>
      <c r="CU90" s="154"/>
      <c r="CV90" s="154"/>
      <c r="CW90" s="154"/>
      <c r="CX90" s="154"/>
      <c r="CY90" s="154"/>
      <c r="CZ90" s="154"/>
      <c r="DA90" s="154"/>
      <c r="DB90" s="154"/>
      <c r="DC90" s="154"/>
      <c r="DD90" s="154"/>
      <c r="DE90" s="154"/>
      <c r="DF90" s="154"/>
      <c r="DG90" s="154"/>
      <c r="DH90" s="154"/>
      <c r="DI90" s="154"/>
      <c r="DJ90" s="154"/>
      <c r="DK90" s="154"/>
      <c r="DL90" s="154"/>
      <c r="DM90" s="154"/>
      <c r="DN90" s="154"/>
      <c r="DO90" s="154"/>
      <c r="DP90" s="154"/>
      <c r="DQ90" s="154"/>
      <c r="DR90" s="154"/>
      <c r="DS90" s="154"/>
      <c r="DT90" s="154"/>
      <c r="DU90" s="154"/>
      <c r="DV90" s="154"/>
      <c r="DW90" s="154"/>
      <c r="DX90" s="154"/>
      <c r="DY90" s="154"/>
      <c r="DZ90" s="154"/>
      <c r="EA90" s="154"/>
      <c r="EB90" s="154"/>
      <c r="EC90" s="154"/>
      <c r="ED90" s="154"/>
      <c r="EE90" s="154"/>
      <c r="EF90" s="154"/>
      <c r="EG90" s="154"/>
      <c r="EH90" s="154"/>
      <c r="EI90" s="154"/>
      <c r="EJ90" s="154"/>
      <c r="EK90" s="154"/>
      <c r="EL90" s="154"/>
      <c r="EM90" s="154"/>
      <c r="EN90" s="154"/>
      <c r="EO90" s="154"/>
      <c r="EP90" s="154"/>
      <c r="EQ90" s="154"/>
      <c r="ER90" s="154"/>
      <c r="ES90" s="154"/>
      <c r="ET90" s="154"/>
      <c r="EU90" s="154"/>
      <c r="EV90" s="154"/>
      <c r="EW90" s="154"/>
    </row>
    <row r="91" spans="2:153" ht="12.95" customHeight="1">
      <c r="B91" s="154"/>
      <c r="C91" s="380"/>
      <c r="D91" s="380"/>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367"/>
      <c r="AG91" s="368"/>
      <c r="AH91" s="368"/>
      <c r="AI91" s="368"/>
      <c r="AJ91" s="154"/>
      <c r="AK91" s="154"/>
      <c r="AL91" s="154"/>
      <c r="AM91" s="154"/>
      <c r="AN91" s="154"/>
      <c r="AO91" s="154"/>
      <c r="AP91" s="154"/>
      <c r="AQ91" s="154"/>
      <c r="AR91" s="154"/>
      <c r="AS91" s="154"/>
      <c r="AT91" s="154"/>
      <c r="AU91" s="154"/>
      <c r="AV91" s="154"/>
      <c r="AW91" s="154"/>
      <c r="AX91" s="154"/>
      <c r="AY91" s="154"/>
      <c r="AZ91" s="154"/>
      <c r="BA91" s="154"/>
      <c r="BB91" s="154"/>
      <c r="BC91" s="154"/>
      <c r="BD91" s="154"/>
      <c r="BE91" s="154"/>
      <c r="BF91" s="154"/>
      <c r="BG91" s="154"/>
      <c r="BH91" s="154"/>
      <c r="BI91" s="154"/>
      <c r="BJ91" s="154"/>
      <c r="BK91" s="154"/>
      <c r="BL91" s="154"/>
      <c r="BM91" s="154"/>
      <c r="BN91" s="154"/>
      <c r="BO91" s="154"/>
      <c r="BP91" s="154"/>
      <c r="BQ91" s="154"/>
      <c r="BR91" s="154"/>
      <c r="BS91" s="154"/>
      <c r="BT91" s="154"/>
      <c r="BU91" s="154"/>
      <c r="BV91" s="154"/>
      <c r="BW91" s="154"/>
      <c r="BX91" s="154"/>
      <c r="BY91" s="154"/>
      <c r="BZ91" s="154"/>
      <c r="CA91" s="154"/>
      <c r="CB91" s="154"/>
      <c r="CC91" s="154"/>
      <c r="CD91" s="154"/>
      <c r="CE91" s="154"/>
      <c r="CF91" s="154"/>
      <c r="CG91" s="154"/>
      <c r="CH91" s="154"/>
      <c r="CI91" s="154"/>
      <c r="CJ91" s="154"/>
      <c r="CK91" s="154"/>
      <c r="CL91" s="154"/>
      <c r="CM91" s="154"/>
      <c r="CN91" s="154"/>
      <c r="CO91" s="154"/>
      <c r="CP91" s="154"/>
      <c r="CQ91" s="154"/>
      <c r="CR91" s="154"/>
      <c r="CS91" s="154"/>
      <c r="CT91" s="154"/>
      <c r="CU91" s="154"/>
      <c r="CV91" s="154"/>
      <c r="CW91" s="154"/>
      <c r="CX91" s="154"/>
      <c r="CY91" s="154"/>
      <c r="CZ91" s="154"/>
      <c r="DA91" s="154"/>
      <c r="DB91" s="154"/>
      <c r="DC91" s="154"/>
      <c r="DD91" s="154"/>
      <c r="DE91" s="154"/>
      <c r="DF91" s="154"/>
      <c r="DG91" s="154"/>
      <c r="DH91" s="154"/>
      <c r="DI91" s="154"/>
      <c r="DJ91" s="154"/>
      <c r="DK91" s="154"/>
      <c r="DL91" s="154"/>
      <c r="DM91" s="154"/>
      <c r="DN91" s="154"/>
      <c r="DO91" s="154"/>
      <c r="DP91" s="154"/>
      <c r="DQ91" s="154"/>
      <c r="DR91" s="154"/>
      <c r="DS91" s="154"/>
      <c r="DT91" s="154"/>
      <c r="DU91" s="154"/>
      <c r="DV91" s="154"/>
      <c r="DW91" s="154"/>
      <c r="DX91" s="154"/>
      <c r="DY91" s="154"/>
      <c r="DZ91" s="154"/>
      <c r="EA91" s="154"/>
      <c r="EB91" s="154"/>
      <c r="EC91" s="154"/>
      <c r="ED91" s="154"/>
      <c r="EE91" s="154"/>
      <c r="EF91" s="154"/>
      <c r="EG91" s="154"/>
      <c r="EH91" s="154"/>
      <c r="EI91" s="154"/>
      <c r="EJ91" s="154"/>
      <c r="EK91" s="154"/>
      <c r="EL91" s="154"/>
      <c r="EM91" s="154"/>
      <c r="EN91" s="154"/>
      <c r="EO91" s="154"/>
      <c r="EP91" s="154"/>
      <c r="EQ91" s="154"/>
      <c r="ER91" s="154"/>
      <c r="ES91" s="154"/>
      <c r="ET91" s="154"/>
      <c r="EU91" s="154"/>
      <c r="EV91" s="154"/>
      <c r="EW91" s="154"/>
    </row>
    <row r="92" spans="2:153" ht="12.95" customHeight="1">
      <c r="B92" s="154"/>
      <c r="C92" s="380"/>
      <c r="D92" s="380"/>
      <c r="E92" s="154"/>
      <c r="F92" s="154"/>
      <c r="G92" s="154"/>
      <c r="H92" s="154"/>
      <c r="I92" s="154"/>
      <c r="J92" s="154"/>
      <c r="K92" s="154"/>
      <c r="L92" s="154"/>
      <c r="M92" s="154"/>
      <c r="N92" s="154"/>
      <c r="O92" s="154"/>
      <c r="P92" s="154"/>
      <c r="Q92" s="154"/>
      <c r="R92" s="154"/>
      <c r="S92" s="154"/>
      <c r="T92" s="154"/>
      <c r="U92" s="154"/>
      <c r="V92" s="154"/>
      <c r="W92" s="154"/>
      <c r="X92" s="154"/>
      <c r="Y92" s="154"/>
      <c r="Z92" s="154"/>
      <c r="AA92" s="154"/>
      <c r="AB92" s="154"/>
      <c r="AC92" s="154"/>
      <c r="AD92" s="154"/>
      <c r="AE92" s="154"/>
      <c r="AF92" s="367"/>
      <c r="AG92" s="368"/>
      <c r="AH92" s="368"/>
      <c r="AI92" s="368"/>
      <c r="AJ92" s="154"/>
      <c r="AK92" s="154"/>
      <c r="AL92" s="154"/>
      <c r="AM92" s="154"/>
      <c r="AN92" s="154"/>
      <c r="AO92" s="154"/>
      <c r="AP92" s="154"/>
      <c r="AQ92" s="154"/>
      <c r="AR92" s="154"/>
      <c r="AS92" s="154"/>
      <c r="AT92" s="154"/>
      <c r="AU92" s="154"/>
      <c r="AV92" s="154"/>
      <c r="AW92" s="154"/>
      <c r="AX92" s="154"/>
      <c r="AY92" s="154"/>
      <c r="AZ92" s="154"/>
      <c r="BA92" s="154"/>
      <c r="BB92" s="154"/>
      <c r="BC92" s="154"/>
      <c r="BD92" s="154"/>
      <c r="BE92" s="154"/>
      <c r="BF92" s="154"/>
      <c r="BG92" s="154"/>
      <c r="BH92" s="154"/>
      <c r="BI92" s="154"/>
      <c r="BJ92" s="154"/>
      <c r="BK92" s="154"/>
      <c r="BL92" s="154"/>
      <c r="BM92" s="154"/>
      <c r="BN92" s="154"/>
      <c r="BO92" s="154"/>
      <c r="BP92" s="154"/>
      <c r="BQ92" s="154"/>
      <c r="BR92" s="154"/>
      <c r="BS92" s="154"/>
      <c r="BT92" s="154"/>
      <c r="BU92" s="154"/>
      <c r="BV92" s="154"/>
      <c r="BW92" s="154"/>
      <c r="BX92" s="154"/>
      <c r="BY92" s="154"/>
      <c r="BZ92" s="154"/>
      <c r="CA92" s="154"/>
      <c r="CB92" s="154"/>
      <c r="CC92" s="154"/>
      <c r="CD92" s="154"/>
      <c r="CE92" s="154"/>
      <c r="CF92" s="154"/>
      <c r="CG92" s="154"/>
      <c r="CH92" s="154"/>
      <c r="CI92" s="154"/>
      <c r="CJ92" s="154"/>
      <c r="CK92" s="154"/>
      <c r="CL92" s="154"/>
      <c r="CM92" s="154"/>
      <c r="CN92" s="154"/>
      <c r="CO92" s="154"/>
      <c r="CP92" s="154"/>
      <c r="CQ92" s="154"/>
      <c r="CR92" s="154"/>
      <c r="CS92" s="154"/>
      <c r="CT92" s="154"/>
      <c r="CU92" s="154"/>
      <c r="CV92" s="154"/>
      <c r="CW92" s="154"/>
      <c r="CX92" s="154"/>
      <c r="CY92" s="154"/>
      <c r="CZ92" s="154"/>
      <c r="DA92" s="154"/>
      <c r="DB92" s="154"/>
      <c r="DC92" s="154"/>
      <c r="DD92" s="154"/>
      <c r="DE92" s="154"/>
      <c r="DF92" s="154"/>
      <c r="DG92" s="154"/>
      <c r="DH92" s="154"/>
      <c r="DI92" s="154"/>
      <c r="DJ92" s="154"/>
      <c r="DK92" s="154"/>
      <c r="DL92" s="154"/>
      <c r="DM92" s="154"/>
      <c r="DN92" s="154"/>
      <c r="DO92" s="154"/>
      <c r="DP92" s="154"/>
      <c r="DQ92" s="154"/>
      <c r="DR92" s="154"/>
      <c r="DS92" s="154"/>
      <c r="DT92" s="154"/>
      <c r="DU92" s="154"/>
      <c r="DV92" s="154"/>
      <c r="DW92" s="154"/>
      <c r="DX92" s="154"/>
      <c r="DY92" s="154"/>
      <c r="DZ92" s="154"/>
      <c r="EA92" s="154"/>
      <c r="EB92" s="154"/>
      <c r="EC92" s="154"/>
      <c r="ED92" s="154"/>
      <c r="EE92" s="154"/>
      <c r="EF92" s="154"/>
      <c r="EG92" s="154"/>
      <c r="EH92" s="154"/>
      <c r="EI92" s="154"/>
      <c r="EJ92" s="154"/>
      <c r="EK92" s="154"/>
      <c r="EL92" s="154"/>
      <c r="EM92" s="154"/>
      <c r="EN92" s="154"/>
      <c r="EO92" s="154"/>
      <c r="EP92" s="154"/>
      <c r="EQ92" s="154"/>
      <c r="ER92" s="154"/>
      <c r="ES92" s="154"/>
      <c r="ET92" s="154"/>
      <c r="EU92" s="154"/>
      <c r="EV92" s="154"/>
      <c r="EW92" s="154"/>
    </row>
    <row r="93" spans="2:153" ht="12.95" customHeight="1">
      <c r="B93" s="154"/>
      <c r="C93" s="380"/>
      <c r="D93" s="380"/>
      <c r="E93" s="154"/>
      <c r="F93" s="154"/>
      <c r="G93" s="154"/>
      <c r="H93" s="154"/>
      <c r="I93" s="154"/>
      <c r="J93" s="154"/>
      <c r="K93" s="154"/>
      <c r="L93" s="154"/>
      <c r="M93" s="154"/>
      <c r="N93" s="154"/>
      <c r="O93" s="154"/>
      <c r="P93" s="154"/>
      <c r="Q93" s="154"/>
      <c r="R93" s="154"/>
      <c r="S93" s="154"/>
      <c r="T93" s="154"/>
      <c r="U93" s="154"/>
      <c r="V93" s="154"/>
      <c r="W93" s="154"/>
      <c r="X93" s="154"/>
      <c r="Y93" s="154"/>
      <c r="Z93" s="154"/>
      <c r="AA93" s="154"/>
      <c r="AB93" s="154"/>
      <c r="AC93" s="154"/>
      <c r="AD93" s="154"/>
      <c r="AE93" s="154"/>
      <c r="AF93" s="367"/>
      <c r="AG93" s="368"/>
      <c r="AH93" s="368"/>
      <c r="AI93" s="368"/>
      <c r="AJ93" s="154"/>
      <c r="AK93" s="154"/>
      <c r="AL93" s="154"/>
      <c r="AM93" s="154"/>
      <c r="AN93" s="154"/>
      <c r="AO93" s="154"/>
      <c r="AP93" s="154"/>
      <c r="AQ93" s="154"/>
      <c r="AR93" s="154"/>
      <c r="AS93" s="154"/>
      <c r="AT93" s="154"/>
      <c r="AU93" s="154"/>
      <c r="AV93" s="154"/>
      <c r="AW93" s="154"/>
      <c r="AX93" s="154"/>
      <c r="AY93" s="154"/>
      <c r="AZ93" s="154"/>
      <c r="BA93" s="154"/>
      <c r="BB93" s="154"/>
      <c r="BC93" s="154"/>
      <c r="BD93" s="154"/>
      <c r="BE93" s="154"/>
      <c r="BF93" s="154"/>
      <c r="BG93" s="154"/>
      <c r="BH93" s="154"/>
      <c r="BI93" s="154"/>
      <c r="BJ93" s="154"/>
      <c r="BK93" s="154"/>
      <c r="BL93" s="154"/>
      <c r="BM93" s="154"/>
      <c r="BN93" s="154"/>
      <c r="BO93" s="154"/>
      <c r="BP93" s="154"/>
      <c r="BQ93" s="154"/>
      <c r="BR93" s="154"/>
      <c r="BS93" s="154"/>
      <c r="BT93" s="154"/>
      <c r="BU93" s="154"/>
      <c r="BV93" s="154"/>
      <c r="BW93" s="154"/>
      <c r="BX93" s="154"/>
      <c r="BY93" s="154"/>
      <c r="BZ93" s="154"/>
      <c r="CA93" s="154"/>
      <c r="CB93" s="154"/>
      <c r="CC93" s="154"/>
      <c r="CD93" s="154"/>
      <c r="CE93" s="154"/>
      <c r="CF93" s="154"/>
      <c r="CG93" s="154"/>
      <c r="CH93" s="154"/>
      <c r="CI93" s="154"/>
      <c r="CJ93" s="154"/>
      <c r="CK93" s="154"/>
      <c r="CL93" s="154"/>
      <c r="CM93" s="154"/>
      <c r="CN93" s="154"/>
      <c r="CO93" s="154"/>
      <c r="CP93" s="154"/>
      <c r="CQ93" s="154"/>
      <c r="CR93" s="154"/>
      <c r="CS93" s="154"/>
      <c r="CT93" s="154"/>
      <c r="CU93" s="154"/>
      <c r="CV93" s="154"/>
      <c r="CW93" s="154"/>
      <c r="CX93" s="154"/>
      <c r="CY93" s="154"/>
      <c r="CZ93" s="154"/>
      <c r="DA93" s="154"/>
      <c r="DB93" s="154"/>
      <c r="DC93" s="154"/>
      <c r="DD93" s="154"/>
      <c r="DE93" s="154"/>
      <c r="DF93" s="154"/>
      <c r="DG93" s="154"/>
      <c r="DH93" s="154"/>
      <c r="DI93" s="154"/>
      <c r="DJ93" s="154"/>
      <c r="DK93" s="154"/>
      <c r="DL93" s="154"/>
      <c r="DM93" s="154"/>
      <c r="DN93" s="154"/>
      <c r="DO93" s="154"/>
      <c r="DP93" s="154"/>
      <c r="DQ93" s="154"/>
      <c r="DR93" s="154"/>
      <c r="DS93" s="154"/>
      <c r="DT93" s="154"/>
      <c r="DU93" s="154"/>
      <c r="DV93" s="154"/>
      <c r="DW93" s="154"/>
      <c r="DX93" s="154"/>
      <c r="DY93" s="154"/>
      <c r="DZ93" s="154"/>
      <c r="EA93" s="154"/>
      <c r="EB93" s="154"/>
      <c r="EC93" s="154"/>
      <c r="ED93" s="154"/>
      <c r="EE93" s="154"/>
      <c r="EF93" s="154"/>
      <c r="EG93" s="154"/>
      <c r="EH93" s="154"/>
      <c r="EI93" s="154"/>
      <c r="EJ93" s="154"/>
      <c r="EK93" s="154"/>
      <c r="EL93" s="154"/>
      <c r="EM93" s="154"/>
      <c r="EN93" s="154"/>
      <c r="EO93" s="154"/>
      <c r="EP93" s="154"/>
      <c r="EQ93" s="154"/>
      <c r="ER93" s="154"/>
      <c r="ES93" s="154"/>
      <c r="ET93" s="154"/>
      <c r="EU93" s="154"/>
      <c r="EV93" s="154"/>
      <c r="EW93" s="154"/>
    </row>
    <row r="94" spans="2:153" ht="12.95" customHeight="1">
      <c r="B94" s="154"/>
      <c r="C94" s="380"/>
      <c r="D94" s="380"/>
      <c r="E94" s="154"/>
      <c r="F94" s="154"/>
      <c r="G94" s="154"/>
      <c r="H94" s="154"/>
      <c r="I94" s="154"/>
      <c r="J94" s="154"/>
      <c r="K94" s="154"/>
      <c r="L94" s="154"/>
      <c r="M94" s="154"/>
      <c r="N94" s="154"/>
      <c r="O94" s="154"/>
      <c r="P94" s="154"/>
      <c r="Q94" s="154"/>
      <c r="R94" s="154"/>
      <c r="S94" s="154"/>
      <c r="T94" s="154"/>
      <c r="U94" s="154"/>
      <c r="V94" s="154"/>
      <c r="W94" s="154"/>
      <c r="X94" s="154"/>
      <c r="Y94" s="154"/>
      <c r="Z94" s="154"/>
      <c r="AA94" s="154"/>
      <c r="AB94" s="154"/>
      <c r="AC94" s="154"/>
      <c r="AD94" s="154"/>
      <c r="AE94" s="154"/>
      <c r="AF94" s="367"/>
      <c r="AG94" s="368"/>
      <c r="AH94" s="368"/>
      <c r="AI94" s="368"/>
      <c r="AJ94" s="154"/>
      <c r="AK94" s="154"/>
      <c r="AL94" s="154"/>
      <c r="AM94" s="154"/>
      <c r="AN94" s="154"/>
      <c r="AO94" s="154"/>
      <c r="AP94" s="154"/>
      <c r="AQ94" s="154"/>
      <c r="AR94" s="154"/>
      <c r="AS94" s="154"/>
      <c r="AT94" s="154"/>
      <c r="AU94" s="154"/>
      <c r="AV94" s="154"/>
      <c r="AW94" s="154"/>
      <c r="AX94" s="154"/>
      <c r="AY94" s="154"/>
      <c r="AZ94" s="154"/>
      <c r="BA94" s="154"/>
      <c r="BB94" s="154"/>
      <c r="BC94" s="154"/>
      <c r="BD94" s="154"/>
      <c r="BE94" s="154"/>
      <c r="BF94" s="154"/>
      <c r="BG94" s="154"/>
      <c r="BH94" s="154"/>
      <c r="BI94" s="154"/>
      <c r="BJ94" s="154"/>
      <c r="BK94" s="154"/>
      <c r="BL94" s="154"/>
      <c r="BM94" s="154"/>
      <c r="BN94" s="154"/>
      <c r="BO94" s="154"/>
      <c r="BP94" s="154"/>
      <c r="BQ94" s="154"/>
      <c r="BR94" s="154"/>
      <c r="BS94" s="154"/>
      <c r="BT94" s="154"/>
      <c r="BU94" s="154"/>
      <c r="BV94" s="154"/>
      <c r="BW94" s="154"/>
      <c r="BX94" s="154"/>
      <c r="BY94" s="154"/>
      <c r="BZ94" s="154"/>
      <c r="CA94" s="154"/>
      <c r="CB94" s="154"/>
      <c r="CC94" s="154"/>
      <c r="CD94" s="154"/>
      <c r="CE94" s="154"/>
      <c r="CF94" s="154"/>
      <c r="CG94" s="154"/>
      <c r="CH94" s="154"/>
      <c r="CI94" s="154"/>
      <c r="CJ94" s="154"/>
      <c r="CK94" s="154"/>
      <c r="CL94" s="154"/>
      <c r="CM94" s="154"/>
      <c r="CN94" s="154"/>
      <c r="CO94" s="154"/>
      <c r="CP94" s="154"/>
      <c r="CQ94" s="154"/>
      <c r="CR94" s="154"/>
      <c r="CS94" s="154"/>
      <c r="CT94" s="154"/>
      <c r="CU94" s="154"/>
      <c r="CV94" s="154"/>
      <c r="CW94" s="154"/>
      <c r="CX94" s="154"/>
      <c r="CY94" s="154"/>
      <c r="CZ94" s="154"/>
      <c r="DA94" s="154"/>
      <c r="DB94" s="154"/>
      <c r="DC94" s="154"/>
      <c r="DD94" s="154"/>
      <c r="DE94" s="154"/>
      <c r="DF94" s="154"/>
      <c r="DG94" s="154"/>
      <c r="DH94" s="154"/>
      <c r="DI94" s="154"/>
      <c r="DJ94" s="154"/>
      <c r="DK94" s="154"/>
      <c r="DL94" s="154"/>
      <c r="DM94" s="154"/>
      <c r="DN94" s="154"/>
      <c r="DO94" s="154"/>
      <c r="DP94" s="154"/>
      <c r="DQ94" s="154"/>
      <c r="DR94" s="154"/>
      <c r="DS94" s="154"/>
      <c r="DT94" s="154"/>
      <c r="DU94" s="154"/>
      <c r="DV94" s="154"/>
      <c r="DW94" s="154"/>
      <c r="DX94" s="154"/>
      <c r="DY94" s="154"/>
      <c r="DZ94" s="154"/>
      <c r="EA94" s="154"/>
      <c r="EB94" s="154"/>
      <c r="EC94" s="154"/>
      <c r="ED94" s="154"/>
      <c r="EE94" s="154"/>
      <c r="EF94" s="154"/>
      <c r="EG94" s="154"/>
      <c r="EH94" s="154"/>
      <c r="EI94" s="154"/>
      <c r="EJ94" s="154"/>
      <c r="EK94" s="154"/>
      <c r="EL94" s="154"/>
      <c r="EM94" s="154"/>
      <c r="EN94" s="154"/>
      <c r="EO94" s="154"/>
      <c r="EP94" s="154"/>
      <c r="EQ94" s="154"/>
      <c r="ER94" s="154"/>
      <c r="ES94" s="154"/>
      <c r="ET94" s="154"/>
      <c r="EU94" s="154"/>
      <c r="EV94" s="154"/>
      <c r="EW94" s="154"/>
    </row>
    <row r="95" spans="2:153" ht="12.95" customHeight="1">
      <c r="B95" s="154"/>
      <c r="C95" s="380"/>
      <c r="D95" s="380"/>
      <c r="E95" s="154"/>
      <c r="F95" s="154"/>
      <c r="G95" s="154"/>
      <c r="H95" s="154"/>
      <c r="I95" s="154"/>
      <c r="J95" s="154"/>
      <c r="K95" s="154"/>
      <c r="L95" s="154"/>
      <c r="M95" s="154"/>
      <c r="N95" s="154"/>
      <c r="O95" s="154"/>
      <c r="P95" s="154"/>
      <c r="Q95" s="154"/>
      <c r="R95" s="154"/>
      <c r="S95" s="154"/>
      <c r="T95" s="154"/>
      <c r="U95" s="154"/>
      <c r="V95" s="154"/>
      <c r="W95" s="154"/>
      <c r="X95" s="154"/>
      <c r="Y95" s="154"/>
      <c r="Z95" s="154"/>
      <c r="AA95" s="154"/>
      <c r="AB95" s="154"/>
      <c r="AC95" s="154"/>
      <c r="AD95" s="154"/>
      <c r="AE95" s="154"/>
      <c r="AF95" s="367"/>
      <c r="AG95" s="368"/>
      <c r="AH95" s="368"/>
      <c r="AI95" s="368"/>
      <c r="AJ95" s="154"/>
      <c r="AK95" s="154"/>
      <c r="AL95" s="154"/>
      <c r="AM95" s="154"/>
      <c r="AN95" s="154"/>
      <c r="AO95" s="154"/>
      <c r="AP95" s="154"/>
      <c r="AQ95" s="154"/>
      <c r="AR95" s="154"/>
      <c r="AS95" s="154"/>
      <c r="AT95" s="154"/>
      <c r="AU95" s="154"/>
      <c r="AV95" s="154"/>
      <c r="AW95" s="154"/>
      <c r="AX95" s="154"/>
      <c r="AY95" s="154"/>
      <c r="AZ95" s="154"/>
      <c r="BA95" s="154"/>
      <c r="BB95" s="154"/>
      <c r="BC95" s="154"/>
      <c r="BD95" s="154"/>
      <c r="BE95" s="154"/>
      <c r="BF95" s="154"/>
      <c r="BG95" s="154"/>
      <c r="BH95" s="154"/>
      <c r="BI95" s="154"/>
      <c r="BJ95" s="154"/>
      <c r="BK95" s="154"/>
      <c r="BL95" s="154"/>
      <c r="BM95" s="154"/>
      <c r="BN95" s="154"/>
      <c r="BO95" s="154"/>
      <c r="BP95" s="154"/>
      <c r="BQ95" s="154"/>
      <c r="BR95" s="154"/>
      <c r="BS95" s="154"/>
      <c r="BT95" s="154"/>
      <c r="BU95" s="154"/>
      <c r="BV95" s="154"/>
      <c r="BW95" s="154"/>
      <c r="BX95" s="154"/>
      <c r="BY95" s="154"/>
      <c r="BZ95" s="154"/>
      <c r="CA95" s="154"/>
      <c r="CB95" s="154"/>
      <c r="CC95" s="154"/>
      <c r="CD95" s="154"/>
      <c r="CE95" s="154"/>
      <c r="CF95" s="154"/>
      <c r="CG95" s="154"/>
      <c r="CH95" s="154"/>
      <c r="CI95" s="154"/>
      <c r="CJ95" s="154"/>
      <c r="CK95" s="154"/>
      <c r="CL95" s="154"/>
      <c r="CM95" s="154"/>
      <c r="CN95" s="154"/>
      <c r="CO95" s="154"/>
      <c r="CP95" s="154"/>
      <c r="CQ95" s="154"/>
      <c r="CR95" s="154"/>
      <c r="CS95" s="154"/>
      <c r="CT95" s="154"/>
      <c r="CU95" s="154"/>
      <c r="CV95" s="154"/>
      <c r="CW95" s="154"/>
      <c r="CX95" s="154"/>
      <c r="CY95" s="154"/>
      <c r="CZ95" s="154"/>
      <c r="DA95" s="154"/>
      <c r="DB95" s="154"/>
      <c r="DC95" s="154"/>
      <c r="DD95" s="154"/>
      <c r="DE95" s="154"/>
      <c r="DF95" s="154"/>
      <c r="DG95" s="154"/>
      <c r="DH95" s="154"/>
      <c r="DI95" s="154"/>
      <c r="DJ95" s="154"/>
      <c r="DK95" s="154"/>
      <c r="DL95" s="154"/>
      <c r="DM95" s="154"/>
      <c r="DN95" s="154"/>
      <c r="DO95" s="154"/>
      <c r="DP95" s="154"/>
      <c r="DQ95" s="154"/>
      <c r="DR95" s="154"/>
      <c r="DS95" s="154"/>
      <c r="DT95" s="154"/>
      <c r="DU95" s="154"/>
      <c r="DV95" s="154"/>
      <c r="DW95" s="154"/>
      <c r="DX95" s="154"/>
      <c r="DY95" s="154"/>
      <c r="DZ95" s="154"/>
      <c r="EA95" s="154"/>
      <c r="EB95" s="154"/>
      <c r="EC95" s="154"/>
      <c r="ED95" s="154"/>
      <c r="EE95" s="154"/>
      <c r="EF95" s="154"/>
      <c r="EG95" s="154"/>
      <c r="EH95" s="154"/>
      <c r="EI95" s="154"/>
      <c r="EJ95" s="154"/>
      <c r="EK95" s="154"/>
      <c r="EL95" s="154"/>
      <c r="EM95" s="154"/>
      <c r="EN95" s="154"/>
      <c r="EO95" s="154"/>
      <c r="EP95" s="154"/>
      <c r="EQ95" s="154"/>
      <c r="ER95" s="154"/>
      <c r="ES95" s="154"/>
      <c r="ET95" s="154"/>
      <c r="EU95" s="154"/>
      <c r="EV95" s="154"/>
      <c r="EW95" s="154"/>
    </row>
    <row r="96" spans="2:153" ht="12.95" customHeight="1">
      <c r="B96" s="154"/>
      <c r="C96" s="380"/>
      <c r="D96" s="380"/>
      <c r="E96" s="154"/>
      <c r="F96" s="154"/>
      <c r="G96" s="154"/>
      <c r="H96" s="154"/>
      <c r="I96" s="154"/>
      <c r="J96" s="154"/>
      <c r="K96" s="154"/>
      <c r="L96" s="154"/>
      <c r="M96" s="154"/>
      <c r="N96" s="154"/>
      <c r="O96" s="154"/>
      <c r="P96" s="154"/>
      <c r="Q96" s="154"/>
      <c r="R96" s="154"/>
      <c r="S96" s="154"/>
      <c r="T96" s="154"/>
      <c r="U96" s="154"/>
      <c r="V96" s="154"/>
      <c r="W96" s="154"/>
      <c r="X96" s="154"/>
      <c r="Y96" s="154"/>
      <c r="Z96" s="154"/>
      <c r="AA96" s="154"/>
      <c r="AB96" s="154"/>
      <c r="AC96" s="154"/>
      <c r="AD96" s="154"/>
      <c r="AE96" s="154"/>
      <c r="AF96" s="367"/>
      <c r="AG96" s="368"/>
      <c r="AH96" s="368"/>
      <c r="AI96" s="368"/>
      <c r="AJ96" s="154"/>
      <c r="AK96" s="154"/>
      <c r="AL96" s="154"/>
      <c r="AM96" s="154"/>
      <c r="AN96" s="154"/>
      <c r="AO96" s="154"/>
      <c r="AP96" s="154"/>
      <c r="AQ96" s="154"/>
      <c r="AR96" s="154"/>
      <c r="AS96" s="154"/>
      <c r="AT96" s="154"/>
      <c r="AU96" s="154"/>
      <c r="AV96" s="154"/>
      <c r="AW96" s="154"/>
      <c r="AX96" s="154"/>
      <c r="AY96" s="154"/>
      <c r="AZ96" s="154"/>
      <c r="BA96" s="154"/>
      <c r="BB96" s="154"/>
      <c r="BC96" s="154"/>
      <c r="BD96" s="154"/>
      <c r="BE96" s="154"/>
      <c r="BF96" s="154"/>
      <c r="BG96" s="154"/>
      <c r="BH96" s="154"/>
      <c r="BI96" s="154"/>
      <c r="BJ96" s="154"/>
      <c r="BK96" s="154"/>
      <c r="BL96" s="154"/>
      <c r="BM96" s="154"/>
      <c r="BN96" s="154"/>
      <c r="BO96" s="154"/>
      <c r="BP96" s="154"/>
      <c r="BQ96" s="154"/>
      <c r="BR96" s="154"/>
      <c r="BS96" s="154"/>
      <c r="BT96" s="154"/>
      <c r="BU96" s="154"/>
      <c r="BV96" s="154"/>
      <c r="BW96" s="154"/>
      <c r="BX96" s="154"/>
      <c r="BY96" s="154"/>
      <c r="BZ96" s="154"/>
      <c r="CA96" s="154"/>
      <c r="CB96" s="154"/>
      <c r="CC96" s="154"/>
      <c r="CD96" s="154"/>
      <c r="CE96" s="154"/>
      <c r="CF96" s="154"/>
      <c r="CG96" s="154"/>
      <c r="CH96" s="154"/>
      <c r="CI96" s="154"/>
      <c r="CJ96" s="154"/>
      <c r="CK96" s="154"/>
      <c r="CL96" s="154"/>
      <c r="CM96" s="154"/>
      <c r="CN96" s="154"/>
      <c r="CO96" s="154"/>
      <c r="CP96" s="154"/>
      <c r="CQ96" s="154"/>
      <c r="CR96" s="154"/>
      <c r="CS96" s="154"/>
      <c r="CT96" s="154"/>
      <c r="CU96" s="154"/>
      <c r="CV96" s="154"/>
      <c r="CW96" s="154"/>
      <c r="CX96" s="154"/>
      <c r="CY96" s="154"/>
      <c r="CZ96" s="154"/>
      <c r="DA96" s="154"/>
      <c r="DB96" s="154"/>
      <c r="DC96" s="154"/>
      <c r="DD96" s="154"/>
      <c r="DE96" s="154"/>
      <c r="DF96" s="154"/>
      <c r="DG96" s="154"/>
      <c r="DH96" s="154"/>
      <c r="DI96" s="154"/>
      <c r="DJ96" s="154"/>
      <c r="DK96" s="154"/>
      <c r="DL96" s="154"/>
      <c r="DM96" s="154"/>
      <c r="DN96" s="154"/>
      <c r="DO96" s="154"/>
      <c r="DP96" s="154"/>
      <c r="DQ96" s="154"/>
      <c r="DR96" s="154"/>
      <c r="DS96" s="154"/>
      <c r="DT96" s="154"/>
      <c r="DU96" s="154"/>
      <c r="DV96" s="154"/>
      <c r="DW96" s="154"/>
      <c r="DX96" s="154"/>
      <c r="DY96" s="154"/>
      <c r="DZ96" s="154"/>
      <c r="EA96" s="154"/>
      <c r="EB96" s="154"/>
      <c r="EC96" s="154"/>
      <c r="ED96" s="154"/>
      <c r="EE96" s="154"/>
      <c r="EF96" s="154"/>
      <c r="EG96" s="154"/>
      <c r="EH96" s="154"/>
      <c r="EI96" s="154"/>
      <c r="EJ96" s="154"/>
      <c r="EK96" s="154"/>
      <c r="EL96" s="154"/>
      <c r="EM96" s="154"/>
      <c r="EN96" s="154"/>
      <c r="EO96" s="154"/>
      <c r="EP96" s="154"/>
      <c r="EQ96" s="154"/>
      <c r="ER96" s="154"/>
      <c r="ES96" s="154"/>
      <c r="ET96" s="154"/>
      <c r="EU96" s="154"/>
      <c r="EV96" s="154"/>
      <c r="EW96" s="154"/>
    </row>
    <row r="97" spans="2:153" ht="12.95" customHeight="1">
      <c r="B97" s="154"/>
      <c r="C97" s="380"/>
      <c r="D97" s="380"/>
      <c r="E97" s="154"/>
      <c r="F97" s="154"/>
      <c r="G97" s="375"/>
      <c r="H97" s="389"/>
      <c r="I97" s="389"/>
      <c r="J97" s="389"/>
      <c r="K97" s="389"/>
      <c r="L97" s="154"/>
      <c r="M97" s="154"/>
      <c r="N97" s="154"/>
      <c r="O97" s="154"/>
      <c r="P97" s="154"/>
      <c r="Q97" s="154"/>
      <c r="R97" s="154"/>
      <c r="S97" s="154"/>
      <c r="T97" s="154"/>
      <c r="U97" s="154"/>
      <c r="V97" s="154"/>
      <c r="W97" s="154"/>
      <c r="X97" s="154"/>
      <c r="Y97" s="154"/>
      <c r="Z97" s="154"/>
      <c r="AA97" s="154"/>
      <c r="AB97" s="154"/>
      <c r="AC97" s="154"/>
      <c r="AD97" s="154"/>
      <c r="AE97" s="154"/>
      <c r="AF97" s="367"/>
      <c r="AG97" s="368"/>
      <c r="AH97" s="368"/>
      <c r="AI97" s="368"/>
      <c r="AJ97" s="154"/>
      <c r="AK97" s="154"/>
      <c r="AL97" s="154"/>
      <c r="AM97" s="154"/>
      <c r="AN97" s="154"/>
      <c r="AO97" s="154"/>
      <c r="AP97" s="154"/>
      <c r="AQ97" s="154"/>
      <c r="AR97" s="154"/>
      <c r="AS97" s="154"/>
      <c r="AT97" s="154"/>
      <c r="AU97" s="154"/>
      <c r="AV97" s="154"/>
      <c r="AW97" s="154"/>
      <c r="AX97" s="154"/>
      <c r="AY97" s="154"/>
      <c r="AZ97" s="154"/>
      <c r="BA97" s="154"/>
      <c r="BB97" s="154"/>
      <c r="BC97" s="154"/>
      <c r="BD97" s="154"/>
      <c r="BE97" s="154"/>
      <c r="BF97" s="154"/>
      <c r="BG97" s="154"/>
      <c r="BH97" s="154"/>
      <c r="BI97" s="154"/>
      <c r="BJ97" s="154"/>
      <c r="BK97" s="154"/>
      <c r="BL97" s="154"/>
      <c r="BM97" s="154"/>
      <c r="BN97" s="154"/>
      <c r="BO97" s="154"/>
      <c r="BP97" s="154"/>
      <c r="BQ97" s="154"/>
      <c r="BR97" s="154"/>
      <c r="BS97" s="154"/>
      <c r="BT97" s="154"/>
      <c r="BU97" s="154"/>
      <c r="BV97" s="154"/>
      <c r="BW97" s="154"/>
      <c r="BX97" s="154"/>
      <c r="BY97" s="154"/>
      <c r="BZ97" s="154"/>
      <c r="CA97" s="154"/>
      <c r="CB97" s="154"/>
      <c r="CC97" s="154"/>
      <c r="CD97" s="154"/>
      <c r="CE97" s="154"/>
      <c r="CF97" s="154"/>
      <c r="CG97" s="154"/>
      <c r="CH97" s="154"/>
      <c r="CI97" s="154"/>
      <c r="CJ97" s="154"/>
      <c r="CK97" s="154"/>
      <c r="CL97" s="154"/>
      <c r="CM97" s="154"/>
      <c r="CN97" s="154"/>
      <c r="CO97" s="154"/>
      <c r="CP97" s="154"/>
      <c r="CQ97" s="154"/>
      <c r="CR97" s="154"/>
      <c r="CS97" s="154"/>
      <c r="CT97" s="154"/>
      <c r="CU97" s="154"/>
      <c r="CV97" s="154"/>
      <c r="CW97" s="154"/>
      <c r="CX97" s="154"/>
      <c r="CY97" s="154"/>
      <c r="CZ97" s="154"/>
      <c r="DA97" s="154"/>
      <c r="DB97" s="154"/>
      <c r="DC97" s="154"/>
      <c r="DD97" s="154"/>
      <c r="DE97" s="154"/>
      <c r="DF97" s="154"/>
      <c r="DG97" s="154"/>
      <c r="DH97" s="154"/>
      <c r="DI97" s="154"/>
      <c r="DJ97" s="154"/>
      <c r="DK97" s="154"/>
      <c r="DL97" s="154"/>
      <c r="DM97" s="154"/>
      <c r="DN97" s="154"/>
      <c r="DO97" s="154"/>
      <c r="DP97" s="154"/>
      <c r="DQ97" s="154"/>
      <c r="DR97" s="154"/>
      <c r="DS97" s="154"/>
      <c r="DT97" s="154"/>
      <c r="DU97" s="154"/>
      <c r="DV97" s="154"/>
      <c r="DW97" s="154"/>
      <c r="DX97" s="154"/>
      <c r="DY97" s="154"/>
      <c r="DZ97" s="154"/>
      <c r="EA97" s="154"/>
      <c r="EB97" s="154"/>
      <c r="EC97" s="154"/>
      <c r="ED97" s="154"/>
      <c r="EE97" s="154"/>
      <c r="EF97" s="154"/>
      <c r="EG97" s="154"/>
      <c r="EH97" s="154"/>
      <c r="EI97" s="154"/>
      <c r="EJ97" s="154"/>
      <c r="EK97" s="154"/>
      <c r="EL97" s="154"/>
      <c r="EM97" s="154"/>
      <c r="EN97" s="154"/>
      <c r="EO97" s="154"/>
      <c r="EP97" s="154"/>
      <c r="EQ97" s="154"/>
      <c r="ER97" s="154"/>
      <c r="ES97" s="154"/>
      <c r="ET97" s="154"/>
      <c r="EU97" s="154"/>
      <c r="EV97" s="154"/>
      <c r="EW97" s="154"/>
    </row>
    <row r="98" spans="2:153" ht="12.95" customHeight="1">
      <c r="B98" s="154"/>
      <c r="C98" s="380"/>
      <c r="D98" s="380"/>
      <c r="E98" s="154"/>
      <c r="F98" s="154"/>
      <c r="G98" s="376"/>
      <c r="H98" s="390"/>
      <c r="I98" s="390"/>
      <c r="J98" s="390"/>
      <c r="K98" s="390"/>
      <c r="L98" s="154"/>
      <c r="M98" s="154"/>
      <c r="N98" s="154"/>
      <c r="O98" s="154"/>
      <c r="P98" s="154"/>
      <c r="Q98" s="154"/>
      <c r="R98" s="154"/>
      <c r="S98" s="154"/>
      <c r="T98" s="154"/>
      <c r="U98" s="154"/>
      <c r="V98" s="154"/>
      <c r="W98" s="154"/>
      <c r="X98" s="154"/>
      <c r="Y98" s="154"/>
      <c r="Z98" s="154"/>
      <c r="AA98" s="154"/>
      <c r="AB98" s="154"/>
      <c r="AC98" s="154"/>
      <c r="AD98" s="154"/>
      <c r="AE98" s="154"/>
      <c r="AF98" s="367"/>
      <c r="AG98" s="368"/>
      <c r="AH98" s="368"/>
      <c r="AI98" s="368"/>
      <c r="AJ98" s="154"/>
      <c r="AK98" s="154"/>
      <c r="AL98" s="154"/>
      <c r="AM98" s="154"/>
      <c r="AN98" s="154"/>
      <c r="AO98" s="154"/>
      <c r="AP98" s="154"/>
      <c r="AQ98" s="154"/>
      <c r="AR98" s="154"/>
      <c r="AS98" s="154"/>
      <c r="AT98" s="154"/>
      <c r="AU98" s="154"/>
      <c r="AV98" s="154"/>
      <c r="AW98" s="154"/>
      <c r="AX98" s="154"/>
      <c r="AY98" s="154"/>
      <c r="AZ98" s="154"/>
      <c r="BA98" s="154"/>
      <c r="BB98" s="154"/>
      <c r="BC98" s="154"/>
      <c r="BD98" s="154"/>
      <c r="BE98" s="154"/>
      <c r="BF98" s="154"/>
      <c r="BG98" s="154"/>
      <c r="BH98" s="154"/>
      <c r="BI98" s="154"/>
      <c r="BJ98" s="154"/>
      <c r="BK98" s="154"/>
      <c r="BL98" s="154"/>
      <c r="BM98" s="154"/>
      <c r="BN98" s="154"/>
      <c r="BO98" s="154"/>
      <c r="BP98" s="154"/>
      <c r="BQ98" s="154"/>
      <c r="BR98" s="154"/>
      <c r="BS98" s="154"/>
      <c r="BT98" s="154"/>
      <c r="BU98" s="154"/>
      <c r="BV98" s="154"/>
      <c r="BW98" s="154"/>
      <c r="BX98" s="154"/>
      <c r="BY98" s="154"/>
      <c r="BZ98" s="154"/>
      <c r="CA98" s="154"/>
      <c r="CB98" s="154"/>
      <c r="CC98" s="154"/>
      <c r="CD98" s="154"/>
      <c r="CE98" s="154"/>
      <c r="CF98" s="154"/>
      <c r="CG98" s="154"/>
      <c r="CH98" s="154"/>
      <c r="CI98" s="154"/>
      <c r="CJ98" s="154"/>
      <c r="CK98" s="154"/>
      <c r="CL98" s="154"/>
      <c r="CM98" s="154"/>
      <c r="CN98" s="154"/>
      <c r="CO98" s="154"/>
      <c r="CP98" s="154"/>
      <c r="CQ98" s="154"/>
      <c r="CR98" s="154"/>
      <c r="CS98" s="154"/>
      <c r="CT98" s="154"/>
      <c r="CU98" s="154"/>
      <c r="CV98" s="154"/>
      <c r="CW98" s="154"/>
      <c r="CX98" s="154"/>
      <c r="CY98" s="154"/>
      <c r="CZ98" s="154"/>
      <c r="DA98" s="154"/>
      <c r="DB98" s="154"/>
      <c r="DC98" s="154"/>
      <c r="DD98" s="154"/>
      <c r="DE98" s="154"/>
      <c r="DF98" s="154"/>
      <c r="DG98" s="154"/>
      <c r="DH98" s="154"/>
      <c r="DI98" s="154"/>
      <c r="DJ98" s="154"/>
      <c r="DK98" s="154"/>
      <c r="DL98" s="154"/>
      <c r="DM98" s="154"/>
      <c r="DN98" s="154"/>
      <c r="DO98" s="154"/>
      <c r="DP98" s="154"/>
      <c r="DQ98" s="154"/>
      <c r="DR98" s="154"/>
      <c r="DS98" s="154"/>
      <c r="DT98" s="154"/>
      <c r="DU98" s="154"/>
      <c r="DV98" s="154"/>
      <c r="DW98" s="154"/>
      <c r="DX98" s="154"/>
      <c r="DY98" s="154"/>
      <c r="DZ98" s="154"/>
      <c r="EA98" s="154"/>
      <c r="EB98" s="154"/>
      <c r="EC98" s="154"/>
      <c r="ED98" s="154"/>
      <c r="EE98" s="154"/>
      <c r="EF98" s="154"/>
      <c r="EG98" s="154"/>
      <c r="EH98" s="154"/>
      <c r="EI98" s="154"/>
      <c r="EJ98" s="154"/>
      <c r="EK98" s="154"/>
      <c r="EL98" s="154"/>
      <c r="EM98" s="154"/>
      <c r="EN98" s="154"/>
      <c r="EO98" s="154"/>
      <c r="EP98" s="154"/>
      <c r="EQ98" s="154"/>
      <c r="ER98" s="154"/>
      <c r="ES98" s="154"/>
      <c r="ET98" s="154"/>
      <c r="EU98" s="154"/>
      <c r="EV98" s="154"/>
      <c r="EW98" s="154"/>
    </row>
    <row r="99" spans="2:153" ht="12.95" customHeight="1">
      <c r="B99" s="154"/>
      <c r="C99" s="380"/>
      <c r="D99" s="380"/>
      <c r="E99" s="154"/>
      <c r="F99" s="154"/>
      <c r="G99" s="154"/>
      <c r="H99" s="154"/>
      <c r="I99" s="154"/>
      <c r="J99" s="154"/>
      <c r="K99" s="154"/>
      <c r="L99" s="154"/>
      <c r="M99" s="154"/>
      <c r="N99" s="154"/>
      <c r="O99" s="154"/>
      <c r="P99" s="154"/>
      <c r="Q99" s="154"/>
      <c r="R99" s="154"/>
      <c r="S99" s="154"/>
      <c r="T99" s="154"/>
      <c r="U99" s="154"/>
      <c r="V99" s="154"/>
      <c r="W99" s="154"/>
      <c r="X99" s="154"/>
      <c r="Y99" s="154"/>
      <c r="Z99" s="154"/>
      <c r="AA99" s="154"/>
      <c r="AB99" s="154"/>
      <c r="AC99" s="154"/>
      <c r="AD99" s="154"/>
      <c r="AE99" s="154"/>
      <c r="AF99" s="367"/>
      <c r="AG99" s="368"/>
      <c r="AH99" s="368"/>
      <c r="AI99" s="368"/>
      <c r="AJ99" s="154"/>
      <c r="AK99" s="154"/>
      <c r="AL99" s="154"/>
      <c r="AM99" s="154"/>
      <c r="AN99" s="154"/>
      <c r="AO99" s="154"/>
      <c r="AP99" s="154"/>
      <c r="AQ99" s="154"/>
      <c r="AR99" s="154"/>
      <c r="AS99" s="154"/>
      <c r="AT99" s="154"/>
      <c r="AU99" s="154"/>
      <c r="AV99" s="154"/>
      <c r="AW99" s="154"/>
      <c r="AX99" s="154"/>
      <c r="AY99" s="154"/>
      <c r="AZ99" s="154"/>
      <c r="BA99" s="154"/>
      <c r="BB99" s="154"/>
      <c r="BC99" s="154"/>
      <c r="BD99" s="154"/>
      <c r="BE99" s="154"/>
      <c r="BF99" s="154"/>
      <c r="BG99" s="154"/>
      <c r="BH99" s="154"/>
      <c r="BI99" s="154"/>
      <c r="BJ99" s="154"/>
      <c r="BK99" s="154"/>
      <c r="BL99" s="154"/>
      <c r="BM99" s="154"/>
      <c r="BN99" s="154"/>
      <c r="BO99" s="154"/>
      <c r="BP99" s="154"/>
      <c r="BQ99" s="154"/>
      <c r="BR99" s="154"/>
      <c r="BS99" s="154"/>
      <c r="BT99" s="154"/>
      <c r="BU99" s="154"/>
      <c r="BV99" s="154"/>
      <c r="BW99" s="154"/>
      <c r="BX99" s="154"/>
      <c r="BY99" s="154"/>
      <c r="BZ99" s="154"/>
      <c r="CA99" s="154"/>
      <c r="CB99" s="154"/>
      <c r="CC99" s="154"/>
      <c r="CD99" s="154"/>
      <c r="CE99" s="154"/>
      <c r="CF99" s="154"/>
      <c r="CG99" s="154"/>
      <c r="CH99" s="154"/>
      <c r="CI99" s="154"/>
      <c r="CJ99" s="154"/>
      <c r="CK99" s="154"/>
      <c r="CL99" s="154"/>
      <c r="CM99" s="154"/>
      <c r="CN99" s="154"/>
      <c r="CO99" s="154"/>
      <c r="CP99" s="154"/>
      <c r="CQ99" s="154"/>
      <c r="CR99" s="154"/>
      <c r="CS99" s="154"/>
      <c r="CT99" s="154"/>
      <c r="CU99" s="154"/>
      <c r="CV99" s="154"/>
      <c r="CW99" s="154"/>
      <c r="CX99" s="154"/>
      <c r="CY99" s="154"/>
      <c r="CZ99" s="154"/>
      <c r="DA99" s="154"/>
      <c r="DB99" s="154"/>
      <c r="DC99" s="154"/>
      <c r="DD99" s="154"/>
      <c r="DE99" s="154"/>
      <c r="DF99" s="154"/>
      <c r="DG99" s="154"/>
      <c r="DH99" s="154"/>
      <c r="DI99" s="154"/>
      <c r="DJ99" s="154"/>
      <c r="DK99" s="154"/>
      <c r="DL99" s="154"/>
      <c r="DM99" s="154"/>
      <c r="DN99" s="154"/>
      <c r="DO99" s="154"/>
      <c r="DP99" s="154"/>
      <c r="DQ99" s="154"/>
      <c r="DR99" s="154"/>
      <c r="DS99" s="154"/>
      <c r="DT99" s="154"/>
      <c r="DU99" s="154"/>
      <c r="DV99" s="154"/>
      <c r="DW99" s="154"/>
      <c r="DX99" s="154"/>
      <c r="DY99" s="154"/>
      <c r="DZ99" s="154"/>
      <c r="EA99" s="154"/>
      <c r="EB99" s="154"/>
      <c r="EC99" s="154"/>
      <c r="ED99" s="154"/>
      <c r="EE99" s="154"/>
      <c r="EF99" s="154"/>
      <c r="EG99" s="154"/>
      <c r="EH99" s="154"/>
      <c r="EI99" s="154"/>
      <c r="EJ99" s="154"/>
      <c r="EK99" s="154"/>
      <c r="EL99" s="154"/>
      <c r="EM99" s="154"/>
      <c r="EN99" s="154"/>
      <c r="EO99" s="154"/>
      <c r="EP99" s="154"/>
      <c r="EQ99" s="154"/>
      <c r="ER99" s="154"/>
      <c r="ES99" s="154"/>
      <c r="ET99" s="154"/>
      <c r="EU99" s="154"/>
      <c r="EV99" s="154"/>
      <c r="EW99" s="154"/>
    </row>
    <row r="100" spans="2:153" ht="12.95" customHeight="1">
      <c r="B100" s="154"/>
      <c r="C100" s="380"/>
      <c r="D100" s="380"/>
      <c r="E100" s="154"/>
      <c r="F100" s="154"/>
      <c r="G100" s="154"/>
      <c r="H100" s="154"/>
      <c r="I100" s="154"/>
      <c r="J100" s="154"/>
      <c r="K100" s="154"/>
      <c r="L100" s="154"/>
      <c r="M100" s="154"/>
      <c r="N100" s="154"/>
      <c r="O100" s="154"/>
      <c r="P100" s="154"/>
      <c r="Q100" s="154"/>
      <c r="R100" s="154"/>
      <c r="S100" s="154"/>
      <c r="T100" s="154"/>
      <c r="U100" s="154"/>
      <c r="V100" s="154"/>
      <c r="W100" s="154"/>
      <c r="X100" s="154"/>
      <c r="Y100" s="154"/>
      <c r="Z100" s="154"/>
      <c r="AA100" s="154"/>
      <c r="AB100" s="154"/>
      <c r="AC100" s="154"/>
      <c r="AD100" s="154"/>
      <c r="AE100" s="154"/>
      <c r="AF100" s="367"/>
      <c r="AG100" s="368"/>
      <c r="AH100" s="368"/>
      <c r="AI100" s="368"/>
      <c r="AJ100" s="154"/>
      <c r="AK100" s="154"/>
      <c r="AL100" s="154"/>
      <c r="AM100" s="154"/>
      <c r="AN100" s="154"/>
      <c r="AO100" s="154"/>
      <c r="AP100" s="154"/>
      <c r="AQ100" s="154"/>
      <c r="AR100" s="154"/>
      <c r="AS100" s="154"/>
      <c r="AT100" s="154"/>
      <c r="AU100" s="154"/>
      <c r="AV100" s="154"/>
      <c r="AW100" s="154"/>
      <c r="AX100" s="154"/>
      <c r="AY100" s="154"/>
      <c r="AZ100" s="154"/>
      <c r="BA100" s="154"/>
      <c r="BB100" s="154"/>
      <c r="BC100" s="154"/>
      <c r="BD100" s="154"/>
      <c r="BE100" s="154"/>
      <c r="BF100" s="154"/>
      <c r="BG100" s="154"/>
      <c r="BH100" s="154"/>
      <c r="BI100" s="154"/>
      <c r="BJ100" s="154"/>
      <c r="BK100" s="154"/>
      <c r="BL100" s="154"/>
      <c r="BM100" s="154"/>
      <c r="BN100" s="154"/>
      <c r="BO100" s="154"/>
      <c r="BP100" s="154"/>
      <c r="BQ100" s="154"/>
      <c r="BR100" s="154"/>
      <c r="BS100" s="154"/>
      <c r="BT100" s="154"/>
      <c r="BU100" s="154"/>
      <c r="BV100" s="154"/>
      <c r="BW100" s="154"/>
      <c r="BX100" s="154"/>
      <c r="BY100" s="154"/>
      <c r="BZ100" s="154"/>
      <c r="CA100" s="154"/>
      <c r="CB100" s="154"/>
      <c r="CC100" s="154"/>
      <c r="CD100" s="154"/>
      <c r="CE100" s="154"/>
      <c r="CF100" s="154"/>
      <c r="CG100" s="154"/>
      <c r="CH100" s="154"/>
      <c r="CI100" s="154"/>
      <c r="CJ100" s="154"/>
      <c r="CK100" s="154"/>
      <c r="CL100" s="154"/>
      <c r="CM100" s="154"/>
      <c r="CN100" s="154"/>
      <c r="CO100" s="154"/>
      <c r="CP100" s="154"/>
      <c r="CQ100" s="154"/>
      <c r="CR100" s="154"/>
      <c r="CS100" s="154"/>
      <c r="CT100" s="154"/>
      <c r="CU100" s="154"/>
      <c r="CV100" s="154"/>
      <c r="CW100" s="154"/>
      <c r="CX100" s="154"/>
      <c r="CY100" s="154"/>
      <c r="CZ100" s="154"/>
      <c r="DA100" s="154"/>
      <c r="DB100" s="154"/>
      <c r="DC100" s="154"/>
      <c r="DD100" s="154"/>
      <c r="DE100" s="154"/>
      <c r="DF100" s="154"/>
      <c r="DG100" s="154"/>
      <c r="DH100" s="154"/>
      <c r="DI100" s="154"/>
      <c r="DJ100" s="154"/>
      <c r="DK100" s="154"/>
      <c r="DL100" s="154"/>
      <c r="DM100" s="154"/>
      <c r="DN100" s="154"/>
      <c r="DO100" s="154"/>
      <c r="DP100" s="154"/>
      <c r="DQ100" s="154"/>
      <c r="DR100" s="154"/>
      <c r="DS100" s="154"/>
      <c r="DT100" s="154"/>
      <c r="DU100" s="154"/>
      <c r="DV100" s="154"/>
      <c r="DW100" s="154"/>
      <c r="DX100" s="154"/>
      <c r="DY100" s="154"/>
      <c r="DZ100" s="154"/>
      <c r="EA100" s="154"/>
      <c r="EB100" s="154"/>
      <c r="EC100" s="154"/>
      <c r="ED100" s="154"/>
      <c r="EE100" s="154"/>
      <c r="EF100" s="154"/>
      <c r="EG100" s="154"/>
      <c r="EH100" s="154"/>
      <c r="EI100" s="154"/>
      <c r="EJ100" s="154"/>
      <c r="EK100" s="154"/>
      <c r="EL100" s="154"/>
      <c r="EM100" s="154"/>
      <c r="EN100" s="154"/>
      <c r="EO100" s="154"/>
      <c r="EP100" s="154"/>
      <c r="EQ100" s="154"/>
      <c r="ER100" s="154"/>
      <c r="ES100" s="154"/>
      <c r="ET100" s="154"/>
      <c r="EU100" s="154"/>
      <c r="EV100" s="154"/>
      <c r="EW100" s="154"/>
    </row>
    <row r="101" spans="2:153" ht="12.95" customHeight="1">
      <c r="B101" s="154"/>
      <c r="C101" s="380"/>
      <c r="D101" s="380"/>
      <c r="E101" s="154"/>
      <c r="F101" s="154"/>
      <c r="G101" s="154"/>
      <c r="H101" s="154"/>
      <c r="I101" s="154"/>
      <c r="J101" s="154"/>
      <c r="K101" s="154"/>
      <c r="L101" s="154"/>
      <c r="M101" s="154"/>
      <c r="N101" s="154"/>
      <c r="O101" s="154"/>
      <c r="P101" s="154"/>
      <c r="Q101" s="154"/>
      <c r="R101" s="154"/>
      <c r="S101" s="154"/>
      <c r="T101" s="154"/>
      <c r="U101" s="154"/>
      <c r="V101" s="154"/>
      <c r="W101" s="154"/>
      <c r="X101" s="154"/>
      <c r="Y101" s="154"/>
      <c r="Z101" s="154"/>
      <c r="AA101" s="154"/>
      <c r="AB101" s="154"/>
      <c r="AC101" s="154"/>
      <c r="AD101" s="154"/>
      <c r="AE101" s="154"/>
      <c r="AF101" s="367"/>
      <c r="AG101" s="368"/>
      <c r="AH101" s="368"/>
      <c r="AI101" s="368"/>
      <c r="AJ101" s="154"/>
      <c r="AK101" s="154"/>
      <c r="AL101" s="154"/>
      <c r="AM101" s="154"/>
      <c r="AN101" s="154"/>
      <c r="AO101" s="154"/>
      <c r="AP101" s="154"/>
      <c r="AQ101" s="154"/>
      <c r="AR101" s="154"/>
      <c r="AS101" s="154"/>
      <c r="AT101" s="154"/>
      <c r="AU101" s="154"/>
      <c r="AV101" s="154"/>
      <c r="AW101" s="154"/>
      <c r="AX101" s="154"/>
      <c r="AY101" s="154"/>
      <c r="AZ101" s="154"/>
      <c r="BA101" s="154"/>
      <c r="BB101" s="154"/>
      <c r="BC101" s="154"/>
      <c r="BD101" s="154"/>
      <c r="BE101" s="154"/>
      <c r="BF101" s="154"/>
      <c r="BG101" s="154"/>
      <c r="BH101" s="154"/>
      <c r="BI101" s="154"/>
      <c r="BJ101" s="154"/>
      <c r="BK101" s="154"/>
      <c r="BL101" s="154"/>
      <c r="BM101" s="154"/>
      <c r="BN101" s="154"/>
      <c r="BO101" s="154"/>
      <c r="BP101" s="154"/>
      <c r="BQ101" s="154"/>
      <c r="BR101" s="154"/>
      <c r="BS101" s="154"/>
      <c r="BT101" s="154"/>
      <c r="BU101" s="154"/>
      <c r="BV101" s="154"/>
      <c r="BW101" s="154"/>
      <c r="BX101" s="154"/>
      <c r="BY101" s="154"/>
      <c r="BZ101" s="154"/>
      <c r="CA101" s="154"/>
      <c r="CB101" s="154"/>
      <c r="CC101" s="154"/>
      <c r="CD101" s="154"/>
      <c r="CE101" s="154"/>
      <c r="CF101" s="154"/>
      <c r="CG101" s="154"/>
      <c r="CH101" s="154"/>
      <c r="CI101" s="154"/>
      <c r="CJ101" s="154"/>
      <c r="CK101" s="154"/>
      <c r="CL101" s="154"/>
      <c r="CM101" s="154"/>
      <c r="CN101" s="154"/>
      <c r="CO101" s="154"/>
      <c r="CP101" s="154"/>
      <c r="CQ101" s="154"/>
      <c r="CR101" s="154"/>
      <c r="CS101" s="154"/>
      <c r="CT101" s="154"/>
      <c r="CU101" s="154"/>
      <c r="CV101" s="154"/>
      <c r="CW101" s="154"/>
      <c r="CX101" s="154"/>
      <c r="CY101" s="154"/>
      <c r="CZ101" s="154"/>
      <c r="DA101" s="154"/>
      <c r="DB101" s="154"/>
      <c r="DC101" s="154"/>
      <c r="DD101" s="154"/>
      <c r="DE101" s="154"/>
      <c r="DF101" s="154"/>
      <c r="DG101" s="154"/>
      <c r="DH101" s="154"/>
      <c r="DI101" s="154"/>
      <c r="DJ101" s="154"/>
      <c r="DK101" s="154"/>
      <c r="DL101" s="154"/>
      <c r="DM101" s="154"/>
      <c r="DN101" s="154"/>
      <c r="DO101" s="154"/>
      <c r="DP101" s="154"/>
      <c r="DQ101" s="154"/>
      <c r="DR101" s="154"/>
      <c r="DS101" s="154"/>
      <c r="DT101" s="154"/>
      <c r="DU101" s="154"/>
      <c r="DV101" s="154"/>
      <c r="DW101" s="154"/>
      <c r="DX101" s="154"/>
      <c r="DY101" s="154"/>
      <c r="DZ101" s="154"/>
      <c r="EA101" s="154"/>
      <c r="EB101" s="154"/>
      <c r="EC101" s="154"/>
      <c r="ED101" s="154"/>
      <c r="EE101" s="154"/>
      <c r="EF101" s="154"/>
      <c r="EG101" s="154"/>
      <c r="EH101" s="154"/>
      <c r="EI101" s="154"/>
      <c r="EJ101" s="154"/>
      <c r="EK101" s="154"/>
      <c r="EL101" s="154"/>
      <c r="EM101" s="154"/>
      <c r="EN101" s="154"/>
      <c r="EO101" s="154"/>
      <c r="EP101" s="154"/>
      <c r="EQ101" s="154"/>
      <c r="ER101" s="154"/>
      <c r="ES101" s="154"/>
      <c r="ET101" s="154"/>
      <c r="EU101" s="154"/>
      <c r="EV101" s="154"/>
      <c r="EW101" s="154"/>
    </row>
    <row r="102" spans="2:153" ht="12.95" customHeight="1">
      <c r="B102" s="154"/>
      <c r="C102" s="380"/>
      <c r="D102" s="380"/>
      <c r="E102" s="154"/>
      <c r="F102" s="154"/>
      <c r="G102" s="154"/>
      <c r="H102" s="154"/>
      <c r="I102" s="154"/>
      <c r="J102" s="154"/>
      <c r="K102" s="154"/>
      <c r="L102" s="154"/>
      <c r="M102" s="154"/>
      <c r="N102" s="154"/>
      <c r="O102" s="154"/>
      <c r="P102" s="154"/>
      <c r="Q102" s="154"/>
      <c r="R102" s="154"/>
      <c r="S102" s="154"/>
      <c r="T102" s="154"/>
      <c r="U102" s="154"/>
      <c r="V102" s="154"/>
      <c r="W102" s="154"/>
      <c r="X102" s="154"/>
      <c r="Y102" s="154"/>
      <c r="Z102" s="154"/>
      <c r="AA102" s="154"/>
      <c r="AB102" s="154"/>
      <c r="AC102" s="154"/>
      <c r="AD102" s="154"/>
      <c r="AE102" s="154"/>
      <c r="AF102" s="367"/>
      <c r="AG102" s="368"/>
      <c r="AH102" s="368"/>
      <c r="AI102" s="368"/>
      <c r="AJ102" s="154"/>
      <c r="AK102" s="154"/>
      <c r="AL102" s="154"/>
      <c r="AM102" s="154"/>
      <c r="AN102" s="154"/>
      <c r="AO102" s="154"/>
      <c r="AP102" s="154"/>
      <c r="AQ102" s="154"/>
      <c r="AR102" s="154"/>
      <c r="AS102" s="154"/>
      <c r="AT102" s="154"/>
      <c r="AU102" s="154"/>
      <c r="AV102" s="154"/>
      <c r="AW102" s="154"/>
      <c r="AX102" s="154"/>
      <c r="AY102" s="154"/>
      <c r="AZ102" s="154"/>
      <c r="BA102" s="154"/>
      <c r="BB102" s="154"/>
      <c r="BC102" s="154"/>
      <c r="BD102" s="154"/>
      <c r="BE102" s="154"/>
      <c r="BF102" s="154"/>
      <c r="BG102" s="154"/>
      <c r="BH102" s="154"/>
      <c r="BI102" s="154"/>
      <c r="BJ102" s="154"/>
      <c r="BK102" s="154"/>
      <c r="BL102" s="154"/>
      <c r="BM102" s="154"/>
      <c r="BN102" s="154"/>
      <c r="BO102" s="154"/>
      <c r="BP102" s="154"/>
      <c r="BQ102" s="154"/>
      <c r="BR102" s="154"/>
      <c r="BS102" s="154"/>
      <c r="BT102" s="154"/>
      <c r="BU102" s="154"/>
      <c r="BV102" s="154"/>
      <c r="BW102" s="154"/>
      <c r="BX102" s="154"/>
      <c r="BY102" s="154"/>
      <c r="BZ102" s="154"/>
      <c r="CA102" s="154"/>
      <c r="CB102" s="154"/>
      <c r="CC102" s="154"/>
      <c r="CD102" s="154"/>
      <c r="CE102" s="154"/>
      <c r="CF102" s="154"/>
      <c r="CG102" s="154"/>
      <c r="CH102" s="154"/>
      <c r="CI102" s="154"/>
      <c r="CJ102" s="154"/>
      <c r="CK102" s="154"/>
      <c r="CL102" s="154"/>
      <c r="CM102" s="154"/>
      <c r="CN102" s="154"/>
      <c r="CO102" s="154"/>
      <c r="CP102" s="154"/>
      <c r="CQ102" s="154"/>
      <c r="CR102" s="154"/>
      <c r="CS102" s="154"/>
      <c r="CT102" s="154"/>
      <c r="CU102" s="154"/>
      <c r="CV102" s="154"/>
      <c r="CW102" s="154"/>
      <c r="CX102" s="154"/>
      <c r="CY102" s="154"/>
      <c r="CZ102" s="154"/>
      <c r="DA102" s="154"/>
      <c r="DB102" s="154"/>
      <c r="DC102" s="154"/>
      <c r="DD102" s="154"/>
      <c r="DE102" s="154"/>
      <c r="DF102" s="154"/>
      <c r="DG102" s="154"/>
      <c r="DH102" s="154"/>
      <c r="DI102" s="154"/>
      <c r="DJ102" s="154"/>
      <c r="DK102" s="154"/>
      <c r="DL102" s="154"/>
      <c r="DM102" s="154"/>
      <c r="DN102" s="154"/>
      <c r="DO102" s="154"/>
      <c r="DP102" s="154"/>
      <c r="DQ102" s="154"/>
      <c r="DR102" s="154"/>
      <c r="DS102" s="154"/>
      <c r="DT102" s="154"/>
      <c r="DU102" s="154"/>
      <c r="DV102" s="154"/>
      <c r="DW102" s="154"/>
      <c r="DX102" s="154"/>
      <c r="DY102" s="154"/>
      <c r="DZ102" s="154"/>
      <c r="EA102" s="154"/>
      <c r="EB102" s="154"/>
      <c r="EC102" s="154"/>
      <c r="ED102" s="154"/>
      <c r="EE102" s="154"/>
      <c r="EF102" s="154"/>
      <c r="EG102" s="154"/>
      <c r="EH102" s="154"/>
      <c r="EI102" s="154"/>
      <c r="EJ102" s="154"/>
      <c r="EK102" s="154"/>
      <c r="EL102" s="154"/>
      <c r="EM102" s="154"/>
      <c r="EN102" s="154"/>
      <c r="EO102" s="154"/>
      <c r="EP102" s="154"/>
      <c r="EQ102" s="154"/>
      <c r="ER102" s="154"/>
      <c r="ES102" s="154"/>
      <c r="ET102" s="154"/>
      <c r="EU102" s="154"/>
      <c r="EV102" s="154"/>
      <c r="EW102" s="154"/>
    </row>
    <row r="103" spans="2:153" ht="12.95" customHeight="1">
      <c r="B103" s="154"/>
      <c r="C103" s="380"/>
      <c r="D103" s="380"/>
      <c r="E103" s="154"/>
      <c r="F103" s="154"/>
      <c r="G103" s="154"/>
      <c r="H103" s="154"/>
      <c r="I103" s="154"/>
      <c r="J103" s="154"/>
      <c r="K103" s="154"/>
      <c r="L103" s="154"/>
      <c r="M103" s="154"/>
      <c r="N103" s="154"/>
      <c r="O103" s="154"/>
      <c r="P103" s="154"/>
      <c r="Q103" s="154"/>
      <c r="R103" s="154"/>
      <c r="S103" s="154"/>
      <c r="T103" s="154"/>
      <c r="U103" s="154"/>
      <c r="V103" s="154"/>
      <c r="W103" s="154"/>
      <c r="X103" s="154"/>
      <c r="Y103" s="154"/>
      <c r="Z103" s="154"/>
      <c r="AA103" s="154"/>
      <c r="AB103" s="154"/>
      <c r="AC103" s="154"/>
      <c r="AD103" s="154"/>
      <c r="AE103" s="154"/>
      <c r="AF103" s="367"/>
      <c r="AG103" s="368"/>
      <c r="AH103" s="368"/>
      <c r="AI103" s="368"/>
      <c r="AJ103" s="154"/>
      <c r="AK103" s="154"/>
      <c r="AL103" s="154"/>
      <c r="AM103" s="154"/>
      <c r="AN103" s="154"/>
      <c r="AO103" s="154"/>
      <c r="AP103" s="154"/>
      <c r="AQ103" s="154"/>
      <c r="AR103" s="154"/>
      <c r="AS103" s="154"/>
      <c r="AT103" s="154"/>
      <c r="AU103" s="154"/>
      <c r="AV103" s="154"/>
      <c r="AW103" s="154"/>
      <c r="AX103" s="154"/>
      <c r="AY103" s="154"/>
      <c r="AZ103" s="154"/>
      <c r="BA103" s="154"/>
      <c r="BB103" s="154"/>
      <c r="BC103" s="154"/>
      <c r="BD103" s="154"/>
      <c r="BE103" s="154"/>
      <c r="BF103" s="154"/>
      <c r="BG103" s="154"/>
      <c r="BH103" s="154"/>
      <c r="BI103" s="154"/>
      <c r="BJ103" s="154"/>
      <c r="BK103" s="154"/>
      <c r="BL103" s="154"/>
      <c r="BM103" s="154"/>
      <c r="BN103" s="154"/>
      <c r="BO103" s="154"/>
      <c r="BP103" s="154"/>
      <c r="BQ103" s="154"/>
      <c r="BR103" s="154"/>
      <c r="BS103" s="154"/>
      <c r="BT103" s="154"/>
      <c r="BU103" s="154"/>
      <c r="BV103" s="154"/>
      <c r="BW103" s="154"/>
      <c r="BX103" s="154"/>
      <c r="BY103" s="154"/>
      <c r="BZ103" s="154"/>
      <c r="CA103" s="154"/>
      <c r="CB103" s="154"/>
      <c r="CC103" s="154"/>
      <c r="CD103" s="154"/>
      <c r="CE103" s="154"/>
      <c r="CF103" s="154"/>
      <c r="CG103" s="154"/>
      <c r="CH103" s="154"/>
      <c r="CI103" s="154"/>
      <c r="CJ103" s="154"/>
      <c r="CK103" s="154"/>
      <c r="CL103" s="154"/>
      <c r="CM103" s="154"/>
      <c r="CN103" s="154"/>
      <c r="CO103" s="154"/>
      <c r="CP103" s="154"/>
      <c r="CQ103" s="154"/>
      <c r="CR103" s="154"/>
      <c r="CS103" s="154"/>
      <c r="CT103" s="154"/>
      <c r="CU103" s="154"/>
      <c r="CV103" s="154"/>
      <c r="CW103" s="154"/>
      <c r="CX103" s="154"/>
      <c r="CY103" s="154"/>
      <c r="CZ103" s="154"/>
      <c r="DA103" s="154"/>
      <c r="DB103" s="154"/>
      <c r="DC103" s="154"/>
      <c r="DD103" s="154"/>
      <c r="DE103" s="154"/>
      <c r="DF103" s="154"/>
      <c r="DG103" s="154"/>
      <c r="DH103" s="154"/>
      <c r="DI103" s="154"/>
      <c r="DJ103" s="154"/>
      <c r="DK103" s="154"/>
      <c r="DL103" s="154"/>
      <c r="DM103" s="154"/>
      <c r="DN103" s="154"/>
      <c r="DO103" s="154"/>
      <c r="DP103" s="154"/>
      <c r="DQ103" s="154"/>
      <c r="DR103" s="154"/>
      <c r="DS103" s="154"/>
      <c r="DT103" s="154"/>
      <c r="DU103" s="154"/>
      <c r="DV103" s="154"/>
      <c r="DW103" s="154"/>
      <c r="DX103" s="154"/>
      <c r="DY103" s="154"/>
      <c r="DZ103" s="154"/>
      <c r="EA103" s="154"/>
      <c r="EB103" s="154"/>
      <c r="EC103" s="154"/>
      <c r="ED103" s="154"/>
      <c r="EE103" s="154"/>
      <c r="EF103" s="154"/>
      <c r="EG103" s="154"/>
      <c r="EH103" s="154"/>
      <c r="EI103" s="154"/>
      <c r="EJ103" s="154"/>
      <c r="EK103" s="154"/>
      <c r="EL103" s="154"/>
      <c r="EM103" s="154"/>
      <c r="EN103" s="154"/>
      <c r="EO103" s="154"/>
      <c r="EP103" s="154"/>
      <c r="EQ103" s="154"/>
      <c r="ER103" s="154"/>
      <c r="ES103" s="154"/>
      <c r="ET103" s="154"/>
      <c r="EU103" s="154"/>
      <c r="EV103" s="154"/>
      <c r="EW103" s="154"/>
    </row>
    <row r="104" spans="2:153" ht="12.95" customHeight="1">
      <c r="B104" s="154"/>
      <c r="C104" s="380"/>
      <c r="D104" s="380"/>
      <c r="E104" s="154"/>
      <c r="F104" s="154"/>
      <c r="G104" s="154"/>
      <c r="H104" s="154"/>
      <c r="I104" s="154"/>
      <c r="J104" s="154"/>
      <c r="K104" s="154"/>
      <c r="L104" s="154"/>
      <c r="M104" s="154"/>
      <c r="N104" s="154"/>
      <c r="O104" s="154"/>
      <c r="P104" s="154"/>
      <c r="Q104" s="154"/>
      <c r="R104" s="154"/>
      <c r="S104" s="154"/>
      <c r="T104" s="154"/>
      <c r="U104" s="154"/>
      <c r="V104" s="154"/>
      <c r="W104" s="154"/>
      <c r="X104" s="154"/>
      <c r="Y104" s="154"/>
      <c r="Z104" s="154"/>
      <c r="AA104" s="154"/>
      <c r="AB104" s="154"/>
      <c r="AC104" s="154"/>
      <c r="AD104" s="154"/>
      <c r="AE104" s="154"/>
      <c r="AF104" s="367"/>
      <c r="AG104" s="368"/>
      <c r="AH104" s="368"/>
      <c r="AI104" s="368"/>
      <c r="AJ104" s="154"/>
      <c r="AK104" s="154"/>
      <c r="AL104" s="154"/>
      <c r="AM104" s="154"/>
      <c r="AN104" s="154"/>
      <c r="AO104" s="154"/>
      <c r="AP104" s="154"/>
      <c r="AQ104" s="154"/>
      <c r="AR104" s="154"/>
      <c r="AS104" s="154"/>
      <c r="AT104" s="154"/>
      <c r="AU104" s="154"/>
      <c r="AV104" s="154"/>
      <c r="AW104" s="154"/>
      <c r="AX104" s="154"/>
      <c r="AY104" s="154"/>
      <c r="AZ104" s="154"/>
      <c r="BA104" s="154"/>
      <c r="BB104" s="154"/>
      <c r="BC104" s="154"/>
      <c r="BD104" s="154"/>
      <c r="BE104" s="154"/>
      <c r="BF104" s="154"/>
      <c r="BG104" s="154"/>
      <c r="BH104" s="154"/>
      <c r="BI104" s="154"/>
      <c r="BJ104" s="154"/>
      <c r="BK104" s="154"/>
      <c r="BL104" s="154"/>
      <c r="BM104" s="154"/>
      <c r="BN104" s="154"/>
      <c r="BO104" s="154"/>
      <c r="BP104" s="154"/>
      <c r="BQ104" s="154"/>
      <c r="BR104" s="154"/>
      <c r="BS104" s="154"/>
      <c r="BT104" s="154"/>
      <c r="BU104" s="154"/>
      <c r="BV104" s="154"/>
      <c r="BW104" s="154"/>
      <c r="BX104" s="154"/>
      <c r="BY104" s="154"/>
      <c r="BZ104" s="154"/>
      <c r="CA104" s="154"/>
      <c r="CB104" s="154"/>
      <c r="CC104" s="154"/>
      <c r="CD104" s="154"/>
      <c r="CE104" s="154"/>
      <c r="CF104" s="154"/>
      <c r="CG104" s="154"/>
      <c r="CH104" s="154"/>
      <c r="CI104" s="154"/>
      <c r="CJ104" s="154"/>
      <c r="CK104" s="154"/>
      <c r="CL104" s="154"/>
      <c r="CM104" s="154"/>
      <c r="CN104" s="154"/>
      <c r="CO104" s="154"/>
      <c r="CP104" s="154"/>
      <c r="CQ104" s="154"/>
      <c r="CR104" s="154"/>
      <c r="CS104" s="154"/>
      <c r="CT104" s="154"/>
      <c r="CU104" s="154"/>
      <c r="CV104" s="154"/>
      <c r="CW104" s="154"/>
      <c r="CX104" s="154"/>
      <c r="CY104" s="154"/>
      <c r="CZ104" s="154"/>
      <c r="DA104" s="154"/>
      <c r="DB104" s="154"/>
      <c r="DC104" s="154"/>
      <c r="DD104" s="154"/>
      <c r="DE104" s="154"/>
      <c r="DF104" s="154"/>
      <c r="DG104" s="154"/>
      <c r="DH104" s="154"/>
      <c r="DI104" s="154"/>
      <c r="DJ104" s="154"/>
      <c r="DK104" s="154"/>
      <c r="DL104" s="154"/>
      <c r="DM104" s="154"/>
      <c r="DN104" s="154"/>
      <c r="DO104" s="154"/>
      <c r="DP104" s="154"/>
      <c r="DQ104" s="154"/>
      <c r="DR104" s="154"/>
      <c r="DS104" s="154"/>
      <c r="DT104" s="154"/>
      <c r="DU104" s="154"/>
      <c r="DV104" s="154"/>
      <c r="DW104" s="154"/>
      <c r="DX104" s="154"/>
      <c r="DY104" s="154"/>
      <c r="DZ104" s="154"/>
      <c r="EA104" s="154"/>
      <c r="EB104" s="154"/>
      <c r="EC104" s="154"/>
      <c r="ED104" s="154"/>
      <c r="EE104" s="154"/>
      <c r="EF104" s="154"/>
      <c r="EG104" s="154"/>
      <c r="EH104" s="154"/>
      <c r="EI104" s="154"/>
      <c r="EJ104" s="154"/>
      <c r="EK104" s="154"/>
      <c r="EL104" s="154"/>
      <c r="EM104" s="154"/>
      <c r="EN104" s="154"/>
      <c r="EO104" s="154"/>
      <c r="EP104" s="154"/>
      <c r="EQ104" s="154"/>
      <c r="ER104" s="154"/>
      <c r="ES104" s="154"/>
      <c r="ET104" s="154"/>
      <c r="EU104" s="154"/>
      <c r="EV104" s="154"/>
      <c r="EW104" s="154"/>
    </row>
    <row r="105" spans="2:153" ht="12.95" customHeight="1">
      <c r="B105" s="154"/>
      <c r="C105" s="380"/>
      <c r="D105" s="380"/>
      <c r="E105" s="154"/>
      <c r="F105" s="154"/>
      <c r="G105" s="154"/>
      <c r="H105" s="154"/>
      <c r="I105" s="154"/>
      <c r="J105" s="154"/>
      <c r="K105" s="154"/>
      <c r="L105" s="154"/>
      <c r="M105" s="154"/>
      <c r="N105" s="154"/>
      <c r="O105" s="154"/>
      <c r="P105" s="154"/>
      <c r="Q105" s="154"/>
      <c r="R105" s="154"/>
      <c r="S105" s="154"/>
      <c r="T105" s="154"/>
      <c r="U105" s="154"/>
      <c r="V105" s="154"/>
      <c r="W105" s="154"/>
      <c r="X105" s="154"/>
      <c r="Y105" s="154"/>
      <c r="Z105" s="154"/>
      <c r="AA105" s="154"/>
      <c r="AB105" s="154"/>
      <c r="AC105" s="154"/>
      <c r="AD105" s="154"/>
      <c r="AE105" s="154"/>
      <c r="AF105" s="367"/>
      <c r="AG105" s="368"/>
      <c r="AH105" s="368"/>
      <c r="AI105" s="368"/>
      <c r="AJ105" s="154"/>
      <c r="AK105" s="154"/>
      <c r="AL105" s="154"/>
      <c r="AM105" s="154"/>
      <c r="AN105" s="154"/>
      <c r="AO105" s="154"/>
      <c r="AP105" s="154"/>
      <c r="AQ105" s="154"/>
      <c r="AR105" s="154"/>
      <c r="AS105" s="154"/>
      <c r="AT105" s="154"/>
      <c r="AU105" s="154"/>
      <c r="AV105" s="154"/>
      <c r="AW105" s="154"/>
      <c r="AX105" s="154"/>
      <c r="AY105" s="154"/>
      <c r="AZ105" s="154"/>
      <c r="BA105" s="154"/>
      <c r="BB105" s="154"/>
      <c r="BC105" s="154"/>
      <c r="BD105" s="154"/>
      <c r="BE105" s="154"/>
      <c r="BF105" s="154"/>
      <c r="BG105" s="154"/>
      <c r="BH105" s="154"/>
      <c r="BI105" s="154"/>
      <c r="BJ105" s="154"/>
      <c r="BK105" s="154"/>
      <c r="BL105" s="154"/>
      <c r="BM105" s="154"/>
      <c r="BN105" s="154"/>
      <c r="BO105" s="154"/>
      <c r="BP105" s="154"/>
      <c r="BQ105" s="154"/>
      <c r="BR105" s="154"/>
      <c r="BS105" s="154"/>
      <c r="BT105" s="154"/>
      <c r="BU105" s="154"/>
      <c r="BV105" s="154"/>
      <c r="BW105" s="154"/>
      <c r="BX105" s="154"/>
      <c r="BY105" s="154"/>
      <c r="BZ105" s="154"/>
      <c r="CA105" s="154"/>
      <c r="CB105" s="154"/>
      <c r="CC105" s="154"/>
      <c r="CD105" s="154"/>
      <c r="CE105" s="154"/>
      <c r="CF105" s="154"/>
      <c r="CG105" s="154"/>
      <c r="CH105" s="154"/>
      <c r="CI105" s="154"/>
      <c r="CJ105" s="154"/>
      <c r="CK105" s="154"/>
      <c r="CL105" s="154"/>
      <c r="CM105" s="154"/>
      <c r="CN105" s="154"/>
      <c r="CO105" s="154"/>
      <c r="CP105" s="154"/>
      <c r="CQ105" s="154"/>
      <c r="CR105" s="154"/>
      <c r="CS105" s="154"/>
      <c r="CT105" s="154"/>
      <c r="CU105" s="154"/>
      <c r="CV105" s="154"/>
      <c r="CW105" s="154"/>
      <c r="CX105" s="154"/>
      <c r="CY105" s="154"/>
      <c r="CZ105" s="154"/>
      <c r="DA105" s="154"/>
      <c r="DB105" s="154"/>
      <c r="DC105" s="154"/>
      <c r="DD105" s="154"/>
      <c r="DE105" s="154"/>
      <c r="DF105" s="154"/>
      <c r="DG105" s="154"/>
      <c r="DH105" s="154"/>
      <c r="DI105" s="154"/>
      <c r="DJ105" s="154"/>
      <c r="DK105" s="154"/>
      <c r="DL105" s="154"/>
      <c r="DM105" s="154"/>
      <c r="DN105" s="154"/>
      <c r="DO105" s="154"/>
      <c r="DP105" s="154"/>
      <c r="DQ105" s="154"/>
      <c r="DR105" s="154"/>
      <c r="DS105" s="154"/>
      <c r="DT105" s="154"/>
      <c r="DU105" s="154"/>
      <c r="DV105" s="154"/>
      <c r="DW105" s="154"/>
      <c r="DX105" s="154"/>
      <c r="DY105" s="154"/>
      <c r="DZ105" s="154"/>
      <c r="EA105" s="154"/>
      <c r="EB105" s="154"/>
      <c r="EC105" s="154"/>
      <c r="ED105" s="154"/>
      <c r="EE105" s="154"/>
      <c r="EF105" s="154"/>
      <c r="EG105" s="154"/>
      <c r="EH105" s="154"/>
      <c r="EI105" s="154"/>
      <c r="EJ105" s="154"/>
      <c r="EK105" s="154"/>
      <c r="EL105" s="154"/>
      <c r="EM105" s="154"/>
      <c r="EN105" s="154"/>
      <c r="EO105" s="154"/>
      <c r="EP105" s="154"/>
      <c r="EQ105" s="154"/>
      <c r="ER105" s="154"/>
      <c r="ES105" s="154"/>
      <c r="ET105" s="154"/>
      <c r="EU105" s="154"/>
      <c r="EV105" s="154"/>
      <c r="EW105" s="154"/>
    </row>
    <row r="106" spans="2:153" ht="12.95" customHeight="1">
      <c r="B106" s="154"/>
      <c r="C106" s="380"/>
      <c r="D106" s="380"/>
      <c r="E106" s="154"/>
      <c r="F106" s="154"/>
      <c r="G106" s="154"/>
      <c r="H106" s="154"/>
      <c r="I106" s="154"/>
      <c r="J106" s="154"/>
      <c r="K106" s="154"/>
      <c r="L106" s="154"/>
      <c r="M106" s="154"/>
      <c r="N106" s="154"/>
      <c r="O106" s="154"/>
      <c r="P106" s="154"/>
      <c r="Q106" s="154"/>
      <c r="R106" s="154"/>
      <c r="S106" s="154"/>
      <c r="T106" s="154"/>
      <c r="U106" s="154"/>
      <c r="V106" s="154"/>
      <c r="W106" s="154"/>
      <c r="X106" s="154"/>
      <c r="Y106" s="154"/>
      <c r="Z106" s="154"/>
      <c r="AA106" s="154"/>
      <c r="AB106" s="154"/>
      <c r="AC106" s="154"/>
      <c r="AD106" s="154"/>
      <c r="AE106" s="154"/>
      <c r="AF106" s="367"/>
      <c r="AG106" s="368"/>
      <c r="AH106" s="368"/>
      <c r="AI106" s="368"/>
      <c r="AJ106" s="154"/>
      <c r="AK106" s="154"/>
      <c r="AL106" s="154"/>
      <c r="AM106" s="154"/>
      <c r="AN106" s="154"/>
      <c r="AO106" s="154"/>
      <c r="AP106" s="154"/>
      <c r="AQ106" s="154"/>
      <c r="AR106" s="154"/>
      <c r="AS106" s="154"/>
      <c r="AT106" s="154"/>
      <c r="AU106" s="154"/>
      <c r="AV106" s="154"/>
      <c r="AW106" s="154"/>
      <c r="AX106" s="154"/>
      <c r="AY106" s="154"/>
      <c r="AZ106" s="154"/>
      <c r="BA106" s="154"/>
      <c r="BB106" s="154"/>
      <c r="BC106" s="154"/>
      <c r="BD106" s="154"/>
      <c r="BE106" s="154"/>
      <c r="BF106" s="154"/>
      <c r="BG106" s="154"/>
      <c r="BH106" s="154"/>
      <c r="BI106" s="154"/>
      <c r="BJ106" s="154"/>
      <c r="BK106" s="154"/>
      <c r="BL106" s="154"/>
      <c r="BM106" s="154"/>
      <c r="BN106" s="154"/>
      <c r="BO106" s="154"/>
      <c r="BP106" s="154"/>
      <c r="BQ106" s="154"/>
      <c r="BR106" s="154"/>
      <c r="BS106" s="154"/>
      <c r="BT106" s="154"/>
      <c r="BU106" s="154"/>
      <c r="BV106" s="154"/>
      <c r="BW106" s="154"/>
      <c r="BX106" s="154"/>
      <c r="BY106" s="154"/>
      <c r="BZ106" s="154"/>
      <c r="CA106" s="154"/>
      <c r="CB106" s="154"/>
      <c r="CC106" s="154"/>
      <c r="CD106" s="154"/>
      <c r="CE106" s="154"/>
      <c r="CF106" s="154"/>
      <c r="CG106" s="154"/>
      <c r="CH106" s="154"/>
      <c r="CI106" s="154"/>
      <c r="CJ106" s="154"/>
      <c r="CK106" s="154"/>
      <c r="CL106" s="154"/>
      <c r="CM106" s="154"/>
      <c r="CN106" s="154"/>
      <c r="CO106" s="154"/>
      <c r="CP106" s="154"/>
      <c r="CQ106" s="154"/>
      <c r="CR106" s="154"/>
      <c r="CS106" s="154"/>
      <c r="CT106" s="154"/>
      <c r="CU106" s="154"/>
      <c r="CV106" s="154"/>
      <c r="CW106" s="154"/>
      <c r="CX106" s="154"/>
      <c r="CY106" s="154"/>
      <c r="CZ106" s="154"/>
      <c r="DA106" s="154"/>
      <c r="DB106" s="154"/>
      <c r="DC106" s="154"/>
      <c r="DD106" s="154"/>
      <c r="DE106" s="154"/>
      <c r="DF106" s="154"/>
      <c r="DG106" s="154"/>
      <c r="DH106" s="154"/>
      <c r="DI106" s="154"/>
      <c r="DJ106" s="154"/>
      <c r="DK106" s="154"/>
      <c r="DL106" s="154"/>
      <c r="DM106" s="154"/>
      <c r="DN106" s="154"/>
      <c r="DO106" s="154"/>
      <c r="DP106" s="154"/>
      <c r="DQ106" s="154"/>
      <c r="DR106" s="154"/>
      <c r="DS106" s="154"/>
      <c r="DT106" s="154"/>
      <c r="DU106" s="154"/>
      <c r="DV106" s="154"/>
      <c r="DW106" s="154"/>
      <c r="DX106" s="154"/>
      <c r="DY106" s="154"/>
      <c r="DZ106" s="154"/>
      <c r="EA106" s="154"/>
      <c r="EB106" s="154"/>
      <c r="EC106" s="154"/>
      <c r="ED106" s="154"/>
      <c r="EE106" s="154"/>
      <c r="EF106" s="154"/>
      <c r="EG106" s="154"/>
      <c r="EH106" s="154"/>
      <c r="EI106" s="154"/>
      <c r="EJ106" s="154"/>
      <c r="EK106" s="154"/>
      <c r="EL106" s="154"/>
      <c r="EM106" s="154"/>
      <c r="EN106" s="154"/>
      <c r="EO106" s="154"/>
      <c r="EP106" s="154"/>
      <c r="EQ106" s="154"/>
      <c r="ER106" s="154"/>
      <c r="ES106" s="154"/>
      <c r="ET106" s="154"/>
      <c r="EU106" s="154"/>
      <c r="EV106" s="154"/>
      <c r="EW106" s="154"/>
    </row>
    <row r="107" spans="2:153" ht="12.95" customHeight="1">
      <c r="B107" s="154"/>
      <c r="C107" s="380"/>
      <c r="D107" s="380"/>
      <c r="E107" s="154"/>
      <c r="F107" s="154"/>
      <c r="G107" s="154"/>
      <c r="H107" s="154"/>
      <c r="I107" s="154"/>
      <c r="J107" s="154"/>
      <c r="K107" s="154"/>
      <c r="L107" s="154"/>
      <c r="M107" s="154"/>
      <c r="N107" s="154"/>
      <c r="O107" s="154"/>
      <c r="P107" s="154"/>
      <c r="Q107" s="154"/>
      <c r="R107" s="154"/>
      <c r="S107" s="154"/>
      <c r="T107" s="154"/>
      <c r="U107" s="154"/>
      <c r="V107" s="154"/>
      <c r="W107" s="154"/>
      <c r="X107" s="154"/>
      <c r="Y107" s="154"/>
      <c r="Z107" s="154"/>
      <c r="AA107" s="154"/>
      <c r="AB107" s="154"/>
      <c r="AC107" s="154"/>
      <c r="AD107" s="154"/>
      <c r="AE107" s="154"/>
      <c r="AF107" s="367"/>
      <c r="AG107" s="368"/>
      <c r="AH107" s="368"/>
      <c r="AI107" s="368"/>
      <c r="AJ107" s="154"/>
      <c r="AK107" s="154"/>
      <c r="AL107" s="154"/>
      <c r="AM107" s="154"/>
      <c r="AN107" s="154"/>
      <c r="AO107" s="154"/>
      <c r="AP107" s="154"/>
      <c r="AQ107" s="154"/>
      <c r="AR107" s="154"/>
      <c r="AS107" s="154"/>
      <c r="AT107" s="154"/>
      <c r="AU107" s="154"/>
      <c r="AV107" s="154"/>
      <c r="AW107" s="154"/>
      <c r="AX107" s="154"/>
      <c r="AY107" s="154"/>
      <c r="AZ107" s="154"/>
      <c r="BA107" s="154"/>
      <c r="BB107" s="154"/>
      <c r="BC107" s="154"/>
      <c r="BD107" s="154"/>
      <c r="BE107" s="154"/>
      <c r="BF107" s="154"/>
      <c r="BG107" s="154"/>
      <c r="BH107" s="154"/>
      <c r="BI107" s="154"/>
      <c r="BJ107" s="154"/>
      <c r="BK107" s="154"/>
      <c r="BL107" s="154"/>
      <c r="BM107" s="154"/>
      <c r="BN107" s="154"/>
      <c r="BO107" s="154"/>
      <c r="BP107" s="154"/>
      <c r="BQ107" s="154"/>
      <c r="BR107" s="154"/>
      <c r="BS107" s="154"/>
      <c r="BT107" s="154"/>
      <c r="BU107" s="154"/>
      <c r="BV107" s="154"/>
      <c r="BW107" s="154"/>
      <c r="BX107" s="154"/>
      <c r="BY107" s="154"/>
      <c r="BZ107" s="154"/>
      <c r="CA107" s="154"/>
      <c r="CB107" s="154"/>
      <c r="CC107" s="154"/>
      <c r="CD107" s="154"/>
      <c r="CE107" s="154"/>
      <c r="CF107" s="154"/>
      <c r="CG107" s="154"/>
      <c r="CH107" s="154"/>
      <c r="CI107" s="154"/>
      <c r="CJ107" s="154"/>
      <c r="CK107" s="154"/>
      <c r="CL107" s="154"/>
      <c r="CM107" s="154"/>
      <c r="CN107" s="154"/>
      <c r="CO107" s="154"/>
      <c r="CP107" s="154"/>
      <c r="CQ107" s="154"/>
      <c r="CR107" s="154"/>
      <c r="CS107" s="154"/>
      <c r="CT107" s="154"/>
      <c r="CU107" s="154"/>
      <c r="CV107" s="154"/>
      <c r="CW107" s="154"/>
      <c r="CX107" s="154"/>
      <c r="CY107" s="154"/>
      <c r="CZ107" s="154"/>
      <c r="DA107" s="154"/>
      <c r="DB107" s="154"/>
      <c r="DC107" s="154"/>
      <c r="DD107" s="154"/>
      <c r="DE107" s="154"/>
      <c r="DF107" s="154"/>
      <c r="DG107" s="154"/>
      <c r="DH107" s="154"/>
      <c r="DI107" s="154"/>
      <c r="DJ107" s="154"/>
      <c r="DK107" s="154"/>
      <c r="DL107" s="154"/>
      <c r="DM107" s="154"/>
      <c r="DN107" s="154"/>
      <c r="DO107" s="154"/>
      <c r="DP107" s="154"/>
      <c r="DQ107" s="154"/>
      <c r="DR107" s="154"/>
      <c r="DS107" s="154"/>
      <c r="DT107" s="154"/>
      <c r="DU107" s="154"/>
      <c r="DV107" s="154"/>
      <c r="DW107" s="154"/>
      <c r="DX107" s="154"/>
      <c r="DY107" s="154"/>
      <c r="DZ107" s="154"/>
      <c r="EA107" s="154"/>
      <c r="EB107" s="154"/>
      <c r="EC107" s="154"/>
      <c r="ED107" s="154"/>
      <c r="EE107" s="154"/>
      <c r="EF107" s="154"/>
      <c r="EG107" s="154"/>
      <c r="EH107" s="154"/>
      <c r="EI107" s="154"/>
      <c r="EJ107" s="154"/>
      <c r="EK107" s="154"/>
      <c r="EL107" s="154"/>
      <c r="EM107" s="154"/>
      <c r="EN107" s="154"/>
      <c r="EO107" s="154"/>
      <c r="EP107" s="154"/>
      <c r="EQ107" s="154"/>
      <c r="ER107" s="154"/>
      <c r="ES107" s="154"/>
      <c r="ET107" s="154"/>
      <c r="EU107" s="154"/>
      <c r="EV107" s="154"/>
      <c r="EW107" s="154"/>
    </row>
    <row r="108" spans="2:153" ht="12.95" customHeight="1">
      <c r="B108" s="154"/>
      <c r="C108" s="380"/>
      <c r="D108" s="380"/>
      <c r="E108" s="154"/>
      <c r="F108" s="154"/>
      <c r="G108" s="154"/>
      <c r="H108" s="154"/>
      <c r="I108" s="154"/>
      <c r="J108" s="154"/>
      <c r="K108" s="154"/>
      <c r="L108" s="154"/>
      <c r="M108" s="154"/>
      <c r="N108" s="154"/>
      <c r="O108" s="154"/>
      <c r="P108" s="154"/>
      <c r="Q108" s="154"/>
      <c r="R108" s="154"/>
      <c r="S108" s="154"/>
      <c r="T108" s="154"/>
      <c r="U108" s="154"/>
      <c r="V108" s="154"/>
      <c r="W108" s="154"/>
      <c r="X108" s="154"/>
      <c r="Y108" s="154"/>
      <c r="Z108" s="154"/>
      <c r="AA108" s="154"/>
      <c r="AB108" s="154"/>
      <c r="AC108" s="154"/>
      <c r="AD108" s="154"/>
      <c r="AE108" s="154"/>
      <c r="AF108" s="367"/>
      <c r="AG108" s="368"/>
      <c r="AH108" s="368"/>
      <c r="AI108" s="368"/>
      <c r="AJ108" s="154"/>
      <c r="AK108" s="154"/>
      <c r="AL108" s="154"/>
      <c r="AM108" s="154"/>
      <c r="AN108" s="154"/>
      <c r="AO108" s="154"/>
      <c r="AP108" s="154"/>
      <c r="AQ108" s="154"/>
      <c r="AR108" s="154"/>
      <c r="AS108" s="154"/>
      <c r="AT108" s="154"/>
      <c r="AU108" s="154"/>
      <c r="AV108" s="154"/>
      <c r="AW108" s="154"/>
      <c r="AX108" s="154"/>
      <c r="AY108" s="154"/>
      <c r="AZ108" s="154"/>
      <c r="BA108" s="154"/>
      <c r="BB108" s="154"/>
      <c r="BC108" s="154"/>
      <c r="BD108" s="154"/>
      <c r="BE108" s="154"/>
      <c r="BF108" s="154"/>
      <c r="BG108" s="154"/>
      <c r="BH108" s="154"/>
      <c r="BI108" s="154"/>
      <c r="BJ108" s="154"/>
      <c r="BK108" s="154"/>
      <c r="BL108" s="154"/>
      <c r="BM108" s="154"/>
      <c r="BN108" s="154"/>
      <c r="BO108" s="154"/>
      <c r="BP108" s="154"/>
      <c r="BQ108" s="154"/>
      <c r="BR108" s="154"/>
      <c r="BS108" s="154"/>
      <c r="BT108" s="154"/>
      <c r="BU108" s="154"/>
      <c r="BV108" s="154"/>
      <c r="BW108" s="154"/>
      <c r="BX108" s="154"/>
      <c r="BY108" s="154"/>
      <c r="BZ108" s="154"/>
      <c r="CA108" s="154"/>
      <c r="CB108" s="154"/>
      <c r="CC108" s="154"/>
      <c r="CD108" s="154"/>
      <c r="CE108" s="154"/>
      <c r="CF108" s="154"/>
      <c r="CG108" s="154"/>
      <c r="CH108" s="154"/>
      <c r="CI108" s="154"/>
      <c r="CJ108" s="154"/>
      <c r="CK108" s="154"/>
      <c r="CL108" s="154"/>
      <c r="CM108" s="154"/>
      <c r="CN108" s="154"/>
      <c r="CO108" s="154"/>
      <c r="CP108" s="154"/>
      <c r="CQ108" s="154"/>
      <c r="CR108" s="154"/>
      <c r="CS108" s="154"/>
      <c r="CT108" s="154"/>
      <c r="CU108" s="154"/>
      <c r="CV108" s="154"/>
      <c r="CW108" s="154"/>
      <c r="CX108" s="154"/>
      <c r="CY108" s="154"/>
      <c r="CZ108" s="154"/>
      <c r="DA108" s="154"/>
      <c r="DB108" s="154"/>
      <c r="DC108" s="154"/>
      <c r="DD108" s="154"/>
      <c r="DE108" s="154"/>
      <c r="DF108" s="154"/>
      <c r="DG108" s="154"/>
      <c r="DH108" s="154"/>
      <c r="DI108" s="154"/>
      <c r="DJ108" s="154"/>
      <c r="DK108" s="154"/>
      <c r="DL108" s="154"/>
      <c r="DM108" s="154"/>
      <c r="DN108" s="154"/>
      <c r="DO108" s="154"/>
      <c r="DP108" s="154"/>
      <c r="DQ108" s="154"/>
      <c r="DR108" s="154"/>
      <c r="DS108" s="154"/>
      <c r="DT108" s="154"/>
      <c r="DU108" s="154"/>
      <c r="DV108" s="154"/>
      <c r="DW108" s="154"/>
      <c r="DX108" s="154"/>
      <c r="DY108" s="154"/>
      <c r="DZ108" s="154"/>
      <c r="EA108" s="154"/>
      <c r="EB108" s="154"/>
      <c r="EC108" s="154"/>
      <c r="ED108" s="154"/>
      <c r="EE108" s="154"/>
      <c r="EF108" s="154"/>
      <c r="EG108" s="154"/>
      <c r="EH108" s="154"/>
      <c r="EI108" s="154"/>
      <c r="EJ108" s="154"/>
      <c r="EK108" s="154"/>
      <c r="EL108" s="154"/>
      <c r="EM108" s="154"/>
      <c r="EN108" s="154"/>
      <c r="EO108" s="154"/>
      <c r="EP108" s="154"/>
      <c r="EQ108" s="154"/>
      <c r="ER108" s="154"/>
      <c r="ES108" s="154"/>
      <c r="ET108" s="154"/>
      <c r="EU108" s="154"/>
      <c r="EV108" s="154"/>
      <c r="EW108" s="154"/>
    </row>
    <row r="109" spans="2:153" ht="12.95" customHeight="1">
      <c r="B109" s="154"/>
      <c r="C109" s="380"/>
      <c r="D109" s="380"/>
      <c r="E109" s="154"/>
      <c r="F109" s="154"/>
      <c r="G109" s="154"/>
      <c r="H109" s="154"/>
      <c r="I109" s="154"/>
      <c r="J109" s="154"/>
      <c r="K109" s="154"/>
      <c r="L109" s="154"/>
      <c r="M109" s="154"/>
      <c r="N109" s="154"/>
      <c r="O109" s="154"/>
      <c r="P109" s="154"/>
      <c r="Q109" s="154"/>
      <c r="R109" s="154"/>
      <c r="S109" s="154"/>
      <c r="T109" s="154"/>
      <c r="U109" s="154"/>
      <c r="V109" s="154"/>
      <c r="W109" s="154"/>
      <c r="X109" s="154"/>
      <c r="Y109" s="154"/>
      <c r="Z109" s="154"/>
      <c r="AA109" s="154"/>
      <c r="AB109" s="154"/>
      <c r="AC109" s="154"/>
      <c r="AD109" s="154"/>
      <c r="AE109" s="154"/>
      <c r="AF109" s="367"/>
      <c r="AG109" s="368"/>
      <c r="AH109" s="368"/>
      <c r="AI109" s="368"/>
      <c r="AJ109" s="154"/>
      <c r="AK109" s="154"/>
      <c r="AL109" s="154"/>
      <c r="AM109" s="154"/>
      <c r="AN109" s="154"/>
      <c r="AO109" s="154"/>
      <c r="AP109" s="154"/>
      <c r="AQ109" s="154"/>
      <c r="AR109" s="154"/>
      <c r="AS109" s="154"/>
      <c r="AT109" s="154"/>
      <c r="AU109" s="154"/>
      <c r="AV109" s="154"/>
      <c r="AW109" s="154"/>
      <c r="AX109" s="154"/>
      <c r="AY109" s="154"/>
      <c r="AZ109" s="154"/>
      <c r="BA109" s="154"/>
      <c r="BB109" s="154"/>
      <c r="BC109" s="154"/>
      <c r="BD109" s="154"/>
      <c r="BE109" s="154"/>
      <c r="BF109" s="154"/>
      <c r="BG109" s="154"/>
      <c r="BH109" s="154"/>
      <c r="BI109" s="154"/>
      <c r="BJ109" s="154"/>
      <c r="BK109" s="154"/>
      <c r="BL109" s="154"/>
      <c r="BM109" s="154"/>
      <c r="BN109" s="154"/>
      <c r="BO109" s="154"/>
      <c r="BP109" s="154"/>
      <c r="BQ109" s="154"/>
      <c r="BR109" s="154"/>
      <c r="BS109" s="154"/>
      <c r="BT109" s="154"/>
      <c r="BU109" s="154"/>
      <c r="BV109" s="154"/>
      <c r="BW109" s="154"/>
      <c r="BX109" s="154"/>
      <c r="BY109" s="154"/>
      <c r="BZ109" s="154"/>
      <c r="CA109" s="154"/>
      <c r="CB109" s="154"/>
      <c r="CC109" s="154"/>
      <c r="CD109" s="154"/>
      <c r="CE109" s="154"/>
      <c r="CF109" s="154"/>
      <c r="CG109" s="154"/>
      <c r="CH109" s="154"/>
      <c r="CI109" s="154"/>
      <c r="CJ109" s="154"/>
      <c r="CK109" s="154"/>
      <c r="CL109" s="154"/>
      <c r="CM109" s="154"/>
      <c r="CN109" s="154"/>
      <c r="CO109" s="154"/>
      <c r="CP109" s="154"/>
      <c r="CQ109" s="154"/>
      <c r="CR109" s="154"/>
      <c r="CS109" s="154"/>
      <c r="CT109" s="154"/>
      <c r="CU109" s="154"/>
      <c r="CV109" s="154"/>
      <c r="CW109" s="154"/>
      <c r="CX109" s="154"/>
      <c r="CY109" s="154"/>
      <c r="CZ109" s="154"/>
      <c r="DA109" s="154"/>
      <c r="DB109" s="154"/>
      <c r="DC109" s="154"/>
      <c r="DD109" s="154"/>
      <c r="DE109" s="154"/>
      <c r="DF109" s="154"/>
      <c r="DG109" s="154"/>
      <c r="DH109" s="154"/>
      <c r="DI109" s="154"/>
      <c r="DJ109" s="154"/>
      <c r="DK109" s="154"/>
      <c r="DL109" s="154"/>
      <c r="DM109" s="154"/>
      <c r="DN109" s="154"/>
      <c r="DO109" s="154"/>
      <c r="DP109" s="154"/>
      <c r="DQ109" s="154"/>
      <c r="DR109" s="154"/>
      <c r="DS109" s="154"/>
      <c r="DT109" s="154"/>
      <c r="DU109" s="154"/>
      <c r="DV109" s="154"/>
      <c r="DW109" s="154"/>
      <c r="DX109" s="154"/>
      <c r="DY109" s="154"/>
      <c r="DZ109" s="154"/>
      <c r="EA109" s="154"/>
      <c r="EB109" s="154"/>
      <c r="EC109" s="154"/>
      <c r="ED109" s="154"/>
      <c r="EE109" s="154"/>
      <c r="EF109" s="154"/>
      <c r="EG109" s="154"/>
      <c r="EH109" s="154"/>
      <c r="EI109" s="154"/>
      <c r="EJ109" s="154"/>
      <c r="EK109" s="154"/>
      <c r="EL109" s="154"/>
      <c r="EM109" s="154"/>
      <c r="EN109" s="154"/>
      <c r="EO109" s="154"/>
      <c r="EP109" s="154"/>
      <c r="EQ109" s="154"/>
      <c r="ER109" s="154"/>
      <c r="ES109" s="154"/>
      <c r="ET109" s="154"/>
      <c r="EU109" s="154"/>
      <c r="EV109" s="154"/>
      <c r="EW109" s="154"/>
    </row>
    <row r="110" spans="2:153" ht="12.95" customHeight="1">
      <c r="B110" s="154"/>
      <c r="C110" s="380"/>
      <c r="D110" s="380"/>
      <c r="E110" s="154"/>
      <c r="F110" s="154"/>
      <c r="G110" s="154"/>
      <c r="H110" s="154"/>
      <c r="I110" s="154"/>
      <c r="J110" s="154"/>
      <c r="K110" s="154"/>
      <c r="L110" s="154"/>
      <c r="M110" s="154"/>
      <c r="N110" s="154"/>
      <c r="O110" s="154"/>
      <c r="P110" s="154"/>
      <c r="Q110" s="154"/>
      <c r="R110" s="154"/>
      <c r="S110" s="154"/>
      <c r="T110" s="154"/>
      <c r="U110" s="154"/>
      <c r="V110" s="154"/>
      <c r="W110" s="154"/>
      <c r="X110" s="154"/>
      <c r="Y110" s="154"/>
      <c r="Z110" s="154"/>
      <c r="AA110" s="154"/>
      <c r="AB110" s="154"/>
      <c r="AC110" s="154"/>
      <c r="AD110" s="154"/>
      <c r="AE110" s="154"/>
      <c r="AF110" s="367"/>
      <c r="AG110" s="368"/>
      <c r="AH110" s="368"/>
      <c r="AI110" s="368"/>
      <c r="AJ110" s="154"/>
      <c r="AK110" s="154"/>
      <c r="AL110" s="154"/>
      <c r="AM110" s="154"/>
      <c r="AN110" s="154"/>
      <c r="AO110" s="154"/>
      <c r="AP110" s="154"/>
      <c r="AQ110" s="154"/>
      <c r="AR110" s="154"/>
      <c r="AS110" s="154"/>
      <c r="AT110" s="154"/>
      <c r="AU110" s="154"/>
      <c r="AV110" s="154"/>
      <c r="AW110" s="154"/>
      <c r="AX110" s="154"/>
      <c r="AY110" s="154"/>
      <c r="AZ110" s="154"/>
      <c r="BA110" s="154"/>
      <c r="BB110" s="154"/>
      <c r="BC110" s="154"/>
      <c r="BD110" s="154"/>
      <c r="BE110" s="154"/>
      <c r="BF110" s="154"/>
      <c r="BG110" s="154"/>
      <c r="BH110" s="154"/>
      <c r="BI110" s="154"/>
      <c r="BJ110" s="154"/>
      <c r="BK110" s="154"/>
      <c r="BL110" s="154"/>
      <c r="BM110" s="154"/>
      <c r="BN110" s="154"/>
      <c r="BO110" s="154"/>
      <c r="BP110" s="154"/>
      <c r="BQ110" s="154"/>
      <c r="BR110" s="154"/>
      <c r="BS110" s="154"/>
      <c r="BT110" s="154"/>
      <c r="BU110" s="154"/>
      <c r="BV110" s="154"/>
      <c r="BW110" s="154"/>
      <c r="BX110" s="154"/>
      <c r="BY110" s="154"/>
      <c r="BZ110" s="154"/>
      <c r="CA110" s="154"/>
      <c r="CB110" s="154"/>
      <c r="CC110" s="154"/>
      <c r="CD110" s="154"/>
      <c r="CE110" s="154"/>
      <c r="CF110" s="154"/>
      <c r="CG110" s="154"/>
      <c r="CH110" s="154"/>
      <c r="CI110" s="154"/>
      <c r="CJ110" s="154"/>
      <c r="CK110" s="154"/>
      <c r="CL110" s="154"/>
      <c r="CM110" s="154"/>
      <c r="CN110" s="154"/>
      <c r="CO110" s="154"/>
      <c r="CP110" s="154"/>
      <c r="CQ110" s="154"/>
      <c r="CR110" s="154"/>
      <c r="CS110" s="154"/>
      <c r="CT110" s="154"/>
      <c r="CU110" s="154"/>
      <c r="CV110" s="154"/>
      <c r="CW110" s="154"/>
      <c r="CX110" s="154"/>
      <c r="CY110" s="154"/>
      <c r="CZ110" s="154"/>
      <c r="DA110" s="154"/>
      <c r="DB110" s="154"/>
      <c r="DC110" s="154"/>
      <c r="DD110" s="154"/>
      <c r="DE110" s="154"/>
      <c r="DF110" s="154"/>
      <c r="DG110" s="154"/>
      <c r="DH110" s="154"/>
      <c r="DI110" s="154"/>
      <c r="DJ110" s="154"/>
      <c r="DK110" s="154"/>
      <c r="DL110" s="154"/>
      <c r="DM110" s="154"/>
      <c r="DN110" s="154"/>
      <c r="DO110" s="154"/>
      <c r="DP110" s="154"/>
      <c r="DQ110" s="154"/>
      <c r="DR110" s="154"/>
      <c r="DS110" s="154"/>
      <c r="DT110" s="154"/>
      <c r="DU110" s="154"/>
      <c r="DV110" s="154"/>
      <c r="DW110" s="154"/>
      <c r="DX110" s="154"/>
      <c r="DY110" s="154"/>
      <c r="DZ110" s="154"/>
      <c r="EA110" s="154"/>
      <c r="EB110" s="154"/>
      <c r="EC110" s="154"/>
      <c r="ED110" s="154"/>
      <c r="EE110" s="154"/>
      <c r="EF110" s="154"/>
      <c r="EG110" s="154"/>
      <c r="EH110" s="154"/>
      <c r="EI110" s="154"/>
      <c r="EJ110" s="154"/>
      <c r="EK110" s="154"/>
      <c r="EL110" s="154"/>
      <c r="EM110" s="154"/>
      <c r="EN110" s="154"/>
      <c r="EO110" s="154"/>
      <c r="EP110" s="154"/>
      <c r="EQ110" s="154"/>
      <c r="ER110" s="154"/>
      <c r="ES110" s="154"/>
      <c r="ET110" s="154"/>
      <c r="EU110" s="154"/>
      <c r="EV110" s="154"/>
      <c r="EW110" s="154"/>
    </row>
    <row r="111" spans="2:153" ht="12.95" customHeight="1">
      <c r="B111" s="154"/>
      <c r="C111" s="380"/>
      <c r="D111" s="380"/>
      <c r="E111" s="154"/>
      <c r="F111" s="154"/>
      <c r="G111" s="154"/>
      <c r="H111" s="154"/>
      <c r="I111" s="154"/>
      <c r="J111" s="154"/>
      <c r="K111" s="154"/>
      <c r="L111" s="154"/>
      <c r="M111" s="154"/>
      <c r="N111" s="154"/>
      <c r="O111" s="154"/>
      <c r="P111" s="154"/>
      <c r="Q111" s="154"/>
      <c r="R111" s="154"/>
      <c r="S111" s="154"/>
      <c r="T111" s="154"/>
      <c r="U111" s="154"/>
      <c r="V111" s="154"/>
      <c r="W111" s="154"/>
      <c r="X111" s="154"/>
      <c r="Y111" s="154"/>
      <c r="Z111" s="154"/>
      <c r="AA111" s="154"/>
      <c r="AB111" s="154"/>
      <c r="AC111" s="154"/>
      <c r="AD111" s="154"/>
      <c r="AE111" s="154"/>
      <c r="AF111" s="367"/>
      <c r="AG111" s="368"/>
      <c r="AH111" s="368"/>
      <c r="AI111" s="368"/>
      <c r="AJ111" s="154"/>
      <c r="AK111" s="154"/>
      <c r="AL111" s="154"/>
      <c r="AM111" s="154"/>
      <c r="AN111" s="154"/>
      <c r="AO111" s="154"/>
      <c r="AP111" s="154"/>
      <c r="AQ111" s="154"/>
      <c r="AR111" s="154"/>
      <c r="AS111" s="154"/>
      <c r="AT111" s="154"/>
      <c r="AU111" s="154"/>
      <c r="AV111" s="154"/>
      <c r="AW111" s="154"/>
      <c r="AX111" s="154"/>
      <c r="AY111" s="154"/>
      <c r="AZ111" s="154"/>
      <c r="BA111" s="154"/>
      <c r="BB111" s="154"/>
      <c r="BC111" s="154"/>
      <c r="BD111" s="154"/>
      <c r="BE111" s="154"/>
      <c r="BF111" s="154"/>
      <c r="BG111" s="154"/>
      <c r="BH111" s="154"/>
      <c r="BI111" s="154"/>
      <c r="BJ111" s="154"/>
      <c r="BK111" s="154"/>
      <c r="BL111" s="154"/>
      <c r="BM111" s="154"/>
      <c r="BN111" s="154"/>
      <c r="BO111" s="154"/>
      <c r="BP111" s="154"/>
      <c r="BQ111" s="154"/>
      <c r="BR111" s="154"/>
      <c r="BS111" s="154"/>
      <c r="BT111" s="154"/>
      <c r="BU111" s="154"/>
      <c r="BV111" s="154"/>
      <c r="BW111" s="154"/>
      <c r="BX111" s="154"/>
      <c r="BY111" s="154"/>
      <c r="BZ111" s="154"/>
      <c r="CA111" s="154"/>
      <c r="CB111" s="154"/>
      <c r="CC111" s="154"/>
      <c r="CD111" s="154"/>
      <c r="CE111" s="154"/>
      <c r="CF111" s="154"/>
      <c r="CG111" s="154"/>
      <c r="CH111" s="154"/>
      <c r="CI111" s="154"/>
      <c r="CJ111" s="154"/>
      <c r="CK111" s="154"/>
      <c r="CL111" s="154"/>
      <c r="CM111" s="154"/>
      <c r="CN111" s="154"/>
      <c r="CO111" s="154"/>
      <c r="CP111" s="154"/>
      <c r="CQ111" s="154"/>
      <c r="CR111" s="154"/>
      <c r="CS111" s="154"/>
      <c r="CT111" s="154"/>
      <c r="CU111" s="154"/>
      <c r="CV111" s="154"/>
      <c r="CW111" s="154"/>
      <c r="CX111" s="154"/>
      <c r="CY111" s="154"/>
      <c r="CZ111" s="154"/>
      <c r="DA111" s="154"/>
      <c r="DB111" s="154"/>
      <c r="DC111" s="154"/>
      <c r="DD111" s="154"/>
      <c r="DE111" s="154"/>
      <c r="DF111" s="154"/>
      <c r="DG111" s="154"/>
      <c r="DH111" s="154"/>
      <c r="DI111" s="154"/>
      <c r="DJ111" s="154"/>
      <c r="DK111" s="154"/>
      <c r="DL111" s="154"/>
      <c r="DM111" s="154"/>
      <c r="DN111" s="154"/>
      <c r="DO111" s="154"/>
      <c r="DP111" s="154"/>
      <c r="DQ111" s="154"/>
      <c r="DR111" s="154"/>
      <c r="DS111" s="154"/>
      <c r="DT111" s="154"/>
      <c r="DU111" s="154"/>
      <c r="DV111" s="154"/>
      <c r="DW111" s="154"/>
      <c r="DX111" s="154"/>
      <c r="DY111" s="154"/>
      <c r="DZ111" s="154"/>
      <c r="EA111" s="154"/>
      <c r="EB111" s="154"/>
      <c r="EC111" s="154"/>
      <c r="ED111" s="154"/>
      <c r="EE111" s="154"/>
      <c r="EF111" s="154"/>
      <c r="EG111" s="154"/>
      <c r="EH111" s="154"/>
      <c r="EI111" s="154"/>
      <c r="EJ111" s="154"/>
      <c r="EK111" s="154"/>
      <c r="EL111" s="154"/>
      <c r="EM111" s="154"/>
      <c r="EN111" s="154"/>
      <c r="EO111" s="154"/>
      <c r="EP111" s="154"/>
      <c r="EQ111" s="154"/>
      <c r="ER111" s="154"/>
      <c r="ES111" s="154"/>
      <c r="ET111" s="154"/>
      <c r="EU111" s="154"/>
      <c r="EV111" s="154"/>
      <c r="EW111" s="154"/>
    </row>
    <row r="112" spans="2:153" ht="12.95" customHeight="1">
      <c r="B112" s="154"/>
      <c r="C112" s="380"/>
      <c r="D112" s="380"/>
      <c r="E112" s="154"/>
      <c r="F112" s="154"/>
      <c r="G112" s="154"/>
      <c r="H112" s="154"/>
      <c r="I112" s="154"/>
      <c r="J112" s="154"/>
      <c r="K112" s="154"/>
      <c r="L112" s="154"/>
      <c r="M112" s="154"/>
      <c r="N112" s="154"/>
      <c r="O112" s="154"/>
      <c r="P112" s="154"/>
      <c r="Q112" s="154"/>
      <c r="R112" s="154"/>
      <c r="S112" s="154"/>
      <c r="T112" s="154"/>
      <c r="U112" s="154"/>
      <c r="V112" s="154"/>
      <c r="W112" s="154"/>
      <c r="X112" s="154"/>
      <c r="Y112" s="154"/>
      <c r="Z112" s="154"/>
      <c r="AA112" s="154"/>
      <c r="AB112" s="154"/>
      <c r="AC112" s="154"/>
      <c r="AD112" s="154"/>
      <c r="AE112" s="154"/>
      <c r="AF112" s="367"/>
      <c r="AG112" s="368"/>
      <c r="AH112" s="368"/>
      <c r="AI112" s="368"/>
      <c r="AJ112" s="154"/>
      <c r="AK112" s="154"/>
      <c r="AL112" s="154"/>
      <c r="AM112" s="154"/>
      <c r="AN112" s="154"/>
      <c r="AO112" s="154"/>
      <c r="AP112" s="154"/>
      <c r="AQ112" s="154"/>
      <c r="AR112" s="154"/>
      <c r="AS112" s="154"/>
      <c r="AT112" s="154"/>
      <c r="AU112" s="154"/>
      <c r="AV112" s="154"/>
      <c r="AW112" s="154"/>
      <c r="AX112" s="154"/>
      <c r="AY112" s="154"/>
      <c r="AZ112" s="154"/>
      <c r="BA112" s="154"/>
      <c r="BB112" s="154"/>
      <c r="BC112" s="154"/>
      <c r="BD112" s="154"/>
      <c r="BE112" s="154"/>
      <c r="BF112" s="154"/>
      <c r="BG112" s="154"/>
      <c r="BH112" s="154"/>
      <c r="BI112" s="154"/>
      <c r="BJ112" s="154"/>
      <c r="BK112" s="154"/>
      <c r="BL112" s="154"/>
      <c r="BM112" s="154"/>
      <c r="BN112" s="154"/>
      <c r="BO112" s="154"/>
      <c r="BP112" s="154"/>
      <c r="BQ112" s="154"/>
      <c r="BR112" s="154"/>
      <c r="BS112" s="154"/>
      <c r="BT112" s="154"/>
      <c r="BU112" s="154"/>
      <c r="BV112" s="154"/>
      <c r="BW112" s="154"/>
      <c r="BX112" s="154"/>
      <c r="BY112" s="154"/>
      <c r="BZ112" s="154"/>
      <c r="CA112" s="154"/>
      <c r="CB112" s="154"/>
      <c r="CC112" s="154"/>
      <c r="CD112" s="154"/>
      <c r="CE112" s="154"/>
      <c r="CF112" s="154"/>
      <c r="CG112" s="154"/>
      <c r="CH112" s="154"/>
      <c r="CI112" s="154"/>
      <c r="CJ112" s="154"/>
      <c r="CK112" s="154"/>
      <c r="CL112" s="154"/>
      <c r="CM112" s="154"/>
      <c r="CN112" s="154"/>
      <c r="CO112" s="154"/>
      <c r="CP112" s="154"/>
      <c r="CQ112" s="154"/>
      <c r="CR112" s="154"/>
      <c r="CS112" s="154"/>
      <c r="CT112" s="154"/>
      <c r="CU112" s="154"/>
      <c r="CV112" s="154"/>
      <c r="CW112" s="154"/>
      <c r="CX112" s="154"/>
      <c r="CY112" s="154"/>
      <c r="CZ112" s="154"/>
      <c r="DA112" s="154"/>
      <c r="DB112" s="154"/>
      <c r="DC112" s="154"/>
      <c r="DD112" s="154"/>
      <c r="DE112" s="154"/>
      <c r="DF112" s="154"/>
      <c r="DG112" s="154"/>
      <c r="DH112" s="154"/>
      <c r="DI112" s="154"/>
      <c r="DJ112" s="154"/>
      <c r="DK112" s="154"/>
      <c r="DL112" s="154"/>
      <c r="DM112" s="154"/>
      <c r="DN112" s="154"/>
      <c r="DO112" s="154"/>
      <c r="DP112" s="154"/>
      <c r="DQ112" s="154"/>
      <c r="DR112" s="154"/>
      <c r="DS112" s="154"/>
      <c r="DT112" s="154"/>
      <c r="DU112" s="154"/>
      <c r="DV112" s="154"/>
      <c r="DW112" s="154"/>
      <c r="DX112" s="154"/>
      <c r="DY112" s="154"/>
      <c r="DZ112" s="154"/>
      <c r="EA112" s="154"/>
      <c r="EB112" s="154"/>
      <c r="EC112" s="154"/>
      <c r="ED112" s="154"/>
      <c r="EE112" s="154"/>
      <c r="EF112" s="154"/>
      <c r="EG112" s="154"/>
      <c r="EH112" s="154"/>
      <c r="EI112" s="154"/>
      <c r="EJ112" s="154"/>
      <c r="EK112" s="154"/>
      <c r="EL112" s="154"/>
      <c r="EM112" s="154"/>
      <c r="EN112" s="154"/>
      <c r="EO112" s="154"/>
      <c r="EP112" s="154"/>
      <c r="EQ112" s="154"/>
      <c r="ER112" s="154"/>
      <c r="ES112" s="154"/>
      <c r="ET112" s="154"/>
      <c r="EU112" s="154"/>
      <c r="EV112" s="154"/>
      <c r="EW112" s="154"/>
    </row>
    <row r="113" spans="2:153" ht="12.95" customHeight="1">
      <c r="B113" s="154"/>
      <c r="C113" s="380"/>
      <c r="D113" s="380"/>
      <c r="E113" s="154"/>
      <c r="F113" s="154"/>
      <c r="G113" s="154"/>
      <c r="H113" s="391"/>
      <c r="I113" s="382"/>
      <c r="J113" s="382"/>
      <c r="K113" s="154"/>
      <c r="L113" s="378"/>
      <c r="M113" s="154"/>
      <c r="N113" s="154"/>
      <c r="O113" s="154"/>
      <c r="P113" s="154"/>
      <c r="Q113" s="154"/>
      <c r="R113" s="154"/>
      <c r="S113" s="154"/>
      <c r="T113" s="154"/>
      <c r="U113" s="154"/>
      <c r="V113" s="154"/>
      <c r="W113" s="154"/>
      <c r="X113" s="154"/>
      <c r="Y113" s="154"/>
      <c r="Z113" s="154"/>
      <c r="AA113" s="154"/>
      <c r="AB113" s="154"/>
      <c r="AC113" s="154"/>
      <c r="AD113" s="154"/>
      <c r="AE113" s="154"/>
      <c r="AF113" s="367"/>
      <c r="AG113" s="368"/>
      <c r="AH113" s="368"/>
      <c r="AI113" s="368"/>
      <c r="AJ113" s="154"/>
      <c r="AK113" s="154"/>
      <c r="AL113" s="154"/>
      <c r="AM113" s="154"/>
      <c r="AN113" s="154"/>
      <c r="AO113" s="154"/>
      <c r="AP113" s="154"/>
      <c r="AQ113" s="154"/>
      <c r="AR113" s="154"/>
      <c r="AS113" s="154"/>
      <c r="AT113" s="154"/>
      <c r="AU113" s="154"/>
      <c r="AV113" s="154"/>
      <c r="AW113" s="154"/>
      <c r="AX113" s="154"/>
      <c r="AY113" s="154"/>
      <c r="AZ113" s="154"/>
      <c r="BA113" s="154"/>
      <c r="BB113" s="154"/>
      <c r="BC113" s="154"/>
      <c r="BD113" s="154"/>
      <c r="BE113" s="154"/>
      <c r="BF113" s="154"/>
      <c r="BG113" s="154"/>
      <c r="BH113" s="154"/>
      <c r="BI113" s="154"/>
      <c r="BJ113" s="154"/>
      <c r="BK113" s="154"/>
      <c r="BL113" s="154"/>
      <c r="BM113" s="154"/>
      <c r="BN113" s="154"/>
      <c r="BO113" s="154"/>
      <c r="BP113" s="154"/>
      <c r="BQ113" s="154"/>
      <c r="BR113" s="154"/>
      <c r="BS113" s="154"/>
      <c r="BT113" s="154"/>
      <c r="BU113" s="154"/>
      <c r="BV113" s="154"/>
      <c r="BW113" s="154"/>
      <c r="BX113" s="154"/>
      <c r="BY113" s="154"/>
      <c r="BZ113" s="154"/>
      <c r="CA113" s="154"/>
      <c r="CB113" s="154"/>
      <c r="CC113" s="154"/>
      <c r="CD113" s="154"/>
      <c r="CE113" s="154"/>
      <c r="CF113" s="154"/>
      <c r="CG113" s="154"/>
      <c r="CH113" s="154"/>
      <c r="CI113" s="154"/>
      <c r="CJ113" s="154"/>
      <c r="CK113" s="154"/>
      <c r="CL113" s="154"/>
      <c r="CM113" s="154"/>
      <c r="CN113" s="154"/>
      <c r="CO113" s="154"/>
      <c r="CP113" s="154"/>
      <c r="CQ113" s="154"/>
      <c r="CR113" s="154"/>
      <c r="CS113" s="154"/>
      <c r="CT113" s="154"/>
      <c r="CU113" s="154"/>
      <c r="CV113" s="154"/>
      <c r="CW113" s="154"/>
      <c r="CX113" s="154"/>
      <c r="CY113" s="154"/>
      <c r="CZ113" s="154"/>
      <c r="DA113" s="154"/>
      <c r="DB113" s="154"/>
      <c r="DC113" s="154"/>
      <c r="DD113" s="154"/>
      <c r="DE113" s="154"/>
      <c r="DF113" s="154"/>
      <c r="DG113" s="154"/>
      <c r="DH113" s="154"/>
      <c r="DI113" s="154"/>
      <c r="DJ113" s="154"/>
      <c r="DK113" s="154"/>
      <c r="DL113" s="154"/>
      <c r="DM113" s="154"/>
      <c r="DN113" s="154"/>
      <c r="DO113" s="154"/>
      <c r="DP113" s="154"/>
      <c r="DQ113" s="154"/>
      <c r="DR113" s="154"/>
      <c r="DS113" s="154"/>
      <c r="DT113" s="154"/>
      <c r="DU113" s="154"/>
      <c r="DV113" s="154"/>
      <c r="DW113" s="154"/>
      <c r="DX113" s="154"/>
      <c r="DY113" s="154"/>
      <c r="DZ113" s="154"/>
      <c r="EA113" s="154"/>
      <c r="EB113" s="154"/>
      <c r="EC113" s="154"/>
      <c r="ED113" s="154"/>
      <c r="EE113" s="154"/>
      <c r="EF113" s="154"/>
      <c r="EG113" s="154"/>
      <c r="EH113" s="154"/>
      <c r="EI113" s="154"/>
      <c r="EJ113" s="154"/>
      <c r="EK113" s="154"/>
      <c r="EL113" s="154"/>
      <c r="EM113" s="154"/>
      <c r="EN113" s="154"/>
      <c r="EO113" s="154"/>
      <c r="EP113" s="154"/>
      <c r="EQ113" s="154"/>
      <c r="ER113" s="154"/>
      <c r="ES113" s="154"/>
      <c r="ET113" s="154"/>
      <c r="EU113" s="154"/>
      <c r="EV113" s="154"/>
      <c r="EW113" s="154"/>
    </row>
    <row r="114" spans="2:153" ht="12.95" customHeight="1">
      <c r="B114" s="154"/>
      <c r="C114" s="380"/>
      <c r="D114" s="380"/>
      <c r="E114" s="154"/>
      <c r="F114" s="154"/>
      <c r="G114" s="154"/>
      <c r="H114" s="391"/>
      <c r="I114" s="382"/>
      <c r="J114" s="382"/>
      <c r="K114" s="154"/>
      <c r="L114" s="378"/>
      <c r="M114" s="154"/>
      <c r="N114" s="154"/>
      <c r="O114" s="154"/>
      <c r="P114" s="154"/>
      <c r="Q114" s="154"/>
      <c r="R114" s="154"/>
      <c r="S114" s="154"/>
      <c r="T114" s="154"/>
      <c r="U114" s="154"/>
      <c r="V114" s="154"/>
      <c r="W114" s="154"/>
      <c r="X114" s="154"/>
      <c r="Y114" s="154"/>
      <c r="Z114" s="154"/>
      <c r="AA114" s="154"/>
      <c r="AB114" s="154"/>
      <c r="AC114" s="154"/>
      <c r="AD114" s="154"/>
      <c r="AE114" s="154"/>
      <c r="AF114" s="367"/>
      <c r="AG114" s="368"/>
      <c r="AH114" s="368"/>
      <c r="AI114" s="368"/>
      <c r="AJ114" s="154"/>
      <c r="AK114" s="154"/>
      <c r="AL114" s="154"/>
      <c r="AM114" s="154"/>
      <c r="AN114" s="154"/>
      <c r="AO114" s="154"/>
      <c r="AP114" s="154"/>
      <c r="AQ114" s="154"/>
      <c r="AR114" s="154"/>
      <c r="AS114" s="154"/>
      <c r="AT114" s="154"/>
      <c r="AU114" s="154"/>
      <c r="AV114" s="154"/>
      <c r="AW114" s="154"/>
      <c r="AX114" s="154"/>
      <c r="AY114" s="154"/>
      <c r="AZ114" s="154"/>
      <c r="BA114" s="154"/>
      <c r="BB114" s="154"/>
      <c r="BC114" s="154"/>
      <c r="BD114" s="154"/>
      <c r="BE114" s="154"/>
      <c r="BF114" s="154"/>
      <c r="BG114" s="154"/>
      <c r="BH114" s="154"/>
      <c r="BI114" s="154"/>
      <c r="BJ114" s="154"/>
      <c r="BK114" s="154"/>
      <c r="BL114" s="154"/>
      <c r="BM114" s="154"/>
      <c r="BN114" s="154"/>
      <c r="BO114" s="154"/>
      <c r="BP114" s="154"/>
      <c r="BQ114" s="154"/>
      <c r="BR114" s="154"/>
      <c r="BS114" s="154"/>
      <c r="BT114" s="154"/>
      <c r="BU114" s="154"/>
      <c r="BV114" s="154"/>
      <c r="BW114" s="154"/>
      <c r="BX114" s="154"/>
      <c r="BY114" s="154"/>
      <c r="BZ114" s="154"/>
      <c r="CA114" s="154"/>
      <c r="CB114" s="154"/>
      <c r="CC114" s="154"/>
      <c r="CD114" s="154"/>
      <c r="CE114" s="154"/>
      <c r="CF114" s="154"/>
      <c r="CG114" s="154"/>
      <c r="CH114" s="154"/>
      <c r="CI114" s="154"/>
      <c r="CJ114" s="154"/>
      <c r="CK114" s="154"/>
      <c r="CL114" s="154"/>
      <c r="CM114" s="154"/>
      <c r="CN114" s="154"/>
      <c r="CO114" s="154"/>
      <c r="CP114" s="154"/>
      <c r="CQ114" s="154"/>
      <c r="CR114" s="154"/>
      <c r="CS114" s="154"/>
      <c r="CT114" s="154"/>
      <c r="CU114" s="154"/>
      <c r="CV114" s="154"/>
      <c r="CW114" s="154"/>
      <c r="CX114" s="154"/>
      <c r="CY114" s="154"/>
      <c r="CZ114" s="154"/>
      <c r="DA114" s="154"/>
      <c r="DB114" s="154"/>
      <c r="DC114" s="154"/>
      <c r="DD114" s="154"/>
      <c r="DE114" s="154"/>
      <c r="DF114" s="154"/>
      <c r="DG114" s="154"/>
      <c r="DH114" s="154"/>
      <c r="DI114" s="154"/>
      <c r="DJ114" s="154"/>
      <c r="DK114" s="154"/>
      <c r="DL114" s="154"/>
      <c r="DM114" s="154"/>
      <c r="DN114" s="154"/>
      <c r="DO114" s="154"/>
      <c r="DP114" s="154"/>
      <c r="DQ114" s="154"/>
      <c r="DR114" s="154"/>
      <c r="DS114" s="154"/>
      <c r="DT114" s="154"/>
      <c r="DU114" s="154"/>
      <c r="DV114" s="154"/>
      <c r="DW114" s="154"/>
      <c r="DX114" s="154"/>
      <c r="DY114" s="154"/>
      <c r="DZ114" s="154"/>
      <c r="EA114" s="154"/>
      <c r="EB114" s="154"/>
      <c r="EC114" s="154"/>
      <c r="ED114" s="154"/>
      <c r="EE114" s="154"/>
      <c r="EF114" s="154"/>
      <c r="EG114" s="154"/>
      <c r="EH114" s="154"/>
      <c r="EI114" s="154"/>
      <c r="EJ114" s="154"/>
      <c r="EK114" s="154"/>
      <c r="EL114" s="154"/>
      <c r="EM114" s="154"/>
      <c r="EN114" s="154"/>
      <c r="EO114" s="154"/>
      <c r="EP114" s="154"/>
      <c r="EQ114" s="154"/>
      <c r="ER114" s="154"/>
      <c r="ES114" s="154"/>
      <c r="ET114" s="154"/>
      <c r="EU114" s="154"/>
      <c r="EV114" s="154"/>
      <c r="EW114" s="154"/>
    </row>
    <row r="115" spans="2:153" ht="12.95" customHeight="1">
      <c r="B115" s="154"/>
      <c r="C115" s="380"/>
      <c r="D115" s="380"/>
      <c r="E115" s="154"/>
      <c r="F115" s="154"/>
      <c r="G115" s="154"/>
      <c r="H115" s="391"/>
      <c r="I115" s="382"/>
      <c r="J115" s="382"/>
      <c r="K115" s="154"/>
      <c r="L115" s="378"/>
      <c r="M115" s="154"/>
      <c r="N115" s="154"/>
      <c r="O115" s="154"/>
      <c r="P115" s="154"/>
      <c r="Q115" s="154"/>
      <c r="R115" s="154"/>
      <c r="S115" s="154"/>
      <c r="T115" s="154"/>
      <c r="U115" s="154"/>
      <c r="V115" s="154"/>
      <c r="W115" s="154"/>
      <c r="X115" s="154"/>
      <c r="Y115" s="154"/>
      <c r="Z115" s="154"/>
      <c r="AA115" s="154"/>
      <c r="AB115" s="154"/>
      <c r="AC115" s="154"/>
      <c r="AD115" s="154"/>
      <c r="AE115" s="154"/>
      <c r="AF115" s="367"/>
      <c r="AG115" s="368"/>
      <c r="AH115" s="368"/>
      <c r="AI115" s="368"/>
      <c r="AJ115" s="154"/>
      <c r="AK115" s="154"/>
      <c r="AL115" s="154"/>
      <c r="AM115" s="154"/>
      <c r="AN115" s="154"/>
      <c r="AO115" s="154"/>
      <c r="AP115" s="154"/>
      <c r="AQ115" s="154"/>
      <c r="AR115" s="154"/>
      <c r="AS115" s="154"/>
      <c r="AT115" s="154"/>
      <c r="AU115" s="154"/>
      <c r="AV115" s="154"/>
      <c r="AW115" s="154"/>
      <c r="AX115" s="154"/>
      <c r="AY115" s="154"/>
      <c r="AZ115" s="154"/>
      <c r="BA115" s="154"/>
      <c r="BB115" s="154"/>
      <c r="BC115" s="154"/>
      <c r="BD115" s="154"/>
      <c r="BE115" s="154"/>
      <c r="BF115" s="154"/>
      <c r="BG115" s="154"/>
      <c r="BH115" s="154"/>
      <c r="BI115" s="154"/>
      <c r="BJ115" s="154"/>
      <c r="BK115" s="154"/>
      <c r="BL115" s="154"/>
      <c r="BM115" s="154"/>
      <c r="BN115" s="154"/>
      <c r="BO115" s="154"/>
      <c r="BP115" s="154"/>
      <c r="BQ115" s="154"/>
      <c r="BR115" s="154"/>
      <c r="BS115" s="154"/>
      <c r="BT115" s="154"/>
      <c r="BU115" s="154"/>
      <c r="BV115" s="154"/>
      <c r="BW115" s="154"/>
      <c r="BX115" s="154"/>
      <c r="BY115" s="154"/>
      <c r="BZ115" s="154"/>
      <c r="CA115" s="154"/>
      <c r="CB115" s="154"/>
      <c r="CC115" s="154"/>
      <c r="CD115" s="154"/>
      <c r="CE115" s="154"/>
      <c r="CF115" s="154"/>
      <c r="CG115" s="154"/>
      <c r="CH115" s="154"/>
      <c r="CI115" s="154"/>
      <c r="CJ115" s="154"/>
      <c r="CK115" s="154"/>
      <c r="CL115" s="154"/>
      <c r="CM115" s="154"/>
      <c r="CN115" s="154"/>
      <c r="CO115" s="154"/>
      <c r="CP115" s="154"/>
      <c r="CQ115" s="154"/>
      <c r="CR115" s="154"/>
      <c r="CS115" s="154"/>
      <c r="CT115" s="154"/>
      <c r="CU115" s="154"/>
      <c r="CV115" s="154"/>
      <c r="CW115" s="154"/>
      <c r="CX115" s="154"/>
      <c r="CY115" s="154"/>
      <c r="CZ115" s="154"/>
      <c r="DA115" s="154"/>
      <c r="DB115" s="154"/>
      <c r="DC115" s="154"/>
      <c r="DD115" s="154"/>
      <c r="DE115" s="154"/>
      <c r="DF115" s="154"/>
      <c r="DG115" s="154"/>
      <c r="DH115" s="154"/>
      <c r="DI115" s="154"/>
      <c r="DJ115" s="154"/>
      <c r="DK115" s="154"/>
      <c r="DL115" s="154"/>
      <c r="DM115" s="154"/>
      <c r="DN115" s="154"/>
      <c r="DO115" s="154"/>
      <c r="DP115" s="154"/>
      <c r="DQ115" s="154"/>
      <c r="DR115" s="154"/>
      <c r="DS115" s="154"/>
      <c r="DT115" s="154"/>
      <c r="DU115" s="154"/>
      <c r="DV115" s="154"/>
      <c r="DW115" s="154"/>
      <c r="DX115" s="154"/>
      <c r="DY115" s="154"/>
      <c r="DZ115" s="154"/>
      <c r="EA115" s="154"/>
      <c r="EB115" s="154"/>
      <c r="EC115" s="154"/>
      <c r="ED115" s="154"/>
      <c r="EE115" s="154"/>
      <c r="EF115" s="154"/>
      <c r="EG115" s="154"/>
      <c r="EH115" s="154"/>
      <c r="EI115" s="154"/>
      <c r="EJ115" s="154"/>
      <c r="EK115" s="154"/>
      <c r="EL115" s="154"/>
      <c r="EM115" s="154"/>
      <c r="EN115" s="154"/>
      <c r="EO115" s="154"/>
      <c r="EP115" s="154"/>
      <c r="EQ115" s="154"/>
      <c r="ER115" s="154"/>
      <c r="ES115" s="154"/>
      <c r="ET115" s="154"/>
      <c r="EU115" s="154"/>
      <c r="EV115" s="154"/>
      <c r="EW115" s="154"/>
    </row>
    <row r="116" spans="2:153" ht="12.95" customHeight="1">
      <c r="B116" s="154"/>
      <c r="C116" s="380"/>
      <c r="D116" s="380"/>
      <c r="E116" s="154"/>
      <c r="F116" s="154"/>
      <c r="G116" s="154"/>
      <c r="H116" s="154"/>
      <c r="I116" s="154"/>
      <c r="J116" s="154"/>
      <c r="K116" s="154"/>
      <c r="L116" s="154"/>
      <c r="M116" s="154"/>
      <c r="N116" s="154"/>
      <c r="O116" s="154"/>
      <c r="P116" s="154"/>
      <c r="Q116" s="154"/>
      <c r="R116" s="154"/>
      <c r="S116" s="154"/>
      <c r="T116" s="154"/>
      <c r="U116" s="154"/>
      <c r="V116" s="154"/>
      <c r="W116" s="154"/>
      <c r="X116" s="154"/>
      <c r="Y116" s="154"/>
      <c r="Z116" s="154"/>
      <c r="AA116" s="154"/>
      <c r="AB116" s="154"/>
      <c r="AC116" s="154"/>
      <c r="AD116" s="154"/>
      <c r="AE116" s="154"/>
      <c r="AF116" s="367"/>
      <c r="AG116" s="368"/>
      <c r="AH116" s="368"/>
      <c r="AI116" s="368"/>
      <c r="AJ116" s="154"/>
      <c r="AK116" s="154"/>
      <c r="AL116" s="154"/>
      <c r="AM116" s="154"/>
      <c r="AN116" s="154"/>
      <c r="AO116" s="154"/>
      <c r="AP116" s="154"/>
      <c r="AQ116" s="154"/>
      <c r="AR116" s="154"/>
      <c r="AS116" s="154"/>
      <c r="AT116" s="154"/>
      <c r="AU116" s="154"/>
      <c r="AV116" s="154"/>
      <c r="AW116" s="154"/>
      <c r="AX116" s="154"/>
      <c r="AY116" s="154"/>
      <c r="AZ116" s="154"/>
      <c r="BA116" s="154"/>
      <c r="BB116" s="154"/>
      <c r="BC116" s="154"/>
      <c r="BD116" s="154"/>
      <c r="BE116" s="154"/>
      <c r="BF116" s="154"/>
      <c r="BG116" s="154"/>
      <c r="BH116" s="154"/>
      <c r="BI116" s="154"/>
      <c r="BJ116" s="154"/>
      <c r="BK116" s="154"/>
      <c r="BL116" s="154"/>
      <c r="BM116" s="154"/>
      <c r="BN116" s="154"/>
      <c r="BO116" s="154"/>
      <c r="BP116" s="154"/>
      <c r="BQ116" s="154"/>
      <c r="BR116" s="154"/>
      <c r="BS116" s="154"/>
      <c r="BT116" s="154"/>
      <c r="BU116" s="154"/>
      <c r="BV116" s="154"/>
      <c r="BW116" s="154"/>
      <c r="BX116" s="154"/>
      <c r="BY116" s="154"/>
      <c r="BZ116" s="154"/>
      <c r="CA116" s="154"/>
      <c r="CB116" s="154"/>
      <c r="CC116" s="154"/>
      <c r="CD116" s="154"/>
      <c r="CE116" s="154"/>
      <c r="CF116" s="154"/>
      <c r="CG116" s="154"/>
      <c r="CH116" s="154"/>
      <c r="CI116" s="154"/>
      <c r="CJ116" s="154"/>
      <c r="CK116" s="154"/>
      <c r="CL116" s="154"/>
      <c r="CM116" s="154"/>
      <c r="CN116" s="154"/>
      <c r="CO116" s="154"/>
      <c r="CP116" s="154"/>
      <c r="CQ116" s="154"/>
      <c r="CR116" s="154"/>
      <c r="CS116" s="154"/>
      <c r="CT116" s="154"/>
      <c r="CU116" s="154"/>
      <c r="CV116" s="154"/>
      <c r="CW116" s="154"/>
      <c r="CX116" s="154"/>
      <c r="CY116" s="154"/>
      <c r="CZ116" s="154"/>
      <c r="DA116" s="154"/>
      <c r="DB116" s="154"/>
      <c r="DC116" s="154"/>
      <c r="DD116" s="154"/>
      <c r="DE116" s="154"/>
      <c r="DF116" s="154"/>
      <c r="DG116" s="154"/>
      <c r="DH116" s="154"/>
      <c r="DI116" s="154"/>
      <c r="DJ116" s="154"/>
      <c r="DK116" s="154"/>
      <c r="DL116" s="154"/>
      <c r="DM116" s="154"/>
      <c r="DN116" s="154"/>
      <c r="DO116" s="154"/>
      <c r="DP116" s="154"/>
      <c r="DQ116" s="154"/>
      <c r="DR116" s="154"/>
      <c r="DS116" s="154"/>
      <c r="DT116" s="154"/>
      <c r="DU116" s="154"/>
      <c r="DV116" s="154"/>
      <c r="DW116" s="154"/>
      <c r="DX116" s="154"/>
      <c r="DY116" s="154"/>
      <c r="DZ116" s="154"/>
      <c r="EA116" s="154"/>
      <c r="EB116" s="154"/>
      <c r="EC116" s="154"/>
      <c r="ED116" s="154"/>
      <c r="EE116" s="154"/>
      <c r="EF116" s="154"/>
      <c r="EG116" s="154"/>
      <c r="EH116" s="154"/>
      <c r="EI116" s="154"/>
      <c r="EJ116" s="154"/>
      <c r="EK116" s="154"/>
      <c r="EL116" s="154"/>
      <c r="EM116" s="154"/>
      <c r="EN116" s="154"/>
      <c r="EO116" s="154"/>
      <c r="EP116" s="154"/>
      <c r="EQ116" s="154"/>
      <c r="ER116" s="154"/>
      <c r="ES116" s="154"/>
      <c r="ET116" s="154"/>
      <c r="EU116" s="154"/>
      <c r="EV116" s="154"/>
      <c r="EW116" s="154"/>
    </row>
    <row r="117" spans="2:153" ht="12.95" customHeight="1">
      <c r="B117" s="154"/>
      <c r="C117" s="380"/>
      <c r="D117" s="380"/>
      <c r="E117" s="154"/>
      <c r="F117" s="154"/>
      <c r="G117" s="154"/>
      <c r="H117" s="154"/>
      <c r="I117" s="154"/>
      <c r="J117" s="154"/>
      <c r="K117" s="154"/>
      <c r="L117" s="154"/>
      <c r="M117" s="154"/>
      <c r="N117" s="154"/>
      <c r="O117" s="154"/>
      <c r="P117" s="154"/>
      <c r="Q117" s="154"/>
      <c r="R117" s="154"/>
      <c r="S117" s="154"/>
      <c r="T117" s="154"/>
      <c r="U117" s="154"/>
      <c r="V117" s="154"/>
      <c r="W117" s="154"/>
      <c r="X117" s="154"/>
      <c r="Y117" s="154"/>
      <c r="Z117" s="154"/>
      <c r="AA117" s="154"/>
      <c r="AB117" s="154"/>
      <c r="AC117" s="154"/>
      <c r="AD117" s="154"/>
      <c r="AE117" s="154"/>
      <c r="AF117" s="367"/>
      <c r="AG117" s="368"/>
      <c r="AH117" s="368"/>
      <c r="AI117" s="368"/>
      <c r="AJ117" s="154"/>
      <c r="AK117" s="154"/>
      <c r="AL117" s="154"/>
      <c r="AM117" s="154"/>
      <c r="AN117" s="154"/>
      <c r="AO117" s="154"/>
      <c r="AP117" s="154"/>
      <c r="AQ117" s="154"/>
      <c r="AR117" s="154"/>
      <c r="AS117" s="154"/>
      <c r="AT117" s="154"/>
      <c r="AU117" s="154"/>
      <c r="AV117" s="154"/>
      <c r="AW117" s="154"/>
      <c r="AX117" s="154"/>
      <c r="AY117" s="154"/>
      <c r="AZ117" s="154"/>
      <c r="BA117" s="154"/>
      <c r="BB117" s="154"/>
      <c r="BC117" s="154"/>
      <c r="BD117" s="154"/>
      <c r="BE117" s="154"/>
      <c r="BF117" s="154"/>
      <c r="BG117" s="154"/>
      <c r="BH117" s="154"/>
      <c r="BI117" s="154"/>
      <c r="BJ117" s="154"/>
      <c r="BK117" s="154"/>
      <c r="BL117" s="154"/>
      <c r="BM117" s="154"/>
      <c r="BN117" s="154"/>
      <c r="BO117" s="154"/>
      <c r="BP117" s="154"/>
      <c r="BQ117" s="154"/>
      <c r="BR117" s="154"/>
      <c r="BS117" s="154"/>
      <c r="BT117" s="154"/>
      <c r="BU117" s="154"/>
      <c r="BV117" s="154"/>
      <c r="BW117" s="154"/>
      <c r="BX117" s="154"/>
      <c r="BY117" s="154"/>
      <c r="BZ117" s="154"/>
      <c r="CA117" s="154"/>
      <c r="CB117" s="154"/>
      <c r="CC117" s="154"/>
      <c r="CD117" s="154"/>
      <c r="CE117" s="154"/>
      <c r="CF117" s="154"/>
      <c r="CG117" s="154"/>
      <c r="CH117" s="154"/>
      <c r="CI117" s="154"/>
      <c r="CJ117" s="154"/>
      <c r="CK117" s="154"/>
      <c r="CL117" s="154"/>
      <c r="CM117" s="154"/>
      <c r="CN117" s="154"/>
      <c r="CO117" s="154"/>
      <c r="CP117" s="154"/>
      <c r="CQ117" s="154"/>
      <c r="CR117" s="154"/>
      <c r="CS117" s="154"/>
      <c r="CT117" s="154"/>
      <c r="CU117" s="154"/>
      <c r="CV117" s="154"/>
      <c r="CW117" s="154"/>
      <c r="CX117" s="154"/>
      <c r="CY117" s="154"/>
      <c r="CZ117" s="154"/>
      <c r="DA117" s="154"/>
      <c r="DB117" s="154"/>
      <c r="DC117" s="154"/>
      <c r="DD117" s="154"/>
      <c r="DE117" s="154"/>
      <c r="DF117" s="154"/>
      <c r="DG117" s="154"/>
      <c r="DH117" s="154"/>
      <c r="DI117" s="154"/>
      <c r="DJ117" s="154"/>
      <c r="DK117" s="154"/>
      <c r="DL117" s="154"/>
      <c r="DM117" s="154"/>
      <c r="DN117" s="154"/>
      <c r="DO117" s="154"/>
      <c r="DP117" s="154"/>
      <c r="DQ117" s="154"/>
      <c r="DR117" s="154"/>
      <c r="DS117" s="154"/>
      <c r="DT117" s="154"/>
      <c r="DU117" s="154"/>
      <c r="DV117" s="154"/>
      <c r="DW117" s="154"/>
      <c r="DX117" s="154"/>
      <c r="DY117" s="154"/>
      <c r="DZ117" s="154"/>
      <c r="EA117" s="154"/>
      <c r="EB117" s="154"/>
      <c r="EC117" s="154"/>
      <c r="ED117" s="154"/>
      <c r="EE117" s="154"/>
      <c r="EF117" s="154"/>
      <c r="EG117" s="154"/>
      <c r="EH117" s="154"/>
      <c r="EI117" s="154"/>
      <c r="EJ117" s="154"/>
      <c r="EK117" s="154"/>
      <c r="EL117" s="154"/>
      <c r="EM117" s="154"/>
      <c r="EN117" s="154"/>
      <c r="EO117" s="154"/>
      <c r="EP117" s="154"/>
      <c r="EQ117" s="154"/>
      <c r="ER117" s="154"/>
      <c r="ES117" s="154"/>
      <c r="ET117" s="154"/>
      <c r="EU117" s="154"/>
      <c r="EV117" s="154"/>
      <c r="EW117" s="154"/>
    </row>
    <row r="118" spans="2:153" ht="12.95" customHeight="1">
      <c r="B118" s="154"/>
      <c r="C118" s="380"/>
      <c r="D118" s="380"/>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4"/>
      <c r="AB118" s="154"/>
      <c r="AC118" s="154"/>
      <c r="AD118" s="154"/>
      <c r="AE118" s="154"/>
      <c r="AF118" s="367"/>
      <c r="AG118" s="368"/>
      <c r="AH118" s="368"/>
      <c r="AI118" s="368"/>
      <c r="AJ118" s="154"/>
      <c r="AK118" s="154"/>
      <c r="AL118" s="154"/>
      <c r="AM118" s="154"/>
      <c r="AN118" s="154"/>
      <c r="AO118" s="154"/>
      <c r="AP118" s="154"/>
      <c r="AQ118" s="154"/>
      <c r="AR118" s="154"/>
      <c r="AS118" s="154"/>
      <c r="AT118" s="154"/>
      <c r="AU118" s="154"/>
      <c r="AV118" s="154"/>
      <c r="AW118" s="154"/>
      <c r="AX118" s="154"/>
      <c r="AY118" s="154"/>
      <c r="AZ118" s="154"/>
      <c r="BA118" s="154"/>
      <c r="BB118" s="154"/>
      <c r="BC118" s="154"/>
      <c r="BD118" s="154"/>
      <c r="BE118" s="154"/>
      <c r="BF118" s="154"/>
      <c r="BG118" s="154"/>
      <c r="BH118" s="154"/>
      <c r="BI118" s="154"/>
      <c r="BJ118" s="154"/>
      <c r="BK118" s="154"/>
      <c r="BL118" s="154"/>
      <c r="BM118" s="154"/>
      <c r="BN118" s="154"/>
      <c r="BO118" s="154"/>
      <c r="BP118" s="154"/>
      <c r="BQ118" s="154"/>
      <c r="BR118" s="154"/>
      <c r="BS118" s="154"/>
      <c r="BT118" s="154"/>
      <c r="BU118" s="154"/>
      <c r="BV118" s="154"/>
      <c r="BW118" s="154"/>
      <c r="BX118" s="154"/>
      <c r="BY118" s="154"/>
      <c r="BZ118" s="154"/>
      <c r="CA118" s="154"/>
      <c r="CB118" s="154"/>
      <c r="CC118" s="154"/>
      <c r="CD118" s="154"/>
      <c r="CE118" s="154"/>
      <c r="CF118" s="154"/>
      <c r="CG118" s="154"/>
      <c r="CH118" s="154"/>
      <c r="CI118" s="154"/>
      <c r="CJ118" s="154"/>
      <c r="CK118" s="154"/>
      <c r="CL118" s="154"/>
      <c r="CM118" s="154"/>
      <c r="CN118" s="154"/>
      <c r="CO118" s="154"/>
      <c r="CP118" s="154"/>
      <c r="CQ118" s="154"/>
      <c r="CR118" s="154"/>
      <c r="CS118" s="154"/>
      <c r="CT118" s="154"/>
      <c r="CU118" s="154"/>
      <c r="CV118" s="154"/>
      <c r="CW118" s="154"/>
      <c r="CX118" s="154"/>
      <c r="CY118" s="154"/>
      <c r="CZ118" s="154"/>
      <c r="DA118" s="154"/>
      <c r="DB118" s="154"/>
      <c r="DC118" s="154"/>
      <c r="DD118" s="154"/>
      <c r="DE118" s="154"/>
      <c r="DF118" s="154"/>
      <c r="DG118" s="154"/>
      <c r="DH118" s="154"/>
      <c r="DI118" s="154"/>
      <c r="DJ118" s="154"/>
      <c r="DK118" s="154"/>
      <c r="DL118" s="154"/>
      <c r="DM118" s="154"/>
      <c r="DN118" s="154"/>
      <c r="DO118" s="154"/>
      <c r="DP118" s="154"/>
      <c r="DQ118" s="154"/>
      <c r="DR118" s="154"/>
      <c r="DS118" s="154"/>
      <c r="DT118" s="154"/>
      <c r="DU118" s="154"/>
      <c r="DV118" s="154"/>
      <c r="DW118" s="154"/>
      <c r="DX118" s="154"/>
      <c r="DY118" s="154"/>
      <c r="DZ118" s="154"/>
      <c r="EA118" s="154"/>
      <c r="EB118" s="154"/>
      <c r="EC118" s="154"/>
      <c r="ED118" s="154"/>
      <c r="EE118" s="154"/>
      <c r="EF118" s="154"/>
      <c r="EG118" s="154"/>
      <c r="EH118" s="154"/>
      <c r="EI118" s="154"/>
      <c r="EJ118" s="154"/>
      <c r="EK118" s="154"/>
      <c r="EL118" s="154"/>
      <c r="EM118" s="154"/>
      <c r="EN118" s="154"/>
      <c r="EO118" s="154"/>
      <c r="EP118" s="154"/>
      <c r="EQ118" s="154"/>
      <c r="ER118" s="154"/>
      <c r="ES118" s="154"/>
      <c r="ET118" s="154"/>
      <c r="EU118" s="154"/>
      <c r="EV118" s="154"/>
      <c r="EW118" s="154"/>
    </row>
    <row r="119" spans="2:153" ht="12.95" customHeight="1">
      <c r="B119" s="154"/>
      <c r="C119" s="380"/>
      <c r="D119" s="380"/>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154"/>
      <c r="AB119" s="154"/>
      <c r="AC119" s="154"/>
      <c r="AD119" s="154"/>
      <c r="AE119" s="154"/>
      <c r="AF119" s="367"/>
      <c r="AG119" s="368"/>
      <c r="AH119" s="368"/>
      <c r="AI119" s="368"/>
      <c r="AJ119" s="154"/>
      <c r="AK119" s="154"/>
      <c r="AL119" s="154"/>
      <c r="AM119" s="154"/>
      <c r="AN119" s="154"/>
      <c r="AO119" s="154"/>
      <c r="AP119" s="154"/>
      <c r="AQ119" s="154"/>
      <c r="AR119" s="154"/>
      <c r="AS119" s="154"/>
      <c r="AT119" s="154"/>
      <c r="AU119" s="154"/>
      <c r="AV119" s="154"/>
      <c r="AW119" s="154"/>
      <c r="AX119" s="154"/>
      <c r="AY119" s="154"/>
      <c r="AZ119" s="154"/>
      <c r="BA119" s="154"/>
      <c r="BB119" s="154"/>
      <c r="BC119" s="154"/>
      <c r="BD119" s="154"/>
      <c r="BE119" s="154"/>
      <c r="BF119" s="154"/>
      <c r="BG119" s="154"/>
      <c r="BH119" s="154"/>
      <c r="BI119" s="154"/>
      <c r="BJ119" s="154"/>
      <c r="BK119" s="154"/>
      <c r="BL119" s="154"/>
      <c r="BM119" s="154"/>
      <c r="BN119" s="154"/>
      <c r="BO119" s="154"/>
      <c r="BP119" s="154"/>
      <c r="BQ119" s="154"/>
      <c r="BR119" s="154"/>
      <c r="BS119" s="154"/>
      <c r="BT119" s="154"/>
      <c r="BU119" s="154"/>
      <c r="BV119" s="154"/>
      <c r="BW119" s="154"/>
      <c r="BX119" s="154"/>
      <c r="BY119" s="154"/>
      <c r="BZ119" s="154"/>
      <c r="CA119" s="154"/>
      <c r="CB119" s="154"/>
      <c r="CC119" s="154"/>
      <c r="CD119" s="154"/>
      <c r="CE119" s="154"/>
      <c r="CF119" s="154"/>
      <c r="CG119" s="154"/>
      <c r="CH119" s="154"/>
      <c r="CI119" s="154"/>
      <c r="CJ119" s="154"/>
      <c r="CK119" s="154"/>
      <c r="CL119" s="154"/>
      <c r="CM119" s="154"/>
      <c r="CN119" s="154"/>
      <c r="CO119" s="154"/>
      <c r="CP119" s="154"/>
      <c r="CQ119" s="154"/>
      <c r="CR119" s="154"/>
      <c r="CS119" s="154"/>
      <c r="CT119" s="154"/>
      <c r="CU119" s="154"/>
      <c r="CV119" s="154"/>
      <c r="CW119" s="154"/>
      <c r="CX119" s="154"/>
      <c r="CY119" s="154"/>
      <c r="CZ119" s="154"/>
      <c r="DA119" s="154"/>
      <c r="DB119" s="154"/>
      <c r="DC119" s="154"/>
      <c r="DD119" s="154"/>
      <c r="DE119" s="154"/>
      <c r="DF119" s="154"/>
      <c r="DG119" s="154"/>
      <c r="DH119" s="154"/>
      <c r="DI119" s="154"/>
      <c r="DJ119" s="154"/>
      <c r="DK119" s="154"/>
      <c r="DL119" s="154"/>
      <c r="DM119" s="154"/>
      <c r="DN119" s="154"/>
      <c r="DO119" s="154"/>
      <c r="DP119" s="154"/>
      <c r="DQ119" s="154"/>
      <c r="DR119" s="154"/>
      <c r="DS119" s="154"/>
      <c r="DT119" s="154"/>
      <c r="DU119" s="154"/>
      <c r="DV119" s="154"/>
      <c r="DW119" s="154"/>
      <c r="DX119" s="154"/>
      <c r="DY119" s="154"/>
      <c r="DZ119" s="154"/>
      <c r="EA119" s="154"/>
      <c r="EB119" s="154"/>
      <c r="EC119" s="154"/>
      <c r="ED119" s="154"/>
      <c r="EE119" s="154"/>
      <c r="EF119" s="154"/>
      <c r="EG119" s="154"/>
      <c r="EH119" s="154"/>
      <c r="EI119" s="154"/>
      <c r="EJ119" s="154"/>
      <c r="EK119" s="154"/>
      <c r="EL119" s="154"/>
      <c r="EM119" s="154"/>
      <c r="EN119" s="154"/>
      <c r="EO119" s="154"/>
      <c r="EP119" s="154"/>
      <c r="EQ119" s="154"/>
      <c r="ER119" s="154"/>
      <c r="ES119" s="154"/>
      <c r="ET119" s="154"/>
      <c r="EU119" s="154"/>
      <c r="EV119" s="154"/>
      <c r="EW119" s="154"/>
    </row>
    <row r="120" spans="2:153" ht="12.95" customHeight="1">
      <c r="B120" s="154"/>
      <c r="C120" s="380"/>
      <c r="D120" s="380"/>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154"/>
      <c r="AB120" s="154"/>
      <c r="AC120" s="154"/>
      <c r="AD120" s="154"/>
      <c r="AE120" s="154"/>
      <c r="AF120" s="367"/>
      <c r="AG120" s="368"/>
      <c r="AH120" s="368"/>
      <c r="AI120" s="368"/>
      <c r="AJ120" s="154"/>
      <c r="AK120" s="154"/>
      <c r="AL120" s="154"/>
      <c r="AM120" s="154"/>
      <c r="AN120" s="154"/>
      <c r="AO120" s="154"/>
      <c r="AP120" s="154"/>
      <c r="AQ120" s="154"/>
      <c r="AR120" s="154"/>
      <c r="AS120" s="154"/>
      <c r="AT120" s="154"/>
      <c r="AU120" s="154"/>
      <c r="AV120" s="154"/>
      <c r="AW120" s="154"/>
      <c r="AX120" s="154"/>
      <c r="AY120" s="154"/>
      <c r="AZ120" s="154"/>
      <c r="BA120" s="154"/>
      <c r="BB120" s="154"/>
      <c r="BC120" s="154"/>
      <c r="BD120" s="154"/>
      <c r="BE120" s="154"/>
      <c r="BF120" s="154"/>
      <c r="BG120" s="154"/>
      <c r="BH120" s="154"/>
      <c r="BI120" s="154"/>
      <c r="BJ120" s="154"/>
      <c r="BK120" s="154"/>
      <c r="BL120" s="154"/>
      <c r="BM120" s="154"/>
      <c r="BN120" s="154"/>
      <c r="BO120" s="154"/>
      <c r="BP120" s="154"/>
      <c r="BQ120" s="154"/>
      <c r="BR120" s="154"/>
      <c r="BS120" s="154"/>
      <c r="BT120" s="154"/>
      <c r="BU120" s="154"/>
      <c r="BV120" s="154"/>
      <c r="BW120" s="154"/>
      <c r="BX120" s="154"/>
      <c r="BY120" s="154"/>
      <c r="BZ120" s="154"/>
      <c r="CA120" s="154"/>
      <c r="CB120" s="154"/>
      <c r="CC120" s="154"/>
      <c r="CD120" s="154"/>
      <c r="CE120" s="154"/>
      <c r="CF120" s="154"/>
      <c r="CG120" s="154"/>
      <c r="CH120" s="154"/>
      <c r="CI120" s="154"/>
      <c r="CJ120" s="154"/>
      <c r="CK120" s="154"/>
      <c r="CL120" s="154"/>
      <c r="CM120" s="154"/>
      <c r="CN120" s="154"/>
      <c r="CO120" s="154"/>
      <c r="CP120" s="154"/>
      <c r="CQ120" s="154"/>
      <c r="CR120" s="154"/>
      <c r="CS120" s="154"/>
      <c r="CT120" s="154"/>
      <c r="CU120" s="154"/>
      <c r="CV120" s="154"/>
      <c r="CW120" s="154"/>
      <c r="CX120" s="154"/>
      <c r="CY120" s="154"/>
      <c r="CZ120" s="154"/>
      <c r="DA120" s="154"/>
      <c r="DB120" s="154"/>
      <c r="DC120" s="154"/>
      <c r="DD120" s="154"/>
      <c r="DE120" s="154"/>
      <c r="DF120" s="154"/>
      <c r="DG120" s="154"/>
      <c r="DH120" s="154"/>
      <c r="DI120" s="154"/>
      <c r="DJ120" s="154"/>
      <c r="DK120" s="154"/>
      <c r="DL120" s="154"/>
      <c r="DM120" s="154"/>
      <c r="DN120" s="154"/>
      <c r="DO120" s="154"/>
      <c r="DP120" s="154"/>
      <c r="DQ120" s="154"/>
      <c r="DR120" s="154"/>
      <c r="DS120" s="154"/>
      <c r="DT120" s="154"/>
      <c r="DU120" s="154"/>
      <c r="DV120" s="154"/>
      <c r="DW120" s="154"/>
      <c r="DX120" s="154"/>
      <c r="DY120" s="154"/>
      <c r="DZ120" s="154"/>
      <c r="EA120" s="154"/>
      <c r="EB120" s="154"/>
      <c r="EC120" s="154"/>
      <c r="ED120" s="154"/>
      <c r="EE120" s="154"/>
      <c r="EF120" s="154"/>
      <c r="EG120" s="154"/>
      <c r="EH120" s="154"/>
      <c r="EI120" s="154"/>
      <c r="EJ120" s="154"/>
      <c r="EK120" s="154"/>
      <c r="EL120" s="154"/>
      <c r="EM120" s="154"/>
      <c r="EN120" s="154"/>
      <c r="EO120" s="154"/>
      <c r="EP120" s="154"/>
      <c r="EQ120" s="154"/>
      <c r="ER120" s="154"/>
      <c r="ES120" s="154"/>
      <c r="ET120" s="154"/>
      <c r="EU120" s="154"/>
      <c r="EV120" s="154"/>
      <c r="EW120" s="154"/>
    </row>
    <row r="121" spans="2:153" ht="12.95" customHeight="1">
      <c r="B121" s="154"/>
      <c r="C121" s="380"/>
      <c r="D121" s="380"/>
      <c r="E121" s="154"/>
      <c r="F121" s="154"/>
      <c r="G121" s="154"/>
      <c r="H121" s="154"/>
      <c r="I121" s="154"/>
      <c r="J121" s="154"/>
      <c r="K121" s="154"/>
      <c r="L121" s="154"/>
      <c r="M121" s="154"/>
      <c r="N121" s="154"/>
      <c r="O121" s="154"/>
      <c r="P121" s="154"/>
      <c r="Q121" s="154"/>
      <c r="R121" s="154"/>
      <c r="S121" s="154"/>
      <c r="T121" s="154"/>
      <c r="U121" s="154"/>
      <c r="V121" s="154"/>
      <c r="W121" s="154"/>
      <c r="X121" s="154"/>
      <c r="Y121" s="154"/>
      <c r="Z121" s="154"/>
      <c r="AA121" s="154"/>
      <c r="AB121" s="154"/>
      <c r="AC121" s="154"/>
      <c r="AD121" s="154"/>
      <c r="AE121" s="154"/>
      <c r="AF121" s="367"/>
      <c r="AG121" s="368"/>
      <c r="AH121" s="368"/>
      <c r="AI121" s="368"/>
      <c r="AJ121" s="154"/>
      <c r="AK121" s="154"/>
      <c r="AL121" s="154"/>
      <c r="AM121" s="154"/>
      <c r="AN121" s="154"/>
      <c r="AO121" s="154"/>
      <c r="AP121" s="154"/>
      <c r="AQ121" s="154"/>
      <c r="AR121" s="154"/>
      <c r="AS121" s="154"/>
      <c r="AT121" s="154"/>
      <c r="AU121" s="154"/>
      <c r="AV121" s="154"/>
      <c r="AW121" s="154"/>
      <c r="AX121" s="154"/>
      <c r="AY121" s="154"/>
      <c r="AZ121" s="154"/>
      <c r="BA121" s="154"/>
      <c r="BB121" s="154"/>
      <c r="BC121" s="154"/>
      <c r="BD121" s="154"/>
      <c r="BE121" s="154"/>
      <c r="BF121" s="154"/>
      <c r="BG121" s="154"/>
      <c r="BH121" s="154"/>
      <c r="BI121" s="154"/>
      <c r="BJ121" s="154"/>
      <c r="BK121" s="154"/>
      <c r="BL121" s="154"/>
      <c r="BM121" s="154"/>
      <c r="BN121" s="154"/>
      <c r="BO121" s="154"/>
      <c r="BP121" s="154"/>
      <c r="BQ121" s="154"/>
      <c r="BR121" s="154"/>
      <c r="BS121" s="154"/>
      <c r="BT121" s="154"/>
      <c r="BU121" s="154"/>
      <c r="BV121" s="154"/>
      <c r="BW121" s="154"/>
      <c r="BX121" s="154"/>
      <c r="BY121" s="154"/>
      <c r="BZ121" s="154"/>
      <c r="CA121" s="154"/>
      <c r="CB121" s="154"/>
      <c r="CC121" s="154"/>
      <c r="CD121" s="154"/>
      <c r="CE121" s="154"/>
      <c r="CF121" s="154"/>
      <c r="CG121" s="154"/>
      <c r="CH121" s="154"/>
      <c r="CI121" s="154"/>
      <c r="CJ121" s="154"/>
      <c r="CK121" s="154"/>
      <c r="CL121" s="154"/>
      <c r="CM121" s="154"/>
      <c r="CN121" s="154"/>
      <c r="CO121" s="154"/>
      <c r="CP121" s="154"/>
      <c r="CQ121" s="154"/>
      <c r="CR121" s="154"/>
      <c r="CS121" s="154"/>
      <c r="CT121" s="154"/>
      <c r="CU121" s="154"/>
      <c r="CV121" s="154"/>
      <c r="CW121" s="154"/>
      <c r="CX121" s="154"/>
      <c r="CY121" s="154"/>
      <c r="CZ121" s="154"/>
      <c r="DA121" s="154"/>
      <c r="DB121" s="154"/>
      <c r="DC121" s="154"/>
      <c r="DD121" s="154"/>
      <c r="DE121" s="154"/>
      <c r="DF121" s="154"/>
      <c r="DG121" s="154"/>
      <c r="DH121" s="154"/>
      <c r="DI121" s="154"/>
      <c r="DJ121" s="154"/>
      <c r="DK121" s="154"/>
      <c r="DL121" s="154"/>
      <c r="DM121" s="154"/>
      <c r="DN121" s="154"/>
      <c r="DO121" s="154"/>
      <c r="DP121" s="154"/>
      <c r="DQ121" s="154"/>
      <c r="DR121" s="154"/>
      <c r="DS121" s="154"/>
      <c r="DT121" s="154"/>
      <c r="DU121" s="154"/>
      <c r="DV121" s="154"/>
      <c r="DW121" s="154"/>
      <c r="DX121" s="154"/>
      <c r="DY121" s="154"/>
      <c r="DZ121" s="154"/>
      <c r="EA121" s="154"/>
      <c r="EB121" s="154"/>
      <c r="EC121" s="154"/>
      <c r="ED121" s="154"/>
      <c r="EE121" s="154"/>
      <c r="EF121" s="154"/>
      <c r="EG121" s="154"/>
      <c r="EH121" s="154"/>
      <c r="EI121" s="154"/>
      <c r="EJ121" s="154"/>
      <c r="EK121" s="154"/>
      <c r="EL121" s="154"/>
      <c r="EM121" s="154"/>
      <c r="EN121" s="154"/>
      <c r="EO121" s="154"/>
      <c r="EP121" s="154"/>
      <c r="EQ121" s="154"/>
      <c r="ER121" s="154"/>
      <c r="ES121" s="154"/>
      <c r="ET121" s="154"/>
      <c r="EU121" s="154"/>
      <c r="EV121" s="154"/>
      <c r="EW121" s="154"/>
    </row>
    <row r="122" spans="2:153" ht="12.95" customHeight="1">
      <c r="B122" s="154"/>
      <c r="C122" s="380"/>
      <c r="D122" s="380"/>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4"/>
      <c r="AB122" s="154"/>
      <c r="AC122" s="154"/>
      <c r="AD122" s="154"/>
      <c r="AE122" s="154"/>
      <c r="AF122" s="367"/>
      <c r="AG122" s="368"/>
      <c r="AH122" s="368"/>
      <c r="AI122" s="368"/>
      <c r="AJ122" s="154"/>
      <c r="AK122" s="154"/>
      <c r="AL122" s="154"/>
      <c r="AM122" s="154"/>
      <c r="AN122" s="154"/>
      <c r="AO122" s="154"/>
      <c r="AP122" s="154"/>
      <c r="AQ122" s="154"/>
      <c r="AR122" s="154"/>
      <c r="AS122" s="154"/>
      <c r="AT122" s="154"/>
      <c r="AU122" s="154"/>
      <c r="AV122" s="154"/>
      <c r="AW122" s="154"/>
      <c r="AX122" s="154"/>
      <c r="AY122" s="154"/>
      <c r="AZ122" s="154"/>
      <c r="BA122" s="154"/>
      <c r="BB122" s="154"/>
      <c r="BC122" s="154"/>
      <c r="BD122" s="154"/>
      <c r="BE122" s="154"/>
      <c r="BF122" s="154"/>
      <c r="BG122" s="154"/>
      <c r="BH122" s="154"/>
      <c r="BI122" s="154"/>
      <c r="BJ122" s="154"/>
      <c r="BK122" s="154"/>
      <c r="BL122" s="154"/>
      <c r="BM122" s="154"/>
      <c r="BN122" s="154"/>
      <c r="BO122" s="154"/>
      <c r="BP122" s="154"/>
      <c r="BQ122" s="154"/>
      <c r="BR122" s="154"/>
      <c r="BS122" s="154"/>
      <c r="BT122" s="154"/>
      <c r="BU122" s="154"/>
      <c r="BV122" s="154"/>
      <c r="BW122" s="154"/>
      <c r="BX122" s="154"/>
      <c r="BY122" s="154"/>
      <c r="BZ122" s="154"/>
      <c r="CA122" s="154"/>
      <c r="CB122" s="154"/>
      <c r="CC122" s="154"/>
      <c r="CD122" s="154"/>
      <c r="CE122" s="154"/>
      <c r="CF122" s="154"/>
      <c r="CG122" s="154"/>
      <c r="CH122" s="154"/>
      <c r="CI122" s="154"/>
      <c r="CJ122" s="154"/>
      <c r="CK122" s="154"/>
      <c r="CL122" s="154"/>
      <c r="CM122" s="154"/>
      <c r="CN122" s="154"/>
      <c r="CO122" s="154"/>
      <c r="CP122" s="154"/>
      <c r="CQ122" s="154"/>
      <c r="CR122" s="154"/>
      <c r="CS122" s="154"/>
      <c r="CT122" s="154"/>
      <c r="CU122" s="154"/>
      <c r="CV122" s="154"/>
      <c r="CW122" s="154"/>
      <c r="CX122" s="154"/>
      <c r="CY122" s="154"/>
      <c r="CZ122" s="154"/>
      <c r="DA122" s="154"/>
      <c r="DB122" s="154"/>
      <c r="DC122" s="154"/>
      <c r="DD122" s="154"/>
      <c r="DE122" s="154"/>
      <c r="DF122" s="154"/>
      <c r="DG122" s="154"/>
      <c r="DH122" s="154"/>
      <c r="DI122" s="154"/>
      <c r="DJ122" s="154"/>
      <c r="DK122" s="154"/>
      <c r="DL122" s="154"/>
      <c r="DM122" s="154"/>
      <c r="DN122" s="154"/>
      <c r="DO122" s="154"/>
      <c r="DP122" s="154"/>
      <c r="DQ122" s="154"/>
      <c r="DR122" s="154"/>
      <c r="DS122" s="154"/>
      <c r="DT122" s="154"/>
      <c r="DU122" s="154"/>
      <c r="DV122" s="154"/>
      <c r="DW122" s="154"/>
      <c r="DX122" s="154"/>
      <c r="DY122" s="154"/>
      <c r="DZ122" s="154"/>
      <c r="EA122" s="154"/>
      <c r="EB122" s="154"/>
      <c r="EC122" s="154"/>
      <c r="ED122" s="154"/>
      <c r="EE122" s="154"/>
      <c r="EF122" s="154"/>
      <c r="EG122" s="154"/>
      <c r="EH122" s="154"/>
      <c r="EI122" s="154"/>
      <c r="EJ122" s="154"/>
      <c r="EK122" s="154"/>
      <c r="EL122" s="154"/>
      <c r="EM122" s="154"/>
      <c r="EN122" s="154"/>
      <c r="EO122" s="154"/>
      <c r="EP122" s="154"/>
      <c r="EQ122" s="154"/>
      <c r="ER122" s="154"/>
      <c r="ES122" s="154"/>
      <c r="ET122" s="154"/>
      <c r="EU122" s="154"/>
      <c r="EV122" s="154"/>
      <c r="EW122" s="154"/>
    </row>
    <row r="123" spans="2:153" ht="12.95" customHeight="1">
      <c r="B123" s="154"/>
      <c r="C123" s="380"/>
      <c r="D123" s="380"/>
      <c r="E123" s="154"/>
      <c r="F123" s="154"/>
      <c r="G123" s="154"/>
      <c r="H123" s="154"/>
      <c r="I123" s="154"/>
      <c r="J123" s="154"/>
      <c r="K123" s="154"/>
      <c r="L123" s="154"/>
      <c r="M123" s="154"/>
      <c r="N123" s="154"/>
      <c r="O123" s="154"/>
      <c r="P123" s="154"/>
      <c r="Q123" s="154"/>
      <c r="R123" s="154"/>
      <c r="S123" s="154"/>
      <c r="T123" s="154"/>
      <c r="U123" s="154"/>
      <c r="V123" s="154"/>
      <c r="W123" s="154"/>
      <c r="X123" s="154"/>
      <c r="Y123" s="154"/>
      <c r="Z123" s="154"/>
      <c r="AA123" s="154"/>
      <c r="AB123" s="154"/>
      <c r="AC123" s="154"/>
      <c r="AD123" s="154"/>
      <c r="AE123" s="154"/>
      <c r="AF123" s="367"/>
      <c r="AG123" s="368"/>
      <c r="AH123" s="368"/>
      <c r="AI123" s="368"/>
      <c r="AJ123" s="154"/>
      <c r="AK123" s="154"/>
      <c r="AL123" s="154"/>
      <c r="AM123" s="154"/>
      <c r="AN123" s="154"/>
      <c r="AO123" s="154"/>
      <c r="AP123" s="154"/>
      <c r="AQ123" s="154"/>
      <c r="AR123" s="154"/>
      <c r="AS123" s="154"/>
      <c r="AT123" s="154"/>
      <c r="AU123" s="154"/>
      <c r="AV123" s="154"/>
      <c r="AW123" s="154"/>
      <c r="AX123" s="154"/>
      <c r="AY123" s="154"/>
      <c r="AZ123" s="154"/>
      <c r="BA123" s="154"/>
      <c r="BB123" s="154"/>
      <c r="BC123" s="154"/>
      <c r="BD123" s="154"/>
      <c r="BE123" s="154"/>
      <c r="BF123" s="154"/>
      <c r="BG123" s="154"/>
      <c r="BH123" s="154"/>
      <c r="BI123" s="154"/>
      <c r="BJ123" s="154"/>
      <c r="BK123" s="154"/>
      <c r="BL123" s="154"/>
      <c r="BM123" s="154"/>
      <c r="BN123" s="154"/>
      <c r="BO123" s="154"/>
      <c r="BP123" s="154"/>
      <c r="BQ123" s="154"/>
      <c r="BR123" s="154"/>
      <c r="BS123" s="154"/>
      <c r="BT123" s="154"/>
      <c r="BU123" s="154"/>
      <c r="BV123" s="154"/>
      <c r="BW123" s="154"/>
      <c r="BX123" s="154"/>
      <c r="BY123" s="154"/>
      <c r="BZ123" s="154"/>
      <c r="CA123" s="154"/>
      <c r="CB123" s="154"/>
      <c r="CC123" s="154"/>
      <c r="CD123" s="154"/>
      <c r="CE123" s="154"/>
      <c r="CF123" s="154"/>
      <c r="CG123" s="154"/>
      <c r="CH123" s="154"/>
      <c r="CI123" s="154"/>
      <c r="CJ123" s="154"/>
      <c r="CK123" s="154"/>
      <c r="CL123" s="154"/>
      <c r="CM123" s="154"/>
      <c r="CN123" s="154"/>
      <c r="CO123" s="154"/>
      <c r="CP123" s="154"/>
      <c r="CQ123" s="154"/>
      <c r="CR123" s="154"/>
      <c r="CS123" s="154"/>
      <c r="CT123" s="154"/>
      <c r="CU123" s="154"/>
      <c r="CV123" s="154"/>
      <c r="CW123" s="154"/>
      <c r="CX123" s="154"/>
      <c r="CY123" s="154"/>
      <c r="CZ123" s="154"/>
      <c r="DA123" s="154"/>
      <c r="DB123" s="154"/>
      <c r="DC123" s="154"/>
      <c r="DD123" s="154"/>
      <c r="DE123" s="154"/>
      <c r="DF123" s="154"/>
      <c r="DG123" s="154"/>
      <c r="DH123" s="154"/>
      <c r="DI123" s="154"/>
      <c r="DJ123" s="154"/>
      <c r="DK123" s="154"/>
      <c r="DL123" s="154"/>
      <c r="DM123" s="154"/>
      <c r="DN123" s="154"/>
      <c r="DO123" s="154"/>
      <c r="DP123" s="154"/>
      <c r="DQ123" s="154"/>
      <c r="DR123" s="154"/>
      <c r="DS123" s="154"/>
      <c r="DT123" s="154"/>
      <c r="DU123" s="154"/>
      <c r="DV123" s="154"/>
      <c r="DW123" s="154"/>
      <c r="DX123" s="154"/>
      <c r="DY123" s="154"/>
      <c r="DZ123" s="154"/>
      <c r="EA123" s="154"/>
      <c r="EB123" s="154"/>
      <c r="EC123" s="154"/>
      <c r="ED123" s="154"/>
      <c r="EE123" s="154"/>
      <c r="EF123" s="154"/>
      <c r="EG123" s="154"/>
      <c r="EH123" s="154"/>
      <c r="EI123" s="154"/>
      <c r="EJ123" s="154"/>
      <c r="EK123" s="154"/>
      <c r="EL123" s="154"/>
      <c r="EM123" s="154"/>
      <c r="EN123" s="154"/>
      <c r="EO123" s="154"/>
      <c r="EP123" s="154"/>
      <c r="EQ123" s="154"/>
      <c r="ER123" s="154"/>
      <c r="ES123" s="154"/>
      <c r="ET123" s="154"/>
      <c r="EU123" s="154"/>
      <c r="EV123" s="154"/>
      <c r="EW123" s="154"/>
    </row>
    <row r="124" spans="2:153" ht="12.95" customHeight="1">
      <c r="B124" s="154"/>
      <c r="C124" s="380"/>
      <c r="D124" s="380"/>
      <c r="E124" s="154"/>
      <c r="F124" s="154"/>
      <c r="G124" s="154"/>
      <c r="H124" s="154"/>
      <c r="I124" s="154"/>
      <c r="J124" s="154"/>
      <c r="K124" s="154"/>
      <c r="L124" s="154"/>
      <c r="M124" s="154"/>
      <c r="N124" s="154"/>
      <c r="O124" s="154"/>
      <c r="P124" s="154"/>
      <c r="Q124" s="154"/>
      <c r="R124" s="154"/>
      <c r="S124" s="154"/>
      <c r="T124" s="154"/>
      <c r="U124" s="154"/>
      <c r="V124" s="154"/>
      <c r="W124" s="154"/>
      <c r="X124" s="154"/>
      <c r="Y124" s="154"/>
      <c r="Z124" s="154"/>
      <c r="AA124" s="154"/>
      <c r="AB124" s="154"/>
      <c r="AC124" s="154"/>
      <c r="AD124" s="154"/>
      <c r="AE124" s="154"/>
      <c r="AF124" s="367"/>
      <c r="AG124" s="368"/>
      <c r="AH124" s="368"/>
      <c r="AI124" s="368"/>
      <c r="AJ124" s="154"/>
      <c r="AK124" s="154"/>
      <c r="AL124" s="154"/>
      <c r="AM124" s="154"/>
      <c r="AN124" s="154"/>
      <c r="AO124" s="154"/>
      <c r="AP124" s="154"/>
      <c r="AQ124" s="154"/>
      <c r="AR124" s="154"/>
      <c r="AS124" s="154"/>
      <c r="AT124" s="154"/>
      <c r="AU124" s="154"/>
      <c r="AV124" s="154"/>
      <c r="AW124" s="154"/>
      <c r="AX124" s="154"/>
      <c r="AY124" s="154"/>
      <c r="AZ124" s="154"/>
      <c r="BA124" s="154"/>
      <c r="BB124" s="154"/>
      <c r="BC124" s="154"/>
      <c r="BD124" s="154"/>
      <c r="BE124" s="154"/>
      <c r="BF124" s="154"/>
      <c r="BG124" s="154"/>
      <c r="BH124" s="154"/>
      <c r="BI124" s="154"/>
      <c r="BJ124" s="154"/>
      <c r="BK124" s="154"/>
      <c r="BL124" s="154"/>
      <c r="BM124" s="154"/>
      <c r="BN124" s="154"/>
      <c r="BO124" s="154"/>
      <c r="BP124" s="154"/>
      <c r="BQ124" s="154"/>
      <c r="BR124" s="154"/>
      <c r="BS124" s="154"/>
      <c r="BT124" s="154"/>
      <c r="BU124" s="154"/>
      <c r="BV124" s="154"/>
      <c r="BW124" s="154"/>
      <c r="BX124" s="154"/>
      <c r="BY124" s="154"/>
      <c r="BZ124" s="154"/>
      <c r="CA124" s="154"/>
      <c r="CB124" s="154"/>
      <c r="CC124" s="154"/>
      <c r="CD124" s="154"/>
      <c r="CE124" s="154"/>
      <c r="CF124" s="154"/>
      <c r="CG124" s="154"/>
      <c r="CH124" s="154"/>
      <c r="CI124" s="154"/>
      <c r="CJ124" s="154"/>
      <c r="CK124" s="154"/>
      <c r="CL124" s="154"/>
      <c r="CM124" s="154"/>
      <c r="CN124" s="154"/>
      <c r="CO124" s="154"/>
      <c r="CP124" s="154"/>
      <c r="CQ124" s="154"/>
      <c r="CR124" s="154"/>
      <c r="CS124" s="154"/>
      <c r="CT124" s="154"/>
      <c r="CU124" s="154"/>
      <c r="CV124" s="154"/>
      <c r="CW124" s="154"/>
      <c r="CX124" s="154"/>
      <c r="CY124" s="154"/>
      <c r="CZ124" s="154"/>
      <c r="DA124" s="154"/>
      <c r="DB124" s="154"/>
      <c r="DC124" s="154"/>
      <c r="DD124" s="154"/>
      <c r="DE124" s="154"/>
      <c r="DF124" s="154"/>
      <c r="DG124" s="154"/>
      <c r="DH124" s="154"/>
      <c r="DI124" s="154"/>
      <c r="DJ124" s="154"/>
      <c r="DK124" s="154"/>
      <c r="DL124" s="154"/>
      <c r="DM124" s="154"/>
      <c r="DN124" s="154"/>
      <c r="DO124" s="154"/>
      <c r="DP124" s="154"/>
      <c r="DQ124" s="154"/>
      <c r="DR124" s="154"/>
      <c r="DS124" s="154"/>
      <c r="DT124" s="154"/>
      <c r="DU124" s="154"/>
      <c r="DV124" s="154"/>
      <c r="DW124" s="154"/>
      <c r="DX124" s="154"/>
      <c r="DY124" s="154"/>
      <c r="DZ124" s="154"/>
      <c r="EA124" s="154"/>
      <c r="EB124" s="154"/>
      <c r="EC124" s="154"/>
      <c r="ED124" s="154"/>
      <c r="EE124" s="154"/>
      <c r="EF124" s="154"/>
      <c r="EG124" s="154"/>
      <c r="EH124" s="154"/>
      <c r="EI124" s="154"/>
      <c r="EJ124" s="154"/>
      <c r="EK124" s="154"/>
      <c r="EL124" s="154"/>
      <c r="EM124" s="154"/>
      <c r="EN124" s="154"/>
      <c r="EO124" s="154"/>
      <c r="EP124" s="154"/>
      <c r="EQ124" s="154"/>
      <c r="ER124" s="154"/>
      <c r="ES124" s="154"/>
      <c r="ET124" s="154"/>
      <c r="EU124" s="154"/>
      <c r="EV124" s="154"/>
      <c r="EW124" s="154"/>
    </row>
    <row r="125" spans="2:153" ht="12.95" customHeight="1">
      <c r="B125" s="154"/>
      <c r="C125" s="380"/>
      <c r="D125" s="380"/>
      <c r="E125" s="154"/>
      <c r="F125" s="154"/>
      <c r="G125" s="154"/>
      <c r="H125" s="154"/>
      <c r="I125" s="154"/>
      <c r="J125" s="154"/>
      <c r="K125" s="154"/>
      <c r="L125" s="154"/>
      <c r="M125" s="154"/>
      <c r="N125" s="154"/>
      <c r="O125" s="154"/>
      <c r="P125" s="154"/>
      <c r="Q125" s="154"/>
      <c r="R125" s="154"/>
      <c r="S125" s="154"/>
      <c r="T125" s="154"/>
      <c r="U125" s="154"/>
      <c r="V125" s="154"/>
      <c r="W125" s="154"/>
      <c r="X125" s="154"/>
      <c r="Y125" s="154"/>
      <c r="Z125" s="154"/>
      <c r="AA125" s="154"/>
      <c r="AB125" s="154"/>
      <c r="AC125" s="154"/>
      <c r="AD125" s="154"/>
      <c r="AE125" s="154"/>
      <c r="AF125" s="367"/>
      <c r="AG125" s="368"/>
      <c r="AH125" s="368"/>
      <c r="AI125" s="368"/>
      <c r="AJ125" s="154"/>
      <c r="AK125" s="154"/>
      <c r="AL125" s="154"/>
      <c r="AM125" s="154"/>
      <c r="AN125" s="154"/>
      <c r="AO125" s="154"/>
      <c r="AP125" s="154"/>
      <c r="AQ125" s="154"/>
      <c r="AR125" s="154"/>
      <c r="AS125" s="154"/>
      <c r="AT125" s="154"/>
      <c r="AU125" s="154"/>
      <c r="AV125" s="154"/>
      <c r="AW125" s="154"/>
      <c r="AX125" s="154"/>
      <c r="AY125" s="154"/>
      <c r="AZ125" s="154"/>
      <c r="BA125" s="154"/>
      <c r="BB125" s="154"/>
      <c r="BC125" s="154"/>
      <c r="BD125" s="154"/>
      <c r="BE125" s="154"/>
      <c r="BF125" s="154"/>
      <c r="BG125" s="154"/>
      <c r="BH125" s="154"/>
      <c r="BI125" s="154"/>
      <c r="BJ125" s="154"/>
      <c r="BK125" s="154"/>
      <c r="BL125" s="154"/>
      <c r="BM125" s="154"/>
      <c r="BN125" s="154"/>
      <c r="BO125" s="154"/>
      <c r="BP125" s="154"/>
      <c r="BQ125" s="154"/>
      <c r="BR125" s="154"/>
      <c r="BS125" s="154"/>
      <c r="BT125" s="154"/>
      <c r="BU125" s="154"/>
      <c r="BV125" s="154"/>
      <c r="BW125" s="154"/>
      <c r="BX125" s="154"/>
      <c r="BY125" s="154"/>
      <c r="BZ125" s="154"/>
      <c r="CA125" s="154"/>
      <c r="CB125" s="154"/>
      <c r="CC125" s="154"/>
      <c r="CD125" s="154"/>
      <c r="CE125" s="154"/>
      <c r="CF125" s="154"/>
      <c r="CG125" s="154"/>
      <c r="CH125" s="154"/>
      <c r="CI125" s="154"/>
      <c r="CJ125" s="154"/>
      <c r="CK125" s="154"/>
      <c r="CL125" s="154"/>
      <c r="CM125" s="154"/>
      <c r="CN125" s="154"/>
      <c r="CO125" s="154"/>
      <c r="CP125" s="154"/>
      <c r="CQ125" s="154"/>
      <c r="CR125" s="154"/>
      <c r="CS125" s="154"/>
      <c r="CT125" s="154"/>
      <c r="CU125" s="154"/>
      <c r="CV125" s="154"/>
      <c r="CW125" s="154"/>
      <c r="CX125" s="154"/>
      <c r="CY125" s="154"/>
      <c r="CZ125" s="154"/>
      <c r="DA125" s="154"/>
      <c r="DB125" s="154"/>
      <c r="DC125" s="154"/>
      <c r="DD125" s="154"/>
      <c r="DE125" s="154"/>
      <c r="DF125" s="154"/>
      <c r="DG125" s="154"/>
      <c r="DH125" s="154"/>
      <c r="DI125" s="154"/>
      <c r="DJ125" s="154"/>
      <c r="DK125" s="154"/>
      <c r="DL125" s="154"/>
      <c r="DM125" s="154"/>
      <c r="DN125" s="154"/>
      <c r="DO125" s="154"/>
      <c r="DP125" s="154"/>
      <c r="DQ125" s="154"/>
      <c r="DR125" s="154"/>
      <c r="DS125" s="154"/>
      <c r="DT125" s="154"/>
      <c r="DU125" s="154"/>
      <c r="DV125" s="154"/>
      <c r="DW125" s="154"/>
      <c r="DX125" s="154"/>
      <c r="DY125" s="154"/>
      <c r="DZ125" s="154"/>
      <c r="EA125" s="154"/>
      <c r="EB125" s="154"/>
      <c r="EC125" s="154"/>
      <c r="ED125" s="154"/>
      <c r="EE125" s="154"/>
      <c r="EF125" s="154"/>
      <c r="EG125" s="154"/>
      <c r="EH125" s="154"/>
      <c r="EI125" s="154"/>
      <c r="EJ125" s="154"/>
      <c r="EK125" s="154"/>
      <c r="EL125" s="154"/>
      <c r="EM125" s="154"/>
      <c r="EN125" s="154"/>
      <c r="EO125" s="154"/>
      <c r="EP125" s="154"/>
      <c r="EQ125" s="154"/>
      <c r="ER125" s="154"/>
      <c r="ES125" s="154"/>
      <c r="ET125" s="154"/>
      <c r="EU125" s="154"/>
      <c r="EV125" s="154"/>
      <c r="EW125" s="154"/>
    </row>
    <row r="126" spans="2:153" ht="12.95" customHeight="1">
      <c r="B126" s="154"/>
      <c r="C126" s="380"/>
      <c r="D126" s="380"/>
      <c r="E126" s="154"/>
      <c r="F126" s="154"/>
      <c r="G126" s="154"/>
      <c r="H126" s="154"/>
      <c r="I126" s="154"/>
      <c r="J126" s="154"/>
      <c r="K126" s="154"/>
      <c r="L126" s="154"/>
      <c r="M126" s="154"/>
      <c r="N126" s="154"/>
      <c r="O126" s="154"/>
      <c r="P126" s="154"/>
      <c r="Q126" s="154"/>
      <c r="R126" s="154"/>
      <c r="S126" s="154"/>
      <c r="T126" s="154"/>
      <c r="U126" s="154"/>
      <c r="V126" s="154"/>
      <c r="W126" s="154"/>
      <c r="X126" s="154"/>
      <c r="Y126" s="154"/>
      <c r="Z126" s="154"/>
      <c r="AA126" s="154"/>
      <c r="AB126" s="154"/>
      <c r="AC126" s="154"/>
      <c r="AD126" s="154"/>
      <c r="AE126" s="154"/>
      <c r="AF126" s="367"/>
      <c r="AG126" s="368"/>
      <c r="AH126" s="368"/>
      <c r="AI126" s="368"/>
      <c r="AJ126" s="154"/>
      <c r="AK126" s="154"/>
      <c r="AL126" s="154"/>
      <c r="AM126" s="154"/>
      <c r="AN126" s="154"/>
      <c r="AO126" s="154"/>
      <c r="AP126" s="154"/>
      <c r="AQ126" s="154"/>
      <c r="AR126" s="154"/>
      <c r="AS126" s="154"/>
      <c r="AT126" s="154"/>
      <c r="AU126" s="154"/>
      <c r="AV126" s="154"/>
      <c r="AW126" s="154"/>
      <c r="AX126" s="154"/>
      <c r="AY126" s="154"/>
      <c r="AZ126" s="154"/>
      <c r="BA126" s="154"/>
      <c r="BB126" s="154"/>
      <c r="BC126" s="154"/>
      <c r="BD126" s="154"/>
      <c r="BE126" s="154"/>
      <c r="BF126" s="154"/>
      <c r="BG126" s="154"/>
      <c r="BH126" s="154"/>
      <c r="BI126" s="154"/>
      <c r="BJ126" s="154"/>
      <c r="BK126" s="154"/>
      <c r="BL126" s="154"/>
      <c r="BM126" s="154"/>
      <c r="BN126" s="154"/>
      <c r="BO126" s="154"/>
      <c r="BP126" s="154"/>
      <c r="BQ126" s="154"/>
      <c r="BR126" s="154"/>
      <c r="BS126" s="154"/>
      <c r="BT126" s="154"/>
      <c r="BU126" s="154"/>
      <c r="BV126" s="154"/>
      <c r="BW126" s="154"/>
      <c r="BX126" s="154"/>
      <c r="BY126" s="154"/>
      <c r="BZ126" s="154"/>
      <c r="CA126" s="154"/>
      <c r="CB126" s="154"/>
      <c r="CC126" s="154"/>
      <c r="CD126" s="154"/>
      <c r="CE126" s="154"/>
      <c r="CF126" s="154"/>
      <c r="CG126" s="154"/>
      <c r="CH126" s="154"/>
      <c r="CI126" s="154"/>
      <c r="CJ126" s="154"/>
      <c r="CK126" s="154"/>
      <c r="CL126" s="154"/>
      <c r="CM126" s="154"/>
      <c r="CN126" s="154"/>
      <c r="CO126" s="154"/>
      <c r="CP126" s="154"/>
      <c r="CQ126" s="154"/>
      <c r="CR126" s="154"/>
      <c r="CS126" s="154"/>
      <c r="CT126" s="154"/>
      <c r="CU126" s="154"/>
      <c r="CV126" s="154"/>
      <c r="CW126" s="154"/>
      <c r="CX126" s="154"/>
      <c r="CY126" s="154"/>
      <c r="CZ126" s="154"/>
      <c r="DA126" s="154"/>
      <c r="DB126" s="154"/>
      <c r="DC126" s="154"/>
      <c r="DD126" s="154"/>
      <c r="DE126" s="154"/>
      <c r="DF126" s="154"/>
      <c r="DG126" s="154"/>
      <c r="DH126" s="154"/>
      <c r="DI126" s="154"/>
      <c r="DJ126" s="154"/>
      <c r="DK126" s="154"/>
      <c r="DL126" s="154"/>
      <c r="DM126" s="154"/>
      <c r="DN126" s="154"/>
      <c r="DO126" s="154"/>
      <c r="DP126" s="154"/>
      <c r="DQ126" s="154"/>
      <c r="DR126" s="154"/>
      <c r="DS126" s="154"/>
      <c r="DT126" s="154"/>
      <c r="DU126" s="154"/>
      <c r="DV126" s="154"/>
      <c r="DW126" s="154"/>
      <c r="DX126" s="154"/>
      <c r="DY126" s="154"/>
      <c r="DZ126" s="154"/>
      <c r="EA126" s="154"/>
      <c r="EB126" s="154"/>
      <c r="EC126" s="154"/>
      <c r="ED126" s="154"/>
      <c r="EE126" s="154"/>
      <c r="EF126" s="154"/>
      <c r="EG126" s="154"/>
      <c r="EH126" s="154"/>
      <c r="EI126" s="154"/>
      <c r="EJ126" s="154"/>
      <c r="EK126" s="154"/>
      <c r="EL126" s="154"/>
      <c r="EM126" s="154"/>
      <c r="EN126" s="154"/>
      <c r="EO126" s="154"/>
      <c r="EP126" s="154"/>
      <c r="EQ126" s="154"/>
      <c r="ER126" s="154"/>
      <c r="ES126" s="154"/>
      <c r="ET126" s="154"/>
      <c r="EU126" s="154"/>
      <c r="EV126" s="154"/>
      <c r="EW126" s="154"/>
    </row>
    <row r="127" spans="2:153" ht="12.95" customHeight="1">
      <c r="B127" s="154"/>
      <c r="C127" s="380"/>
      <c r="D127" s="380"/>
      <c r="E127" s="154"/>
      <c r="F127" s="154"/>
      <c r="G127" s="154"/>
      <c r="H127" s="154"/>
      <c r="I127" s="154"/>
      <c r="J127" s="154"/>
      <c r="K127" s="154"/>
      <c r="L127" s="154"/>
      <c r="M127" s="154"/>
      <c r="N127" s="154"/>
      <c r="O127" s="154"/>
      <c r="P127" s="154"/>
      <c r="Q127" s="154"/>
      <c r="R127" s="154"/>
      <c r="S127" s="154"/>
      <c r="T127" s="154"/>
      <c r="U127" s="154"/>
      <c r="V127" s="154"/>
      <c r="W127" s="154"/>
      <c r="X127" s="154"/>
      <c r="Y127" s="154"/>
      <c r="Z127" s="154"/>
      <c r="AA127" s="154"/>
      <c r="AB127" s="154"/>
      <c r="AC127" s="154"/>
      <c r="AD127" s="154"/>
      <c r="AE127" s="154"/>
      <c r="AF127" s="367"/>
      <c r="AG127" s="368"/>
      <c r="AH127" s="368"/>
      <c r="AI127" s="368"/>
      <c r="AJ127" s="154"/>
      <c r="AK127" s="154"/>
      <c r="AL127" s="154"/>
      <c r="AM127" s="154"/>
      <c r="AN127" s="154"/>
      <c r="AO127" s="154"/>
      <c r="AP127" s="154"/>
      <c r="AQ127" s="154"/>
      <c r="AR127" s="154"/>
      <c r="AS127" s="154"/>
      <c r="AT127" s="154"/>
      <c r="AU127" s="154"/>
      <c r="AV127" s="154"/>
      <c r="AW127" s="154"/>
      <c r="AX127" s="154"/>
      <c r="AY127" s="154"/>
      <c r="AZ127" s="154"/>
      <c r="BA127" s="154"/>
      <c r="BB127" s="154"/>
      <c r="BC127" s="154"/>
      <c r="BD127" s="154"/>
      <c r="BE127" s="154"/>
      <c r="BF127" s="154"/>
      <c r="BG127" s="154"/>
      <c r="BH127" s="154"/>
      <c r="BI127" s="154"/>
      <c r="BJ127" s="154"/>
      <c r="BK127" s="154"/>
      <c r="BL127" s="154"/>
      <c r="BM127" s="154"/>
      <c r="BN127" s="154"/>
      <c r="BO127" s="154"/>
      <c r="BP127" s="154"/>
      <c r="BQ127" s="154"/>
      <c r="BR127" s="154"/>
      <c r="BS127" s="154"/>
      <c r="BT127" s="154"/>
      <c r="BU127" s="154"/>
      <c r="BV127" s="154"/>
      <c r="BW127" s="154"/>
      <c r="BX127" s="154"/>
      <c r="BY127" s="154"/>
      <c r="BZ127" s="154"/>
      <c r="CA127" s="154"/>
      <c r="CB127" s="154"/>
      <c r="CC127" s="154"/>
      <c r="CD127" s="154"/>
      <c r="CE127" s="154"/>
      <c r="CF127" s="154"/>
      <c r="CG127" s="154"/>
      <c r="CH127" s="154"/>
      <c r="CI127" s="154"/>
      <c r="CJ127" s="154"/>
      <c r="CK127" s="154"/>
      <c r="CL127" s="154"/>
      <c r="CM127" s="154"/>
      <c r="CN127" s="154"/>
      <c r="CO127" s="154"/>
      <c r="CP127" s="154"/>
      <c r="CQ127" s="154"/>
      <c r="CR127" s="154"/>
      <c r="CS127" s="154"/>
      <c r="CT127" s="154"/>
      <c r="CU127" s="154"/>
      <c r="CV127" s="154"/>
      <c r="CW127" s="154"/>
      <c r="CX127" s="154"/>
      <c r="CY127" s="154"/>
      <c r="CZ127" s="154"/>
      <c r="DA127" s="154"/>
      <c r="DB127" s="154"/>
      <c r="DC127" s="154"/>
      <c r="DD127" s="154"/>
      <c r="DE127" s="154"/>
      <c r="DF127" s="154"/>
      <c r="DG127" s="154"/>
      <c r="DH127" s="154"/>
      <c r="DI127" s="154"/>
      <c r="DJ127" s="154"/>
      <c r="DK127" s="154"/>
      <c r="DL127" s="154"/>
      <c r="DM127" s="154"/>
      <c r="DN127" s="154"/>
      <c r="DO127" s="154"/>
      <c r="DP127" s="154"/>
      <c r="DQ127" s="154"/>
      <c r="DR127" s="154"/>
      <c r="DS127" s="154"/>
      <c r="DT127" s="154"/>
      <c r="DU127" s="154"/>
      <c r="DV127" s="154"/>
      <c r="DW127" s="154"/>
      <c r="DX127" s="154"/>
      <c r="DY127" s="154"/>
      <c r="DZ127" s="154"/>
      <c r="EA127" s="154"/>
      <c r="EB127" s="154"/>
      <c r="EC127" s="154"/>
      <c r="ED127" s="154"/>
      <c r="EE127" s="154"/>
      <c r="EF127" s="154"/>
      <c r="EG127" s="154"/>
      <c r="EH127" s="154"/>
      <c r="EI127" s="154"/>
      <c r="EJ127" s="154"/>
      <c r="EK127" s="154"/>
      <c r="EL127" s="154"/>
      <c r="EM127" s="154"/>
      <c r="EN127" s="154"/>
      <c r="EO127" s="154"/>
      <c r="EP127" s="154"/>
      <c r="EQ127" s="154"/>
      <c r="ER127" s="154"/>
      <c r="ES127" s="154"/>
      <c r="ET127" s="154"/>
      <c r="EU127" s="154"/>
      <c r="EV127" s="154"/>
      <c r="EW127" s="154"/>
    </row>
    <row r="128" spans="2:153" ht="12.95" customHeight="1">
      <c r="B128" s="154"/>
      <c r="C128" s="380"/>
      <c r="D128" s="380"/>
      <c r="E128" s="154"/>
      <c r="F128" s="154"/>
      <c r="G128" s="154"/>
      <c r="H128" s="154"/>
      <c r="I128" s="154"/>
      <c r="J128" s="154"/>
      <c r="K128" s="154"/>
      <c r="L128" s="154"/>
      <c r="M128" s="154"/>
      <c r="N128" s="154"/>
      <c r="O128" s="154"/>
      <c r="P128" s="154"/>
      <c r="Q128" s="154"/>
      <c r="R128" s="154"/>
      <c r="S128" s="154"/>
      <c r="T128" s="154"/>
      <c r="U128" s="154"/>
      <c r="V128" s="154"/>
      <c r="W128" s="154"/>
      <c r="X128" s="154"/>
      <c r="Y128" s="154"/>
      <c r="Z128" s="154"/>
      <c r="AA128" s="154"/>
      <c r="AB128" s="154"/>
      <c r="AC128" s="154"/>
      <c r="AD128" s="154"/>
      <c r="AE128" s="154"/>
      <c r="AF128" s="367"/>
      <c r="AG128" s="368"/>
      <c r="AH128" s="368"/>
      <c r="AI128" s="368"/>
      <c r="AJ128" s="154"/>
      <c r="AK128" s="154"/>
      <c r="AL128" s="154"/>
      <c r="AM128" s="154"/>
      <c r="AN128" s="154"/>
      <c r="AO128" s="154"/>
      <c r="AP128" s="154"/>
      <c r="AQ128" s="154"/>
      <c r="AR128" s="154"/>
      <c r="AS128" s="154"/>
      <c r="AT128" s="154"/>
      <c r="AU128" s="154"/>
      <c r="AV128" s="154"/>
      <c r="AW128" s="154"/>
      <c r="AX128" s="154"/>
      <c r="AY128" s="154"/>
      <c r="AZ128" s="154"/>
      <c r="BA128" s="154"/>
      <c r="BB128" s="154"/>
      <c r="BC128" s="154"/>
      <c r="BD128" s="154"/>
      <c r="BE128" s="154"/>
      <c r="BF128" s="154"/>
      <c r="BG128" s="154"/>
      <c r="BH128" s="154"/>
      <c r="BI128" s="154"/>
      <c r="BJ128" s="154"/>
      <c r="BK128" s="154"/>
      <c r="BL128" s="154"/>
      <c r="BM128" s="154"/>
      <c r="BN128" s="154"/>
      <c r="BO128" s="154"/>
      <c r="BP128" s="154"/>
      <c r="BQ128" s="154"/>
      <c r="BR128" s="154"/>
      <c r="BS128" s="154"/>
      <c r="BT128" s="154"/>
      <c r="BU128" s="154"/>
      <c r="BV128" s="154"/>
      <c r="BW128" s="154"/>
      <c r="BX128" s="154"/>
      <c r="BY128" s="154"/>
      <c r="BZ128" s="154"/>
      <c r="CA128" s="154"/>
      <c r="CB128" s="154"/>
      <c r="CC128" s="154"/>
      <c r="CD128" s="154"/>
      <c r="CE128" s="154"/>
      <c r="CF128" s="154"/>
      <c r="CG128" s="154"/>
      <c r="CH128" s="154"/>
      <c r="CI128" s="154"/>
      <c r="CJ128" s="154"/>
      <c r="CK128" s="154"/>
      <c r="CL128" s="154"/>
      <c r="CM128" s="154"/>
      <c r="CN128" s="154"/>
      <c r="CO128" s="154"/>
      <c r="CP128" s="154"/>
      <c r="CQ128" s="154"/>
      <c r="CR128" s="154"/>
      <c r="CS128" s="154"/>
      <c r="CT128" s="154"/>
      <c r="CU128" s="154"/>
      <c r="CV128" s="154"/>
      <c r="CW128" s="154"/>
      <c r="CX128" s="154"/>
      <c r="CY128" s="154"/>
      <c r="CZ128" s="154"/>
      <c r="DA128" s="154"/>
      <c r="DB128" s="154"/>
      <c r="DC128" s="154"/>
      <c r="DD128" s="154"/>
      <c r="DE128" s="154"/>
      <c r="DF128" s="154"/>
      <c r="DG128" s="154"/>
      <c r="DH128" s="154"/>
      <c r="DI128" s="154"/>
      <c r="DJ128" s="154"/>
      <c r="DK128" s="154"/>
      <c r="DL128" s="154"/>
      <c r="DM128" s="154"/>
      <c r="DN128" s="154"/>
      <c r="DO128" s="154"/>
      <c r="DP128" s="154"/>
      <c r="DQ128" s="154"/>
      <c r="DR128" s="154"/>
      <c r="DS128" s="154"/>
      <c r="DT128" s="154"/>
      <c r="DU128" s="154"/>
      <c r="DV128" s="154"/>
      <c r="DW128" s="154"/>
      <c r="DX128" s="154"/>
      <c r="DY128" s="154"/>
      <c r="DZ128" s="154"/>
      <c r="EA128" s="154"/>
      <c r="EB128" s="154"/>
      <c r="EC128" s="154"/>
      <c r="ED128" s="154"/>
      <c r="EE128" s="154"/>
      <c r="EF128" s="154"/>
      <c r="EG128" s="154"/>
      <c r="EH128" s="154"/>
      <c r="EI128" s="154"/>
      <c r="EJ128" s="154"/>
      <c r="EK128" s="154"/>
      <c r="EL128" s="154"/>
      <c r="EM128" s="154"/>
      <c r="EN128" s="154"/>
      <c r="EO128" s="154"/>
      <c r="EP128" s="154"/>
      <c r="EQ128" s="154"/>
      <c r="ER128" s="154"/>
      <c r="ES128" s="154"/>
      <c r="ET128" s="154"/>
      <c r="EU128" s="154"/>
      <c r="EV128" s="154"/>
      <c r="EW128" s="154"/>
    </row>
    <row r="129" spans="2:153" ht="12.95" customHeight="1">
      <c r="B129" s="154"/>
      <c r="C129" s="380"/>
      <c r="D129" s="380"/>
      <c r="E129" s="154"/>
      <c r="F129" s="154"/>
      <c r="G129" s="154"/>
      <c r="H129" s="154"/>
      <c r="I129" s="154"/>
      <c r="J129" s="154"/>
      <c r="K129" s="154"/>
      <c r="L129" s="154"/>
      <c r="M129" s="154"/>
      <c r="N129" s="154"/>
      <c r="O129" s="154"/>
      <c r="P129" s="154"/>
      <c r="Q129" s="154"/>
      <c r="R129" s="154"/>
      <c r="S129" s="154"/>
      <c r="T129" s="154"/>
      <c r="U129" s="154"/>
      <c r="V129" s="154"/>
      <c r="W129" s="154"/>
      <c r="X129" s="154"/>
      <c r="Y129" s="154"/>
      <c r="Z129" s="154"/>
      <c r="AA129" s="154"/>
      <c r="AB129" s="154"/>
      <c r="AC129" s="154"/>
      <c r="AD129" s="154"/>
      <c r="AE129" s="154"/>
      <c r="AF129" s="367"/>
      <c r="AG129" s="368"/>
      <c r="AH129" s="368"/>
      <c r="AI129" s="368"/>
      <c r="AJ129" s="154"/>
      <c r="AK129" s="154"/>
      <c r="AL129" s="154"/>
      <c r="AM129" s="154"/>
      <c r="AN129" s="154"/>
      <c r="AO129" s="154"/>
      <c r="AP129" s="154"/>
      <c r="AQ129" s="154"/>
      <c r="AR129" s="154"/>
      <c r="AS129" s="154"/>
      <c r="AT129" s="154"/>
      <c r="AU129" s="154"/>
      <c r="AV129" s="154"/>
      <c r="AW129" s="154"/>
      <c r="AX129" s="154"/>
      <c r="AY129" s="154"/>
      <c r="AZ129" s="154"/>
      <c r="BA129" s="154"/>
      <c r="BB129" s="154"/>
      <c r="BC129" s="154"/>
      <c r="BD129" s="154"/>
      <c r="BE129" s="154"/>
      <c r="BF129" s="154"/>
      <c r="BG129" s="154"/>
      <c r="BH129" s="154"/>
      <c r="BI129" s="154"/>
      <c r="BJ129" s="154"/>
      <c r="BK129" s="154"/>
      <c r="BL129" s="154"/>
      <c r="BM129" s="154"/>
      <c r="BN129" s="154"/>
      <c r="BO129" s="154"/>
      <c r="BP129" s="154"/>
      <c r="BQ129" s="154"/>
      <c r="BR129" s="154"/>
      <c r="BS129" s="154"/>
      <c r="BT129" s="154"/>
      <c r="BU129" s="154"/>
      <c r="BV129" s="154"/>
      <c r="BW129" s="154"/>
      <c r="BX129" s="154"/>
      <c r="BY129" s="154"/>
      <c r="BZ129" s="154"/>
      <c r="CA129" s="154"/>
      <c r="CB129" s="154"/>
      <c r="CC129" s="154"/>
      <c r="CD129" s="154"/>
      <c r="CE129" s="154"/>
      <c r="CF129" s="154"/>
      <c r="CG129" s="154"/>
      <c r="CH129" s="154"/>
      <c r="CI129" s="154"/>
      <c r="CJ129" s="154"/>
      <c r="CK129" s="154"/>
      <c r="CL129" s="154"/>
      <c r="CM129" s="154"/>
      <c r="CN129" s="154"/>
      <c r="CO129" s="154"/>
      <c r="CP129" s="154"/>
      <c r="CQ129" s="154"/>
      <c r="CR129" s="154"/>
      <c r="CS129" s="154"/>
      <c r="CT129" s="154"/>
      <c r="CU129" s="154"/>
      <c r="CV129" s="154"/>
      <c r="CW129" s="154"/>
      <c r="CX129" s="154"/>
      <c r="CY129" s="154"/>
      <c r="CZ129" s="154"/>
      <c r="DA129" s="154"/>
      <c r="DB129" s="154"/>
      <c r="DC129" s="154"/>
      <c r="DD129" s="154"/>
      <c r="DE129" s="154"/>
      <c r="DF129" s="154"/>
      <c r="DG129" s="154"/>
      <c r="DH129" s="154"/>
      <c r="DI129" s="154"/>
      <c r="DJ129" s="154"/>
      <c r="DK129" s="154"/>
      <c r="DL129" s="154"/>
      <c r="DM129" s="154"/>
      <c r="DN129" s="154"/>
      <c r="DO129" s="154"/>
      <c r="DP129" s="154"/>
      <c r="DQ129" s="154"/>
      <c r="DR129" s="154"/>
      <c r="DS129" s="154"/>
      <c r="DT129" s="154"/>
      <c r="DU129" s="154"/>
      <c r="DV129" s="154"/>
      <c r="DW129" s="154"/>
      <c r="DX129" s="154"/>
      <c r="DY129" s="154"/>
      <c r="DZ129" s="154"/>
      <c r="EA129" s="154"/>
      <c r="EB129" s="154"/>
      <c r="EC129" s="154"/>
      <c r="ED129" s="154"/>
      <c r="EE129" s="154"/>
      <c r="EF129" s="154"/>
      <c r="EG129" s="154"/>
      <c r="EH129" s="154"/>
      <c r="EI129" s="154"/>
      <c r="EJ129" s="154"/>
      <c r="EK129" s="154"/>
      <c r="EL129" s="154"/>
      <c r="EM129" s="154"/>
      <c r="EN129" s="154"/>
      <c r="EO129" s="154"/>
      <c r="EP129" s="154"/>
      <c r="EQ129" s="154"/>
      <c r="ER129" s="154"/>
      <c r="ES129" s="154"/>
      <c r="ET129" s="154"/>
      <c r="EU129" s="154"/>
      <c r="EV129" s="154"/>
      <c r="EW129" s="154"/>
    </row>
    <row r="130" spans="2:153" ht="12.95" customHeight="1">
      <c r="B130" s="154"/>
      <c r="C130" s="380"/>
      <c r="D130" s="380"/>
      <c r="E130" s="154"/>
      <c r="F130" s="154"/>
      <c r="G130" s="154"/>
      <c r="H130" s="154"/>
      <c r="I130" s="154"/>
      <c r="J130" s="154"/>
      <c r="K130" s="154"/>
      <c r="L130" s="154"/>
      <c r="M130" s="154"/>
      <c r="N130" s="154"/>
      <c r="O130" s="154"/>
      <c r="P130" s="154"/>
      <c r="Q130" s="154"/>
      <c r="R130" s="154"/>
      <c r="S130" s="154"/>
      <c r="T130" s="154"/>
      <c r="U130" s="154"/>
      <c r="V130" s="154"/>
      <c r="W130" s="154"/>
      <c r="X130" s="154"/>
      <c r="Y130" s="154"/>
      <c r="Z130" s="154"/>
      <c r="AA130" s="154"/>
      <c r="AB130" s="154"/>
      <c r="AC130" s="154"/>
      <c r="AD130" s="154"/>
      <c r="AE130" s="154"/>
      <c r="AF130" s="367"/>
      <c r="AG130" s="368"/>
      <c r="AH130" s="368"/>
      <c r="AI130" s="368"/>
      <c r="AJ130" s="154"/>
      <c r="AK130" s="154"/>
      <c r="AL130" s="154"/>
      <c r="AM130" s="154"/>
      <c r="AN130" s="154"/>
      <c r="AO130" s="154"/>
      <c r="AP130" s="154"/>
      <c r="AQ130" s="154"/>
      <c r="AR130" s="154"/>
      <c r="AS130" s="154"/>
      <c r="AT130" s="154"/>
      <c r="AU130" s="154"/>
      <c r="AV130" s="154"/>
      <c r="AW130" s="154"/>
      <c r="AX130" s="154"/>
      <c r="AY130" s="154"/>
      <c r="AZ130" s="154"/>
      <c r="BA130" s="154"/>
      <c r="BB130" s="154"/>
      <c r="BC130" s="154"/>
      <c r="BD130" s="154"/>
      <c r="BE130" s="154"/>
      <c r="BF130" s="154"/>
      <c r="BG130" s="154"/>
      <c r="BH130" s="154"/>
      <c r="BI130" s="154"/>
      <c r="BJ130" s="154"/>
      <c r="BK130" s="154"/>
      <c r="BL130" s="154"/>
      <c r="BM130" s="154"/>
      <c r="BN130" s="154"/>
      <c r="BO130" s="154"/>
      <c r="BP130" s="154"/>
      <c r="BQ130" s="154"/>
      <c r="BR130" s="154"/>
      <c r="BS130" s="154"/>
      <c r="BT130" s="154"/>
      <c r="BU130" s="154"/>
      <c r="BV130" s="154"/>
      <c r="BW130" s="154"/>
      <c r="BX130" s="154"/>
      <c r="BY130" s="154"/>
      <c r="BZ130" s="154"/>
      <c r="CA130" s="154"/>
      <c r="CB130" s="154"/>
      <c r="CC130" s="154"/>
      <c r="CD130" s="154"/>
      <c r="CE130" s="154"/>
      <c r="CF130" s="154"/>
      <c r="CG130" s="154"/>
      <c r="CH130" s="154"/>
      <c r="CI130" s="154"/>
      <c r="CJ130" s="154"/>
      <c r="CK130" s="154"/>
      <c r="CL130" s="154"/>
      <c r="CM130" s="154"/>
      <c r="CN130" s="154"/>
      <c r="CO130" s="154"/>
      <c r="CP130" s="154"/>
      <c r="CQ130" s="154"/>
      <c r="CR130" s="154"/>
      <c r="CS130" s="154"/>
      <c r="CT130" s="154"/>
      <c r="CU130" s="154"/>
      <c r="CV130" s="154"/>
      <c r="CW130" s="154"/>
      <c r="CX130" s="154"/>
      <c r="CY130" s="154"/>
      <c r="CZ130" s="154"/>
      <c r="DA130" s="154"/>
      <c r="DB130" s="154"/>
      <c r="DC130" s="154"/>
      <c r="DD130" s="154"/>
      <c r="DE130" s="154"/>
      <c r="DF130" s="154"/>
      <c r="DG130" s="154"/>
      <c r="DH130" s="154"/>
      <c r="DI130" s="154"/>
      <c r="DJ130" s="154"/>
      <c r="DK130" s="154"/>
      <c r="DL130" s="154"/>
      <c r="DM130" s="154"/>
      <c r="DN130" s="154"/>
      <c r="DO130" s="154"/>
      <c r="DP130" s="154"/>
      <c r="DQ130" s="154"/>
      <c r="DR130" s="154"/>
      <c r="DS130" s="154"/>
      <c r="DT130" s="154"/>
      <c r="DU130" s="154"/>
      <c r="DV130" s="154"/>
      <c r="DW130" s="154"/>
      <c r="DX130" s="154"/>
      <c r="DY130" s="154"/>
      <c r="DZ130" s="154"/>
      <c r="EA130" s="154"/>
      <c r="EB130" s="154"/>
      <c r="EC130" s="154"/>
      <c r="ED130" s="154"/>
      <c r="EE130" s="154"/>
      <c r="EF130" s="154"/>
      <c r="EG130" s="154"/>
      <c r="EH130" s="154"/>
      <c r="EI130" s="154"/>
      <c r="EJ130" s="154"/>
      <c r="EK130" s="154"/>
      <c r="EL130" s="154"/>
      <c r="EM130" s="154"/>
      <c r="EN130" s="154"/>
      <c r="EO130" s="154"/>
      <c r="EP130" s="154"/>
      <c r="EQ130" s="154"/>
      <c r="ER130" s="154"/>
      <c r="ES130" s="154"/>
      <c r="ET130" s="154"/>
      <c r="EU130" s="154"/>
      <c r="EV130" s="154"/>
      <c r="EW130" s="154"/>
    </row>
    <row r="131" spans="2:153" ht="12.95" customHeight="1">
      <c r="B131" s="154"/>
      <c r="C131" s="380"/>
      <c r="D131" s="380"/>
      <c r="E131" s="154"/>
      <c r="F131" s="154"/>
      <c r="G131" s="154"/>
      <c r="H131" s="154"/>
      <c r="I131" s="154"/>
      <c r="J131" s="154"/>
      <c r="K131" s="154"/>
      <c r="L131" s="154"/>
      <c r="M131" s="154"/>
      <c r="N131" s="154"/>
      <c r="O131" s="154"/>
      <c r="P131" s="154"/>
      <c r="Q131" s="154"/>
      <c r="R131" s="154"/>
      <c r="S131" s="154"/>
      <c r="T131" s="154"/>
      <c r="U131" s="154"/>
      <c r="V131" s="154"/>
      <c r="W131" s="154"/>
      <c r="X131" s="154"/>
      <c r="Y131" s="154"/>
      <c r="Z131" s="154"/>
      <c r="AA131" s="154"/>
      <c r="AB131" s="154"/>
      <c r="AC131" s="154"/>
      <c r="AD131" s="154"/>
      <c r="AE131" s="154"/>
      <c r="AF131" s="367"/>
      <c r="AG131" s="368"/>
      <c r="AH131" s="368"/>
      <c r="AI131" s="368"/>
      <c r="AJ131" s="154"/>
      <c r="AK131" s="154"/>
      <c r="AL131" s="154"/>
      <c r="AM131" s="154"/>
      <c r="AN131" s="154"/>
      <c r="AO131" s="154"/>
      <c r="AP131" s="154"/>
      <c r="AQ131" s="154"/>
      <c r="AR131" s="154"/>
      <c r="AS131" s="154"/>
      <c r="AT131" s="154"/>
      <c r="AU131" s="154"/>
      <c r="AV131" s="154"/>
      <c r="AW131" s="154"/>
      <c r="AX131" s="154"/>
      <c r="AY131" s="154"/>
      <c r="AZ131" s="154"/>
      <c r="BA131" s="154"/>
      <c r="BB131" s="154"/>
      <c r="BC131" s="154"/>
      <c r="BD131" s="154"/>
      <c r="BE131" s="154"/>
      <c r="BF131" s="154"/>
      <c r="BG131" s="154"/>
      <c r="BH131" s="154"/>
      <c r="BI131" s="154"/>
      <c r="BJ131" s="154"/>
      <c r="BK131" s="154"/>
      <c r="BL131" s="154"/>
      <c r="BM131" s="154"/>
      <c r="BN131" s="154"/>
      <c r="BO131" s="154"/>
      <c r="BP131" s="154"/>
      <c r="BQ131" s="154"/>
      <c r="BR131" s="154"/>
      <c r="BS131" s="154"/>
      <c r="BT131" s="154"/>
      <c r="BU131" s="154"/>
      <c r="BV131" s="154"/>
      <c r="BW131" s="154"/>
      <c r="BX131" s="154"/>
      <c r="BY131" s="154"/>
      <c r="BZ131" s="154"/>
      <c r="CA131" s="154"/>
      <c r="CB131" s="154"/>
      <c r="CC131" s="154"/>
      <c r="CD131" s="154"/>
      <c r="CE131" s="154"/>
      <c r="CF131" s="154"/>
      <c r="CG131" s="154"/>
      <c r="CH131" s="154"/>
      <c r="CI131" s="154"/>
      <c r="CJ131" s="154"/>
      <c r="CK131" s="154"/>
      <c r="CL131" s="154"/>
      <c r="CM131" s="154"/>
      <c r="CN131" s="154"/>
      <c r="CO131" s="154"/>
      <c r="CP131" s="154"/>
      <c r="CQ131" s="154"/>
      <c r="CR131" s="154"/>
      <c r="CS131" s="154"/>
      <c r="CT131" s="154"/>
      <c r="CU131" s="154"/>
      <c r="CV131" s="154"/>
      <c r="CW131" s="154"/>
      <c r="CX131" s="154"/>
      <c r="CY131" s="154"/>
      <c r="CZ131" s="154"/>
      <c r="DA131" s="154"/>
      <c r="DB131" s="154"/>
      <c r="DC131" s="154"/>
      <c r="DD131" s="154"/>
      <c r="DE131" s="154"/>
      <c r="DF131" s="154"/>
      <c r="DG131" s="154"/>
      <c r="DH131" s="154"/>
      <c r="DI131" s="154"/>
      <c r="DJ131" s="154"/>
      <c r="DK131" s="154"/>
      <c r="DL131" s="154"/>
      <c r="DM131" s="154"/>
      <c r="DN131" s="154"/>
      <c r="DO131" s="154"/>
      <c r="DP131" s="154"/>
      <c r="DQ131" s="154"/>
      <c r="DR131" s="154"/>
      <c r="DS131" s="154"/>
      <c r="DT131" s="154"/>
      <c r="DU131" s="154"/>
      <c r="DV131" s="154"/>
      <c r="DW131" s="154"/>
      <c r="DX131" s="154"/>
      <c r="DY131" s="154"/>
      <c r="DZ131" s="154"/>
      <c r="EA131" s="154"/>
      <c r="EB131" s="154"/>
      <c r="EC131" s="154"/>
      <c r="ED131" s="154"/>
      <c r="EE131" s="154"/>
      <c r="EF131" s="154"/>
      <c r="EG131" s="154"/>
      <c r="EH131" s="154"/>
      <c r="EI131" s="154"/>
      <c r="EJ131" s="154"/>
      <c r="EK131" s="154"/>
      <c r="EL131" s="154"/>
      <c r="EM131" s="154"/>
      <c r="EN131" s="154"/>
      <c r="EO131" s="154"/>
      <c r="EP131" s="154"/>
      <c r="EQ131" s="154"/>
      <c r="ER131" s="154"/>
      <c r="ES131" s="154"/>
      <c r="ET131" s="154"/>
      <c r="EU131" s="154"/>
      <c r="EV131" s="154"/>
      <c r="EW131" s="154"/>
    </row>
    <row r="132" spans="2:153" ht="12.95" customHeight="1">
      <c r="B132" s="154"/>
      <c r="C132" s="380"/>
      <c r="D132" s="380"/>
      <c r="E132" s="154"/>
      <c r="F132" s="154"/>
      <c r="G132" s="154"/>
      <c r="H132" s="154"/>
      <c r="I132" s="154"/>
      <c r="J132" s="154"/>
      <c r="K132" s="154"/>
      <c r="L132" s="154"/>
      <c r="M132" s="154"/>
      <c r="N132" s="154"/>
      <c r="O132" s="154"/>
      <c r="P132" s="154"/>
      <c r="Q132" s="154"/>
      <c r="R132" s="154"/>
      <c r="S132" s="154"/>
      <c r="T132" s="154"/>
      <c r="U132" s="154"/>
      <c r="V132" s="154"/>
      <c r="W132" s="154"/>
      <c r="X132" s="154"/>
      <c r="Y132" s="154"/>
      <c r="Z132" s="154"/>
      <c r="AA132" s="154"/>
      <c r="AB132" s="154"/>
      <c r="AC132" s="154"/>
      <c r="AD132" s="154"/>
      <c r="AE132" s="154"/>
      <c r="AF132" s="367"/>
      <c r="AG132" s="368"/>
      <c r="AH132" s="368"/>
      <c r="AI132" s="368"/>
      <c r="AJ132" s="154"/>
      <c r="AK132" s="154"/>
      <c r="AL132" s="154"/>
      <c r="AM132" s="154"/>
      <c r="AN132" s="154"/>
      <c r="AO132" s="154"/>
      <c r="AP132" s="154"/>
      <c r="AQ132" s="154"/>
      <c r="AR132" s="154"/>
      <c r="AS132" s="154"/>
      <c r="AT132" s="154"/>
      <c r="AU132" s="154"/>
      <c r="AV132" s="154"/>
      <c r="AW132" s="154"/>
      <c r="AX132" s="154"/>
      <c r="AY132" s="154"/>
      <c r="AZ132" s="154"/>
      <c r="BA132" s="154"/>
      <c r="BB132" s="154"/>
      <c r="BC132" s="154"/>
      <c r="BD132" s="154"/>
      <c r="BE132" s="154"/>
      <c r="BF132" s="154"/>
      <c r="BG132" s="154"/>
      <c r="BH132" s="154"/>
      <c r="BI132" s="154"/>
      <c r="BJ132" s="154"/>
      <c r="BK132" s="154"/>
      <c r="BL132" s="154"/>
      <c r="BM132" s="154"/>
      <c r="BN132" s="154"/>
      <c r="BO132" s="154"/>
      <c r="BP132" s="154"/>
      <c r="BQ132" s="154"/>
      <c r="BR132" s="154"/>
      <c r="BS132" s="154"/>
      <c r="BT132" s="154"/>
      <c r="BU132" s="154"/>
      <c r="BV132" s="154"/>
      <c r="BW132" s="154"/>
      <c r="BX132" s="154"/>
      <c r="BY132" s="154"/>
      <c r="BZ132" s="154"/>
      <c r="CA132" s="154"/>
      <c r="CB132" s="154"/>
      <c r="CC132" s="154"/>
      <c r="CD132" s="154"/>
      <c r="CE132" s="154"/>
      <c r="CF132" s="154"/>
      <c r="CG132" s="154"/>
      <c r="CH132" s="154"/>
      <c r="CI132" s="154"/>
      <c r="CJ132" s="154"/>
      <c r="CK132" s="154"/>
      <c r="CL132" s="154"/>
      <c r="CM132" s="154"/>
      <c r="CN132" s="154"/>
      <c r="CO132" s="154"/>
      <c r="CP132" s="154"/>
      <c r="CQ132" s="154"/>
      <c r="CR132" s="154"/>
      <c r="CS132" s="154"/>
      <c r="CT132" s="154"/>
      <c r="CU132" s="154"/>
      <c r="CV132" s="154"/>
      <c r="CW132" s="154"/>
      <c r="CX132" s="154"/>
      <c r="CY132" s="154"/>
      <c r="CZ132" s="154"/>
      <c r="DA132" s="154"/>
      <c r="DB132" s="154"/>
      <c r="DC132" s="154"/>
      <c r="DD132" s="154"/>
      <c r="DE132" s="154"/>
      <c r="DF132" s="154"/>
      <c r="DG132" s="154"/>
      <c r="DH132" s="154"/>
      <c r="DI132" s="154"/>
      <c r="DJ132" s="154"/>
      <c r="DK132" s="154"/>
      <c r="DL132" s="154"/>
      <c r="DM132" s="154"/>
      <c r="DN132" s="154"/>
      <c r="DO132" s="154"/>
      <c r="DP132" s="154"/>
      <c r="DQ132" s="154"/>
      <c r="DR132" s="154"/>
      <c r="DS132" s="154"/>
      <c r="DT132" s="154"/>
      <c r="DU132" s="154"/>
      <c r="DV132" s="154"/>
      <c r="DW132" s="154"/>
      <c r="DX132" s="154"/>
      <c r="DY132" s="154"/>
      <c r="DZ132" s="154"/>
      <c r="EA132" s="154"/>
      <c r="EB132" s="154"/>
      <c r="EC132" s="154"/>
      <c r="ED132" s="154"/>
      <c r="EE132" s="154"/>
      <c r="EF132" s="154"/>
      <c r="EG132" s="154"/>
      <c r="EH132" s="154"/>
      <c r="EI132" s="154"/>
      <c r="EJ132" s="154"/>
      <c r="EK132" s="154"/>
      <c r="EL132" s="154"/>
      <c r="EM132" s="154"/>
      <c r="EN132" s="154"/>
      <c r="EO132" s="154"/>
      <c r="EP132" s="154"/>
      <c r="EQ132" s="154"/>
      <c r="ER132" s="154"/>
      <c r="ES132" s="154"/>
      <c r="ET132" s="154"/>
      <c r="EU132" s="154"/>
      <c r="EV132" s="154"/>
      <c r="EW132" s="154"/>
    </row>
    <row r="133" spans="2:153" ht="12.95" customHeight="1">
      <c r="B133" s="154"/>
      <c r="C133" s="380"/>
      <c r="D133" s="380"/>
      <c r="E133" s="154"/>
      <c r="F133" s="154"/>
      <c r="G133" s="154"/>
      <c r="H133" s="154"/>
      <c r="I133" s="154"/>
      <c r="J133" s="154"/>
      <c r="K133" s="154"/>
      <c r="L133" s="154"/>
      <c r="M133" s="154"/>
      <c r="N133" s="154"/>
      <c r="O133" s="154"/>
      <c r="P133" s="154"/>
      <c r="Q133" s="154"/>
      <c r="R133" s="154"/>
      <c r="S133" s="154"/>
      <c r="T133" s="154"/>
      <c r="U133" s="154"/>
      <c r="V133" s="154"/>
      <c r="W133" s="154"/>
      <c r="X133" s="154"/>
      <c r="Y133" s="154"/>
      <c r="Z133" s="154"/>
      <c r="AA133" s="154"/>
      <c r="AB133" s="154"/>
      <c r="AC133" s="154"/>
      <c r="AD133" s="154"/>
      <c r="AE133" s="154"/>
      <c r="AF133" s="367"/>
      <c r="AG133" s="368"/>
      <c r="AH133" s="368"/>
      <c r="AI133" s="368"/>
      <c r="AJ133" s="154"/>
      <c r="AK133" s="154"/>
      <c r="AL133" s="154"/>
      <c r="AM133" s="154"/>
      <c r="AN133" s="154"/>
      <c r="AO133" s="154"/>
      <c r="AP133" s="154"/>
      <c r="AQ133" s="154"/>
      <c r="AR133" s="154"/>
      <c r="AS133" s="154"/>
      <c r="AT133" s="154"/>
      <c r="AU133" s="154"/>
      <c r="AV133" s="154"/>
      <c r="AW133" s="154"/>
      <c r="AX133" s="154"/>
      <c r="AY133" s="154"/>
      <c r="AZ133" s="154"/>
      <c r="BA133" s="154"/>
      <c r="BB133" s="154"/>
      <c r="BC133" s="154"/>
      <c r="BD133" s="154"/>
      <c r="BE133" s="154"/>
      <c r="BF133" s="154"/>
      <c r="BG133" s="154"/>
      <c r="BH133" s="154"/>
      <c r="BI133" s="154"/>
      <c r="BJ133" s="154"/>
      <c r="BK133" s="154"/>
      <c r="BL133" s="154"/>
      <c r="BM133" s="154"/>
      <c r="BN133" s="154"/>
      <c r="BO133" s="154"/>
      <c r="BP133" s="154"/>
      <c r="BQ133" s="154"/>
      <c r="BR133" s="154"/>
      <c r="BS133" s="154"/>
      <c r="BT133" s="154"/>
      <c r="BU133" s="154"/>
      <c r="BV133" s="154"/>
      <c r="BW133" s="154"/>
      <c r="BX133" s="154"/>
      <c r="BY133" s="154"/>
      <c r="BZ133" s="154"/>
      <c r="CA133" s="154"/>
      <c r="CB133" s="154"/>
      <c r="CC133" s="154"/>
      <c r="CD133" s="154"/>
      <c r="CE133" s="154"/>
      <c r="CF133" s="154"/>
      <c r="CG133" s="154"/>
      <c r="CH133" s="154"/>
      <c r="CI133" s="154"/>
      <c r="CJ133" s="154"/>
      <c r="CK133" s="154"/>
      <c r="CL133" s="154"/>
      <c r="CM133" s="154"/>
      <c r="CN133" s="154"/>
      <c r="CO133" s="154"/>
      <c r="CP133" s="154"/>
      <c r="CQ133" s="154"/>
      <c r="CR133" s="154"/>
      <c r="CS133" s="154"/>
      <c r="CT133" s="154"/>
      <c r="CU133" s="154"/>
      <c r="CV133" s="154"/>
      <c r="CW133" s="154"/>
      <c r="CX133" s="154"/>
      <c r="CY133" s="154"/>
      <c r="CZ133" s="154"/>
      <c r="DA133" s="154"/>
      <c r="DB133" s="154"/>
      <c r="DC133" s="154"/>
      <c r="DD133" s="154"/>
      <c r="DE133" s="154"/>
      <c r="DF133" s="154"/>
      <c r="DG133" s="154"/>
      <c r="DH133" s="154"/>
      <c r="DI133" s="154"/>
      <c r="DJ133" s="154"/>
      <c r="DK133" s="154"/>
      <c r="DL133" s="154"/>
      <c r="DM133" s="154"/>
      <c r="DN133" s="154"/>
      <c r="DO133" s="154"/>
      <c r="DP133" s="154"/>
      <c r="DQ133" s="154"/>
      <c r="DR133" s="154"/>
      <c r="DS133" s="154"/>
      <c r="DT133" s="154"/>
      <c r="DU133" s="154"/>
      <c r="DV133" s="154"/>
      <c r="DW133" s="154"/>
      <c r="DX133" s="154"/>
      <c r="DY133" s="154"/>
      <c r="DZ133" s="154"/>
      <c r="EA133" s="154"/>
      <c r="EB133" s="154"/>
      <c r="EC133" s="154"/>
      <c r="ED133" s="154"/>
      <c r="EE133" s="154"/>
      <c r="EF133" s="154"/>
      <c r="EG133" s="154"/>
      <c r="EH133" s="154"/>
      <c r="EI133" s="154"/>
      <c r="EJ133" s="154"/>
      <c r="EK133" s="154"/>
      <c r="EL133" s="154"/>
      <c r="EM133" s="154"/>
      <c r="EN133" s="154"/>
      <c r="EO133" s="154"/>
      <c r="EP133" s="154"/>
      <c r="EQ133" s="154"/>
      <c r="ER133" s="154"/>
      <c r="ES133" s="154"/>
      <c r="ET133" s="154"/>
      <c r="EU133" s="154"/>
      <c r="EV133" s="154"/>
      <c r="EW133" s="154"/>
    </row>
    <row r="134" spans="2:153" ht="12.95" customHeight="1">
      <c r="B134" s="154"/>
      <c r="C134" s="380"/>
      <c r="D134" s="380"/>
      <c r="E134" s="154"/>
      <c r="F134" s="154"/>
      <c r="G134" s="154"/>
      <c r="H134" s="154"/>
      <c r="I134" s="154"/>
      <c r="J134" s="154"/>
      <c r="K134" s="154"/>
      <c r="L134" s="154"/>
      <c r="M134" s="154"/>
      <c r="N134" s="154"/>
      <c r="O134" s="154"/>
      <c r="P134" s="154"/>
      <c r="Q134" s="154"/>
      <c r="R134" s="154"/>
      <c r="S134" s="154"/>
      <c r="T134" s="154"/>
      <c r="U134" s="154"/>
      <c r="V134" s="154"/>
      <c r="W134" s="154"/>
      <c r="X134" s="154"/>
      <c r="Y134" s="154"/>
      <c r="Z134" s="154"/>
      <c r="AA134" s="154"/>
      <c r="AB134" s="154"/>
      <c r="AC134" s="154"/>
      <c r="AD134" s="154"/>
      <c r="AE134" s="154"/>
      <c r="AF134" s="367"/>
      <c r="AG134" s="368"/>
      <c r="AH134" s="368"/>
      <c r="AI134" s="368"/>
      <c r="AJ134" s="154"/>
      <c r="AK134" s="154"/>
      <c r="AL134" s="154"/>
      <c r="AM134" s="154"/>
      <c r="AN134" s="154"/>
      <c r="AO134" s="154"/>
      <c r="AP134" s="154"/>
      <c r="AQ134" s="154"/>
      <c r="AR134" s="154"/>
      <c r="AS134" s="154"/>
      <c r="AT134" s="154"/>
      <c r="AU134" s="154"/>
      <c r="AV134" s="154"/>
      <c r="AW134" s="154"/>
      <c r="AX134" s="154"/>
      <c r="AY134" s="154"/>
      <c r="AZ134" s="154"/>
      <c r="BA134" s="154"/>
      <c r="BB134" s="154"/>
      <c r="BC134" s="154"/>
      <c r="BD134" s="154"/>
      <c r="BE134" s="154"/>
      <c r="BF134" s="154"/>
      <c r="BG134" s="154"/>
      <c r="BH134" s="154"/>
      <c r="BI134" s="154"/>
      <c r="BJ134" s="154"/>
      <c r="BK134" s="154"/>
      <c r="BL134" s="154"/>
      <c r="BM134" s="154"/>
      <c r="BN134" s="154"/>
      <c r="BO134" s="154"/>
      <c r="BP134" s="154"/>
      <c r="BQ134" s="154"/>
      <c r="BR134" s="154"/>
      <c r="BS134" s="154"/>
      <c r="BT134" s="154"/>
      <c r="BU134" s="154"/>
      <c r="BV134" s="154"/>
      <c r="BW134" s="154"/>
      <c r="BX134" s="154"/>
      <c r="BY134" s="154"/>
      <c r="BZ134" s="154"/>
      <c r="CA134" s="154"/>
      <c r="CB134" s="154"/>
      <c r="CC134" s="154"/>
      <c r="CD134" s="154"/>
      <c r="CE134" s="154"/>
      <c r="CF134" s="154"/>
      <c r="CG134" s="154"/>
      <c r="CH134" s="154"/>
      <c r="CI134" s="154"/>
      <c r="CJ134" s="154"/>
      <c r="CK134" s="154"/>
      <c r="CL134" s="154"/>
      <c r="CM134" s="154"/>
      <c r="CN134" s="154"/>
      <c r="CO134" s="154"/>
      <c r="CP134" s="154"/>
      <c r="CQ134" s="154"/>
      <c r="CR134" s="154"/>
      <c r="CS134" s="154"/>
      <c r="CT134" s="154"/>
      <c r="CU134" s="154"/>
      <c r="CV134" s="154"/>
      <c r="CW134" s="154"/>
      <c r="CX134" s="154"/>
      <c r="CY134" s="154"/>
      <c r="CZ134" s="154"/>
      <c r="DA134" s="154"/>
      <c r="DB134" s="154"/>
      <c r="DC134" s="154"/>
      <c r="DD134" s="154"/>
      <c r="DE134" s="154"/>
      <c r="DF134" s="154"/>
      <c r="DG134" s="154"/>
      <c r="DH134" s="154"/>
      <c r="DI134" s="154"/>
      <c r="DJ134" s="154"/>
      <c r="DK134" s="154"/>
      <c r="DL134" s="154"/>
      <c r="DM134" s="154"/>
      <c r="DN134" s="154"/>
      <c r="DO134" s="154"/>
      <c r="DP134" s="154"/>
      <c r="DQ134" s="154"/>
      <c r="DR134" s="154"/>
      <c r="DS134" s="154"/>
      <c r="DT134" s="154"/>
      <c r="DU134" s="154"/>
      <c r="DV134" s="154"/>
      <c r="DW134" s="154"/>
      <c r="DX134" s="154"/>
      <c r="DY134" s="154"/>
      <c r="DZ134" s="154"/>
      <c r="EA134" s="154"/>
      <c r="EB134" s="154"/>
      <c r="EC134" s="154"/>
      <c r="ED134" s="154"/>
      <c r="EE134" s="154"/>
      <c r="EF134" s="154"/>
      <c r="EG134" s="154"/>
      <c r="EH134" s="154"/>
      <c r="EI134" s="154"/>
      <c r="EJ134" s="154"/>
      <c r="EK134" s="154"/>
      <c r="EL134" s="154"/>
      <c r="EM134" s="154"/>
      <c r="EN134" s="154"/>
      <c r="EO134" s="154"/>
      <c r="EP134" s="154"/>
      <c r="EQ134" s="154"/>
      <c r="ER134" s="154"/>
      <c r="ES134" s="154"/>
      <c r="ET134" s="154"/>
      <c r="EU134" s="154"/>
      <c r="EV134" s="154"/>
      <c r="EW134" s="154"/>
    </row>
    <row r="135" spans="2:153" ht="12.95" customHeight="1">
      <c r="B135" s="154"/>
      <c r="C135" s="380"/>
      <c r="D135" s="380"/>
      <c r="E135" s="154"/>
      <c r="F135" s="154"/>
      <c r="G135" s="154"/>
      <c r="H135" s="154"/>
      <c r="I135" s="154"/>
      <c r="J135" s="154"/>
      <c r="K135" s="154"/>
      <c r="L135" s="154"/>
      <c r="M135" s="154"/>
      <c r="N135" s="154"/>
      <c r="O135" s="154"/>
      <c r="P135" s="154"/>
      <c r="Q135" s="154"/>
      <c r="R135" s="154"/>
      <c r="S135" s="154"/>
      <c r="T135" s="154"/>
      <c r="U135" s="154"/>
      <c r="V135" s="154"/>
      <c r="W135" s="154"/>
      <c r="X135" s="154"/>
      <c r="Y135" s="154"/>
      <c r="Z135" s="154"/>
      <c r="AA135" s="154"/>
      <c r="AB135" s="154"/>
      <c r="AC135" s="154"/>
      <c r="AD135" s="154"/>
      <c r="AE135" s="154"/>
      <c r="AF135" s="367"/>
      <c r="AG135" s="368"/>
      <c r="AH135" s="368"/>
      <c r="AI135" s="368"/>
      <c r="AJ135" s="154"/>
      <c r="AK135" s="154"/>
      <c r="AL135" s="154"/>
      <c r="AM135" s="154"/>
      <c r="AN135" s="154"/>
      <c r="AO135" s="154"/>
      <c r="AP135" s="154"/>
      <c r="AQ135" s="154"/>
      <c r="AR135" s="154"/>
      <c r="AS135" s="154"/>
      <c r="AT135" s="154"/>
      <c r="AU135" s="154"/>
      <c r="AV135" s="154"/>
      <c r="AW135" s="154"/>
      <c r="AX135" s="154"/>
      <c r="AY135" s="154"/>
      <c r="AZ135" s="154"/>
      <c r="BA135" s="154"/>
      <c r="BB135" s="154"/>
      <c r="BC135" s="154"/>
      <c r="BD135" s="154"/>
      <c r="BE135" s="154"/>
      <c r="BF135" s="154"/>
      <c r="BG135" s="154"/>
      <c r="BH135" s="154"/>
      <c r="BI135" s="154"/>
      <c r="BJ135" s="154"/>
      <c r="BK135" s="154"/>
      <c r="BL135" s="154"/>
      <c r="BM135" s="154"/>
      <c r="BN135" s="154"/>
      <c r="BO135" s="154"/>
      <c r="BP135" s="154"/>
      <c r="BQ135" s="154"/>
      <c r="BR135" s="154"/>
      <c r="BS135" s="154"/>
      <c r="BT135" s="154"/>
      <c r="BU135" s="154"/>
      <c r="BV135" s="154"/>
      <c r="BW135" s="154"/>
      <c r="BX135" s="154"/>
      <c r="BY135" s="154"/>
      <c r="BZ135" s="154"/>
      <c r="CA135" s="154"/>
      <c r="CB135" s="154"/>
      <c r="CC135" s="154"/>
      <c r="CD135" s="154"/>
      <c r="CE135" s="154"/>
      <c r="CF135" s="154"/>
      <c r="CG135" s="154"/>
      <c r="CH135" s="154"/>
      <c r="CI135" s="154"/>
      <c r="CJ135" s="154"/>
      <c r="CK135" s="154"/>
      <c r="CL135" s="154"/>
      <c r="CM135" s="154"/>
      <c r="CN135" s="154"/>
      <c r="CO135" s="154"/>
      <c r="CP135" s="154"/>
      <c r="CQ135" s="154"/>
      <c r="CR135" s="154"/>
      <c r="CS135" s="154"/>
      <c r="CT135" s="154"/>
      <c r="CU135" s="154"/>
      <c r="CV135" s="154"/>
      <c r="CW135" s="154"/>
      <c r="CX135" s="154"/>
      <c r="CY135" s="154"/>
      <c r="CZ135" s="154"/>
      <c r="DA135" s="154"/>
      <c r="DB135" s="154"/>
      <c r="DC135" s="154"/>
      <c r="DD135" s="154"/>
      <c r="DE135" s="154"/>
      <c r="DF135" s="154"/>
      <c r="DG135" s="154"/>
      <c r="DH135" s="154"/>
      <c r="DI135" s="154"/>
      <c r="DJ135" s="154"/>
      <c r="DK135" s="154"/>
      <c r="DL135" s="154"/>
      <c r="DM135" s="154"/>
      <c r="DN135" s="154"/>
      <c r="DO135" s="154"/>
      <c r="DP135" s="154"/>
      <c r="DQ135" s="154"/>
      <c r="DR135" s="154"/>
      <c r="DS135" s="154"/>
      <c r="DT135" s="154"/>
      <c r="DU135" s="154"/>
      <c r="DV135" s="154"/>
      <c r="DW135" s="154"/>
      <c r="DX135" s="154"/>
      <c r="DY135" s="154"/>
      <c r="DZ135" s="154"/>
      <c r="EA135" s="154"/>
      <c r="EB135" s="154"/>
      <c r="EC135" s="154"/>
      <c r="ED135" s="154"/>
      <c r="EE135" s="154"/>
      <c r="EF135" s="154"/>
      <c r="EG135" s="154"/>
      <c r="EH135" s="154"/>
      <c r="EI135" s="154"/>
      <c r="EJ135" s="154"/>
      <c r="EK135" s="154"/>
      <c r="EL135" s="154"/>
      <c r="EM135" s="154"/>
      <c r="EN135" s="154"/>
      <c r="EO135" s="154"/>
      <c r="EP135" s="154"/>
      <c r="EQ135" s="154"/>
      <c r="ER135" s="154"/>
      <c r="ES135" s="154"/>
      <c r="ET135" s="154"/>
      <c r="EU135" s="154"/>
      <c r="EV135" s="154"/>
      <c r="EW135" s="154"/>
    </row>
    <row r="136" spans="2:153" ht="12.95" customHeight="1">
      <c r="B136" s="154"/>
      <c r="C136" s="380"/>
      <c r="D136" s="380"/>
      <c r="E136" s="154"/>
      <c r="F136" s="154"/>
      <c r="G136" s="154"/>
      <c r="H136" s="154"/>
      <c r="I136" s="154"/>
      <c r="J136" s="154"/>
      <c r="K136" s="154"/>
      <c r="L136" s="154"/>
      <c r="M136" s="154"/>
      <c r="N136" s="154"/>
      <c r="O136" s="154"/>
      <c r="P136" s="154"/>
      <c r="Q136" s="154"/>
      <c r="R136" s="154"/>
      <c r="S136" s="154"/>
      <c r="T136" s="154"/>
      <c r="U136" s="154"/>
      <c r="V136" s="154"/>
      <c r="W136" s="154"/>
      <c r="X136" s="154"/>
      <c r="Y136" s="154"/>
      <c r="Z136" s="154"/>
      <c r="AA136" s="154"/>
      <c r="AB136" s="154"/>
      <c r="AC136" s="154"/>
      <c r="AD136" s="154"/>
      <c r="AE136" s="154"/>
      <c r="AF136" s="367"/>
      <c r="AG136" s="368"/>
      <c r="AH136" s="368"/>
      <c r="AI136" s="368"/>
      <c r="AJ136" s="154"/>
      <c r="AK136" s="154"/>
      <c r="AL136" s="154"/>
      <c r="AM136" s="154"/>
      <c r="AN136" s="154"/>
      <c r="AO136" s="154"/>
      <c r="AP136" s="154"/>
      <c r="AQ136" s="154"/>
      <c r="AR136" s="154"/>
      <c r="AS136" s="154"/>
      <c r="AT136" s="154"/>
      <c r="AU136" s="154"/>
      <c r="AV136" s="154"/>
      <c r="AW136" s="154"/>
      <c r="AX136" s="154"/>
      <c r="AY136" s="154"/>
      <c r="AZ136" s="154"/>
      <c r="BA136" s="154"/>
      <c r="BB136" s="154"/>
      <c r="BC136" s="154"/>
      <c r="BD136" s="154"/>
      <c r="BE136" s="154"/>
      <c r="BF136" s="154"/>
      <c r="BG136" s="154"/>
      <c r="BH136" s="154"/>
      <c r="BI136" s="154"/>
      <c r="BJ136" s="154"/>
      <c r="BK136" s="154"/>
      <c r="BL136" s="154"/>
      <c r="BM136" s="154"/>
      <c r="BN136" s="154"/>
      <c r="BO136" s="154"/>
      <c r="BP136" s="154"/>
      <c r="BQ136" s="154"/>
      <c r="BR136" s="154"/>
      <c r="BS136" s="154"/>
      <c r="BT136" s="154"/>
      <c r="BU136" s="154"/>
      <c r="BV136" s="154"/>
      <c r="BW136" s="154"/>
      <c r="BX136" s="154"/>
      <c r="BY136" s="154"/>
      <c r="BZ136" s="154"/>
      <c r="CA136" s="154"/>
      <c r="CB136" s="154"/>
      <c r="CC136" s="154"/>
      <c r="CD136" s="154"/>
      <c r="CE136" s="154"/>
      <c r="CF136" s="154"/>
      <c r="CG136" s="154"/>
      <c r="CH136" s="154"/>
      <c r="CI136" s="154"/>
      <c r="CJ136" s="154"/>
      <c r="CK136" s="154"/>
      <c r="CL136" s="154"/>
      <c r="CM136" s="154"/>
      <c r="CN136" s="154"/>
      <c r="CO136" s="154"/>
      <c r="CP136" s="154"/>
      <c r="CQ136" s="154"/>
      <c r="CR136" s="154"/>
      <c r="CS136" s="154"/>
      <c r="CT136" s="154"/>
      <c r="CU136" s="154"/>
      <c r="CV136" s="154"/>
      <c r="CW136" s="154"/>
      <c r="CX136" s="154"/>
      <c r="CY136" s="154"/>
      <c r="CZ136" s="154"/>
      <c r="DA136" s="154"/>
      <c r="DB136" s="154"/>
      <c r="DC136" s="154"/>
      <c r="DD136" s="154"/>
      <c r="DE136" s="154"/>
      <c r="DF136" s="154"/>
      <c r="DG136" s="154"/>
      <c r="DH136" s="154"/>
      <c r="DI136" s="154"/>
      <c r="DJ136" s="154"/>
      <c r="DK136" s="154"/>
      <c r="DL136" s="154"/>
      <c r="DM136" s="154"/>
      <c r="DN136" s="154"/>
      <c r="DO136" s="154"/>
      <c r="DP136" s="154"/>
      <c r="DQ136" s="154"/>
      <c r="DR136" s="154"/>
      <c r="DS136" s="154"/>
      <c r="DT136" s="154"/>
      <c r="DU136" s="154"/>
      <c r="DV136" s="154"/>
      <c r="DW136" s="154"/>
      <c r="DX136" s="154"/>
      <c r="DY136" s="154"/>
      <c r="DZ136" s="154"/>
      <c r="EA136" s="154"/>
      <c r="EB136" s="154"/>
      <c r="EC136" s="154"/>
      <c r="ED136" s="154"/>
      <c r="EE136" s="154"/>
      <c r="EF136" s="154"/>
      <c r="EG136" s="154"/>
      <c r="EH136" s="154"/>
      <c r="EI136" s="154"/>
      <c r="EJ136" s="154"/>
      <c r="EK136" s="154"/>
      <c r="EL136" s="154"/>
      <c r="EM136" s="154"/>
      <c r="EN136" s="154"/>
      <c r="EO136" s="154"/>
      <c r="EP136" s="154"/>
      <c r="EQ136" s="154"/>
      <c r="ER136" s="154"/>
      <c r="ES136" s="154"/>
      <c r="ET136" s="154"/>
      <c r="EU136" s="154"/>
      <c r="EV136" s="154"/>
      <c r="EW136" s="154"/>
    </row>
    <row r="137" spans="2:153" ht="12.95" customHeight="1">
      <c r="B137" s="154"/>
      <c r="C137" s="380"/>
      <c r="D137" s="380"/>
      <c r="E137" s="154"/>
      <c r="F137" s="154"/>
      <c r="G137" s="154"/>
      <c r="H137" s="154"/>
      <c r="I137" s="154"/>
      <c r="J137" s="154"/>
      <c r="K137" s="154"/>
      <c r="L137" s="154"/>
      <c r="M137" s="154"/>
      <c r="N137" s="154"/>
      <c r="O137" s="154"/>
      <c r="P137" s="154"/>
      <c r="Q137" s="154"/>
      <c r="R137" s="154"/>
      <c r="S137" s="154"/>
      <c r="T137" s="154"/>
      <c r="U137" s="154"/>
      <c r="V137" s="154"/>
      <c r="W137" s="154"/>
      <c r="X137" s="154"/>
      <c r="Y137" s="154"/>
      <c r="Z137" s="154"/>
      <c r="AA137" s="154"/>
      <c r="AB137" s="154"/>
      <c r="AC137" s="154"/>
      <c r="AD137" s="154"/>
      <c r="AE137" s="154"/>
      <c r="AF137" s="367"/>
      <c r="AG137" s="368"/>
      <c r="AH137" s="368"/>
      <c r="AI137" s="368"/>
      <c r="AJ137" s="154"/>
      <c r="AK137" s="154"/>
      <c r="AL137" s="154"/>
      <c r="AM137" s="154"/>
      <c r="AN137" s="154"/>
      <c r="AO137" s="154"/>
      <c r="AP137" s="154"/>
      <c r="AQ137" s="154"/>
      <c r="AR137" s="154"/>
      <c r="AS137" s="154"/>
      <c r="AT137" s="154"/>
      <c r="AU137" s="154"/>
      <c r="AV137" s="154"/>
      <c r="AW137" s="154"/>
      <c r="AX137" s="154"/>
      <c r="AY137" s="154"/>
      <c r="AZ137" s="154"/>
      <c r="BA137" s="154"/>
      <c r="BB137" s="154"/>
      <c r="BC137" s="154"/>
      <c r="BD137" s="154"/>
      <c r="BE137" s="154"/>
      <c r="BF137" s="154"/>
      <c r="BG137" s="154"/>
      <c r="BH137" s="154"/>
      <c r="BI137" s="154"/>
      <c r="BJ137" s="154"/>
      <c r="BK137" s="154"/>
      <c r="BL137" s="154"/>
      <c r="BM137" s="154"/>
      <c r="BN137" s="154"/>
      <c r="BO137" s="154"/>
      <c r="BP137" s="154"/>
      <c r="BQ137" s="154"/>
      <c r="BR137" s="154"/>
      <c r="BS137" s="154"/>
      <c r="BT137" s="154"/>
      <c r="BU137" s="154"/>
      <c r="BV137" s="154"/>
      <c r="BW137" s="154"/>
      <c r="BX137" s="154"/>
      <c r="BY137" s="154"/>
      <c r="BZ137" s="154"/>
      <c r="CA137" s="154"/>
      <c r="CB137" s="154"/>
      <c r="CC137" s="154"/>
      <c r="CD137" s="154"/>
      <c r="CE137" s="154"/>
      <c r="CF137" s="154"/>
      <c r="CG137" s="154"/>
      <c r="CH137" s="154"/>
      <c r="CI137" s="154"/>
      <c r="CJ137" s="154"/>
      <c r="CK137" s="154"/>
      <c r="CL137" s="154"/>
      <c r="CM137" s="154"/>
      <c r="CN137" s="154"/>
      <c r="CO137" s="154"/>
      <c r="CP137" s="154"/>
      <c r="CQ137" s="154"/>
      <c r="CR137" s="154"/>
      <c r="CS137" s="154"/>
      <c r="CT137" s="154"/>
      <c r="CU137" s="154"/>
      <c r="CV137" s="154"/>
      <c r="CW137" s="154"/>
      <c r="CX137" s="154"/>
      <c r="CY137" s="154"/>
      <c r="CZ137" s="154"/>
      <c r="DA137" s="154"/>
      <c r="DB137" s="154"/>
      <c r="DC137" s="154"/>
      <c r="DD137" s="154"/>
      <c r="DE137" s="154"/>
      <c r="DF137" s="154"/>
      <c r="DG137" s="154"/>
      <c r="DH137" s="154"/>
      <c r="DI137" s="154"/>
      <c r="DJ137" s="154"/>
      <c r="DK137" s="154"/>
      <c r="DL137" s="154"/>
      <c r="DM137" s="154"/>
      <c r="DN137" s="154"/>
      <c r="DO137" s="154"/>
      <c r="DP137" s="154"/>
      <c r="DQ137" s="154"/>
      <c r="DR137" s="154"/>
      <c r="DS137" s="154"/>
      <c r="DT137" s="154"/>
      <c r="DU137" s="154"/>
      <c r="DV137" s="154"/>
      <c r="DW137" s="154"/>
      <c r="DX137" s="154"/>
      <c r="DY137" s="154"/>
      <c r="DZ137" s="154"/>
      <c r="EA137" s="154"/>
      <c r="EB137" s="154"/>
      <c r="EC137" s="154"/>
      <c r="ED137" s="154"/>
      <c r="EE137" s="154"/>
      <c r="EF137" s="154"/>
      <c r="EG137" s="154"/>
      <c r="EH137" s="154"/>
      <c r="EI137" s="154"/>
      <c r="EJ137" s="154"/>
      <c r="EK137" s="154"/>
      <c r="EL137" s="154"/>
      <c r="EM137" s="154"/>
      <c r="EN137" s="154"/>
      <c r="EO137" s="154"/>
      <c r="EP137" s="154"/>
      <c r="EQ137" s="154"/>
      <c r="ER137" s="154"/>
      <c r="ES137" s="154"/>
      <c r="ET137" s="154"/>
      <c r="EU137" s="154"/>
      <c r="EV137" s="154"/>
      <c r="EW137" s="154"/>
    </row>
    <row r="138" spans="2:153" ht="12.95" customHeight="1">
      <c r="B138" s="154"/>
      <c r="C138" s="380"/>
      <c r="D138" s="380"/>
      <c r="E138" s="154"/>
      <c r="F138" s="154"/>
      <c r="G138" s="154"/>
      <c r="H138" s="154"/>
      <c r="I138" s="154"/>
      <c r="J138" s="154"/>
      <c r="K138" s="154"/>
      <c r="L138" s="154"/>
      <c r="M138" s="154"/>
      <c r="N138" s="154"/>
      <c r="O138" s="154"/>
      <c r="P138" s="154"/>
      <c r="Q138" s="154"/>
      <c r="R138" s="154"/>
      <c r="S138" s="154"/>
      <c r="T138" s="154"/>
      <c r="U138" s="154"/>
      <c r="V138" s="154"/>
      <c r="W138" s="154"/>
      <c r="X138" s="154"/>
      <c r="Y138" s="154"/>
      <c r="Z138" s="154"/>
      <c r="AA138" s="154"/>
      <c r="AB138" s="154"/>
      <c r="AC138" s="154"/>
      <c r="AD138" s="154"/>
      <c r="AE138" s="154"/>
      <c r="AF138" s="367"/>
      <c r="AG138" s="368"/>
      <c r="AH138" s="368"/>
      <c r="AI138" s="368"/>
      <c r="AJ138" s="154"/>
      <c r="AK138" s="154"/>
      <c r="AL138" s="154"/>
      <c r="AM138" s="154"/>
      <c r="AN138" s="154"/>
      <c r="AO138" s="154"/>
      <c r="AP138" s="154"/>
      <c r="AQ138" s="154"/>
      <c r="AR138" s="154"/>
      <c r="AS138" s="154"/>
      <c r="AT138" s="154"/>
      <c r="AU138" s="154"/>
      <c r="AV138" s="154"/>
      <c r="AW138" s="154"/>
      <c r="AX138" s="154"/>
      <c r="AY138" s="154"/>
      <c r="AZ138" s="154"/>
      <c r="BA138" s="154"/>
      <c r="BB138" s="154"/>
      <c r="BC138" s="154"/>
      <c r="BD138" s="154"/>
      <c r="BE138" s="154"/>
      <c r="BF138" s="154"/>
      <c r="BG138" s="154"/>
      <c r="BH138" s="154"/>
      <c r="BI138" s="154"/>
      <c r="BJ138" s="154"/>
      <c r="BK138" s="154"/>
      <c r="BL138" s="154"/>
      <c r="BM138" s="154"/>
      <c r="BN138" s="154"/>
      <c r="BO138" s="154"/>
      <c r="BP138" s="154"/>
      <c r="BQ138" s="154"/>
      <c r="BR138" s="154"/>
      <c r="BS138" s="154"/>
      <c r="BT138" s="154"/>
      <c r="BU138" s="154"/>
      <c r="BV138" s="154"/>
      <c r="BW138" s="154"/>
      <c r="BX138" s="154"/>
      <c r="BY138" s="154"/>
      <c r="BZ138" s="154"/>
      <c r="CA138" s="154"/>
      <c r="CB138" s="154"/>
      <c r="CC138" s="154"/>
      <c r="CD138" s="154"/>
      <c r="CE138" s="154"/>
      <c r="CF138" s="154"/>
      <c r="CG138" s="154"/>
      <c r="CH138" s="154"/>
      <c r="CI138" s="154"/>
      <c r="CJ138" s="154"/>
      <c r="CK138" s="154"/>
      <c r="CL138" s="154"/>
      <c r="CM138" s="154"/>
      <c r="CN138" s="154"/>
      <c r="CO138" s="154"/>
      <c r="CP138" s="154"/>
      <c r="CQ138" s="154"/>
      <c r="CR138" s="154"/>
      <c r="CS138" s="154"/>
      <c r="CT138" s="154"/>
      <c r="CU138" s="154"/>
      <c r="CV138" s="154"/>
      <c r="CW138" s="154"/>
      <c r="CX138" s="154"/>
      <c r="CY138" s="154"/>
      <c r="CZ138" s="154"/>
      <c r="DA138" s="154"/>
      <c r="DB138" s="154"/>
      <c r="DC138" s="154"/>
      <c r="DD138" s="154"/>
      <c r="DE138" s="154"/>
      <c r="DF138" s="154"/>
      <c r="DG138" s="154"/>
      <c r="DH138" s="154"/>
      <c r="DI138" s="154"/>
      <c r="DJ138" s="154"/>
      <c r="DK138" s="154"/>
      <c r="DL138" s="154"/>
      <c r="DM138" s="154"/>
      <c r="DN138" s="154"/>
      <c r="DO138" s="154"/>
      <c r="DP138" s="154"/>
      <c r="DQ138" s="154"/>
      <c r="DR138" s="154"/>
      <c r="DS138" s="154"/>
      <c r="DT138" s="154"/>
      <c r="DU138" s="154"/>
      <c r="DV138" s="154"/>
      <c r="DW138" s="154"/>
      <c r="DX138" s="154"/>
      <c r="DY138" s="154"/>
      <c r="DZ138" s="154"/>
      <c r="EA138" s="154"/>
      <c r="EB138" s="154"/>
      <c r="EC138" s="154"/>
      <c r="ED138" s="154"/>
      <c r="EE138" s="154"/>
      <c r="EF138" s="154"/>
      <c r="EG138" s="154"/>
      <c r="EH138" s="154"/>
      <c r="EI138" s="154"/>
      <c r="EJ138" s="154"/>
      <c r="EK138" s="154"/>
      <c r="EL138" s="154"/>
      <c r="EM138" s="154"/>
      <c r="EN138" s="154"/>
      <c r="EO138" s="154"/>
      <c r="EP138" s="154"/>
      <c r="EQ138" s="154"/>
      <c r="ER138" s="154"/>
      <c r="ES138" s="154"/>
      <c r="ET138" s="154"/>
      <c r="EU138" s="154"/>
      <c r="EV138" s="154"/>
      <c r="EW138" s="154"/>
    </row>
    <row r="139" spans="2:153" ht="12.95" customHeight="1">
      <c r="B139" s="154"/>
      <c r="C139" s="380"/>
      <c r="D139" s="380"/>
      <c r="E139" s="154"/>
      <c r="F139" s="154"/>
      <c r="G139" s="154"/>
      <c r="H139" s="154"/>
      <c r="I139" s="154"/>
      <c r="J139" s="154"/>
      <c r="K139" s="154"/>
      <c r="L139" s="154"/>
      <c r="M139" s="154"/>
      <c r="N139" s="154"/>
      <c r="O139" s="154"/>
      <c r="P139" s="154"/>
      <c r="Q139" s="154"/>
      <c r="R139" s="154"/>
      <c r="S139" s="154"/>
      <c r="T139" s="154"/>
      <c r="U139" s="154"/>
      <c r="V139" s="154"/>
      <c r="W139" s="154"/>
      <c r="X139" s="154"/>
      <c r="Y139" s="154"/>
      <c r="Z139" s="154"/>
      <c r="AA139" s="154"/>
      <c r="AB139" s="154"/>
      <c r="AC139" s="154"/>
      <c r="AD139" s="154"/>
      <c r="AE139" s="154"/>
      <c r="AF139" s="367"/>
      <c r="AG139" s="368"/>
      <c r="AH139" s="368"/>
      <c r="AI139" s="368"/>
      <c r="AJ139" s="154"/>
      <c r="AK139" s="154"/>
      <c r="AL139" s="154"/>
      <c r="AM139" s="154"/>
      <c r="AN139" s="154"/>
      <c r="AO139" s="154"/>
      <c r="AP139" s="154"/>
      <c r="AQ139" s="154"/>
      <c r="AR139" s="154"/>
      <c r="AS139" s="154"/>
      <c r="AT139" s="154"/>
      <c r="AU139" s="154"/>
      <c r="AV139" s="154"/>
      <c r="AW139" s="154"/>
      <c r="AX139" s="154"/>
      <c r="AY139" s="154"/>
      <c r="AZ139" s="154"/>
      <c r="BA139" s="154"/>
      <c r="BB139" s="154"/>
      <c r="BC139" s="154"/>
      <c r="BD139" s="154"/>
      <c r="BE139" s="154"/>
      <c r="BF139" s="154"/>
      <c r="BG139" s="154"/>
      <c r="BH139" s="154"/>
      <c r="BI139" s="154"/>
      <c r="BJ139" s="154"/>
      <c r="BK139" s="154"/>
      <c r="BL139" s="154"/>
      <c r="BM139" s="154"/>
      <c r="BN139" s="154"/>
      <c r="BO139" s="154"/>
      <c r="BP139" s="154"/>
      <c r="BQ139" s="154"/>
      <c r="BR139" s="154"/>
      <c r="BS139" s="154"/>
      <c r="BT139" s="154"/>
      <c r="BU139" s="154"/>
      <c r="BV139" s="154"/>
      <c r="BW139" s="154"/>
      <c r="BX139" s="154"/>
      <c r="BY139" s="154"/>
      <c r="BZ139" s="154"/>
      <c r="CA139" s="154"/>
      <c r="CB139" s="154"/>
      <c r="CC139" s="154"/>
      <c r="CD139" s="154"/>
      <c r="CE139" s="154"/>
      <c r="CF139" s="154"/>
      <c r="CG139" s="154"/>
      <c r="CH139" s="154"/>
      <c r="CI139" s="154"/>
      <c r="CJ139" s="154"/>
      <c r="CK139" s="154"/>
      <c r="CL139" s="154"/>
      <c r="CM139" s="154"/>
      <c r="CN139" s="154"/>
      <c r="CO139" s="154"/>
      <c r="CP139" s="154"/>
      <c r="CQ139" s="154"/>
      <c r="CR139" s="154"/>
      <c r="CS139" s="154"/>
      <c r="CT139" s="154"/>
      <c r="CU139" s="154"/>
      <c r="CV139" s="154"/>
      <c r="CW139" s="154"/>
      <c r="CX139" s="154"/>
      <c r="CY139" s="154"/>
      <c r="CZ139" s="154"/>
      <c r="DA139" s="154"/>
      <c r="DB139" s="154"/>
      <c r="DC139" s="154"/>
      <c r="DD139" s="154"/>
      <c r="DE139" s="154"/>
      <c r="DF139" s="154"/>
      <c r="DG139" s="154"/>
      <c r="DH139" s="154"/>
      <c r="DI139" s="154"/>
      <c r="DJ139" s="154"/>
      <c r="DK139" s="154"/>
      <c r="DL139" s="154"/>
      <c r="DM139" s="154"/>
      <c r="DN139" s="154"/>
      <c r="DO139" s="154"/>
      <c r="DP139" s="154"/>
      <c r="DQ139" s="154"/>
      <c r="DR139" s="154"/>
      <c r="DS139" s="154"/>
      <c r="DT139" s="154"/>
      <c r="DU139" s="154"/>
      <c r="DV139" s="154"/>
      <c r="DW139" s="154"/>
      <c r="DX139" s="154"/>
      <c r="DY139" s="154"/>
      <c r="DZ139" s="154"/>
      <c r="EA139" s="154"/>
      <c r="EB139" s="154"/>
      <c r="EC139" s="154"/>
      <c r="ED139" s="154"/>
      <c r="EE139" s="154"/>
      <c r="EF139" s="154"/>
      <c r="EG139" s="154"/>
      <c r="EH139" s="154"/>
      <c r="EI139" s="154"/>
      <c r="EJ139" s="154"/>
      <c r="EK139" s="154"/>
      <c r="EL139" s="154"/>
      <c r="EM139" s="154"/>
      <c r="EN139" s="154"/>
      <c r="EO139" s="154"/>
      <c r="EP139" s="154"/>
      <c r="EQ139" s="154"/>
      <c r="ER139" s="154"/>
      <c r="ES139" s="154"/>
      <c r="ET139" s="154"/>
      <c r="EU139" s="154"/>
      <c r="EV139" s="154"/>
      <c r="EW139" s="154"/>
    </row>
    <row r="140" spans="2:153" ht="12.95" customHeight="1">
      <c r="B140" s="154"/>
      <c r="C140" s="380"/>
      <c r="D140" s="380"/>
      <c r="E140" s="154"/>
      <c r="F140" s="154"/>
      <c r="G140" s="154"/>
      <c r="H140" s="154"/>
      <c r="I140" s="154"/>
      <c r="J140" s="154"/>
      <c r="K140" s="154"/>
      <c r="L140" s="154"/>
      <c r="M140" s="154"/>
      <c r="N140" s="154"/>
      <c r="O140" s="154"/>
      <c r="P140" s="154"/>
      <c r="Q140" s="154"/>
      <c r="R140" s="154"/>
      <c r="S140" s="154"/>
      <c r="T140" s="154"/>
      <c r="U140" s="154"/>
      <c r="V140" s="154"/>
      <c r="W140" s="154"/>
      <c r="X140" s="154"/>
      <c r="Y140" s="154"/>
      <c r="Z140" s="154"/>
      <c r="AA140" s="154"/>
      <c r="AB140" s="154"/>
      <c r="AC140" s="154"/>
      <c r="AD140" s="154"/>
      <c r="AE140" s="154"/>
      <c r="AF140" s="367"/>
      <c r="AG140" s="368"/>
      <c r="AH140" s="368"/>
      <c r="AI140" s="368"/>
      <c r="AJ140" s="154"/>
      <c r="AK140" s="154"/>
      <c r="AL140" s="154"/>
      <c r="AM140" s="154"/>
      <c r="AN140" s="154"/>
      <c r="AO140" s="154"/>
      <c r="AP140" s="154"/>
      <c r="AQ140" s="154"/>
      <c r="AR140" s="154"/>
      <c r="AS140" s="154"/>
      <c r="AT140" s="154"/>
      <c r="AU140" s="154"/>
      <c r="AV140" s="154"/>
      <c r="AW140" s="154"/>
      <c r="AX140" s="154"/>
      <c r="AY140" s="154"/>
      <c r="AZ140" s="154"/>
      <c r="BA140" s="154"/>
      <c r="BB140" s="154"/>
      <c r="BC140" s="154"/>
      <c r="BD140" s="154"/>
      <c r="BE140" s="154"/>
      <c r="BF140" s="154"/>
      <c r="BG140" s="154"/>
      <c r="BH140" s="154"/>
      <c r="BI140" s="154"/>
      <c r="BJ140" s="154"/>
      <c r="BK140" s="154"/>
      <c r="BL140" s="154"/>
      <c r="BM140" s="154"/>
      <c r="BN140" s="154"/>
      <c r="BO140" s="154"/>
      <c r="BP140" s="154"/>
      <c r="BQ140" s="154"/>
      <c r="BR140" s="154"/>
      <c r="BS140" s="154"/>
      <c r="BT140" s="154"/>
      <c r="BU140" s="154"/>
      <c r="BV140" s="154"/>
      <c r="BW140" s="154"/>
      <c r="BX140" s="154"/>
      <c r="BY140" s="154"/>
      <c r="BZ140" s="154"/>
      <c r="CA140" s="154"/>
      <c r="CB140" s="154"/>
      <c r="CC140" s="154"/>
      <c r="CD140" s="154"/>
      <c r="CE140" s="154"/>
      <c r="CF140" s="154"/>
      <c r="CG140" s="154"/>
      <c r="CH140" s="154"/>
      <c r="CI140" s="154"/>
      <c r="CJ140" s="154"/>
      <c r="CK140" s="154"/>
      <c r="CL140" s="154"/>
      <c r="CM140" s="154"/>
      <c r="CN140" s="154"/>
      <c r="CO140" s="154"/>
      <c r="CP140" s="154"/>
      <c r="CQ140" s="154"/>
      <c r="CR140" s="154"/>
      <c r="CS140" s="154"/>
      <c r="CT140" s="154"/>
      <c r="CU140" s="154"/>
      <c r="CV140" s="154"/>
      <c r="CW140" s="154"/>
      <c r="CX140" s="154"/>
      <c r="CY140" s="154"/>
      <c r="CZ140" s="154"/>
      <c r="DA140" s="154"/>
      <c r="DB140" s="154"/>
      <c r="DC140" s="154"/>
      <c r="DD140" s="154"/>
      <c r="DE140" s="154"/>
      <c r="DF140" s="154"/>
      <c r="DG140" s="154"/>
      <c r="DH140" s="154"/>
      <c r="DI140" s="154"/>
      <c r="DJ140" s="154"/>
      <c r="DK140" s="154"/>
      <c r="DL140" s="154"/>
      <c r="DM140" s="154"/>
      <c r="DN140" s="154"/>
      <c r="DO140" s="154"/>
      <c r="DP140" s="154"/>
      <c r="DQ140" s="154"/>
      <c r="DR140" s="154"/>
      <c r="DS140" s="154"/>
      <c r="DT140" s="154"/>
      <c r="DU140" s="154"/>
      <c r="DV140" s="154"/>
      <c r="DW140" s="154"/>
      <c r="DX140" s="154"/>
      <c r="DY140" s="154"/>
      <c r="DZ140" s="154"/>
      <c r="EA140" s="154"/>
      <c r="EB140" s="154"/>
      <c r="EC140" s="154"/>
      <c r="ED140" s="154"/>
      <c r="EE140" s="154"/>
      <c r="EF140" s="154"/>
      <c r="EG140" s="154"/>
      <c r="EH140" s="154"/>
      <c r="EI140" s="154"/>
      <c r="EJ140" s="154"/>
      <c r="EK140" s="154"/>
      <c r="EL140" s="154"/>
      <c r="EM140" s="154"/>
      <c r="EN140" s="154"/>
      <c r="EO140" s="154"/>
      <c r="EP140" s="154"/>
      <c r="EQ140" s="154"/>
      <c r="ER140" s="154"/>
      <c r="ES140" s="154"/>
      <c r="ET140" s="154"/>
      <c r="EU140" s="154"/>
      <c r="EV140" s="154"/>
      <c r="EW140" s="154"/>
    </row>
    <row r="141" spans="2:153" ht="12.95" customHeight="1">
      <c r="B141" s="154"/>
      <c r="C141" s="380"/>
      <c r="D141" s="380"/>
      <c r="E141" s="154"/>
      <c r="F141" s="154"/>
      <c r="G141" s="154"/>
      <c r="H141" s="154"/>
      <c r="I141" s="154"/>
      <c r="J141" s="154"/>
      <c r="K141" s="154"/>
      <c r="L141" s="154"/>
      <c r="M141" s="154"/>
      <c r="N141" s="154"/>
      <c r="O141" s="154"/>
      <c r="P141" s="154"/>
      <c r="Q141" s="154"/>
      <c r="R141" s="154"/>
      <c r="S141" s="154"/>
      <c r="T141" s="154"/>
      <c r="U141" s="154"/>
      <c r="V141" s="154"/>
      <c r="W141" s="154"/>
      <c r="X141" s="154"/>
      <c r="Y141" s="154"/>
      <c r="Z141" s="154"/>
      <c r="AA141" s="154"/>
      <c r="AB141" s="154"/>
      <c r="AC141" s="154"/>
      <c r="AD141" s="154"/>
      <c r="AE141" s="154"/>
      <c r="AF141" s="367"/>
      <c r="AG141" s="368"/>
      <c r="AH141" s="368"/>
      <c r="AI141" s="368"/>
      <c r="AJ141" s="154"/>
      <c r="AK141" s="154"/>
      <c r="AL141" s="154"/>
      <c r="AM141" s="154"/>
      <c r="AN141" s="154"/>
      <c r="AO141" s="154"/>
      <c r="AP141" s="154"/>
      <c r="AQ141" s="154"/>
      <c r="AR141" s="154"/>
      <c r="AS141" s="154"/>
      <c r="AT141" s="154"/>
      <c r="AU141" s="154"/>
      <c r="AV141" s="154"/>
      <c r="AW141" s="154"/>
      <c r="AX141" s="154"/>
      <c r="AY141" s="154"/>
      <c r="AZ141" s="154"/>
      <c r="BA141" s="154"/>
      <c r="BB141" s="154"/>
      <c r="BC141" s="154"/>
      <c r="BD141" s="154"/>
      <c r="BE141" s="154"/>
      <c r="BF141" s="154"/>
      <c r="BG141" s="154"/>
      <c r="BH141" s="154"/>
      <c r="BI141" s="154"/>
      <c r="BJ141" s="154"/>
      <c r="BK141" s="154"/>
      <c r="BL141" s="154"/>
      <c r="BM141" s="154"/>
      <c r="BN141" s="154"/>
      <c r="BO141" s="154"/>
      <c r="BP141" s="154"/>
      <c r="BQ141" s="154"/>
      <c r="BR141" s="154"/>
      <c r="BS141" s="154"/>
      <c r="BT141" s="154"/>
      <c r="BU141" s="154"/>
      <c r="BV141" s="154"/>
      <c r="BW141" s="154"/>
      <c r="BX141" s="154"/>
      <c r="BY141" s="154"/>
      <c r="BZ141" s="154"/>
      <c r="CA141" s="154"/>
      <c r="CB141" s="154"/>
      <c r="CC141" s="154"/>
      <c r="CD141" s="154"/>
      <c r="CE141" s="154"/>
      <c r="CF141" s="154"/>
      <c r="CG141" s="154"/>
      <c r="CH141" s="154"/>
      <c r="CI141" s="154"/>
      <c r="CJ141" s="154"/>
      <c r="CK141" s="154"/>
      <c r="CL141" s="154"/>
      <c r="CM141" s="154"/>
      <c r="CN141" s="154"/>
      <c r="CO141" s="154"/>
      <c r="CP141" s="154"/>
      <c r="CQ141" s="154"/>
      <c r="CR141" s="154"/>
      <c r="CS141" s="154"/>
      <c r="CT141" s="154"/>
      <c r="CU141" s="154"/>
      <c r="CV141" s="154"/>
      <c r="CW141" s="154"/>
      <c r="CX141" s="154"/>
      <c r="CY141" s="154"/>
      <c r="CZ141" s="154"/>
      <c r="DA141" s="154"/>
      <c r="DB141" s="154"/>
      <c r="DC141" s="154"/>
      <c r="DD141" s="154"/>
      <c r="DE141" s="154"/>
      <c r="DF141" s="154"/>
      <c r="DG141" s="154"/>
      <c r="DH141" s="154"/>
      <c r="DI141" s="154"/>
      <c r="DJ141" s="154"/>
      <c r="DK141" s="154"/>
      <c r="DL141" s="154"/>
      <c r="DM141" s="154"/>
      <c r="DN141" s="154"/>
      <c r="DO141" s="154"/>
      <c r="DP141" s="154"/>
      <c r="DQ141" s="154"/>
      <c r="DR141" s="154"/>
      <c r="DS141" s="154"/>
      <c r="DT141" s="154"/>
      <c r="DU141" s="154"/>
      <c r="DV141" s="154"/>
      <c r="DW141" s="154"/>
      <c r="DX141" s="154"/>
      <c r="DY141" s="154"/>
      <c r="DZ141" s="154"/>
      <c r="EA141" s="154"/>
      <c r="EB141" s="154"/>
      <c r="EC141" s="154"/>
      <c r="ED141" s="154"/>
      <c r="EE141" s="154"/>
      <c r="EF141" s="154"/>
      <c r="EG141" s="154"/>
      <c r="EH141" s="154"/>
      <c r="EI141" s="154"/>
      <c r="EJ141" s="154"/>
      <c r="EK141" s="154"/>
      <c r="EL141" s="154"/>
      <c r="EM141" s="154"/>
      <c r="EN141" s="154"/>
      <c r="EO141" s="154"/>
      <c r="EP141" s="154"/>
      <c r="EQ141" s="154"/>
      <c r="ER141" s="154"/>
      <c r="ES141" s="154"/>
      <c r="ET141" s="154"/>
      <c r="EU141" s="154"/>
      <c r="EV141" s="154"/>
      <c r="EW141" s="154"/>
    </row>
    <row r="142" spans="2:153" ht="12.95" customHeight="1">
      <c r="B142" s="154"/>
      <c r="C142" s="380"/>
      <c r="D142" s="380"/>
      <c r="E142" s="154"/>
      <c r="F142" s="154"/>
      <c r="G142" s="154"/>
      <c r="H142" s="154"/>
      <c r="I142" s="154"/>
      <c r="J142" s="154"/>
      <c r="K142" s="154"/>
      <c r="L142" s="154"/>
      <c r="M142" s="154"/>
      <c r="N142" s="154"/>
      <c r="O142" s="154"/>
      <c r="P142" s="154"/>
      <c r="Q142" s="154"/>
      <c r="R142" s="154"/>
      <c r="S142" s="154"/>
      <c r="T142" s="154"/>
      <c r="U142" s="154"/>
      <c r="V142" s="154"/>
      <c r="W142" s="154"/>
      <c r="X142" s="154"/>
      <c r="Y142" s="154"/>
      <c r="Z142" s="154"/>
      <c r="AA142" s="154"/>
      <c r="AB142" s="154"/>
      <c r="AC142" s="154"/>
      <c r="AD142" s="154"/>
      <c r="AE142" s="154"/>
      <c r="AF142" s="367"/>
      <c r="AG142" s="368"/>
      <c r="AH142" s="368"/>
      <c r="AI142" s="368"/>
      <c r="AJ142" s="154"/>
      <c r="AK142" s="154"/>
      <c r="AL142" s="154"/>
      <c r="AM142" s="154"/>
      <c r="AN142" s="154"/>
      <c r="AO142" s="154"/>
      <c r="AP142" s="154"/>
      <c r="AQ142" s="154"/>
      <c r="AR142" s="154"/>
      <c r="AS142" s="154"/>
      <c r="AT142" s="154"/>
      <c r="AU142" s="154"/>
      <c r="AV142" s="154"/>
      <c r="AW142" s="154"/>
      <c r="AX142" s="154"/>
      <c r="AY142" s="154"/>
      <c r="AZ142" s="154"/>
      <c r="BA142" s="154"/>
      <c r="BB142" s="154"/>
      <c r="BC142" s="154"/>
      <c r="BD142" s="154"/>
      <c r="BE142" s="154"/>
      <c r="BF142" s="154"/>
      <c r="BG142" s="154"/>
      <c r="BH142" s="154"/>
      <c r="BI142" s="154"/>
      <c r="BJ142" s="154"/>
      <c r="BK142" s="154"/>
      <c r="BL142" s="154"/>
      <c r="BM142" s="154"/>
      <c r="BN142" s="154"/>
      <c r="BO142" s="154"/>
      <c r="BP142" s="154"/>
      <c r="BQ142" s="154"/>
      <c r="BR142" s="154"/>
      <c r="BS142" s="154"/>
      <c r="BT142" s="154"/>
      <c r="BU142" s="154"/>
      <c r="BV142" s="154"/>
      <c r="BW142" s="154"/>
      <c r="BX142" s="154"/>
      <c r="BY142" s="154"/>
      <c r="BZ142" s="154"/>
      <c r="CA142" s="154"/>
      <c r="CB142" s="154"/>
      <c r="CC142" s="154"/>
      <c r="CD142" s="154"/>
      <c r="CE142" s="154"/>
      <c r="CF142" s="154"/>
      <c r="CG142" s="154"/>
      <c r="CH142" s="154"/>
      <c r="CI142" s="154"/>
      <c r="CJ142" s="154"/>
      <c r="CK142" s="154"/>
      <c r="CL142" s="154"/>
      <c r="CM142" s="154"/>
      <c r="CN142" s="154"/>
      <c r="CO142" s="154"/>
      <c r="CP142" s="154"/>
      <c r="CQ142" s="154"/>
      <c r="CR142" s="154"/>
      <c r="CS142" s="154"/>
      <c r="CT142" s="154"/>
      <c r="CU142" s="154"/>
      <c r="CV142" s="154"/>
      <c r="CW142" s="154"/>
      <c r="CX142" s="154"/>
      <c r="CY142" s="154"/>
      <c r="CZ142" s="154"/>
      <c r="DA142" s="154"/>
      <c r="DB142" s="154"/>
      <c r="DC142" s="154"/>
      <c r="DD142" s="154"/>
      <c r="DE142" s="154"/>
      <c r="DF142" s="154"/>
      <c r="DG142" s="154"/>
      <c r="DH142" s="154"/>
      <c r="DI142" s="154"/>
      <c r="DJ142" s="154"/>
      <c r="DK142" s="154"/>
      <c r="DL142" s="154"/>
      <c r="DM142" s="154"/>
      <c r="DN142" s="154"/>
      <c r="DO142" s="154"/>
      <c r="DP142" s="154"/>
      <c r="DQ142" s="154"/>
      <c r="DR142" s="154"/>
      <c r="DS142" s="154"/>
      <c r="DT142" s="154"/>
      <c r="DU142" s="154"/>
      <c r="DV142" s="154"/>
      <c r="DW142" s="154"/>
      <c r="DX142" s="154"/>
      <c r="DY142" s="154"/>
      <c r="DZ142" s="154"/>
      <c r="EA142" s="154"/>
      <c r="EB142" s="154"/>
      <c r="EC142" s="154"/>
      <c r="ED142" s="154"/>
      <c r="EE142" s="154"/>
      <c r="EF142" s="154"/>
      <c r="EG142" s="154"/>
      <c r="EH142" s="154"/>
      <c r="EI142" s="154"/>
      <c r="EJ142" s="154"/>
      <c r="EK142" s="154"/>
      <c r="EL142" s="154"/>
      <c r="EM142" s="154"/>
      <c r="EN142" s="154"/>
      <c r="EO142" s="154"/>
      <c r="EP142" s="154"/>
      <c r="EQ142" s="154"/>
      <c r="ER142" s="154"/>
      <c r="ES142" s="154"/>
      <c r="ET142" s="154"/>
      <c r="EU142" s="154"/>
      <c r="EV142" s="154"/>
      <c r="EW142" s="154"/>
    </row>
    <row r="143" spans="2:153" ht="12.95" customHeight="1">
      <c r="B143" s="154"/>
      <c r="C143" s="380"/>
      <c r="D143" s="380"/>
      <c r="E143" s="154"/>
      <c r="F143" s="154"/>
      <c r="G143" s="154"/>
      <c r="H143" s="154"/>
      <c r="I143" s="154"/>
      <c r="J143" s="154"/>
      <c r="K143" s="154"/>
      <c r="L143" s="154"/>
      <c r="M143" s="154"/>
      <c r="N143" s="154"/>
      <c r="O143" s="154"/>
      <c r="P143" s="154"/>
      <c r="Q143" s="154"/>
      <c r="R143" s="154"/>
      <c r="S143" s="154"/>
      <c r="T143" s="154"/>
      <c r="U143" s="154"/>
      <c r="V143" s="154"/>
      <c r="W143" s="154"/>
      <c r="X143" s="154"/>
      <c r="Y143" s="154"/>
      <c r="Z143" s="154"/>
      <c r="AA143" s="154"/>
      <c r="AB143" s="154"/>
      <c r="AC143" s="154"/>
      <c r="AD143" s="154"/>
      <c r="AE143" s="154"/>
      <c r="AF143" s="367"/>
      <c r="AG143" s="368"/>
      <c r="AH143" s="368"/>
      <c r="AI143" s="368"/>
      <c r="AJ143" s="154"/>
      <c r="AK143" s="154"/>
      <c r="AL143" s="154"/>
      <c r="AM143" s="154"/>
      <c r="AN143" s="154"/>
      <c r="AO143" s="154"/>
      <c r="AP143" s="154"/>
      <c r="AQ143" s="154"/>
      <c r="AR143" s="154"/>
      <c r="AS143" s="154"/>
      <c r="AT143" s="154"/>
      <c r="AU143" s="154"/>
      <c r="AV143" s="154"/>
      <c r="AW143" s="154"/>
      <c r="AX143" s="154"/>
      <c r="AY143" s="154"/>
      <c r="AZ143" s="154"/>
      <c r="BA143" s="154"/>
      <c r="BB143" s="154"/>
      <c r="BC143" s="154"/>
      <c r="BD143" s="154"/>
      <c r="BE143" s="154"/>
      <c r="BF143" s="154"/>
      <c r="BG143" s="154"/>
      <c r="BH143" s="154"/>
      <c r="BI143" s="154"/>
      <c r="BJ143" s="154"/>
      <c r="BK143" s="154"/>
      <c r="BL143" s="154"/>
      <c r="BM143" s="154"/>
      <c r="BN143" s="154"/>
      <c r="BO143" s="154"/>
      <c r="BP143" s="154"/>
      <c r="BQ143" s="154"/>
      <c r="BR143" s="154"/>
      <c r="BS143" s="154"/>
      <c r="BT143" s="154"/>
      <c r="BU143" s="154"/>
      <c r="BV143" s="154"/>
      <c r="BW143" s="154"/>
      <c r="BX143" s="154"/>
      <c r="BY143" s="154"/>
      <c r="BZ143" s="154"/>
      <c r="CA143" s="154"/>
      <c r="CB143" s="154"/>
      <c r="CC143" s="154"/>
      <c r="CD143" s="154"/>
      <c r="CE143" s="154"/>
      <c r="CF143" s="154"/>
      <c r="CG143" s="154"/>
      <c r="CH143" s="154"/>
      <c r="CI143" s="154"/>
      <c r="CJ143" s="154"/>
      <c r="CK143" s="154"/>
      <c r="CL143" s="154"/>
      <c r="CM143" s="154"/>
      <c r="CN143" s="154"/>
      <c r="CO143" s="154"/>
      <c r="CP143" s="154"/>
      <c r="CQ143" s="154"/>
      <c r="CR143" s="154"/>
      <c r="CS143" s="154"/>
      <c r="CT143" s="154"/>
      <c r="CU143" s="154"/>
      <c r="CV143" s="154"/>
      <c r="CW143" s="154"/>
      <c r="CX143" s="154"/>
      <c r="CY143" s="154"/>
      <c r="CZ143" s="154"/>
      <c r="DA143" s="154"/>
      <c r="DB143" s="154"/>
      <c r="DC143" s="154"/>
      <c r="DD143" s="154"/>
      <c r="DE143" s="154"/>
      <c r="DF143" s="154"/>
      <c r="DG143" s="154"/>
      <c r="DH143" s="154"/>
      <c r="DI143" s="154"/>
      <c r="DJ143" s="154"/>
      <c r="DK143" s="154"/>
      <c r="DL143" s="154"/>
      <c r="DM143" s="154"/>
      <c r="DN143" s="154"/>
      <c r="DO143" s="154"/>
      <c r="DP143" s="154"/>
      <c r="DQ143" s="154"/>
      <c r="DR143" s="154"/>
      <c r="DS143" s="154"/>
      <c r="DT143" s="154"/>
      <c r="DU143" s="154"/>
      <c r="DV143" s="154"/>
      <c r="DW143" s="154"/>
      <c r="DX143" s="154"/>
      <c r="DY143" s="154"/>
      <c r="DZ143" s="154"/>
      <c r="EA143" s="154"/>
      <c r="EB143" s="154"/>
      <c r="EC143" s="154"/>
      <c r="ED143" s="154"/>
      <c r="EE143" s="154"/>
      <c r="EF143" s="154"/>
      <c r="EG143" s="154"/>
      <c r="EH143" s="154"/>
      <c r="EI143" s="154"/>
      <c r="EJ143" s="154"/>
      <c r="EK143" s="154"/>
      <c r="EL143" s="154"/>
      <c r="EM143" s="154"/>
      <c r="EN143" s="154"/>
      <c r="EO143" s="154"/>
      <c r="EP143" s="154"/>
      <c r="EQ143" s="154"/>
      <c r="ER143" s="154"/>
      <c r="ES143" s="154"/>
      <c r="ET143" s="154"/>
      <c r="EU143" s="154"/>
      <c r="EV143" s="154"/>
      <c r="EW143" s="154"/>
    </row>
    <row r="144" spans="2:153" ht="12.95" customHeight="1">
      <c r="B144" s="154"/>
      <c r="C144" s="380"/>
      <c r="D144" s="380"/>
      <c r="E144" s="154"/>
      <c r="F144" s="154"/>
      <c r="G144" s="154"/>
      <c r="H144" s="154"/>
      <c r="I144" s="154"/>
      <c r="J144" s="154"/>
      <c r="K144" s="154"/>
      <c r="L144" s="154"/>
      <c r="M144" s="154"/>
      <c r="N144" s="154"/>
      <c r="O144" s="154"/>
      <c r="P144" s="154"/>
      <c r="Q144" s="154"/>
      <c r="R144" s="154"/>
      <c r="S144" s="154"/>
      <c r="T144" s="154"/>
      <c r="U144" s="154"/>
      <c r="V144" s="154"/>
      <c r="W144" s="154"/>
      <c r="X144" s="154"/>
      <c r="Y144" s="154"/>
      <c r="Z144" s="154"/>
      <c r="AA144" s="154"/>
      <c r="AB144" s="154"/>
      <c r="AC144" s="154"/>
      <c r="AD144" s="154"/>
      <c r="AE144" s="154"/>
      <c r="AF144" s="367"/>
      <c r="AG144" s="368"/>
      <c r="AH144" s="368"/>
      <c r="AI144" s="368"/>
      <c r="AJ144" s="154"/>
      <c r="AK144" s="154"/>
      <c r="AL144" s="154"/>
      <c r="AM144" s="154"/>
      <c r="AN144" s="154"/>
      <c r="AO144" s="154"/>
      <c r="AP144" s="154"/>
      <c r="AQ144" s="154"/>
      <c r="AR144" s="154"/>
      <c r="AS144" s="154"/>
      <c r="AT144" s="154"/>
      <c r="AU144" s="154"/>
      <c r="AV144" s="154"/>
      <c r="AW144" s="154"/>
      <c r="AX144" s="154"/>
      <c r="AY144" s="154"/>
      <c r="AZ144" s="154"/>
      <c r="BA144" s="154"/>
      <c r="BB144" s="154"/>
      <c r="BC144" s="154"/>
      <c r="BD144" s="154"/>
      <c r="BE144" s="154"/>
      <c r="BF144" s="154"/>
      <c r="BG144" s="154"/>
      <c r="BH144" s="154"/>
      <c r="BI144" s="154"/>
      <c r="BJ144" s="154"/>
      <c r="BK144" s="154"/>
      <c r="BL144" s="154"/>
      <c r="BM144" s="154"/>
      <c r="BN144" s="154"/>
      <c r="BO144" s="154"/>
      <c r="BP144" s="154"/>
      <c r="BQ144" s="154"/>
      <c r="BR144" s="154"/>
      <c r="BS144" s="154"/>
      <c r="BT144" s="154"/>
      <c r="BU144" s="154"/>
      <c r="BV144" s="154"/>
      <c r="BW144" s="154"/>
      <c r="BX144" s="154"/>
      <c r="BY144" s="154"/>
      <c r="BZ144" s="154"/>
      <c r="CA144" s="154"/>
      <c r="CB144" s="154"/>
      <c r="CC144" s="154"/>
      <c r="CD144" s="154"/>
      <c r="CE144" s="154"/>
      <c r="CF144" s="154"/>
      <c r="CG144" s="154"/>
      <c r="CH144" s="154"/>
      <c r="CI144" s="154"/>
      <c r="CJ144" s="154"/>
      <c r="CK144" s="154"/>
      <c r="CL144" s="154"/>
      <c r="CM144" s="154"/>
      <c r="CN144" s="154"/>
      <c r="CO144" s="154"/>
      <c r="CP144" s="154"/>
      <c r="CQ144" s="154"/>
      <c r="CR144" s="154"/>
      <c r="CS144" s="154"/>
      <c r="CT144" s="154"/>
      <c r="CU144" s="154"/>
      <c r="CV144" s="154"/>
      <c r="CW144" s="154"/>
      <c r="CX144" s="154"/>
      <c r="CY144" s="154"/>
      <c r="CZ144" s="154"/>
      <c r="DA144" s="154"/>
      <c r="DB144" s="154"/>
      <c r="DC144" s="154"/>
      <c r="DD144" s="154"/>
      <c r="DE144" s="154"/>
      <c r="DF144" s="154"/>
      <c r="DG144" s="154"/>
      <c r="DH144" s="154"/>
      <c r="DI144" s="154"/>
      <c r="DJ144" s="154"/>
      <c r="DK144" s="154"/>
      <c r="DL144" s="154"/>
      <c r="DM144" s="154"/>
      <c r="DN144" s="154"/>
      <c r="DO144" s="154"/>
      <c r="DP144" s="154"/>
      <c r="DQ144" s="154"/>
      <c r="DR144" s="154"/>
      <c r="DS144" s="154"/>
      <c r="DT144" s="154"/>
      <c r="DU144" s="154"/>
      <c r="DV144" s="154"/>
      <c r="DW144" s="154"/>
      <c r="DX144" s="154"/>
      <c r="DY144" s="154"/>
      <c r="DZ144" s="154"/>
      <c r="EA144" s="154"/>
      <c r="EB144" s="154"/>
      <c r="EC144" s="154"/>
      <c r="ED144" s="154"/>
      <c r="EE144" s="154"/>
      <c r="EF144" s="154"/>
      <c r="EG144" s="154"/>
      <c r="EH144" s="154"/>
      <c r="EI144" s="154"/>
      <c r="EJ144" s="154"/>
      <c r="EK144" s="154"/>
      <c r="EL144" s="154"/>
      <c r="EM144" s="154"/>
      <c r="EN144" s="154"/>
      <c r="EO144" s="154"/>
      <c r="EP144" s="154"/>
      <c r="EQ144" s="154"/>
      <c r="ER144" s="154"/>
      <c r="ES144" s="154"/>
      <c r="ET144" s="154"/>
      <c r="EU144" s="154"/>
      <c r="EV144" s="154"/>
      <c r="EW144" s="154"/>
    </row>
    <row r="145" spans="2:153" ht="12.95" customHeight="1">
      <c r="B145" s="154"/>
      <c r="C145" s="380"/>
      <c r="D145" s="380"/>
      <c r="E145" s="154"/>
      <c r="F145" s="154"/>
      <c r="G145" s="154"/>
      <c r="H145" s="154"/>
      <c r="I145" s="154"/>
      <c r="J145" s="154"/>
      <c r="K145" s="154"/>
      <c r="L145" s="154"/>
      <c r="M145" s="154"/>
      <c r="N145" s="154"/>
      <c r="O145" s="154"/>
      <c r="P145" s="154"/>
      <c r="Q145" s="154"/>
      <c r="R145" s="154"/>
      <c r="S145" s="154"/>
      <c r="T145" s="154"/>
      <c r="U145" s="154"/>
      <c r="V145" s="154"/>
      <c r="W145" s="154"/>
      <c r="X145" s="154"/>
      <c r="Y145" s="154"/>
      <c r="Z145" s="154"/>
      <c r="AA145" s="154"/>
      <c r="AB145" s="154"/>
      <c r="AC145" s="154"/>
      <c r="AD145" s="154"/>
      <c r="AE145" s="154"/>
      <c r="AF145" s="367"/>
      <c r="AG145" s="368"/>
      <c r="AH145" s="368"/>
      <c r="AI145" s="368"/>
      <c r="AJ145" s="154"/>
      <c r="AK145" s="154"/>
      <c r="AL145" s="154"/>
      <c r="AM145" s="154"/>
      <c r="AN145" s="154"/>
      <c r="AO145" s="154"/>
      <c r="AP145" s="154"/>
      <c r="AQ145" s="154"/>
      <c r="AR145" s="154"/>
      <c r="AS145" s="154"/>
      <c r="AT145" s="154"/>
      <c r="AU145" s="154"/>
      <c r="AV145" s="154"/>
      <c r="AW145" s="154"/>
      <c r="AX145" s="154"/>
      <c r="AY145" s="154"/>
      <c r="AZ145" s="154"/>
      <c r="BA145" s="154"/>
      <c r="BB145" s="154"/>
      <c r="BC145" s="154"/>
      <c r="BD145" s="154"/>
      <c r="BE145" s="154"/>
      <c r="BF145" s="154"/>
      <c r="BG145" s="154"/>
      <c r="BH145" s="154"/>
      <c r="BI145" s="154"/>
      <c r="BJ145" s="154"/>
      <c r="BK145" s="154"/>
      <c r="BL145" s="154"/>
      <c r="BM145" s="154"/>
      <c r="BN145" s="154"/>
      <c r="BO145" s="154"/>
      <c r="BP145" s="154"/>
      <c r="BQ145" s="154"/>
      <c r="BR145" s="154"/>
      <c r="BS145" s="154"/>
      <c r="BT145" s="154"/>
      <c r="BU145" s="154"/>
      <c r="BV145" s="154"/>
      <c r="BW145" s="154"/>
      <c r="BX145" s="154"/>
      <c r="BY145" s="154"/>
      <c r="BZ145" s="154"/>
      <c r="CA145" s="154"/>
      <c r="CB145" s="154"/>
      <c r="CC145" s="154"/>
      <c r="CD145" s="154"/>
      <c r="CE145" s="154"/>
      <c r="CF145" s="154"/>
      <c r="CG145" s="154"/>
      <c r="CH145" s="154"/>
      <c r="CI145" s="154"/>
      <c r="CJ145" s="154"/>
      <c r="CK145" s="154"/>
      <c r="CL145" s="154"/>
      <c r="CM145" s="154"/>
      <c r="CN145" s="154"/>
      <c r="CO145" s="154"/>
      <c r="CP145" s="154"/>
      <c r="CQ145" s="154"/>
      <c r="CR145" s="154"/>
      <c r="CS145" s="154"/>
      <c r="CT145" s="154"/>
      <c r="CU145" s="154"/>
      <c r="CV145" s="154"/>
      <c r="CW145" s="154"/>
      <c r="CX145" s="154"/>
      <c r="CY145" s="154"/>
      <c r="CZ145" s="154"/>
      <c r="DA145" s="154"/>
      <c r="DB145" s="154"/>
      <c r="DC145" s="154"/>
      <c r="DD145" s="154"/>
      <c r="DE145" s="154"/>
      <c r="DF145" s="154"/>
      <c r="DG145" s="154"/>
      <c r="DH145" s="154"/>
      <c r="DI145" s="154"/>
      <c r="DJ145" s="154"/>
      <c r="DK145" s="154"/>
      <c r="DL145" s="154"/>
      <c r="DM145" s="154"/>
      <c r="DN145" s="154"/>
      <c r="DO145" s="154"/>
      <c r="DP145" s="154"/>
      <c r="DQ145" s="154"/>
      <c r="DR145" s="154"/>
      <c r="DS145" s="154"/>
      <c r="DT145" s="154"/>
      <c r="DU145" s="154"/>
      <c r="DV145" s="154"/>
      <c r="DW145" s="154"/>
      <c r="DX145" s="154"/>
      <c r="DY145" s="154"/>
      <c r="DZ145" s="154"/>
      <c r="EA145" s="154"/>
      <c r="EB145" s="154"/>
      <c r="EC145" s="154"/>
      <c r="ED145" s="154"/>
      <c r="EE145" s="154"/>
      <c r="EF145" s="154"/>
      <c r="EG145" s="154"/>
      <c r="EH145" s="154"/>
      <c r="EI145" s="154"/>
      <c r="EJ145" s="154"/>
      <c r="EK145" s="154"/>
      <c r="EL145" s="154"/>
      <c r="EM145" s="154"/>
      <c r="EN145" s="154"/>
      <c r="EO145" s="154"/>
      <c r="EP145" s="154"/>
      <c r="EQ145" s="154"/>
      <c r="ER145" s="154"/>
      <c r="ES145" s="154"/>
      <c r="ET145" s="154"/>
      <c r="EU145" s="154"/>
      <c r="EV145" s="154"/>
      <c r="EW145" s="154"/>
    </row>
    <row r="146" spans="2:153" ht="12.95" customHeight="1">
      <c r="B146" s="154"/>
      <c r="C146" s="380"/>
      <c r="D146" s="380"/>
      <c r="E146" s="154"/>
      <c r="F146" s="154"/>
      <c r="G146" s="154"/>
      <c r="H146" s="154"/>
      <c r="I146" s="154"/>
      <c r="J146" s="154"/>
      <c r="K146" s="154"/>
      <c r="L146" s="154"/>
      <c r="M146" s="154"/>
      <c r="N146" s="154"/>
      <c r="O146" s="154"/>
      <c r="P146" s="154"/>
      <c r="Q146" s="154"/>
      <c r="R146" s="154"/>
      <c r="S146" s="154"/>
      <c r="T146" s="154"/>
      <c r="U146" s="154"/>
      <c r="V146" s="154"/>
      <c r="W146" s="154"/>
      <c r="X146" s="154"/>
      <c r="Y146" s="154"/>
      <c r="Z146" s="154"/>
      <c r="AA146" s="154"/>
      <c r="AB146" s="154"/>
      <c r="AC146" s="154"/>
      <c r="AD146" s="154"/>
      <c r="AE146" s="154"/>
      <c r="AF146" s="367"/>
      <c r="AG146" s="368"/>
      <c r="AH146" s="368"/>
      <c r="AI146" s="368"/>
      <c r="AJ146" s="154"/>
      <c r="AK146" s="154"/>
      <c r="AL146" s="154"/>
      <c r="AM146" s="154"/>
      <c r="AN146" s="154"/>
      <c r="AO146" s="154"/>
      <c r="AP146" s="154"/>
      <c r="AQ146" s="154"/>
      <c r="AR146" s="154"/>
      <c r="AS146" s="154"/>
      <c r="AT146" s="154"/>
      <c r="AU146" s="154"/>
      <c r="AV146" s="154"/>
      <c r="AW146" s="154"/>
      <c r="AX146" s="154"/>
      <c r="AY146" s="154"/>
      <c r="AZ146" s="154"/>
      <c r="BA146" s="154"/>
      <c r="BB146" s="154"/>
      <c r="BC146" s="154"/>
      <c r="BD146" s="154"/>
      <c r="BE146" s="154"/>
      <c r="BF146" s="154"/>
      <c r="BG146" s="154"/>
      <c r="BH146" s="154"/>
      <c r="BI146" s="154"/>
      <c r="BJ146" s="154"/>
      <c r="BK146" s="154"/>
      <c r="BL146" s="154"/>
      <c r="BM146" s="154"/>
      <c r="BN146" s="154"/>
      <c r="BO146" s="154"/>
      <c r="BP146" s="154"/>
      <c r="BQ146" s="154"/>
      <c r="BR146" s="154"/>
      <c r="BS146" s="154"/>
      <c r="BT146" s="154"/>
      <c r="BU146" s="154"/>
      <c r="BV146" s="154"/>
      <c r="BW146" s="154"/>
      <c r="BX146" s="154"/>
      <c r="BY146" s="154"/>
      <c r="BZ146" s="154"/>
      <c r="CA146" s="154"/>
      <c r="CB146" s="154"/>
      <c r="CC146" s="154"/>
      <c r="CD146" s="154"/>
      <c r="CE146" s="154"/>
      <c r="CF146" s="154"/>
      <c r="CG146" s="154"/>
      <c r="CH146" s="154"/>
      <c r="CI146" s="154"/>
      <c r="CJ146" s="154"/>
      <c r="CK146" s="154"/>
      <c r="CL146" s="154"/>
      <c r="CM146" s="154"/>
      <c r="CN146" s="154"/>
      <c r="CO146" s="154"/>
      <c r="CP146" s="154"/>
      <c r="CQ146" s="154"/>
      <c r="CR146" s="154"/>
      <c r="CS146" s="154"/>
      <c r="CT146" s="154"/>
      <c r="CU146" s="154"/>
      <c r="CV146" s="154"/>
      <c r="CW146" s="154"/>
      <c r="CX146" s="154"/>
      <c r="CY146" s="154"/>
      <c r="CZ146" s="154"/>
      <c r="DA146" s="154"/>
      <c r="DB146" s="154"/>
      <c r="DC146" s="154"/>
      <c r="DD146" s="154"/>
      <c r="DE146" s="154"/>
      <c r="DF146" s="154"/>
      <c r="DG146" s="154"/>
      <c r="DH146" s="154"/>
      <c r="DI146" s="154"/>
      <c r="DJ146" s="154"/>
      <c r="DK146" s="154"/>
      <c r="DL146" s="154"/>
      <c r="DM146" s="154"/>
      <c r="DN146" s="154"/>
      <c r="DO146" s="154"/>
      <c r="DP146" s="154"/>
      <c r="DQ146" s="154"/>
      <c r="DR146" s="154"/>
      <c r="DS146" s="154"/>
      <c r="DT146" s="154"/>
      <c r="DU146" s="154"/>
      <c r="DV146" s="154"/>
      <c r="DW146" s="154"/>
      <c r="DX146" s="154"/>
      <c r="DY146" s="154"/>
      <c r="DZ146" s="154"/>
      <c r="EA146" s="154"/>
      <c r="EB146" s="154"/>
      <c r="EC146" s="154"/>
      <c r="ED146" s="154"/>
      <c r="EE146" s="154"/>
      <c r="EF146" s="154"/>
      <c r="EG146" s="154"/>
      <c r="EH146" s="154"/>
      <c r="EI146" s="154"/>
      <c r="EJ146" s="154"/>
      <c r="EK146" s="154"/>
      <c r="EL146" s="154"/>
      <c r="EM146" s="154"/>
      <c r="EN146" s="154"/>
      <c r="EO146" s="154"/>
      <c r="EP146" s="154"/>
      <c r="EQ146" s="154"/>
      <c r="ER146" s="154"/>
      <c r="ES146" s="154"/>
      <c r="ET146" s="154"/>
      <c r="EU146" s="154"/>
      <c r="EV146" s="154"/>
      <c r="EW146" s="154"/>
    </row>
    <row r="147" spans="2:153" ht="12.95" customHeight="1">
      <c r="B147" s="154"/>
      <c r="C147" s="380"/>
      <c r="D147" s="380"/>
      <c r="E147" s="154"/>
      <c r="F147" s="154"/>
      <c r="G147" s="154"/>
      <c r="H147" s="154"/>
      <c r="I147" s="154"/>
      <c r="J147" s="154"/>
      <c r="K147" s="154"/>
      <c r="L147" s="154"/>
      <c r="M147" s="154"/>
      <c r="N147" s="154"/>
      <c r="O147" s="154"/>
      <c r="P147" s="154"/>
      <c r="Q147" s="154"/>
      <c r="R147" s="154"/>
      <c r="S147" s="154"/>
      <c r="T147" s="154"/>
      <c r="U147" s="154"/>
      <c r="V147" s="154"/>
      <c r="W147" s="154"/>
      <c r="X147" s="154"/>
      <c r="Y147" s="154"/>
      <c r="Z147" s="154"/>
      <c r="AA147" s="154"/>
      <c r="AB147" s="154"/>
      <c r="AC147" s="154"/>
      <c r="AD147" s="154"/>
      <c r="AE147" s="154"/>
      <c r="AF147" s="367"/>
      <c r="AG147" s="368"/>
      <c r="AH147" s="368"/>
      <c r="AI147" s="368"/>
      <c r="AJ147" s="154"/>
      <c r="AK147" s="154"/>
      <c r="AL147" s="154"/>
      <c r="AM147" s="154"/>
      <c r="AN147" s="154"/>
      <c r="AO147" s="154"/>
      <c r="AP147" s="154"/>
      <c r="AQ147" s="154"/>
      <c r="AR147" s="154"/>
      <c r="AS147" s="154"/>
      <c r="AT147" s="154"/>
      <c r="AU147" s="154"/>
      <c r="AV147" s="154"/>
      <c r="AW147" s="154"/>
      <c r="AX147" s="154"/>
      <c r="AY147" s="154"/>
      <c r="AZ147" s="154"/>
      <c r="BA147" s="154"/>
      <c r="BB147" s="154"/>
      <c r="BC147" s="154"/>
      <c r="BD147" s="154"/>
      <c r="BE147" s="154"/>
      <c r="BF147" s="154"/>
      <c r="BG147" s="154"/>
      <c r="BH147" s="154"/>
      <c r="BI147" s="154"/>
      <c r="BJ147" s="154"/>
      <c r="BK147" s="154"/>
      <c r="BL147" s="154"/>
      <c r="BM147" s="154"/>
      <c r="BN147" s="154"/>
      <c r="BO147" s="154"/>
      <c r="BP147" s="154"/>
      <c r="BQ147" s="154"/>
      <c r="BR147" s="154"/>
      <c r="BS147" s="154"/>
      <c r="BT147" s="154"/>
      <c r="BU147" s="154"/>
      <c r="BV147" s="154"/>
      <c r="BW147" s="154"/>
      <c r="BX147" s="154"/>
      <c r="BY147" s="154"/>
      <c r="BZ147" s="154"/>
      <c r="CA147" s="154"/>
      <c r="CB147" s="154"/>
      <c r="CC147" s="154"/>
      <c r="CD147" s="154"/>
      <c r="CE147" s="154"/>
      <c r="CF147" s="154"/>
      <c r="CG147" s="154"/>
      <c r="CH147" s="154"/>
      <c r="CI147" s="154"/>
      <c r="CJ147" s="154"/>
      <c r="CK147" s="154"/>
      <c r="CL147" s="154"/>
      <c r="CM147" s="154"/>
      <c r="CN147" s="154"/>
      <c r="CO147" s="154"/>
      <c r="CP147" s="154"/>
      <c r="CQ147" s="154"/>
      <c r="CR147" s="154"/>
      <c r="CS147" s="154"/>
      <c r="CT147" s="154"/>
      <c r="CU147" s="154"/>
      <c r="CV147" s="154"/>
      <c r="CW147" s="154"/>
      <c r="CX147" s="154"/>
      <c r="CY147" s="154"/>
      <c r="CZ147" s="154"/>
      <c r="DA147" s="154"/>
      <c r="DB147" s="154"/>
      <c r="DC147" s="154"/>
      <c r="DD147" s="154"/>
      <c r="DE147" s="154"/>
      <c r="DF147" s="154"/>
      <c r="DG147" s="154"/>
      <c r="DH147" s="154"/>
      <c r="DI147" s="154"/>
      <c r="DJ147" s="154"/>
      <c r="DK147" s="154"/>
      <c r="DL147" s="154"/>
      <c r="DM147" s="154"/>
      <c r="DN147" s="154"/>
      <c r="DO147" s="154"/>
      <c r="DP147" s="154"/>
      <c r="DQ147" s="154"/>
      <c r="DR147" s="154"/>
      <c r="DS147" s="154"/>
      <c r="DT147" s="154"/>
      <c r="DU147" s="154"/>
      <c r="DV147" s="154"/>
      <c r="DW147" s="154"/>
      <c r="DX147" s="154"/>
      <c r="DY147" s="154"/>
      <c r="DZ147" s="154"/>
      <c r="EA147" s="154"/>
      <c r="EB147" s="154"/>
      <c r="EC147" s="154"/>
      <c r="ED147" s="154"/>
      <c r="EE147" s="154"/>
      <c r="EF147" s="154"/>
      <c r="EG147" s="154"/>
      <c r="EH147" s="154"/>
      <c r="EI147" s="154"/>
      <c r="EJ147" s="154"/>
      <c r="EK147" s="154"/>
      <c r="EL147" s="154"/>
      <c r="EM147" s="154"/>
      <c r="EN147" s="154"/>
      <c r="EO147" s="154"/>
      <c r="EP147" s="154"/>
      <c r="EQ147" s="154"/>
      <c r="ER147" s="154"/>
      <c r="ES147" s="154"/>
      <c r="ET147" s="154"/>
      <c r="EU147" s="154"/>
      <c r="EV147" s="154"/>
      <c r="EW147" s="154"/>
    </row>
    <row r="148" spans="2:153" ht="12.95" customHeight="1">
      <c r="B148" s="154"/>
      <c r="C148" s="380"/>
      <c r="D148" s="380"/>
      <c r="E148" s="154"/>
      <c r="F148" s="154"/>
      <c r="G148" s="154"/>
      <c r="H148" s="154"/>
      <c r="I148" s="154"/>
      <c r="J148" s="154"/>
      <c r="K148" s="154"/>
      <c r="L148" s="154"/>
      <c r="M148" s="154"/>
      <c r="N148" s="154"/>
      <c r="O148" s="154"/>
      <c r="P148" s="154"/>
      <c r="Q148" s="154"/>
      <c r="R148" s="154"/>
      <c r="S148" s="154"/>
      <c r="T148" s="154"/>
      <c r="U148" s="154"/>
      <c r="V148" s="154"/>
      <c r="W148" s="154"/>
      <c r="X148" s="154"/>
      <c r="Y148" s="154"/>
      <c r="Z148" s="154"/>
      <c r="AA148" s="154"/>
      <c r="AB148" s="154"/>
      <c r="AC148" s="154"/>
      <c r="AD148" s="154"/>
      <c r="AE148" s="154"/>
      <c r="AF148" s="367"/>
      <c r="AG148" s="368"/>
      <c r="AH148" s="368"/>
      <c r="AI148" s="368"/>
      <c r="AJ148" s="154"/>
      <c r="AK148" s="154"/>
      <c r="AL148" s="154"/>
      <c r="AM148" s="154"/>
      <c r="AN148" s="154"/>
      <c r="AO148" s="154"/>
      <c r="AP148" s="154"/>
      <c r="AQ148" s="154"/>
      <c r="AR148" s="154"/>
      <c r="AS148" s="154"/>
      <c r="AT148" s="154"/>
      <c r="AU148" s="154"/>
      <c r="AV148" s="154"/>
      <c r="AW148" s="154"/>
      <c r="AX148" s="154"/>
      <c r="AY148" s="154"/>
      <c r="AZ148" s="154"/>
      <c r="BA148" s="154"/>
      <c r="BB148" s="154"/>
      <c r="BC148" s="154"/>
      <c r="BD148" s="154"/>
      <c r="BE148" s="154"/>
      <c r="BF148" s="154"/>
      <c r="BG148" s="154"/>
      <c r="BH148" s="154"/>
      <c r="BI148" s="154"/>
      <c r="BJ148" s="154"/>
      <c r="BK148" s="154"/>
      <c r="BL148" s="154"/>
      <c r="BM148" s="154"/>
      <c r="BN148" s="154"/>
      <c r="BO148" s="154"/>
      <c r="BP148" s="154"/>
      <c r="BQ148" s="154"/>
      <c r="BR148" s="154"/>
      <c r="BS148" s="154"/>
      <c r="BT148" s="154"/>
      <c r="BU148" s="154"/>
      <c r="BV148" s="154"/>
      <c r="BW148" s="154"/>
      <c r="BX148" s="154"/>
      <c r="BY148" s="154"/>
      <c r="BZ148" s="154"/>
      <c r="CA148" s="154"/>
      <c r="CB148" s="154"/>
      <c r="CC148" s="154"/>
      <c r="CD148" s="154"/>
      <c r="CE148" s="154"/>
      <c r="CF148" s="154"/>
      <c r="CG148" s="154"/>
      <c r="CH148" s="154"/>
      <c r="CI148" s="154"/>
      <c r="CJ148" s="154"/>
      <c r="CK148" s="154"/>
      <c r="CL148" s="154"/>
      <c r="CM148" s="154"/>
      <c r="CN148" s="154"/>
      <c r="CO148" s="154"/>
      <c r="CP148" s="154"/>
      <c r="CQ148" s="154"/>
      <c r="CR148" s="154"/>
      <c r="CS148" s="154"/>
      <c r="CT148" s="154"/>
      <c r="CU148" s="154"/>
      <c r="CV148" s="154"/>
      <c r="CW148" s="154"/>
      <c r="CX148" s="154"/>
      <c r="CY148" s="154"/>
      <c r="CZ148" s="154"/>
      <c r="DA148" s="154"/>
      <c r="DB148" s="154"/>
      <c r="DC148" s="154"/>
      <c r="DD148" s="154"/>
      <c r="DE148" s="154"/>
      <c r="DF148" s="154"/>
      <c r="DG148" s="154"/>
      <c r="DH148" s="154"/>
      <c r="DI148" s="154"/>
      <c r="DJ148" s="154"/>
      <c r="DK148" s="154"/>
      <c r="DL148" s="154"/>
      <c r="DM148" s="154"/>
      <c r="DN148" s="154"/>
      <c r="DO148" s="154"/>
      <c r="DP148" s="154"/>
      <c r="DQ148" s="154"/>
      <c r="DR148" s="154"/>
      <c r="DS148" s="154"/>
      <c r="DT148" s="154"/>
      <c r="DU148" s="154"/>
      <c r="DV148" s="154"/>
      <c r="DW148" s="154"/>
      <c r="DX148" s="154"/>
      <c r="DY148" s="154"/>
      <c r="DZ148" s="154"/>
      <c r="EA148" s="154"/>
      <c r="EB148" s="154"/>
      <c r="EC148" s="154"/>
      <c r="ED148" s="154"/>
      <c r="EE148" s="154"/>
      <c r="EF148" s="154"/>
      <c r="EG148" s="154"/>
      <c r="EH148" s="154"/>
      <c r="EI148" s="154"/>
      <c r="EJ148" s="154"/>
      <c r="EK148" s="154"/>
      <c r="EL148" s="154"/>
      <c r="EM148" s="154"/>
      <c r="EN148" s="154"/>
      <c r="EO148" s="154"/>
      <c r="EP148" s="154"/>
      <c r="EQ148" s="154"/>
      <c r="ER148" s="154"/>
      <c r="ES148" s="154"/>
      <c r="ET148" s="154"/>
      <c r="EU148" s="154"/>
      <c r="EV148" s="154"/>
      <c r="EW148" s="154"/>
    </row>
    <row r="149" spans="2:153" ht="12.95" customHeight="1">
      <c r="B149" s="154"/>
      <c r="C149" s="380"/>
      <c r="D149" s="380"/>
      <c r="E149" s="154"/>
      <c r="F149" s="154"/>
      <c r="G149" s="154"/>
      <c r="H149" s="154"/>
      <c r="I149" s="154"/>
      <c r="J149" s="154"/>
      <c r="K149" s="154"/>
      <c r="L149" s="154"/>
      <c r="M149" s="154"/>
      <c r="N149" s="154"/>
      <c r="O149" s="154"/>
      <c r="P149" s="154"/>
      <c r="Q149" s="154"/>
      <c r="R149" s="154"/>
      <c r="S149" s="154"/>
      <c r="T149" s="154"/>
      <c r="U149" s="154"/>
      <c r="V149" s="154"/>
      <c r="W149" s="154"/>
      <c r="X149" s="154"/>
      <c r="Y149" s="154"/>
      <c r="Z149" s="154"/>
      <c r="AA149" s="154"/>
      <c r="AB149" s="154"/>
      <c r="AC149" s="154"/>
      <c r="AD149" s="154"/>
      <c r="AE149" s="154"/>
      <c r="AF149" s="367"/>
      <c r="AG149" s="368"/>
      <c r="AH149" s="368"/>
      <c r="AI149" s="368"/>
      <c r="AJ149" s="154"/>
      <c r="AK149" s="154"/>
      <c r="AL149" s="154"/>
      <c r="AM149" s="154"/>
      <c r="AN149" s="154"/>
      <c r="AO149" s="154"/>
      <c r="AP149" s="154"/>
      <c r="AQ149" s="154"/>
      <c r="AR149" s="154"/>
      <c r="AS149" s="154"/>
      <c r="AT149" s="154"/>
      <c r="AU149" s="154"/>
      <c r="AV149" s="154"/>
      <c r="AW149" s="154"/>
      <c r="AX149" s="154"/>
      <c r="AY149" s="154"/>
      <c r="AZ149" s="154"/>
      <c r="BA149" s="154"/>
      <c r="BB149" s="154"/>
      <c r="BC149" s="154"/>
      <c r="BD149" s="154"/>
      <c r="BE149" s="154"/>
      <c r="BF149" s="154"/>
      <c r="BG149" s="154"/>
      <c r="BH149" s="154"/>
      <c r="BI149" s="154"/>
      <c r="BJ149" s="154"/>
      <c r="BK149" s="154"/>
      <c r="BL149" s="154"/>
      <c r="BM149" s="154"/>
      <c r="BN149" s="154"/>
      <c r="BO149" s="154"/>
      <c r="BP149" s="154"/>
      <c r="BQ149" s="154"/>
      <c r="BR149" s="154"/>
      <c r="BS149" s="154"/>
      <c r="BT149" s="154"/>
      <c r="BU149" s="154"/>
      <c r="BV149" s="154"/>
      <c r="BW149" s="154"/>
      <c r="BX149" s="154"/>
      <c r="BY149" s="154"/>
      <c r="BZ149" s="154"/>
      <c r="CA149" s="154"/>
      <c r="CB149" s="154"/>
      <c r="CC149" s="154"/>
      <c r="CD149" s="154"/>
      <c r="CE149" s="154"/>
      <c r="CF149" s="154"/>
      <c r="CG149" s="154"/>
      <c r="CH149" s="154"/>
      <c r="CI149" s="154"/>
      <c r="CJ149" s="154"/>
      <c r="CK149" s="154"/>
      <c r="CL149" s="154"/>
      <c r="CM149" s="154"/>
      <c r="CN149" s="154"/>
      <c r="CO149" s="154"/>
      <c r="CP149" s="154"/>
      <c r="CQ149" s="154"/>
      <c r="CR149" s="154"/>
      <c r="CS149" s="154"/>
      <c r="CT149" s="154"/>
      <c r="CU149" s="154"/>
      <c r="CV149" s="154"/>
      <c r="CW149" s="154"/>
      <c r="CX149" s="154"/>
      <c r="CY149" s="154"/>
      <c r="CZ149" s="154"/>
      <c r="DA149" s="154"/>
      <c r="DB149" s="154"/>
      <c r="DC149" s="154"/>
      <c r="DD149" s="154"/>
      <c r="DE149" s="154"/>
      <c r="DF149" s="154"/>
      <c r="DG149" s="154"/>
      <c r="DH149" s="154"/>
      <c r="DI149" s="154"/>
      <c r="DJ149" s="154"/>
      <c r="DK149" s="154"/>
      <c r="DL149" s="154"/>
      <c r="DM149" s="154"/>
      <c r="DN149" s="154"/>
      <c r="DO149" s="154"/>
      <c r="DP149" s="154"/>
      <c r="DQ149" s="154"/>
      <c r="DR149" s="154"/>
      <c r="DS149" s="154"/>
      <c r="DT149" s="154"/>
      <c r="DU149" s="154"/>
      <c r="DV149" s="154"/>
      <c r="DW149" s="154"/>
      <c r="DX149" s="154"/>
      <c r="DY149" s="154"/>
      <c r="DZ149" s="154"/>
      <c r="EA149" s="154"/>
      <c r="EB149" s="154"/>
      <c r="EC149" s="154"/>
      <c r="ED149" s="154"/>
      <c r="EE149" s="154"/>
      <c r="EF149" s="154"/>
      <c r="EG149" s="154"/>
      <c r="EH149" s="154"/>
      <c r="EI149" s="154"/>
      <c r="EJ149" s="154"/>
      <c r="EK149" s="154"/>
      <c r="EL149" s="154"/>
      <c r="EM149" s="154"/>
      <c r="EN149" s="154"/>
      <c r="EO149" s="154"/>
      <c r="EP149" s="154"/>
      <c r="EQ149" s="154"/>
      <c r="ER149" s="154"/>
      <c r="ES149" s="154"/>
      <c r="ET149" s="154"/>
      <c r="EU149" s="154"/>
      <c r="EV149" s="154"/>
      <c r="EW149" s="154"/>
    </row>
    <row r="150" spans="2:153" ht="12.95" customHeight="1">
      <c r="B150" s="154"/>
      <c r="C150" s="380"/>
      <c r="D150" s="380"/>
      <c r="E150" s="154"/>
      <c r="F150" s="154"/>
      <c r="G150" s="154"/>
      <c r="H150" s="154"/>
      <c r="I150" s="154"/>
      <c r="J150" s="154"/>
      <c r="K150" s="154"/>
      <c r="L150" s="154"/>
      <c r="M150" s="154"/>
      <c r="N150" s="154"/>
      <c r="O150" s="154"/>
      <c r="P150" s="154"/>
      <c r="Q150" s="154"/>
      <c r="R150" s="154"/>
      <c r="S150" s="154"/>
      <c r="T150" s="154"/>
      <c r="U150" s="154"/>
      <c r="V150" s="154"/>
      <c r="W150" s="154"/>
      <c r="X150" s="154"/>
      <c r="Y150" s="154"/>
      <c r="Z150" s="154"/>
      <c r="AA150" s="154"/>
      <c r="AB150" s="154"/>
      <c r="AC150" s="154"/>
      <c r="AD150" s="154"/>
      <c r="AE150" s="154"/>
      <c r="AF150" s="367"/>
      <c r="AG150" s="368"/>
      <c r="AH150" s="368"/>
      <c r="AI150" s="368"/>
      <c r="AJ150" s="154"/>
      <c r="AK150" s="154"/>
      <c r="AL150" s="154"/>
      <c r="AM150" s="154"/>
      <c r="AN150" s="154"/>
      <c r="AO150" s="154"/>
      <c r="AP150" s="154"/>
      <c r="AQ150" s="154"/>
      <c r="AR150" s="154"/>
      <c r="AS150" s="154"/>
      <c r="AT150" s="154"/>
      <c r="AU150" s="154"/>
      <c r="AV150" s="154"/>
      <c r="AW150" s="154"/>
      <c r="AX150" s="154"/>
      <c r="AY150" s="154"/>
      <c r="AZ150" s="154"/>
      <c r="BA150" s="154"/>
      <c r="BB150" s="154"/>
      <c r="BC150" s="154"/>
      <c r="BD150" s="154"/>
      <c r="BE150" s="154"/>
      <c r="BF150" s="154"/>
      <c r="BG150" s="154"/>
      <c r="BH150" s="154"/>
      <c r="BI150" s="154"/>
      <c r="BJ150" s="154"/>
      <c r="BK150" s="154"/>
      <c r="BL150" s="154"/>
      <c r="BM150" s="154"/>
      <c r="BN150" s="154"/>
      <c r="BO150" s="154"/>
      <c r="BP150" s="154"/>
      <c r="BQ150" s="154"/>
      <c r="BR150" s="154"/>
      <c r="BS150" s="154"/>
      <c r="BT150" s="154"/>
      <c r="BU150" s="154"/>
      <c r="BV150" s="154"/>
      <c r="BW150" s="154"/>
      <c r="BX150" s="154"/>
      <c r="BY150" s="154"/>
      <c r="BZ150" s="154"/>
      <c r="CA150" s="154"/>
      <c r="CB150" s="154"/>
      <c r="CC150" s="154"/>
      <c r="CD150" s="154"/>
      <c r="CE150" s="154"/>
      <c r="CF150" s="154"/>
      <c r="CG150" s="154"/>
      <c r="CH150" s="154"/>
      <c r="CI150" s="154"/>
      <c r="CJ150" s="154"/>
      <c r="CK150" s="154"/>
      <c r="CL150" s="154"/>
      <c r="CM150" s="154"/>
      <c r="CN150" s="154"/>
      <c r="CO150" s="154"/>
      <c r="CP150" s="154"/>
      <c r="CQ150" s="154"/>
      <c r="CR150" s="154"/>
      <c r="CS150" s="154"/>
      <c r="CT150" s="154"/>
      <c r="CU150" s="154"/>
      <c r="CV150" s="154"/>
      <c r="CW150" s="154"/>
      <c r="CX150" s="154"/>
      <c r="CY150" s="154"/>
      <c r="CZ150" s="154"/>
      <c r="DA150" s="154"/>
      <c r="DB150" s="154"/>
      <c r="DC150" s="154"/>
      <c r="DD150" s="154"/>
      <c r="DE150" s="154"/>
      <c r="DF150" s="154"/>
      <c r="DG150" s="154"/>
      <c r="DH150" s="154"/>
      <c r="DI150" s="154"/>
      <c r="DJ150" s="154"/>
      <c r="DK150" s="154"/>
      <c r="DL150" s="154"/>
      <c r="DM150" s="154"/>
      <c r="DN150" s="154"/>
      <c r="DO150" s="154"/>
      <c r="DP150" s="154"/>
      <c r="DQ150" s="154"/>
      <c r="DR150" s="154"/>
      <c r="DS150" s="154"/>
      <c r="DT150" s="154"/>
      <c r="DU150" s="154"/>
      <c r="DV150" s="154"/>
      <c r="DW150" s="154"/>
      <c r="DX150" s="154"/>
      <c r="DY150" s="154"/>
      <c r="DZ150" s="154"/>
      <c r="EA150" s="154"/>
      <c r="EB150" s="154"/>
      <c r="EC150" s="154"/>
      <c r="ED150" s="154"/>
      <c r="EE150" s="154"/>
      <c r="EF150" s="154"/>
      <c r="EG150" s="154"/>
      <c r="EH150" s="154"/>
      <c r="EI150" s="154"/>
      <c r="EJ150" s="154"/>
      <c r="EK150" s="154"/>
      <c r="EL150" s="154"/>
      <c r="EM150" s="154"/>
      <c r="EN150" s="154"/>
      <c r="EO150" s="154"/>
      <c r="EP150" s="154"/>
      <c r="EQ150" s="154"/>
      <c r="ER150" s="154"/>
      <c r="ES150" s="154"/>
      <c r="ET150" s="154"/>
      <c r="EU150" s="154"/>
      <c r="EV150" s="154"/>
      <c r="EW150" s="154"/>
    </row>
    <row r="151" spans="2:153" ht="12.95" customHeight="1">
      <c r="B151" s="154"/>
      <c r="C151" s="380"/>
      <c r="D151" s="380"/>
      <c r="E151" s="154"/>
      <c r="F151" s="154"/>
      <c r="G151" s="154"/>
      <c r="H151" s="154"/>
      <c r="I151" s="154"/>
      <c r="J151" s="154"/>
      <c r="K151" s="154"/>
      <c r="L151" s="154"/>
      <c r="M151" s="154"/>
      <c r="N151" s="154"/>
      <c r="O151" s="154"/>
      <c r="P151" s="154"/>
      <c r="Q151" s="154"/>
      <c r="R151" s="154"/>
      <c r="S151" s="154"/>
      <c r="T151" s="154"/>
      <c r="U151" s="154"/>
      <c r="V151" s="154"/>
      <c r="W151" s="154"/>
      <c r="X151" s="154"/>
      <c r="Y151" s="154"/>
      <c r="Z151" s="154"/>
      <c r="AA151" s="154"/>
      <c r="AB151" s="154"/>
      <c r="AC151" s="154"/>
      <c r="AD151" s="154"/>
      <c r="AE151" s="154"/>
      <c r="AF151" s="367"/>
      <c r="AG151" s="368"/>
      <c r="AH151" s="368"/>
      <c r="AI151" s="368"/>
      <c r="AJ151" s="154"/>
      <c r="AK151" s="154"/>
      <c r="AL151" s="154"/>
      <c r="AM151" s="154"/>
      <c r="AN151" s="154"/>
      <c r="AO151" s="154"/>
      <c r="AP151" s="154"/>
      <c r="AQ151" s="154"/>
      <c r="AR151" s="154"/>
      <c r="AS151" s="154"/>
      <c r="AT151" s="154"/>
      <c r="AU151" s="154"/>
      <c r="AV151" s="154"/>
      <c r="AW151" s="154"/>
      <c r="AX151" s="154"/>
      <c r="AY151" s="154"/>
      <c r="AZ151" s="154"/>
      <c r="BA151" s="154"/>
      <c r="BB151" s="154"/>
      <c r="BC151" s="154"/>
      <c r="BD151" s="154"/>
      <c r="BE151" s="154"/>
      <c r="BF151" s="154"/>
      <c r="BG151" s="154"/>
      <c r="BH151" s="154"/>
      <c r="BI151" s="154"/>
      <c r="BJ151" s="154"/>
      <c r="BK151" s="154"/>
      <c r="BL151" s="154"/>
      <c r="BM151" s="154"/>
      <c r="BN151" s="154"/>
      <c r="BO151" s="154"/>
      <c r="BP151" s="154"/>
      <c r="BQ151" s="154"/>
      <c r="BR151" s="154"/>
      <c r="BS151" s="154"/>
      <c r="BT151" s="154"/>
      <c r="BU151" s="154"/>
      <c r="BV151" s="154"/>
      <c r="BW151" s="154"/>
      <c r="BX151" s="154"/>
      <c r="BY151" s="154"/>
      <c r="BZ151" s="154"/>
      <c r="CA151" s="154"/>
      <c r="CB151" s="154"/>
      <c r="CC151" s="154"/>
      <c r="CD151" s="154"/>
      <c r="CE151" s="154"/>
      <c r="CF151" s="154"/>
      <c r="CG151" s="154"/>
      <c r="CH151" s="154"/>
      <c r="CI151" s="154"/>
      <c r="CJ151" s="154"/>
      <c r="CK151" s="154"/>
      <c r="CL151" s="154"/>
      <c r="CM151" s="154"/>
      <c r="CN151" s="154"/>
      <c r="CO151" s="154"/>
      <c r="CP151" s="154"/>
      <c r="CQ151" s="154"/>
      <c r="CR151" s="154"/>
      <c r="CS151" s="154"/>
      <c r="CT151" s="154"/>
      <c r="CU151" s="154"/>
      <c r="CV151" s="154"/>
      <c r="CW151" s="154"/>
      <c r="CX151" s="154"/>
      <c r="CY151" s="154"/>
      <c r="CZ151" s="154"/>
      <c r="DA151" s="154"/>
      <c r="DB151" s="154"/>
      <c r="DC151" s="154"/>
      <c r="DD151" s="154"/>
      <c r="DE151" s="154"/>
      <c r="DF151" s="154"/>
      <c r="DG151" s="154"/>
      <c r="DH151" s="154"/>
      <c r="DI151" s="154"/>
      <c r="DJ151" s="154"/>
      <c r="DK151" s="154"/>
      <c r="DL151" s="154"/>
      <c r="DM151" s="154"/>
      <c r="DN151" s="154"/>
      <c r="DO151" s="154"/>
      <c r="DP151" s="154"/>
      <c r="DQ151" s="154"/>
      <c r="DR151" s="154"/>
      <c r="DS151" s="154"/>
      <c r="DT151" s="154"/>
      <c r="DU151" s="154"/>
      <c r="DV151" s="154"/>
      <c r="DW151" s="154"/>
      <c r="DX151" s="154"/>
      <c r="DY151" s="154"/>
      <c r="DZ151" s="154"/>
      <c r="EA151" s="154"/>
      <c r="EB151" s="154"/>
      <c r="EC151" s="154"/>
      <c r="ED151" s="154"/>
      <c r="EE151" s="154"/>
      <c r="EF151" s="154"/>
      <c r="EG151" s="154"/>
      <c r="EH151" s="154"/>
      <c r="EI151" s="154"/>
      <c r="EJ151" s="154"/>
      <c r="EK151" s="154"/>
      <c r="EL151" s="154"/>
      <c r="EM151" s="154"/>
      <c r="EN151" s="154"/>
      <c r="EO151" s="154"/>
      <c r="EP151" s="154"/>
      <c r="EQ151" s="154"/>
      <c r="ER151" s="154"/>
      <c r="ES151" s="154"/>
      <c r="ET151" s="154"/>
      <c r="EU151" s="154"/>
      <c r="EV151" s="154"/>
      <c r="EW151" s="154"/>
    </row>
    <row r="152" spans="2:153" ht="12.95" customHeight="1">
      <c r="B152" s="154"/>
      <c r="C152" s="380"/>
      <c r="D152" s="380"/>
      <c r="E152" s="154"/>
      <c r="F152" s="154"/>
      <c r="G152" s="154"/>
      <c r="H152" s="154"/>
      <c r="I152" s="154"/>
      <c r="J152" s="154"/>
      <c r="K152" s="154"/>
      <c r="L152" s="154"/>
      <c r="M152" s="154"/>
      <c r="N152" s="154"/>
      <c r="O152" s="154"/>
      <c r="P152" s="154"/>
      <c r="Q152" s="154"/>
      <c r="R152" s="154"/>
      <c r="S152" s="154"/>
      <c r="T152" s="154"/>
      <c r="U152" s="154"/>
      <c r="V152" s="154"/>
      <c r="W152" s="154"/>
      <c r="X152" s="154"/>
      <c r="Y152" s="154"/>
      <c r="Z152" s="154"/>
      <c r="AA152" s="154"/>
      <c r="AB152" s="154"/>
      <c r="AC152" s="154"/>
      <c r="AD152" s="154"/>
      <c r="AE152" s="154"/>
      <c r="AF152" s="367"/>
      <c r="AG152" s="368"/>
      <c r="AH152" s="368"/>
      <c r="AI152" s="368"/>
      <c r="AJ152" s="154"/>
      <c r="AK152" s="154"/>
      <c r="AL152" s="154"/>
      <c r="AM152" s="154"/>
      <c r="AN152" s="154"/>
      <c r="AO152" s="154"/>
      <c r="AP152" s="154"/>
      <c r="AQ152" s="154"/>
      <c r="AR152" s="154"/>
      <c r="AS152" s="154"/>
      <c r="AT152" s="154"/>
      <c r="AU152" s="154"/>
      <c r="AV152" s="154"/>
      <c r="AW152" s="154"/>
      <c r="AX152" s="154"/>
      <c r="AY152" s="154"/>
      <c r="AZ152" s="154"/>
      <c r="BA152" s="154"/>
      <c r="BB152" s="154"/>
      <c r="BC152" s="154"/>
      <c r="BD152" s="154"/>
      <c r="BE152" s="154"/>
      <c r="BF152" s="154"/>
      <c r="BG152" s="154"/>
      <c r="BH152" s="154"/>
      <c r="BI152" s="154"/>
      <c r="BJ152" s="154"/>
      <c r="BK152" s="154"/>
      <c r="BL152" s="154"/>
      <c r="BM152" s="154"/>
      <c r="BN152" s="154"/>
      <c r="BO152" s="154"/>
      <c r="BP152" s="154"/>
      <c r="BQ152" s="154"/>
      <c r="BR152" s="154"/>
      <c r="BS152" s="154"/>
      <c r="BT152" s="154"/>
      <c r="BU152" s="154"/>
      <c r="BV152" s="154"/>
      <c r="BW152" s="154"/>
      <c r="BX152" s="154"/>
      <c r="BY152" s="154"/>
      <c r="BZ152" s="154"/>
      <c r="CA152" s="154"/>
      <c r="CB152" s="154"/>
      <c r="CC152" s="154"/>
      <c r="CD152" s="154"/>
      <c r="CE152" s="154"/>
      <c r="CF152" s="154"/>
      <c r="CG152" s="154"/>
      <c r="CH152" s="154"/>
      <c r="CI152" s="154"/>
      <c r="CJ152" s="154"/>
      <c r="CK152" s="154"/>
      <c r="CL152" s="154"/>
      <c r="CM152" s="154"/>
      <c r="CN152" s="154"/>
      <c r="CO152" s="154"/>
      <c r="CP152" s="154"/>
      <c r="CQ152" s="154"/>
      <c r="CR152" s="154"/>
      <c r="CS152" s="154"/>
      <c r="CT152" s="154"/>
      <c r="CU152" s="154"/>
      <c r="CV152" s="154"/>
      <c r="CW152" s="154"/>
      <c r="CX152" s="154"/>
      <c r="CY152" s="154"/>
      <c r="CZ152" s="154"/>
      <c r="DA152" s="154"/>
      <c r="DB152" s="154"/>
      <c r="DC152" s="154"/>
      <c r="DD152" s="154"/>
      <c r="DE152" s="154"/>
      <c r="DF152" s="154"/>
      <c r="DG152" s="154"/>
      <c r="DH152" s="154"/>
      <c r="DI152" s="154"/>
      <c r="DJ152" s="154"/>
      <c r="DK152" s="154"/>
      <c r="DL152" s="154"/>
      <c r="DM152" s="154"/>
      <c r="DN152" s="154"/>
      <c r="DO152" s="154"/>
      <c r="DP152" s="154"/>
      <c r="DQ152" s="154"/>
      <c r="DR152" s="154"/>
      <c r="DS152" s="154"/>
      <c r="DT152" s="154"/>
      <c r="DU152" s="154"/>
      <c r="DV152" s="154"/>
      <c r="DW152" s="154"/>
      <c r="DX152" s="154"/>
      <c r="DY152" s="154"/>
      <c r="DZ152" s="154"/>
      <c r="EA152" s="154"/>
      <c r="EB152" s="154"/>
      <c r="EC152" s="154"/>
      <c r="ED152" s="154"/>
      <c r="EE152" s="154"/>
      <c r="EF152" s="154"/>
      <c r="EG152" s="154"/>
      <c r="EH152" s="154"/>
      <c r="EI152" s="154"/>
      <c r="EJ152" s="154"/>
      <c r="EK152" s="154"/>
      <c r="EL152" s="154"/>
      <c r="EM152" s="154"/>
      <c r="EN152" s="154"/>
      <c r="EO152" s="154"/>
      <c r="EP152" s="154"/>
      <c r="EQ152" s="154"/>
      <c r="ER152" s="154"/>
      <c r="ES152" s="154"/>
      <c r="ET152" s="154"/>
      <c r="EU152" s="154"/>
      <c r="EV152" s="154"/>
      <c r="EW152" s="154"/>
    </row>
    <row r="153" spans="2:153" ht="12.95" customHeight="1">
      <c r="B153" s="154"/>
      <c r="C153" s="380"/>
      <c r="D153" s="380"/>
      <c r="E153" s="154"/>
      <c r="F153" s="154"/>
      <c r="G153" s="154"/>
      <c r="H153" s="154"/>
      <c r="I153" s="154"/>
      <c r="J153" s="154"/>
      <c r="K153" s="154"/>
      <c r="L153" s="154"/>
      <c r="M153" s="154"/>
      <c r="N153" s="154"/>
      <c r="O153" s="154"/>
      <c r="P153" s="154"/>
      <c r="Q153" s="154"/>
      <c r="R153" s="154"/>
      <c r="S153" s="154"/>
      <c r="T153" s="154"/>
      <c r="U153" s="154"/>
      <c r="V153" s="154"/>
      <c r="W153" s="154"/>
      <c r="X153" s="154"/>
      <c r="Y153" s="154"/>
      <c r="Z153" s="154"/>
      <c r="AA153" s="154"/>
      <c r="AB153" s="154"/>
      <c r="AC153" s="154"/>
      <c r="AD153" s="154"/>
      <c r="AE153" s="154"/>
      <c r="AF153" s="367"/>
      <c r="AG153" s="368"/>
      <c r="AH153" s="368"/>
      <c r="AI153" s="368"/>
      <c r="AJ153" s="154"/>
      <c r="AK153" s="154"/>
      <c r="AL153" s="154"/>
      <c r="AM153" s="154"/>
      <c r="AN153" s="154"/>
      <c r="AO153" s="154"/>
      <c r="AP153" s="154"/>
      <c r="AQ153" s="154"/>
      <c r="AR153" s="154"/>
      <c r="AS153" s="154"/>
      <c r="AT153" s="154"/>
      <c r="AU153" s="154"/>
      <c r="AV153" s="154"/>
      <c r="AW153" s="154"/>
      <c r="AX153" s="154"/>
      <c r="AY153" s="154"/>
      <c r="AZ153" s="154"/>
      <c r="BA153" s="154"/>
      <c r="BB153" s="154"/>
      <c r="BC153" s="154"/>
      <c r="BD153" s="154"/>
      <c r="BE153" s="154"/>
      <c r="BF153" s="154"/>
      <c r="BG153" s="154"/>
      <c r="BH153" s="154"/>
      <c r="BI153" s="154"/>
      <c r="BJ153" s="154"/>
      <c r="BK153" s="154"/>
      <c r="BL153" s="154"/>
      <c r="BM153" s="154"/>
      <c r="BN153" s="154"/>
      <c r="BO153" s="154"/>
      <c r="BP153" s="154"/>
      <c r="BQ153" s="154"/>
      <c r="BR153" s="154"/>
      <c r="BS153" s="154"/>
      <c r="BT153" s="154"/>
      <c r="BU153" s="154"/>
      <c r="BV153" s="154"/>
      <c r="BW153" s="154"/>
      <c r="BX153" s="154"/>
      <c r="BY153" s="154"/>
      <c r="BZ153" s="154"/>
      <c r="CA153" s="154"/>
      <c r="CB153" s="154"/>
      <c r="CC153" s="154"/>
      <c r="CD153" s="154"/>
      <c r="CE153" s="154"/>
      <c r="CF153" s="154"/>
      <c r="CG153" s="154"/>
      <c r="CH153" s="154"/>
      <c r="CI153" s="154"/>
      <c r="CJ153" s="154"/>
      <c r="CK153" s="154"/>
      <c r="CL153" s="154"/>
      <c r="CM153" s="154"/>
      <c r="CN153" s="154"/>
      <c r="CO153" s="154"/>
      <c r="CP153" s="154"/>
      <c r="CQ153" s="154"/>
      <c r="CR153" s="154"/>
      <c r="CS153" s="154"/>
      <c r="CT153" s="154"/>
      <c r="CU153" s="154"/>
      <c r="CV153" s="154"/>
      <c r="CW153" s="154"/>
      <c r="CX153" s="154"/>
      <c r="CY153" s="154"/>
      <c r="CZ153" s="154"/>
      <c r="DA153" s="154"/>
      <c r="DB153" s="154"/>
      <c r="DC153" s="154"/>
      <c r="DD153" s="154"/>
      <c r="DE153" s="154"/>
      <c r="DF153" s="154"/>
      <c r="DG153" s="154"/>
      <c r="DH153" s="154"/>
      <c r="DI153" s="154"/>
      <c r="DJ153" s="154"/>
      <c r="DK153" s="154"/>
      <c r="DL153" s="154"/>
      <c r="DM153" s="154"/>
      <c r="DN153" s="154"/>
      <c r="DO153" s="154"/>
      <c r="DP153" s="154"/>
      <c r="DQ153" s="154"/>
      <c r="DR153" s="154"/>
      <c r="DS153" s="154"/>
      <c r="DT153" s="154"/>
      <c r="DU153" s="154"/>
      <c r="DV153" s="154"/>
      <c r="DW153" s="154"/>
      <c r="DX153" s="154"/>
      <c r="DY153" s="154"/>
      <c r="DZ153" s="154"/>
      <c r="EA153" s="154"/>
      <c r="EB153" s="154"/>
      <c r="EC153" s="154"/>
      <c r="ED153" s="154"/>
      <c r="EE153" s="154"/>
      <c r="EF153" s="154"/>
      <c r="EG153" s="154"/>
      <c r="EH153" s="154"/>
      <c r="EI153" s="154"/>
      <c r="EJ153" s="154"/>
      <c r="EK153" s="154"/>
      <c r="EL153" s="154"/>
      <c r="EM153" s="154"/>
      <c r="EN153" s="154"/>
      <c r="EO153" s="154"/>
      <c r="EP153" s="154"/>
      <c r="EQ153" s="154"/>
      <c r="ER153" s="154"/>
      <c r="ES153" s="154"/>
      <c r="ET153" s="154"/>
      <c r="EU153" s="154"/>
      <c r="EV153" s="154"/>
      <c r="EW153" s="154"/>
    </row>
    <row r="154" spans="2:153" ht="12.95" customHeight="1">
      <c r="B154" s="154"/>
      <c r="C154" s="380"/>
      <c r="D154" s="380"/>
      <c r="E154" s="154"/>
      <c r="F154" s="154"/>
      <c r="G154" s="154"/>
      <c r="H154" s="154"/>
      <c r="I154" s="154"/>
      <c r="J154" s="154"/>
      <c r="K154" s="154"/>
      <c r="L154" s="154"/>
      <c r="M154" s="154"/>
      <c r="N154" s="154"/>
      <c r="O154" s="154"/>
      <c r="P154" s="154"/>
      <c r="Q154" s="154"/>
      <c r="R154" s="154"/>
      <c r="S154" s="154"/>
      <c r="T154" s="154"/>
      <c r="U154" s="154"/>
      <c r="V154" s="154"/>
      <c r="W154" s="154"/>
      <c r="X154" s="154"/>
      <c r="Y154" s="154"/>
      <c r="Z154" s="154"/>
      <c r="AA154" s="154"/>
      <c r="AB154" s="154"/>
      <c r="AC154" s="154"/>
      <c r="AD154" s="154"/>
      <c r="AE154" s="154"/>
      <c r="AF154" s="367"/>
      <c r="AG154" s="368"/>
      <c r="AH154" s="368"/>
      <c r="AI154" s="368"/>
      <c r="AJ154" s="154"/>
      <c r="AK154" s="154"/>
      <c r="AL154" s="154"/>
      <c r="AM154" s="154"/>
      <c r="AN154" s="154"/>
      <c r="AO154" s="154"/>
      <c r="AP154" s="154"/>
      <c r="AQ154" s="154"/>
      <c r="AR154" s="154"/>
      <c r="AS154" s="154"/>
      <c r="AT154" s="154"/>
      <c r="AU154" s="154"/>
      <c r="AV154" s="154"/>
      <c r="AW154" s="154"/>
      <c r="AX154" s="154"/>
      <c r="AY154" s="154"/>
      <c r="AZ154" s="154"/>
      <c r="BA154" s="154"/>
      <c r="BB154" s="154"/>
      <c r="BC154" s="154"/>
      <c r="BD154" s="154"/>
      <c r="BE154" s="154"/>
      <c r="BF154" s="154"/>
      <c r="BG154" s="154"/>
      <c r="BH154" s="154"/>
      <c r="BI154" s="154"/>
      <c r="BJ154" s="154"/>
      <c r="BK154" s="154"/>
      <c r="BL154" s="154"/>
      <c r="BM154" s="154"/>
      <c r="BN154" s="154"/>
      <c r="BO154" s="154"/>
      <c r="BP154" s="154"/>
      <c r="BQ154" s="154"/>
      <c r="BR154" s="154"/>
      <c r="BS154" s="154"/>
      <c r="BT154" s="154"/>
      <c r="BU154" s="154"/>
      <c r="BV154" s="154"/>
      <c r="BW154" s="154"/>
      <c r="BX154" s="154"/>
      <c r="BY154" s="154"/>
      <c r="BZ154" s="154"/>
      <c r="CA154" s="154"/>
      <c r="CB154" s="154"/>
      <c r="CC154" s="154"/>
      <c r="CD154" s="154"/>
      <c r="CE154" s="154"/>
      <c r="CF154" s="154"/>
      <c r="CG154" s="154"/>
      <c r="CH154" s="154"/>
      <c r="CI154" s="154"/>
      <c r="CJ154" s="154"/>
      <c r="CK154" s="154"/>
      <c r="CL154" s="154"/>
      <c r="CM154" s="154"/>
      <c r="CN154" s="154"/>
      <c r="CO154" s="154"/>
      <c r="CP154" s="154"/>
      <c r="CQ154" s="154"/>
      <c r="CR154" s="154"/>
      <c r="CS154" s="154"/>
      <c r="CT154" s="154"/>
      <c r="CU154" s="154"/>
      <c r="CV154" s="154"/>
      <c r="CW154" s="154"/>
      <c r="CX154" s="154"/>
      <c r="CY154" s="154"/>
      <c r="CZ154" s="154"/>
      <c r="DA154" s="154"/>
      <c r="DB154" s="154"/>
      <c r="DC154" s="154"/>
      <c r="DD154" s="154"/>
      <c r="DE154" s="154"/>
      <c r="DF154" s="154"/>
      <c r="DG154" s="154"/>
      <c r="DH154" s="154"/>
      <c r="DI154" s="154"/>
      <c r="DJ154" s="154"/>
      <c r="DK154" s="154"/>
      <c r="DL154" s="154"/>
      <c r="DM154" s="154"/>
      <c r="DN154" s="154"/>
      <c r="DO154" s="154"/>
      <c r="DP154" s="154"/>
      <c r="DQ154" s="154"/>
      <c r="DR154" s="154"/>
      <c r="DS154" s="154"/>
      <c r="DT154" s="154"/>
      <c r="DU154" s="154"/>
      <c r="DV154" s="154"/>
      <c r="DW154" s="154"/>
      <c r="DX154" s="154"/>
      <c r="DY154" s="154"/>
      <c r="DZ154" s="154"/>
      <c r="EA154" s="154"/>
      <c r="EB154" s="154"/>
      <c r="EC154" s="154"/>
      <c r="ED154" s="154"/>
      <c r="EE154" s="154"/>
      <c r="EF154" s="154"/>
      <c r="EG154" s="154"/>
      <c r="EH154" s="154"/>
      <c r="EI154" s="154"/>
      <c r="EJ154" s="154"/>
      <c r="EK154" s="154"/>
      <c r="EL154" s="154"/>
      <c r="EM154" s="154"/>
      <c r="EN154" s="154"/>
      <c r="EO154" s="154"/>
      <c r="EP154" s="154"/>
      <c r="EQ154" s="154"/>
      <c r="ER154" s="154"/>
      <c r="ES154" s="154"/>
      <c r="ET154" s="154"/>
      <c r="EU154" s="154"/>
      <c r="EV154" s="154"/>
      <c r="EW154" s="154"/>
    </row>
    <row r="155" spans="2:153" ht="12.95" customHeight="1">
      <c r="B155" s="154"/>
      <c r="C155" s="380"/>
      <c r="D155" s="380"/>
      <c r="E155" s="154"/>
      <c r="F155" s="154"/>
      <c r="G155" s="154"/>
      <c r="H155" s="154"/>
      <c r="I155" s="154"/>
      <c r="J155" s="154"/>
      <c r="K155" s="154"/>
      <c r="L155" s="154"/>
      <c r="M155" s="154"/>
      <c r="N155" s="154"/>
      <c r="O155" s="154"/>
      <c r="P155" s="154"/>
      <c r="Q155" s="154"/>
      <c r="R155" s="154"/>
      <c r="S155" s="154"/>
      <c r="T155" s="154"/>
      <c r="U155" s="154"/>
      <c r="V155" s="154"/>
      <c r="W155" s="154"/>
      <c r="X155" s="154"/>
      <c r="Y155" s="154"/>
      <c r="Z155" s="154"/>
      <c r="AA155" s="154"/>
      <c r="AB155" s="154"/>
      <c r="AC155" s="154"/>
      <c r="AD155" s="154"/>
      <c r="AE155" s="154"/>
      <c r="AF155" s="367"/>
      <c r="AG155" s="368"/>
      <c r="AH155" s="368"/>
      <c r="AI155" s="368"/>
      <c r="AJ155" s="154"/>
      <c r="AK155" s="154"/>
      <c r="AL155" s="154"/>
      <c r="AM155" s="154"/>
      <c r="AN155" s="154"/>
      <c r="AO155" s="154"/>
      <c r="AP155" s="154"/>
      <c r="AQ155" s="154"/>
      <c r="AR155" s="154"/>
      <c r="AS155" s="154"/>
      <c r="AT155" s="154"/>
      <c r="AU155" s="154"/>
      <c r="AV155" s="154"/>
      <c r="AW155" s="154"/>
      <c r="AX155" s="154"/>
      <c r="AY155" s="154"/>
      <c r="AZ155" s="154"/>
      <c r="BA155" s="154"/>
      <c r="BB155" s="154"/>
      <c r="BC155" s="154"/>
      <c r="BD155" s="154"/>
      <c r="BE155" s="154"/>
      <c r="BF155" s="154"/>
      <c r="BG155" s="154"/>
      <c r="BH155" s="154"/>
      <c r="BI155" s="154"/>
      <c r="BJ155" s="154"/>
      <c r="BK155" s="154"/>
      <c r="BL155" s="154"/>
      <c r="BM155" s="154"/>
      <c r="BN155" s="154"/>
      <c r="BO155" s="154"/>
      <c r="BP155" s="154"/>
      <c r="BQ155" s="154"/>
      <c r="BR155" s="154"/>
      <c r="BS155" s="154"/>
      <c r="BT155" s="154"/>
      <c r="BU155" s="154"/>
      <c r="BV155" s="154"/>
      <c r="BW155" s="154"/>
      <c r="BX155" s="154"/>
      <c r="BY155" s="154"/>
      <c r="BZ155" s="154"/>
      <c r="CA155" s="154"/>
      <c r="CB155" s="154"/>
      <c r="CC155" s="154"/>
      <c r="CD155" s="154"/>
      <c r="CE155" s="154"/>
      <c r="CF155" s="154"/>
      <c r="CG155" s="154"/>
      <c r="CH155" s="154"/>
      <c r="CI155" s="154"/>
      <c r="CJ155" s="154"/>
      <c r="CK155" s="154"/>
      <c r="CL155" s="154"/>
      <c r="CM155" s="154"/>
      <c r="CN155" s="154"/>
      <c r="CO155" s="154"/>
      <c r="CP155" s="154"/>
      <c r="CQ155" s="154"/>
      <c r="CR155" s="154"/>
      <c r="CS155" s="154"/>
      <c r="CT155" s="154"/>
      <c r="CU155" s="154"/>
      <c r="CV155" s="154"/>
      <c r="CW155" s="154"/>
      <c r="CX155" s="154"/>
      <c r="CY155" s="154"/>
      <c r="CZ155" s="154"/>
      <c r="DA155" s="154"/>
      <c r="DB155" s="154"/>
      <c r="DC155" s="154"/>
      <c r="DD155" s="154"/>
      <c r="DE155" s="154"/>
      <c r="DF155" s="154"/>
      <c r="DG155" s="154"/>
      <c r="DH155" s="154"/>
      <c r="DI155" s="154"/>
      <c r="DJ155" s="154"/>
      <c r="DK155" s="154"/>
      <c r="DL155" s="154"/>
      <c r="DM155" s="154"/>
      <c r="DN155" s="154"/>
      <c r="DO155" s="154"/>
      <c r="DP155" s="154"/>
      <c r="DQ155" s="154"/>
      <c r="DR155" s="154"/>
      <c r="DS155" s="154"/>
      <c r="DT155" s="154"/>
      <c r="DU155" s="154"/>
      <c r="DV155" s="154"/>
      <c r="DW155" s="154"/>
      <c r="DX155" s="154"/>
      <c r="DY155" s="154"/>
      <c r="DZ155" s="154"/>
      <c r="EA155" s="154"/>
      <c r="EB155" s="154"/>
      <c r="EC155" s="154"/>
      <c r="ED155" s="154"/>
      <c r="EE155" s="154"/>
      <c r="EF155" s="154"/>
      <c r="EG155" s="154"/>
      <c r="EH155" s="154"/>
      <c r="EI155" s="154"/>
      <c r="EJ155" s="154"/>
      <c r="EK155" s="154"/>
      <c r="EL155" s="154"/>
      <c r="EM155" s="154"/>
      <c r="EN155" s="154"/>
      <c r="EO155" s="154"/>
      <c r="EP155" s="154"/>
      <c r="EQ155" s="154"/>
      <c r="ER155" s="154"/>
      <c r="ES155" s="154"/>
      <c r="ET155" s="154"/>
      <c r="EU155" s="154"/>
      <c r="EV155" s="154"/>
      <c r="EW155" s="154"/>
    </row>
    <row r="156" spans="2:153" ht="12.95" customHeight="1">
      <c r="B156" s="154"/>
      <c r="C156" s="380"/>
      <c r="D156" s="380"/>
      <c r="E156" s="154"/>
      <c r="F156" s="154"/>
      <c r="G156" s="154"/>
      <c r="H156" s="154"/>
      <c r="I156" s="154"/>
      <c r="J156" s="154"/>
      <c r="K156" s="154"/>
      <c r="L156" s="154"/>
      <c r="M156" s="154"/>
      <c r="N156" s="154"/>
      <c r="O156" s="154"/>
      <c r="P156" s="154"/>
      <c r="Q156" s="154"/>
      <c r="R156" s="154"/>
      <c r="S156" s="154"/>
      <c r="T156" s="154"/>
      <c r="U156" s="154"/>
      <c r="V156" s="154"/>
      <c r="W156" s="154"/>
      <c r="X156" s="154"/>
      <c r="Y156" s="154"/>
      <c r="Z156" s="154"/>
      <c r="AA156" s="154"/>
      <c r="AB156" s="154"/>
      <c r="AC156" s="154"/>
      <c r="AD156" s="154"/>
      <c r="AE156" s="154"/>
      <c r="AF156" s="367"/>
      <c r="AG156" s="368"/>
      <c r="AH156" s="368"/>
      <c r="AI156" s="368"/>
      <c r="AJ156" s="154"/>
      <c r="AK156" s="154"/>
      <c r="AL156" s="154"/>
      <c r="AM156" s="154"/>
      <c r="AN156" s="154"/>
      <c r="AO156" s="154"/>
      <c r="AP156" s="154"/>
      <c r="AQ156" s="154"/>
      <c r="AR156" s="154"/>
      <c r="AS156" s="154"/>
      <c r="AT156" s="154"/>
      <c r="AU156" s="154"/>
      <c r="AV156" s="154"/>
      <c r="AW156" s="154"/>
      <c r="AX156" s="154"/>
      <c r="AY156" s="154"/>
      <c r="AZ156" s="154"/>
      <c r="BA156" s="154"/>
      <c r="BB156" s="154"/>
      <c r="BC156" s="154"/>
      <c r="BD156" s="154"/>
      <c r="BE156" s="154"/>
      <c r="BF156" s="154"/>
      <c r="BG156" s="154"/>
      <c r="BH156" s="154"/>
      <c r="BI156" s="154"/>
      <c r="BJ156" s="154"/>
      <c r="BK156" s="154"/>
      <c r="BL156" s="154"/>
      <c r="BM156" s="154"/>
      <c r="BN156" s="154"/>
      <c r="BO156" s="154"/>
      <c r="BP156" s="154"/>
      <c r="BQ156" s="154"/>
      <c r="BR156" s="154"/>
      <c r="BS156" s="154"/>
      <c r="BT156" s="154"/>
      <c r="BU156" s="154"/>
      <c r="BV156" s="154"/>
      <c r="BW156" s="154"/>
      <c r="BX156" s="154"/>
      <c r="BY156" s="154"/>
      <c r="BZ156" s="154"/>
      <c r="CA156" s="154"/>
      <c r="CB156" s="154"/>
      <c r="CC156" s="154"/>
      <c r="CD156" s="154"/>
      <c r="CE156" s="154"/>
      <c r="CF156" s="154"/>
      <c r="CG156" s="154"/>
      <c r="CH156" s="154"/>
      <c r="CI156" s="154"/>
      <c r="CJ156" s="154"/>
      <c r="CK156" s="154"/>
      <c r="CL156" s="154"/>
      <c r="CM156" s="154"/>
      <c r="CN156" s="154"/>
      <c r="CO156" s="154"/>
      <c r="CP156" s="154"/>
      <c r="CQ156" s="154"/>
      <c r="CR156" s="154"/>
      <c r="CS156" s="154"/>
      <c r="CT156" s="154"/>
      <c r="CU156" s="154"/>
      <c r="CV156" s="154"/>
      <c r="CW156" s="154"/>
      <c r="CX156" s="154"/>
      <c r="CY156" s="154"/>
      <c r="CZ156" s="154"/>
      <c r="DA156" s="154"/>
      <c r="DB156" s="154"/>
      <c r="DC156" s="154"/>
      <c r="DD156" s="154"/>
      <c r="DE156" s="154"/>
      <c r="DF156" s="154"/>
      <c r="DG156" s="154"/>
      <c r="DH156" s="154"/>
      <c r="DI156" s="154"/>
      <c r="DJ156" s="154"/>
      <c r="DK156" s="154"/>
      <c r="DL156" s="154"/>
      <c r="DM156" s="154"/>
      <c r="DN156" s="154"/>
      <c r="DO156" s="154"/>
      <c r="DP156" s="154"/>
      <c r="DQ156" s="154"/>
      <c r="DR156" s="154"/>
      <c r="DS156" s="154"/>
      <c r="DT156" s="154"/>
      <c r="DU156" s="154"/>
      <c r="DV156" s="154"/>
      <c r="DW156" s="154"/>
      <c r="DX156" s="154"/>
      <c r="DY156" s="154"/>
      <c r="DZ156" s="154"/>
      <c r="EA156" s="154"/>
      <c r="EB156" s="154"/>
      <c r="EC156" s="154"/>
      <c r="ED156" s="154"/>
      <c r="EE156" s="154"/>
      <c r="EF156" s="154"/>
      <c r="EG156" s="154"/>
      <c r="EH156" s="154"/>
      <c r="EI156" s="154"/>
      <c r="EJ156" s="154"/>
      <c r="EK156" s="154"/>
      <c r="EL156" s="154"/>
      <c r="EM156" s="154"/>
      <c r="EN156" s="154"/>
      <c r="EO156" s="154"/>
      <c r="EP156" s="154"/>
      <c r="EQ156" s="154"/>
      <c r="ER156" s="154"/>
      <c r="ES156" s="154"/>
      <c r="ET156" s="154"/>
      <c r="EU156" s="154"/>
      <c r="EV156" s="154"/>
      <c r="EW156" s="154"/>
    </row>
    <row r="157" spans="2:153" ht="12.95" customHeight="1">
      <c r="B157" s="154"/>
      <c r="C157" s="380"/>
      <c r="D157" s="380"/>
      <c r="E157" s="154"/>
      <c r="F157" s="154"/>
      <c r="G157" s="154"/>
      <c r="H157" s="154"/>
      <c r="I157" s="154"/>
      <c r="J157" s="154"/>
      <c r="K157" s="154"/>
      <c r="L157" s="154"/>
      <c r="M157" s="154"/>
      <c r="N157" s="154"/>
      <c r="O157" s="154"/>
      <c r="P157" s="154"/>
      <c r="Q157" s="154"/>
      <c r="R157" s="154"/>
      <c r="S157" s="154"/>
      <c r="T157" s="154"/>
      <c r="U157" s="154"/>
      <c r="V157" s="154"/>
      <c r="W157" s="154"/>
      <c r="X157" s="154"/>
      <c r="Y157" s="154"/>
      <c r="Z157" s="154"/>
      <c r="AA157" s="154"/>
      <c r="AB157" s="154"/>
      <c r="AC157" s="154"/>
      <c r="AD157" s="154"/>
      <c r="AE157" s="154"/>
      <c r="AF157" s="367"/>
      <c r="AG157" s="368"/>
      <c r="AH157" s="368"/>
      <c r="AI157" s="368"/>
      <c r="AJ157" s="154"/>
      <c r="AK157" s="154"/>
      <c r="AL157" s="154"/>
      <c r="AM157" s="154"/>
      <c r="AN157" s="154"/>
      <c r="AO157" s="154"/>
      <c r="AP157" s="154"/>
      <c r="AQ157" s="154"/>
      <c r="AR157" s="154"/>
      <c r="AS157" s="154"/>
      <c r="AT157" s="154"/>
      <c r="AU157" s="154"/>
      <c r="AV157" s="154"/>
      <c r="AW157" s="154"/>
      <c r="AX157" s="154"/>
      <c r="AY157" s="154"/>
      <c r="AZ157" s="154"/>
      <c r="BA157" s="154"/>
      <c r="BB157" s="154"/>
      <c r="BC157" s="154"/>
      <c r="BD157" s="154"/>
      <c r="BE157" s="154"/>
      <c r="BF157" s="154"/>
      <c r="BG157" s="154"/>
      <c r="BH157" s="154"/>
      <c r="BI157" s="154"/>
      <c r="BJ157" s="154"/>
      <c r="BK157" s="154"/>
      <c r="BL157" s="154"/>
      <c r="BM157" s="154"/>
      <c r="BN157" s="154"/>
      <c r="BO157" s="154"/>
      <c r="BP157" s="154"/>
      <c r="BQ157" s="154"/>
      <c r="BR157" s="154"/>
      <c r="BS157" s="154"/>
      <c r="BT157" s="154"/>
      <c r="BU157" s="154"/>
      <c r="BV157" s="154"/>
      <c r="BW157" s="154"/>
      <c r="BX157" s="154"/>
      <c r="BY157" s="154"/>
      <c r="BZ157" s="154"/>
      <c r="CA157" s="154"/>
      <c r="CB157" s="154"/>
      <c r="CC157" s="154"/>
      <c r="CD157" s="154"/>
      <c r="CE157" s="154"/>
      <c r="CF157" s="154"/>
      <c r="CG157" s="154"/>
      <c r="CH157" s="154"/>
      <c r="CI157" s="154"/>
      <c r="CJ157" s="154"/>
      <c r="CK157" s="154"/>
      <c r="CL157" s="154"/>
      <c r="CM157" s="154"/>
      <c r="CN157" s="154"/>
      <c r="CO157" s="154"/>
      <c r="CP157" s="154"/>
      <c r="CQ157" s="154"/>
      <c r="CR157" s="154"/>
      <c r="CS157" s="154"/>
      <c r="CT157" s="154"/>
      <c r="CU157" s="154"/>
      <c r="CV157" s="154"/>
      <c r="CW157" s="154"/>
      <c r="CX157" s="154"/>
      <c r="CY157" s="154"/>
      <c r="CZ157" s="154"/>
      <c r="DA157" s="154"/>
      <c r="DB157" s="154"/>
      <c r="DC157" s="154"/>
      <c r="DD157" s="154"/>
      <c r="DE157" s="154"/>
      <c r="DF157" s="154"/>
      <c r="DG157" s="154"/>
      <c r="DH157" s="154"/>
      <c r="DI157" s="154"/>
      <c r="DJ157" s="154"/>
      <c r="DK157" s="154"/>
      <c r="DL157" s="154"/>
      <c r="DM157" s="154"/>
      <c r="DN157" s="154"/>
      <c r="DO157" s="154"/>
      <c r="DP157" s="154"/>
      <c r="DQ157" s="154"/>
      <c r="DR157" s="154"/>
      <c r="DS157" s="154"/>
      <c r="DT157" s="154"/>
      <c r="DU157" s="154"/>
      <c r="DV157" s="154"/>
      <c r="DW157" s="154"/>
      <c r="DX157" s="154"/>
      <c r="DY157" s="154"/>
      <c r="DZ157" s="154"/>
      <c r="EA157" s="154"/>
      <c r="EB157" s="154"/>
      <c r="EC157" s="154"/>
      <c r="ED157" s="154"/>
      <c r="EE157" s="154"/>
      <c r="EF157" s="154"/>
      <c r="EG157" s="154"/>
      <c r="EH157" s="154"/>
      <c r="EI157" s="154"/>
      <c r="EJ157" s="154"/>
      <c r="EK157" s="154"/>
      <c r="EL157" s="154"/>
      <c r="EM157" s="154"/>
      <c r="EN157" s="154"/>
      <c r="EO157" s="154"/>
      <c r="EP157" s="154"/>
      <c r="EQ157" s="154"/>
      <c r="ER157" s="154"/>
      <c r="ES157" s="154"/>
      <c r="ET157" s="154"/>
      <c r="EU157" s="154"/>
      <c r="EV157" s="154"/>
      <c r="EW157" s="154"/>
    </row>
    <row r="158" spans="2:153" ht="12.95" customHeight="1">
      <c r="B158" s="154"/>
      <c r="C158" s="380"/>
      <c r="D158" s="380"/>
      <c r="E158" s="154"/>
      <c r="F158" s="154"/>
      <c r="G158" s="154"/>
      <c r="H158" s="154"/>
      <c r="I158" s="154"/>
      <c r="J158" s="154"/>
      <c r="K158" s="154"/>
      <c r="L158" s="154"/>
      <c r="M158" s="154"/>
      <c r="N158" s="154"/>
      <c r="O158" s="154"/>
      <c r="P158" s="154"/>
      <c r="Q158" s="154"/>
      <c r="R158" s="154"/>
      <c r="S158" s="154"/>
      <c r="T158" s="154"/>
      <c r="U158" s="154"/>
      <c r="V158" s="154"/>
      <c r="W158" s="154"/>
      <c r="X158" s="154"/>
      <c r="Y158" s="154"/>
      <c r="Z158" s="154"/>
      <c r="AA158" s="154"/>
      <c r="AB158" s="154"/>
      <c r="AC158" s="154"/>
      <c r="AD158" s="154"/>
      <c r="AE158" s="154"/>
      <c r="AF158" s="367"/>
      <c r="AG158" s="368"/>
      <c r="AH158" s="368"/>
      <c r="AI158" s="368"/>
      <c r="AJ158" s="154"/>
      <c r="AK158" s="154"/>
      <c r="AL158" s="154"/>
      <c r="AM158" s="154"/>
      <c r="AN158" s="154"/>
      <c r="AO158" s="154"/>
      <c r="AP158" s="154"/>
      <c r="AQ158" s="154"/>
      <c r="AR158" s="154"/>
      <c r="AS158" s="154"/>
      <c r="AT158" s="154"/>
      <c r="AU158" s="154"/>
      <c r="AV158" s="154"/>
      <c r="AW158" s="154"/>
      <c r="AX158" s="154"/>
      <c r="AY158" s="154"/>
      <c r="AZ158" s="154"/>
      <c r="BA158" s="154"/>
      <c r="BB158" s="154"/>
      <c r="BC158" s="154"/>
      <c r="BD158" s="154"/>
      <c r="BE158" s="154"/>
      <c r="BF158" s="154"/>
      <c r="BG158" s="154"/>
      <c r="BH158" s="154"/>
      <c r="BI158" s="154"/>
      <c r="BJ158" s="154"/>
      <c r="BK158" s="154"/>
      <c r="BL158" s="154"/>
      <c r="BM158" s="154"/>
      <c r="BN158" s="154"/>
      <c r="BO158" s="154"/>
      <c r="BP158" s="154"/>
      <c r="BQ158" s="154"/>
      <c r="BR158" s="154"/>
      <c r="BS158" s="154"/>
      <c r="BT158" s="154"/>
      <c r="BU158" s="154"/>
      <c r="BV158" s="154"/>
      <c r="BW158" s="154"/>
      <c r="BX158" s="154"/>
      <c r="BY158" s="154"/>
      <c r="BZ158" s="154"/>
      <c r="CA158" s="154"/>
      <c r="CB158" s="154"/>
      <c r="CC158" s="154"/>
      <c r="CD158" s="154"/>
      <c r="CE158" s="154"/>
      <c r="CF158" s="154"/>
      <c r="CG158" s="154"/>
      <c r="CH158" s="154"/>
      <c r="CI158" s="154"/>
      <c r="CJ158" s="154"/>
      <c r="CK158" s="154"/>
      <c r="CL158" s="154"/>
      <c r="CM158" s="154"/>
      <c r="CN158" s="154"/>
      <c r="CO158" s="154"/>
      <c r="CP158" s="154"/>
      <c r="CQ158" s="154"/>
      <c r="CR158" s="154"/>
      <c r="CS158" s="154"/>
      <c r="CT158" s="154"/>
      <c r="CU158" s="154"/>
      <c r="CV158" s="154"/>
      <c r="CW158" s="154"/>
      <c r="CX158" s="154"/>
      <c r="CY158" s="154"/>
      <c r="CZ158" s="154"/>
      <c r="DA158" s="154"/>
      <c r="DB158" s="154"/>
      <c r="DC158" s="154"/>
      <c r="DD158" s="154"/>
      <c r="DE158" s="154"/>
      <c r="DF158" s="154"/>
      <c r="DG158" s="154"/>
      <c r="DH158" s="154"/>
      <c r="DI158" s="154"/>
      <c r="DJ158" s="154"/>
      <c r="DK158" s="154"/>
      <c r="DL158" s="154"/>
      <c r="DM158" s="154"/>
      <c r="DN158" s="154"/>
      <c r="DO158" s="154"/>
      <c r="DP158" s="154"/>
      <c r="DQ158" s="154"/>
      <c r="DR158" s="154"/>
      <c r="DS158" s="154"/>
      <c r="DT158" s="154"/>
      <c r="DU158" s="154"/>
      <c r="DV158" s="154"/>
      <c r="DW158" s="154"/>
      <c r="DX158" s="154"/>
      <c r="DY158" s="154"/>
      <c r="DZ158" s="154"/>
      <c r="EA158" s="154"/>
      <c r="EB158" s="154"/>
      <c r="EC158" s="154"/>
      <c r="ED158" s="154"/>
      <c r="EE158" s="154"/>
      <c r="EF158" s="154"/>
      <c r="EG158" s="154"/>
      <c r="EH158" s="154"/>
      <c r="EI158" s="154"/>
      <c r="EJ158" s="154"/>
      <c r="EK158" s="154"/>
      <c r="EL158" s="154"/>
      <c r="EM158" s="154"/>
      <c r="EN158" s="154"/>
      <c r="EO158" s="154"/>
      <c r="EP158" s="154"/>
      <c r="EQ158" s="154"/>
      <c r="ER158" s="154"/>
      <c r="ES158" s="154"/>
      <c r="ET158" s="154"/>
      <c r="EU158" s="154"/>
      <c r="EV158" s="154"/>
      <c r="EW158" s="154"/>
    </row>
    <row r="159" spans="2:153" ht="12.95" customHeight="1">
      <c r="B159" s="154"/>
      <c r="C159" s="380"/>
      <c r="D159" s="380"/>
      <c r="E159" s="154"/>
      <c r="F159" s="154"/>
      <c r="G159" s="154"/>
      <c r="H159" s="154"/>
      <c r="I159" s="154"/>
      <c r="J159" s="154"/>
      <c r="K159" s="154"/>
      <c r="L159" s="154"/>
      <c r="M159" s="154"/>
      <c r="N159" s="154"/>
      <c r="O159" s="154"/>
      <c r="P159" s="154"/>
      <c r="Q159" s="154"/>
      <c r="R159" s="154"/>
      <c r="S159" s="154"/>
      <c r="T159" s="154"/>
      <c r="U159" s="154"/>
      <c r="V159" s="154"/>
      <c r="W159" s="154"/>
      <c r="X159" s="154"/>
      <c r="Y159" s="154"/>
      <c r="Z159" s="154"/>
      <c r="AA159" s="154"/>
      <c r="AB159" s="154"/>
      <c r="AC159" s="154"/>
      <c r="AD159" s="154"/>
      <c r="AE159" s="154"/>
      <c r="AF159" s="367"/>
      <c r="AG159" s="368"/>
      <c r="AH159" s="368"/>
      <c r="AI159" s="368"/>
      <c r="AJ159" s="154"/>
      <c r="AK159" s="154"/>
      <c r="AL159" s="154"/>
      <c r="AM159" s="154"/>
      <c r="AN159" s="154"/>
      <c r="AO159" s="154"/>
      <c r="AP159" s="154"/>
      <c r="AQ159" s="154"/>
      <c r="AR159" s="154"/>
      <c r="AS159" s="154"/>
      <c r="AT159" s="154"/>
      <c r="AU159" s="154"/>
      <c r="AV159" s="154"/>
      <c r="AW159" s="154"/>
      <c r="AX159" s="154"/>
      <c r="AY159" s="154"/>
      <c r="AZ159" s="154"/>
      <c r="BA159" s="154"/>
      <c r="BB159" s="154"/>
      <c r="BC159" s="154"/>
      <c r="BD159" s="154"/>
      <c r="BE159" s="154"/>
      <c r="BF159" s="154"/>
      <c r="BG159" s="154"/>
      <c r="BH159" s="154"/>
      <c r="BI159" s="154"/>
      <c r="BJ159" s="154"/>
      <c r="BK159" s="154"/>
      <c r="BL159" s="154"/>
      <c r="BM159" s="154"/>
      <c r="BN159" s="154"/>
      <c r="BO159" s="154"/>
      <c r="BP159" s="154"/>
      <c r="BQ159" s="154"/>
      <c r="BR159" s="154"/>
      <c r="BS159" s="154"/>
      <c r="BT159" s="154"/>
      <c r="BU159" s="154"/>
      <c r="BV159" s="154"/>
      <c r="BW159" s="154"/>
      <c r="BX159" s="154"/>
      <c r="BY159" s="154"/>
      <c r="BZ159" s="154"/>
      <c r="CA159" s="154"/>
      <c r="CB159" s="154"/>
      <c r="CC159" s="154"/>
      <c r="CD159" s="154"/>
      <c r="CE159" s="154"/>
      <c r="CF159" s="154"/>
      <c r="CG159" s="154"/>
      <c r="CH159" s="154"/>
      <c r="CI159" s="154"/>
      <c r="CJ159" s="154"/>
      <c r="CK159" s="154"/>
      <c r="CL159" s="154"/>
      <c r="CM159" s="154"/>
      <c r="CN159" s="154"/>
      <c r="CO159" s="154"/>
      <c r="CP159" s="154"/>
      <c r="CQ159" s="154"/>
      <c r="CR159" s="154"/>
      <c r="CS159" s="154"/>
      <c r="CT159" s="154"/>
      <c r="CU159" s="154"/>
      <c r="CV159" s="154"/>
      <c r="CW159" s="154"/>
      <c r="CX159" s="154"/>
      <c r="CY159" s="154"/>
      <c r="CZ159" s="154"/>
      <c r="DA159" s="154"/>
      <c r="DB159" s="154"/>
      <c r="DC159" s="154"/>
      <c r="DD159" s="154"/>
      <c r="DE159" s="154"/>
      <c r="DF159" s="154"/>
      <c r="DG159" s="154"/>
      <c r="DH159" s="154"/>
      <c r="DI159" s="154"/>
      <c r="DJ159" s="154"/>
      <c r="DK159" s="154"/>
      <c r="DL159" s="154"/>
      <c r="DM159" s="154"/>
      <c r="DN159" s="154"/>
      <c r="DO159" s="154"/>
      <c r="DP159" s="154"/>
      <c r="DQ159" s="154"/>
      <c r="DR159" s="154"/>
      <c r="DS159" s="154"/>
      <c r="DT159" s="154"/>
      <c r="DU159" s="154"/>
      <c r="DV159" s="154"/>
      <c r="DW159" s="154"/>
      <c r="DX159" s="154"/>
      <c r="DY159" s="154"/>
      <c r="DZ159" s="154"/>
      <c r="EA159" s="154"/>
      <c r="EB159" s="154"/>
      <c r="EC159" s="154"/>
      <c r="ED159" s="154"/>
      <c r="EE159" s="154"/>
      <c r="EF159" s="154"/>
      <c r="EG159" s="154"/>
      <c r="EH159" s="154"/>
      <c r="EI159" s="154"/>
      <c r="EJ159" s="154"/>
      <c r="EK159" s="154"/>
      <c r="EL159" s="154"/>
      <c r="EM159" s="154"/>
      <c r="EN159" s="154"/>
      <c r="EO159" s="154"/>
      <c r="EP159" s="154"/>
      <c r="EQ159" s="154"/>
      <c r="ER159" s="154"/>
      <c r="ES159" s="154"/>
      <c r="ET159" s="154"/>
      <c r="EU159" s="154"/>
      <c r="EV159" s="154"/>
      <c r="EW159" s="154"/>
    </row>
    <row r="160" spans="2:153" ht="12.95" customHeight="1">
      <c r="B160" s="154"/>
      <c r="C160" s="380"/>
      <c r="D160" s="380"/>
      <c r="E160" s="154"/>
      <c r="F160" s="154"/>
      <c r="G160" s="154"/>
      <c r="H160" s="154"/>
      <c r="I160" s="154"/>
      <c r="J160" s="154"/>
      <c r="K160" s="154"/>
      <c r="L160" s="154"/>
      <c r="M160" s="154"/>
      <c r="N160" s="154"/>
      <c r="O160" s="154"/>
      <c r="P160" s="154"/>
      <c r="Q160" s="154"/>
      <c r="R160" s="154"/>
      <c r="S160" s="154"/>
      <c r="T160" s="154"/>
      <c r="U160" s="154"/>
      <c r="V160" s="154"/>
      <c r="W160" s="154"/>
      <c r="X160" s="154"/>
      <c r="Y160" s="154"/>
      <c r="Z160" s="154"/>
      <c r="AA160" s="154"/>
      <c r="AB160" s="154"/>
      <c r="AC160" s="154"/>
      <c r="AD160" s="154"/>
      <c r="AE160" s="154"/>
      <c r="AF160" s="367"/>
      <c r="AG160" s="368"/>
      <c r="AH160" s="368"/>
      <c r="AI160" s="368"/>
      <c r="AJ160" s="154"/>
      <c r="AK160" s="154"/>
      <c r="AL160" s="154"/>
      <c r="AM160" s="154"/>
      <c r="AN160" s="154"/>
      <c r="AO160" s="154"/>
      <c r="AP160" s="154"/>
      <c r="AQ160" s="154"/>
      <c r="AR160" s="154"/>
      <c r="AS160" s="154"/>
      <c r="AT160" s="154"/>
      <c r="AU160" s="154"/>
      <c r="AV160" s="154"/>
      <c r="AW160" s="154"/>
      <c r="AX160" s="154"/>
      <c r="AY160" s="154"/>
      <c r="AZ160" s="154"/>
      <c r="BA160" s="154"/>
      <c r="BB160" s="154"/>
      <c r="BC160" s="154"/>
      <c r="BD160" s="154"/>
      <c r="BE160" s="154"/>
      <c r="BF160" s="154"/>
      <c r="BG160" s="154"/>
      <c r="BH160" s="154"/>
      <c r="BI160" s="154"/>
      <c r="BJ160" s="154"/>
      <c r="BK160" s="154"/>
      <c r="BL160" s="154"/>
      <c r="BM160" s="154"/>
      <c r="BN160" s="154"/>
      <c r="BO160" s="154"/>
      <c r="BP160" s="154"/>
      <c r="BQ160" s="154"/>
      <c r="BR160" s="154"/>
      <c r="BS160" s="154"/>
      <c r="BT160" s="154"/>
      <c r="BU160" s="154"/>
      <c r="BV160" s="154"/>
      <c r="BW160" s="154"/>
      <c r="BX160" s="154"/>
      <c r="BY160" s="154"/>
      <c r="BZ160" s="154"/>
      <c r="CA160" s="154"/>
      <c r="CB160" s="154"/>
      <c r="CC160" s="154"/>
      <c r="CD160" s="154"/>
      <c r="CE160" s="154"/>
      <c r="CF160" s="154"/>
      <c r="CG160" s="154"/>
      <c r="CH160" s="154"/>
      <c r="CI160" s="154"/>
      <c r="CJ160" s="154"/>
      <c r="CK160" s="154"/>
      <c r="CL160" s="154"/>
      <c r="CM160" s="154"/>
      <c r="CN160" s="154"/>
      <c r="CO160" s="154"/>
      <c r="CP160" s="154"/>
      <c r="CQ160" s="154"/>
      <c r="CR160" s="154"/>
      <c r="CS160" s="154"/>
      <c r="CT160" s="154"/>
      <c r="CU160" s="154"/>
      <c r="CV160" s="154"/>
      <c r="CW160" s="154"/>
      <c r="CX160" s="154"/>
      <c r="CY160" s="154"/>
      <c r="CZ160" s="154"/>
      <c r="DA160" s="154"/>
      <c r="DB160" s="154"/>
      <c r="DC160" s="154"/>
      <c r="DD160" s="154"/>
      <c r="DE160" s="154"/>
      <c r="DF160" s="154"/>
      <c r="DG160" s="154"/>
      <c r="DH160" s="154"/>
      <c r="DI160" s="154"/>
      <c r="DJ160" s="154"/>
      <c r="DK160" s="154"/>
      <c r="DL160" s="154"/>
      <c r="DM160" s="154"/>
      <c r="DN160" s="154"/>
      <c r="DO160" s="154"/>
      <c r="DP160" s="154"/>
      <c r="DQ160" s="154"/>
      <c r="DR160" s="154"/>
      <c r="DS160" s="154"/>
      <c r="DT160" s="154"/>
      <c r="DU160" s="154"/>
      <c r="DV160" s="154"/>
      <c r="DW160" s="154"/>
      <c r="DX160" s="154"/>
      <c r="DY160" s="154"/>
      <c r="DZ160" s="154"/>
      <c r="EA160" s="154"/>
      <c r="EB160" s="154"/>
      <c r="EC160" s="154"/>
      <c r="ED160" s="154"/>
      <c r="EE160" s="154"/>
      <c r="EF160" s="154"/>
      <c r="EG160" s="154"/>
      <c r="EH160" s="154"/>
      <c r="EI160" s="154"/>
      <c r="EJ160" s="154"/>
      <c r="EK160" s="154"/>
      <c r="EL160" s="154"/>
      <c r="EM160" s="154"/>
      <c r="EN160" s="154"/>
      <c r="EO160" s="154"/>
      <c r="EP160" s="154"/>
      <c r="EQ160" s="154"/>
      <c r="ER160" s="154"/>
      <c r="ES160" s="154"/>
      <c r="ET160" s="154"/>
      <c r="EU160" s="154"/>
      <c r="EV160" s="154"/>
      <c r="EW160" s="154"/>
    </row>
    <row r="161" spans="2:153" ht="12.95" customHeight="1">
      <c r="B161" s="154"/>
      <c r="C161" s="380"/>
      <c r="D161" s="380"/>
      <c r="E161" s="154"/>
      <c r="F161" s="154"/>
      <c r="G161" s="154"/>
      <c r="H161" s="154"/>
      <c r="I161" s="154"/>
      <c r="J161" s="154"/>
      <c r="K161" s="154"/>
      <c r="L161" s="154"/>
      <c r="M161" s="154"/>
      <c r="N161" s="154"/>
      <c r="O161" s="154"/>
      <c r="P161" s="154"/>
      <c r="Q161" s="154"/>
      <c r="R161" s="154"/>
      <c r="S161" s="154"/>
      <c r="T161" s="154"/>
      <c r="U161" s="154"/>
      <c r="V161" s="154"/>
      <c r="W161" s="154"/>
      <c r="X161" s="154"/>
      <c r="Y161" s="154"/>
      <c r="Z161" s="154"/>
      <c r="AA161" s="154"/>
      <c r="AB161" s="154"/>
      <c r="AC161" s="154"/>
      <c r="AD161" s="154"/>
      <c r="AE161" s="154"/>
      <c r="AF161" s="367"/>
      <c r="AG161" s="368"/>
      <c r="AH161" s="368"/>
      <c r="AI161" s="368"/>
      <c r="AJ161" s="154"/>
      <c r="AK161" s="154"/>
      <c r="AL161" s="154"/>
      <c r="AM161" s="154"/>
      <c r="AN161" s="154"/>
      <c r="AO161" s="154"/>
      <c r="AP161" s="154"/>
      <c r="AQ161" s="154"/>
      <c r="AR161" s="154"/>
      <c r="AS161" s="154"/>
      <c r="AT161" s="154"/>
      <c r="AU161" s="154"/>
      <c r="AV161" s="154"/>
      <c r="AW161" s="154"/>
      <c r="AX161" s="154"/>
      <c r="AY161" s="154"/>
      <c r="AZ161" s="154"/>
      <c r="BA161" s="154"/>
      <c r="BB161" s="154"/>
      <c r="BC161" s="154"/>
      <c r="BD161" s="154"/>
      <c r="BE161" s="154"/>
      <c r="BF161" s="154"/>
      <c r="BG161" s="154"/>
      <c r="BH161" s="154"/>
      <c r="BI161" s="154"/>
      <c r="BJ161" s="154"/>
      <c r="BK161" s="154"/>
      <c r="BL161" s="154"/>
      <c r="BM161" s="154"/>
      <c r="BN161" s="154"/>
      <c r="BO161" s="154"/>
      <c r="BP161" s="154"/>
      <c r="BQ161" s="154"/>
      <c r="BR161" s="154"/>
      <c r="BS161" s="154"/>
      <c r="BT161" s="154"/>
      <c r="BU161" s="154"/>
      <c r="BV161" s="154"/>
      <c r="BW161" s="154"/>
      <c r="BX161" s="154"/>
      <c r="BY161" s="154"/>
      <c r="BZ161" s="154"/>
      <c r="CA161" s="154"/>
      <c r="CB161" s="154"/>
      <c r="CC161" s="154"/>
      <c r="CD161" s="154"/>
      <c r="CE161" s="154"/>
      <c r="CF161" s="154"/>
      <c r="CG161" s="154"/>
      <c r="CH161" s="154"/>
      <c r="CI161" s="154"/>
      <c r="CJ161" s="154"/>
      <c r="CK161" s="154"/>
      <c r="CL161" s="154"/>
      <c r="CM161" s="154"/>
      <c r="CN161" s="154"/>
      <c r="CO161" s="154"/>
      <c r="CP161" s="154"/>
      <c r="CQ161" s="154"/>
      <c r="CR161" s="154"/>
      <c r="CS161" s="154"/>
      <c r="CT161" s="154"/>
      <c r="CU161" s="154"/>
      <c r="CV161" s="154"/>
      <c r="CW161" s="154"/>
      <c r="CX161" s="154"/>
      <c r="CY161" s="154"/>
      <c r="CZ161" s="154"/>
      <c r="DA161" s="154"/>
      <c r="DB161" s="154"/>
      <c r="DC161" s="154"/>
      <c r="DD161" s="154"/>
      <c r="DE161" s="154"/>
      <c r="DF161" s="154"/>
      <c r="DG161" s="154"/>
      <c r="DH161" s="154"/>
      <c r="DI161" s="154"/>
      <c r="DJ161" s="154"/>
      <c r="DK161" s="154"/>
      <c r="DL161" s="154"/>
      <c r="DM161" s="154"/>
      <c r="DN161" s="154"/>
      <c r="DO161" s="154"/>
      <c r="DP161" s="154"/>
      <c r="DQ161" s="154"/>
      <c r="DR161" s="154"/>
      <c r="DS161" s="154"/>
      <c r="DT161" s="154"/>
      <c r="DU161" s="154"/>
      <c r="DV161" s="154"/>
      <c r="DW161" s="154"/>
      <c r="DX161" s="154"/>
      <c r="DY161" s="154"/>
      <c r="DZ161" s="154"/>
      <c r="EA161" s="154"/>
      <c r="EB161" s="154"/>
      <c r="EC161" s="154"/>
      <c r="ED161" s="154"/>
      <c r="EE161" s="154"/>
      <c r="EF161" s="154"/>
      <c r="EG161" s="154"/>
      <c r="EH161" s="154"/>
      <c r="EI161" s="154"/>
      <c r="EJ161" s="154"/>
      <c r="EK161" s="154"/>
      <c r="EL161" s="154"/>
      <c r="EM161" s="154"/>
      <c r="EN161" s="154"/>
      <c r="EO161" s="154"/>
      <c r="EP161" s="154"/>
      <c r="EQ161" s="154"/>
      <c r="ER161" s="154"/>
      <c r="ES161" s="154"/>
      <c r="ET161" s="154"/>
      <c r="EU161" s="154"/>
      <c r="EV161" s="154"/>
      <c r="EW161" s="154"/>
    </row>
    <row r="162" spans="2:153" ht="12.95" customHeight="1">
      <c r="B162" s="154"/>
      <c r="C162" s="380"/>
      <c r="D162" s="380"/>
      <c r="E162" s="154"/>
      <c r="F162" s="154"/>
      <c r="G162" s="154"/>
      <c r="H162" s="154"/>
      <c r="I162" s="154"/>
      <c r="J162" s="154"/>
      <c r="K162" s="154"/>
      <c r="L162" s="154"/>
      <c r="M162" s="154"/>
      <c r="N162" s="154"/>
      <c r="O162" s="154"/>
      <c r="P162" s="154"/>
      <c r="Q162" s="154"/>
      <c r="R162" s="154"/>
      <c r="S162" s="154"/>
      <c r="T162" s="154"/>
      <c r="U162" s="154"/>
      <c r="V162" s="154"/>
      <c r="W162" s="154"/>
      <c r="X162" s="154"/>
      <c r="Y162" s="154"/>
      <c r="Z162" s="154"/>
      <c r="AA162" s="154"/>
      <c r="AB162" s="154"/>
      <c r="AC162" s="154"/>
      <c r="AD162" s="154"/>
      <c r="AE162" s="154"/>
      <c r="AF162" s="367"/>
      <c r="AG162" s="368"/>
      <c r="AH162" s="368"/>
      <c r="AI162" s="368"/>
      <c r="AJ162" s="154"/>
      <c r="AK162" s="154"/>
      <c r="AL162" s="154"/>
      <c r="AM162" s="154"/>
      <c r="AN162" s="154"/>
      <c r="AO162" s="154"/>
      <c r="AP162" s="154"/>
      <c r="AQ162" s="154"/>
      <c r="AR162" s="154"/>
      <c r="AS162" s="154"/>
      <c r="AT162" s="154"/>
      <c r="AU162" s="154"/>
      <c r="AV162" s="154"/>
      <c r="AW162" s="154"/>
      <c r="AX162" s="154"/>
      <c r="AY162" s="154"/>
      <c r="AZ162" s="154"/>
      <c r="BA162" s="154"/>
      <c r="BB162" s="154"/>
      <c r="BC162" s="154"/>
      <c r="BD162" s="154"/>
      <c r="BE162" s="154"/>
      <c r="BF162" s="154"/>
      <c r="BG162" s="154"/>
      <c r="BH162" s="154"/>
      <c r="BI162" s="154"/>
      <c r="BJ162" s="154"/>
      <c r="BK162" s="154"/>
      <c r="BL162" s="154"/>
      <c r="BM162" s="154"/>
      <c r="BN162" s="154"/>
      <c r="BO162" s="154"/>
      <c r="BP162" s="154"/>
      <c r="BQ162" s="154"/>
      <c r="BR162" s="154"/>
      <c r="BS162" s="154"/>
      <c r="BT162" s="154"/>
      <c r="BU162" s="154"/>
      <c r="BV162" s="154"/>
      <c r="BW162" s="154"/>
      <c r="BX162" s="154"/>
      <c r="BY162" s="154"/>
      <c r="BZ162" s="154"/>
      <c r="CA162" s="154"/>
      <c r="CB162" s="154"/>
      <c r="CC162" s="154"/>
      <c r="CD162" s="154"/>
      <c r="CE162" s="154"/>
      <c r="CF162" s="154"/>
      <c r="CG162" s="154"/>
      <c r="CH162" s="154"/>
      <c r="CI162" s="154"/>
      <c r="CJ162" s="154"/>
      <c r="CK162" s="154"/>
      <c r="CL162" s="154"/>
      <c r="CM162" s="154"/>
      <c r="CN162" s="154"/>
      <c r="CO162" s="154"/>
      <c r="CP162" s="154"/>
      <c r="CQ162" s="154"/>
      <c r="CR162" s="154"/>
      <c r="CS162" s="154"/>
      <c r="CT162" s="154"/>
      <c r="CU162" s="154"/>
      <c r="CV162" s="154"/>
      <c r="CW162" s="154"/>
      <c r="CX162" s="154"/>
      <c r="CY162" s="154"/>
      <c r="CZ162" s="154"/>
      <c r="DA162" s="154"/>
      <c r="DB162" s="154"/>
      <c r="DC162" s="154"/>
      <c r="DD162" s="154"/>
      <c r="DE162" s="154"/>
      <c r="DF162" s="154"/>
      <c r="DG162" s="154"/>
      <c r="DH162" s="154"/>
      <c r="DI162" s="154"/>
      <c r="DJ162" s="154"/>
      <c r="DK162" s="154"/>
      <c r="DL162" s="154"/>
      <c r="DM162" s="154"/>
      <c r="DN162" s="154"/>
      <c r="DO162" s="154"/>
      <c r="DP162" s="154"/>
      <c r="DQ162" s="154"/>
      <c r="DR162" s="154"/>
      <c r="DS162" s="154"/>
      <c r="DT162" s="154"/>
      <c r="DU162" s="154"/>
      <c r="DV162" s="154"/>
      <c r="DW162" s="154"/>
      <c r="DX162" s="154"/>
      <c r="DY162" s="154"/>
      <c r="DZ162" s="154"/>
      <c r="EA162" s="154"/>
      <c r="EB162" s="154"/>
      <c r="EC162" s="154"/>
      <c r="ED162" s="154"/>
      <c r="EE162" s="154"/>
      <c r="EF162" s="154"/>
      <c r="EG162" s="154"/>
      <c r="EH162" s="154"/>
      <c r="EI162" s="154"/>
      <c r="EJ162" s="154"/>
      <c r="EK162" s="154"/>
      <c r="EL162" s="154"/>
      <c r="EM162" s="154"/>
      <c r="EN162" s="154"/>
      <c r="EO162" s="154"/>
      <c r="EP162" s="154"/>
      <c r="EQ162" s="154"/>
      <c r="ER162" s="154"/>
      <c r="ES162" s="154"/>
      <c r="ET162" s="154"/>
      <c r="EU162" s="154"/>
      <c r="EV162" s="154"/>
      <c r="EW162" s="154"/>
    </row>
    <row r="163" spans="2:153" ht="12.95" customHeight="1">
      <c r="B163" s="154"/>
      <c r="C163" s="380"/>
      <c r="D163" s="380"/>
      <c r="E163" s="154"/>
      <c r="F163" s="154"/>
      <c r="G163" s="154"/>
      <c r="H163" s="154"/>
      <c r="I163" s="154"/>
      <c r="J163" s="154"/>
      <c r="K163" s="154"/>
      <c r="L163" s="154"/>
      <c r="M163" s="154"/>
      <c r="N163" s="154"/>
      <c r="O163" s="154"/>
      <c r="P163" s="154"/>
      <c r="Q163" s="154"/>
      <c r="R163" s="154"/>
      <c r="S163" s="154"/>
      <c r="T163" s="154"/>
      <c r="U163" s="154"/>
      <c r="V163" s="154"/>
      <c r="W163" s="154"/>
      <c r="X163" s="154"/>
      <c r="Y163" s="154"/>
      <c r="Z163" s="154"/>
      <c r="AA163" s="154"/>
      <c r="AB163" s="154"/>
      <c r="AC163" s="154"/>
      <c r="AD163" s="154"/>
      <c r="AE163" s="154"/>
      <c r="AF163" s="367"/>
      <c r="AG163" s="368"/>
      <c r="AH163" s="368"/>
      <c r="AI163" s="368"/>
      <c r="AJ163" s="154"/>
      <c r="AK163" s="154"/>
      <c r="AL163" s="154"/>
      <c r="AM163" s="154"/>
      <c r="AN163" s="154"/>
      <c r="AO163" s="154"/>
      <c r="AP163" s="154"/>
      <c r="AQ163" s="154"/>
      <c r="AR163" s="154"/>
      <c r="AS163" s="154"/>
      <c r="AT163" s="154"/>
      <c r="AU163" s="154"/>
      <c r="AV163" s="154"/>
      <c r="AW163" s="154"/>
      <c r="AX163" s="154"/>
      <c r="AY163" s="154"/>
      <c r="AZ163" s="154"/>
      <c r="BA163" s="154"/>
      <c r="BB163" s="154"/>
      <c r="BC163" s="154"/>
      <c r="BD163" s="154"/>
      <c r="BE163" s="154"/>
      <c r="BF163" s="154"/>
      <c r="BG163" s="154"/>
      <c r="BH163" s="154"/>
      <c r="BI163" s="154"/>
      <c r="BJ163" s="154"/>
      <c r="BK163" s="154"/>
      <c r="BL163" s="154"/>
      <c r="BM163" s="154"/>
      <c r="BN163" s="154"/>
      <c r="BO163" s="154"/>
      <c r="BP163" s="154"/>
      <c r="BQ163" s="154"/>
      <c r="BR163" s="154"/>
      <c r="BS163" s="154"/>
      <c r="BT163" s="154"/>
      <c r="BU163" s="154"/>
      <c r="BV163" s="154"/>
      <c r="BW163" s="154"/>
      <c r="BX163" s="154"/>
      <c r="BY163" s="154"/>
      <c r="BZ163" s="154"/>
      <c r="CA163" s="154"/>
      <c r="CB163" s="154"/>
      <c r="CC163" s="154"/>
      <c r="CD163" s="154"/>
      <c r="CE163" s="154"/>
      <c r="CF163" s="154"/>
      <c r="CG163" s="154"/>
      <c r="CH163" s="154"/>
      <c r="CI163" s="154"/>
      <c r="CJ163" s="154"/>
      <c r="CK163" s="154"/>
      <c r="CL163" s="154"/>
      <c r="CM163" s="154"/>
      <c r="CN163" s="154"/>
      <c r="CO163" s="154"/>
      <c r="CP163" s="154"/>
      <c r="CQ163" s="154"/>
      <c r="CR163" s="154"/>
      <c r="CS163" s="154"/>
      <c r="CT163" s="154"/>
      <c r="CU163" s="154"/>
      <c r="CV163" s="154"/>
      <c r="CW163" s="154"/>
      <c r="CX163" s="154"/>
      <c r="CY163" s="154"/>
      <c r="CZ163" s="154"/>
      <c r="DA163" s="154"/>
      <c r="DB163" s="154"/>
      <c r="DC163" s="154"/>
      <c r="DD163" s="154"/>
      <c r="DE163" s="154"/>
      <c r="DF163" s="154"/>
      <c r="DG163" s="154"/>
      <c r="DH163" s="154"/>
      <c r="DI163" s="154"/>
      <c r="DJ163" s="154"/>
      <c r="DK163" s="154"/>
      <c r="DL163" s="154"/>
      <c r="DM163" s="154"/>
      <c r="DN163" s="154"/>
      <c r="DO163" s="154"/>
      <c r="DP163" s="154"/>
      <c r="DQ163" s="154"/>
      <c r="DR163" s="154"/>
      <c r="DS163" s="154"/>
      <c r="DT163" s="154"/>
      <c r="DU163" s="154"/>
      <c r="DV163" s="154"/>
      <c r="DW163" s="154"/>
      <c r="DX163" s="154"/>
      <c r="DY163" s="154"/>
      <c r="DZ163" s="154"/>
      <c r="EA163" s="154"/>
      <c r="EB163" s="154"/>
      <c r="EC163" s="154"/>
      <c r="ED163" s="154"/>
      <c r="EE163" s="154"/>
      <c r="EF163" s="154"/>
      <c r="EG163" s="154"/>
      <c r="EH163" s="154"/>
      <c r="EI163" s="154"/>
      <c r="EJ163" s="154"/>
      <c r="EK163" s="154"/>
      <c r="EL163" s="154"/>
      <c r="EM163" s="154"/>
      <c r="EN163" s="154"/>
      <c r="EO163" s="154"/>
      <c r="EP163" s="154"/>
      <c r="EQ163" s="154"/>
      <c r="ER163" s="154"/>
      <c r="ES163" s="154"/>
      <c r="ET163" s="154"/>
      <c r="EU163" s="154"/>
      <c r="EV163" s="154"/>
      <c r="EW163" s="154"/>
    </row>
    <row r="164" spans="2:153" ht="12.95" customHeight="1">
      <c r="B164" s="154"/>
      <c r="C164" s="380"/>
      <c r="D164" s="380"/>
      <c r="E164" s="154"/>
      <c r="F164" s="154"/>
      <c r="G164" s="154"/>
      <c r="H164" s="154"/>
      <c r="I164" s="154"/>
      <c r="J164" s="154"/>
      <c r="K164" s="154"/>
      <c r="L164" s="154"/>
      <c r="M164" s="154"/>
      <c r="N164" s="154"/>
      <c r="O164" s="154"/>
      <c r="P164" s="154"/>
      <c r="Q164" s="154"/>
      <c r="R164" s="154"/>
      <c r="S164" s="154"/>
      <c r="T164" s="154"/>
      <c r="U164" s="154"/>
      <c r="V164" s="154"/>
      <c r="W164" s="154"/>
      <c r="X164" s="154"/>
      <c r="Y164" s="154"/>
      <c r="Z164" s="154"/>
      <c r="AA164" s="154"/>
      <c r="AB164" s="154"/>
      <c r="AC164" s="154"/>
      <c r="AD164" s="154"/>
      <c r="AE164" s="154"/>
      <c r="AF164" s="367"/>
      <c r="AG164" s="368"/>
      <c r="AH164" s="368"/>
      <c r="AI164" s="368"/>
      <c r="AJ164" s="154"/>
      <c r="AK164" s="154"/>
      <c r="AL164" s="154"/>
      <c r="AM164" s="154"/>
      <c r="AN164" s="154"/>
      <c r="AO164" s="154"/>
      <c r="AP164" s="154"/>
      <c r="AQ164" s="154"/>
      <c r="AR164" s="154"/>
      <c r="AS164" s="154"/>
      <c r="AT164" s="154"/>
      <c r="AU164" s="154"/>
      <c r="AV164" s="154"/>
      <c r="AW164" s="154"/>
      <c r="AX164" s="154"/>
      <c r="AY164" s="154"/>
      <c r="AZ164" s="154"/>
      <c r="BA164" s="154"/>
      <c r="BB164" s="154"/>
      <c r="BC164" s="154"/>
      <c r="BD164" s="154"/>
      <c r="BE164" s="154"/>
      <c r="BF164" s="154"/>
      <c r="BG164" s="154"/>
      <c r="BH164" s="154"/>
      <c r="BI164" s="154"/>
      <c r="BJ164" s="154"/>
      <c r="BK164" s="154"/>
      <c r="BL164" s="154"/>
      <c r="BM164" s="154"/>
      <c r="BN164" s="154"/>
      <c r="BO164" s="154"/>
      <c r="BP164" s="154"/>
      <c r="BQ164" s="154"/>
      <c r="BR164" s="154"/>
      <c r="BS164" s="154"/>
      <c r="BT164" s="154"/>
      <c r="BU164" s="154"/>
      <c r="BV164" s="154"/>
      <c r="BW164" s="154"/>
      <c r="BX164" s="154"/>
      <c r="BY164" s="154"/>
      <c r="BZ164" s="154"/>
      <c r="CA164" s="154"/>
      <c r="CB164" s="154"/>
      <c r="CC164" s="154"/>
      <c r="CD164" s="154"/>
      <c r="CE164" s="154"/>
      <c r="CF164" s="154"/>
      <c r="CG164" s="154"/>
      <c r="CH164" s="154"/>
      <c r="CI164" s="154"/>
      <c r="CJ164" s="154"/>
      <c r="CK164" s="154"/>
      <c r="CL164" s="154"/>
      <c r="CM164" s="154"/>
      <c r="CN164" s="154"/>
      <c r="CO164" s="154"/>
      <c r="CP164" s="154"/>
      <c r="CQ164" s="154"/>
      <c r="CR164" s="154"/>
      <c r="CS164" s="154"/>
      <c r="CT164" s="154"/>
      <c r="CU164" s="154"/>
      <c r="CV164" s="154"/>
      <c r="CW164" s="154"/>
      <c r="CX164" s="154"/>
      <c r="CY164" s="154"/>
      <c r="CZ164" s="154"/>
      <c r="DA164" s="154"/>
      <c r="DB164" s="154"/>
      <c r="DC164" s="154"/>
      <c r="DD164" s="154"/>
      <c r="DE164" s="154"/>
      <c r="DF164" s="154"/>
      <c r="DG164" s="154"/>
      <c r="DH164" s="154"/>
      <c r="DI164" s="154"/>
      <c r="DJ164" s="154"/>
      <c r="DK164" s="154"/>
      <c r="DL164" s="154"/>
      <c r="DM164" s="154"/>
      <c r="DN164" s="154"/>
      <c r="DO164" s="154"/>
      <c r="DP164" s="154"/>
      <c r="DQ164" s="154"/>
      <c r="DR164" s="154"/>
      <c r="DS164" s="154"/>
      <c r="DT164" s="154"/>
      <c r="DU164" s="154"/>
      <c r="DV164" s="154"/>
      <c r="DW164" s="154"/>
      <c r="DX164" s="154"/>
      <c r="DY164" s="154"/>
      <c r="DZ164" s="154"/>
      <c r="EA164" s="154"/>
      <c r="EB164" s="154"/>
      <c r="EC164" s="154"/>
      <c r="ED164" s="154"/>
      <c r="EE164" s="154"/>
      <c r="EF164" s="154"/>
      <c r="EG164" s="154"/>
      <c r="EH164" s="154"/>
      <c r="EI164" s="154"/>
      <c r="EJ164" s="154"/>
      <c r="EK164" s="154"/>
      <c r="EL164" s="154"/>
      <c r="EM164" s="154"/>
      <c r="EN164" s="154"/>
      <c r="EO164" s="154"/>
      <c r="EP164" s="154"/>
      <c r="EQ164" s="154"/>
      <c r="ER164" s="154"/>
      <c r="ES164" s="154"/>
      <c r="ET164" s="154"/>
      <c r="EU164" s="154"/>
      <c r="EV164" s="154"/>
      <c r="EW164" s="154"/>
    </row>
    <row r="165" spans="2:153" ht="12.95" customHeight="1">
      <c r="B165" s="154"/>
      <c r="C165" s="380"/>
      <c r="D165" s="380"/>
      <c r="E165" s="154"/>
      <c r="F165" s="154"/>
      <c r="G165" s="154"/>
      <c r="H165" s="154"/>
      <c r="I165" s="154"/>
      <c r="J165" s="154"/>
      <c r="K165" s="154"/>
      <c r="L165" s="154"/>
      <c r="M165" s="154"/>
      <c r="N165" s="154"/>
      <c r="O165" s="154"/>
      <c r="P165" s="154"/>
      <c r="Q165" s="154"/>
      <c r="R165" s="154"/>
      <c r="S165" s="154"/>
      <c r="T165" s="154"/>
      <c r="U165" s="154"/>
      <c r="V165" s="154"/>
      <c r="W165" s="154"/>
      <c r="X165" s="154"/>
      <c r="Y165" s="154"/>
      <c r="Z165" s="154"/>
      <c r="AA165" s="154"/>
      <c r="AB165" s="154"/>
      <c r="AC165" s="154"/>
      <c r="AD165" s="154"/>
      <c r="AE165" s="154"/>
      <c r="AF165" s="367"/>
      <c r="AG165" s="368"/>
      <c r="AH165" s="368"/>
      <c r="AI165" s="368"/>
      <c r="AJ165" s="154"/>
      <c r="AK165" s="154"/>
      <c r="AL165" s="154"/>
      <c r="AM165" s="154"/>
      <c r="AN165" s="154"/>
      <c r="AO165" s="154"/>
      <c r="AP165" s="154"/>
      <c r="AQ165" s="154"/>
      <c r="AR165" s="154"/>
      <c r="AS165" s="154"/>
      <c r="AT165" s="154"/>
      <c r="AU165" s="154"/>
      <c r="AV165" s="154"/>
      <c r="AW165" s="154"/>
      <c r="AX165" s="154"/>
      <c r="AY165" s="154"/>
      <c r="AZ165" s="154"/>
      <c r="BA165" s="154"/>
      <c r="BB165" s="154"/>
      <c r="BC165" s="154"/>
      <c r="BD165" s="154"/>
      <c r="BE165" s="154"/>
      <c r="BF165" s="154"/>
      <c r="BG165" s="154"/>
      <c r="BH165" s="154"/>
      <c r="BI165" s="154"/>
      <c r="BJ165" s="154"/>
      <c r="BK165" s="154"/>
      <c r="BL165" s="154"/>
      <c r="BM165" s="154"/>
      <c r="BN165" s="154"/>
      <c r="BO165" s="154"/>
      <c r="BP165" s="154"/>
      <c r="BQ165" s="154"/>
      <c r="BR165" s="154"/>
      <c r="BS165" s="154"/>
      <c r="BT165" s="154"/>
      <c r="BU165" s="154"/>
      <c r="BV165" s="154"/>
      <c r="BW165" s="154"/>
      <c r="BX165" s="154"/>
      <c r="BY165" s="154"/>
      <c r="BZ165" s="154"/>
      <c r="CA165" s="154"/>
      <c r="CB165" s="154"/>
      <c r="CC165" s="154"/>
      <c r="CD165" s="154"/>
      <c r="CE165" s="154"/>
      <c r="CF165" s="154"/>
      <c r="CG165" s="154"/>
      <c r="CH165" s="154"/>
      <c r="CI165" s="154"/>
      <c r="CJ165" s="154"/>
      <c r="CK165" s="154"/>
      <c r="CL165" s="154"/>
      <c r="CM165" s="154"/>
      <c r="CN165" s="154"/>
      <c r="CO165" s="154"/>
      <c r="CP165" s="154"/>
      <c r="CQ165" s="154"/>
      <c r="CR165" s="154"/>
      <c r="CS165" s="154"/>
      <c r="CT165" s="154"/>
      <c r="CU165" s="154"/>
      <c r="CV165" s="154"/>
      <c r="CW165" s="154"/>
      <c r="CX165" s="154"/>
      <c r="CY165" s="154"/>
      <c r="CZ165" s="154"/>
      <c r="DA165" s="154"/>
      <c r="DB165" s="154"/>
      <c r="DC165" s="154"/>
      <c r="DD165" s="154"/>
      <c r="DE165" s="154"/>
      <c r="DF165" s="154"/>
      <c r="DG165" s="154"/>
      <c r="DH165" s="154"/>
      <c r="DI165" s="154"/>
      <c r="DJ165" s="154"/>
      <c r="DK165" s="154"/>
      <c r="DL165" s="154"/>
      <c r="DM165" s="154"/>
      <c r="DN165" s="154"/>
      <c r="DO165" s="154"/>
      <c r="DP165" s="154"/>
      <c r="DQ165" s="154"/>
      <c r="DR165" s="154"/>
      <c r="DS165" s="154"/>
      <c r="DT165" s="154"/>
      <c r="DU165" s="154"/>
      <c r="DV165" s="154"/>
      <c r="DW165" s="154"/>
      <c r="DX165" s="154"/>
      <c r="DY165" s="154"/>
      <c r="DZ165" s="154"/>
      <c r="EA165" s="154"/>
      <c r="EB165" s="154"/>
      <c r="EC165" s="154"/>
      <c r="ED165" s="154"/>
      <c r="EE165" s="154"/>
      <c r="EF165" s="154"/>
      <c r="EG165" s="154"/>
      <c r="EH165" s="154"/>
      <c r="EI165" s="154"/>
      <c r="EJ165" s="154"/>
      <c r="EK165" s="154"/>
      <c r="EL165" s="154"/>
      <c r="EM165" s="154"/>
      <c r="EN165" s="154"/>
      <c r="EO165" s="154"/>
      <c r="EP165" s="154"/>
      <c r="EQ165" s="154"/>
      <c r="ER165" s="154"/>
      <c r="ES165" s="154"/>
      <c r="ET165" s="154"/>
      <c r="EU165" s="154"/>
      <c r="EV165" s="154"/>
      <c r="EW165" s="154"/>
    </row>
    <row r="166" spans="2:153" ht="12.95" customHeight="1">
      <c r="B166" s="154"/>
      <c r="C166" s="380"/>
      <c r="D166" s="380"/>
      <c r="E166" s="154"/>
      <c r="F166" s="154"/>
      <c r="G166" s="154"/>
      <c r="H166" s="154"/>
      <c r="I166" s="154"/>
      <c r="J166" s="154"/>
      <c r="K166" s="154"/>
      <c r="L166" s="154"/>
      <c r="M166" s="154"/>
      <c r="N166" s="154"/>
      <c r="O166" s="154"/>
      <c r="P166" s="154"/>
      <c r="Q166" s="154"/>
      <c r="R166" s="154"/>
      <c r="S166" s="154"/>
      <c r="T166" s="154"/>
      <c r="U166" s="154"/>
      <c r="V166" s="154"/>
      <c r="W166" s="154"/>
      <c r="X166" s="154"/>
      <c r="Y166" s="154"/>
      <c r="Z166" s="154"/>
      <c r="AA166" s="154"/>
      <c r="AB166" s="154"/>
      <c r="AC166" s="154"/>
      <c r="AD166" s="154"/>
      <c r="AE166" s="154"/>
      <c r="AF166" s="367"/>
      <c r="AG166" s="368"/>
      <c r="AH166" s="368"/>
      <c r="AI166" s="368"/>
      <c r="AJ166" s="154"/>
      <c r="AK166" s="154"/>
      <c r="AL166" s="154"/>
      <c r="AM166" s="154"/>
      <c r="AN166" s="154"/>
      <c r="AO166" s="154"/>
      <c r="AP166" s="154"/>
      <c r="AQ166" s="154"/>
      <c r="AR166" s="154"/>
      <c r="AS166" s="154"/>
      <c r="AT166" s="154"/>
      <c r="AU166" s="154"/>
      <c r="AV166" s="154"/>
      <c r="AW166" s="154"/>
      <c r="AX166" s="154"/>
      <c r="AY166" s="154"/>
      <c r="AZ166" s="154"/>
      <c r="BA166" s="154"/>
      <c r="BB166" s="154"/>
      <c r="BC166" s="154"/>
      <c r="BD166" s="154"/>
      <c r="BE166" s="154"/>
      <c r="BF166" s="154"/>
      <c r="BG166" s="154"/>
      <c r="BH166" s="154"/>
      <c r="BI166" s="154"/>
      <c r="BJ166" s="154"/>
      <c r="BK166" s="154"/>
      <c r="BL166" s="154"/>
      <c r="BM166" s="154"/>
      <c r="BN166" s="154"/>
      <c r="BO166" s="154"/>
      <c r="BP166" s="154"/>
      <c r="BQ166" s="154"/>
      <c r="BR166" s="154"/>
      <c r="BS166" s="154"/>
      <c r="BT166" s="154"/>
      <c r="BU166" s="154"/>
      <c r="BV166" s="154"/>
      <c r="BW166" s="154"/>
      <c r="BX166" s="154"/>
      <c r="BY166" s="154"/>
      <c r="BZ166" s="154"/>
      <c r="CA166" s="154"/>
      <c r="CB166" s="154"/>
      <c r="CC166" s="154"/>
      <c r="CD166" s="154"/>
      <c r="CE166" s="154"/>
      <c r="CF166" s="154"/>
      <c r="CG166" s="154"/>
      <c r="CH166" s="154"/>
      <c r="CI166" s="154"/>
      <c r="CJ166" s="154"/>
      <c r="CK166" s="154"/>
      <c r="CL166" s="154"/>
      <c r="CM166" s="154"/>
      <c r="CN166" s="154"/>
      <c r="CO166" s="154"/>
      <c r="CP166" s="154"/>
      <c r="CQ166" s="154"/>
      <c r="CR166" s="154"/>
      <c r="CS166" s="154"/>
      <c r="CT166" s="154"/>
      <c r="CU166" s="154"/>
      <c r="CV166" s="154"/>
      <c r="CW166" s="154"/>
      <c r="CX166" s="154"/>
      <c r="CY166" s="154"/>
      <c r="CZ166" s="154"/>
      <c r="DA166" s="154"/>
      <c r="DB166" s="154"/>
      <c r="DC166" s="154"/>
      <c r="DD166" s="154"/>
      <c r="DE166" s="154"/>
      <c r="DF166" s="154"/>
      <c r="DG166" s="154"/>
      <c r="DH166" s="154"/>
      <c r="DI166" s="154"/>
      <c r="DJ166" s="154"/>
      <c r="DK166" s="154"/>
      <c r="DL166" s="154"/>
      <c r="DM166" s="154"/>
      <c r="DN166" s="154"/>
      <c r="DO166" s="154"/>
      <c r="DP166" s="154"/>
      <c r="DQ166" s="154"/>
      <c r="DR166" s="154"/>
      <c r="DS166" s="154"/>
      <c r="DT166" s="154"/>
      <c r="DU166" s="154"/>
      <c r="DV166" s="154"/>
      <c r="DW166" s="154"/>
      <c r="DX166" s="154"/>
      <c r="DY166" s="154"/>
      <c r="DZ166" s="154"/>
      <c r="EA166" s="154"/>
      <c r="EB166" s="154"/>
      <c r="EC166" s="154"/>
      <c r="ED166" s="154"/>
      <c r="EE166" s="154"/>
      <c r="EF166" s="154"/>
      <c r="EG166" s="154"/>
      <c r="EH166" s="154"/>
      <c r="EI166" s="154"/>
      <c r="EJ166" s="154"/>
      <c r="EK166" s="154"/>
      <c r="EL166" s="154"/>
      <c r="EM166" s="154"/>
      <c r="EN166" s="154"/>
      <c r="EO166" s="154"/>
      <c r="EP166" s="154"/>
      <c r="EQ166" s="154"/>
      <c r="ER166" s="154"/>
      <c r="ES166" s="154"/>
      <c r="ET166" s="154"/>
      <c r="EU166" s="154"/>
      <c r="EV166" s="154"/>
      <c r="EW166" s="154"/>
    </row>
    <row r="167" spans="2:153" ht="12.95" customHeight="1">
      <c r="B167" s="154"/>
      <c r="C167" s="380"/>
      <c r="D167" s="380"/>
      <c r="E167" s="154"/>
      <c r="F167" s="154"/>
      <c r="G167" s="154"/>
      <c r="H167" s="154"/>
      <c r="I167" s="154"/>
      <c r="J167" s="154"/>
      <c r="K167" s="154"/>
      <c r="L167" s="154"/>
      <c r="M167" s="154"/>
      <c r="N167" s="154"/>
      <c r="O167" s="154"/>
      <c r="P167" s="154"/>
      <c r="Q167" s="154"/>
      <c r="R167" s="154"/>
      <c r="S167" s="154"/>
      <c r="T167" s="154"/>
      <c r="U167" s="154"/>
      <c r="V167" s="154"/>
      <c r="W167" s="154"/>
      <c r="X167" s="154"/>
      <c r="Y167" s="154"/>
      <c r="Z167" s="154"/>
      <c r="AA167" s="154"/>
      <c r="AB167" s="154"/>
      <c r="AC167" s="154"/>
      <c r="AD167" s="154"/>
      <c r="AE167" s="154"/>
      <c r="AF167" s="367"/>
      <c r="AG167" s="368"/>
      <c r="AH167" s="368"/>
      <c r="AI167" s="368"/>
      <c r="AJ167" s="154"/>
      <c r="AK167" s="154"/>
      <c r="AL167" s="154"/>
      <c r="AM167" s="154"/>
      <c r="AN167" s="154"/>
      <c r="AO167" s="154"/>
      <c r="AP167" s="154"/>
      <c r="AQ167" s="154"/>
      <c r="AR167" s="154"/>
      <c r="AS167" s="154"/>
      <c r="AT167" s="154"/>
      <c r="AU167" s="154"/>
      <c r="AV167" s="154"/>
      <c r="AW167" s="154"/>
      <c r="AX167" s="154"/>
      <c r="AY167" s="154"/>
      <c r="AZ167" s="154"/>
      <c r="BA167" s="154"/>
      <c r="BB167" s="154"/>
      <c r="BC167" s="154"/>
      <c r="BD167" s="154"/>
      <c r="BE167" s="154"/>
      <c r="BF167" s="154"/>
      <c r="BG167" s="154"/>
      <c r="BH167" s="154"/>
      <c r="BI167" s="154"/>
      <c r="BJ167" s="154"/>
      <c r="BK167" s="154"/>
      <c r="BL167" s="154"/>
      <c r="BM167" s="154"/>
      <c r="BN167" s="154"/>
      <c r="BO167" s="154"/>
      <c r="BP167" s="154"/>
      <c r="BQ167" s="154"/>
      <c r="BR167" s="154"/>
      <c r="BS167" s="154"/>
      <c r="BT167" s="154"/>
      <c r="BU167" s="154"/>
      <c r="BV167" s="154"/>
      <c r="BW167" s="154"/>
      <c r="BX167" s="154"/>
      <c r="BY167" s="154"/>
      <c r="BZ167" s="154"/>
      <c r="CA167" s="154"/>
      <c r="CB167" s="154"/>
      <c r="CC167" s="154"/>
      <c r="CD167" s="154"/>
      <c r="CE167" s="154"/>
      <c r="CF167" s="154"/>
      <c r="CG167" s="154"/>
      <c r="CH167" s="154"/>
      <c r="CI167" s="154"/>
      <c r="CJ167" s="154"/>
      <c r="CK167" s="154"/>
      <c r="CL167" s="154"/>
      <c r="CM167" s="154"/>
      <c r="CN167" s="154"/>
      <c r="CO167" s="154"/>
      <c r="CP167" s="154"/>
      <c r="CQ167" s="154"/>
      <c r="CR167" s="154"/>
      <c r="CS167" s="154"/>
      <c r="CT167" s="154"/>
      <c r="CU167" s="154"/>
      <c r="CV167" s="154"/>
      <c r="CW167" s="154"/>
      <c r="CX167" s="154"/>
      <c r="CY167" s="154"/>
      <c r="CZ167" s="154"/>
      <c r="DA167" s="154"/>
      <c r="DB167" s="154"/>
      <c r="DC167" s="154"/>
      <c r="DD167" s="154"/>
      <c r="DE167" s="154"/>
      <c r="DF167" s="154"/>
      <c r="DG167" s="154"/>
      <c r="DH167" s="154"/>
      <c r="DI167" s="154"/>
      <c r="DJ167" s="154"/>
      <c r="DK167" s="154"/>
      <c r="DL167" s="154"/>
      <c r="DM167" s="154"/>
      <c r="DN167" s="154"/>
      <c r="DO167" s="154"/>
      <c r="DP167" s="154"/>
      <c r="DQ167" s="154"/>
      <c r="DR167" s="154"/>
      <c r="DS167" s="154"/>
      <c r="DT167" s="154"/>
      <c r="DU167" s="154"/>
      <c r="DV167" s="154"/>
      <c r="DW167" s="154"/>
      <c r="DX167" s="154"/>
      <c r="DY167" s="154"/>
      <c r="DZ167" s="154"/>
      <c r="EA167" s="154"/>
      <c r="EB167" s="154"/>
      <c r="EC167" s="154"/>
      <c r="ED167" s="154"/>
      <c r="EE167" s="154"/>
      <c r="EF167" s="154"/>
      <c r="EG167" s="154"/>
      <c r="EH167" s="154"/>
      <c r="EI167" s="154"/>
      <c r="EJ167" s="154"/>
      <c r="EK167" s="154"/>
      <c r="EL167" s="154"/>
      <c r="EM167" s="154"/>
      <c r="EN167" s="154"/>
      <c r="EO167" s="154"/>
      <c r="EP167" s="154"/>
      <c r="EQ167" s="154"/>
      <c r="ER167" s="154"/>
      <c r="ES167" s="154"/>
      <c r="ET167" s="154"/>
      <c r="EU167" s="154"/>
      <c r="EV167" s="154"/>
      <c r="EW167" s="154"/>
    </row>
    <row r="168" spans="2:153" ht="12.95" customHeight="1">
      <c r="B168" s="154"/>
      <c r="C168" s="380"/>
      <c r="D168" s="380"/>
      <c r="E168" s="154"/>
      <c r="F168" s="154"/>
      <c r="G168" s="154"/>
      <c r="H168" s="154"/>
      <c r="I168" s="154"/>
      <c r="J168" s="154"/>
      <c r="K168" s="154"/>
      <c r="L168" s="154"/>
      <c r="M168" s="154"/>
      <c r="N168" s="154"/>
      <c r="O168" s="154"/>
      <c r="P168" s="154"/>
      <c r="Q168" s="154"/>
      <c r="R168" s="154"/>
      <c r="S168" s="154"/>
      <c r="T168" s="154"/>
      <c r="U168" s="154"/>
      <c r="V168" s="154"/>
      <c r="W168" s="154"/>
      <c r="X168" s="154"/>
      <c r="Y168" s="154"/>
      <c r="Z168" s="154"/>
      <c r="AA168" s="154"/>
      <c r="AB168" s="154"/>
      <c r="AC168" s="154"/>
      <c r="AD168" s="154"/>
      <c r="AE168" s="154"/>
      <c r="AF168" s="367"/>
      <c r="AG168" s="368"/>
      <c r="AH168" s="368"/>
      <c r="AI168" s="368"/>
      <c r="AJ168" s="154"/>
      <c r="AK168" s="154"/>
      <c r="AL168" s="154"/>
      <c r="AM168" s="154"/>
      <c r="AN168" s="154"/>
      <c r="AO168" s="154"/>
      <c r="AP168" s="154"/>
      <c r="AQ168" s="154"/>
      <c r="AR168" s="154"/>
      <c r="AS168" s="154"/>
      <c r="AT168" s="154"/>
      <c r="AU168" s="154"/>
      <c r="AV168" s="154"/>
      <c r="AW168" s="154"/>
      <c r="AX168" s="154"/>
      <c r="AY168" s="154"/>
      <c r="AZ168" s="154"/>
      <c r="BA168" s="154"/>
      <c r="BB168" s="154"/>
      <c r="BC168" s="154"/>
      <c r="BD168" s="154"/>
      <c r="BE168" s="154"/>
      <c r="BF168" s="154"/>
      <c r="BG168" s="154"/>
      <c r="BH168" s="154"/>
      <c r="BI168" s="154"/>
      <c r="BJ168" s="154"/>
      <c r="BK168" s="154"/>
      <c r="BL168" s="154"/>
      <c r="BM168" s="154"/>
      <c r="BN168" s="154"/>
      <c r="BO168" s="154"/>
      <c r="BP168" s="154"/>
      <c r="BQ168" s="154"/>
      <c r="BR168" s="154"/>
      <c r="BS168" s="154"/>
      <c r="BT168" s="154"/>
      <c r="BU168" s="154"/>
      <c r="BV168" s="154"/>
      <c r="BW168" s="154"/>
      <c r="BX168" s="154"/>
      <c r="BY168" s="154"/>
      <c r="BZ168" s="154"/>
      <c r="CA168" s="154"/>
      <c r="CB168" s="154"/>
      <c r="CC168" s="154"/>
      <c r="CD168" s="154"/>
      <c r="CE168" s="154"/>
      <c r="CF168" s="154"/>
      <c r="CG168" s="154"/>
      <c r="CH168" s="154"/>
      <c r="CI168" s="154"/>
      <c r="CJ168" s="154"/>
      <c r="CK168" s="154"/>
      <c r="CL168" s="154"/>
      <c r="CM168" s="154"/>
      <c r="CN168" s="154"/>
      <c r="CO168" s="154"/>
      <c r="CP168" s="154"/>
      <c r="CQ168" s="154"/>
      <c r="CR168" s="154"/>
      <c r="CS168" s="154"/>
      <c r="CT168" s="154"/>
      <c r="CU168" s="154"/>
      <c r="CV168" s="154"/>
      <c r="CW168" s="154"/>
      <c r="CX168" s="154"/>
      <c r="CY168" s="154"/>
      <c r="CZ168" s="154"/>
      <c r="DA168" s="154"/>
      <c r="DB168" s="154"/>
      <c r="DC168" s="154"/>
      <c r="DD168" s="154"/>
      <c r="DE168" s="154"/>
      <c r="DF168" s="154"/>
      <c r="DG168" s="154"/>
      <c r="DH168" s="154"/>
      <c r="DI168" s="154"/>
      <c r="DJ168" s="154"/>
      <c r="DK168" s="154"/>
      <c r="DL168" s="154"/>
      <c r="DM168" s="154"/>
      <c r="DN168" s="154"/>
      <c r="DO168" s="154"/>
      <c r="DP168" s="154"/>
      <c r="DQ168" s="154"/>
      <c r="DR168" s="154"/>
      <c r="DS168" s="154"/>
      <c r="DT168" s="154"/>
      <c r="DU168" s="154"/>
      <c r="DV168" s="154"/>
      <c r="DW168" s="154"/>
      <c r="DX168" s="154"/>
      <c r="DY168" s="154"/>
      <c r="DZ168" s="154"/>
      <c r="EA168" s="154"/>
      <c r="EB168" s="154"/>
      <c r="EC168" s="154"/>
      <c r="ED168" s="154"/>
      <c r="EE168" s="154"/>
      <c r="EF168" s="154"/>
      <c r="EG168" s="154"/>
      <c r="EH168" s="154"/>
      <c r="EI168" s="154"/>
      <c r="EJ168" s="154"/>
      <c r="EK168" s="154"/>
      <c r="EL168" s="154"/>
      <c r="EM168" s="154"/>
      <c r="EN168" s="154"/>
      <c r="EO168" s="154"/>
      <c r="EP168" s="154"/>
      <c r="EQ168" s="154"/>
      <c r="ER168" s="154"/>
      <c r="ES168" s="154"/>
      <c r="ET168" s="154"/>
      <c r="EU168" s="154"/>
      <c r="EV168" s="154"/>
      <c r="EW168" s="154"/>
    </row>
    <row r="169" spans="2:153" ht="12.95" customHeight="1">
      <c r="B169" s="154"/>
      <c r="C169" s="380"/>
      <c r="D169" s="380"/>
      <c r="E169" s="154"/>
      <c r="F169" s="154"/>
      <c r="G169" s="154"/>
      <c r="H169" s="154"/>
      <c r="I169" s="154"/>
      <c r="J169" s="154"/>
      <c r="K169" s="154"/>
      <c r="L169" s="154"/>
      <c r="M169" s="154"/>
      <c r="N169" s="154"/>
      <c r="O169" s="154"/>
      <c r="P169" s="154"/>
      <c r="Q169" s="154"/>
      <c r="R169" s="154"/>
      <c r="S169" s="154"/>
      <c r="T169" s="154"/>
      <c r="U169" s="154"/>
      <c r="V169" s="154"/>
      <c r="W169" s="154"/>
      <c r="X169" s="154"/>
      <c r="Y169" s="154"/>
      <c r="Z169" s="154"/>
      <c r="AA169" s="154"/>
      <c r="AB169" s="154"/>
      <c r="AC169" s="154"/>
      <c r="AD169" s="154"/>
      <c r="AE169" s="154"/>
      <c r="AF169" s="367"/>
      <c r="AG169" s="368"/>
      <c r="AH169" s="368"/>
      <c r="AI169" s="368"/>
      <c r="AJ169" s="154"/>
      <c r="AK169" s="154"/>
      <c r="AL169" s="154"/>
      <c r="AM169" s="154"/>
      <c r="AN169" s="154"/>
      <c r="AO169" s="154"/>
      <c r="AP169" s="154"/>
      <c r="AQ169" s="154"/>
      <c r="AR169" s="154"/>
      <c r="AS169" s="154"/>
      <c r="AT169" s="154"/>
      <c r="AU169" s="154"/>
      <c r="AV169" s="154"/>
      <c r="AW169" s="154"/>
      <c r="AX169" s="154"/>
      <c r="AY169" s="154"/>
      <c r="AZ169" s="154"/>
      <c r="BA169" s="154"/>
      <c r="BB169" s="154"/>
      <c r="BC169" s="154"/>
      <c r="BD169" s="154"/>
      <c r="BE169" s="154"/>
      <c r="BF169" s="154"/>
      <c r="BG169" s="154"/>
      <c r="BH169" s="154"/>
      <c r="BI169" s="154"/>
      <c r="BJ169" s="154"/>
      <c r="BK169" s="154"/>
      <c r="BL169" s="154"/>
      <c r="BM169" s="154"/>
      <c r="BN169" s="154"/>
      <c r="BO169" s="154"/>
      <c r="BP169" s="154"/>
      <c r="BQ169" s="154"/>
      <c r="BR169" s="154"/>
      <c r="BS169" s="154"/>
      <c r="BT169" s="154"/>
      <c r="BU169" s="154"/>
      <c r="BV169" s="154"/>
      <c r="BW169" s="154"/>
      <c r="BX169" s="154"/>
      <c r="BY169" s="154"/>
      <c r="BZ169" s="154"/>
      <c r="CA169" s="154"/>
      <c r="CB169" s="154"/>
      <c r="CC169" s="154"/>
      <c r="CD169" s="154"/>
      <c r="CE169" s="154"/>
      <c r="CF169" s="154"/>
      <c r="CG169" s="154"/>
      <c r="CH169" s="154"/>
      <c r="CI169" s="154"/>
      <c r="CJ169" s="154"/>
      <c r="CK169" s="154"/>
      <c r="CL169" s="154"/>
      <c r="CM169" s="154"/>
      <c r="CN169" s="154"/>
      <c r="CO169" s="154"/>
      <c r="CP169" s="154"/>
      <c r="CQ169" s="154"/>
      <c r="CR169" s="154"/>
      <c r="CS169" s="154"/>
      <c r="CT169" s="154"/>
      <c r="CU169" s="154"/>
      <c r="CV169" s="154"/>
      <c r="CW169" s="154"/>
      <c r="CX169" s="154"/>
      <c r="CY169" s="154"/>
      <c r="CZ169" s="154"/>
      <c r="DA169" s="154"/>
      <c r="DB169" s="154"/>
      <c r="DC169" s="154"/>
      <c r="DD169" s="154"/>
      <c r="DE169" s="154"/>
      <c r="DF169" s="154"/>
      <c r="DG169" s="154"/>
      <c r="DH169" s="154"/>
      <c r="DI169" s="154"/>
      <c r="DJ169" s="154"/>
      <c r="DK169" s="154"/>
      <c r="DL169" s="154"/>
      <c r="DM169" s="154"/>
      <c r="DN169" s="154"/>
      <c r="DO169" s="154"/>
      <c r="DP169" s="154"/>
      <c r="DQ169" s="154"/>
      <c r="DR169" s="154"/>
      <c r="DS169" s="154"/>
      <c r="DT169" s="154"/>
      <c r="DU169" s="154"/>
      <c r="DV169" s="154"/>
      <c r="DW169" s="154"/>
      <c r="DX169" s="154"/>
      <c r="DY169" s="154"/>
      <c r="DZ169" s="154"/>
      <c r="EA169" s="154"/>
      <c r="EB169" s="154"/>
      <c r="EC169" s="154"/>
      <c r="ED169" s="154"/>
      <c r="EE169" s="154"/>
      <c r="EF169" s="154"/>
      <c r="EG169" s="154"/>
      <c r="EH169" s="154"/>
      <c r="EI169" s="154"/>
      <c r="EJ169" s="154"/>
      <c r="EK169" s="154"/>
      <c r="EL169" s="154"/>
      <c r="EM169" s="154"/>
      <c r="EN169" s="154"/>
      <c r="EO169" s="154"/>
      <c r="EP169" s="154"/>
      <c r="EQ169" s="154"/>
      <c r="ER169" s="154"/>
      <c r="ES169" s="154"/>
      <c r="ET169" s="154"/>
      <c r="EU169" s="154"/>
      <c r="EV169" s="154"/>
      <c r="EW169" s="154"/>
    </row>
    <row r="170" spans="2:153" ht="12.95" customHeight="1">
      <c r="B170" s="154"/>
      <c r="C170" s="380"/>
      <c r="D170" s="380"/>
      <c r="E170" s="154"/>
      <c r="F170" s="154"/>
      <c r="G170" s="154"/>
      <c r="H170" s="154"/>
      <c r="I170" s="154"/>
      <c r="J170" s="154"/>
      <c r="K170" s="154"/>
      <c r="L170" s="154"/>
      <c r="M170" s="154"/>
      <c r="N170" s="154"/>
      <c r="O170" s="154"/>
      <c r="P170" s="154"/>
      <c r="Q170" s="154"/>
      <c r="R170" s="154"/>
      <c r="S170" s="154"/>
      <c r="T170" s="154"/>
      <c r="U170" s="154"/>
      <c r="V170" s="154"/>
      <c r="W170" s="154"/>
      <c r="X170" s="154"/>
      <c r="Y170" s="154"/>
      <c r="Z170" s="154"/>
      <c r="AA170" s="154"/>
      <c r="AB170" s="154"/>
      <c r="AC170" s="154"/>
      <c r="AD170" s="154"/>
      <c r="AE170" s="154"/>
      <c r="AF170" s="367"/>
      <c r="AG170" s="368"/>
      <c r="AH170" s="368"/>
      <c r="AI170" s="368"/>
      <c r="AJ170" s="154"/>
      <c r="AK170" s="154"/>
      <c r="AL170" s="154"/>
      <c r="AM170" s="154"/>
      <c r="AN170" s="154"/>
      <c r="AO170" s="154"/>
      <c r="AP170" s="154"/>
      <c r="AQ170" s="154"/>
      <c r="AR170" s="154"/>
      <c r="AS170" s="154"/>
      <c r="AT170" s="154"/>
      <c r="AU170" s="154"/>
      <c r="AV170" s="154"/>
      <c r="AW170" s="154"/>
      <c r="AX170" s="154"/>
      <c r="AY170" s="154"/>
      <c r="AZ170" s="154"/>
      <c r="BA170" s="154"/>
      <c r="BB170" s="154"/>
      <c r="BC170" s="154"/>
      <c r="BD170" s="154"/>
      <c r="BE170" s="154"/>
      <c r="BF170" s="154"/>
      <c r="BG170" s="154"/>
      <c r="BH170" s="154"/>
      <c r="BI170" s="154"/>
      <c r="BJ170" s="154"/>
      <c r="BK170" s="154"/>
      <c r="BL170" s="154"/>
      <c r="BM170" s="154"/>
      <c r="BN170" s="154"/>
      <c r="BO170" s="154"/>
      <c r="BP170" s="154"/>
      <c r="BQ170" s="154"/>
      <c r="BR170" s="154"/>
      <c r="BS170" s="154"/>
      <c r="BT170" s="154"/>
      <c r="BU170" s="154"/>
      <c r="BV170" s="154"/>
      <c r="BW170" s="154"/>
      <c r="BX170" s="154"/>
      <c r="BY170" s="154"/>
      <c r="BZ170" s="154"/>
      <c r="CA170" s="154"/>
      <c r="CB170" s="154"/>
      <c r="CC170" s="154"/>
      <c r="CD170" s="154"/>
      <c r="CE170" s="154"/>
      <c r="CF170" s="154"/>
      <c r="CG170" s="154"/>
      <c r="CH170" s="154"/>
      <c r="CI170" s="154"/>
      <c r="CJ170" s="154"/>
      <c r="CK170" s="154"/>
      <c r="CL170" s="154"/>
      <c r="CM170" s="154"/>
      <c r="CN170" s="154"/>
      <c r="CO170" s="154"/>
      <c r="CP170" s="154"/>
      <c r="CQ170" s="154"/>
      <c r="CR170" s="154"/>
      <c r="CS170" s="154"/>
      <c r="CT170" s="154"/>
      <c r="CU170" s="154"/>
      <c r="CV170" s="154"/>
      <c r="CW170" s="154"/>
      <c r="CX170" s="154"/>
      <c r="CY170" s="154"/>
      <c r="CZ170" s="154"/>
      <c r="DA170" s="154"/>
      <c r="DB170" s="154"/>
      <c r="DC170" s="154"/>
      <c r="DD170" s="154"/>
      <c r="DE170" s="154"/>
      <c r="DF170" s="154"/>
      <c r="DG170" s="154"/>
      <c r="DH170" s="154"/>
      <c r="DI170" s="154"/>
      <c r="DJ170" s="154"/>
      <c r="DK170" s="154"/>
      <c r="DL170" s="154"/>
      <c r="DM170" s="154"/>
      <c r="DN170" s="154"/>
      <c r="DO170" s="154"/>
      <c r="DP170" s="154"/>
      <c r="DQ170" s="154"/>
      <c r="DR170" s="154"/>
      <c r="DS170" s="154"/>
      <c r="DT170" s="154"/>
      <c r="DU170" s="154"/>
      <c r="DV170" s="154"/>
      <c r="DW170" s="154"/>
      <c r="DX170" s="154"/>
      <c r="DY170" s="154"/>
      <c r="DZ170" s="154"/>
      <c r="EA170" s="154"/>
      <c r="EB170" s="154"/>
      <c r="EC170" s="154"/>
      <c r="ED170" s="154"/>
      <c r="EE170" s="154"/>
      <c r="EF170" s="154"/>
      <c r="EG170" s="154"/>
      <c r="EH170" s="154"/>
      <c r="EI170" s="154"/>
      <c r="EJ170" s="154"/>
      <c r="EK170" s="154"/>
      <c r="EL170" s="154"/>
      <c r="EM170" s="154"/>
      <c r="EN170" s="154"/>
      <c r="EO170" s="154"/>
      <c r="EP170" s="154"/>
      <c r="EQ170" s="154"/>
      <c r="ER170" s="154"/>
      <c r="ES170" s="154"/>
      <c r="ET170" s="154"/>
      <c r="EU170" s="154"/>
      <c r="EV170" s="154"/>
      <c r="EW170" s="154"/>
    </row>
    <row r="171" spans="2:153" ht="12.95" customHeight="1">
      <c r="B171" s="154"/>
      <c r="C171" s="380"/>
      <c r="D171" s="380"/>
      <c r="E171" s="154"/>
      <c r="F171" s="154"/>
      <c r="G171" s="154"/>
      <c r="H171" s="154"/>
      <c r="I171" s="154"/>
      <c r="J171" s="154"/>
      <c r="K171" s="154"/>
      <c r="L171" s="154"/>
      <c r="M171" s="154"/>
      <c r="N171" s="154"/>
      <c r="O171" s="154"/>
      <c r="P171" s="154"/>
      <c r="Q171" s="154"/>
      <c r="R171" s="154"/>
      <c r="S171" s="154"/>
      <c r="T171" s="154"/>
      <c r="U171" s="154"/>
      <c r="V171" s="154"/>
      <c r="W171" s="154"/>
      <c r="X171" s="154"/>
      <c r="Y171" s="154"/>
      <c r="Z171" s="154"/>
      <c r="AA171" s="154"/>
      <c r="AB171" s="154"/>
      <c r="AC171" s="154"/>
      <c r="AD171" s="154"/>
      <c r="AE171" s="154"/>
      <c r="AF171" s="367"/>
      <c r="AG171" s="368"/>
      <c r="AH171" s="368"/>
      <c r="AI171" s="368"/>
      <c r="AJ171" s="154"/>
      <c r="AK171" s="154"/>
      <c r="AL171" s="154"/>
      <c r="AM171" s="154"/>
      <c r="AN171" s="154"/>
      <c r="AO171" s="154"/>
      <c r="AP171" s="154"/>
      <c r="AQ171" s="154"/>
      <c r="AR171" s="154"/>
      <c r="AS171" s="154"/>
      <c r="AT171" s="154"/>
      <c r="AU171" s="154"/>
      <c r="AV171" s="154"/>
      <c r="AW171" s="154"/>
      <c r="AX171" s="154"/>
      <c r="AY171" s="154"/>
      <c r="AZ171" s="154"/>
      <c r="BA171" s="154"/>
      <c r="BB171" s="154"/>
      <c r="BC171" s="154"/>
      <c r="BD171" s="154"/>
      <c r="BE171" s="154"/>
      <c r="BF171" s="154"/>
      <c r="BG171" s="154"/>
      <c r="BH171" s="154"/>
      <c r="BI171" s="154"/>
      <c r="BJ171" s="154"/>
      <c r="BK171" s="154"/>
      <c r="BL171" s="154"/>
      <c r="BM171" s="154"/>
      <c r="BN171" s="154"/>
      <c r="BO171" s="154"/>
      <c r="BP171" s="154"/>
      <c r="BQ171" s="154"/>
      <c r="BR171" s="154"/>
      <c r="BS171" s="154"/>
      <c r="BT171" s="154"/>
      <c r="BU171" s="154"/>
      <c r="BV171" s="154"/>
      <c r="BW171" s="154"/>
      <c r="BX171" s="154"/>
      <c r="BY171" s="154"/>
      <c r="BZ171" s="154"/>
      <c r="CA171" s="154"/>
      <c r="CB171" s="154"/>
      <c r="CC171" s="154"/>
      <c r="CD171" s="154"/>
      <c r="CE171" s="154"/>
      <c r="CF171" s="154"/>
      <c r="CG171" s="154"/>
      <c r="CH171" s="154"/>
      <c r="CI171" s="154"/>
      <c r="CJ171" s="154"/>
      <c r="CK171" s="154"/>
      <c r="CL171" s="154"/>
      <c r="CM171" s="154"/>
      <c r="CN171" s="154"/>
      <c r="CO171" s="154"/>
      <c r="CP171" s="154"/>
      <c r="CQ171" s="154"/>
      <c r="CR171" s="154"/>
      <c r="CS171" s="154"/>
      <c r="CT171" s="154"/>
      <c r="CU171" s="154"/>
      <c r="CV171" s="154"/>
      <c r="CW171" s="154"/>
      <c r="CX171" s="154"/>
      <c r="CY171" s="154"/>
      <c r="CZ171" s="154"/>
      <c r="DA171" s="154"/>
      <c r="DB171" s="154"/>
      <c r="DC171" s="154"/>
      <c r="DD171" s="154"/>
      <c r="DE171" s="154"/>
      <c r="DF171" s="154"/>
      <c r="DG171" s="154"/>
      <c r="DH171" s="154"/>
      <c r="DI171" s="154"/>
      <c r="DJ171" s="154"/>
      <c r="DK171" s="154"/>
      <c r="DL171" s="154"/>
      <c r="DM171" s="154"/>
      <c r="DN171" s="154"/>
      <c r="DO171" s="154"/>
      <c r="DP171" s="154"/>
      <c r="DQ171" s="154"/>
      <c r="DR171" s="154"/>
      <c r="DS171" s="154"/>
      <c r="DT171" s="154"/>
      <c r="DU171" s="154"/>
      <c r="DV171" s="154"/>
      <c r="DW171" s="154"/>
      <c r="DX171" s="154"/>
      <c r="DY171" s="154"/>
      <c r="DZ171" s="154"/>
      <c r="EA171" s="154"/>
      <c r="EB171" s="154"/>
      <c r="EC171" s="154"/>
      <c r="ED171" s="154"/>
      <c r="EE171" s="154"/>
      <c r="EF171" s="154"/>
      <c r="EG171" s="154"/>
      <c r="EH171" s="154"/>
      <c r="EI171" s="154"/>
      <c r="EJ171" s="154"/>
      <c r="EK171" s="154"/>
      <c r="EL171" s="154"/>
      <c r="EM171" s="154"/>
      <c r="EN171" s="154"/>
      <c r="EO171" s="154"/>
      <c r="EP171" s="154"/>
      <c r="EQ171" s="154"/>
      <c r="ER171" s="154"/>
      <c r="ES171" s="154"/>
      <c r="ET171" s="154"/>
      <c r="EU171" s="154"/>
      <c r="EV171" s="154"/>
      <c r="EW171" s="154"/>
    </row>
    <row r="172" spans="2:153" ht="12.95" customHeight="1">
      <c r="B172" s="154"/>
      <c r="C172" s="380"/>
      <c r="D172" s="380"/>
      <c r="E172" s="154"/>
      <c r="F172" s="154"/>
      <c r="G172" s="154"/>
      <c r="H172" s="154"/>
      <c r="I172" s="154"/>
      <c r="J172" s="154"/>
      <c r="K172" s="154"/>
      <c r="L172" s="154"/>
      <c r="M172" s="154"/>
      <c r="N172" s="154"/>
      <c r="O172" s="154"/>
      <c r="P172" s="154"/>
      <c r="Q172" s="154"/>
      <c r="R172" s="154"/>
      <c r="S172" s="154"/>
      <c r="T172" s="154"/>
      <c r="U172" s="154"/>
      <c r="V172" s="154"/>
      <c r="W172" s="154"/>
      <c r="X172" s="154"/>
      <c r="Y172" s="154"/>
      <c r="Z172" s="154"/>
      <c r="AA172" s="154"/>
      <c r="AB172" s="154"/>
      <c r="AC172" s="154"/>
      <c r="AD172" s="154"/>
      <c r="AE172" s="154"/>
      <c r="AF172" s="367"/>
      <c r="AG172" s="368"/>
      <c r="AH172" s="368"/>
      <c r="AI172" s="368"/>
      <c r="AJ172" s="154"/>
      <c r="AK172" s="154"/>
      <c r="AL172" s="154"/>
      <c r="AM172" s="154"/>
      <c r="AN172" s="154"/>
      <c r="AO172" s="154"/>
      <c r="AP172" s="154"/>
      <c r="AQ172" s="154"/>
      <c r="AR172" s="154"/>
      <c r="AS172" s="154"/>
      <c r="AT172" s="154"/>
      <c r="AU172" s="154"/>
      <c r="AV172" s="154"/>
      <c r="AW172" s="154"/>
      <c r="AX172" s="154"/>
      <c r="AY172" s="154"/>
      <c r="AZ172" s="154"/>
      <c r="BA172" s="154"/>
      <c r="BB172" s="154"/>
      <c r="BC172" s="154"/>
      <c r="BD172" s="154"/>
      <c r="BE172" s="154"/>
      <c r="BF172" s="154"/>
      <c r="BG172" s="154"/>
      <c r="BH172" s="154"/>
      <c r="BI172" s="154"/>
      <c r="BJ172" s="154"/>
      <c r="BK172" s="154"/>
      <c r="BL172" s="154"/>
      <c r="BM172" s="154"/>
      <c r="BN172" s="154"/>
      <c r="BO172" s="154"/>
      <c r="BP172" s="154"/>
      <c r="BQ172" s="154"/>
      <c r="BR172" s="154"/>
      <c r="BS172" s="154"/>
      <c r="BT172" s="154"/>
      <c r="BU172" s="154"/>
      <c r="BV172" s="154"/>
      <c r="BW172" s="154"/>
      <c r="BX172" s="154"/>
      <c r="BY172" s="154"/>
      <c r="BZ172" s="154"/>
      <c r="CA172" s="154"/>
      <c r="CB172" s="154"/>
      <c r="CC172" s="154"/>
      <c r="CD172" s="154"/>
      <c r="CE172" s="154"/>
      <c r="CF172" s="154"/>
      <c r="CG172" s="154"/>
      <c r="CH172" s="154"/>
      <c r="CI172" s="154"/>
      <c r="CJ172" s="154"/>
      <c r="CK172" s="154"/>
      <c r="CL172" s="154"/>
      <c r="CM172" s="154"/>
      <c r="CN172" s="154"/>
      <c r="CO172" s="154"/>
      <c r="CP172" s="154"/>
      <c r="CQ172" s="154"/>
      <c r="CR172" s="154"/>
      <c r="CS172" s="154"/>
      <c r="CT172" s="154"/>
      <c r="CU172" s="154"/>
      <c r="CV172" s="154"/>
      <c r="CW172" s="154"/>
      <c r="CX172" s="154"/>
      <c r="CY172" s="154"/>
      <c r="CZ172" s="154"/>
      <c r="DA172" s="154"/>
      <c r="DB172" s="154"/>
      <c r="DC172" s="154"/>
      <c r="DD172" s="154"/>
      <c r="DE172" s="154"/>
      <c r="DF172" s="154"/>
      <c r="DG172" s="154"/>
      <c r="DH172" s="154"/>
      <c r="DI172" s="154"/>
      <c r="DJ172" s="154"/>
      <c r="DK172" s="154"/>
      <c r="DL172" s="154"/>
      <c r="DM172" s="154"/>
      <c r="DN172" s="154"/>
      <c r="DO172" s="154"/>
      <c r="DP172" s="154"/>
      <c r="DQ172" s="154"/>
      <c r="DR172" s="154"/>
      <c r="DS172" s="154"/>
      <c r="DT172" s="154"/>
      <c r="DU172" s="154"/>
      <c r="DV172" s="154"/>
      <c r="DW172" s="154"/>
      <c r="DX172" s="154"/>
      <c r="DY172" s="154"/>
      <c r="DZ172" s="154"/>
      <c r="EA172" s="154"/>
      <c r="EB172" s="154"/>
      <c r="EC172" s="154"/>
      <c r="ED172" s="154"/>
      <c r="EE172" s="154"/>
      <c r="EF172" s="154"/>
      <c r="EG172" s="154"/>
      <c r="EH172" s="154"/>
      <c r="EI172" s="154"/>
      <c r="EJ172" s="154"/>
      <c r="EK172" s="154"/>
      <c r="EL172" s="154"/>
      <c r="EM172" s="154"/>
      <c r="EN172" s="154"/>
      <c r="EO172" s="154"/>
      <c r="EP172" s="154"/>
      <c r="EQ172" s="154"/>
      <c r="ER172" s="154"/>
      <c r="ES172" s="154"/>
      <c r="ET172" s="154"/>
      <c r="EU172" s="154"/>
      <c r="EV172" s="154"/>
      <c r="EW172" s="154"/>
    </row>
    <row r="173" spans="2:153" ht="12.95" customHeight="1">
      <c r="B173" s="154"/>
      <c r="C173" s="380"/>
      <c r="D173" s="380"/>
      <c r="E173" s="154"/>
      <c r="F173" s="154"/>
      <c r="G173" s="154"/>
      <c r="H173" s="154"/>
      <c r="I173" s="154"/>
      <c r="J173" s="154"/>
      <c r="K173" s="154"/>
      <c r="L173" s="154"/>
      <c r="M173" s="154"/>
      <c r="N173" s="154"/>
      <c r="O173" s="154"/>
      <c r="P173" s="154"/>
      <c r="Q173" s="154"/>
      <c r="R173" s="154"/>
      <c r="S173" s="154"/>
      <c r="T173" s="154"/>
      <c r="U173" s="154"/>
      <c r="V173" s="154"/>
      <c r="W173" s="154"/>
      <c r="X173" s="154"/>
      <c r="Y173" s="154"/>
      <c r="Z173" s="154"/>
      <c r="AA173" s="154"/>
      <c r="AB173" s="154"/>
      <c r="AC173" s="154"/>
      <c r="AD173" s="154"/>
      <c r="AE173" s="154"/>
      <c r="AF173" s="367"/>
      <c r="AG173" s="368"/>
      <c r="AH173" s="368"/>
      <c r="AI173" s="368"/>
      <c r="AJ173" s="154"/>
      <c r="AK173" s="154"/>
      <c r="AL173" s="154"/>
      <c r="AM173" s="154"/>
      <c r="AN173" s="154"/>
      <c r="AO173" s="154"/>
      <c r="AP173" s="154"/>
      <c r="AQ173" s="154"/>
      <c r="AR173" s="154"/>
      <c r="AS173" s="154"/>
      <c r="AT173" s="154"/>
      <c r="AU173" s="154"/>
      <c r="AV173" s="154"/>
      <c r="AW173" s="154"/>
      <c r="AX173" s="154"/>
      <c r="AY173" s="154"/>
      <c r="AZ173" s="154"/>
      <c r="BA173" s="154"/>
      <c r="BB173" s="154"/>
      <c r="BC173" s="154"/>
      <c r="BD173" s="154"/>
      <c r="BE173" s="154"/>
      <c r="BF173" s="154"/>
      <c r="BG173" s="154"/>
      <c r="BH173" s="154"/>
      <c r="BI173" s="154"/>
      <c r="BJ173" s="154"/>
      <c r="BK173" s="154"/>
      <c r="BL173" s="154"/>
      <c r="BM173" s="154"/>
      <c r="BN173" s="154"/>
      <c r="BO173" s="154"/>
      <c r="BP173" s="154"/>
      <c r="BQ173" s="154"/>
      <c r="BR173" s="154"/>
      <c r="BS173" s="154"/>
      <c r="BT173" s="154"/>
      <c r="BU173" s="154"/>
      <c r="BV173" s="154"/>
      <c r="BW173" s="154"/>
      <c r="BX173" s="154"/>
      <c r="BY173" s="154"/>
      <c r="BZ173" s="154"/>
      <c r="CA173" s="154"/>
      <c r="CB173" s="154"/>
      <c r="CC173" s="154"/>
      <c r="CD173" s="154"/>
      <c r="CE173" s="154"/>
      <c r="CF173" s="154"/>
      <c r="CG173" s="154"/>
      <c r="CH173" s="154"/>
      <c r="CI173" s="154"/>
      <c r="CJ173" s="154"/>
      <c r="CK173" s="154"/>
      <c r="CL173" s="154"/>
      <c r="CM173" s="154"/>
      <c r="CN173" s="154"/>
      <c r="CO173" s="154"/>
      <c r="CP173" s="154"/>
      <c r="CQ173" s="154"/>
      <c r="CR173" s="154"/>
      <c r="CS173" s="154"/>
      <c r="CT173" s="154"/>
      <c r="CU173" s="154"/>
      <c r="CV173" s="154"/>
      <c r="CW173" s="154"/>
      <c r="CX173" s="154"/>
      <c r="CY173" s="154"/>
      <c r="CZ173" s="154"/>
      <c r="DA173" s="154"/>
      <c r="DB173" s="154"/>
      <c r="DC173" s="154"/>
      <c r="DD173" s="154"/>
      <c r="DE173" s="154"/>
      <c r="DF173" s="154"/>
      <c r="DG173" s="154"/>
      <c r="DH173" s="154"/>
      <c r="DI173" s="154"/>
      <c r="DJ173" s="154"/>
      <c r="DK173" s="154"/>
      <c r="DL173" s="154"/>
      <c r="DM173" s="154"/>
      <c r="DN173" s="154"/>
      <c r="DO173" s="154"/>
      <c r="DP173" s="154"/>
      <c r="DQ173" s="154"/>
      <c r="DR173" s="154"/>
      <c r="DS173" s="154"/>
      <c r="DT173" s="154"/>
      <c r="DU173" s="154"/>
      <c r="DV173" s="154"/>
      <c r="DW173" s="154"/>
      <c r="DX173" s="154"/>
      <c r="DY173" s="154"/>
      <c r="DZ173" s="154"/>
      <c r="EA173" s="154"/>
      <c r="EB173" s="154"/>
      <c r="EC173" s="154"/>
      <c r="ED173" s="154"/>
      <c r="EE173" s="154"/>
      <c r="EF173" s="154"/>
      <c r="EG173" s="154"/>
      <c r="EH173" s="154"/>
      <c r="EI173" s="154"/>
      <c r="EJ173" s="154"/>
      <c r="EK173" s="154"/>
      <c r="EL173" s="154"/>
      <c r="EM173" s="154"/>
      <c r="EN173" s="154"/>
      <c r="EO173" s="154"/>
      <c r="EP173" s="154"/>
      <c r="EQ173" s="154"/>
      <c r="ER173" s="154"/>
      <c r="ES173" s="154"/>
      <c r="ET173" s="154"/>
      <c r="EU173" s="154"/>
      <c r="EV173" s="154"/>
      <c r="EW173" s="154"/>
    </row>
    <row r="174" spans="2:153" ht="12.95" customHeight="1">
      <c r="B174" s="154"/>
      <c r="C174" s="380"/>
      <c r="D174" s="380"/>
      <c r="E174" s="154"/>
      <c r="F174" s="154"/>
      <c r="G174" s="154"/>
      <c r="H174" s="154"/>
      <c r="I174" s="154"/>
      <c r="J174" s="154"/>
      <c r="K174" s="154"/>
      <c r="L174" s="154"/>
      <c r="M174" s="154"/>
      <c r="N174" s="154"/>
      <c r="O174" s="154"/>
      <c r="P174" s="154"/>
      <c r="Q174" s="154"/>
      <c r="R174" s="154"/>
      <c r="S174" s="154"/>
      <c r="T174" s="154"/>
      <c r="U174" s="154"/>
      <c r="V174" s="154"/>
      <c r="W174" s="154"/>
      <c r="X174" s="154"/>
      <c r="Y174" s="154"/>
      <c r="Z174" s="154"/>
      <c r="AA174" s="154"/>
      <c r="AB174" s="154"/>
      <c r="AC174" s="154"/>
      <c r="AD174" s="154"/>
      <c r="AE174" s="154"/>
      <c r="AF174" s="367"/>
      <c r="AG174" s="368"/>
      <c r="AH174" s="368"/>
      <c r="AI174" s="368"/>
      <c r="AJ174" s="154"/>
      <c r="AK174" s="154"/>
      <c r="AL174" s="154"/>
      <c r="AM174" s="154"/>
      <c r="AN174" s="154"/>
      <c r="AO174" s="154"/>
      <c r="AP174" s="154"/>
      <c r="AQ174" s="154"/>
      <c r="AR174" s="154"/>
      <c r="AS174" s="154"/>
      <c r="AT174" s="154"/>
      <c r="AU174" s="154"/>
      <c r="AV174" s="154"/>
      <c r="AW174" s="154"/>
      <c r="AX174" s="154"/>
      <c r="AY174" s="154"/>
      <c r="AZ174" s="154"/>
      <c r="BA174" s="154"/>
      <c r="BB174" s="154"/>
      <c r="BC174" s="154"/>
      <c r="BD174" s="154"/>
      <c r="BE174" s="154"/>
      <c r="BF174" s="154"/>
      <c r="BG174" s="154"/>
      <c r="BH174" s="154"/>
      <c r="BI174" s="154"/>
      <c r="BJ174" s="154"/>
      <c r="BK174" s="154"/>
      <c r="BL174" s="154"/>
      <c r="BM174" s="154"/>
      <c r="BN174" s="154"/>
      <c r="BO174" s="154"/>
      <c r="BP174" s="154"/>
      <c r="BQ174" s="154"/>
      <c r="BR174" s="154"/>
      <c r="BS174" s="154"/>
      <c r="BT174" s="154"/>
      <c r="BU174" s="154"/>
      <c r="BV174" s="154"/>
      <c r="BW174" s="154"/>
      <c r="BX174" s="154"/>
      <c r="BY174" s="154"/>
      <c r="BZ174" s="154"/>
      <c r="CA174" s="154"/>
      <c r="CB174" s="154"/>
      <c r="CC174" s="154"/>
      <c r="CD174" s="154"/>
      <c r="CE174" s="154"/>
      <c r="CF174" s="154"/>
      <c r="CG174" s="154"/>
      <c r="CH174" s="154"/>
      <c r="CI174" s="154"/>
      <c r="CJ174" s="154"/>
      <c r="CK174" s="154"/>
      <c r="CL174" s="154"/>
      <c r="CM174" s="154"/>
      <c r="CN174" s="154"/>
      <c r="CO174" s="154"/>
      <c r="CP174" s="154"/>
      <c r="CQ174" s="154"/>
      <c r="CR174" s="154"/>
      <c r="CS174" s="154"/>
      <c r="CT174" s="154"/>
      <c r="CU174" s="154"/>
      <c r="CV174" s="154"/>
      <c r="CW174" s="154"/>
      <c r="CX174" s="154"/>
      <c r="CY174" s="154"/>
      <c r="CZ174" s="154"/>
      <c r="DA174" s="154"/>
      <c r="DB174" s="154"/>
      <c r="DC174" s="154"/>
      <c r="DD174" s="154"/>
      <c r="DE174" s="154"/>
      <c r="DF174" s="154"/>
      <c r="DG174" s="154"/>
      <c r="DH174" s="154"/>
      <c r="DI174" s="154"/>
      <c r="DJ174" s="154"/>
      <c r="DK174" s="154"/>
      <c r="DL174" s="154"/>
      <c r="DM174" s="154"/>
      <c r="DN174" s="154"/>
      <c r="DO174" s="154"/>
      <c r="DP174" s="154"/>
      <c r="DQ174" s="154"/>
      <c r="DR174" s="154"/>
      <c r="DS174" s="154"/>
      <c r="DT174" s="154"/>
      <c r="DU174" s="154"/>
      <c r="DV174" s="154"/>
      <c r="DW174" s="154"/>
      <c r="DX174" s="154"/>
      <c r="DY174" s="154"/>
      <c r="DZ174" s="154"/>
      <c r="EA174" s="154"/>
      <c r="EB174" s="154"/>
      <c r="EC174" s="154"/>
      <c r="ED174" s="154"/>
      <c r="EE174" s="154"/>
      <c r="EF174" s="154"/>
      <c r="EG174" s="154"/>
      <c r="EH174" s="154"/>
      <c r="EI174" s="154"/>
      <c r="EJ174" s="154"/>
      <c r="EK174" s="154"/>
      <c r="EL174" s="154"/>
      <c r="EM174" s="154"/>
      <c r="EN174" s="154"/>
      <c r="EO174" s="154"/>
      <c r="EP174" s="154"/>
      <c r="EQ174" s="154"/>
      <c r="ER174" s="154"/>
      <c r="ES174" s="154"/>
      <c r="ET174" s="154"/>
      <c r="EU174" s="154"/>
      <c r="EV174" s="154"/>
      <c r="EW174" s="154"/>
    </row>
    <row r="175" spans="2:153" ht="12.95" customHeight="1">
      <c r="B175" s="154"/>
      <c r="C175" s="380"/>
      <c r="D175" s="380"/>
      <c r="E175" s="154"/>
      <c r="F175" s="154"/>
      <c r="G175" s="154"/>
      <c r="H175" s="154"/>
      <c r="I175" s="154"/>
      <c r="J175" s="154"/>
      <c r="K175" s="154"/>
      <c r="L175" s="154"/>
      <c r="M175" s="154"/>
      <c r="N175" s="154"/>
      <c r="O175" s="154"/>
      <c r="P175" s="154"/>
      <c r="Q175" s="154"/>
      <c r="R175" s="154"/>
      <c r="S175" s="154"/>
      <c r="T175" s="154"/>
      <c r="U175" s="154"/>
      <c r="V175" s="154"/>
      <c r="W175" s="154"/>
      <c r="X175" s="154"/>
      <c r="Y175" s="154"/>
      <c r="Z175" s="154"/>
      <c r="AA175" s="154"/>
      <c r="AB175" s="154"/>
      <c r="AC175" s="154"/>
      <c r="AD175" s="154"/>
      <c r="AE175" s="154"/>
      <c r="AF175" s="367"/>
      <c r="AG175" s="368"/>
      <c r="AH175" s="368"/>
      <c r="AI175" s="368"/>
      <c r="AJ175" s="154"/>
      <c r="AK175" s="154"/>
      <c r="AL175" s="154"/>
      <c r="AM175" s="154"/>
      <c r="AN175" s="154"/>
      <c r="AO175" s="154"/>
      <c r="AP175" s="154"/>
      <c r="AQ175" s="154"/>
      <c r="AR175" s="154"/>
      <c r="AS175" s="154"/>
      <c r="AT175" s="154"/>
      <c r="AU175" s="154"/>
      <c r="AV175" s="154"/>
      <c r="AW175" s="154"/>
      <c r="AX175" s="154"/>
      <c r="AY175" s="154"/>
      <c r="AZ175" s="154"/>
      <c r="BA175" s="154"/>
      <c r="BB175" s="154"/>
      <c r="BC175" s="154"/>
      <c r="BD175" s="154"/>
      <c r="BE175" s="154"/>
      <c r="BF175" s="154"/>
      <c r="BG175" s="154"/>
      <c r="BH175" s="154"/>
      <c r="BI175" s="154"/>
      <c r="BJ175" s="154"/>
      <c r="BK175" s="154"/>
      <c r="BL175" s="154"/>
      <c r="BM175" s="154"/>
      <c r="BN175" s="154"/>
      <c r="BO175" s="154"/>
      <c r="BP175" s="154"/>
      <c r="BQ175" s="154"/>
      <c r="BR175" s="154"/>
      <c r="BS175" s="154"/>
      <c r="BT175" s="154"/>
      <c r="BU175" s="154"/>
      <c r="BV175" s="154"/>
      <c r="BW175" s="154"/>
      <c r="BX175" s="154"/>
      <c r="BY175" s="154"/>
      <c r="BZ175" s="154"/>
      <c r="CA175" s="154"/>
      <c r="CB175" s="154"/>
      <c r="CC175" s="154"/>
      <c r="CD175" s="154"/>
      <c r="CE175" s="154"/>
      <c r="CF175" s="154"/>
      <c r="CG175" s="154"/>
      <c r="CH175" s="154"/>
      <c r="CI175" s="154"/>
      <c r="CJ175" s="154"/>
      <c r="CK175" s="154"/>
      <c r="CL175" s="154"/>
      <c r="CM175" s="154"/>
      <c r="CN175" s="154"/>
      <c r="CO175" s="154"/>
      <c r="CP175" s="154"/>
      <c r="CQ175" s="154"/>
      <c r="CR175" s="154"/>
      <c r="CS175" s="154"/>
      <c r="CT175" s="154"/>
      <c r="CU175" s="154"/>
      <c r="CV175" s="154"/>
      <c r="CW175" s="154"/>
      <c r="CX175" s="154"/>
      <c r="CY175" s="154"/>
      <c r="CZ175" s="154"/>
      <c r="DA175" s="154"/>
      <c r="DB175" s="154"/>
      <c r="DC175" s="154"/>
      <c r="DD175" s="154"/>
      <c r="DE175" s="154"/>
      <c r="DF175" s="154"/>
      <c r="DG175" s="154"/>
      <c r="DH175" s="154"/>
      <c r="DI175" s="154"/>
      <c r="DJ175" s="154"/>
      <c r="DK175" s="154"/>
      <c r="DL175" s="154"/>
      <c r="DM175" s="154"/>
      <c r="DN175" s="154"/>
      <c r="DO175" s="154"/>
      <c r="DP175" s="154"/>
      <c r="DQ175" s="154"/>
      <c r="DR175" s="154"/>
      <c r="DS175" s="154"/>
      <c r="DT175" s="154"/>
      <c r="DU175" s="154"/>
      <c r="DV175" s="154"/>
      <c r="DW175" s="154"/>
      <c r="DX175" s="154"/>
      <c r="DY175" s="154"/>
      <c r="DZ175" s="154"/>
      <c r="EA175" s="154"/>
      <c r="EB175" s="154"/>
      <c r="EC175" s="154"/>
      <c r="ED175" s="154"/>
      <c r="EE175" s="154"/>
      <c r="EF175" s="154"/>
      <c r="EG175" s="154"/>
      <c r="EH175" s="154"/>
      <c r="EI175" s="154"/>
      <c r="EJ175" s="154"/>
      <c r="EK175" s="154"/>
      <c r="EL175" s="154"/>
      <c r="EM175" s="154"/>
      <c r="EN175" s="154"/>
      <c r="EO175" s="154"/>
      <c r="EP175" s="154"/>
      <c r="EQ175" s="154"/>
      <c r="ER175" s="154"/>
      <c r="ES175" s="154"/>
      <c r="ET175" s="154"/>
      <c r="EU175" s="154"/>
      <c r="EV175" s="154"/>
      <c r="EW175" s="154"/>
    </row>
    <row r="176" spans="2:153" ht="12.95" customHeight="1">
      <c r="B176" s="154"/>
      <c r="C176" s="380"/>
      <c r="D176" s="380"/>
      <c r="E176" s="154"/>
      <c r="F176" s="154"/>
      <c r="G176" s="154"/>
      <c r="H176" s="154"/>
      <c r="I176" s="154"/>
      <c r="J176" s="154"/>
      <c r="K176" s="154"/>
      <c r="L176" s="154"/>
      <c r="M176" s="154"/>
      <c r="N176" s="154"/>
      <c r="O176" s="154"/>
      <c r="P176" s="154"/>
      <c r="Q176" s="154"/>
      <c r="R176" s="154"/>
      <c r="S176" s="154"/>
      <c r="T176" s="154"/>
      <c r="U176" s="154"/>
      <c r="V176" s="154"/>
      <c r="W176" s="154"/>
      <c r="X176" s="154"/>
      <c r="Y176" s="154"/>
      <c r="Z176" s="154"/>
      <c r="AA176" s="154"/>
      <c r="AB176" s="154"/>
      <c r="AC176" s="154"/>
      <c r="AD176" s="154"/>
      <c r="AE176" s="154"/>
      <c r="AF176" s="367"/>
      <c r="AG176" s="368"/>
      <c r="AH176" s="368"/>
      <c r="AI176" s="368"/>
      <c r="AJ176" s="154"/>
      <c r="AK176" s="154"/>
      <c r="AL176" s="154"/>
      <c r="AM176" s="154"/>
      <c r="AN176" s="154"/>
      <c r="AO176" s="154"/>
      <c r="AP176" s="154"/>
      <c r="AQ176" s="154"/>
      <c r="AR176" s="154"/>
      <c r="AS176" s="154"/>
      <c r="AT176" s="154"/>
      <c r="AU176" s="154"/>
      <c r="AV176" s="154"/>
      <c r="AW176" s="154"/>
      <c r="AX176" s="154"/>
      <c r="AY176" s="154"/>
      <c r="AZ176" s="154"/>
      <c r="BA176" s="154"/>
      <c r="BB176" s="154"/>
      <c r="BC176" s="154"/>
      <c r="BD176" s="154"/>
      <c r="BE176" s="154"/>
      <c r="BF176" s="154"/>
      <c r="BG176" s="154"/>
      <c r="BH176" s="154"/>
      <c r="BI176" s="154"/>
      <c r="BJ176" s="154"/>
      <c r="BK176" s="154"/>
      <c r="BL176" s="154"/>
      <c r="BM176" s="154"/>
      <c r="BN176" s="154"/>
      <c r="BO176" s="154"/>
      <c r="BP176" s="154"/>
      <c r="BQ176" s="154"/>
      <c r="BR176" s="154"/>
      <c r="BS176" s="154"/>
      <c r="BT176" s="154"/>
      <c r="BU176" s="154"/>
      <c r="BV176" s="154"/>
      <c r="BW176" s="154"/>
      <c r="BX176" s="154"/>
      <c r="BY176" s="154"/>
      <c r="BZ176" s="154"/>
      <c r="CA176" s="154"/>
      <c r="CB176" s="154"/>
      <c r="CC176" s="154"/>
      <c r="CD176" s="154"/>
      <c r="CE176" s="154"/>
      <c r="CF176" s="154"/>
      <c r="CG176" s="154"/>
      <c r="CH176" s="154"/>
      <c r="CI176" s="154"/>
      <c r="CJ176" s="154"/>
      <c r="CK176" s="154"/>
      <c r="CL176" s="154"/>
      <c r="CM176" s="154"/>
      <c r="CN176" s="154"/>
      <c r="CO176" s="154"/>
      <c r="CP176" s="154"/>
      <c r="CQ176" s="154"/>
      <c r="CR176" s="154"/>
      <c r="CS176" s="154"/>
      <c r="CT176" s="154"/>
      <c r="CU176" s="154"/>
      <c r="CV176" s="154"/>
      <c r="CW176" s="154"/>
      <c r="CX176" s="154"/>
      <c r="CY176" s="154"/>
      <c r="CZ176" s="154"/>
      <c r="DA176" s="154"/>
      <c r="DB176" s="154"/>
      <c r="DC176" s="154"/>
      <c r="DD176" s="154"/>
      <c r="DE176" s="154"/>
      <c r="DF176" s="154"/>
      <c r="DG176" s="154"/>
      <c r="DH176" s="154"/>
      <c r="DI176" s="154"/>
      <c r="DJ176" s="154"/>
      <c r="DK176" s="154"/>
      <c r="DL176" s="154"/>
      <c r="DM176" s="154"/>
      <c r="DN176" s="154"/>
      <c r="DO176" s="154"/>
      <c r="DP176" s="154"/>
      <c r="DQ176" s="154"/>
      <c r="DR176" s="154"/>
      <c r="DS176" s="154"/>
      <c r="DT176" s="154"/>
      <c r="DU176" s="154"/>
      <c r="DV176" s="154"/>
      <c r="DW176" s="154"/>
      <c r="DX176" s="154"/>
      <c r="DY176" s="154"/>
      <c r="DZ176" s="154"/>
      <c r="EA176" s="154"/>
      <c r="EB176" s="154"/>
      <c r="EC176" s="154"/>
      <c r="ED176" s="154"/>
      <c r="EE176" s="154"/>
      <c r="EF176" s="154"/>
      <c r="EG176" s="154"/>
      <c r="EH176" s="154"/>
      <c r="EI176" s="154"/>
      <c r="EJ176" s="154"/>
      <c r="EK176" s="154"/>
      <c r="EL176" s="154"/>
      <c r="EM176" s="154"/>
      <c r="EN176" s="154"/>
      <c r="EO176" s="154"/>
      <c r="EP176" s="154"/>
      <c r="EQ176" s="154"/>
      <c r="ER176" s="154"/>
      <c r="ES176" s="154"/>
      <c r="ET176" s="154"/>
      <c r="EU176" s="154"/>
      <c r="EV176" s="154"/>
      <c r="EW176" s="154"/>
    </row>
    <row r="177" spans="2:153" ht="12.95" customHeight="1">
      <c r="B177" s="154"/>
      <c r="C177" s="380"/>
      <c r="D177" s="380"/>
      <c r="E177" s="154"/>
      <c r="F177" s="154"/>
      <c r="G177" s="154"/>
      <c r="H177" s="154"/>
      <c r="I177" s="154"/>
      <c r="J177" s="154"/>
      <c r="K177" s="154"/>
      <c r="L177" s="154"/>
      <c r="M177" s="154"/>
      <c r="N177" s="154"/>
      <c r="O177" s="154"/>
      <c r="P177" s="154"/>
      <c r="Q177" s="154"/>
      <c r="R177" s="154"/>
      <c r="S177" s="154"/>
      <c r="T177" s="154"/>
      <c r="U177" s="154"/>
      <c r="V177" s="154"/>
      <c r="W177" s="154"/>
      <c r="X177" s="154"/>
      <c r="Y177" s="154"/>
      <c r="Z177" s="154"/>
      <c r="AA177" s="154"/>
      <c r="AB177" s="154"/>
      <c r="AC177" s="154"/>
      <c r="AD177" s="154"/>
      <c r="AE177" s="154"/>
      <c r="AF177" s="367"/>
      <c r="AG177" s="368"/>
      <c r="AH177" s="368"/>
      <c r="AI177" s="368"/>
      <c r="AJ177" s="154"/>
      <c r="AK177" s="154"/>
      <c r="AL177" s="154"/>
      <c r="AM177" s="154"/>
      <c r="AN177" s="154"/>
      <c r="AO177" s="154"/>
      <c r="AP177" s="154"/>
      <c r="AQ177" s="154"/>
      <c r="AR177" s="154"/>
      <c r="AS177" s="154"/>
      <c r="AT177" s="154"/>
      <c r="AU177" s="154"/>
      <c r="AV177" s="154"/>
      <c r="AW177" s="154"/>
      <c r="AX177" s="154"/>
      <c r="AY177" s="154"/>
      <c r="AZ177" s="154"/>
      <c r="BA177" s="154"/>
      <c r="BB177" s="154"/>
      <c r="BC177" s="154"/>
      <c r="BD177" s="154"/>
      <c r="BE177" s="154"/>
      <c r="BF177" s="154"/>
      <c r="BG177" s="154"/>
      <c r="BH177" s="154"/>
      <c r="BI177" s="154"/>
      <c r="BJ177" s="154"/>
      <c r="BK177" s="154"/>
      <c r="BL177" s="154"/>
      <c r="BM177" s="154"/>
      <c r="BN177" s="154"/>
      <c r="BO177" s="154"/>
      <c r="BP177" s="154"/>
      <c r="BQ177" s="154"/>
      <c r="BR177" s="154"/>
      <c r="BS177" s="154"/>
      <c r="BT177" s="154"/>
      <c r="BU177" s="154"/>
      <c r="BV177" s="154"/>
      <c r="BW177" s="154"/>
      <c r="BX177" s="154"/>
      <c r="BY177" s="154"/>
      <c r="BZ177" s="154"/>
      <c r="CA177" s="154"/>
      <c r="CB177" s="154"/>
      <c r="CC177" s="154"/>
      <c r="CD177" s="154"/>
      <c r="CE177" s="154"/>
      <c r="CF177" s="154"/>
      <c r="CG177" s="154"/>
      <c r="CH177" s="154"/>
      <c r="CI177" s="154"/>
      <c r="CJ177" s="154"/>
      <c r="CK177" s="154"/>
      <c r="CL177" s="154"/>
      <c r="CM177" s="154"/>
      <c r="CN177" s="154"/>
      <c r="CO177" s="154"/>
      <c r="CP177" s="154"/>
      <c r="CQ177" s="154"/>
      <c r="CR177" s="154"/>
      <c r="CS177" s="154"/>
      <c r="CT177" s="154"/>
      <c r="CU177" s="154"/>
      <c r="CV177" s="154"/>
      <c r="CW177" s="154"/>
      <c r="CX177" s="154"/>
      <c r="CY177" s="154"/>
      <c r="CZ177" s="154"/>
      <c r="DA177" s="154"/>
      <c r="DB177" s="154"/>
      <c r="DC177" s="154"/>
      <c r="DD177" s="154"/>
      <c r="DE177" s="154"/>
      <c r="DF177" s="154"/>
      <c r="DG177" s="154"/>
      <c r="DH177" s="154"/>
      <c r="DI177" s="154"/>
      <c r="DJ177" s="154"/>
      <c r="DK177" s="154"/>
      <c r="DL177" s="154"/>
      <c r="DM177" s="154"/>
      <c r="DN177" s="154"/>
      <c r="DO177" s="154"/>
      <c r="DP177" s="154"/>
      <c r="DQ177" s="154"/>
      <c r="DR177" s="154"/>
      <c r="DS177" s="154"/>
      <c r="DT177" s="154"/>
      <c r="DU177" s="154"/>
      <c r="DV177" s="154"/>
      <c r="DW177" s="154"/>
      <c r="DX177" s="154"/>
      <c r="DY177" s="154"/>
      <c r="DZ177" s="154"/>
      <c r="EA177" s="154"/>
      <c r="EB177" s="154"/>
      <c r="EC177" s="154"/>
      <c r="ED177" s="154"/>
      <c r="EE177" s="154"/>
      <c r="EF177" s="154"/>
      <c r="EG177" s="154"/>
      <c r="EH177" s="154"/>
      <c r="EI177" s="154"/>
      <c r="EJ177" s="154"/>
      <c r="EK177" s="154"/>
      <c r="EL177" s="154"/>
      <c r="EM177" s="154"/>
      <c r="EN177" s="154"/>
      <c r="EO177" s="154"/>
      <c r="EP177" s="154"/>
      <c r="EQ177" s="154"/>
      <c r="ER177" s="154"/>
      <c r="ES177" s="154"/>
      <c r="ET177" s="154"/>
      <c r="EU177" s="154"/>
      <c r="EV177" s="154"/>
      <c r="EW177" s="154"/>
    </row>
    <row r="178" spans="2:153" ht="12.95" customHeight="1">
      <c r="B178" s="154"/>
      <c r="C178" s="380"/>
      <c r="D178" s="380"/>
      <c r="E178" s="154"/>
      <c r="F178" s="154"/>
      <c r="G178" s="154"/>
      <c r="H178" s="154"/>
      <c r="I178" s="154"/>
      <c r="J178" s="154"/>
      <c r="K178" s="154"/>
      <c r="L178" s="154"/>
      <c r="M178" s="154"/>
      <c r="N178" s="154"/>
      <c r="O178" s="154"/>
      <c r="P178" s="154"/>
      <c r="Q178" s="154"/>
      <c r="R178" s="154"/>
      <c r="S178" s="154"/>
      <c r="T178" s="154"/>
      <c r="U178" s="154"/>
      <c r="V178" s="154"/>
      <c r="W178" s="154"/>
      <c r="X178" s="154"/>
      <c r="Y178" s="154"/>
      <c r="Z178" s="154"/>
      <c r="AA178" s="154"/>
      <c r="AB178" s="154"/>
      <c r="AC178" s="154"/>
      <c r="AD178" s="154"/>
      <c r="AE178" s="154"/>
      <c r="AF178" s="367"/>
      <c r="AG178" s="368"/>
      <c r="AH178" s="368"/>
      <c r="AI178" s="368"/>
      <c r="AJ178" s="154"/>
      <c r="AK178" s="154"/>
      <c r="AL178" s="154"/>
      <c r="AM178" s="154"/>
      <c r="AN178" s="154"/>
      <c r="AO178" s="154"/>
      <c r="AP178" s="154"/>
      <c r="AQ178" s="154"/>
      <c r="AR178" s="154"/>
      <c r="AS178" s="154"/>
      <c r="AT178" s="154"/>
      <c r="AU178" s="154"/>
      <c r="AV178" s="154"/>
      <c r="AW178" s="154"/>
      <c r="AX178" s="154"/>
      <c r="AY178" s="154"/>
      <c r="AZ178" s="154"/>
      <c r="BA178" s="154"/>
      <c r="BB178" s="154"/>
      <c r="BC178" s="154"/>
      <c r="BD178" s="154"/>
      <c r="BE178" s="154"/>
      <c r="BF178" s="154"/>
      <c r="BG178" s="154"/>
      <c r="BH178" s="154"/>
      <c r="BI178" s="154"/>
      <c r="BJ178" s="154"/>
      <c r="BK178" s="154"/>
      <c r="BL178" s="154"/>
      <c r="BM178" s="154"/>
      <c r="BN178" s="154"/>
      <c r="BO178" s="154"/>
      <c r="BP178" s="154"/>
      <c r="BQ178" s="154"/>
      <c r="BR178" s="154"/>
      <c r="BS178" s="154"/>
      <c r="BT178" s="154"/>
      <c r="BU178" s="154"/>
      <c r="BV178" s="154"/>
      <c r="BW178" s="154"/>
      <c r="BX178" s="154"/>
      <c r="BY178" s="154"/>
      <c r="BZ178" s="154"/>
      <c r="CA178" s="154"/>
      <c r="CB178" s="154"/>
      <c r="CC178" s="154"/>
      <c r="CD178" s="154"/>
      <c r="CE178" s="154"/>
      <c r="CF178" s="154"/>
      <c r="CG178" s="154"/>
      <c r="CH178" s="154"/>
      <c r="CI178" s="154"/>
      <c r="CJ178" s="154"/>
      <c r="CK178" s="154"/>
      <c r="CL178" s="154"/>
      <c r="CM178" s="154"/>
      <c r="CN178" s="154"/>
      <c r="CO178" s="154"/>
      <c r="CP178" s="154"/>
      <c r="CQ178" s="154"/>
      <c r="CR178" s="154"/>
      <c r="CS178" s="154"/>
      <c r="CT178" s="154"/>
      <c r="CU178" s="154"/>
      <c r="CV178" s="154"/>
      <c r="CW178" s="154"/>
      <c r="CX178" s="154"/>
      <c r="CY178" s="154"/>
      <c r="CZ178" s="154"/>
      <c r="DA178" s="154"/>
      <c r="DB178" s="154"/>
      <c r="DC178" s="154"/>
      <c r="DD178" s="154"/>
      <c r="DE178" s="154"/>
      <c r="DF178" s="154"/>
      <c r="DG178" s="154"/>
      <c r="DH178" s="154"/>
      <c r="DI178" s="154"/>
      <c r="DJ178" s="154"/>
      <c r="DK178" s="154"/>
      <c r="DL178" s="154"/>
      <c r="DM178" s="154"/>
      <c r="DN178" s="154"/>
      <c r="DO178" s="154"/>
      <c r="DP178" s="154"/>
      <c r="DQ178" s="154"/>
      <c r="DR178" s="154"/>
      <c r="DS178" s="154"/>
      <c r="DT178" s="154"/>
      <c r="DU178" s="154"/>
      <c r="DV178" s="154"/>
      <c r="DW178" s="154"/>
      <c r="DX178" s="154"/>
      <c r="DY178" s="154"/>
      <c r="DZ178" s="154"/>
      <c r="EA178" s="154"/>
      <c r="EB178" s="154"/>
      <c r="EC178" s="154"/>
      <c r="ED178" s="154"/>
      <c r="EE178" s="154"/>
      <c r="EF178" s="154"/>
      <c r="EG178" s="154"/>
      <c r="EH178" s="154"/>
      <c r="EI178" s="154"/>
      <c r="EJ178" s="154"/>
      <c r="EK178" s="154"/>
      <c r="EL178" s="154"/>
      <c r="EM178" s="154"/>
      <c r="EN178" s="154"/>
      <c r="EO178" s="154"/>
      <c r="EP178" s="154"/>
      <c r="EQ178" s="154"/>
      <c r="ER178" s="154"/>
      <c r="ES178" s="154"/>
      <c r="ET178" s="154"/>
      <c r="EU178" s="154"/>
      <c r="EV178" s="154"/>
      <c r="EW178" s="154"/>
    </row>
    <row r="179" spans="2:153" ht="12.95" customHeight="1">
      <c r="B179" s="154"/>
      <c r="C179" s="380"/>
      <c r="D179" s="380"/>
      <c r="E179" s="154"/>
      <c r="F179" s="154"/>
      <c r="G179" s="154"/>
      <c r="H179" s="154"/>
      <c r="I179" s="154"/>
      <c r="J179" s="154"/>
      <c r="K179" s="154"/>
      <c r="L179" s="154"/>
      <c r="M179" s="154"/>
      <c r="N179" s="154"/>
      <c r="O179" s="154"/>
      <c r="P179" s="154"/>
      <c r="Q179" s="154"/>
      <c r="R179" s="154"/>
      <c r="S179" s="154"/>
      <c r="T179" s="154"/>
      <c r="U179" s="154"/>
      <c r="V179" s="154"/>
      <c r="W179" s="154"/>
      <c r="X179" s="154"/>
      <c r="Y179" s="154"/>
      <c r="Z179" s="154"/>
      <c r="AA179" s="154"/>
      <c r="AB179" s="154"/>
      <c r="AC179" s="154"/>
      <c r="AD179" s="154"/>
      <c r="AE179" s="154"/>
      <c r="AF179" s="367"/>
      <c r="AG179" s="368"/>
      <c r="AH179" s="368"/>
      <c r="AI179" s="368"/>
      <c r="AJ179" s="154"/>
      <c r="AK179" s="154"/>
      <c r="AL179" s="154"/>
      <c r="AM179" s="154"/>
      <c r="AN179" s="154"/>
      <c r="AO179" s="154"/>
      <c r="AP179" s="154"/>
      <c r="AQ179" s="154"/>
      <c r="AR179" s="154"/>
      <c r="AS179" s="154"/>
      <c r="AT179" s="154"/>
      <c r="AU179" s="154"/>
      <c r="AV179" s="154"/>
      <c r="AW179" s="154"/>
      <c r="AX179" s="154"/>
      <c r="AY179" s="154"/>
      <c r="AZ179" s="154"/>
      <c r="BA179" s="154"/>
      <c r="BB179" s="154"/>
      <c r="BC179" s="154"/>
      <c r="BD179" s="154"/>
      <c r="BE179" s="154"/>
      <c r="BF179" s="154"/>
      <c r="BG179" s="154"/>
      <c r="BH179" s="154"/>
      <c r="BI179" s="154"/>
      <c r="BJ179" s="154"/>
      <c r="BK179" s="154"/>
      <c r="BL179" s="154"/>
      <c r="BM179" s="154"/>
      <c r="BN179" s="154"/>
      <c r="BO179" s="154"/>
      <c r="BP179" s="154"/>
      <c r="BQ179" s="154"/>
      <c r="BR179" s="154"/>
      <c r="BS179" s="154"/>
      <c r="BT179" s="154"/>
      <c r="BU179" s="154"/>
      <c r="BV179" s="154"/>
      <c r="BW179" s="154"/>
      <c r="BX179" s="154"/>
      <c r="BY179" s="154"/>
      <c r="BZ179" s="154"/>
      <c r="CA179" s="154"/>
      <c r="CB179" s="154"/>
      <c r="CC179" s="154"/>
      <c r="CD179" s="154"/>
      <c r="CE179" s="154"/>
      <c r="CF179" s="154"/>
      <c r="CG179" s="154"/>
      <c r="CH179" s="154"/>
      <c r="CI179" s="154"/>
      <c r="CJ179" s="154"/>
      <c r="CK179" s="154"/>
      <c r="CL179" s="154"/>
      <c r="CM179" s="154"/>
      <c r="CN179" s="154"/>
      <c r="CO179" s="154"/>
      <c r="CP179" s="154"/>
      <c r="CQ179" s="154"/>
      <c r="CR179" s="154"/>
      <c r="CS179" s="154"/>
      <c r="CT179" s="154"/>
      <c r="CU179" s="154"/>
      <c r="CV179" s="154"/>
      <c r="CW179" s="154"/>
      <c r="CX179" s="154"/>
      <c r="CY179" s="154"/>
      <c r="CZ179" s="154"/>
      <c r="DA179" s="154"/>
      <c r="DB179" s="154"/>
      <c r="DC179" s="154"/>
      <c r="DD179" s="154"/>
      <c r="DE179" s="154"/>
      <c r="DF179" s="154"/>
      <c r="DG179" s="154"/>
      <c r="DH179" s="154"/>
      <c r="DI179" s="154"/>
      <c r="DJ179" s="154"/>
      <c r="DK179" s="154"/>
      <c r="DL179" s="154"/>
      <c r="DM179" s="154"/>
      <c r="DN179" s="154"/>
      <c r="DO179" s="154"/>
      <c r="DP179" s="154"/>
      <c r="DQ179" s="154"/>
      <c r="DR179" s="154"/>
      <c r="DS179" s="154"/>
      <c r="DT179" s="154"/>
      <c r="DU179" s="154"/>
      <c r="DV179" s="154"/>
      <c r="DW179" s="154"/>
      <c r="DX179" s="154"/>
      <c r="DY179" s="154"/>
      <c r="DZ179" s="154"/>
      <c r="EA179" s="154"/>
      <c r="EB179" s="154"/>
      <c r="EC179" s="154"/>
      <c r="ED179" s="154"/>
      <c r="EE179" s="154"/>
      <c r="EF179" s="154"/>
      <c r="EG179" s="154"/>
      <c r="EH179" s="154"/>
      <c r="EI179" s="154"/>
      <c r="EJ179" s="154"/>
      <c r="EK179" s="154"/>
      <c r="EL179" s="154"/>
      <c r="EM179" s="154"/>
      <c r="EN179" s="154"/>
      <c r="EO179" s="154"/>
      <c r="EP179" s="154"/>
      <c r="EQ179" s="154"/>
      <c r="ER179" s="154"/>
      <c r="ES179" s="154"/>
      <c r="ET179" s="154"/>
      <c r="EU179" s="154"/>
      <c r="EV179" s="154"/>
      <c r="EW179" s="154"/>
    </row>
    <row r="180" spans="2:153" ht="12.95" customHeight="1">
      <c r="B180" s="154"/>
      <c r="C180" s="380"/>
      <c r="D180" s="380"/>
      <c r="E180" s="154"/>
      <c r="F180" s="154"/>
      <c r="G180" s="154"/>
      <c r="H180" s="154"/>
      <c r="I180" s="154"/>
      <c r="J180" s="154"/>
      <c r="K180" s="154"/>
      <c r="L180" s="154"/>
      <c r="M180" s="154"/>
      <c r="N180" s="154"/>
      <c r="O180" s="154"/>
      <c r="P180" s="154"/>
      <c r="Q180" s="154"/>
      <c r="R180" s="154"/>
      <c r="S180" s="154"/>
      <c r="T180" s="154"/>
      <c r="U180" s="154"/>
      <c r="V180" s="154"/>
      <c r="W180" s="154"/>
      <c r="X180" s="154"/>
      <c r="Y180" s="154"/>
      <c r="Z180" s="154"/>
      <c r="AA180" s="154"/>
      <c r="AB180" s="154"/>
      <c r="AC180" s="154"/>
      <c r="AD180" s="154"/>
      <c r="AE180" s="154"/>
      <c r="AF180" s="367"/>
      <c r="AG180" s="368"/>
      <c r="AH180" s="368"/>
      <c r="AI180" s="368"/>
      <c r="AJ180" s="154"/>
      <c r="AK180" s="154"/>
      <c r="AL180" s="154"/>
      <c r="AM180" s="154"/>
      <c r="AN180" s="154"/>
      <c r="AO180" s="154"/>
      <c r="AP180" s="154"/>
      <c r="AQ180" s="154"/>
      <c r="AR180" s="154"/>
      <c r="AS180" s="154"/>
      <c r="AT180" s="154"/>
      <c r="AU180" s="154"/>
      <c r="AV180" s="154"/>
      <c r="AW180" s="154"/>
      <c r="AX180" s="154"/>
      <c r="AY180" s="154"/>
      <c r="AZ180" s="154"/>
      <c r="BA180" s="154"/>
      <c r="BB180" s="154"/>
      <c r="BC180" s="154"/>
      <c r="BD180" s="154"/>
      <c r="BE180" s="154"/>
      <c r="BF180" s="154"/>
      <c r="BG180" s="154"/>
      <c r="BH180" s="154"/>
      <c r="BI180" s="154"/>
      <c r="BJ180" s="154"/>
      <c r="BK180" s="154"/>
      <c r="BL180" s="154"/>
      <c r="BM180" s="154"/>
      <c r="BN180" s="154"/>
      <c r="BO180" s="154"/>
      <c r="BP180" s="154"/>
      <c r="BQ180" s="154"/>
      <c r="BR180" s="154"/>
      <c r="BS180" s="154"/>
      <c r="BT180" s="154"/>
      <c r="BU180" s="154"/>
      <c r="BV180" s="154"/>
      <c r="BW180" s="154"/>
      <c r="BX180" s="154"/>
      <c r="BY180" s="154"/>
      <c r="BZ180" s="154"/>
      <c r="CA180" s="154"/>
      <c r="CB180" s="154"/>
      <c r="CC180" s="154"/>
      <c r="CD180" s="154"/>
      <c r="CE180" s="154"/>
      <c r="CF180" s="154"/>
      <c r="CG180" s="154"/>
      <c r="CH180" s="154"/>
      <c r="CI180" s="154"/>
      <c r="CJ180" s="154"/>
      <c r="CK180" s="154"/>
      <c r="CL180" s="154"/>
      <c r="CM180" s="154"/>
      <c r="CN180" s="154"/>
      <c r="CO180" s="154"/>
      <c r="CP180" s="154"/>
      <c r="CQ180" s="154"/>
      <c r="CR180" s="154"/>
      <c r="CS180" s="154"/>
      <c r="CT180" s="154"/>
      <c r="CU180" s="154"/>
      <c r="CV180" s="154"/>
      <c r="CW180" s="154"/>
      <c r="CX180" s="154"/>
      <c r="CY180" s="154"/>
      <c r="CZ180" s="154"/>
      <c r="DA180" s="154"/>
      <c r="DB180" s="154"/>
      <c r="DC180" s="154"/>
      <c r="DD180" s="154"/>
      <c r="DE180" s="154"/>
      <c r="DF180" s="154"/>
      <c r="DG180" s="154"/>
      <c r="DH180" s="154"/>
      <c r="DI180" s="154"/>
      <c r="DJ180" s="154"/>
      <c r="DK180" s="154"/>
      <c r="DL180" s="154"/>
      <c r="DM180" s="154"/>
      <c r="DN180" s="154"/>
      <c r="DO180" s="154"/>
      <c r="DP180" s="154"/>
      <c r="DQ180" s="154"/>
      <c r="DR180" s="154"/>
      <c r="DS180" s="154"/>
      <c r="DT180" s="154"/>
      <c r="DU180" s="154"/>
      <c r="DV180" s="154"/>
      <c r="DW180" s="154"/>
      <c r="DX180" s="154"/>
      <c r="DY180" s="154"/>
      <c r="DZ180" s="154"/>
      <c r="EA180" s="154"/>
      <c r="EB180" s="154"/>
      <c r="EC180" s="154"/>
      <c r="ED180" s="154"/>
      <c r="EE180" s="154"/>
      <c r="EF180" s="154"/>
      <c r="EG180" s="154"/>
      <c r="EH180" s="154"/>
      <c r="EI180" s="154"/>
      <c r="EJ180" s="154"/>
      <c r="EK180" s="154"/>
      <c r="EL180" s="154"/>
      <c r="EM180" s="154"/>
      <c r="EN180" s="154"/>
      <c r="EO180" s="154"/>
      <c r="EP180" s="154"/>
      <c r="EQ180" s="154"/>
      <c r="ER180" s="154"/>
      <c r="ES180" s="154"/>
      <c r="ET180" s="154"/>
      <c r="EU180" s="154"/>
      <c r="EV180" s="154"/>
      <c r="EW180" s="154"/>
    </row>
    <row r="181" spans="2:153" ht="12.95" customHeight="1">
      <c r="B181" s="154"/>
      <c r="C181" s="380"/>
      <c r="D181" s="380"/>
      <c r="E181" s="154"/>
      <c r="F181" s="154"/>
      <c r="G181" s="154"/>
      <c r="H181" s="154"/>
      <c r="I181" s="154"/>
      <c r="J181" s="154"/>
      <c r="K181" s="154"/>
      <c r="L181" s="154"/>
      <c r="M181" s="154"/>
      <c r="N181" s="154"/>
      <c r="O181" s="154"/>
      <c r="P181" s="154"/>
      <c r="Q181" s="154"/>
      <c r="R181" s="154"/>
      <c r="S181" s="154"/>
      <c r="T181" s="154"/>
      <c r="U181" s="154"/>
      <c r="V181" s="154"/>
      <c r="W181" s="154"/>
      <c r="X181" s="154"/>
      <c r="Y181" s="154"/>
      <c r="Z181" s="154"/>
      <c r="AA181" s="154"/>
      <c r="AB181" s="154"/>
      <c r="AC181" s="154"/>
      <c r="AD181" s="154"/>
      <c r="AE181" s="154"/>
      <c r="AF181" s="367"/>
      <c r="AG181" s="368"/>
      <c r="AH181" s="368"/>
      <c r="AI181" s="368"/>
      <c r="AJ181" s="154"/>
      <c r="AK181" s="154"/>
      <c r="AL181" s="154"/>
      <c r="AM181" s="154"/>
      <c r="AN181" s="154"/>
      <c r="AO181" s="154"/>
      <c r="AP181" s="154"/>
      <c r="AQ181" s="154"/>
      <c r="AR181" s="154"/>
      <c r="AS181" s="154"/>
      <c r="AT181" s="154"/>
      <c r="AU181" s="154"/>
      <c r="AV181" s="154"/>
      <c r="AW181" s="154"/>
      <c r="AX181" s="154"/>
      <c r="AY181" s="154"/>
      <c r="AZ181" s="154"/>
      <c r="BA181" s="154"/>
      <c r="BB181" s="154"/>
      <c r="BC181" s="154"/>
      <c r="BD181" s="154"/>
      <c r="BE181" s="154"/>
      <c r="BF181" s="154"/>
      <c r="BG181" s="154"/>
      <c r="BH181" s="154"/>
      <c r="BI181" s="154"/>
      <c r="BJ181" s="154"/>
      <c r="BK181" s="154"/>
      <c r="BL181" s="154"/>
      <c r="BM181" s="154"/>
      <c r="BN181" s="154"/>
      <c r="BO181" s="154"/>
      <c r="BP181" s="154"/>
      <c r="BQ181" s="154"/>
      <c r="BR181" s="154"/>
      <c r="BS181" s="154"/>
      <c r="BT181" s="154"/>
      <c r="BU181" s="154"/>
      <c r="BV181" s="154"/>
      <c r="BW181" s="154"/>
      <c r="BX181" s="154"/>
      <c r="BY181" s="154"/>
      <c r="BZ181" s="154"/>
      <c r="CA181" s="154"/>
      <c r="CB181" s="154"/>
      <c r="CC181" s="154"/>
      <c r="CD181" s="154"/>
      <c r="CE181" s="154"/>
      <c r="CF181" s="154"/>
      <c r="CG181" s="154"/>
      <c r="CH181" s="154"/>
      <c r="CI181" s="154"/>
      <c r="CJ181" s="154"/>
      <c r="CK181" s="154"/>
      <c r="CL181" s="154"/>
      <c r="CM181" s="154"/>
      <c r="CN181" s="154"/>
      <c r="CO181" s="154"/>
      <c r="CP181" s="154"/>
      <c r="CQ181" s="154"/>
      <c r="CR181" s="154"/>
      <c r="CS181" s="154"/>
      <c r="CT181" s="154"/>
      <c r="CU181" s="154"/>
      <c r="CV181" s="154"/>
      <c r="CW181" s="154"/>
      <c r="CX181" s="154"/>
      <c r="CY181" s="154"/>
      <c r="CZ181" s="154"/>
      <c r="DA181" s="154"/>
      <c r="DB181" s="154"/>
      <c r="DC181" s="154"/>
      <c r="DD181" s="154"/>
      <c r="DE181" s="154"/>
      <c r="DF181" s="154"/>
      <c r="DG181" s="154"/>
      <c r="DH181" s="154"/>
      <c r="DI181" s="154"/>
      <c r="DJ181" s="154"/>
      <c r="DK181" s="154"/>
      <c r="DL181" s="154"/>
      <c r="DM181" s="154"/>
      <c r="DN181" s="154"/>
      <c r="DO181" s="154"/>
      <c r="DP181" s="154"/>
      <c r="DQ181" s="154"/>
      <c r="DR181" s="154"/>
      <c r="DS181" s="154"/>
      <c r="DT181" s="154"/>
      <c r="DU181" s="154"/>
      <c r="DV181" s="154"/>
      <c r="DW181" s="154"/>
      <c r="DX181" s="154"/>
      <c r="DY181" s="154"/>
      <c r="DZ181" s="154"/>
      <c r="EA181" s="154"/>
      <c r="EB181" s="154"/>
      <c r="EC181" s="154"/>
      <c r="ED181" s="154"/>
      <c r="EE181" s="154"/>
      <c r="EF181" s="154"/>
      <c r="EG181" s="154"/>
      <c r="EH181" s="154"/>
      <c r="EI181" s="154"/>
      <c r="EJ181" s="154"/>
      <c r="EK181" s="154"/>
      <c r="EL181" s="154"/>
      <c r="EM181" s="154"/>
      <c r="EN181" s="154"/>
      <c r="EO181" s="154"/>
      <c r="EP181" s="154"/>
      <c r="EQ181" s="154"/>
      <c r="ER181" s="154"/>
      <c r="ES181" s="154"/>
      <c r="ET181" s="154"/>
      <c r="EU181" s="154"/>
      <c r="EV181" s="154"/>
      <c r="EW181" s="154"/>
    </row>
    <row r="182" spans="2:153" ht="12.95" customHeight="1">
      <c r="B182" s="154"/>
      <c r="C182" s="380"/>
      <c r="D182" s="380"/>
      <c r="E182" s="154"/>
      <c r="F182" s="154"/>
      <c r="G182" s="154"/>
      <c r="H182" s="154"/>
      <c r="I182" s="375"/>
      <c r="J182" s="154"/>
      <c r="K182" s="154"/>
      <c r="L182" s="154"/>
      <c r="M182" s="154"/>
      <c r="N182" s="154"/>
      <c r="O182" s="154"/>
      <c r="P182" s="154"/>
      <c r="Q182" s="154"/>
      <c r="R182" s="154"/>
      <c r="S182" s="154"/>
      <c r="T182" s="154"/>
      <c r="U182" s="154"/>
      <c r="V182" s="154"/>
      <c r="W182" s="154"/>
      <c r="X182" s="154"/>
      <c r="Y182" s="154"/>
      <c r="Z182" s="154"/>
      <c r="AA182" s="154"/>
      <c r="AB182" s="154"/>
      <c r="AC182" s="154"/>
      <c r="AD182" s="154"/>
      <c r="AE182" s="154"/>
      <c r="AF182" s="367"/>
      <c r="AG182" s="368"/>
      <c r="AH182" s="368"/>
      <c r="AI182" s="368"/>
      <c r="AJ182" s="154"/>
      <c r="AK182" s="154"/>
      <c r="AL182" s="154"/>
      <c r="AM182" s="154"/>
      <c r="AN182" s="154"/>
      <c r="AO182" s="154"/>
      <c r="AP182" s="154"/>
      <c r="AQ182" s="154"/>
      <c r="AR182" s="154"/>
      <c r="AS182" s="154"/>
      <c r="AT182" s="154"/>
      <c r="AU182" s="154"/>
      <c r="AV182" s="154"/>
      <c r="AW182" s="154"/>
      <c r="AX182" s="154"/>
      <c r="AY182" s="154"/>
      <c r="AZ182" s="154"/>
      <c r="BA182" s="154"/>
      <c r="BB182" s="154"/>
      <c r="BC182" s="154"/>
      <c r="BD182" s="154"/>
      <c r="BE182" s="154"/>
      <c r="BF182" s="154"/>
      <c r="BG182" s="154"/>
      <c r="BH182" s="154"/>
      <c r="BI182" s="154"/>
      <c r="BJ182" s="154"/>
      <c r="BK182" s="154"/>
      <c r="BL182" s="154"/>
      <c r="BM182" s="154"/>
      <c r="BN182" s="154"/>
      <c r="BO182" s="154"/>
      <c r="BP182" s="154"/>
      <c r="BQ182" s="154"/>
      <c r="BR182" s="154"/>
      <c r="BS182" s="154"/>
      <c r="BT182" s="154"/>
      <c r="BU182" s="154"/>
      <c r="BV182" s="154"/>
      <c r="BW182" s="154"/>
      <c r="BX182" s="154"/>
      <c r="BY182" s="154"/>
      <c r="BZ182" s="154"/>
      <c r="CA182" s="154"/>
      <c r="CB182" s="154"/>
      <c r="CC182" s="154"/>
      <c r="CD182" s="154"/>
      <c r="CE182" s="154"/>
      <c r="CF182" s="154"/>
      <c r="CG182" s="154"/>
      <c r="CH182" s="154"/>
      <c r="CI182" s="154"/>
      <c r="CJ182" s="154"/>
      <c r="CK182" s="154"/>
      <c r="CL182" s="154"/>
      <c r="CM182" s="154"/>
      <c r="CN182" s="154"/>
      <c r="CO182" s="154"/>
      <c r="CP182" s="154"/>
      <c r="CQ182" s="154"/>
      <c r="CR182" s="154"/>
      <c r="CS182" s="154"/>
      <c r="CT182" s="154"/>
      <c r="CU182" s="154"/>
      <c r="CV182" s="154"/>
      <c r="CW182" s="154"/>
      <c r="CX182" s="154"/>
      <c r="CY182" s="154"/>
      <c r="CZ182" s="154"/>
      <c r="DA182" s="154"/>
      <c r="DB182" s="154"/>
      <c r="DC182" s="154"/>
      <c r="DD182" s="154"/>
      <c r="DE182" s="154"/>
      <c r="DF182" s="154"/>
      <c r="DG182" s="154"/>
      <c r="DH182" s="154"/>
      <c r="DI182" s="154"/>
      <c r="DJ182" s="154"/>
      <c r="DK182" s="154"/>
      <c r="DL182" s="154"/>
      <c r="DM182" s="154"/>
      <c r="DN182" s="154"/>
      <c r="DO182" s="154"/>
      <c r="DP182" s="154"/>
      <c r="DQ182" s="154"/>
      <c r="DR182" s="154"/>
      <c r="DS182" s="154"/>
      <c r="DT182" s="154"/>
      <c r="DU182" s="154"/>
      <c r="DV182" s="154"/>
      <c r="DW182" s="154"/>
      <c r="DX182" s="154"/>
      <c r="DY182" s="154"/>
      <c r="DZ182" s="154"/>
      <c r="EA182" s="154"/>
      <c r="EB182" s="154"/>
      <c r="EC182" s="154"/>
      <c r="ED182" s="154"/>
      <c r="EE182" s="154"/>
      <c r="EF182" s="154"/>
      <c r="EG182" s="154"/>
      <c r="EH182" s="154"/>
      <c r="EI182" s="154"/>
      <c r="EJ182" s="154"/>
      <c r="EK182" s="154"/>
      <c r="EL182" s="154"/>
      <c r="EM182" s="154"/>
      <c r="EN182" s="154"/>
      <c r="EO182" s="154"/>
      <c r="EP182" s="154"/>
      <c r="EQ182" s="154"/>
      <c r="ER182" s="154"/>
      <c r="ES182" s="154"/>
      <c r="ET182" s="154"/>
      <c r="EU182" s="154"/>
      <c r="EV182" s="154"/>
      <c r="EW182" s="154"/>
    </row>
    <row r="183" spans="2:153" ht="12.95" customHeight="1">
      <c r="B183" s="154"/>
      <c r="C183" s="380"/>
      <c r="D183" s="380"/>
      <c r="E183" s="154"/>
      <c r="F183" s="154"/>
      <c r="G183" s="154"/>
      <c r="H183" s="154"/>
      <c r="I183" s="154"/>
      <c r="J183" s="154"/>
      <c r="K183" s="154"/>
      <c r="L183" s="154"/>
      <c r="M183" s="154"/>
      <c r="N183" s="154"/>
      <c r="O183" s="154"/>
      <c r="P183" s="154"/>
      <c r="Q183" s="154"/>
      <c r="R183" s="154"/>
      <c r="S183" s="154"/>
      <c r="T183" s="154"/>
      <c r="U183" s="154"/>
      <c r="V183" s="154"/>
      <c r="W183" s="154"/>
      <c r="X183" s="154"/>
      <c r="Y183" s="154"/>
      <c r="Z183" s="154"/>
      <c r="AA183" s="154"/>
      <c r="AB183" s="154"/>
      <c r="AC183" s="154"/>
      <c r="AD183" s="154"/>
      <c r="AE183" s="154"/>
      <c r="AF183" s="367"/>
      <c r="AG183" s="368"/>
      <c r="AH183" s="368"/>
      <c r="AI183" s="368"/>
      <c r="AJ183" s="154"/>
      <c r="AK183" s="154"/>
      <c r="AL183" s="154"/>
      <c r="AM183" s="154"/>
      <c r="AN183" s="154"/>
      <c r="AO183" s="154"/>
      <c r="AP183" s="154"/>
      <c r="AQ183" s="154"/>
      <c r="AR183" s="154"/>
      <c r="AS183" s="154"/>
      <c r="AT183" s="154"/>
      <c r="AU183" s="154"/>
      <c r="AV183" s="154"/>
      <c r="AW183" s="154"/>
      <c r="AX183" s="154"/>
      <c r="AY183" s="154"/>
      <c r="AZ183" s="154"/>
      <c r="BA183" s="154"/>
      <c r="BB183" s="154"/>
      <c r="BC183" s="154"/>
      <c r="BD183" s="154"/>
      <c r="BE183" s="154"/>
      <c r="BF183" s="154"/>
      <c r="BG183" s="154"/>
      <c r="BH183" s="154"/>
      <c r="BI183" s="154"/>
      <c r="BJ183" s="154"/>
      <c r="BK183" s="154"/>
      <c r="BL183" s="154"/>
      <c r="BM183" s="154"/>
      <c r="BN183" s="154"/>
      <c r="BO183" s="154"/>
      <c r="BP183" s="154"/>
      <c r="BQ183" s="154"/>
      <c r="BR183" s="154"/>
      <c r="BS183" s="154"/>
      <c r="BT183" s="154"/>
      <c r="BU183" s="154"/>
      <c r="BV183" s="154"/>
      <c r="BW183" s="154"/>
      <c r="BX183" s="154"/>
      <c r="BY183" s="154"/>
      <c r="BZ183" s="154"/>
      <c r="CA183" s="154"/>
      <c r="CB183" s="154"/>
      <c r="CC183" s="154"/>
      <c r="CD183" s="154"/>
      <c r="CE183" s="154"/>
      <c r="CF183" s="154"/>
      <c r="CG183" s="154"/>
      <c r="CH183" s="154"/>
      <c r="CI183" s="154"/>
      <c r="CJ183" s="154"/>
      <c r="CK183" s="154"/>
      <c r="CL183" s="154"/>
      <c r="CM183" s="154"/>
      <c r="CN183" s="154"/>
      <c r="CO183" s="154"/>
      <c r="CP183" s="154"/>
      <c r="CQ183" s="154"/>
      <c r="CR183" s="154"/>
      <c r="CS183" s="154"/>
      <c r="CT183" s="154"/>
      <c r="CU183" s="154"/>
      <c r="CV183" s="154"/>
      <c r="CW183" s="154"/>
      <c r="CX183" s="154"/>
      <c r="CY183" s="154"/>
      <c r="CZ183" s="154"/>
      <c r="DA183" s="154"/>
      <c r="DB183" s="154"/>
      <c r="DC183" s="154"/>
      <c r="DD183" s="154"/>
      <c r="DE183" s="154"/>
      <c r="DF183" s="154"/>
      <c r="DG183" s="154"/>
      <c r="DH183" s="154"/>
      <c r="DI183" s="154"/>
      <c r="DJ183" s="154"/>
      <c r="DK183" s="154"/>
      <c r="DL183" s="154"/>
      <c r="DM183" s="154"/>
      <c r="DN183" s="154"/>
      <c r="DO183" s="154"/>
      <c r="DP183" s="154"/>
      <c r="DQ183" s="154"/>
      <c r="DR183" s="154"/>
      <c r="DS183" s="154"/>
      <c r="DT183" s="154"/>
      <c r="DU183" s="154"/>
      <c r="DV183" s="154"/>
      <c r="DW183" s="154"/>
      <c r="DX183" s="154"/>
      <c r="DY183" s="154"/>
      <c r="DZ183" s="154"/>
      <c r="EA183" s="154"/>
      <c r="EB183" s="154"/>
      <c r="EC183" s="154"/>
      <c r="ED183" s="154"/>
      <c r="EE183" s="154"/>
      <c r="EF183" s="154"/>
      <c r="EG183" s="154"/>
      <c r="EH183" s="154"/>
      <c r="EI183" s="154"/>
      <c r="EJ183" s="154"/>
      <c r="EK183" s="154"/>
      <c r="EL183" s="154"/>
      <c r="EM183" s="154"/>
      <c r="EN183" s="154"/>
      <c r="EO183" s="154"/>
      <c r="EP183" s="154"/>
      <c r="EQ183" s="154"/>
      <c r="ER183" s="154"/>
      <c r="ES183" s="154"/>
      <c r="ET183" s="154"/>
      <c r="EU183" s="154"/>
      <c r="EV183" s="154"/>
      <c r="EW183" s="154"/>
    </row>
    <row r="184" spans="2:153" ht="12.95" customHeight="1">
      <c r="B184" s="154"/>
      <c r="C184" s="380"/>
      <c r="D184" s="380"/>
      <c r="E184" s="154"/>
      <c r="F184" s="154"/>
      <c r="G184" s="154"/>
      <c r="H184" s="154"/>
      <c r="I184" s="154"/>
      <c r="J184" s="154"/>
      <c r="K184" s="154"/>
      <c r="L184" s="154"/>
      <c r="M184" s="154"/>
      <c r="N184" s="154"/>
      <c r="O184" s="154"/>
      <c r="P184" s="154"/>
      <c r="Q184" s="154"/>
      <c r="R184" s="154"/>
      <c r="S184" s="154"/>
      <c r="T184" s="154"/>
      <c r="U184" s="154"/>
      <c r="V184" s="154"/>
      <c r="W184" s="154"/>
      <c r="X184" s="154"/>
      <c r="Y184" s="154"/>
      <c r="Z184" s="154"/>
      <c r="AA184" s="154"/>
      <c r="AB184" s="154"/>
      <c r="AC184" s="154"/>
      <c r="AD184" s="154"/>
      <c r="AE184" s="154"/>
      <c r="AF184" s="367"/>
      <c r="AG184" s="368"/>
      <c r="AH184" s="368"/>
      <c r="AI184" s="368"/>
      <c r="AJ184" s="154"/>
      <c r="AK184" s="154"/>
      <c r="AL184" s="154"/>
      <c r="AM184" s="154"/>
      <c r="AN184" s="154"/>
      <c r="AO184" s="154"/>
      <c r="AP184" s="154"/>
      <c r="AQ184" s="154"/>
      <c r="AR184" s="154"/>
      <c r="AS184" s="154"/>
      <c r="AT184" s="154"/>
      <c r="AU184" s="154"/>
      <c r="AV184" s="154"/>
      <c r="AW184" s="154"/>
      <c r="AX184" s="154"/>
      <c r="AY184" s="154"/>
      <c r="AZ184" s="154"/>
      <c r="BA184" s="154"/>
      <c r="BB184" s="154"/>
      <c r="BC184" s="154"/>
      <c r="BD184" s="154"/>
      <c r="BE184" s="154"/>
      <c r="BF184" s="154"/>
      <c r="BG184" s="154"/>
      <c r="BH184" s="154"/>
      <c r="BI184" s="154"/>
      <c r="BJ184" s="154"/>
      <c r="BK184" s="154"/>
      <c r="BL184" s="154"/>
      <c r="BM184" s="154"/>
      <c r="BN184" s="154"/>
      <c r="BO184" s="154"/>
      <c r="BP184" s="154"/>
      <c r="BQ184" s="154"/>
      <c r="BR184" s="154"/>
      <c r="BS184" s="154"/>
      <c r="BT184" s="154"/>
      <c r="BU184" s="154"/>
      <c r="BV184" s="154"/>
      <c r="BW184" s="154"/>
      <c r="BX184" s="154"/>
      <c r="BY184" s="154"/>
      <c r="BZ184" s="154"/>
      <c r="CA184" s="154"/>
      <c r="CB184" s="154"/>
      <c r="CC184" s="154"/>
      <c r="CD184" s="154"/>
      <c r="CE184" s="154"/>
      <c r="CF184" s="154"/>
      <c r="CG184" s="154"/>
      <c r="CH184" s="154"/>
      <c r="CI184" s="154"/>
      <c r="CJ184" s="154"/>
      <c r="CK184" s="154"/>
      <c r="CL184" s="154"/>
      <c r="CM184" s="154"/>
      <c r="CN184" s="154"/>
      <c r="CO184" s="154"/>
      <c r="CP184" s="154"/>
      <c r="CQ184" s="154"/>
      <c r="CR184" s="154"/>
      <c r="CS184" s="154"/>
      <c r="CT184" s="154"/>
      <c r="CU184" s="154"/>
      <c r="CV184" s="154"/>
      <c r="CW184" s="154"/>
      <c r="CX184" s="154"/>
      <c r="CY184" s="154"/>
      <c r="CZ184" s="154"/>
      <c r="DA184" s="154"/>
      <c r="DB184" s="154"/>
      <c r="DC184" s="154"/>
      <c r="DD184" s="154"/>
      <c r="DE184" s="154"/>
      <c r="DF184" s="154"/>
      <c r="DG184" s="154"/>
      <c r="DH184" s="154"/>
      <c r="DI184" s="154"/>
      <c r="DJ184" s="154"/>
      <c r="DK184" s="154"/>
      <c r="DL184" s="154"/>
      <c r="DM184" s="154"/>
      <c r="DN184" s="154"/>
      <c r="DO184" s="154"/>
      <c r="DP184" s="154"/>
      <c r="DQ184" s="154"/>
      <c r="DR184" s="154"/>
      <c r="DS184" s="154"/>
      <c r="DT184" s="154"/>
      <c r="DU184" s="154"/>
      <c r="DV184" s="154"/>
      <c r="DW184" s="154"/>
      <c r="DX184" s="154"/>
      <c r="DY184" s="154"/>
      <c r="DZ184" s="154"/>
      <c r="EA184" s="154"/>
      <c r="EB184" s="154"/>
      <c r="EC184" s="154"/>
      <c r="ED184" s="154"/>
      <c r="EE184" s="154"/>
      <c r="EF184" s="154"/>
      <c r="EG184" s="154"/>
      <c r="EH184" s="154"/>
      <c r="EI184" s="154"/>
      <c r="EJ184" s="154"/>
      <c r="EK184" s="154"/>
      <c r="EL184" s="154"/>
      <c r="EM184" s="154"/>
      <c r="EN184" s="154"/>
      <c r="EO184" s="154"/>
      <c r="EP184" s="154"/>
      <c r="EQ184" s="154"/>
      <c r="ER184" s="154"/>
      <c r="ES184" s="154"/>
      <c r="ET184" s="154"/>
      <c r="EU184" s="154"/>
      <c r="EV184" s="154"/>
      <c r="EW184" s="154"/>
    </row>
    <row r="185" spans="2:153" ht="12.95" customHeight="1">
      <c r="B185" s="154"/>
      <c r="C185" s="380"/>
      <c r="D185" s="380"/>
      <c r="E185" s="154"/>
      <c r="F185" s="154"/>
      <c r="G185" s="154"/>
      <c r="H185" s="154"/>
      <c r="I185" s="154"/>
      <c r="J185" s="154"/>
      <c r="K185" s="154"/>
      <c r="L185" s="154"/>
      <c r="M185" s="154"/>
      <c r="N185" s="154"/>
      <c r="O185" s="154"/>
      <c r="P185" s="154"/>
      <c r="Q185" s="154"/>
      <c r="R185" s="154"/>
      <c r="S185" s="154"/>
      <c r="T185" s="154"/>
      <c r="U185" s="154"/>
      <c r="V185" s="154"/>
      <c r="W185" s="154"/>
      <c r="X185" s="154"/>
      <c r="Y185" s="154"/>
      <c r="Z185" s="154"/>
      <c r="AA185" s="154"/>
      <c r="AB185" s="154"/>
      <c r="AC185" s="154"/>
      <c r="AD185" s="154"/>
      <c r="AE185" s="154"/>
      <c r="AF185" s="367"/>
      <c r="AG185" s="368"/>
      <c r="AH185" s="368"/>
      <c r="AI185" s="368"/>
      <c r="AJ185" s="154"/>
      <c r="AK185" s="154"/>
      <c r="AL185" s="154"/>
      <c r="AM185" s="154"/>
      <c r="AN185" s="154"/>
      <c r="AO185" s="154"/>
      <c r="AP185" s="154"/>
      <c r="AQ185" s="154"/>
      <c r="AR185" s="154"/>
      <c r="AS185" s="154"/>
      <c r="AT185" s="154"/>
      <c r="AU185" s="154"/>
      <c r="AV185" s="154"/>
      <c r="AW185" s="154"/>
      <c r="AX185" s="154"/>
      <c r="AY185" s="154"/>
      <c r="AZ185" s="154"/>
      <c r="BA185" s="154"/>
      <c r="BB185" s="154"/>
      <c r="BC185" s="154"/>
      <c r="BD185" s="154"/>
      <c r="BE185" s="154"/>
      <c r="BF185" s="154"/>
      <c r="BG185" s="154"/>
      <c r="BH185" s="154"/>
      <c r="BI185" s="154"/>
      <c r="BJ185" s="154"/>
      <c r="BK185" s="154"/>
      <c r="BL185" s="154"/>
      <c r="BM185" s="154"/>
      <c r="BN185" s="154"/>
      <c r="BO185" s="154"/>
      <c r="BP185" s="154"/>
      <c r="BQ185" s="154"/>
      <c r="BR185" s="154"/>
      <c r="BS185" s="154"/>
      <c r="BT185" s="154"/>
      <c r="BU185" s="154"/>
      <c r="BV185" s="154"/>
      <c r="BW185" s="154"/>
      <c r="BX185" s="154"/>
      <c r="BY185" s="154"/>
      <c r="BZ185" s="154"/>
      <c r="CA185" s="154"/>
      <c r="CB185" s="154"/>
      <c r="CC185" s="154"/>
      <c r="CD185" s="154"/>
      <c r="CE185" s="154"/>
      <c r="CF185" s="154"/>
      <c r="CG185" s="154"/>
      <c r="CH185" s="154"/>
      <c r="CI185" s="154"/>
      <c r="CJ185" s="154"/>
      <c r="CK185" s="154"/>
      <c r="CL185" s="154"/>
      <c r="CM185" s="154"/>
      <c r="CN185" s="154"/>
      <c r="CO185" s="154"/>
      <c r="CP185" s="154"/>
      <c r="CQ185" s="154"/>
      <c r="CR185" s="154"/>
      <c r="CS185" s="154"/>
      <c r="CT185" s="154"/>
      <c r="CU185" s="154"/>
      <c r="CV185" s="154"/>
      <c r="CW185" s="154"/>
      <c r="CX185" s="154"/>
      <c r="CY185" s="154"/>
      <c r="CZ185" s="154"/>
      <c r="DA185" s="154"/>
      <c r="DB185" s="154"/>
      <c r="DC185" s="154"/>
      <c r="DD185" s="154"/>
      <c r="DE185" s="154"/>
      <c r="DF185" s="154"/>
      <c r="DG185" s="154"/>
      <c r="DH185" s="154"/>
      <c r="DI185" s="154"/>
      <c r="DJ185" s="154"/>
      <c r="DK185" s="154"/>
      <c r="DL185" s="154"/>
      <c r="DM185" s="154"/>
      <c r="DN185" s="154"/>
      <c r="DO185" s="154"/>
      <c r="DP185" s="154"/>
      <c r="DQ185" s="154"/>
      <c r="DR185" s="154"/>
      <c r="DS185" s="154"/>
      <c r="DT185" s="154"/>
      <c r="DU185" s="154"/>
      <c r="DV185" s="154"/>
      <c r="DW185" s="154"/>
      <c r="DX185" s="154"/>
      <c r="DY185" s="154"/>
      <c r="DZ185" s="154"/>
      <c r="EA185" s="154"/>
      <c r="EB185" s="154"/>
      <c r="EC185" s="154"/>
      <c r="ED185" s="154"/>
      <c r="EE185" s="154"/>
      <c r="EF185" s="154"/>
      <c r="EG185" s="154"/>
      <c r="EH185" s="154"/>
      <c r="EI185" s="154"/>
      <c r="EJ185" s="154"/>
      <c r="EK185" s="154"/>
      <c r="EL185" s="154"/>
      <c r="EM185" s="154"/>
      <c r="EN185" s="154"/>
      <c r="EO185" s="154"/>
      <c r="EP185" s="154"/>
      <c r="EQ185" s="154"/>
      <c r="ER185" s="154"/>
      <c r="ES185" s="154"/>
      <c r="ET185" s="154"/>
      <c r="EU185" s="154"/>
      <c r="EV185" s="154"/>
      <c r="EW185" s="154"/>
    </row>
    <row r="186" spans="2:153" ht="12.95" customHeight="1">
      <c r="B186" s="154"/>
      <c r="C186" s="380"/>
      <c r="D186" s="380"/>
      <c r="E186" s="154"/>
      <c r="F186" s="154"/>
      <c r="G186" s="154"/>
      <c r="H186" s="154"/>
      <c r="I186" s="154"/>
      <c r="J186" s="154"/>
      <c r="K186" s="154"/>
      <c r="L186" s="154"/>
      <c r="M186" s="154"/>
      <c r="N186" s="154"/>
      <c r="O186" s="154"/>
      <c r="P186" s="154"/>
      <c r="Q186" s="154"/>
      <c r="R186" s="154"/>
      <c r="S186" s="154"/>
      <c r="T186" s="154"/>
      <c r="U186" s="154"/>
      <c r="V186" s="154"/>
      <c r="W186" s="154"/>
      <c r="X186" s="154"/>
      <c r="Y186" s="154"/>
      <c r="Z186" s="154"/>
      <c r="AA186" s="154"/>
      <c r="AB186" s="154"/>
      <c r="AC186" s="154"/>
      <c r="AD186" s="154"/>
      <c r="AE186" s="154"/>
      <c r="AF186" s="367"/>
      <c r="AG186" s="368"/>
      <c r="AH186" s="368"/>
      <c r="AI186" s="368"/>
      <c r="AJ186" s="154"/>
      <c r="AK186" s="154"/>
      <c r="AL186" s="154"/>
      <c r="AM186" s="154"/>
      <c r="AN186" s="154"/>
      <c r="AO186" s="154"/>
      <c r="AP186" s="154"/>
      <c r="AQ186" s="154"/>
      <c r="AR186" s="154"/>
      <c r="AS186" s="154"/>
      <c r="AT186" s="154"/>
      <c r="AU186" s="154"/>
      <c r="AV186" s="154"/>
      <c r="AW186" s="154"/>
      <c r="AX186" s="154"/>
      <c r="AY186" s="154"/>
      <c r="AZ186" s="154"/>
      <c r="BA186" s="154"/>
      <c r="BB186" s="154"/>
      <c r="BC186" s="154"/>
      <c r="BD186" s="154"/>
      <c r="BE186" s="154"/>
      <c r="BF186" s="154"/>
      <c r="BG186" s="154"/>
      <c r="BH186" s="154"/>
      <c r="BI186" s="154"/>
      <c r="BJ186" s="154"/>
      <c r="BK186" s="154"/>
      <c r="BL186" s="154"/>
      <c r="BM186" s="154"/>
      <c r="BN186" s="154"/>
      <c r="BO186" s="154"/>
      <c r="BP186" s="154"/>
      <c r="BQ186" s="154"/>
      <c r="BR186" s="154"/>
      <c r="BS186" s="154"/>
      <c r="BT186" s="154"/>
      <c r="BU186" s="154"/>
      <c r="BV186" s="154"/>
      <c r="BW186" s="154"/>
      <c r="BX186" s="154"/>
      <c r="BY186" s="154"/>
      <c r="BZ186" s="154"/>
      <c r="CA186" s="154"/>
      <c r="CB186" s="154"/>
      <c r="CC186" s="154"/>
      <c r="CD186" s="154"/>
      <c r="CE186" s="154"/>
      <c r="CF186" s="154"/>
      <c r="CG186" s="154"/>
      <c r="CH186" s="154"/>
      <c r="CI186" s="154"/>
      <c r="CJ186" s="154"/>
      <c r="CK186" s="154"/>
      <c r="CL186" s="154"/>
      <c r="CM186" s="154"/>
      <c r="CN186" s="154"/>
      <c r="CO186" s="154"/>
      <c r="CP186" s="154"/>
      <c r="CQ186" s="154"/>
      <c r="CR186" s="154"/>
      <c r="CS186" s="154"/>
      <c r="CT186" s="154"/>
      <c r="CU186" s="154"/>
      <c r="CV186" s="154"/>
      <c r="CW186" s="154"/>
      <c r="CX186" s="154"/>
      <c r="CY186" s="154"/>
      <c r="CZ186" s="154"/>
      <c r="DA186" s="154"/>
      <c r="DB186" s="154"/>
      <c r="DC186" s="154"/>
      <c r="DD186" s="154"/>
      <c r="DE186" s="154"/>
      <c r="DF186" s="154"/>
      <c r="DG186" s="154"/>
      <c r="DH186" s="154"/>
      <c r="DI186" s="154"/>
      <c r="DJ186" s="154"/>
      <c r="DK186" s="154"/>
      <c r="DL186" s="154"/>
      <c r="DM186" s="154"/>
      <c r="DN186" s="154"/>
      <c r="DO186" s="154"/>
      <c r="DP186" s="154"/>
      <c r="DQ186" s="154"/>
      <c r="DR186" s="154"/>
      <c r="DS186" s="154"/>
      <c r="DT186" s="154"/>
      <c r="DU186" s="154"/>
      <c r="DV186" s="154"/>
      <c r="DW186" s="154"/>
      <c r="DX186" s="154"/>
      <c r="DY186" s="154"/>
      <c r="DZ186" s="154"/>
      <c r="EA186" s="154"/>
      <c r="EB186" s="154"/>
      <c r="EC186" s="154"/>
      <c r="ED186" s="154"/>
      <c r="EE186" s="154"/>
      <c r="EF186" s="154"/>
      <c r="EG186" s="154"/>
      <c r="EH186" s="154"/>
      <c r="EI186" s="154"/>
      <c r="EJ186" s="154"/>
      <c r="EK186" s="154"/>
      <c r="EL186" s="154"/>
      <c r="EM186" s="154"/>
      <c r="EN186" s="154"/>
      <c r="EO186" s="154"/>
      <c r="EP186" s="154"/>
      <c r="EQ186" s="154"/>
      <c r="ER186" s="154"/>
      <c r="ES186" s="154"/>
      <c r="ET186" s="154"/>
      <c r="EU186" s="154"/>
      <c r="EV186" s="154"/>
      <c r="EW186" s="154"/>
    </row>
    <row r="187" spans="2:153" ht="12.95" customHeight="1">
      <c r="B187" s="154"/>
      <c r="C187" s="380"/>
      <c r="D187" s="380"/>
      <c r="E187" s="154"/>
      <c r="F187" s="154"/>
      <c r="G187" s="154"/>
      <c r="H187" s="154"/>
      <c r="I187" s="154"/>
      <c r="J187" s="154"/>
      <c r="K187" s="154"/>
      <c r="L187" s="154"/>
      <c r="M187" s="154"/>
      <c r="N187" s="154"/>
      <c r="O187" s="154"/>
      <c r="P187" s="154"/>
      <c r="Q187" s="154"/>
      <c r="R187" s="154"/>
      <c r="S187" s="154"/>
      <c r="T187" s="154"/>
      <c r="U187" s="154"/>
      <c r="V187" s="154"/>
      <c r="W187" s="154"/>
      <c r="X187" s="154"/>
      <c r="Y187" s="154"/>
      <c r="Z187" s="154"/>
      <c r="AA187" s="154"/>
      <c r="AB187" s="154"/>
      <c r="AC187" s="154"/>
      <c r="AD187" s="154"/>
      <c r="AE187" s="154"/>
      <c r="AF187" s="367"/>
      <c r="AG187" s="368"/>
      <c r="AH187" s="368"/>
      <c r="AI187" s="368"/>
      <c r="AJ187" s="154"/>
      <c r="AK187" s="154"/>
      <c r="AL187" s="154"/>
      <c r="AM187" s="154"/>
      <c r="AN187" s="154"/>
      <c r="AO187" s="154"/>
      <c r="AP187" s="154"/>
      <c r="AQ187" s="154"/>
      <c r="AR187" s="154"/>
      <c r="AS187" s="154"/>
      <c r="AT187" s="154"/>
      <c r="AU187" s="154"/>
      <c r="AV187" s="154"/>
      <c r="AW187" s="154"/>
      <c r="AX187" s="154"/>
      <c r="AY187" s="154"/>
      <c r="AZ187" s="154"/>
      <c r="BA187" s="154"/>
      <c r="BB187" s="154"/>
      <c r="BC187" s="154"/>
      <c r="BD187" s="154"/>
      <c r="BE187" s="154"/>
      <c r="BF187" s="154"/>
      <c r="BG187" s="154"/>
      <c r="BH187" s="154"/>
      <c r="BI187" s="154"/>
      <c r="BJ187" s="154"/>
      <c r="BK187" s="154"/>
      <c r="BL187" s="154"/>
      <c r="BM187" s="154"/>
      <c r="BN187" s="154"/>
      <c r="BO187" s="154"/>
      <c r="BP187" s="154"/>
      <c r="BQ187" s="154"/>
      <c r="BR187" s="154"/>
      <c r="BS187" s="154"/>
      <c r="BT187" s="154"/>
      <c r="BU187" s="154"/>
      <c r="BV187" s="154"/>
      <c r="BW187" s="154"/>
      <c r="BX187" s="154"/>
      <c r="BY187" s="154"/>
      <c r="BZ187" s="154"/>
      <c r="CA187" s="154"/>
      <c r="CB187" s="154"/>
      <c r="CC187" s="154"/>
      <c r="CD187" s="154"/>
      <c r="CE187" s="154"/>
      <c r="CF187" s="154"/>
      <c r="CG187" s="154"/>
      <c r="CH187" s="154"/>
      <c r="CI187" s="154"/>
      <c r="CJ187" s="154"/>
      <c r="CK187" s="154"/>
      <c r="CL187" s="154"/>
      <c r="CM187" s="154"/>
      <c r="CN187" s="154"/>
      <c r="CO187" s="154"/>
      <c r="CP187" s="154"/>
      <c r="CQ187" s="154"/>
      <c r="CR187" s="154"/>
      <c r="CS187" s="154"/>
      <c r="CT187" s="154"/>
      <c r="CU187" s="154"/>
      <c r="CV187" s="154"/>
      <c r="CW187" s="154"/>
      <c r="CX187" s="154"/>
      <c r="CY187" s="154"/>
      <c r="CZ187" s="154"/>
      <c r="DA187" s="154"/>
      <c r="DB187" s="154"/>
      <c r="DC187" s="154"/>
      <c r="DD187" s="154"/>
      <c r="DE187" s="154"/>
      <c r="DF187" s="154"/>
      <c r="DG187" s="154"/>
      <c r="DH187" s="154"/>
      <c r="DI187" s="154"/>
      <c r="DJ187" s="154"/>
      <c r="DK187" s="154"/>
      <c r="DL187" s="154"/>
      <c r="DM187" s="154"/>
      <c r="DN187" s="154"/>
      <c r="DO187" s="154"/>
      <c r="DP187" s="154"/>
      <c r="DQ187" s="154"/>
      <c r="DR187" s="154"/>
      <c r="DS187" s="154"/>
      <c r="DT187" s="154"/>
      <c r="DU187" s="154"/>
      <c r="DV187" s="154"/>
      <c r="DW187" s="154"/>
      <c r="DX187" s="154"/>
      <c r="DY187" s="154"/>
      <c r="DZ187" s="154"/>
      <c r="EA187" s="154"/>
      <c r="EB187" s="154"/>
      <c r="EC187" s="154"/>
      <c r="ED187" s="154"/>
      <c r="EE187" s="154"/>
      <c r="EF187" s="154"/>
      <c r="EG187" s="154"/>
      <c r="EH187" s="154"/>
      <c r="EI187" s="154"/>
      <c r="EJ187" s="154"/>
      <c r="EK187" s="154"/>
      <c r="EL187" s="154"/>
      <c r="EM187" s="154"/>
      <c r="EN187" s="154"/>
      <c r="EO187" s="154"/>
      <c r="EP187" s="154"/>
      <c r="EQ187" s="154"/>
      <c r="ER187" s="154"/>
      <c r="ES187" s="154"/>
      <c r="ET187" s="154"/>
      <c r="EU187" s="154"/>
      <c r="EV187" s="154"/>
      <c r="EW187" s="154"/>
    </row>
    <row r="188" spans="2:153" ht="12.95" customHeight="1">
      <c r="B188" s="154"/>
      <c r="C188" s="380"/>
      <c r="D188" s="380"/>
      <c r="E188" s="154"/>
      <c r="F188" s="154"/>
      <c r="G188" s="154"/>
      <c r="H188" s="154"/>
      <c r="I188" s="154"/>
      <c r="J188" s="154"/>
      <c r="K188" s="154"/>
      <c r="L188" s="154"/>
      <c r="M188" s="154"/>
      <c r="N188" s="154"/>
      <c r="O188" s="154"/>
      <c r="P188" s="154"/>
      <c r="Q188" s="154"/>
      <c r="R188" s="154"/>
      <c r="S188" s="154"/>
      <c r="T188" s="154"/>
      <c r="U188" s="154"/>
      <c r="V188" s="154"/>
      <c r="W188" s="154"/>
      <c r="X188" s="154"/>
      <c r="Y188" s="154"/>
      <c r="Z188" s="154"/>
      <c r="AA188" s="154"/>
      <c r="AB188" s="154"/>
      <c r="AC188" s="154"/>
      <c r="AD188" s="154"/>
      <c r="AE188" s="154"/>
      <c r="AF188" s="367"/>
      <c r="AG188" s="368"/>
      <c r="AH188" s="368"/>
      <c r="AI188" s="368"/>
      <c r="AJ188" s="154"/>
      <c r="AK188" s="154"/>
      <c r="AL188" s="154"/>
      <c r="AM188" s="154"/>
      <c r="AN188" s="154"/>
      <c r="AO188" s="154"/>
      <c r="AP188" s="154"/>
      <c r="AQ188" s="154"/>
      <c r="AR188" s="154"/>
      <c r="AS188" s="154"/>
      <c r="AT188" s="154"/>
      <c r="AU188" s="154"/>
      <c r="AV188" s="154"/>
      <c r="AW188" s="154"/>
      <c r="AX188" s="154"/>
      <c r="AY188" s="154"/>
      <c r="AZ188" s="154"/>
      <c r="BA188" s="154"/>
      <c r="BB188" s="154"/>
      <c r="BC188" s="154"/>
      <c r="BD188" s="154"/>
      <c r="BE188" s="154"/>
      <c r="BF188" s="154"/>
      <c r="BG188" s="154"/>
      <c r="BH188" s="154"/>
      <c r="BI188" s="154"/>
      <c r="BJ188" s="154"/>
      <c r="BK188" s="154"/>
      <c r="BL188" s="154"/>
      <c r="BM188" s="154"/>
      <c r="BN188" s="154"/>
      <c r="BO188" s="154"/>
      <c r="BP188" s="154"/>
      <c r="BQ188" s="154"/>
      <c r="BR188" s="154"/>
      <c r="BS188" s="154"/>
      <c r="BT188" s="154"/>
      <c r="BU188" s="154"/>
      <c r="BV188" s="154"/>
      <c r="BW188" s="154"/>
      <c r="BX188" s="154"/>
      <c r="BY188" s="154"/>
      <c r="BZ188" s="154"/>
      <c r="CA188" s="154"/>
      <c r="CB188" s="154"/>
      <c r="CC188" s="154"/>
      <c r="CD188" s="154"/>
      <c r="CE188" s="154"/>
      <c r="CF188" s="154"/>
      <c r="CG188" s="154"/>
      <c r="CH188" s="154"/>
      <c r="CI188" s="154"/>
      <c r="CJ188" s="154"/>
      <c r="CK188" s="154"/>
      <c r="CL188" s="154"/>
      <c r="CM188" s="154"/>
      <c r="CN188" s="154"/>
      <c r="CO188" s="154"/>
      <c r="CP188" s="154"/>
      <c r="CQ188" s="154"/>
      <c r="CR188" s="154"/>
      <c r="CS188" s="154"/>
      <c r="CT188" s="154"/>
      <c r="CU188" s="154"/>
      <c r="CV188" s="154"/>
      <c r="CW188" s="154"/>
      <c r="CX188" s="154"/>
      <c r="CY188" s="154"/>
      <c r="CZ188" s="154"/>
      <c r="DA188" s="154"/>
      <c r="DB188" s="154"/>
      <c r="DC188" s="154"/>
      <c r="DD188" s="154"/>
      <c r="DE188" s="154"/>
      <c r="DF188" s="154"/>
      <c r="DG188" s="154"/>
      <c r="DH188" s="154"/>
      <c r="DI188" s="154"/>
      <c r="DJ188" s="154"/>
      <c r="DK188" s="154"/>
      <c r="DL188" s="154"/>
      <c r="DM188" s="154"/>
      <c r="DN188" s="154"/>
      <c r="DO188" s="154"/>
      <c r="DP188" s="154"/>
      <c r="DQ188" s="154"/>
      <c r="DR188" s="154"/>
      <c r="DS188" s="154"/>
      <c r="DT188" s="154"/>
      <c r="DU188" s="154"/>
      <c r="DV188" s="154"/>
      <c r="DW188" s="154"/>
      <c r="DX188" s="154"/>
      <c r="DY188" s="154"/>
      <c r="DZ188" s="154"/>
      <c r="EA188" s="154"/>
      <c r="EB188" s="154"/>
      <c r="EC188" s="154"/>
      <c r="ED188" s="154"/>
      <c r="EE188" s="154"/>
      <c r="EF188" s="154"/>
      <c r="EG188" s="154"/>
      <c r="EH188" s="154"/>
      <c r="EI188" s="154"/>
      <c r="EJ188" s="154"/>
      <c r="EK188" s="154"/>
      <c r="EL188" s="154"/>
      <c r="EM188" s="154"/>
      <c r="EN188" s="154"/>
      <c r="EO188" s="154"/>
      <c r="EP188" s="154"/>
      <c r="EQ188" s="154"/>
      <c r="ER188" s="154"/>
      <c r="ES188" s="154"/>
      <c r="ET188" s="154"/>
      <c r="EU188" s="154"/>
      <c r="EV188" s="154"/>
      <c r="EW188" s="154"/>
    </row>
    <row r="189" spans="2:153" ht="12.95" customHeight="1">
      <c r="B189" s="154"/>
      <c r="C189" s="380"/>
      <c r="D189" s="380"/>
      <c r="E189" s="154"/>
      <c r="F189" s="154"/>
      <c r="G189" s="154"/>
      <c r="H189" s="154"/>
      <c r="I189" s="154"/>
      <c r="J189" s="154"/>
      <c r="K189" s="154"/>
      <c r="L189" s="154"/>
      <c r="M189" s="154"/>
      <c r="N189" s="154"/>
      <c r="O189" s="154"/>
      <c r="P189" s="154"/>
      <c r="Q189" s="154"/>
      <c r="R189" s="154"/>
      <c r="S189" s="154"/>
      <c r="T189" s="154"/>
      <c r="U189" s="154"/>
      <c r="V189" s="154"/>
      <c r="W189" s="154"/>
      <c r="X189" s="154"/>
      <c r="Y189" s="154"/>
      <c r="Z189" s="154"/>
      <c r="AA189" s="154"/>
      <c r="AB189" s="154"/>
      <c r="AC189" s="154"/>
      <c r="AD189" s="154"/>
      <c r="AE189" s="154"/>
      <c r="AF189" s="367"/>
      <c r="AG189" s="368"/>
      <c r="AH189" s="368"/>
      <c r="AI189" s="368"/>
      <c r="AJ189" s="154"/>
      <c r="AK189" s="154"/>
      <c r="AL189" s="154"/>
      <c r="AM189" s="154"/>
      <c r="AN189" s="154"/>
      <c r="AO189" s="154"/>
      <c r="AP189" s="154"/>
      <c r="AQ189" s="154"/>
      <c r="AR189" s="154"/>
      <c r="AS189" s="154"/>
      <c r="AT189" s="154"/>
      <c r="AU189" s="154"/>
      <c r="AV189" s="154"/>
      <c r="AW189" s="154"/>
      <c r="AX189" s="154"/>
      <c r="AY189" s="154"/>
      <c r="AZ189" s="154"/>
      <c r="BA189" s="154"/>
      <c r="BB189" s="154"/>
      <c r="BC189" s="154"/>
      <c r="BD189" s="154"/>
      <c r="BE189" s="154"/>
      <c r="BF189" s="154"/>
      <c r="BG189" s="154"/>
      <c r="BH189" s="154"/>
      <c r="BI189" s="154"/>
      <c r="BJ189" s="154"/>
      <c r="BK189" s="154"/>
      <c r="BL189" s="154"/>
      <c r="BM189" s="154"/>
      <c r="BN189" s="154"/>
      <c r="BO189" s="154"/>
      <c r="BP189" s="154"/>
      <c r="BQ189" s="154"/>
      <c r="BR189" s="154"/>
      <c r="BS189" s="154"/>
      <c r="BT189" s="154"/>
      <c r="BU189" s="154"/>
      <c r="BV189" s="154"/>
      <c r="BW189" s="154"/>
      <c r="BX189" s="154"/>
      <c r="BY189" s="154"/>
      <c r="BZ189" s="154"/>
      <c r="CA189" s="154"/>
      <c r="CB189" s="154"/>
      <c r="CC189" s="154"/>
      <c r="CD189" s="154"/>
      <c r="CE189" s="154"/>
      <c r="CF189" s="154"/>
      <c r="CG189" s="154"/>
      <c r="CH189" s="154"/>
      <c r="CI189" s="154"/>
      <c r="CJ189" s="154"/>
      <c r="CK189" s="154"/>
      <c r="CL189" s="154"/>
      <c r="CM189" s="154"/>
      <c r="CN189" s="154"/>
      <c r="CO189" s="154"/>
      <c r="CP189" s="154"/>
      <c r="CQ189" s="154"/>
      <c r="CR189" s="154"/>
      <c r="CS189" s="154"/>
      <c r="CT189" s="154"/>
      <c r="CU189" s="154"/>
      <c r="CV189" s="154"/>
      <c r="CW189" s="154"/>
      <c r="CX189" s="154"/>
      <c r="CY189" s="154"/>
      <c r="CZ189" s="154"/>
      <c r="DA189" s="154"/>
      <c r="DB189" s="154"/>
      <c r="DC189" s="154"/>
      <c r="DD189" s="154"/>
      <c r="DE189" s="154"/>
      <c r="DF189" s="154"/>
      <c r="DG189" s="154"/>
      <c r="DH189" s="154"/>
      <c r="DI189" s="154"/>
      <c r="DJ189" s="154"/>
      <c r="DK189" s="154"/>
      <c r="DL189" s="154"/>
      <c r="DM189" s="154"/>
      <c r="DN189" s="154"/>
      <c r="DO189" s="154"/>
      <c r="DP189" s="154"/>
      <c r="DQ189" s="154"/>
      <c r="DR189" s="154"/>
      <c r="DS189" s="154"/>
      <c r="DT189" s="154"/>
      <c r="DU189" s="154"/>
      <c r="DV189" s="154"/>
      <c r="DW189" s="154"/>
      <c r="DX189" s="154"/>
      <c r="DY189" s="154"/>
      <c r="DZ189" s="154"/>
      <c r="EA189" s="154"/>
      <c r="EB189" s="154"/>
      <c r="EC189" s="154"/>
      <c r="ED189" s="154"/>
      <c r="EE189" s="154"/>
      <c r="EF189" s="154"/>
      <c r="EG189" s="154"/>
      <c r="EH189" s="154"/>
      <c r="EI189" s="154"/>
      <c r="EJ189" s="154"/>
      <c r="EK189" s="154"/>
      <c r="EL189" s="154"/>
      <c r="EM189" s="154"/>
      <c r="EN189" s="154"/>
      <c r="EO189" s="154"/>
      <c r="EP189" s="154"/>
      <c r="EQ189" s="154"/>
      <c r="ER189" s="154"/>
      <c r="ES189" s="154"/>
      <c r="ET189" s="154"/>
      <c r="EU189" s="154"/>
      <c r="EV189" s="154"/>
      <c r="EW189" s="154"/>
    </row>
    <row r="190" spans="2:153" ht="12.95" customHeight="1">
      <c r="B190" s="154"/>
      <c r="C190" s="380"/>
      <c r="D190" s="380"/>
      <c r="E190" s="154"/>
      <c r="F190" s="154"/>
      <c r="G190" s="154"/>
      <c r="H190" s="154"/>
      <c r="I190" s="154"/>
      <c r="J190" s="154"/>
      <c r="K190" s="154"/>
      <c r="L190" s="154"/>
      <c r="M190" s="154"/>
      <c r="N190" s="154"/>
      <c r="O190" s="154"/>
      <c r="P190" s="154"/>
      <c r="Q190" s="154"/>
      <c r="R190" s="154"/>
      <c r="S190" s="154"/>
      <c r="T190" s="154"/>
      <c r="U190" s="154"/>
      <c r="V190" s="154"/>
      <c r="W190" s="154"/>
      <c r="X190" s="154"/>
      <c r="Y190" s="154"/>
      <c r="Z190" s="154"/>
      <c r="AA190" s="154"/>
      <c r="AB190" s="154"/>
      <c r="AC190" s="154"/>
      <c r="AD190" s="154"/>
      <c r="AE190" s="154"/>
      <c r="AF190" s="367"/>
      <c r="AG190" s="368"/>
      <c r="AH190" s="368"/>
      <c r="AI190" s="368"/>
      <c r="AJ190" s="154"/>
      <c r="AK190" s="154"/>
      <c r="AL190" s="154"/>
      <c r="AM190" s="154"/>
      <c r="AN190" s="154"/>
      <c r="AO190" s="154"/>
      <c r="AP190" s="154"/>
      <c r="AQ190" s="154"/>
      <c r="AR190" s="154"/>
      <c r="AS190" s="154"/>
      <c r="AT190" s="154"/>
      <c r="AU190" s="154"/>
      <c r="AV190" s="154"/>
      <c r="AW190" s="154"/>
      <c r="AX190" s="154"/>
      <c r="AY190" s="154"/>
      <c r="AZ190" s="154"/>
      <c r="BA190" s="154"/>
      <c r="BB190" s="154"/>
      <c r="BC190" s="154"/>
      <c r="BD190" s="154"/>
      <c r="BE190" s="154"/>
      <c r="BF190" s="154"/>
      <c r="BG190" s="154"/>
      <c r="BH190" s="154"/>
      <c r="BI190" s="154"/>
      <c r="BJ190" s="154"/>
      <c r="BK190" s="154"/>
      <c r="BL190" s="154"/>
      <c r="BM190" s="154"/>
      <c r="BN190" s="154"/>
      <c r="BO190" s="154"/>
      <c r="BP190" s="154"/>
      <c r="BQ190" s="154"/>
      <c r="BR190" s="154"/>
      <c r="BS190" s="154"/>
      <c r="BT190" s="154"/>
      <c r="BU190" s="154"/>
      <c r="BV190" s="154"/>
      <c r="BW190" s="154"/>
      <c r="BX190" s="154"/>
      <c r="BY190" s="154"/>
      <c r="BZ190" s="154"/>
      <c r="CA190" s="154"/>
      <c r="CB190" s="154"/>
      <c r="CC190" s="154"/>
      <c r="CD190" s="154"/>
      <c r="CE190" s="154"/>
      <c r="CF190" s="154"/>
      <c r="CG190" s="154"/>
      <c r="CH190" s="154"/>
      <c r="CI190" s="154"/>
      <c r="CJ190" s="154"/>
      <c r="CK190" s="154"/>
      <c r="CL190" s="154"/>
      <c r="CM190" s="154"/>
      <c r="CN190" s="154"/>
      <c r="CO190" s="154"/>
      <c r="CP190" s="154"/>
      <c r="CQ190" s="154"/>
      <c r="CR190" s="154"/>
      <c r="CS190" s="154"/>
      <c r="CT190" s="154"/>
      <c r="CU190" s="154"/>
      <c r="CV190" s="154"/>
      <c r="CW190" s="154"/>
      <c r="CX190" s="154"/>
      <c r="CY190" s="154"/>
      <c r="CZ190" s="154"/>
      <c r="DA190" s="154"/>
      <c r="DB190" s="154"/>
      <c r="DC190" s="154"/>
      <c r="DD190" s="154"/>
      <c r="DE190" s="154"/>
      <c r="DF190" s="154"/>
      <c r="DG190" s="154"/>
      <c r="DH190" s="154"/>
      <c r="DI190" s="154"/>
      <c r="DJ190" s="154"/>
      <c r="DK190" s="154"/>
      <c r="DL190" s="154"/>
      <c r="DM190" s="154"/>
      <c r="DN190" s="154"/>
      <c r="DO190" s="154"/>
      <c r="DP190" s="154"/>
      <c r="DQ190" s="154"/>
      <c r="DR190" s="154"/>
      <c r="DS190" s="154"/>
      <c r="DT190" s="154"/>
      <c r="DU190" s="154"/>
      <c r="DV190" s="154"/>
      <c r="DW190" s="154"/>
      <c r="DX190" s="154"/>
      <c r="DY190" s="154"/>
      <c r="DZ190" s="154"/>
      <c r="EA190" s="154"/>
      <c r="EB190" s="154"/>
      <c r="EC190" s="154"/>
      <c r="ED190" s="154"/>
      <c r="EE190" s="154"/>
      <c r="EF190" s="154"/>
      <c r="EG190" s="154"/>
      <c r="EH190" s="154"/>
      <c r="EI190" s="154"/>
      <c r="EJ190" s="154"/>
      <c r="EK190" s="154"/>
      <c r="EL190" s="154"/>
      <c r="EM190" s="154"/>
      <c r="EN190" s="154"/>
      <c r="EO190" s="154"/>
      <c r="EP190" s="154"/>
      <c r="EQ190" s="154"/>
      <c r="ER190" s="154"/>
      <c r="ES190" s="154"/>
      <c r="ET190" s="154"/>
      <c r="EU190" s="154"/>
      <c r="EV190" s="154"/>
      <c r="EW190" s="154"/>
    </row>
    <row r="191" spans="2:153" ht="12.95" customHeight="1">
      <c r="B191" s="154"/>
      <c r="C191" s="380"/>
      <c r="D191" s="380"/>
      <c r="E191" s="154"/>
      <c r="F191" s="154"/>
      <c r="G191" s="154"/>
      <c r="H191" s="154"/>
      <c r="I191" s="154"/>
      <c r="J191" s="154"/>
      <c r="K191" s="154"/>
      <c r="L191" s="154"/>
      <c r="M191" s="154"/>
      <c r="N191" s="154"/>
      <c r="O191" s="154"/>
      <c r="P191" s="154"/>
      <c r="Q191" s="154"/>
      <c r="R191" s="154"/>
      <c r="S191" s="154"/>
      <c r="T191" s="154"/>
      <c r="U191" s="154"/>
      <c r="V191" s="154"/>
      <c r="W191" s="154"/>
      <c r="X191" s="154"/>
      <c r="Y191" s="154"/>
      <c r="Z191" s="154"/>
      <c r="AA191" s="154"/>
      <c r="AB191" s="154"/>
      <c r="AC191" s="154"/>
      <c r="AD191" s="154"/>
      <c r="AE191" s="154"/>
      <c r="AF191" s="367"/>
      <c r="AG191" s="368"/>
      <c r="AH191" s="368"/>
      <c r="AI191" s="368"/>
      <c r="AJ191" s="154"/>
      <c r="AK191" s="154"/>
      <c r="AL191" s="154"/>
      <c r="AM191" s="154"/>
      <c r="AN191" s="154"/>
      <c r="AO191" s="154"/>
      <c r="AP191" s="154"/>
      <c r="AQ191" s="154"/>
      <c r="AR191" s="154"/>
      <c r="AS191" s="154"/>
      <c r="AT191" s="154"/>
      <c r="AU191" s="154"/>
      <c r="AV191" s="154"/>
      <c r="AW191" s="154"/>
      <c r="AX191" s="154"/>
      <c r="AY191" s="154"/>
      <c r="AZ191" s="154"/>
      <c r="BA191" s="154"/>
      <c r="BB191" s="154"/>
      <c r="BC191" s="154"/>
      <c r="BD191" s="154"/>
      <c r="BE191" s="154"/>
      <c r="BF191" s="154"/>
      <c r="BG191" s="154"/>
      <c r="BH191" s="154"/>
      <c r="BI191" s="154"/>
      <c r="BJ191" s="154"/>
      <c r="BK191" s="154"/>
      <c r="BL191" s="154"/>
      <c r="BM191" s="154"/>
      <c r="BN191" s="154"/>
      <c r="BO191" s="154"/>
      <c r="BP191" s="154"/>
      <c r="BQ191" s="154"/>
      <c r="BR191" s="154"/>
      <c r="BS191" s="154"/>
      <c r="BT191" s="154"/>
      <c r="BU191" s="154"/>
      <c r="BV191" s="154"/>
      <c r="BW191" s="154"/>
      <c r="BX191" s="154"/>
      <c r="BY191" s="154"/>
      <c r="BZ191" s="154"/>
      <c r="CA191" s="154"/>
      <c r="CB191" s="154"/>
      <c r="CC191" s="154"/>
      <c r="CD191" s="154"/>
      <c r="CE191" s="154"/>
      <c r="CF191" s="154"/>
      <c r="CG191" s="154"/>
      <c r="CH191" s="154"/>
      <c r="CI191" s="154"/>
      <c r="CJ191" s="154"/>
      <c r="CK191" s="154"/>
      <c r="CL191" s="154"/>
      <c r="CM191" s="154"/>
      <c r="CN191" s="154"/>
      <c r="CO191" s="154"/>
      <c r="CP191" s="154"/>
      <c r="CQ191" s="154"/>
      <c r="CR191" s="154"/>
      <c r="CS191" s="154"/>
      <c r="CT191" s="154"/>
      <c r="CU191" s="154"/>
      <c r="CV191" s="154"/>
      <c r="CW191" s="154"/>
      <c r="CX191" s="154"/>
      <c r="CY191" s="154"/>
      <c r="CZ191" s="154"/>
      <c r="DA191" s="154"/>
      <c r="DB191" s="154"/>
      <c r="DC191" s="154"/>
      <c r="DD191" s="154"/>
      <c r="DE191" s="154"/>
      <c r="DF191" s="154"/>
      <c r="DG191" s="154"/>
      <c r="DH191" s="154"/>
      <c r="DI191" s="154"/>
      <c r="DJ191" s="154"/>
      <c r="DK191" s="154"/>
      <c r="DL191" s="154"/>
      <c r="DM191" s="154"/>
      <c r="DN191" s="154"/>
      <c r="DO191" s="154"/>
      <c r="DP191" s="154"/>
      <c r="DQ191" s="154"/>
      <c r="DR191" s="154"/>
      <c r="DS191" s="154"/>
      <c r="DT191" s="154"/>
      <c r="DU191" s="154"/>
      <c r="DV191" s="154"/>
      <c r="DW191" s="154"/>
      <c r="DX191" s="154"/>
      <c r="DY191" s="154"/>
      <c r="DZ191" s="154"/>
      <c r="EA191" s="154"/>
      <c r="EB191" s="154"/>
      <c r="EC191" s="154"/>
      <c r="ED191" s="154"/>
      <c r="EE191" s="154"/>
      <c r="EF191" s="154"/>
      <c r="EG191" s="154"/>
      <c r="EH191" s="154"/>
      <c r="EI191" s="154"/>
      <c r="EJ191" s="154"/>
      <c r="EK191" s="154"/>
      <c r="EL191" s="154"/>
      <c r="EM191" s="154"/>
      <c r="EN191" s="154"/>
      <c r="EO191" s="154"/>
      <c r="EP191" s="154"/>
      <c r="EQ191" s="154"/>
      <c r="ER191" s="154"/>
      <c r="ES191" s="154"/>
      <c r="ET191" s="154"/>
      <c r="EU191" s="154"/>
      <c r="EV191" s="154"/>
      <c r="EW191" s="154"/>
    </row>
    <row r="192" spans="2:153" ht="12.95" customHeight="1">
      <c r="B192" s="154"/>
      <c r="C192" s="380"/>
      <c r="D192" s="380"/>
      <c r="E192" s="154"/>
      <c r="F192" s="154"/>
      <c r="G192" s="154"/>
      <c r="H192" s="154"/>
      <c r="I192" s="154"/>
      <c r="J192" s="154"/>
      <c r="K192" s="154"/>
      <c r="L192" s="154"/>
      <c r="M192" s="154"/>
      <c r="N192" s="154"/>
      <c r="O192" s="154"/>
      <c r="P192" s="154"/>
      <c r="Q192" s="154"/>
      <c r="R192" s="154"/>
      <c r="S192" s="154"/>
      <c r="T192" s="154"/>
      <c r="U192" s="154"/>
      <c r="V192" s="154"/>
      <c r="W192" s="154"/>
      <c r="X192" s="154"/>
      <c r="Y192" s="154"/>
      <c r="Z192" s="154"/>
      <c r="AA192" s="154"/>
      <c r="AB192" s="154"/>
      <c r="AC192" s="154"/>
      <c r="AD192" s="154"/>
      <c r="AE192" s="154"/>
      <c r="AF192" s="367"/>
      <c r="AG192" s="368"/>
      <c r="AH192" s="368"/>
      <c r="AI192" s="368"/>
      <c r="AJ192" s="154"/>
      <c r="AK192" s="154"/>
      <c r="AL192" s="154"/>
      <c r="AM192" s="154"/>
      <c r="AN192" s="154"/>
      <c r="AO192" s="154"/>
      <c r="AP192" s="154"/>
      <c r="AQ192" s="154"/>
      <c r="AR192" s="154"/>
      <c r="AS192" s="154"/>
      <c r="AT192" s="154"/>
      <c r="AU192" s="154"/>
      <c r="AV192" s="154"/>
      <c r="AW192" s="154"/>
      <c r="AX192" s="154"/>
      <c r="AY192" s="154"/>
      <c r="AZ192" s="154"/>
      <c r="BA192" s="154"/>
      <c r="BB192" s="154"/>
      <c r="BC192" s="154"/>
      <c r="BD192" s="154"/>
      <c r="BE192" s="154"/>
      <c r="BF192" s="154"/>
      <c r="BG192" s="154"/>
      <c r="BH192" s="154"/>
      <c r="BI192" s="154"/>
      <c r="BJ192" s="154"/>
      <c r="BK192" s="154"/>
      <c r="BL192" s="154"/>
      <c r="BM192" s="154"/>
      <c r="BN192" s="154"/>
      <c r="BO192" s="154"/>
      <c r="BP192" s="154"/>
      <c r="BQ192" s="154"/>
      <c r="BR192" s="154"/>
      <c r="BS192" s="154"/>
      <c r="BT192" s="154"/>
      <c r="BU192" s="154"/>
      <c r="BV192" s="154"/>
      <c r="BW192" s="154"/>
      <c r="BX192" s="154"/>
      <c r="BY192" s="154"/>
      <c r="BZ192" s="154"/>
      <c r="CA192" s="154"/>
      <c r="CB192" s="154"/>
      <c r="CC192" s="154"/>
      <c r="CD192" s="154"/>
      <c r="CE192" s="154"/>
      <c r="CF192" s="154"/>
      <c r="CG192" s="154"/>
      <c r="CH192" s="154"/>
      <c r="CI192" s="154"/>
      <c r="CJ192" s="154"/>
      <c r="CK192" s="154"/>
      <c r="CL192" s="154"/>
      <c r="CM192" s="154"/>
      <c r="CN192" s="154"/>
      <c r="CO192" s="154"/>
      <c r="CP192" s="154"/>
      <c r="CQ192" s="154"/>
      <c r="CR192" s="154"/>
      <c r="CS192" s="154"/>
      <c r="CT192" s="154"/>
      <c r="CU192" s="154"/>
      <c r="CV192" s="154"/>
      <c r="CW192" s="154"/>
      <c r="CX192" s="154"/>
      <c r="CY192" s="154"/>
      <c r="CZ192" s="154"/>
      <c r="DA192" s="154"/>
      <c r="DB192" s="154"/>
      <c r="DC192" s="154"/>
      <c r="DD192" s="154"/>
      <c r="DE192" s="154"/>
      <c r="DF192" s="154"/>
      <c r="DG192" s="154"/>
      <c r="DH192" s="154"/>
      <c r="DI192" s="154"/>
      <c r="DJ192" s="154"/>
      <c r="DK192" s="154"/>
      <c r="DL192" s="154"/>
      <c r="DM192" s="154"/>
      <c r="DN192" s="154"/>
      <c r="DO192" s="154"/>
      <c r="DP192" s="154"/>
      <c r="DQ192" s="154"/>
      <c r="DR192" s="154"/>
      <c r="DS192" s="154"/>
      <c r="DT192" s="154"/>
      <c r="DU192" s="154"/>
      <c r="DV192" s="154"/>
      <c r="DW192" s="154"/>
      <c r="DX192" s="154"/>
      <c r="DY192" s="154"/>
      <c r="DZ192" s="154"/>
      <c r="EA192" s="154"/>
      <c r="EB192" s="154"/>
      <c r="EC192" s="154"/>
      <c r="ED192" s="154"/>
      <c r="EE192" s="154"/>
      <c r="EF192" s="154"/>
      <c r="EG192" s="154"/>
      <c r="EH192" s="154"/>
      <c r="EI192" s="154"/>
      <c r="EJ192" s="154"/>
      <c r="EK192" s="154"/>
      <c r="EL192" s="154"/>
      <c r="EM192" s="154"/>
      <c r="EN192" s="154"/>
      <c r="EO192" s="154"/>
      <c r="EP192" s="154"/>
      <c r="EQ192" s="154"/>
      <c r="ER192" s="154"/>
      <c r="ES192" s="154"/>
      <c r="ET192" s="154"/>
      <c r="EU192" s="154"/>
      <c r="EV192" s="154"/>
      <c r="EW192" s="154"/>
    </row>
    <row r="193" spans="2:153" ht="12.95" customHeight="1">
      <c r="B193" s="154"/>
      <c r="C193" s="380"/>
      <c r="D193" s="380"/>
      <c r="E193" s="154"/>
      <c r="F193" s="154"/>
      <c r="G193" s="154"/>
      <c r="H193" s="154"/>
      <c r="I193" s="154"/>
      <c r="J193" s="154"/>
      <c r="K193" s="154"/>
      <c r="L193" s="154"/>
      <c r="M193" s="154"/>
      <c r="N193" s="154"/>
      <c r="O193" s="154"/>
      <c r="P193" s="154"/>
      <c r="Q193" s="154"/>
      <c r="R193" s="154"/>
      <c r="S193" s="154"/>
      <c r="T193" s="154"/>
      <c r="U193" s="154"/>
      <c r="V193" s="154"/>
      <c r="W193" s="154"/>
      <c r="X193" s="154"/>
      <c r="Y193" s="154"/>
      <c r="Z193" s="154"/>
      <c r="AA193" s="154"/>
      <c r="AB193" s="154"/>
      <c r="AC193" s="154"/>
      <c r="AD193" s="154"/>
      <c r="AE193" s="154"/>
      <c r="AF193" s="367"/>
      <c r="AG193" s="368"/>
      <c r="AH193" s="368"/>
      <c r="AI193" s="368"/>
      <c r="AJ193" s="154"/>
      <c r="AK193" s="154"/>
      <c r="AL193" s="154"/>
      <c r="AM193" s="154"/>
      <c r="AN193" s="154"/>
      <c r="AO193" s="154"/>
      <c r="AP193" s="154"/>
      <c r="AQ193" s="154"/>
      <c r="AR193" s="154"/>
      <c r="AS193" s="154"/>
      <c r="AT193" s="154"/>
      <c r="AU193" s="154"/>
      <c r="AV193" s="154"/>
      <c r="AW193" s="154"/>
      <c r="AX193" s="154"/>
      <c r="AY193" s="154"/>
      <c r="AZ193" s="154"/>
      <c r="BA193" s="154"/>
      <c r="BB193" s="154"/>
      <c r="BC193" s="154"/>
      <c r="BD193" s="154"/>
      <c r="BE193" s="154"/>
      <c r="BF193" s="154"/>
      <c r="BG193" s="154"/>
      <c r="BH193" s="154"/>
      <c r="BI193" s="154"/>
      <c r="BJ193" s="154"/>
      <c r="BK193" s="154"/>
      <c r="BL193" s="154"/>
      <c r="BM193" s="154"/>
      <c r="BN193" s="154"/>
      <c r="BO193" s="154"/>
      <c r="BP193" s="154"/>
      <c r="BQ193" s="154"/>
      <c r="BR193" s="154"/>
      <c r="BS193" s="154"/>
      <c r="BT193" s="154"/>
      <c r="BU193" s="154"/>
      <c r="BV193" s="154"/>
      <c r="BW193" s="154"/>
      <c r="BX193" s="154"/>
      <c r="BY193" s="154"/>
      <c r="BZ193" s="154"/>
      <c r="CA193" s="154"/>
      <c r="CB193" s="154"/>
      <c r="CC193" s="154"/>
      <c r="CD193" s="154"/>
      <c r="CE193" s="154"/>
      <c r="CF193" s="154"/>
      <c r="CG193" s="154"/>
      <c r="CH193" s="154"/>
      <c r="CI193" s="154"/>
      <c r="CJ193" s="154"/>
      <c r="CK193" s="154"/>
      <c r="CL193" s="154"/>
      <c r="CM193" s="154"/>
      <c r="CN193" s="154"/>
      <c r="CO193" s="154"/>
      <c r="CP193" s="154"/>
      <c r="CQ193" s="154"/>
      <c r="CR193" s="154"/>
      <c r="CS193" s="154"/>
      <c r="CT193" s="154"/>
      <c r="CU193" s="154"/>
      <c r="CV193" s="154"/>
      <c r="CW193" s="154"/>
      <c r="CX193" s="154"/>
      <c r="CY193" s="154"/>
      <c r="CZ193" s="154"/>
      <c r="DA193" s="154"/>
      <c r="DB193" s="154"/>
      <c r="DC193" s="154"/>
      <c r="DD193" s="154"/>
      <c r="DE193" s="154"/>
      <c r="DF193" s="154"/>
      <c r="DG193" s="154"/>
      <c r="DH193" s="154"/>
      <c r="DI193" s="154"/>
      <c r="DJ193" s="154"/>
      <c r="DK193" s="154"/>
      <c r="DL193" s="154"/>
      <c r="DM193" s="154"/>
      <c r="DN193" s="154"/>
      <c r="DO193" s="154"/>
      <c r="DP193" s="154"/>
      <c r="DQ193" s="154"/>
      <c r="DR193" s="154"/>
      <c r="DS193" s="154"/>
      <c r="DT193" s="154"/>
      <c r="DU193" s="154"/>
      <c r="DV193" s="154"/>
      <c r="DW193" s="154"/>
      <c r="DX193" s="154"/>
      <c r="DY193" s="154"/>
      <c r="DZ193" s="154"/>
      <c r="EA193" s="154"/>
      <c r="EB193" s="154"/>
      <c r="EC193" s="154"/>
      <c r="ED193" s="154"/>
      <c r="EE193" s="154"/>
      <c r="EF193" s="154"/>
      <c r="EG193" s="154"/>
      <c r="EH193" s="154"/>
      <c r="EI193" s="154"/>
      <c r="EJ193" s="154"/>
      <c r="EK193" s="154"/>
      <c r="EL193" s="154"/>
      <c r="EM193" s="154"/>
      <c r="EN193" s="154"/>
      <c r="EO193" s="154"/>
      <c r="EP193" s="154"/>
      <c r="EQ193" s="154"/>
      <c r="ER193" s="154"/>
      <c r="ES193" s="154"/>
      <c r="ET193" s="154"/>
      <c r="EU193" s="154"/>
      <c r="EV193" s="154"/>
      <c r="EW193" s="154"/>
    </row>
    <row r="194" spans="2:153" ht="12.95" customHeight="1">
      <c r="B194" s="154"/>
      <c r="C194" s="380"/>
      <c r="D194" s="380"/>
      <c r="E194" s="154"/>
      <c r="F194" s="154"/>
      <c r="G194" s="154"/>
      <c r="H194" s="154"/>
      <c r="I194" s="154"/>
      <c r="J194" s="154"/>
      <c r="K194" s="154"/>
      <c r="L194" s="154"/>
      <c r="M194" s="154"/>
      <c r="N194" s="154"/>
      <c r="O194" s="154"/>
      <c r="P194" s="154"/>
      <c r="Q194" s="154"/>
      <c r="R194" s="154"/>
      <c r="S194" s="154"/>
      <c r="T194" s="154"/>
      <c r="U194" s="154"/>
      <c r="V194" s="154"/>
      <c r="W194" s="154"/>
      <c r="X194" s="154"/>
      <c r="Y194" s="154"/>
      <c r="Z194" s="154"/>
      <c r="AA194" s="154"/>
      <c r="AB194" s="154"/>
      <c r="AC194" s="154"/>
      <c r="AD194" s="154"/>
      <c r="AE194" s="154"/>
      <c r="AF194" s="367"/>
      <c r="AG194" s="368"/>
      <c r="AH194" s="368"/>
      <c r="AI194" s="368"/>
      <c r="AJ194" s="154"/>
      <c r="AK194" s="154"/>
      <c r="AL194" s="154"/>
      <c r="AM194" s="154"/>
      <c r="AN194" s="154"/>
      <c r="AO194" s="154"/>
      <c r="AP194" s="154"/>
      <c r="AQ194" s="154"/>
      <c r="AR194" s="154"/>
      <c r="AS194" s="154"/>
      <c r="AT194" s="154"/>
      <c r="AU194" s="154"/>
      <c r="AV194" s="154"/>
      <c r="AW194" s="154"/>
      <c r="AX194" s="154"/>
      <c r="AY194" s="154"/>
      <c r="AZ194" s="154"/>
      <c r="BA194" s="154"/>
      <c r="BB194" s="154"/>
      <c r="BC194" s="154"/>
      <c r="BD194" s="154"/>
      <c r="BE194" s="154"/>
      <c r="BF194" s="154"/>
      <c r="BG194" s="154"/>
      <c r="BH194" s="154"/>
      <c r="BI194" s="154"/>
      <c r="BJ194" s="154"/>
      <c r="BK194" s="154"/>
      <c r="BL194" s="154"/>
      <c r="BM194" s="154"/>
      <c r="BN194" s="154"/>
      <c r="BO194" s="154"/>
      <c r="BP194" s="154"/>
      <c r="BQ194" s="154"/>
      <c r="BR194" s="154"/>
      <c r="BS194" s="154"/>
      <c r="BT194" s="154"/>
      <c r="BU194" s="154"/>
      <c r="BV194" s="154"/>
      <c r="BW194" s="154"/>
      <c r="BX194" s="154"/>
      <c r="BY194" s="154"/>
      <c r="BZ194" s="154"/>
      <c r="CA194" s="154"/>
      <c r="CB194" s="154"/>
      <c r="CC194" s="154"/>
      <c r="CD194" s="154"/>
      <c r="CE194" s="154"/>
      <c r="CF194" s="154"/>
      <c r="CG194" s="154"/>
      <c r="CH194" s="154"/>
      <c r="CI194" s="154"/>
      <c r="CJ194" s="154"/>
      <c r="CK194" s="154"/>
      <c r="CL194" s="154"/>
      <c r="CM194" s="154"/>
      <c r="CN194" s="154"/>
      <c r="CO194" s="154"/>
      <c r="CP194" s="154"/>
      <c r="CQ194" s="154"/>
      <c r="CR194" s="154"/>
      <c r="CS194" s="154"/>
      <c r="CT194" s="154"/>
      <c r="CU194" s="154"/>
      <c r="CV194" s="154"/>
      <c r="CW194" s="154"/>
      <c r="CX194" s="154"/>
      <c r="CY194" s="154"/>
      <c r="CZ194" s="154"/>
      <c r="DA194" s="154"/>
      <c r="DB194" s="154"/>
      <c r="DC194" s="154"/>
      <c r="DD194" s="154"/>
      <c r="DE194" s="154"/>
      <c r="DF194" s="154"/>
      <c r="DG194" s="154"/>
      <c r="DH194" s="154"/>
      <c r="DI194" s="154"/>
      <c r="DJ194" s="154"/>
      <c r="DK194" s="154"/>
      <c r="DL194" s="154"/>
      <c r="DM194" s="154"/>
      <c r="DN194" s="154"/>
      <c r="DO194" s="154"/>
      <c r="DP194" s="154"/>
      <c r="DQ194" s="154"/>
      <c r="DR194" s="154"/>
      <c r="DS194" s="154"/>
      <c r="DT194" s="154"/>
      <c r="DU194" s="154"/>
      <c r="DV194" s="154"/>
      <c r="DW194" s="154"/>
      <c r="DX194" s="154"/>
      <c r="DY194" s="154"/>
      <c r="DZ194" s="154"/>
      <c r="EA194" s="154"/>
      <c r="EB194" s="154"/>
      <c r="EC194" s="154"/>
      <c r="ED194" s="154"/>
      <c r="EE194" s="154"/>
      <c r="EF194" s="154"/>
      <c r="EG194" s="154"/>
      <c r="EH194" s="154"/>
      <c r="EI194" s="154"/>
      <c r="EJ194" s="154"/>
      <c r="EK194" s="154"/>
      <c r="EL194" s="154"/>
      <c r="EM194" s="154"/>
      <c r="EN194" s="154"/>
      <c r="EO194" s="154"/>
      <c r="EP194" s="154"/>
      <c r="EQ194" s="154"/>
      <c r="ER194" s="154"/>
      <c r="ES194" s="154"/>
      <c r="ET194" s="154"/>
      <c r="EU194" s="154"/>
      <c r="EV194" s="154"/>
      <c r="EW194" s="154"/>
    </row>
    <row r="195" spans="2:153" ht="12.95" customHeight="1">
      <c r="B195" s="154"/>
      <c r="C195" s="380"/>
      <c r="D195" s="380"/>
      <c r="E195" s="154"/>
      <c r="F195" s="154"/>
      <c r="G195" s="154"/>
      <c r="H195" s="154"/>
      <c r="I195" s="154"/>
      <c r="J195" s="154"/>
      <c r="K195" s="154"/>
      <c r="L195" s="154"/>
      <c r="M195" s="154"/>
      <c r="N195" s="154"/>
      <c r="O195" s="154"/>
      <c r="P195" s="154"/>
      <c r="Q195" s="154"/>
      <c r="R195" s="154"/>
      <c r="S195" s="154"/>
      <c r="T195" s="154"/>
      <c r="U195" s="154"/>
      <c r="V195" s="154"/>
      <c r="W195" s="154"/>
      <c r="X195" s="154"/>
      <c r="Y195" s="154"/>
      <c r="Z195" s="154"/>
      <c r="AA195" s="154"/>
      <c r="AB195" s="154"/>
      <c r="AC195" s="154"/>
      <c r="AD195" s="154"/>
      <c r="AE195" s="154"/>
      <c r="AF195" s="367"/>
      <c r="AG195" s="368"/>
      <c r="AH195" s="368"/>
      <c r="AI195" s="368"/>
      <c r="AJ195" s="154"/>
      <c r="AK195" s="154"/>
      <c r="AL195" s="154"/>
      <c r="AM195" s="154"/>
      <c r="AN195" s="154"/>
      <c r="AO195" s="154"/>
      <c r="AP195" s="154"/>
      <c r="AQ195" s="154"/>
      <c r="AR195" s="154"/>
      <c r="AS195" s="154"/>
      <c r="AT195" s="154"/>
      <c r="AU195" s="154"/>
      <c r="AV195" s="154"/>
      <c r="AW195" s="154"/>
      <c r="AX195" s="154"/>
      <c r="AY195" s="154"/>
      <c r="AZ195" s="154"/>
      <c r="BA195" s="154"/>
      <c r="BB195" s="154"/>
      <c r="BC195" s="154"/>
      <c r="BD195" s="154"/>
      <c r="BE195" s="154"/>
      <c r="BF195" s="154"/>
      <c r="BG195" s="154"/>
      <c r="BH195" s="154"/>
      <c r="BI195" s="154"/>
      <c r="BJ195" s="154"/>
      <c r="BK195" s="154"/>
      <c r="BL195" s="154"/>
      <c r="BM195" s="154"/>
      <c r="BN195" s="154"/>
      <c r="BO195" s="154"/>
      <c r="BP195" s="154"/>
      <c r="BQ195" s="154"/>
      <c r="BR195" s="154"/>
      <c r="BS195" s="154"/>
      <c r="BT195" s="154"/>
      <c r="BU195" s="154"/>
      <c r="BV195" s="154"/>
      <c r="BW195" s="154"/>
      <c r="BX195" s="154"/>
      <c r="BY195" s="154"/>
      <c r="BZ195" s="154"/>
      <c r="CA195" s="154"/>
      <c r="CB195" s="154"/>
      <c r="CC195" s="154"/>
      <c r="CD195" s="154"/>
      <c r="CE195" s="154"/>
      <c r="CF195" s="154"/>
      <c r="CG195" s="154"/>
      <c r="CH195" s="154"/>
      <c r="CI195" s="154"/>
      <c r="CJ195" s="154"/>
      <c r="CK195" s="154"/>
      <c r="CL195" s="154"/>
      <c r="CM195" s="154"/>
      <c r="CN195" s="154"/>
      <c r="CO195" s="154"/>
      <c r="CP195" s="154"/>
      <c r="CQ195" s="154"/>
      <c r="CR195" s="154"/>
      <c r="CS195" s="154"/>
      <c r="CT195" s="154"/>
      <c r="CU195" s="154"/>
      <c r="CV195" s="154"/>
      <c r="CW195" s="154"/>
      <c r="CX195" s="154"/>
      <c r="CY195" s="154"/>
      <c r="CZ195" s="154"/>
      <c r="DA195" s="154"/>
      <c r="DB195" s="154"/>
      <c r="DC195" s="154"/>
      <c r="DD195" s="154"/>
      <c r="DE195" s="154"/>
      <c r="DF195" s="154"/>
      <c r="DG195" s="154"/>
      <c r="DH195" s="154"/>
      <c r="DI195" s="154"/>
      <c r="DJ195" s="154"/>
      <c r="DK195" s="154"/>
      <c r="DL195" s="154"/>
      <c r="DM195" s="154"/>
      <c r="DN195" s="154"/>
      <c r="DO195" s="154"/>
      <c r="DP195" s="154"/>
      <c r="DQ195" s="154"/>
      <c r="DR195" s="154"/>
      <c r="DS195" s="154"/>
      <c r="DT195" s="154"/>
      <c r="DU195" s="154"/>
      <c r="DV195" s="154"/>
      <c r="DW195" s="154"/>
      <c r="DX195" s="154"/>
      <c r="DY195" s="154"/>
      <c r="DZ195" s="154"/>
      <c r="EA195" s="154"/>
      <c r="EB195" s="154"/>
      <c r="EC195" s="154"/>
      <c r="ED195" s="154"/>
      <c r="EE195" s="154"/>
      <c r="EF195" s="154"/>
      <c r="EG195" s="154"/>
      <c r="EH195" s="154"/>
      <c r="EI195" s="154"/>
      <c r="EJ195" s="154"/>
      <c r="EK195" s="154"/>
      <c r="EL195" s="154"/>
      <c r="EM195" s="154"/>
      <c r="EN195" s="154"/>
      <c r="EO195" s="154"/>
      <c r="EP195" s="154"/>
      <c r="EQ195" s="154"/>
      <c r="ER195" s="154"/>
      <c r="ES195" s="154"/>
      <c r="ET195" s="154"/>
      <c r="EU195" s="154"/>
      <c r="EV195" s="154"/>
      <c r="EW195" s="154"/>
    </row>
    <row r="196" spans="2:153" ht="12.95" customHeight="1">
      <c r="B196" s="154"/>
      <c r="C196" s="380"/>
      <c r="D196" s="380"/>
      <c r="E196" s="154"/>
      <c r="F196" s="154"/>
      <c r="G196" s="154"/>
      <c r="H196" s="154"/>
      <c r="I196" s="154"/>
      <c r="J196" s="154"/>
      <c r="K196" s="154"/>
      <c r="L196" s="154"/>
      <c r="M196" s="154"/>
      <c r="N196" s="154"/>
      <c r="O196" s="154"/>
      <c r="P196" s="154"/>
      <c r="Q196" s="154"/>
      <c r="R196" s="154"/>
      <c r="S196" s="154"/>
      <c r="T196" s="154"/>
      <c r="U196" s="154"/>
      <c r="V196" s="154"/>
      <c r="W196" s="154"/>
      <c r="X196" s="154"/>
      <c r="Y196" s="154"/>
      <c r="Z196" s="154"/>
      <c r="AA196" s="154"/>
      <c r="AB196" s="154"/>
      <c r="AC196" s="154"/>
      <c r="AD196" s="154"/>
      <c r="AE196" s="154"/>
      <c r="AF196" s="367"/>
      <c r="AG196" s="368"/>
      <c r="AH196" s="368"/>
      <c r="AI196" s="368"/>
      <c r="AJ196" s="154"/>
      <c r="AK196" s="154"/>
      <c r="AL196" s="154"/>
      <c r="AM196" s="154"/>
      <c r="AN196" s="154"/>
      <c r="AO196" s="154"/>
      <c r="AP196" s="154"/>
      <c r="AQ196" s="154"/>
      <c r="AR196" s="154"/>
      <c r="AS196" s="154"/>
      <c r="AT196" s="154"/>
      <c r="AU196" s="154"/>
      <c r="AV196" s="154"/>
      <c r="AW196" s="154"/>
      <c r="AX196" s="154"/>
      <c r="AY196" s="154"/>
      <c r="AZ196" s="154"/>
      <c r="BA196" s="154"/>
      <c r="BB196" s="154"/>
      <c r="BC196" s="154"/>
      <c r="BD196" s="154"/>
      <c r="BE196" s="154"/>
      <c r="BF196" s="154"/>
      <c r="BG196" s="154"/>
      <c r="BH196" s="154"/>
      <c r="BI196" s="154"/>
      <c r="BJ196" s="154"/>
      <c r="BK196" s="154"/>
      <c r="BL196" s="154"/>
      <c r="BM196" s="154"/>
      <c r="BN196" s="154"/>
      <c r="BO196" s="154"/>
      <c r="BP196" s="154"/>
      <c r="BQ196" s="154"/>
      <c r="BR196" s="154"/>
      <c r="BS196" s="154"/>
      <c r="BT196" s="154"/>
      <c r="BU196" s="154"/>
      <c r="BV196" s="154"/>
      <c r="BW196" s="154"/>
      <c r="BX196" s="154"/>
      <c r="BY196" s="154"/>
      <c r="BZ196" s="154"/>
      <c r="CA196" s="154"/>
      <c r="CB196" s="154"/>
      <c r="CC196" s="154"/>
      <c r="CD196" s="154"/>
      <c r="CE196" s="154"/>
      <c r="CF196" s="154"/>
      <c r="CG196" s="154"/>
      <c r="CH196" s="154"/>
      <c r="CI196" s="154"/>
      <c r="CJ196" s="154"/>
      <c r="CK196" s="154"/>
      <c r="CL196" s="154"/>
      <c r="CM196" s="154"/>
      <c r="CN196" s="154"/>
      <c r="CO196" s="154"/>
      <c r="CP196" s="154"/>
      <c r="CQ196" s="154"/>
      <c r="CR196" s="154"/>
      <c r="CS196" s="154"/>
      <c r="CT196" s="154"/>
      <c r="CU196" s="154"/>
      <c r="CV196" s="154"/>
      <c r="CW196" s="154"/>
      <c r="CX196" s="154"/>
      <c r="CY196" s="154"/>
      <c r="CZ196" s="154"/>
      <c r="DA196" s="154"/>
      <c r="DB196" s="154"/>
      <c r="DC196" s="154"/>
      <c r="DD196" s="154"/>
      <c r="DE196" s="154"/>
      <c r="DF196" s="154"/>
      <c r="DG196" s="154"/>
      <c r="DH196" s="154"/>
      <c r="DI196" s="154"/>
      <c r="DJ196" s="154"/>
      <c r="DK196" s="154"/>
      <c r="DL196" s="154"/>
      <c r="DM196" s="154"/>
      <c r="DN196" s="154"/>
      <c r="DO196" s="154"/>
      <c r="DP196" s="154"/>
      <c r="DQ196" s="154"/>
      <c r="DR196" s="154"/>
      <c r="DS196" s="154"/>
      <c r="DT196" s="154"/>
      <c r="DU196" s="154"/>
      <c r="DV196" s="154"/>
      <c r="DW196" s="154"/>
      <c r="DX196" s="154"/>
      <c r="DY196" s="154"/>
      <c r="DZ196" s="154"/>
      <c r="EA196" s="154"/>
      <c r="EB196" s="154"/>
      <c r="EC196" s="154"/>
      <c r="ED196" s="154"/>
      <c r="EE196" s="154"/>
      <c r="EF196" s="154"/>
      <c r="EG196" s="154"/>
      <c r="EH196" s="154"/>
      <c r="EI196" s="154"/>
      <c r="EJ196" s="154"/>
      <c r="EK196" s="154"/>
      <c r="EL196" s="154"/>
      <c r="EM196" s="154"/>
      <c r="EN196" s="154"/>
      <c r="EO196" s="154"/>
      <c r="EP196" s="154"/>
      <c r="EQ196" s="154"/>
      <c r="ER196" s="154"/>
      <c r="ES196" s="154"/>
      <c r="ET196" s="154"/>
      <c r="EU196" s="154"/>
      <c r="EV196" s="154"/>
      <c r="EW196" s="154"/>
    </row>
    <row r="197" spans="2:153" ht="12.95" customHeight="1">
      <c r="B197" s="154"/>
      <c r="C197" s="380"/>
      <c r="D197" s="380"/>
      <c r="E197" s="154"/>
      <c r="F197" s="154"/>
      <c r="G197" s="154"/>
      <c r="H197" s="154"/>
      <c r="I197" s="154"/>
      <c r="J197" s="154"/>
      <c r="K197" s="154"/>
      <c r="L197" s="154"/>
      <c r="M197" s="154"/>
      <c r="N197" s="154"/>
      <c r="O197" s="154"/>
      <c r="P197" s="154"/>
      <c r="Q197" s="154"/>
      <c r="R197" s="154"/>
      <c r="S197" s="154"/>
      <c r="T197" s="154"/>
      <c r="U197" s="154"/>
      <c r="V197" s="154"/>
      <c r="W197" s="154"/>
      <c r="X197" s="154"/>
      <c r="Y197" s="154"/>
      <c r="Z197" s="154"/>
      <c r="AA197" s="154"/>
      <c r="AB197" s="154"/>
      <c r="AC197" s="154"/>
      <c r="AD197" s="154"/>
      <c r="AE197" s="154"/>
      <c r="AF197" s="367"/>
      <c r="AG197" s="368"/>
      <c r="AH197" s="368"/>
      <c r="AI197" s="368"/>
      <c r="AJ197" s="154"/>
      <c r="AK197" s="154"/>
      <c r="AL197" s="154"/>
      <c r="AM197" s="154"/>
      <c r="AN197" s="154"/>
      <c r="AO197" s="154"/>
      <c r="AP197" s="154"/>
      <c r="AQ197" s="154"/>
      <c r="AR197" s="154"/>
      <c r="AS197" s="154"/>
      <c r="AT197" s="154"/>
      <c r="AU197" s="154"/>
      <c r="AV197" s="154"/>
      <c r="AW197" s="154"/>
      <c r="AX197" s="154"/>
      <c r="AY197" s="154"/>
      <c r="AZ197" s="154"/>
      <c r="BA197" s="154"/>
      <c r="BB197" s="154"/>
      <c r="BC197" s="154"/>
      <c r="BD197" s="154"/>
      <c r="BE197" s="154"/>
      <c r="BF197" s="154"/>
      <c r="BG197" s="154"/>
      <c r="BH197" s="154"/>
      <c r="BI197" s="154"/>
      <c r="BJ197" s="154"/>
      <c r="BK197" s="154"/>
      <c r="BL197" s="154"/>
      <c r="BM197" s="154"/>
      <c r="BN197" s="154"/>
      <c r="BO197" s="154"/>
      <c r="BP197" s="154"/>
      <c r="BQ197" s="154"/>
      <c r="BR197" s="154"/>
      <c r="BS197" s="154"/>
      <c r="BT197" s="154"/>
      <c r="BU197" s="154"/>
      <c r="BV197" s="154"/>
      <c r="BW197" s="154"/>
      <c r="BX197" s="154"/>
      <c r="BY197" s="154"/>
      <c r="BZ197" s="154"/>
      <c r="CA197" s="154"/>
      <c r="CB197" s="154"/>
      <c r="CC197" s="154"/>
      <c r="CD197" s="154"/>
      <c r="CE197" s="154"/>
      <c r="CF197" s="154"/>
      <c r="CG197" s="154"/>
      <c r="CH197" s="154"/>
      <c r="CI197" s="154"/>
      <c r="CJ197" s="154"/>
      <c r="CK197" s="154"/>
      <c r="CL197" s="154"/>
      <c r="CM197" s="154"/>
      <c r="CN197" s="154"/>
      <c r="CO197" s="154"/>
      <c r="CP197" s="154"/>
      <c r="CQ197" s="154"/>
      <c r="CR197" s="154"/>
      <c r="CS197" s="154"/>
      <c r="CT197" s="154"/>
      <c r="CU197" s="154"/>
      <c r="CV197" s="154"/>
      <c r="CW197" s="154"/>
      <c r="CX197" s="154"/>
      <c r="CY197" s="154"/>
      <c r="CZ197" s="154"/>
      <c r="DA197" s="154"/>
      <c r="DB197" s="154"/>
      <c r="DC197" s="154"/>
      <c r="DD197" s="154"/>
      <c r="DE197" s="154"/>
      <c r="DF197" s="154"/>
      <c r="DG197" s="154"/>
      <c r="DH197" s="154"/>
      <c r="DI197" s="154"/>
      <c r="DJ197" s="154"/>
      <c r="DK197" s="154"/>
      <c r="DL197" s="154"/>
      <c r="DM197" s="154"/>
      <c r="DN197" s="154"/>
      <c r="DO197" s="154"/>
      <c r="DP197" s="154"/>
      <c r="DQ197" s="154"/>
      <c r="DR197" s="154"/>
      <c r="DS197" s="154"/>
      <c r="DT197" s="154"/>
      <c r="DU197" s="154"/>
      <c r="DV197" s="154"/>
      <c r="DW197" s="154"/>
      <c r="DX197" s="154"/>
      <c r="DY197" s="154"/>
      <c r="DZ197" s="154"/>
      <c r="EA197" s="154"/>
      <c r="EB197" s="154"/>
      <c r="EC197" s="154"/>
      <c r="ED197" s="154"/>
      <c r="EE197" s="154"/>
      <c r="EF197" s="154"/>
      <c r="EG197" s="154"/>
      <c r="EH197" s="154"/>
      <c r="EI197" s="154"/>
      <c r="EJ197" s="154"/>
      <c r="EK197" s="154"/>
      <c r="EL197" s="154"/>
      <c r="EM197" s="154"/>
      <c r="EN197" s="154"/>
      <c r="EO197" s="154"/>
      <c r="EP197" s="154"/>
      <c r="EQ197" s="154"/>
      <c r="ER197" s="154"/>
      <c r="ES197" s="154"/>
      <c r="ET197" s="154"/>
      <c r="EU197" s="154"/>
      <c r="EV197" s="154"/>
      <c r="EW197" s="154"/>
    </row>
    <row r="198" spans="2:153" ht="12.95" customHeight="1">
      <c r="B198" s="154"/>
      <c r="C198" s="380"/>
      <c r="D198" s="380"/>
      <c r="E198" s="154"/>
      <c r="F198" s="154"/>
      <c r="G198" s="154"/>
      <c r="H198" s="154"/>
      <c r="I198" s="154"/>
      <c r="J198" s="154"/>
      <c r="K198" s="154"/>
      <c r="L198" s="154"/>
      <c r="M198" s="154"/>
      <c r="N198" s="154"/>
      <c r="O198" s="154"/>
      <c r="P198" s="154"/>
      <c r="Q198" s="154"/>
      <c r="R198" s="154"/>
      <c r="S198" s="154"/>
      <c r="T198" s="154"/>
      <c r="U198" s="154"/>
      <c r="V198" s="154"/>
      <c r="W198" s="154"/>
      <c r="X198" s="154"/>
      <c r="Y198" s="154"/>
      <c r="Z198" s="154"/>
      <c r="AA198" s="154"/>
      <c r="AB198" s="154"/>
      <c r="AC198" s="154"/>
      <c r="AD198" s="154"/>
      <c r="AE198" s="154"/>
      <c r="AF198" s="367"/>
      <c r="AG198" s="368"/>
      <c r="AH198" s="368"/>
      <c r="AI198" s="368"/>
      <c r="AJ198" s="154"/>
      <c r="AK198" s="154"/>
      <c r="AL198" s="154"/>
      <c r="AM198" s="154"/>
      <c r="AN198" s="154"/>
      <c r="AO198" s="154"/>
      <c r="AP198" s="154"/>
      <c r="AQ198" s="154"/>
      <c r="AR198" s="154"/>
      <c r="AS198" s="154"/>
      <c r="AT198" s="154"/>
      <c r="AU198" s="154"/>
      <c r="AV198" s="154"/>
      <c r="AW198" s="154"/>
      <c r="AX198" s="154"/>
      <c r="AY198" s="154"/>
      <c r="AZ198" s="154"/>
      <c r="BA198" s="154"/>
      <c r="BB198" s="154"/>
      <c r="BC198" s="154"/>
      <c r="BD198" s="154"/>
      <c r="BE198" s="154"/>
      <c r="BF198" s="154"/>
      <c r="BG198" s="154"/>
      <c r="BH198" s="154"/>
      <c r="BI198" s="154"/>
      <c r="BJ198" s="154"/>
      <c r="BK198" s="154"/>
      <c r="BL198" s="154"/>
      <c r="BM198" s="154"/>
      <c r="BN198" s="154"/>
      <c r="BO198" s="154"/>
      <c r="BP198" s="154"/>
      <c r="BQ198" s="154"/>
      <c r="BR198" s="154"/>
      <c r="BS198" s="154"/>
      <c r="BT198" s="154"/>
      <c r="BU198" s="154"/>
      <c r="BV198" s="154"/>
      <c r="BW198" s="154"/>
      <c r="BX198" s="154"/>
      <c r="BY198" s="154"/>
      <c r="BZ198" s="154"/>
      <c r="CA198" s="154"/>
      <c r="CB198" s="154"/>
      <c r="CC198" s="154"/>
      <c r="CD198" s="154"/>
      <c r="CE198" s="154"/>
      <c r="CF198" s="154"/>
      <c r="CG198" s="154"/>
      <c r="CH198" s="154"/>
      <c r="CI198" s="154"/>
      <c r="CJ198" s="154"/>
      <c r="CK198" s="154"/>
      <c r="CL198" s="154"/>
      <c r="CM198" s="154"/>
      <c r="CN198" s="154"/>
      <c r="CO198" s="154"/>
      <c r="CP198" s="154"/>
      <c r="CQ198" s="154"/>
      <c r="CR198" s="154"/>
      <c r="CS198" s="154"/>
      <c r="CT198" s="154"/>
      <c r="CU198" s="154"/>
      <c r="CV198" s="154"/>
      <c r="CW198" s="154"/>
      <c r="CX198" s="154"/>
      <c r="CY198" s="154"/>
      <c r="CZ198" s="154"/>
      <c r="DA198" s="154"/>
      <c r="DB198" s="154"/>
      <c r="DC198" s="154"/>
      <c r="DD198" s="154"/>
      <c r="DE198" s="154"/>
      <c r="DF198" s="154"/>
      <c r="DG198" s="154"/>
      <c r="DH198" s="154"/>
      <c r="DI198" s="154"/>
      <c r="DJ198" s="154"/>
      <c r="DK198" s="154"/>
      <c r="DL198" s="154"/>
      <c r="DM198" s="154"/>
      <c r="DN198" s="154"/>
      <c r="DO198" s="154"/>
      <c r="DP198" s="154"/>
      <c r="DQ198" s="154"/>
      <c r="DR198" s="154"/>
      <c r="DS198" s="154"/>
      <c r="DT198" s="154"/>
      <c r="DU198" s="154"/>
      <c r="DV198" s="154"/>
      <c r="DW198" s="154"/>
      <c r="DX198" s="154"/>
      <c r="DY198" s="154"/>
      <c r="DZ198" s="154"/>
      <c r="EA198" s="154"/>
      <c r="EB198" s="154"/>
      <c r="EC198" s="154"/>
      <c r="ED198" s="154"/>
      <c r="EE198" s="154"/>
      <c r="EF198" s="154"/>
      <c r="EG198" s="154"/>
      <c r="EH198" s="154"/>
      <c r="EI198" s="154"/>
      <c r="EJ198" s="154"/>
      <c r="EK198" s="154"/>
      <c r="EL198" s="154"/>
      <c r="EM198" s="154"/>
      <c r="EN198" s="154"/>
      <c r="EO198" s="154"/>
      <c r="EP198" s="154"/>
      <c r="EQ198" s="154"/>
      <c r="ER198" s="154"/>
      <c r="ES198" s="154"/>
      <c r="ET198" s="154"/>
      <c r="EU198" s="154"/>
      <c r="EV198" s="154"/>
      <c r="EW198" s="154"/>
    </row>
    <row r="199" spans="2:153" ht="12.95" customHeight="1">
      <c r="B199" s="154"/>
      <c r="C199" s="380"/>
      <c r="D199" s="380"/>
      <c r="E199" s="154"/>
      <c r="F199" s="154"/>
      <c r="G199" s="154"/>
      <c r="H199" s="154"/>
      <c r="I199" s="154"/>
      <c r="J199" s="154"/>
      <c r="K199" s="154"/>
      <c r="L199" s="154"/>
      <c r="M199" s="154"/>
      <c r="N199" s="154"/>
      <c r="O199" s="154"/>
      <c r="P199" s="154"/>
      <c r="Q199" s="154"/>
      <c r="R199" s="154"/>
      <c r="S199" s="154"/>
      <c r="T199" s="154"/>
      <c r="U199" s="154"/>
      <c r="V199" s="154"/>
      <c r="W199" s="154"/>
      <c r="X199" s="154"/>
      <c r="Y199" s="154"/>
      <c r="Z199" s="154"/>
      <c r="AA199" s="154"/>
      <c r="AB199" s="154"/>
      <c r="AC199" s="154"/>
      <c r="AD199" s="154"/>
      <c r="AE199" s="154"/>
      <c r="AF199" s="367"/>
      <c r="AG199" s="368"/>
      <c r="AH199" s="368"/>
      <c r="AI199" s="368"/>
      <c r="AJ199" s="154"/>
      <c r="AK199" s="154"/>
      <c r="AL199" s="154"/>
      <c r="AM199" s="154"/>
      <c r="AN199" s="154"/>
      <c r="AO199" s="154"/>
      <c r="AP199" s="154"/>
      <c r="AQ199" s="154"/>
      <c r="AR199" s="154"/>
      <c r="AS199" s="154"/>
      <c r="AT199" s="154"/>
      <c r="AU199" s="154"/>
      <c r="AV199" s="154"/>
      <c r="AW199" s="154"/>
      <c r="AX199" s="154"/>
      <c r="AY199" s="154"/>
      <c r="AZ199" s="154"/>
      <c r="BA199" s="154"/>
      <c r="BB199" s="154"/>
      <c r="BC199" s="154"/>
      <c r="BD199" s="154"/>
      <c r="BE199" s="154"/>
      <c r="BF199" s="154"/>
      <c r="BG199" s="154"/>
      <c r="BH199" s="154"/>
      <c r="BI199" s="154"/>
      <c r="BJ199" s="154"/>
      <c r="BK199" s="154"/>
      <c r="BL199" s="154"/>
      <c r="BM199" s="154"/>
      <c r="BN199" s="154"/>
      <c r="BO199" s="154"/>
      <c r="BP199" s="154"/>
      <c r="BQ199" s="154"/>
      <c r="BR199" s="154"/>
      <c r="BS199" s="154"/>
      <c r="BT199" s="154"/>
      <c r="BU199" s="154"/>
      <c r="BV199" s="154"/>
      <c r="BW199" s="154"/>
      <c r="BX199" s="154"/>
      <c r="BY199" s="154"/>
      <c r="BZ199" s="154"/>
      <c r="CA199" s="154"/>
      <c r="CB199" s="154"/>
      <c r="CC199" s="154"/>
      <c r="CD199" s="154"/>
      <c r="CE199" s="154"/>
      <c r="CF199" s="154"/>
      <c r="CG199" s="154"/>
      <c r="CH199" s="154"/>
      <c r="CI199" s="154"/>
      <c r="CJ199" s="154"/>
      <c r="CK199" s="154"/>
      <c r="CL199" s="154"/>
      <c r="CM199" s="154"/>
      <c r="CN199" s="154"/>
      <c r="CO199" s="154"/>
      <c r="CP199" s="154"/>
      <c r="CQ199" s="154"/>
      <c r="CR199" s="154"/>
      <c r="CS199" s="154"/>
      <c r="CT199" s="154"/>
      <c r="CU199" s="154"/>
      <c r="CV199" s="154"/>
      <c r="CW199" s="154"/>
      <c r="CX199" s="154"/>
      <c r="CY199" s="154"/>
      <c r="CZ199" s="154"/>
      <c r="DA199" s="154"/>
      <c r="DB199" s="154"/>
      <c r="DC199" s="154"/>
      <c r="DD199" s="154"/>
      <c r="DE199" s="154"/>
      <c r="DF199" s="154"/>
      <c r="DG199" s="154"/>
      <c r="DH199" s="154"/>
      <c r="DI199" s="154"/>
      <c r="DJ199" s="154"/>
      <c r="DK199" s="154"/>
      <c r="DL199" s="154"/>
      <c r="DM199" s="154"/>
      <c r="DN199" s="154"/>
      <c r="DO199" s="154"/>
      <c r="DP199" s="154"/>
      <c r="DQ199" s="154"/>
      <c r="DR199" s="154"/>
      <c r="DS199" s="154"/>
      <c r="DT199" s="154"/>
      <c r="DU199" s="154"/>
      <c r="DV199" s="154"/>
      <c r="DW199" s="154"/>
      <c r="DX199" s="154"/>
      <c r="DY199" s="154"/>
      <c r="DZ199" s="154"/>
      <c r="EA199" s="154"/>
      <c r="EB199" s="154"/>
      <c r="EC199" s="154"/>
      <c r="ED199" s="154"/>
      <c r="EE199" s="154"/>
      <c r="EF199" s="154"/>
      <c r="EG199" s="154"/>
      <c r="EH199" s="154"/>
      <c r="EI199" s="154"/>
      <c r="EJ199" s="154"/>
      <c r="EK199" s="154"/>
      <c r="EL199" s="154"/>
      <c r="EM199" s="154"/>
      <c r="EN199" s="154"/>
      <c r="EO199" s="154"/>
      <c r="EP199" s="154"/>
      <c r="EQ199" s="154"/>
      <c r="ER199" s="154"/>
      <c r="ES199" s="154"/>
      <c r="ET199" s="154"/>
      <c r="EU199" s="154"/>
      <c r="EV199" s="154"/>
      <c r="EW199" s="154"/>
    </row>
    <row r="200" spans="2:153" ht="12.95" customHeight="1">
      <c r="B200" s="154"/>
      <c r="C200" s="380"/>
      <c r="D200" s="380"/>
      <c r="E200" s="154"/>
      <c r="F200" s="154"/>
      <c r="G200" s="154"/>
      <c r="H200" s="154"/>
      <c r="I200" s="154"/>
      <c r="J200" s="154"/>
      <c r="K200" s="154"/>
      <c r="L200" s="154"/>
      <c r="M200" s="154"/>
      <c r="N200" s="154"/>
      <c r="O200" s="154"/>
      <c r="P200" s="154"/>
      <c r="Q200" s="154"/>
      <c r="R200" s="154"/>
      <c r="S200" s="154"/>
      <c r="T200" s="154"/>
      <c r="U200" s="154"/>
      <c r="V200" s="154"/>
      <c r="W200" s="154"/>
      <c r="X200" s="154"/>
      <c r="Y200" s="154"/>
      <c r="Z200" s="154"/>
      <c r="AA200" s="154"/>
      <c r="AB200" s="154"/>
      <c r="AC200" s="154"/>
      <c r="AD200" s="154"/>
      <c r="AE200" s="154"/>
      <c r="AF200" s="367"/>
      <c r="AG200" s="368"/>
      <c r="AH200" s="368"/>
      <c r="AI200" s="368"/>
      <c r="AJ200" s="154"/>
      <c r="AK200" s="154"/>
      <c r="AL200" s="154"/>
      <c r="AM200" s="154"/>
      <c r="AN200" s="154"/>
      <c r="AO200" s="154"/>
      <c r="AP200" s="154"/>
      <c r="AQ200" s="154"/>
      <c r="AR200" s="154"/>
      <c r="AS200" s="154"/>
      <c r="AT200" s="154"/>
      <c r="AU200" s="154"/>
      <c r="AV200" s="154"/>
      <c r="AW200" s="154"/>
      <c r="AX200" s="154"/>
      <c r="AY200" s="154"/>
      <c r="AZ200" s="154"/>
      <c r="BA200" s="154"/>
      <c r="BB200" s="154"/>
      <c r="BC200" s="154"/>
      <c r="BD200" s="154"/>
      <c r="BE200" s="154"/>
      <c r="BF200" s="154"/>
      <c r="BG200" s="154"/>
      <c r="BH200" s="154"/>
      <c r="BI200" s="154"/>
      <c r="BJ200" s="154"/>
      <c r="BK200" s="154"/>
      <c r="BL200" s="154"/>
      <c r="BM200" s="154"/>
      <c r="BN200" s="154"/>
      <c r="BO200" s="154"/>
      <c r="BP200" s="154"/>
      <c r="BQ200" s="154"/>
      <c r="BR200" s="154"/>
      <c r="BS200" s="154"/>
      <c r="BT200" s="154"/>
      <c r="BU200" s="154"/>
      <c r="BV200" s="154"/>
      <c r="BW200" s="154"/>
      <c r="BX200" s="154"/>
      <c r="BY200" s="154"/>
      <c r="BZ200" s="154"/>
      <c r="CA200" s="154"/>
      <c r="CB200" s="154"/>
      <c r="CC200" s="154"/>
      <c r="CD200" s="154"/>
      <c r="CE200" s="154"/>
      <c r="CF200" s="154"/>
      <c r="CG200" s="154"/>
      <c r="CH200" s="154"/>
      <c r="CI200" s="154"/>
      <c r="CJ200" s="154"/>
      <c r="CK200" s="154"/>
      <c r="CL200" s="154"/>
      <c r="CM200" s="154"/>
      <c r="CN200" s="154"/>
      <c r="CO200" s="154"/>
      <c r="CP200" s="154"/>
      <c r="CQ200" s="154"/>
      <c r="CR200" s="154"/>
      <c r="CS200" s="154"/>
      <c r="CT200" s="154"/>
      <c r="CU200" s="154"/>
      <c r="CV200" s="154"/>
      <c r="CW200" s="154"/>
      <c r="CX200" s="154"/>
      <c r="CY200" s="154"/>
      <c r="CZ200" s="154"/>
      <c r="DA200" s="154"/>
      <c r="DB200" s="154"/>
      <c r="DC200" s="154"/>
      <c r="DD200" s="154"/>
      <c r="DE200" s="154"/>
      <c r="DF200" s="154"/>
      <c r="DG200" s="154"/>
      <c r="DH200" s="154"/>
      <c r="DI200" s="154"/>
      <c r="DJ200" s="154"/>
      <c r="DK200" s="154"/>
      <c r="DL200" s="154"/>
      <c r="DM200" s="154"/>
      <c r="DN200" s="154"/>
      <c r="DO200" s="154"/>
      <c r="DP200" s="154"/>
      <c r="DQ200" s="154"/>
      <c r="DR200" s="154"/>
      <c r="DS200" s="154"/>
      <c r="DT200" s="154"/>
      <c r="DU200" s="154"/>
      <c r="DV200" s="154"/>
      <c r="DW200" s="154"/>
      <c r="DX200" s="154"/>
      <c r="DY200" s="154"/>
      <c r="DZ200" s="154"/>
      <c r="EA200" s="154"/>
      <c r="EB200" s="154"/>
      <c r="EC200" s="154"/>
      <c r="ED200" s="154"/>
      <c r="EE200" s="154"/>
      <c r="EF200" s="154"/>
      <c r="EG200" s="154"/>
      <c r="EH200" s="154"/>
      <c r="EI200" s="154"/>
      <c r="EJ200" s="154"/>
      <c r="EK200" s="154"/>
      <c r="EL200" s="154"/>
      <c r="EM200" s="154"/>
      <c r="EN200" s="154"/>
      <c r="EO200" s="154"/>
      <c r="EP200" s="154"/>
      <c r="EQ200" s="154"/>
      <c r="ER200" s="154"/>
      <c r="ES200" s="154"/>
      <c r="ET200" s="154"/>
      <c r="EU200" s="154"/>
      <c r="EV200" s="154"/>
      <c r="EW200" s="154"/>
    </row>
    <row r="201" spans="2:153" ht="12.95" customHeight="1">
      <c r="B201" s="154"/>
      <c r="C201" s="380"/>
      <c r="D201" s="380"/>
      <c r="E201" s="154"/>
      <c r="F201" s="154"/>
      <c r="G201" s="154"/>
      <c r="H201" s="154"/>
      <c r="I201" s="154"/>
      <c r="J201" s="154"/>
      <c r="K201" s="154"/>
      <c r="L201" s="154"/>
      <c r="M201" s="154"/>
      <c r="N201" s="154"/>
      <c r="O201" s="154"/>
      <c r="P201" s="154"/>
      <c r="Q201" s="154"/>
      <c r="R201" s="154"/>
      <c r="S201" s="154"/>
      <c r="T201" s="154"/>
      <c r="U201" s="154"/>
      <c r="V201" s="154"/>
      <c r="W201" s="154"/>
      <c r="X201" s="154"/>
      <c r="Y201" s="154"/>
      <c r="Z201" s="154"/>
      <c r="AA201" s="154"/>
      <c r="AB201" s="154"/>
      <c r="AC201" s="154"/>
      <c r="AD201" s="154"/>
      <c r="AE201" s="154"/>
      <c r="AF201" s="367"/>
      <c r="AG201" s="368"/>
      <c r="AH201" s="368"/>
      <c r="AI201" s="368"/>
      <c r="AJ201" s="154"/>
      <c r="AK201" s="154"/>
      <c r="AL201" s="154"/>
      <c r="AM201" s="154"/>
      <c r="AN201" s="154"/>
      <c r="AO201" s="154"/>
      <c r="AP201" s="154"/>
      <c r="AQ201" s="154"/>
      <c r="AR201" s="154"/>
      <c r="AS201" s="154"/>
      <c r="AT201" s="154"/>
      <c r="AU201" s="154"/>
      <c r="AV201" s="154"/>
      <c r="AW201" s="154"/>
      <c r="AX201" s="154"/>
      <c r="AY201" s="154"/>
      <c r="AZ201" s="154"/>
      <c r="BA201" s="154"/>
      <c r="BB201" s="154"/>
      <c r="BC201" s="154"/>
      <c r="BD201" s="154"/>
      <c r="BE201" s="154"/>
      <c r="BF201" s="154"/>
      <c r="BG201" s="154"/>
      <c r="BH201" s="154"/>
      <c r="BI201" s="154"/>
      <c r="BJ201" s="154"/>
      <c r="BK201" s="154"/>
      <c r="BL201" s="154"/>
      <c r="BM201" s="154"/>
      <c r="BN201" s="154"/>
      <c r="BO201" s="154"/>
      <c r="BP201" s="154"/>
      <c r="BQ201" s="154"/>
      <c r="BR201" s="154"/>
      <c r="BS201" s="154"/>
      <c r="BT201" s="154"/>
      <c r="BU201" s="154"/>
      <c r="BV201" s="154"/>
      <c r="BW201" s="154"/>
      <c r="BX201" s="154"/>
      <c r="BY201" s="154"/>
      <c r="BZ201" s="154"/>
      <c r="CA201" s="154"/>
      <c r="CB201" s="154"/>
      <c r="CC201" s="154"/>
      <c r="CD201" s="154"/>
      <c r="CE201" s="154"/>
      <c r="CF201" s="154"/>
      <c r="CG201" s="154"/>
      <c r="CH201" s="154"/>
      <c r="CI201" s="154"/>
      <c r="CJ201" s="154"/>
      <c r="CK201" s="154"/>
      <c r="CL201" s="154"/>
      <c r="CM201" s="154"/>
      <c r="CN201" s="154"/>
      <c r="CO201" s="154"/>
      <c r="CP201" s="154"/>
      <c r="CQ201" s="154"/>
      <c r="CR201" s="154"/>
      <c r="CS201" s="154"/>
      <c r="CT201" s="154"/>
      <c r="CU201" s="154"/>
      <c r="CV201" s="154"/>
      <c r="CW201" s="154"/>
      <c r="CX201" s="154"/>
      <c r="CY201" s="154"/>
      <c r="CZ201" s="154"/>
      <c r="DA201" s="154"/>
      <c r="DB201" s="154"/>
      <c r="DC201" s="154"/>
      <c r="DD201" s="154"/>
      <c r="DE201" s="154"/>
      <c r="DF201" s="154"/>
      <c r="DG201" s="154"/>
      <c r="DH201" s="154"/>
      <c r="DI201" s="154"/>
      <c r="DJ201" s="154"/>
      <c r="DK201" s="154"/>
      <c r="DL201" s="154"/>
      <c r="DM201" s="154"/>
      <c r="DN201" s="154"/>
      <c r="DO201" s="154"/>
      <c r="DP201" s="154"/>
      <c r="DQ201" s="154"/>
      <c r="DR201" s="154"/>
      <c r="DS201" s="154"/>
      <c r="DT201" s="154"/>
      <c r="DU201" s="154"/>
      <c r="DV201" s="154"/>
      <c r="DW201" s="154"/>
      <c r="DX201" s="154"/>
      <c r="DY201" s="154"/>
      <c r="DZ201" s="154"/>
      <c r="EA201" s="154"/>
      <c r="EB201" s="154"/>
      <c r="EC201" s="154"/>
      <c r="ED201" s="154"/>
      <c r="EE201" s="154"/>
      <c r="EF201" s="154"/>
      <c r="EG201" s="154"/>
      <c r="EH201" s="154"/>
      <c r="EI201" s="154"/>
      <c r="EJ201" s="154"/>
      <c r="EK201" s="154"/>
      <c r="EL201" s="154"/>
      <c r="EM201" s="154"/>
      <c r="EN201" s="154"/>
      <c r="EO201" s="154"/>
      <c r="EP201" s="154"/>
      <c r="EQ201" s="154"/>
      <c r="ER201" s="154"/>
      <c r="ES201" s="154"/>
      <c r="ET201" s="154"/>
      <c r="EU201" s="154"/>
      <c r="EV201" s="154"/>
      <c r="EW201" s="154"/>
    </row>
    <row r="202" spans="2:153" ht="12.95" customHeight="1">
      <c r="B202" s="154"/>
      <c r="C202" s="380"/>
      <c r="D202" s="380"/>
      <c r="E202" s="154"/>
      <c r="F202" s="154"/>
      <c r="G202" s="154"/>
      <c r="H202" s="154"/>
      <c r="I202" s="154"/>
      <c r="J202" s="154"/>
      <c r="K202" s="154"/>
      <c r="L202" s="154"/>
      <c r="M202" s="154"/>
      <c r="N202" s="154"/>
      <c r="O202" s="154"/>
      <c r="P202" s="154"/>
      <c r="Q202" s="154"/>
      <c r="R202" s="154"/>
      <c r="S202" s="154"/>
      <c r="T202" s="154"/>
      <c r="U202" s="154"/>
      <c r="V202" s="154"/>
      <c r="W202" s="154"/>
      <c r="X202" s="154"/>
      <c r="Y202" s="154"/>
      <c r="Z202" s="154"/>
      <c r="AA202" s="154"/>
      <c r="AB202" s="154"/>
      <c r="AC202" s="154"/>
      <c r="AD202" s="154"/>
      <c r="AE202" s="154"/>
      <c r="AF202" s="367"/>
      <c r="AG202" s="368"/>
      <c r="AH202" s="368"/>
      <c r="AI202" s="368"/>
      <c r="AJ202" s="154"/>
      <c r="AK202" s="154"/>
      <c r="AL202" s="154"/>
      <c r="AM202" s="154"/>
      <c r="AN202" s="154"/>
      <c r="AO202" s="154"/>
      <c r="AP202" s="154"/>
      <c r="AQ202" s="154"/>
      <c r="AR202" s="154"/>
      <c r="AS202" s="154"/>
      <c r="AT202" s="154"/>
      <c r="AU202" s="154"/>
      <c r="AV202" s="154"/>
      <c r="AW202" s="154"/>
      <c r="AX202" s="154"/>
      <c r="AY202" s="154"/>
      <c r="AZ202" s="154"/>
      <c r="BA202" s="154"/>
      <c r="BB202" s="154"/>
      <c r="BC202" s="154"/>
      <c r="BD202" s="154"/>
      <c r="BE202" s="154"/>
      <c r="BF202" s="154"/>
      <c r="BG202" s="154"/>
      <c r="BH202" s="154"/>
      <c r="BI202" s="154"/>
      <c r="BJ202" s="154"/>
      <c r="BK202" s="154"/>
      <c r="BL202" s="154"/>
      <c r="BM202" s="154"/>
      <c r="BN202" s="154"/>
      <c r="BO202" s="154"/>
      <c r="BP202" s="154"/>
      <c r="BQ202" s="154"/>
      <c r="BR202" s="154"/>
      <c r="BS202" s="154"/>
      <c r="BT202" s="154"/>
      <c r="BU202" s="154"/>
      <c r="BV202" s="154"/>
      <c r="BW202" s="154"/>
      <c r="BX202" s="154"/>
      <c r="BY202" s="154"/>
      <c r="BZ202" s="154"/>
      <c r="CA202" s="154"/>
      <c r="CB202" s="154"/>
      <c r="CC202" s="154"/>
      <c r="CD202" s="154"/>
      <c r="CE202" s="154"/>
      <c r="CF202" s="154"/>
      <c r="CG202" s="154"/>
      <c r="CH202" s="154"/>
      <c r="CI202" s="154"/>
      <c r="CJ202" s="154"/>
      <c r="CK202" s="154"/>
      <c r="CL202" s="154"/>
      <c r="CM202" s="154"/>
      <c r="CN202" s="154"/>
      <c r="CO202" s="154"/>
      <c r="CP202" s="154"/>
      <c r="CQ202" s="154"/>
      <c r="CR202" s="154"/>
      <c r="CS202" s="154"/>
      <c r="CT202" s="154"/>
      <c r="CU202" s="154"/>
      <c r="CV202" s="154"/>
      <c r="CW202" s="154"/>
      <c r="CX202" s="154"/>
      <c r="CY202" s="154"/>
      <c r="CZ202" s="154"/>
      <c r="DA202" s="154"/>
      <c r="DB202" s="154"/>
      <c r="DC202" s="154"/>
      <c r="DD202" s="154"/>
      <c r="DE202" s="154"/>
      <c r="DF202" s="154"/>
      <c r="DG202" s="154"/>
      <c r="DH202" s="154"/>
      <c r="DI202" s="154"/>
      <c r="DJ202" s="154"/>
      <c r="DK202" s="154"/>
      <c r="DL202" s="154"/>
      <c r="DM202" s="154"/>
      <c r="DN202" s="154"/>
      <c r="DO202" s="154"/>
      <c r="DP202" s="154"/>
      <c r="DQ202" s="154"/>
      <c r="DR202" s="154"/>
      <c r="DS202" s="154"/>
      <c r="DT202" s="154"/>
      <c r="DU202" s="154"/>
      <c r="DV202" s="154"/>
      <c r="DW202" s="154"/>
      <c r="DX202" s="154"/>
      <c r="DY202" s="154"/>
      <c r="DZ202" s="154"/>
      <c r="EA202" s="154"/>
      <c r="EB202" s="154"/>
      <c r="EC202" s="154"/>
      <c r="ED202" s="154"/>
      <c r="EE202" s="154"/>
      <c r="EF202" s="154"/>
      <c r="EG202" s="154"/>
      <c r="EH202" s="154"/>
      <c r="EI202" s="154"/>
      <c r="EJ202" s="154"/>
      <c r="EK202" s="154"/>
      <c r="EL202" s="154"/>
      <c r="EM202" s="154"/>
      <c r="EN202" s="154"/>
      <c r="EO202" s="154"/>
      <c r="EP202" s="154"/>
      <c r="EQ202" s="154"/>
      <c r="ER202" s="154"/>
      <c r="ES202" s="154"/>
      <c r="ET202" s="154"/>
      <c r="EU202" s="154"/>
      <c r="EV202" s="154"/>
      <c r="EW202" s="154"/>
    </row>
    <row r="203" spans="2:153" ht="12.95" customHeight="1">
      <c r="B203" s="154"/>
      <c r="C203" s="380"/>
      <c r="D203" s="380"/>
      <c r="E203" s="154"/>
      <c r="F203" s="154"/>
      <c r="G203" s="154"/>
      <c r="H203" s="154"/>
      <c r="I203" s="154"/>
      <c r="J203" s="154"/>
      <c r="K203" s="154"/>
      <c r="L203" s="154"/>
      <c r="M203" s="154"/>
      <c r="N203" s="154"/>
      <c r="O203" s="154"/>
      <c r="P203" s="154"/>
      <c r="Q203" s="154"/>
      <c r="R203" s="154"/>
      <c r="S203" s="154"/>
      <c r="T203" s="154"/>
      <c r="U203" s="154"/>
      <c r="V203" s="154"/>
      <c r="W203" s="154"/>
      <c r="X203" s="154"/>
      <c r="Y203" s="154"/>
      <c r="Z203" s="154"/>
      <c r="AA203" s="154"/>
      <c r="AB203" s="154"/>
      <c r="AC203" s="154"/>
      <c r="AD203" s="154"/>
      <c r="AE203" s="154"/>
      <c r="AF203" s="367"/>
      <c r="AG203" s="368"/>
      <c r="AH203" s="368"/>
      <c r="AI203" s="368"/>
      <c r="AJ203" s="154"/>
      <c r="AK203" s="154"/>
      <c r="AL203" s="154"/>
      <c r="AM203" s="154"/>
      <c r="AN203" s="154"/>
      <c r="AO203" s="154"/>
      <c r="AP203" s="154"/>
      <c r="AQ203" s="154"/>
      <c r="AR203" s="154"/>
      <c r="AS203" s="154"/>
      <c r="AT203" s="154"/>
      <c r="AU203" s="154"/>
      <c r="AV203" s="154"/>
      <c r="AW203" s="154"/>
      <c r="AX203" s="154"/>
      <c r="AY203" s="154"/>
      <c r="AZ203" s="154"/>
      <c r="BA203" s="154"/>
      <c r="BB203" s="154"/>
      <c r="BC203" s="154"/>
      <c r="BD203" s="154"/>
      <c r="BE203" s="154"/>
      <c r="BF203" s="154"/>
      <c r="BG203" s="154"/>
      <c r="BH203" s="154"/>
      <c r="BI203" s="154"/>
      <c r="BJ203" s="154"/>
      <c r="BK203" s="154"/>
      <c r="BL203" s="154"/>
      <c r="BM203" s="154"/>
      <c r="BN203" s="154"/>
      <c r="BO203" s="154"/>
      <c r="BP203" s="154"/>
      <c r="BQ203" s="154"/>
      <c r="BR203" s="154"/>
      <c r="BS203" s="154"/>
      <c r="BT203" s="154"/>
      <c r="BU203" s="154"/>
      <c r="BV203" s="154"/>
      <c r="BW203" s="154"/>
      <c r="BX203" s="154"/>
      <c r="BY203" s="154"/>
      <c r="BZ203" s="154"/>
      <c r="CA203" s="154"/>
      <c r="CB203" s="154"/>
      <c r="CC203" s="154"/>
      <c r="CD203" s="154"/>
      <c r="CE203" s="154"/>
      <c r="CF203" s="154"/>
      <c r="CG203" s="154"/>
      <c r="CH203" s="154"/>
      <c r="CI203" s="154"/>
      <c r="CJ203" s="154"/>
      <c r="CK203" s="154"/>
      <c r="CL203" s="154"/>
      <c r="CM203" s="154"/>
      <c r="CN203" s="154"/>
      <c r="CO203" s="154"/>
      <c r="CP203" s="154"/>
      <c r="CQ203" s="154"/>
      <c r="CR203" s="154"/>
      <c r="CS203" s="154"/>
      <c r="CT203" s="154"/>
      <c r="CU203" s="154"/>
      <c r="CV203" s="154"/>
      <c r="CW203" s="154"/>
      <c r="CX203" s="154"/>
      <c r="CY203" s="154"/>
      <c r="CZ203" s="154"/>
      <c r="DA203" s="154"/>
      <c r="DB203" s="154"/>
      <c r="DC203" s="154"/>
      <c r="DD203" s="154"/>
      <c r="DE203" s="154"/>
      <c r="DF203" s="154"/>
      <c r="DG203" s="154"/>
      <c r="DH203" s="154"/>
      <c r="DI203" s="154"/>
      <c r="DJ203" s="154"/>
      <c r="DK203" s="154"/>
      <c r="DL203" s="154"/>
      <c r="DM203" s="154"/>
      <c r="DN203" s="154"/>
      <c r="DO203" s="154"/>
      <c r="DP203" s="154"/>
      <c r="DQ203" s="154"/>
      <c r="DR203" s="154"/>
      <c r="DS203" s="154"/>
      <c r="DT203" s="154"/>
      <c r="DU203" s="154"/>
      <c r="DV203" s="154"/>
      <c r="DW203" s="154"/>
      <c r="DX203" s="154"/>
      <c r="DY203" s="154"/>
      <c r="DZ203" s="154"/>
      <c r="EA203" s="154"/>
      <c r="EB203" s="154"/>
      <c r="EC203" s="154"/>
      <c r="ED203" s="154"/>
      <c r="EE203" s="154"/>
      <c r="EF203" s="154"/>
      <c r="EG203" s="154"/>
      <c r="EH203" s="154"/>
      <c r="EI203" s="154"/>
      <c r="EJ203" s="154"/>
      <c r="EK203" s="154"/>
      <c r="EL203" s="154"/>
      <c r="EM203" s="154"/>
      <c r="EN203" s="154"/>
      <c r="EO203" s="154"/>
      <c r="EP203" s="154"/>
      <c r="EQ203" s="154"/>
      <c r="ER203" s="154"/>
      <c r="ES203" s="154"/>
      <c r="ET203" s="154"/>
      <c r="EU203" s="154"/>
      <c r="EV203" s="154"/>
      <c r="EW203" s="154"/>
    </row>
    <row r="204" spans="2:153" ht="12.95" customHeight="1">
      <c r="B204" s="154"/>
      <c r="C204" s="380"/>
      <c r="D204" s="380"/>
      <c r="E204" s="154"/>
      <c r="F204" s="154"/>
      <c r="G204" s="154"/>
      <c r="H204" s="154"/>
      <c r="I204" s="154"/>
      <c r="J204" s="154"/>
      <c r="K204" s="154"/>
      <c r="L204" s="154"/>
      <c r="M204" s="154"/>
      <c r="N204" s="154"/>
      <c r="O204" s="154"/>
      <c r="P204" s="154"/>
      <c r="Q204" s="154"/>
      <c r="R204" s="154"/>
      <c r="S204" s="154"/>
      <c r="T204" s="154"/>
      <c r="U204" s="154"/>
      <c r="V204" s="154"/>
      <c r="W204" s="154"/>
      <c r="X204" s="154"/>
      <c r="Y204" s="154"/>
      <c r="Z204" s="154"/>
      <c r="AA204" s="154"/>
      <c r="AB204" s="154"/>
      <c r="AC204" s="154"/>
      <c r="AD204" s="154"/>
      <c r="AE204" s="154"/>
      <c r="AF204" s="367"/>
      <c r="AG204" s="368"/>
      <c r="AH204" s="368"/>
      <c r="AI204" s="368"/>
      <c r="AJ204" s="154"/>
      <c r="AK204" s="154"/>
      <c r="AL204" s="154"/>
      <c r="AM204" s="154"/>
      <c r="AN204" s="154"/>
      <c r="AO204" s="154"/>
      <c r="AP204" s="154"/>
      <c r="AQ204" s="154"/>
      <c r="AR204" s="154"/>
      <c r="AS204" s="154"/>
      <c r="AT204" s="154"/>
      <c r="AU204" s="154"/>
      <c r="AV204" s="154"/>
      <c r="AW204" s="154"/>
      <c r="AX204" s="154"/>
      <c r="AY204" s="154"/>
      <c r="AZ204" s="154"/>
      <c r="BA204" s="154"/>
      <c r="BB204" s="154"/>
      <c r="BC204" s="154"/>
      <c r="BD204" s="154"/>
      <c r="BE204" s="154"/>
      <c r="BF204" s="154"/>
      <c r="BG204" s="154"/>
      <c r="BH204" s="154"/>
      <c r="BI204" s="154"/>
      <c r="BJ204" s="154"/>
      <c r="BK204" s="154"/>
      <c r="BL204" s="154"/>
      <c r="BM204" s="154"/>
      <c r="BN204" s="154"/>
      <c r="BO204" s="154"/>
      <c r="BP204" s="154"/>
      <c r="BQ204" s="154"/>
      <c r="BR204" s="154"/>
      <c r="BS204" s="154"/>
      <c r="BT204" s="154"/>
      <c r="BU204" s="154"/>
      <c r="BV204" s="154"/>
      <c r="BW204" s="154"/>
      <c r="BX204" s="154"/>
      <c r="BY204" s="154"/>
      <c r="BZ204" s="154"/>
      <c r="CA204" s="154"/>
      <c r="CB204" s="154"/>
      <c r="CC204" s="154"/>
      <c r="CD204" s="154"/>
      <c r="CE204" s="154"/>
      <c r="CF204" s="154"/>
      <c r="CG204" s="154"/>
      <c r="CH204" s="154"/>
      <c r="CI204" s="154"/>
      <c r="CJ204" s="154"/>
      <c r="CK204" s="154"/>
      <c r="CL204" s="154"/>
      <c r="CM204" s="154"/>
      <c r="CN204" s="154"/>
      <c r="CO204" s="154"/>
      <c r="CP204" s="154"/>
      <c r="CQ204" s="154"/>
      <c r="CR204" s="154"/>
      <c r="CS204" s="154"/>
      <c r="CT204" s="154"/>
      <c r="CU204" s="154"/>
      <c r="CV204" s="154"/>
      <c r="CW204" s="154"/>
      <c r="CX204" s="154"/>
      <c r="CY204" s="154"/>
      <c r="CZ204" s="154"/>
      <c r="DA204" s="154"/>
      <c r="DB204" s="154"/>
      <c r="DC204" s="154"/>
      <c r="DD204" s="154"/>
      <c r="DE204" s="154"/>
      <c r="DF204" s="154"/>
      <c r="DG204" s="154"/>
      <c r="DH204" s="154"/>
      <c r="DI204" s="154"/>
      <c r="DJ204" s="154"/>
      <c r="DK204" s="154"/>
      <c r="DL204" s="154"/>
      <c r="DM204" s="154"/>
      <c r="DN204" s="154"/>
      <c r="DO204" s="154"/>
      <c r="DP204" s="154"/>
      <c r="DQ204" s="154"/>
      <c r="DR204" s="154"/>
      <c r="DS204" s="154"/>
      <c r="DT204" s="154"/>
      <c r="DU204" s="154"/>
      <c r="DV204" s="154"/>
      <c r="DW204" s="154"/>
      <c r="DX204" s="154"/>
      <c r="DY204" s="154"/>
      <c r="DZ204" s="154"/>
      <c r="EA204" s="154"/>
      <c r="EB204" s="154"/>
      <c r="EC204" s="154"/>
      <c r="ED204" s="154"/>
      <c r="EE204" s="154"/>
      <c r="EF204" s="154"/>
      <c r="EG204" s="154"/>
      <c r="EH204" s="154"/>
      <c r="EI204" s="154"/>
      <c r="EJ204" s="154"/>
      <c r="EK204" s="154"/>
      <c r="EL204" s="154"/>
      <c r="EM204" s="154"/>
      <c r="EN204" s="154"/>
      <c r="EO204" s="154"/>
      <c r="EP204" s="154"/>
      <c r="EQ204" s="154"/>
      <c r="ER204" s="154"/>
      <c r="ES204" s="154"/>
      <c r="ET204" s="154"/>
      <c r="EU204" s="154"/>
      <c r="EV204" s="154"/>
      <c r="EW204" s="154"/>
    </row>
    <row r="205" spans="2:153" ht="12.95" customHeight="1">
      <c r="B205" s="154"/>
      <c r="C205" s="380"/>
      <c r="D205" s="380"/>
      <c r="E205" s="154"/>
      <c r="F205" s="154"/>
      <c r="G205" s="154"/>
      <c r="H205" s="154"/>
      <c r="I205" s="154"/>
      <c r="J205" s="154"/>
      <c r="K205" s="154"/>
      <c r="L205" s="154"/>
      <c r="M205" s="154"/>
      <c r="N205" s="154"/>
      <c r="O205" s="154"/>
      <c r="P205" s="154"/>
      <c r="Q205" s="154"/>
      <c r="R205" s="154"/>
      <c r="S205" s="154"/>
      <c r="T205" s="154"/>
      <c r="U205" s="154"/>
      <c r="V205" s="154"/>
      <c r="W205" s="154"/>
      <c r="X205" s="154"/>
      <c r="Y205" s="154"/>
      <c r="Z205" s="154"/>
      <c r="AA205" s="154"/>
      <c r="AB205" s="154"/>
      <c r="AC205" s="154"/>
      <c r="AD205" s="154"/>
      <c r="AE205" s="154"/>
      <c r="AF205" s="367"/>
      <c r="AG205" s="368"/>
      <c r="AH205" s="368"/>
      <c r="AI205" s="368"/>
      <c r="AJ205" s="154"/>
      <c r="AK205" s="154"/>
      <c r="AL205" s="154"/>
      <c r="AM205" s="154"/>
      <c r="AN205" s="154"/>
      <c r="AO205" s="154"/>
      <c r="AP205" s="154"/>
      <c r="AQ205" s="154"/>
      <c r="AR205" s="154"/>
      <c r="AS205" s="154"/>
      <c r="AT205" s="154"/>
      <c r="AU205" s="154"/>
      <c r="AV205" s="154"/>
      <c r="AW205" s="154"/>
      <c r="AX205" s="154"/>
      <c r="AY205" s="154"/>
      <c r="AZ205" s="154"/>
      <c r="BA205" s="154"/>
      <c r="BB205" s="154"/>
      <c r="BC205" s="154"/>
      <c r="BD205" s="154"/>
      <c r="BE205" s="154"/>
      <c r="BF205" s="154"/>
      <c r="BG205" s="154"/>
      <c r="BH205" s="154"/>
      <c r="BI205" s="154"/>
      <c r="BJ205" s="154"/>
      <c r="BK205" s="154"/>
      <c r="BL205" s="154"/>
      <c r="BM205" s="154"/>
      <c r="BN205" s="154"/>
      <c r="BO205" s="154"/>
      <c r="BP205" s="154"/>
      <c r="BQ205" s="154"/>
      <c r="BR205" s="154"/>
      <c r="BS205" s="154"/>
      <c r="BT205" s="154"/>
      <c r="BU205" s="154"/>
      <c r="BV205" s="154"/>
      <c r="BW205" s="154"/>
      <c r="BX205" s="154"/>
      <c r="BY205" s="154"/>
      <c r="BZ205" s="154"/>
      <c r="CA205" s="154"/>
      <c r="CB205" s="154"/>
      <c r="CC205" s="154"/>
      <c r="CD205" s="154"/>
      <c r="CE205" s="154"/>
      <c r="CF205" s="154"/>
      <c r="CG205" s="154"/>
      <c r="CH205" s="154"/>
      <c r="CI205" s="154"/>
      <c r="CJ205" s="154"/>
      <c r="CK205" s="154"/>
      <c r="CL205" s="154"/>
      <c r="CM205" s="154"/>
      <c r="CN205" s="154"/>
      <c r="CO205" s="154"/>
      <c r="CP205" s="154"/>
      <c r="CQ205" s="154"/>
      <c r="CR205" s="154"/>
      <c r="CS205" s="154"/>
      <c r="CT205" s="154"/>
      <c r="CU205" s="154"/>
      <c r="CV205" s="154"/>
      <c r="CW205" s="154"/>
      <c r="CX205" s="154"/>
      <c r="CY205" s="154"/>
      <c r="CZ205" s="154"/>
      <c r="DA205" s="154"/>
      <c r="DB205" s="154"/>
      <c r="DC205" s="154"/>
      <c r="DD205" s="154"/>
      <c r="DE205" s="154"/>
      <c r="DF205" s="154"/>
      <c r="DG205" s="154"/>
      <c r="DH205" s="154"/>
      <c r="DI205" s="154"/>
      <c r="DJ205" s="154"/>
      <c r="DK205" s="154"/>
      <c r="DL205" s="154"/>
      <c r="DM205" s="154"/>
      <c r="DN205" s="154"/>
      <c r="DO205" s="154"/>
      <c r="DP205" s="154"/>
      <c r="DQ205" s="154"/>
      <c r="DR205" s="154"/>
      <c r="DS205" s="154"/>
      <c r="DT205" s="154"/>
      <c r="DU205" s="154"/>
      <c r="DV205" s="154"/>
      <c r="DW205" s="154"/>
      <c r="DX205" s="154"/>
      <c r="DY205" s="154"/>
      <c r="DZ205" s="154"/>
      <c r="EA205" s="154"/>
      <c r="EB205" s="154"/>
      <c r="EC205" s="154"/>
      <c r="ED205" s="154"/>
      <c r="EE205" s="154"/>
      <c r="EF205" s="154"/>
      <c r="EG205" s="154"/>
      <c r="EH205" s="154"/>
      <c r="EI205" s="154"/>
      <c r="EJ205" s="154"/>
      <c r="EK205" s="154"/>
      <c r="EL205" s="154"/>
      <c r="EM205" s="154"/>
      <c r="EN205" s="154"/>
      <c r="EO205" s="154"/>
      <c r="EP205" s="154"/>
      <c r="EQ205" s="154"/>
      <c r="ER205" s="154"/>
      <c r="ES205" s="154"/>
      <c r="ET205" s="154"/>
      <c r="EU205" s="154"/>
      <c r="EV205" s="154"/>
      <c r="EW205" s="154"/>
    </row>
    <row r="206" spans="2:153" ht="12.95" customHeight="1">
      <c r="B206" s="154"/>
      <c r="C206" s="380"/>
      <c r="D206" s="380"/>
      <c r="E206" s="154"/>
      <c r="F206" s="154"/>
      <c r="G206" s="154"/>
      <c r="H206" s="154"/>
      <c r="I206" s="154"/>
      <c r="J206" s="154"/>
      <c r="K206" s="154"/>
      <c r="L206" s="154"/>
      <c r="M206" s="154"/>
      <c r="N206" s="154"/>
      <c r="O206" s="154"/>
      <c r="P206" s="154"/>
      <c r="Q206" s="154"/>
      <c r="R206" s="154"/>
      <c r="S206" s="154"/>
      <c r="T206" s="154"/>
      <c r="U206" s="154"/>
      <c r="V206" s="154"/>
      <c r="W206" s="154"/>
      <c r="X206" s="154"/>
      <c r="Y206" s="154"/>
      <c r="Z206" s="154"/>
      <c r="AA206" s="154"/>
      <c r="AB206" s="154"/>
      <c r="AC206" s="154"/>
      <c r="AD206" s="154"/>
      <c r="AE206" s="154"/>
      <c r="AF206" s="367"/>
      <c r="AG206" s="368"/>
      <c r="AH206" s="368"/>
      <c r="AI206" s="368"/>
      <c r="AJ206" s="154"/>
      <c r="AK206" s="154"/>
      <c r="AL206" s="154"/>
      <c r="AM206" s="154"/>
      <c r="AN206" s="154"/>
      <c r="AO206" s="154"/>
      <c r="AP206" s="154"/>
      <c r="AQ206" s="154"/>
      <c r="AR206" s="154"/>
      <c r="AS206" s="154"/>
      <c r="AT206" s="154"/>
      <c r="AU206" s="154"/>
      <c r="AV206" s="154"/>
      <c r="AW206" s="154"/>
      <c r="AX206" s="154"/>
      <c r="AY206" s="154"/>
      <c r="AZ206" s="154"/>
      <c r="BA206" s="154"/>
      <c r="BB206" s="154"/>
      <c r="BC206" s="154"/>
      <c r="BD206" s="154"/>
      <c r="BE206" s="154"/>
      <c r="BF206" s="154"/>
      <c r="BG206" s="154"/>
      <c r="BH206" s="154"/>
      <c r="BI206" s="154"/>
      <c r="BJ206" s="154"/>
      <c r="BK206" s="154"/>
      <c r="BL206" s="154"/>
      <c r="BM206" s="154"/>
      <c r="BN206" s="154"/>
      <c r="BO206" s="154"/>
      <c r="BP206" s="154"/>
      <c r="BQ206" s="154"/>
      <c r="BR206" s="154"/>
      <c r="BS206" s="154"/>
      <c r="BT206" s="154"/>
      <c r="BU206" s="154"/>
      <c r="BV206" s="154"/>
      <c r="BW206" s="154"/>
      <c r="BX206" s="154"/>
      <c r="BY206" s="154"/>
      <c r="BZ206" s="154"/>
      <c r="CA206" s="154"/>
      <c r="CB206" s="154"/>
      <c r="CC206" s="154"/>
      <c r="CD206" s="154"/>
      <c r="CE206" s="154"/>
      <c r="CF206" s="154"/>
      <c r="CG206" s="154"/>
      <c r="CH206" s="154"/>
      <c r="CI206" s="154"/>
      <c r="CJ206" s="154"/>
      <c r="CK206" s="154"/>
      <c r="CL206" s="154"/>
      <c r="CM206" s="154"/>
      <c r="CN206" s="154"/>
      <c r="CO206" s="154"/>
      <c r="CP206" s="154"/>
      <c r="CQ206" s="154"/>
      <c r="CR206" s="154"/>
      <c r="CS206" s="154"/>
      <c r="CT206" s="154"/>
      <c r="CU206" s="154"/>
      <c r="CV206" s="154"/>
      <c r="CW206" s="154"/>
      <c r="CX206" s="154"/>
      <c r="CY206" s="154"/>
      <c r="CZ206" s="154"/>
      <c r="DA206" s="154"/>
      <c r="DB206" s="154"/>
      <c r="DC206" s="154"/>
      <c r="DD206" s="154"/>
      <c r="DE206" s="154"/>
      <c r="DF206" s="154"/>
      <c r="DG206" s="154"/>
      <c r="DH206" s="154"/>
      <c r="DI206" s="154"/>
      <c r="DJ206" s="154"/>
      <c r="DK206" s="154"/>
      <c r="DL206" s="154"/>
      <c r="DM206" s="154"/>
      <c r="DN206" s="154"/>
      <c r="DO206" s="154"/>
      <c r="DP206" s="154"/>
      <c r="DQ206" s="154"/>
      <c r="DR206" s="154"/>
      <c r="DS206" s="154"/>
      <c r="DT206" s="154"/>
      <c r="DU206" s="154"/>
      <c r="DV206" s="154"/>
      <c r="DW206" s="154"/>
      <c r="DX206" s="154"/>
      <c r="DY206" s="154"/>
      <c r="DZ206" s="154"/>
      <c r="EA206" s="154"/>
      <c r="EB206" s="154"/>
      <c r="EC206" s="154"/>
      <c r="ED206" s="154"/>
      <c r="EE206" s="154"/>
      <c r="EF206" s="154"/>
      <c r="EG206" s="154"/>
      <c r="EH206" s="154"/>
      <c r="EI206" s="154"/>
      <c r="EJ206" s="154"/>
      <c r="EK206" s="154"/>
      <c r="EL206" s="154"/>
      <c r="EM206" s="154"/>
      <c r="EN206" s="154"/>
      <c r="EO206" s="154"/>
      <c r="EP206" s="154"/>
      <c r="EQ206" s="154"/>
      <c r="ER206" s="154"/>
      <c r="ES206" s="154"/>
      <c r="ET206" s="154"/>
      <c r="EU206" s="154"/>
      <c r="EV206" s="154"/>
      <c r="EW206" s="154"/>
    </row>
    <row r="207" spans="2:153" ht="12.95" customHeight="1">
      <c r="B207" s="154"/>
      <c r="C207" s="380"/>
      <c r="D207" s="380"/>
      <c r="E207" s="154"/>
      <c r="F207" s="154"/>
      <c r="G207" s="154"/>
      <c r="H207" s="154"/>
      <c r="I207" s="154"/>
      <c r="J207" s="154"/>
      <c r="K207" s="154"/>
      <c r="L207" s="154"/>
      <c r="M207" s="154"/>
      <c r="N207" s="154"/>
      <c r="O207" s="154"/>
      <c r="P207" s="154"/>
      <c r="Q207" s="154"/>
      <c r="R207" s="154"/>
      <c r="S207" s="154"/>
      <c r="T207" s="154"/>
      <c r="U207" s="154"/>
      <c r="V207" s="154"/>
      <c r="W207" s="154"/>
      <c r="X207" s="154"/>
      <c r="Y207" s="154"/>
      <c r="Z207" s="154"/>
      <c r="AA207" s="154"/>
      <c r="AB207" s="154"/>
      <c r="AC207" s="154"/>
      <c r="AD207" s="154"/>
      <c r="AE207" s="154"/>
      <c r="AF207" s="367"/>
      <c r="AG207" s="368"/>
      <c r="AH207" s="368"/>
      <c r="AI207" s="368"/>
      <c r="AJ207" s="154"/>
      <c r="AK207" s="154"/>
      <c r="AL207" s="154"/>
      <c r="AM207" s="154"/>
      <c r="AN207" s="154"/>
      <c r="AO207" s="154"/>
      <c r="AP207" s="154"/>
      <c r="AQ207" s="154"/>
      <c r="AR207" s="154"/>
      <c r="AS207" s="154"/>
      <c r="AT207" s="154"/>
      <c r="AU207" s="154"/>
      <c r="AV207" s="154"/>
      <c r="AW207" s="154"/>
      <c r="AX207" s="154"/>
      <c r="AY207" s="154"/>
      <c r="AZ207" s="154"/>
      <c r="BA207" s="154"/>
      <c r="BB207" s="154"/>
      <c r="BC207" s="154"/>
      <c r="BD207" s="154"/>
      <c r="BE207" s="154"/>
      <c r="BF207" s="154"/>
      <c r="BG207" s="154"/>
      <c r="BH207" s="154"/>
      <c r="BI207" s="154"/>
      <c r="BJ207" s="154"/>
      <c r="BK207" s="154"/>
      <c r="BL207" s="154"/>
      <c r="BM207" s="154"/>
      <c r="BN207" s="154"/>
      <c r="BO207" s="154"/>
      <c r="BP207" s="154"/>
      <c r="BQ207" s="154"/>
      <c r="BR207" s="154"/>
      <c r="BS207" s="154"/>
      <c r="BT207" s="154"/>
      <c r="BU207" s="154"/>
      <c r="BV207" s="154"/>
      <c r="BW207" s="154"/>
      <c r="BX207" s="154"/>
      <c r="BY207" s="154"/>
      <c r="BZ207" s="154"/>
      <c r="CA207" s="154"/>
      <c r="CB207" s="154"/>
      <c r="CC207" s="154"/>
      <c r="CD207" s="154"/>
      <c r="CE207" s="154"/>
      <c r="CF207" s="154"/>
      <c r="CG207" s="154"/>
      <c r="CH207" s="154"/>
      <c r="CI207" s="154"/>
      <c r="CJ207" s="154"/>
      <c r="CK207" s="154"/>
      <c r="CL207" s="154"/>
      <c r="CM207" s="154"/>
      <c r="CN207" s="154"/>
      <c r="CO207" s="154"/>
      <c r="CP207" s="154"/>
      <c r="CQ207" s="154"/>
      <c r="CR207" s="154"/>
      <c r="CS207" s="154"/>
      <c r="CT207" s="154"/>
      <c r="CU207" s="154"/>
      <c r="CV207" s="154"/>
      <c r="CW207" s="154"/>
      <c r="CX207" s="154"/>
      <c r="CY207" s="154"/>
      <c r="CZ207" s="154"/>
      <c r="DA207" s="154"/>
      <c r="DB207" s="154"/>
      <c r="DC207" s="154"/>
      <c r="DD207" s="154"/>
      <c r="DE207" s="154"/>
      <c r="DF207" s="154"/>
      <c r="DG207" s="154"/>
      <c r="DH207" s="154"/>
      <c r="DI207" s="154"/>
      <c r="DJ207" s="154"/>
      <c r="DK207" s="154"/>
      <c r="DL207" s="154"/>
      <c r="DM207" s="154"/>
      <c r="DN207" s="154"/>
      <c r="DO207" s="154"/>
      <c r="DP207" s="154"/>
      <c r="DQ207" s="154"/>
      <c r="DR207" s="154"/>
      <c r="DS207" s="154"/>
      <c r="DT207" s="154"/>
      <c r="DU207" s="154"/>
      <c r="DV207" s="154"/>
      <c r="DW207" s="154"/>
      <c r="DX207" s="154"/>
      <c r="DY207" s="154"/>
      <c r="DZ207" s="154"/>
      <c r="EA207" s="154"/>
      <c r="EB207" s="154"/>
      <c r="EC207" s="154"/>
      <c r="ED207" s="154"/>
      <c r="EE207" s="154"/>
      <c r="EF207" s="154"/>
      <c r="EG207" s="154"/>
      <c r="EH207" s="154"/>
      <c r="EI207" s="154"/>
      <c r="EJ207" s="154"/>
      <c r="EK207" s="154"/>
      <c r="EL207" s="154"/>
      <c r="EM207" s="154"/>
      <c r="EN207" s="154"/>
      <c r="EO207" s="154"/>
      <c r="EP207" s="154"/>
      <c r="EQ207" s="154"/>
      <c r="ER207" s="154"/>
      <c r="ES207" s="154"/>
      <c r="ET207" s="154"/>
      <c r="EU207" s="154"/>
      <c r="EV207" s="154"/>
      <c r="EW207" s="154"/>
    </row>
    <row r="208" spans="2:153" ht="12.95" customHeight="1">
      <c r="B208" s="154"/>
      <c r="C208" s="380"/>
      <c r="D208" s="380"/>
      <c r="E208" s="154"/>
      <c r="F208" s="154"/>
      <c r="G208" s="154"/>
      <c r="H208" s="154"/>
      <c r="I208" s="154"/>
      <c r="J208" s="154"/>
      <c r="K208" s="154"/>
      <c r="L208" s="154"/>
      <c r="M208" s="154"/>
      <c r="N208" s="154"/>
      <c r="O208" s="154"/>
      <c r="P208" s="154"/>
      <c r="Q208" s="154"/>
      <c r="R208" s="154"/>
      <c r="S208" s="154"/>
      <c r="T208" s="154"/>
      <c r="U208" s="154"/>
      <c r="V208" s="154"/>
      <c r="W208" s="154"/>
      <c r="X208" s="154"/>
      <c r="Y208" s="154"/>
      <c r="Z208" s="154"/>
      <c r="AA208" s="154"/>
      <c r="AB208" s="154"/>
      <c r="AC208" s="154"/>
      <c r="AD208" s="154"/>
      <c r="AE208" s="154"/>
      <c r="AF208" s="367"/>
      <c r="AG208" s="368"/>
      <c r="AH208" s="368"/>
      <c r="AI208" s="368"/>
      <c r="AJ208" s="154"/>
      <c r="AK208" s="154"/>
      <c r="AL208" s="154"/>
      <c r="AM208" s="154"/>
      <c r="AN208" s="154"/>
      <c r="AO208" s="154"/>
      <c r="AP208" s="154"/>
      <c r="AQ208" s="154"/>
      <c r="AR208" s="154"/>
      <c r="AS208" s="154"/>
      <c r="AT208" s="154"/>
      <c r="AU208" s="154"/>
      <c r="AV208" s="154"/>
      <c r="AW208" s="154"/>
      <c r="AX208" s="154"/>
      <c r="AY208" s="154"/>
      <c r="AZ208" s="154"/>
      <c r="BA208" s="154"/>
      <c r="BB208" s="154"/>
      <c r="BC208" s="154"/>
      <c r="BD208" s="154"/>
      <c r="BE208" s="154"/>
      <c r="BF208" s="154"/>
      <c r="BG208" s="154"/>
      <c r="BH208" s="154"/>
      <c r="BI208" s="154"/>
      <c r="BJ208" s="154"/>
      <c r="BK208" s="154"/>
      <c r="BL208" s="154"/>
      <c r="BM208" s="154"/>
      <c r="BN208" s="154"/>
      <c r="BO208" s="154"/>
      <c r="BP208" s="154"/>
      <c r="BQ208" s="154"/>
      <c r="BR208" s="154"/>
      <c r="BS208" s="154"/>
      <c r="BT208" s="154"/>
      <c r="BU208" s="154"/>
      <c r="BV208" s="154"/>
      <c r="BW208" s="154"/>
      <c r="BX208" s="154"/>
      <c r="BY208" s="154"/>
      <c r="BZ208" s="154"/>
      <c r="CA208" s="154"/>
      <c r="CB208" s="154"/>
      <c r="CC208" s="154"/>
      <c r="CD208" s="154"/>
      <c r="CE208" s="154"/>
      <c r="CF208" s="154"/>
      <c r="CG208" s="154"/>
      <c r="CH208" s="154"/>
      <c r="CI208" s="154"/>
      <c r="CJ208" s="154"/>
      <c r="CK208" s="154"/>
      <c r="CL208" s="154"/>
      <c r="CM208" s="154"/>
      <c r="CN208" s="154"/>
      <c r="CO208" s="154"/>
      <c r="CP208" s="154"/>
      <c r="CQ208" s="154"/>
      <c r="CR208" s="154"/>
      <c r="CS208" s="154"/>
      <c r="CT208" s="154"/>
      <c r="CU208" s="154"/>
      <c r="CV208" s="154"/>
      <c r="CW208" s="154"/>
      <c r="CX208" s="154"/>
      <c r="CY208" s="154"/>
      <c r="CZ208" s="154"/>
      <c r="DA208" s="154"/>
      <c r="DB208" s="154"/>
      <c r="DC208" s="154"/>
      <c r="DD208" s="154"/>
      <c r="DE208" s="154"/>
      <c r="DF208" s="154"/>
      <c r="DG208" s="154"/>
      <c r="DH208" s="154"/>
      <c r="DI208" s="154"/>
      <c r="DJ208" s="154"/>
      <c r="DK208" s="154"/>
      <c r="DL208" s="154"/>
      <c r="DM208" s="154"/>
      <c r="DN208" s="154"/>
      <c r="DO208" s="154"/>
      <c r="DP208" s="154"/>
      <c r="DQ208" s="154"/>
      <c r="DR208" s="154"/>
      <c r="DS208" s="154"/>
      <c r="DT208" s="154"/>
      <c r="DU208" s="154"/>
      <c r="DV208" s="154"/>
      <c r="DW208" s="154"/>
      <c r="DX208" s="154"/>
      <c r="DY208" s="154"/>
      <c r="DZ208" s="154"/>
      <c r="EA208" s="154"/>
      <c r="EB208" s="154"/>
      <c r="EC208" s="154"/>
      <c r="ED208" s="154"/>
      <c r="EE208" s="154"/>
      <c r="EF208" s="154"/>
      <c r="EG208" s="154"/>
      <c r="EH208" s="154"/>
      <c r="EI208" s="154"/>
      <c r="EJ208" s="154"/>
      <c r="EK208" s="154"/>
      <c r="EL208" s="154"/>
      <c r="EM208" s="154"/>
      <c r="EN208" s="154"/>
      <c r="EO208" s="154"/>
      <c r="EP208" s="154"/>
      <c r="EQ208" s="154"/>
      <c r="ER208" s="154"/>
      <c r="ES208" s="154"/>
      <c r="ET208" s="154"/>
      <c r="EU208" s="154"/>
      <c r="EV208" s="154"/>
      <c r="EW208" s="154"/>
    </row>
    <row r="209" spans="2:153" ht="12.95" customHeight="1">
      <c r="B209" s="154"/>
      <c r="C209" s="380"/>
      <c r="D209" s="380"/>
      <c r="E209" s="154"/>
      <c r="F209" s="154"/>
      <c r="G209" s="154"/>
      <c r="H209" s="154"/>
      <c r="I209" s="154"/>
      <c r="J209" s="154"/>
      <c r="K209" s="154"/>
      <c r="L209" s="154"/>
      <c r="M209" s="154"/>
      <c r="N209" s="154"/>
      <c r="O209" s="154"/>
      <c r="P209" s="154"/>
      <c r="Q209" s="154"/>
      <c r="R209" s="154"/>
      <c r="S209" s="154"/>
      <c r="T209" s="154"/>
      <c r="U209" s="154"/>
      <c r="V209" s="154"/>
      <c r="W209" s="154"/>
      <c r="X209" s="154"/>
      <c r="Y209" s="154"/>
      <c r="Z209" s="154"/>
      <c r="AA209" s="154"/>
      <c r="AB209" s="154"/>
      <c r="AC209" s="154"/>
      <c r="AD209" s="154"/>
      <c r="AE209" s="154"/>
      <c r="AF209" s="367"/>
      <c r="AG209" s="368"/>
      <c r="AH209" s="368"/>
      <c r="AI209" s="368"/>
      <c r="AJ209" s="154"/>
      <c r="AK209" s="154"/>
      <c r="AL209" s="154"/>
      <c r="AM209" s="154"/>
      <c r="AN209" s="154"/>
      <c r="AO209" s="154"/>
      <c r="AP209" s="154"/>
      <c r="AQ209" s="154"/>
      <c r="AR209" s="154"/>
      <c r="AS209" s="154"/>
      <c r="AT209" s="154"/>
      <c r="AU209" s="154"/>
      <c r="AV209" s="154"/>
      <c r="AW209" s="154"/>
      <c r="AX209" s="154"/>
      <c r="AY209" s="154"/>
      <c r="AZ209" s="154"/>
      <c r="BA209" s="154"/>
      <c r="BB209" s="154"/>
      <c r="BC209" s="154"/>
      <c r="BD209" s="154"/>
      <c r="BE209" s="154"/>
      <c r="BF209" s="154"/>
      <c r="BG209" s="154"/>
      <c r="BH209" s="154"/>
      <c r="BI209" s="154"/>
      <c r="BJ209" s="154"/>
      <c r="BK209" s="154"/>
      <c r="BL209" s="154"/>
      <c r="BM209" s="154"/>
      <c r="BN209" s="154"/>
      <c r="BO209" s="154"/>
      <c r="BP209" s="154"/>
      <c r="BQ209" s="154"/>
      <c r="BR209" s="154"/>
      <c r="BS209" s="154"/>
      <c r="BT209" s="154"/>
      <c r="BU209" s="154"/>
      <c r="BV209" s="154"/>
      <c r="BW209" s="154"/>
      <c r="BX209" s="154"/>
      <c r="BY209" s="154"/>
      <c r="BZ209" s="154"/>
      <c r="CA209" s="154"/>
      <c r="CB209" s="154"/>
      <c r="CC209" s="154"/>
      <c r="CD209" s="154"/>
      <c r="CE209" s="154"/>
      <c r="CF209" s="154"/>
      <c r="CG209" s="154"/>
      <c r="CH209" s="154"/>
      <c r="CI209" s="154"/>
      <c r="CJ209" s="154"/>
      <c r="CK209" s="154"/>
      <c r="CL209" s="154"/>
      <c r="CM209" s="154"/>
      <c r="CN209" s="154"/>
      <c r="CO209" s="154"/>
      <c r="CP209" s="154"/>
      <c r="CQ209" s="154"/>
      <c r="CR209" s="154"/>
      <c r="CS209" s="154"/>
      <c r="CT209" s="154"/>
      <c r="CU209" s="154"/>
      <c r="CV209" s="154"/>
      <c r="CW209" s="154"/>
      <c r="CX209" s="154"/>
      <c r="CY209" s="154"/>
      <c r="CZ209" s="154"/>
      <c r="DA209" s="154"/>
      <c r="DB209" s="154"/>
      <c r="DC209" s="154"/>
      <c r="DD209" s="154"/>
      <c r="DE209" s="154"/>
      <c r="DF209" s="154"/>
      <c r="DG209" s="154"/>
      <c r="DH209" s="154"/>
      <c r="DI209" s="154"/>
      <c r="DJ209" s="154"/>
      <c r="DK209" s="154"/>
      <c r="DL209" s="154"/>
      <c r="DM209" s="154"/>
      <c r="DN209" s="154"/>
      <c r="DO209" s="154"/>
      <c r="DP209" s="154"/>
      <c r="DQ209" s="154"/>
      <c r="DR209" s="154"/>
      <c r="DS209" s="154"/>
      <c r="DT209" s="154"/>
      <c r="DU209" s="154"/>
      <c r="DV209" s="154"/>
      <c r="DW209" s="154"/>
      <c r="DX209" s="154"/>
      <c r="DY209" s="154"/>
      <c r="DZ209" s="154"/>
      <c r="EA209" s="154"/>
      <c r="EB209" s="154"/>
      <c r="EC209" s="154"/>
      <c r="ED209" s="154"/>
      <c r="EE209" s="154"/>
      <c r="EF209" s="154"/>
      <c r="EG209" s="154"/>
      <c r="EH209" s="154"/>
      <c r="EI209" s="154"/>
      <c r="EJ209" s="154"/>
      <c r="EK209" s="154"/>
      <c r="EL209" s="154"/>
      <c r="EM209" s="154"/>
      <c r="EN209" s="154"/>
      <c r="EO209" s="154"/>
      <c r="EP209" s="154"/>
      <c r="EQ209" s="154"/>
      <c r="ER209" s="154"/>
      <c r="ES209" s="154"/>
      <c r="ET209" s="154"/>
      <c r="EU209" s="154"/>
      <c r="EV209" s="154"/>
      <c r="EW209" s="154"/>
    </row>
    <row r="210" spans="2:153" ht="12.95" customHeight="1">
      <c r="B210" s="154"/>
      <c r="C210" s="380"/>
      <c r="D210" s="380"/>
      <c r="E210" s="154"/>
      <c r="F210" s="154"/>
      <c r="G210" s="154"/>
      <c r="H210" s="154"/>
      <c r="I210" s="154"/>
      <c r="J210" s="154"/>
      <c r="K210" s="154"/>
      <c r="L210" s="154"/>
      <c r="M210" s="154"/>
      <c r="N210" s="154"/>
      <c r="O210" s="154"/>
      <c r="P210" s="154"/>
      <c r="Q210" s="154"/>
      <c r="R210" s="154"/>
      <c r="S210" s="154"/>
      <c r="T210" s="154"/>
      <c r="U210" s="154"/>
      <c r="V210" s="154"/>
      <c r="W210" s="154"/>
      <c r="X210" s="154"/>
      <c r="Y210" s="154"/>
      <c r="Z210" s="154"/>
      <c r="AA210" s="154"/>
      <c r="AB210" s="154"/>
      <c r="AC210" s="154"/>
      <c r="AD210" s="154"/>
      <c r="AE210" s="154"/>
      <c r="AF210" s="367"/>
      <c r="AG210" s="368"/>
      <c r="AH210" s="368"/>
      <c r="AI210" s="368"/>
      <c r="AJ210" s="154"/>
      <c r="AK210" s="154"/>
      <c r="AL210" s="154"/>
      <c r="AM210" s="154"/>
      <c r="AN210" s="154"/>
      <c r="AO210" s="154"/>
      <c r="AP210" s="154"/>
      <c r="AQ210" s="154"/>
      <c r="AR210" s="154"/>
      <c r="AS210" s="154"/>
      <c r="AT210" s="154"/>
      <c r="AU210" s="154"/>
      <c r="AV210" s="154"/>
      <c r="AW210" s="154"/>
      <c r="AX210" s="154"/>
      <c r="AY210" s="154"/>
      <c r="AZ210" s="154"/>
      <c r="BA210" s="154"/>
      <c r="BB210" s="154"/>
      <c r="BC210" s="154"/>
      <c r="BD210" s="154"/>
      <c r="BE210" s="154"/>
      <c r="BF210" s="154"/>
      <c r="BG210" s="154"/>
      <c r="BH210" s="154"/>
      <c r="BI210" s="154"/>
      <c r="BJ210" s="154"/>
      <c r="BK210" s="154"/>
      <c r="BL210" s="154"/>
      <c r="BM210" s="154"/>
      <c r="BN210" s="154"/>
      <c r="BO210" s="154"/>
      <c r="BP210" s="154"/>
      <c r="BQ210" s="154"/>
      <c r="BR210" s="154"/>
      <c r="BS210" s="154"/>
      <c r="BT210" s="154"/>
      <c r="BU210" s="154"/>
      <c r="BV210" s="154"/>
      <c r="BW210" s="154"/>
      <c r="BX210" s="154"/>
      <c r="BY210" s="154"/>
      <c r="BZ210" s="154"/>
      <c r="CA210" s="154"/>
      <c r="CB210" s="154"/>
      <c r="CC210" s="154"/>
      <c r="CD210" s="154"/>
      <c r="CE210" s="154"/>
      <c r="CF210" s="154"/>
      <c r="CG210" s="154"/>
      <c r="CH210" s="154"/>
      <c r="CI210" s="154"/>
      <c r="CJ210" s="154"/>
      <c r="CK210" s="154"/>
      <c r="CL210" s="154"/>
      <c r="CM210" s="154"/>
      <c r="CN210" s="154"/>
      <c r="CO210" s="154"/>
      <c r="CP210" s="154"/>
      <c r="CQ210" s="154"/>
      <c r="CR210" s="154"/>
      <c r="CS210" s="154"/>
      <c r="CT210" s="154"/>
      <c r="CU210" s="154"/>
      <c r="CV210" s="154"/>
      <c r="CW210" s="154"/>
      <c r="CX210" s="154"/>
      <c r="CY210" s="154"/>
      <c r="CZ210" s="154"/>
      <c r="DA210" s="154"/>
      <c r="DB210" s="154"/>
      <c r="DC210" s="154"/>
      <c r="DD210" s="154"/>
      <c r="DE210" s="154"/>
      <c r="DF210" s="154"/>
      <c r="DG210" s="154"/>
      <c r="DH210" s="154"/>
      <c r="DI210" s="154"/>
      <c r="DJ210" s="154"/>
      <c r="DK210" s="154"/>
      <c r="DL210" s="154"/>
      <c r="DM210" s="154"/>
      <c r="DN210" s="154"/>
      <c r="DO210" s="154"/>
      <c r="DP210" s="154"/>
      <c r="DQ210" s="154"/>
      <c r="DR210" s="154"/>
      <c r="DS210" s="154"/>
      <c r="DT210" s="154"/>
      <c r="DU210" s="154"/>
      <c r="DV210" s="154"/>
      <c r="DW210" s="154"/>
      <c r="DX210" s="154"/>
      <c r="DY210" s="154"/>
      <c r="DZ210" s="154"/>
      <c r="EA210" s="154"/>
      <c r="EB210" s="154"/>
      <c r="EC210" s="154"/>
      <c r="ED210" s="154"/>
      <c r="EE210" s="154"/>
      <c r="EF210" s="154"/>
      <c r="EG210" s="154"/>
      <c r="EH210" s="154"/>
      <c r="EI210" s="154"/>
      <c r="EJ210" s="154"/>
      <c r="EK210" s="154"/>
      <c r="EL210" s="154"/>
      <c r="EM210" s="154"/>
      <c r="EN210" s="154"/>
      <c r="EO210" s="154"/>
      <c r="EP210" s="154"/>
      <c r="EQ210" s="154"/>
      <c r="ER210" s="154"/>
      <c r="ES210" s="154"/>
      <c r="ET210" s="154"/>
      <c r="EU210" s="154"/>
      <c r="EV210" s="154"/>
      <c r="EW210" s="154"/>
    </row>
    <row r="211" spans="2:153" ht="12.95" customHeight="1">
      <c r="B211" s="154"/>
      <c r="C211" s="380"/>
      <c r="D211" s="380"/>
      <c r="E211" s="154"/>
      <c r="F211" s="154"/>
      <c r="G211" s="154"/>
      <c r="H211" s="154"/>
      <c r="I211" s="154"/>
      <c r="J211" s="154"/>
      <c r="K211" s="154"/>
      <c r="L211" s="154"/>
      <c r="M211" s="154"/>
      <c r="N211" s="154"/>
      <c r="O211" s="154"/>
      <c r="P211" s="154"/>
      <c r="Q211" s="154"/>
      <c r="R211" s="154"/>
      <c r="S211" s="154"/>
      <c r="T211" s="154"/>
      <c r="U211" s="154"/>
      <c r="V211" s="154"/>
      <c r="W211" s="154"/>
      <c r="X211" s="154"/>
      <c r="Y211" s="154"/>
      <c r="Z211" s="154"/>
      <c r="AA211" s="154"/>
      <c r="AB211" s="154"/>
      <c r="AC211" s="154"/>
      <c r="AD211" s="154"/>
      <c r="AE211" s="154"/>
      <c r="AF211" s="367"/>
      <c r="AG211" s="368"/>
      <c r="AH211" s="368"/>
      <c r="AI211" s="368"/>
      <c r="AJ211" s="154"/>
      <c r="AK211" s="154"/>
      <c r="AL211" s="154"/>
      <c r="AM211" s="154"/>
      <c r="AN211" s="154"/>
      <c r="AO211" s="154"/>
      <c r="AP211" s="154"/>
      <c r="AQ211" s="154"/>
      <c r="AR211" s="154"/>
      <c r="AS211" s="154"/>
      <c r="AT211" s="154"/>
      <c r="AU211" s="154"/>
      <c r="AV211" s="154"/>
      <c r="AW211" s="154"/>
      <c r="AX211" s="154"/>
      <c r="AY211" s="154"/>
      <c r="AZ211" s="154"/>
      <c r="BA211" s="154"/>
      <c r="BB211" s="154"/>
      <c r="BC211" s="154"/>
      <c r="BD211" s="154"/>
      <c r="BE211" s="154"/>
      <c r="BF211" s="154"/>
      <c r="BG211" s="154"/>
      <c r="BH211" s="154"/>
      <c r="BI211" s="154"/>
      <c r="BJ211" s="154"/>
      <c r="BK211" s="154"/>
      <c r="BL211" s="154"/>
      <c r="BM211" s="154"/>
      <c r="BN211" s="154"/>
      <c r="BO211" s="154"/>
      <c r="BP211" s="154"/>
      <c r="BQ211" s="154"/>
      <c r="BR211" s="154"/>
      <c r="BS211" s="154"/>
      <c r="BT211" s="154"/>
      <c r="BU211" s="154"/>
      <c r="BV211" s="154"/>
      <c r="BW211" s="154"/>
      <c r="BX211" s="154"/>
      <c r="BY211" s="154"/>
      <c r="BZ211" s="154"/>
      <c r="CA211" s="154"/>
      <c r="CB211" s="154"/>
      <c r="CC211" s="154"/>
      <c r="CD211" s="154"/>
      <c r="CE211" s="154"/>
      <c r="CF211" s="154"/>
      <c r="CG211" s="154"/>
      <c r="CH211" s="154"/>
      <c r="CI211" s="154"/>
      <c r="CJ211" s="154"/>
      <c r="CK211" s="154"/>
      <c r="CL211" s="154"/>
      <c r="CM211" s="154"/>
      <c r="CN211" s="154"/>
      <c r="CO211" s="154"/>
      <c r="CP211" s="154"/>
      <c r="CQ211" s="154"/>
      <c r="CR211" s="154"/>
      <c r="CS211" s="154"/>
      <c r="CT211" s="154"/>
      <c r="CU211" s="154"/>
      <c r="CV211" s="154"/>
      <c r="CW211" s="154"/>
      <c r="CX211" s="154"/>
      <c r="CY211" s="154"/>
      <c r="CZ211" s="154"/>
      <c r="DA211" s="154"/>
      <c r="DB211" s="154"/>
      <c r="DC211" s="154"/>
      <c r="DD211" s="154"/>
      <c r="DE211" s="154"/>
      <c r="DF211" s="154"/>
      <c r="DG211" s="154"/>
      <c r="DH211" s="154"/>
      <c r="DI211" s="154"/>
      <c r="DJ211" s="154"/>
      <c r="DK211" s="154"/>
      <c r="DL211" s="154"/>
      <c r="DM211" s="154"/>
      <c r="DN211" s="154"/>
      <c r="DO211" s="154"/>
      <c r="DP211" s="154"/>
      <c r="DQ211" s="154"/>
      <c r="DR211" s="154"/>
      <c r="DS211" s="154"/>
      <c r="DT211" s="154"/>
      <c r="DU211" s="154"/>
      <c r="DV211" s="154"/>
      <c r="DW211" s="154"/>
      <c r="DX211" s="154"/>
      <c r="DY211" s="154"/>
      <c r="DZ211" s="154"/>
      <c r="EA211" s="154"/>
      <c r="EB211" s="154"/>
      <c r="EC211" s="154"/>
      <c r="ED211" s="154"/>
      <c r="EE211" s="154"/>
      <c r="EF211" s="154"/>
      <c r="EG211" s="154"/>
      <c r="EH211" s="154"/>
      <c r="EI211" s="154"/>
      <c r="EJ211" s="154"/>
      <c r="EK211" s="154"/>
      <c r="EL211" s="154"/>
      <c r="EM211" s="154"/>
      <c r="EN211" s="154"/>
      <c r="EO211" s="154"/>
      <c r="EP211" s="154"/>
      <c r="EQ211" s="154"/>
      <c r="ER211" s="154"/>
      <c r="ES211" s="154"/>
      <c r="ET211" s="154"/>
      <c r="EU211" s="154"/>
      <c r="EV211" s="154"/>
      <c r="EW211" s="154"/>
    </row>
    <row r="212" spans="2:153" ht="12.95" customHeight="1">
      <c r="B212" s="154"/>
      <c r="C212" s="380"/>
      <c r="D212" s="380"/>
      <c r="E212" s="154"/>
      <c r="F212" s="154"/>
      <c r="G212" s="154"/>
      <c r="H212" s="154"/>
      <c r="I212" s="154"/>
      <c r="J212" s="154"/>
      <c r="K212" s="154"/>
      <c r="L212" s="154"/>
      <c r="M212" s="154"/>
      <c r="N212" s="154"/>
      <c r="O212" s="154"/>
      <c r="P212" s="154"/>
      <c r="Q212" s="154"/>
      <c r="R212" s="154"/>
      <c r="S212" s="154"/>
      <c r="T212" s="154"/>
      <c r="U212" s="154"/>
      <c r="V212" s="154"/>
      <c r="W212" s="154"/>
      <c r="X212" s="154"/>
      <c r="Y212" s="154"/>
      <c r="Z212" s="154"/>
      <c r="AA212" s="154"/>
      <c r="AB212" s="154"/>
      <c r="AC212" s="154"/>
      <c r="AD212" s="154"/>
      <c r="AE212" s="154"/>
      <c r="AF212" s="367"/>
      <c r="AG212" s="368"/>
      <c r="AH212" s="368"/>
      <c r="AI212" s="368"/>
      <c r="AJ212" s="154"/>
      <c r="AK212" s="154"/>
      <c r="AL212" s="154"/>
      <c r="AM212" s="154"/>
      <c r="AN212" s="154"/>
      <c r="AO212" s="154"/>
      <c r="AP212" s="154"/>
      <c r="AQ212" s="154"/>
      <c r="AR212" s="154"/>
      <c r="AS212" s="154"/>
      <c r="AT212" s="154"/>
      <c r="AU212" s="154"/>
      <c r="AV212" s="154"/>
      <c r="AW212" s="154"/>
      <c r="AX212" s="154"/>
      <c r="AY212" s="154"/>
      <c r="AZ212" s="154"/>
      <c r="BA212" s="154"/>
      <c r="BB212" s="154"/>
      <c r="BC212" s="154"/>
      <c r="BD212" s="154"/>
      <c r="BE212" s="154"/>
      <c r="BF212" s="154"/>
      <c r="BG212" s="154"/>
      <c r="BH212" s="154"/>
      <c r="BI212" s="154"/>
      <c r="BJ212" s="154"/>
      <c r="BK212" s="154"/>
      <c r="BL212" s="154"/>
      <c r="BM212" s="154"/>
      <c r="BN212" s="154"/>
      <c r="BO212" s="154"/>
      <c r="BP212" s="154"/>
      <c r="BQ212" s="154"/>
      <c r="BR212" s="154"/>
      <c r="BS212" s="154"/>
      <c r="BT212" s="154"/>
      <c r="BU212" s="154"/>
      <c r="BV212" s="154"/>
      <c r="BW212" s="154"/>
      <c r="BX212" s="154"/>
      <c r="BY212" s="154"/>
      <c r="BZ212" s="154"/>
      <c r="CA212" s="154"/>
      <c r="CB212" s="154"/>
      <c r="CC212" s="154"/>
      <c r="CD212" s="154"/>
      <c r="CE212" s="154"/>
      <c r="CF212" s="154"/>
      <c r="CG212" s="154"/>
      <c r="CH212" s="154"/>
      <c r="CI212" s="154"/>
      <c r="CJ212" s="154"/>
      <c r="CK212" s="154"/>
      <c r="CL212" s="154"/>
      <c r="CM212" s="154"/>
      <c r="CN212" s="154"/>
      <c r="CO212" s="154"/>
      <c r="CP212" s="154"/>
      <c r="CQ212" s="154"/>
      <c r="CR212" s="154"/>
      <c r="CS212" s="154"/>
      <c r="CT212" s="154"/>
      <c r="CU212" s="154"/>
      <c r="CV212" s="154"/>
      <c r="CW212" s="154"/>
      <c r="CX212" s="154"/>
      <c r="CY212" s="154"/>
      <c r="CZ212" s="154"/>
      <c r="DA212" s="154"/>
      <c r="DB212" s="154"/>
      <c r="DC212" s="154"/>
      <c r="DD212" s="154"/>
      <c r="DE212" s="154"/>
      <c r="DF212" s="154"/>
      <c r="DG212" s="154"/>
      <c r="DH212" s="154"/>
      <c r="DI212" s="154"/>
      <c r="DJ212" s="154"/>
      <c r="DK212" s="154"/>
      <c r="DL212" s="154"/>
      <c r="DM212" s="154"/>
      <c r="DN212" s="154"/>
      <c r="DO212" s="154"/>
      <c r="DP212" s="154"/>
      <c r="DQ212" s="154"/>
      <c r="DR212" s="154"/>
      <c r="DS212" s="154"/>
      <c r="DT212" s="154"/>
      <c r="DU212" s="154"/>
      <c r="DV212" s="154"/>
      <c r="DW212" s="154"/>
      <c r="DX212" s="154"/>
      <c r="DY212" s="154"/>
      <c r="DZ212" s="154"/>
      <c r="EA212" s="154"/>
      <c r="EB212" s="154"/>
      <c r="EC212" s="154"/>
      <c r="ED212" s="154"/>
      <c r="EE212" s="154"/>
      <c r="EF212" s="154"/>
      <c r="EG212" s="154"/>
      <c r="EH212" s="154"/>
      <c r="EI212" s="154"/>
      <c r="EJ212" s="154"/>
      <c r="EK212" s="154"/>
      <c r="EL212" s="154"/>
      <c r="EM212" s="154"/>
      <c r="EN212" s="154"/>
      <c r="EO212" s="154"/>
      <c r="EP212" s="154"/>
      <c r="EQ212" s="154"/>
      <c r="ER212" s="154"/>
      <c r="ES212" s="154"/>
      <c r="ET212" s="154"/>
      <c r="EU212" s="154"/>
      <c r="EV212" s="154"/>
      <c r="EW212" s="154"/>
    </row>
    <row r="213" spans="2:153" ht="12.95" customHeight="1">
      <c r="B213" s="154"/>
      <c r="C213" s="380"/>
      <c r="D213" s="380"/>
      <c r="E213" s="154"/>
      <c r="F213" s="154"/>
      <c r="G213" s="154"/>
      <c r="H213" s="154"/>
      <c r="I213" s="154"/>
      <c r="J213" s="154"/>
      <c r="K213" s="154"/>
      <c r="L213" s="154"/>
      <c r="M213" s="154"/>
      <c r="N213" s="154"/>
      <c r="O213" s="154"/>
      <c r="P213" s="154"/>
      <c r="Q213" s="154"/>
      <c r="R213" s="154"/>
      <c r="S213" s="154"/>
      <c r="T213" s="154"/>
      <c r="U213" s="154"/>
      <c r="V213" s="154"/>
      <c r="W213" s="154"/>
      <c r="X213" s="154"/>
      <c r="Y213" s="154"/>
      <c r="Z213" s="154"/>
      <c r="AA213" s="154"/>
      <c r="AB213" s="154"/>
      <c r="AC213" s="154"/>
      <c r="AD213" s="154"/>
      <c r="AE213" s="154"/>
      <c r="AF213" s="367"/>
      <c r="AG213" s="368"/>
      <c r="AH213" s="368"/>
      <c r="AI213" s="368"/>
      <c r="AJ213" s="154"/>
      <c r="AK213" s="154"/>
      <c r="AL213" s="154"/>
      <c r="AM213" s="154"/>
      <c r="AN213" s="154"/>
      <c r="AO213" s="154"/>
      <c r="AP213" s="154"/>
      <c r="AQ213" s="154"/>
      <c r="AR213" s="154"/>
      <c r="AS213" s="154"/>
      <c r="AT213" s="154"/>
      <c r="AU213" s="154"/>
      <c r="AV213" s="154"/>
      <c r="AW213" s="154"/>
      <c r="AX213" s="154"/>
      <c r="AY213" s="154"/>
      <c r="AZ213" s="154"/>
      <c r="BA213" s="154"/>
      <c r="BB213" s="154"/>
      <c r="BC213" s="154"/>
      <c r="BD213" s="154"/>
      <c r="BE213" s="154"/>
      <c r="BF213" s="154"/>
      <c r="BG213" s="154"/>
      <c r="BH213" s="154"/>
      <c r="BI213" s="154"/>
      <c r="BJ213" s="154"/>
      <c r="BK213" s="154"/>
      <c r="BL213" s="154"/>
      <c r="BM213" s="154"/>
      <c r="BN213" s="154"/>
      <c r="BO213" s="154"/>
      <c r="BP213" s="154"/>
      <c r="BQ213" s="154"/>
      <c r="BR213" s="154"/>
      <c r="BS213" s="154"/>
      <c r="BT213" s="154"/>
      <c r="BU213" s="154"/>
      <c r="BV213" s="154"/>
      <c r="BW213" s="154"/>
      <c r="BX213" s="154"/>
      <c r="BY213" s="154"/>
      <c r="BZ213" s="154"/>
      <c r="CA213" s="154"/>
      <c r="CB213" s="154"/>
      <c r="CC213" s="154"/>
      <c r="CD213" s="154"/>
      <c r="CE213" s="154"/>
      <c r="CF213" s="154"/>
      <c r="CG213" s="154"/>
      <c r="CH213" s="154"/>
      <c r="CI213" s="154"/>
      <c r="CJ213" s="154"/>
      <c r="CK213" s="154"/>
      <c r="CL213" s="154"/>
      <c r="CM213" s="154"/>
      <c r="CN213" s="154"/>
      <c r="CO213" s="154"/>
      <c r="CP213" s="154"/>
      <c r="CQ213" s="154"/>
      <c r="CR213" s="154"/>
      <c r="CS213" s="154"/>
      <c r="CT213" s="154"/>
      <c r="CU213" s="154"/>
      <c r="CV213" s="154"/>
      <c r="CW213" s="154"/>
      <c r="CX213" s="154"/>
      <c r="CY213" s="154"/>
      <c r="CZ213" s="154"/>
      <c r="DA213" s="154"/>
      <c r="DB213" s="154"/>
      <c r="DC213" s="154"/>
      <c r="DD213" s="154"/>
      <c r="DE213" s="154"/>
      <c r="DF213" s="154"/>
      <c r="DG213" s="154"/>
      <c r="DH213" s="154"/>
      <c r="DI213" s="154"/>
      <c r="DJ213" s="154"/>
      <c r="DK213" s="154"/>
      <c r="DL213" s="154"/>
      <c r="DM213" s="154"/>
      <c r="DN213" s="154"/>
      <c r="DO213" s="154"/>
      <c r="DP213" s="154"/>
      <c r="DQ213" s="154"/>
      <c r="DR213" s="154"/>
      <c r="DS213" s="154"/>
      <c r="DT213" s="154"/>
      <c r="DU213" s="154"/>
      <c r="DV213" s="154"/>
      <c r="DW213" s="154"/>
      <c r="DX213" s="154"/>
      <c r="DY213" s="154"/>
      <c r="DZ213" s="154"/>
      <c r="EA213" s="154"/>
      <c r="EB213" s="154"/>
      <c r="EC213" s="154"/>
      <c r="ED213" s="154"/>
      <c r="EE213" s="154"/>
      <c r="EF213" s="154"/>
      <c r="EG213" s="154"/>
      <c r="EH213" s="154"/>
      <c r="EI213" s="154"/>
      <c r="EJ213" s="154"/>
      <c r="EK213" s="154"/>
      <c r="EL213" s="154"/>
      <c r="EM213" s="154"/>
      <c r="EN213" s="154"/>
      <c r="EO213" s="154"/>
      <c r="EP213" s="154"/>
      <c r="EQ213" s="154"/>
      <c r="ER213" s="154"/>
      <c r="ES213" s="154"/>
      <c r="ET213" s="154"/>
      <c r="EU213" s="154"/>
      <c r="EV213" s="154"/>
      <c r="EW213" s="154"/>
    </row>
    <row r="214" spans="2:153" ht="12.95" customHeight="1">
      <c r="B214" s="154"/>
      <c r="C214" s="380"/>
      <c r="D214" s="380"/>
      <c r="E214" s="154"/>
      <c r="F214" s="154"/>
      <c r="G214" s="154"/>
      <c r="H214" s="154"/>
      <c r="I214" s="154"/>
      <c r="J214" s="154"/>
      <c r="K214" s="154"/>
      <c r="L214" s="154"/>
      <c r="M214" s="154"/>
      <c r="N214" s="154"/>
      <c r="O214" s="154"/>
      <c r="P214" s="154"/>
      <c r="Q214" s="154"/>
      <c r="R214" s="154"/>
      <c r="S214" s="154"/>
      <c r="T214" s="154"/>
      <c r="U214" s="154"/>
      <c r="V214" s="154"/>
      <c r="W214" s="154"/>
      <c r="X214" s="154"/>
      <c r="Y214" s="154"/>
      <c r="Z214" s="154"/>
      <c r="AA214" s="154"/>
      <c r="AB214" s="154"/>
      <c r="AC214" s="154"/>
      <c r="AD214" s="154"/>
      <c r="AE214" s="154"/>
      <c r="AF214" s="367"/>
      <c r="AG214" s="368"/>
      <c r="AH214" s="368"/>
      <c r="AI214" s="368"/>
      <c r="AJ214" s="154"/>
      <c r="AK214" s="154"/>
      <c r="AL214" s="154"/>
      <c r="AM214" s="154"/>
      <c r="AN214" s="154"/>
      <c r="AO214" s="154"/>
      <c r="AP214" s="154"/>
      <c r="AQ214" s="154"/>
      <c r="AR214" s="154"/>
      <c r="AS214" s="154"/>
      <c r="AT214" s="154"/>
      <c r="AU214" s="154"/>
      <c r="AV214" s="154"/>
      <c r="AW214" s="154"/>
      <c r="AX214" s="154"/>
      <c r="AY214" s="154"/>
      <c r="AZ214" s="154"/>
      <c r="BA214" s="154"/>
      <c r="BB214" s="154"/>
      <c r="BC214" s="154"/>
      <c r="BD214" s="154"/>
      <c r="BE214" s="154"/>
      <c r="BF214" s="154"/>
      <c r="BG214" s="154"/>
      <c r="BH214" s="154"/>
      <c r="BI214" s="154"/>
      <c r="BJ214" s="154"/>
      <c r="BK214" s="154"/>
      <c r="BL214" s="154"/>
      <c r="BM214" s="154"/>
      <c r="BN214" s="154"/>
      <c r="BO214" s="154"/>
      <c r="BP214" s="154"/>
      <c r="BQ214" s="154"/>
      <c r="BR214" s="154"/>
      <c r="BS214" s="154"/>
      <c r="BT214" s="154"/>
      <c r="BU214" s="154"/>
      <c r="BV214" s="154"/>
      <c r="BW214" s="154"/>
      <c r="BX214" s="154"/>
      <c r="BY214" s="154"/>
      <c r="BZ214" s="154"/>
      <c r="CA214" s="154"/>
      <c r="CB214" s="154"/>
      <c r="CC214" s="154"/>
      <c r="CD214" s="154"/>
      <c r="CE214" s="154"/>
      <c r="CF214" s="154"/>
      <c r="CG214" s="154"/>
      <c r="CH214" s="154"/>
      <c r="CI214" s="154"/>
      <c r="CJ214" s="154"/>
      <c r="CK214" s="154"/>
      <c r="CL214" s="154"/>
      <c r="CM214" s="154"/>
      <c r="CN214" s="154"/>
      <c r="CO214" s="154"/>
      <c r="CP214" s="154"/>
      <c r="CQ214" s="154"/>
      <c r="CR214" s="154"/>
      <c r="CS214" s="154"/>
      <c r="CT214" s="154"/>
      <c r="CU214" s="154"/>
      <c r="CV214" s="154"/>
      <c r="CW214" s="154"/>
      <c r="CX214" s="154"/>
      <c r="CY214" s="154"/>
      <c r="CZ214" s="154"/>
      <c r="DA214" s="154"/>
      <c r="DB214" s="154"/>
      <c r="DC214" s="154"/>
      <c r="DD214" s="154"/>
      <c r="DE214" s="154"/>
      <c r="DF214" s="154"/>
      <c r="DG214" s="154"/>
      <c r="DH214" s="154"/>
      <c r="DI214" s="154"/>
      <c r="DJ214" s="154"/>
      <c r="DK214" s="154"/>
      <c r="DL214" s="154"/>
      <c r="DM214" s="154"/>
      <c r="DN214" s="154"/>
      <c r="DO214" s="154"/>
      <c r="DP214" s="154"/>
      <c r="DQ214" s="154"/>
      <c r="DR214" s="154"/>
      <c r="DS214" s="154"/>
      <c r="DT214" s="154"/>
      <c r="DU214" s="154"/>
      <c r="DV214" s="154"/>
      <c r="DW214" s="154"/>
      <c r="DX214" s="154"/>
      <c r="DY214" s="154"/>
      <c r="DZ214" s="154"/>
      <c r="EA214" s="154"/>
      <c r="EB214" s="154"/>
      <c r="EC214" s="154"/>
      <c r="ED214" s="154"/>
      <c r="EE214" s="154"/>
      <c r="EF214" s="154"/>
      <c r="EG214" s="154"/>
      <c r="EH214" s="154"/>
      <c r="EI214" s="154"/>
      <c r="EJ214" s="154"/>
      <c r="EK214" s="154"/>
      <c r="EL214" s="154"/>
      <c r="EM214" s="154"/>
      <c r="EN214" s="154"/>
      <c r="EO214" s="154"/>
      <c r="EP214" s="154"/>
      <c r="EQ214" s="154"/>
      <c r="ER214" s="154"/>
      <c r="ES214" s="154"/>
      <c r="ET214" s="154"/>
      <c r="EU214" s="154"/>
      <c r="EV214" s="154"/>
      <c r="EW214" s="154"/>
    </row>
    <row r="215" spans="2:153" ht="12.95" customHeight="1">
      <c r="B215" s="154"/>
      <c r="C215" s="380"/>
      <c r="D215" s="380"/>
      <c r="E215" s="154"/>
      <c r="F215" s="154"/>
      <c r="G215" s="154"/>
      <c r="H215" s="154"/>
      <c r="I215" s="154"/>
      <c r="J215" s="154"/>
      <c r="K215" s="154"/>
      <c r="L215" s="154"/>
      <c r="M215" s="154"/>
      <c r="N215" s="154"/>
      <c r="O215" s="154"/>
      <c r="P215" s="154"/>
      <c r="Q215" s="154"/>
      <c r="R215" s="154"/>
      <c r="S215" s="154"/>
      <c r="T215" s="154"/>
      <c r="U215" s="154"/>
      <c r="V215" s="154"/>
      <c r="W215" s="154"/>
      <c r="X215" s="154"/>
      <c r="Y215" s="154"/>
      <c r="Z215" s="154"/>
      <c r="AA215" s="154"/>
      <c r="AB215" s="154"/>
      <c r="AC215" s="154"/>
      <c r="AD215" s="154"/>
      <c r="AE215" s="154"/>
      <c r="AF215" s="367"/>
      <c r="AG215" s="368"/>
      <c r="AH215" s="368"/>
      <c r="AI215" s="368"/>
      <c r="AJ215" s="154"/>
      <c r="AK215" s="154"/>
      <c r="AL215" s="154"/>
      <c r="AM215" s="154"/>
      <c r="AN215" s="154"/>
      <c r="AO215" s="154"/>
      <c r="AP215" s="154"/>
      <c r="AQ215" s="154"/>
      <c r="AR215" s="154"/>
      <c r="AS215" s="154"/>
      <c r="AT215" s="154"/>
      <c r="AU215" s="154"/>
      <c r="AV215" s="154"/>
      <c r="AW215" s="154"/>
      <c r="AX215" s="154"/>
      <c r="AY215" s="154"/>
      <c r="AZ215" s="154"/>
      <c r="BA215" s="154"/>
      <c r="BB215" s="154"/>
      <c r="BC215" s="154"/>
      <c r="BD215" s="154"/>
      <c r="BE215" s="154"/>
      <c r="BF215" s="154"/>
      <c r="BG215" s="154"/>
      <c r="BH215" s="154"/>
      <c r="BI215" s="154"/>
      <c r="BJ215" s="154"/>
      <c r="BK215" s="154"/>
      <c r="BL215" s="154"/>
      <c r="BM215" s="154"/>
      <c r="BN215" s="154"/>
      <c r="BO215" s="154"/>
      <c r="BP215" s="154"/>
      <c r="BQ215" s="154"/>
      <c r="BR215" s="154"/>
      <c r="BS215" s="154"/>
      <c r="BT215" s="154"/>
      <c r="BU215" s="154"/>
      <c r="BV215" s="154"/>
      <c r="BW215" s="154"/>
      <c r="BX215" s="154"/>
      <c r="BY215" s="154"/>
      <c r="BZ215" s="154"/>
      <c r="CA215" s="154"/>
      <c r="CB215" s="154"/>
      <c r="CC215" s="154"/>
      <c r="CD215" s="154"/>
      <c r="CE215" s="154"/>
      <c r="CF215" s="154"/>
      <c r="CG215" s="154"/>
      <c r="CH215" s="154"/>
      <c r="CI215" s="154"/>
      <c r="CJ215" s="154"/>
      <c r="CK215" s="154"/>
      <c r="CL215" s="154"/>
      <c r="CM215" s="154"/>
      <c r="CN215" s="154"/>
      <c r="CO215" s="154"/>
      <c r="CP215" s="154"/>
      <c r="CQ215" s="154"/>
      <c r="CR215" s="154"/>
      <c r="CS215" s="154"/>
      <c r="CT215" s="154"/>
      <c r="CU215" s="154"/>
      <c r="CV215" s="154"/>
      <c r="CW215" s="154"/>
      <c r="CX215" s="154"/>
      <c r="CY215" s="154"/>
      <c r="CZ215" s="154"/>
      <c r="DA215" s="154"/>
      <c r="DB215" s="154"/>
      <c r="DC215" s="154"/>
      <c r="DD215" s="154"/>
      <c r="DE215" s="154"/>
      <c r="DF215" s="154"/>
      <c r="DG215" s="154"/>
      <c r="DH215" s="154"/>
      <c r="DI215" s="154"/>
      <c r="DJ215" s="154"/>
      <c r="DK215" s="154"/>
      <c r="DL215" s="154"/>
      <c r="DM215" s="154"/>
      <c r="DN215" s="154"/>
      <c r="DO215" s="154"/>
      <c r="DP215" s="154"/>
      <c r="DQ215" s="154"/>
      <c r="DR215" s="154"/>
      <c r="DS215" s="154"/>
      <c r="DT215" s="154"/>
      <c r="DU215" s="154"/>
      <c r="DV215" s="154"/>
      <c r="DW215" s="154"/>
      <c r="DX215" s="154"/>
      <c r="DY215" s="154"/>
      <c r="DZ215" s="154"/>
      <c r="EA215" s="154"/>
      <c r="EB215" s="154"/>
      <c r="EC215" s="154"/>
      <c r="ED215" s="154"/>
      <c r="EE215" s="154"/>
      <c r="EF215" s="154"/>
      <c r="EG215" s="154"/>
      <c r="EH215" s="154"/>
      <c r="EI215" s="154"/>
      <c r="EJ215" s="154"/>
      <c r="EK215" s="154"/>
      <c r="EL215" s="154"/>
      <c r="EM215" s="154"/>
      <c r="EN215" s="154"/>
      <c r="EO215" s="154"/>
      <c r="EP215" s="154"/>
      <c r="EQ215" s="154"/>
      <c r="ER215" s="154"/>
      <c r="ES215" s="154"/>
      <c r="ET215" s="154"/>
      <c r="EU215" s="154"/>
      <c r="EV215" s="154"/>
      <c r="EW215" s="154"/>
    </row>
    <row r="216" spans="2:153" ht="12.95" customHeight="1">
      <c r="B216" s="154"/>
      <c r="C216" s="380"/>
      <c r="D216" s="380"/>
      <c r="E216" s="154"/>
      <c r="F216" s="154"/>
      <c r="G216" s="154"/>
      <c r="H216" s="154"/>
      <c r="I216" s="154"/>
      <c r="J216" s="154"/>
      <c r="K216" s="154"/>
      <c r="L216" s="154"/>
      <c r="M216" s="154"/>
      <c r="N216" s="154"/>
      <c r="O216" s="154"/>
      <c r="P216" s="154"/>
      <c r="Q216" s="154"/>
      <c r="R216" s="154"/>
      <c r="S216" s="154"/>
      <c r="T216" s="154"/>
      <c r="U216" s="154"/>
      <c r="V216" s="154"/>
      <c r="W216" s="154"/>
      <c r="X216" s="154"/>
      <c r="Y216" s="154"/>
      <c r="Z216" s="154"/>
      <c r="AA216" s="154"/>
      <c r="AB216" s="154"/>
      <c r="AC216" s="154"/>
      <c r="AD216" s="154"/>
      <c r="AE216" s="154"/>
      <c r="AF216" s="367"/>
      <c r="AG216" s="368"/>
      <c r="AH216" s="368"/>
      <c r="AI216" s="368"/>
      <c r="AJ216" s="154"/>
      <c r="AK216" s="154"/>
      <c r="AL216" s="154"/>
      <c r="AM216" s="154"/>
      <c r="AN216" s="154"/>
      <c r="AO216" s="154"/>
      <c r="AP216" s="154"/>
      <c r="AQ216" s="154"/>
      <c r="AR216" s="154"/>
      <c r="AS216" s="154"/>
      <c r="AT216" s="154"/>
      <c r="AU216" s="154"/>
      <c r="AV216" s="154"/>
      <c r="AW216" s="154"/>
      <c r="AX216" s="154"/>
      <c r="AY216" s="154"/>
      <c r="AZ216" s="154"/>
      <c r="BA216" s="154"/>
      <c r="BB216" s="154"/>
      <c r="BC216" s="154"/>
      <c r="BD216" s="154"/>
      <c r="BE216" s="154"/>
      <c r="BF216" s="154"/>
      <c r="BG216" s="154"/>
      <c r="BH216" s="154"/>
      <c r="BI216" s="154"/>
      <c r="BJ216" s="154"/>
      <c r="BK216" s="154"/>
      <c r="BL216" s="154"/>
      <c r="BM216" s="154"/>
      <c r="BN216" s="154"/>
      <c r="BO216" s="154"/>
      <c r="BP216" s="154"/>
      <c r="BQ216" s="154"/>
      <c r="BR216" s="154"/>
      <c r="BS216" s="154"/>
      <c r="BT216" s="154"/>
      <c r="BU216" s="154"/>
      <c r="BV216" s="154"/>
      <c r="BW216" s="154"/>
      <c r="BX216" s="154"/>
      <c r="BY216" s="154"/>
      <c r="BZ216" s="154"/>
      <c r="CA216" s="154"/>
      <c r="CB216" s="154"/>
      <c r="CC216" s="154"/>
      <c r="CD216" s="154"/>
      <c r="CE216" s="154"/>
      <c r="CF216" s="154"/>
      <c r="CG216" s="154"/>
      <c r="CH216" s="154"/>
      <c r="CI216" s="154"/>
      <c r="CJ216" s="154"/>
      <c r="CK216" s="154"/>
      <c r="CL216" s="154"/>
      <c r="CM216" s="154"/>
      <c r="CN216" s="154"/>
      <c r="CO216" s="154"/>
      <c r="CP216" s="154"/>
      <c r="CQ216" s="154"/>
      <c r="CR216" s="154"/>
      <c r="CS216" s="154"/>
      <c r="CT216" s="154"/>
      <c r="CU216" s="154"/>
      <c r="CV216" s="154"/>
      <c r="CW216" s="154"/>
      <c r="CX216" s="154"/>
      <c r="CY216" s="154"/>
      <c r="CZ216" s="154"/>
      <c r="DA216" s="154"/>
      <c r="DB216" s="154"/>
      <c r="DC216" s="154"/>
      <c r="DD216" s="154"/>
      <c r="DE216" s="154"/>
      <c r="DF216" s="154"/>
      <c r="DG216" s="154"/>
      <c r="DH216" s="154"/>
      <c r="DI216" s="154"/>
      <c r="DJ216" s="154"/>
      <c r="DK216" s="154"/>
      <c r="DL216" s="154"/>
      <c r="DM216" s="154"/>
      <c r="DN216" s="154"/>
      <c r="DO216" s="154"/>
      <c r="DP216" s="154"/>
      <c r="DQ216" s="154"/>
      <c r="DR216" s="154"/>
      <c r="DS216" s="154"/>
      <c r="DT216" s="154"/>
      <c r="DU216" s="154"/>
      <c r="DV216" s="154"/>
      <c r="DW216" s="154"/>
      <c r="DX216" s="154"/>
      <c r="DY216" s="154"/>
      <c r="DZ216" s="154"/>
      <c r="EA216" s="154"/>
      <c r="EB216" s="154"/>
      <c r="EC216" s="154"/>
      <c r="ED216" s="154"/>
      <c r="EE216" s="154"/>
      <c r="EF216" s="154"/>
      <c r="EG216" s="154"/>
      <c r="EH216" s="154"/>
      <c r="EI216" s="154"/>
      <c r="EJ216" s="154"/>
      <c r="EK216" s="154"/>
      <c r="EL216" s="154"/>
      <c r="EM216" s="154"/>
      <c r="EN216" s="154"/>
      <c r="EO216" s="154"/>
      <c r="EP216" s="154"/>
      <c r="EQ216" s="154"/>
      <c r="ER216" s="154"/>
      <c r="ES216" s="154"/>
      <c r="ET216" s="154"/>
      <c r="EU216" s="154"/>
      <c r="EV216" s="154"/>
      <c r="EW216" s="154"/>
    </row>
    <row r="217" spans="2:153" ht="12.95" customHeight="1">
      <c r="B217" s="154"/>
      <c r="C217" s="380"/>
      <c r="D217" s="380"/>
      <c r="E217" s="154"/>
      <c r="F217" s="154"/>
      <c r="G217" s="154"/>
      <c r="H217" s="154"/>
      <c r="I217" s="154"/>
      <c r="J217" s="154"/>
      <c r="K217" s="154"/>
      <c r="L217" s="154"/>
      <c r="M217" s="154"/>
      <c r="N217" s="154"/>
      <c r="O217" s="154"/>
      <c r="P217" s="154"/>
      <c r="Q217" s="154"/>
      <c r="R217" s="154"/>
      <c r="S217" s="154"/>
      <c r="T217" s="154"/>
      <c r="U217" s="154"/>
      <c r="V217" s="154"/>
      <c r="W217" s="154"/>
      <c r="X217" s="154"/>
      <c r="Y217" s="154"/>
      <c r="Z217" s="154"/>
      <c r="AA217" s="154"/>
      <c r="AB217" s="154"/>
      <c r="AC217" s="154"/>
      <c r="AD217" s="154"/>
      <c r="AE217" s="154"/>
      <c r="AF217" s="367"/>
      <c r="AG217" s="368"/>
      <c r="AH217" s="368"/>
      <c r="AI217" s="368"/>
      <c r="AJ217" s="154"/>
      <c r="AK217" s="154"/>
      <c r="AL217" s="154"/>
      <c r="AM217" s="154"/>
      <c r="AN217" s="154"/>
      <c r="AO217" s="154"/>
      <c r="AP217" s="154"/>
      <c r="AQ217" s="154"/>
      <c r="AR217" s="154"/>
      <c r="AS217" s="154"/>
      <c r="AT217" s="154"/>
      <c r="AU217" s="154"/>
      <c r="AV217" s="154"/>
      <c r="AW217" s="154"/>
      <c r="AX217" s="154"/>
      <c r="AY217" s="154"/>
      <c r="AZ217" s="154"/>
      <c r="BA217" s="154"/>
      <c r="BB217" s="154"/>
      <c r="BC217" s="154"/>
      <c r="BD217" s="154"/>
      <c r="BE217" s="154"/>
      <c r="BF217" s="154"/>
      <c r="BG217" s="154"/>
      <c r="BH217" s="154"/>
      <c r="BI217" s="154"/>
      <c r="BJ217" s="154"/>
      <c r="BK217" s="154"/>
      <c r="BL217" s="154"/>
      <c r="BM217" s="154"/>
      <c r="BN217" s="154"/>
      <c r="BO217" s="154"/>
      <c r="BP217" s="154"/>
      <c r="BQ217" s="154"/>
      <c r="BR217" s="154"/>
      <c r="BS217" s="154"/>
      <c r="BT217" s="154"/>
      <c r="BU217" s="154"/>
      <c r="BV217" s="154"/>
      <c r="BW217" s="154"/>
      <c r="BX217" s="154"/>
      <c r="BY217" s="154"/>
      <c r="BZ217" s="154"/>
      <c r="CA217" s="154"/>
      <c r="CB217" s="154"/>
      <c r="CC217" s="154"/>
      <c r="CD217" s="154"/>
      <c r="CE217" s="154"/>
      <c r="CF217" s="154"/>
      <c r="CG217" s="154"/>
      <c r="CH217" s="154"/>
      <c r="CI217" s="154"/>
      <c r="CJ217" s="154"/>
      <c r="CK217" s="154"/>
      <c r="CL217" s="154"/>
      <c r="CM217" s="154"/>
      <c r="CN217" s="154"/>
      <c r="CO217" s="154"/>
      <c r="CP217" s="154"/>
      <c r="CQ217" s="154"/>
      <c r="CR217" s="154"/>
      <c r="CS217" s="154"/>
      <c r="CT217" s="154"/>
      <c r="CU217" s="154"/>
      <c r="CV217" s="154"/>
      <c r="CW217" s="154"/>
      <c r="CX217" s="154"/>
      <c r="CY217" s="154"/>
      <c r="CZ217" s="154"/>
      <c r="DA217" s="154"/>
      <c r="DB217" s="154"/>
      <c r="DC217" s="154"/>
      <c r="DD217" s="154"/>
      <c r="DE217" s="154"/>
      <c r="DF217" s="154"/>
      <c r="DG217" s="154"/>
      <c r="DH217" s="154"/>
      <c r="DI217" s="154"/>
      <c r="DJ217" s="154"/>
      <c r="DK217" s="154"/>
      <c r="DL217" s="154"/>
      <c r="DM217" s="154"/>
      <c r="DN217" s="154"/>
      <c r="DO217" s="154"/>
      <c r="DP217" s="154"/>
      <c r="DQ217" s="154"/>
      <c r="DR217" s="154"/>
      <c r="DS217" s="154"/>
      <c r="DT217" s="154"/>
      <c r="DU217" s="154"/>
      <c r="DV217" s="154"/>
      <c r="DW217" s="154"/>
      <c r="DX217" s="154"/>
      <c r="DY217" s="154"/>
      <c r="DZ217" s="154"/>
      <c r="EA217" s="154"/>
      <c r="EB217" s="154"/>
      <c r="EC217" s="154"/>
      <c r="ED217" s="154"/>
      <c r="EE217" s="154"/>
      <c r="EF217" s="154"/>
      <c r="EG217" s="154"/>
      <c r="EH217" s="154"/>
      <c r="EI217" s="154"/>
      <c r="EJ217" s="154"/>
      <c r="EK217" s="154"/>
      <c r="EL217" s="154"/>
      <c r="EM217" s="154"/>
      <c r="EN217" s="154"/>
      <c r="EO217" s="154"/>
      <c r="EP217" s="154"/>
      <c r="EQ217" s="154"/>
      <c r="ER217" s="154"/>
      <c r="ES217" s="154"/>
      <c r="ET217" s="154"/>
      <c r="EU217" s="154"/>
      <c r="EV217" s="154"/>
      <c r="EW217" s="154"/>
    </row>
    <row r="218" spans="2:153" ht="12.95" customHeight="1">
      <c r="B218" s="154"/>
      <c r="C218" s="380"/>
      <c r="D218" s="380"/>
      <c r="E218" s="154"/>
      <c r="F218" s="154"/>
      <c r="G218" s="154"/>
      <c r="H218" s="154"/>
      <c r="I218" s="154"/>
      <c r="J218" s="154"/>
      <c r="K218" s="154"/>
      <c r="L218" s="154"/>
      <c r="M218" s="154"/>
      <c r="N218" s="154"/>
      <c r="O218" s="154"/>
      <c r="P218" s="154"/>
      <c r="Q218" s="154"/>
      <c r="R218" s="154"/>
      <c r="S218" s="154"/>
      <c r="T218" s="154"/>
      <c r="U218" s="154"/>
      <c r="V218" s="154"/>
      <c r="W218" s="154"/>
      <c r="X218" s="154"/>
      <c r="Y218" s="154"/>
      <c r="Z218" s="154"/>
      <c r="AA218" s="154"/>
      <c r="AB218" s="154"/>
      <c r="AC218" s="154"/>
      <c r="AD218" s="154"/>
      <c r="AE218" s="154"/>
      <c r="AF218" s="367"/>
      <c r="AG218" s="368"/>
      <c r="AH218" s="368"/>
      <c r="AI218" s="368"/>
      <c r="AJ218" s="154"/>
      <c r="AK218" s="154"/>
      <c r="AL218" s="154"/>
      <c r="AM218" s="154"/>
      <c r="AN218" s="154"/>
      <c r="AO218" s="154"/>
      <c r="AP218" s="154"/>
      <c r="AQ218" s="154"/>
      <c r="AR218" s="154"/>
      <c r="AS218" s="154"/>
      <c r="AT218" s="154"/>
      <c r="AU218" s="154"/>
      <c r="AV218" s="154"/>
      <c r="AW218" s="154"/>
      <c r="AX218" s="154"/>
      <c r="AY218" s="154"/>
      <c r="AZ218" s="154"/>
      <c r="BA218" s="154"/>
      <c r="BB218" s="154"/>
      <c r="BC218" s="154"/>
      <c r="BD218" s="154"/>
      <c r="BE218" s="154"/>
      <c r="BF218" s="154"/>
      <c r="BG218" s="154"/>
      <c r="BH218" s="154"/>
      <c r="BI218" s="154"/>
      <c r="BJ218" s="154"/>
      <c r="BK218" s="154"/>
      <c r="BL218" s="154"/>
      <c r="BM218" s="154"/>
      <c r="BN218" s="154"/>
      <c r="BO218" s="154"/>
      <c r="BP218" s="154"/>
      <c r="BQ218" s="154"/>
      <c r="BR218" s="154"/>
      <c r="BS218" s="154"/>
      <c r="BT218" s="154"/>
      <c r="BU218" s="154"/>
      <c r="BV218" s="154"/>
      <c r="BW218" s="154"/>
      <c r="BX218" s="154"/>
      <c r="BY218" s="154"/>
      <c r="BZ218" s="154"/>
      <c r="CA218" s="154"/>
      <c r="CB218" s="154"/>
      <c r="CC218" s="154"/>
      <c r="CD218" s="154"/>
      <c r="CE218" s="154"/>
      <c r="CF218" s="154"/>
      <c r="CG218" s="154"/>
      <c r="CH218" s="154"/>
      <c r="CI218" s="154"/>
      <c r="CJ218" s="154"/>
      <c r="CK218" s="154"/>
      <c r="CL218" s="154"/>
      <c r="CM218" s="154"/>
      <c r="CN218" s="154"/>
      <c r="CO218" s="154"/>
      <c r="CP218" s="154"/>
      <c r="CQ218" s="154"/>
      <c r="CR218" s="154"/>
      <c r="CS218" s="154"/>
      <c r="CT218" s="154"/>
      <c r="CU218" s="154"/>
      <c r="CV218" s="154"/>
      <c r="CW218" s="154"/>
      <c r="CX218" s="154"/>
      <c r="CY218" s="154"/>
      <c r="CZ218" s="154"/>
      <c r="DA218" s="154"/>
      <c r="DB218" s="154"/>
      <c r="DC218" s="154"/>
      <c r="DD218" s="154"/>
      <c r="DE218" s="154"/>
      <c r="DF218" s="154"/>
      <c r="DG218" s="154"/>
      <c r="DH218" s="154"/>
      <c r="DI218" s="154"/>
      <c r="DJ218" s="154"/>
      <c r="DK218" s="154"/>
      <c r="DL218" s="154"/>
      <c r="DM218" s="154"/>
      <c r="DN218" s="154"/>
      <c r="DO218" s="154"/>
      <c r="DP218" s="154"/>
      <c r="DQ218" s="154"/>
      <c r="DR218" s="154"/>
      <c r="DS218" s="154"/>
      <c r="DT218" s="154"/>
      <c r="DU218" s="154"/>
      <c r="DV218" s="154"/>
      <c r="DW218" s="154"/>
      <c r="DX218" s="154"/>
      <c r="DY218" s="154"/>
      <c r="DZ218" s="154"/>
      <c r="EA218" s="154"/>
      <c r="EB218" s="154"/>
      <c r="EC218" s="154"/>
      <c r="ED218" s="154"/>
      <c r="EE218" s="154"/>
      <c r="EF218" s="154"/>
      <c r="EG218" s="154"/>
      <c r="EH218" s="154"/>
      <c r="EI218" s="154"/>
      <c r="EJ218" s="154"/>
      <c r="EK218" s="154"/>
      <c r="EL218" s="154"/>
      <c r="EM218" s="154"/>
      <c r="EN218" s="154"/>
      <c r="EO218" s="154"/>
      <c r="EP218" s="154"/>
      <c r="EQ218" s="154"/>
      <c r="ER218" s="154"/>
      <c r="ES218" s="154"/>
      <c r="ET218" s="154"/>
      <c r="EU218" s="154"/>
      <c r="EV218" s="154"/>
      <c r="EW218" s="154"/>
    </row>
    <row r="219" spans="2:153" ht="12.95" customHeight="1">
      <c r="B219" s="154"/>
      <c r="C219" s="380"/>
      <c r="D219" s="380"/>
      <c r="E219" s="154"/>
      <c r="F219" s="154"/>
      <c r="G219" s="154"/>
      <c r="H219" s="154"/>
      <c r="I219" s="154"/>
      <c r="J219" s="154"/>
      <c r="K219" s="154"/>
      <c r="L219" s="154"/>
      <c r="M219" s="154"/>
      <c r="N219" s="154"/>
      <c r="O219" s="154"/>
      <c r="P219" s="154"/>
      <c r="Q219" s="154"/>
      <c r="R219" s="154"/>
      <c r="S219" s="154"/>
      <c r="T219" s="154"/>
      <c r="U219" s="154"/>
      <c r="V219" s="154"/>
      <c r="W219" s="154"/>
      <c r="X219" s="154"/>
      <c r="Y219" s="154"/>
      <c r="Z219" s="154"/>
      <c r="AA219" s="154"/>
      <c r="AB219" s="154"/>
      <c r="AC219" s="154"/>
      <c r="AD219" s="154"/>
      <c r="AE219" s="154"/>
      <c r="AF219" s="367"/>
      <c r="AG219" s="368"/>
      <c r="AH219" s="368"/>
      <c r="AI219" s="368"/>
      <c r="AJ219" s="154"/>
      <c r="AK219" s="154"/>
      <c r="AL219" s="154"/>
      <c r="AM219" s="154"/>
      <c r="AN219" s="154"/>
      <c r="AO219" s="154"/>
      <c r="AP219" s="154"/>
      <c r="AQ219" s="154"/>
      <c r="AR219" s="154"/>
      <c r="AS219" s="154"/>
      <c r="AT219" s="154"/>
      <c r="AU219" s="154"/>
      <c r="AV219" s="154"/>
      <c r="AW219" s="154"/>
      <c r="AX219" s="154"/>
      <c r="AY219" s="154"/>
      <c r="AZ219" s="154"/>
      <c r="BA219" s="154"/>
      <c r="BB219" s="154"/>
      <c r="BC219" s="154"/>
      <c r="BD219" s="154"/>
      <c r="BE219" s="154"/>
      <c r="BF219" s="154"/>
      <c r="BG219" s="154"/>
      <c r="BH219" s="154"/>
      <c r="BI219" s="154"/>
      <c r="BJ219" s="154"/>
      <c r="BK219" s="154"/>
      <c r="BL219" s="154"/>
      <c r="BM219" s="154"/>
      <c r="BN219" s="154"/>
      <c r="BO219" s="154"/>
      <c r="BP219" s="154"/>
      <c r="BQ219" s="154"/>
      <c r="BR219" s="154"/>
      <c r="BS219" s="154"/>
      <c r="BT219" s="154"/>
      <c r="BU219" s="154"/>
      <c r="BV219" s="154"/>
      <c r="BW219" s="154"/>
      <c r="BX219" s="154"/>
      <c r="BY219" s="154"/>
      <c r="BZ219" s="154"/>
      <c r="CA219" s="154"/>
      <c r="CB219" s="154"/>
      <c r="CC219" s="154"/>
      <c r="CD219" s="154"/>
      <c r="CE219" s="154"/>
      <c r="CF219" s="154"/>
      <c r="CG219" s="154"/>
      <c r="CH219" s="154"/>
      <c r="CI219" s="154"/>
      <c r="CJ219" s="154"/>
      <c r="CK219" s="154"/>
      <c r="CL219" s="154"/>
      <c r="CM219" s="154"/>
      <c r="CN219" s="154"/>
      <c r="CO219" s="154"/>
      <c r="CP219" s="154"/>
      <c r="CQ219" s="154"/>
      <c r="CR219" s="154"/>
      <c r="CS219" s="154"/>
      <c r="CT219" s="154"/>
      <c r="CU219" s="154"/>
      <c r="CV219" s="154"/>
      <c r="CW219" s="154"/>
      <c r="CX219" s="154"/>
      <c r="CY219" s="154"/>
      <c r="CZ219" s="154"/>
      <c r="DA219" s="154"/>
      <c r="DB219" s="154"/>
      <c r="DC219" s="154"/>
      <c r="DD219" s="154"/>
      <c r="DE219" s="154"/>
      <c r="DF219" s="154"/>
      <c r="DG219" s="154"/>
      <c r="DH219" s="154"/>
      <c r="DI219" s="154"/>
      <c r="DJ219" s="154"/>
      <c r="DK219" s="154"/>
      <c r="DL219" s="154"/>
      <c r="DM219" s="154"/>
      <c r="DN219" s="154"/>
      <c r="DO219" s="154"/>
      <c r="DP219" s="154"/>
      <c r="DQ219" s="154"/>
      <c r="DR219" s="154"/>
      <c r="DS219" s="154"/>
      <c r="DT219" s="154"/>
      <c r="DU219" s="154"/>
      <c r="DV219" s="154"/>
      <c r="DW219" s="154"/>
      <c r="DX219" s="154"/>
      <c r="DY219" s="154"/>
      <c r="DZ219" s="154"/>
      <c r="EA219" s="154"/>
      <c r="EB219" s="154"/>
      <c r="EC219" s="154"/>
      <c r="ED219" s="154"/>
      <c r="EE219" s="154"/>
      <c r="EF219" s="154"/>
      <c r="EG219" s="154"/>
      <c r="EH219" s="154"/>
      <c r="EI219" s="154"/>
      <c r="EJ219" s="154"/>
      <c r="EK219" s="154"/>
      <c r="EL219" s="154"/>
      <c r="EM219" s="154"/>
      <c r="EN219" s="154"/>
      <c r="EO219" s="154"/>
      <c r="EP219" s="154"/>
      <c r="EQ219" s="154"/>
      <c r="ER219" s="154"/>
      <c r="ES219" s="154"/>
      <c r="ET219" s="154"/>
      <c r="EU219" s="154"/>
      <c r="EV219" s="154"/>
      <c r="EW219" s="154"/>
    </row>
    <row r="220" spans="2:153" ht="12.95" customHeight="1">
      <c r="B220" s="154"/>
      <c r="C220" s="380"/>
      <c r="D220" s="380"/>
      <c r="E220" s="154"/>
      <c r="F220" s="154"/>
      <c r="G220" s="154"/>
      <c r="H220" s="154"/>
      <c r="I220" s="154"/>
      <c r="J220" s="154"/>
      <c r="K220" s="154"/>
      <c r="L220" s="154"/>
      <c r="M220" s="154"/>
      <c r="N220" s="154"/>
      <c r="O220" s="154"/>
      <c r="P220" s="154"/>
      <c r="Q220" s="154"/>
      <c r="R220" s="154"/>
      <c r="S220" s="154"/>
      <c r="T220" s="154"/>
      <c r="U220" s="154"/>
      <c r="V220" s="154"/>
      <c r="W220" s="154"/>
      <c r="X220" s="154"/>
      <c r="Y220" s="154"/>
      <c r="Z220" s="154"/>
      <c r="AA220" s="154"/>
      <c r="AB220" s="154"/>
      <c r="AC220" s="154"/>
      <c r="AD220" s="154"/>
      <c r="AE220" s="154"/>
      <c r="AF220" s="367"/>
      <c r="AG220" s="368"/>
      <c r="AH220" s="368"/>
      <c r="AI220" s="368"/>
      <c r="AJ220" s="154"/>
      <c r="AK220" s="154"/>
      <c r="AL220" s="154"/>
      <c r="AM220" s="154"/>
      <c r="AN220" s="154"/>
      <c r="AO220" s="154"/>
      <c r="AP220" s="154"/>
      <c r="AQ220" s="154"/>
      <c r="AR220" s="154"/>
      <c r="AS220" s="154"/>
      <c r="AT220" s="154"/>
      <c r="AU220" s="154"/>
      <c r="AV220" s="154"/>
      <c r="AW220" s="154"/>
      <c r="AX220" s="154"/>
      <c r="AY220" s="154"/>
      <c r="AZ220" s="154"/>
      <c r="BA220" s="154"/>
      <c r="BB220" s="154"/>
      <c r="BC220" s="154"/>
      <c r="BD220" s="154"/>
      <c r="BE220" s="154"/>
      <c r="BF220" s="154"/>
      <c r="BG220" s="154"/>
      <c r="BH220" s="154"/>
      <c r="BI220" s="154"/>
      <c r="BJ220" s="154"/>
      <c r="BK220" s="154"/>
      <c r="BL220" s="154"/>
      <c r="BM220" s="154"/>
      <c r="BN220" s="154"/>
      <c r="BO220" s="154"/>
      <c r="BP220" s="154"/>
      <c r="BQ220" s="154"/>
      <c r="BR220" s="154"/>
      <c r="BS220" s="154"/>
      <c r="BT220" s="154"/>
      <c r="BU220" s="154"/>
      <c r="BV220" s="154"/>
      <c r="BW220" s="154"/>
      <c r="BX220" s="154"/>
      <c r="BY220" s="154"/>
      <c r="BZ220" s="154"/>
      <c r="CA220" s="154"/>
      <c r="CB220" s="154"/>
      <c r="CC220" s="154"/>
      <c r="CD220" s="154"/>
      <c r="CE220" s="154"/>
      <c r="CF220" s="154"/>
      <c r="CG220" s="154"/>
      <c r="CH220" s="154"/>
      <c r="CI220" s="154"/>
      <c r="CJ220" s="154"/>
      <c r="CK220" s="154"/>
      <c r="CL220" s="154"/>
      <c r="CM220" s="154"/>
      <c r="CN220" s="154"/>
      <c r="CO220" s="154"/>
      <c r="CP220" s="154"/>
      <c r="CQ220" s="154"/>
      <c r="CR220" s="154"/>
      <c r="CS220" s="154"/>
      <c r="CT220" s="154"/>
      <c r="CU220" s="154"/>
      <c r="CV220" s="154"/>
      <c r="CW220" s="154"/>
      <c r="CX220" s="154"/>
      <c r="CY220" s="154"/>
      <c r="CZ220" s="154"/>
      <c r="DA220" s="154"/>
      <c r="DB220" s="154"/>
      <c r="DC220" s="154"/>
      <c r="DD220" s="154"/>
      <c r="DE220" s="154"/>
      <c r="DF220" s="154"/>
      <c r="DG220" s="154"/>
      <c r="DH220" s="154"/>
      <c r="DI220" s="154"/>
      <c r="DJ220" s="154"/>
      <c r="DK220" s="154"/>
      <c r="DL220" s="154"/>
      <c r="DM220" s="154"/>
      <c r="DN220" s="154"/>
      <c r="DO220" s="154"/>
      <c r="DP220" s="154"/>
      <c r="DQ220" s="154"/>
      <c r="DR220" s="154"/>
      <c r="DS220" s="154"/>
      <c r="DT220" s="154"/>
      <c r="DU220" s="154"/>
      <c r="DV220" s="154"/>
      <c r="DW220" s="154"/>
      <c r="DX220" s="154"/>
      <c r="DY220" s="154"/>
      <c r="DZ220" s="154"/>
      <c r="EA220" s="154"/>
      <c r="EB220" s="154"/>
      <c r="EC220" s="154"/>
      <c r="ED220" s="154"/>
      <c r="EE220" s="154"/>
      <c r="EF220" s="154"/>
      <c r="EG220" s="154"/>
      <c r="EH220" s="154"/>
      <c r="EI220" s="154"/>
      <c r="EJ220" s="154"/>
      <c r="EK220" s="154"/>
      <c r="EL220" s="154"/>
      <c r="EM220" s="154"/>
      <c r="EN220" s="154"/>
      <c r="EO220" s="154"/>
      <c r="EP220" s="154"/>
      <c r="EQ220" s="154"/>
      <c r="ER220" s="154"/>
      <c r="ES220" s="154"/>
      <c r="ET220" s="154"/>
      <c r="EU220" s="154"/>
      <c r="EV220" s="154"/>
      <c r="EW220" s="154"/>
    </row>
    <row r="221" spans="2:153" ht="12.95" customHeight="1">
      <c r="B221" s="154"/>
      <c r="C221" s="380"/>
      <c r="D221" s="380"/>
      <c r="E221" s="154"/>
      <c r="F221" s="154"/>
      <c r="G221" s="154"/>
      <c r="H221" s="154"/>
      <c r="I221" s="154"/>
      <c r="J221" s="154"/>
      <c r="K221" s="154"/>
      <c r="L221" s="154"/>
      <c r="M221" s="154"/>
      <c r="N221" s="154"/>
      <c r="O221" s="154"/>
      <c r="P221" s="154"/>
      <c r="Q221" s="154"/>
      <c r="R221" s="154"/>
      <c r="S221" s="154"/>
      <c r="T221" s="154"/>
      <c r="U221" s="154"/>
      <c r="V221" s="154"/>
      <c r="W221" s="154"/>
      <c r="X221" s="154"/>
      <c r="Y221" s="154"/>
      <c r="Z221" s="154"/>
      <c r="AA221" s="154"/>
      <c r="AB221" s="154"/>
      <c r="AC221" s="154"/>
      <c r="AD221" s="154"/>
      <c r="AE221" s="154"/>
      <c r="AF221" s="367"/>
      <c r="AG221" s="368"/>
      <c r="AH221" s="368"/>
      <c r="AI221" s="368"/>
      <c r="AJ221" s="154"/>
      <c r="AK221" s="154"/>
      <c r="AL221" s="154"/>
      <c r="AM221" s="154"/>
      <c r="AN221" s="154"/>
      <c r="AO221" s="154"/>
      <c r="AP221" s="154"/>
      <c r="AQ221" s="154"/>
      <c r="AR221" s="154"/>
      <c r="AS221" s="154"/>
      <c r="AT221" s="154"/>
      <c r="AU221" s="154"/>
      <c r="AV221" s="154"/>
      <c r="AW221" s="154"/>
      <c r="AX221" s="154"/>
      <c r="AY221" s="154"/>
      <c r="AZ221" s="154"/>
      <c r="BA221" s="154"/>
      <c r="BB221" s="154"/>
      <c r="BC221" s="154"/>
      <c r="BD221" s="154"/>
      <c r="BE221" s="154"/>
      <c r="BF221" s="154"/>
      <c r="BG221" s="154"/>
      <c r="BH221" s="154"/>
      <c r="BI221" s="154"/>
      <c r="BJ221" s="154"/>
      <c r="BK221" s="154"/>
      <c r="BL221" s="154"/>
      <c r="BM221" s="154"/>
      <c r="BN221" s="154"/>
      <c r="BO221" s="154"/>
      <c r="BP221" s="154"/>
      <c r="BQ221" s="154"/>
      <c r="BR221" s="154"/>
      <c r="BS221" s="154"/>
      <c r="BT221" s="154"/>
      <c r="BU221" s="154"/>
      <c r="BV221" s="154"/>
      <c r="BW221" s="154"/>
      <c r="BX221" s="154"/>
      <c r="BY221" s="154"/>
      <c r="BZ221" s="154"/>
      <c r="CA221" s="154"/>
      <c r="CB221" s="154"/>
      <c r="CC221" s="154"/>
      <c r="CD221" s="154"/>
      <c r="CE221" s="154"/>
      <c r="CF221" s="154"/>
      <c r="CG221" s="154"/>
      <c r="CH221" s="154"/>
      <c r="CI221" s="154"/>
      <c r="CJ221" s="154"/>
      <c r="CK221" s="154"/>
      <c r="CL221" s="154"/>
      <c r="CM221" s="154"/>
      <c r="CN221" s="154"/>
      <c r="CO221" s="154"/>
      <c r="CP221" s="154"/>
      <c r="CQ221" s="154"/>
      <c r="CR221" s="154"/>
      <c r="CS221" s="154"/>
      <c r="CT221" s="154"/>
      <c r="CU221" s="154"/>
      <c r="CV221" s="154"/>
      <c r="CW221" s="154"/>
      <c r="CX221" s="154"/>
      <c r="CY221" s="154"/>
      <c r="CZ221" s="154"/>
      <c r="DA221" s="154"/>
      <c r="DB221" s="154"/>
      <c r="DC221" s="154"/>
      <c r="DD221" s="154"/>
      <c r="DE221" s="154"/>
      <c r="DF221" s="154"/>
      <c r="DG221" s="154"/>
      <c r="DH221" s="154"/>
      <c r="DI221" s="154"/>
      <c r="DJ221" s="154"/>
      <c r="DK221" s="154"/>
      <c r="DL221" s="154"/>
      <c r="DM221" s="154"/>
      <c r="DN221" s="154"/>
      <c r="DO221" s="154"/>
      <c r="DP221" s="154"/>
      <c r="DQ221" s="154"/>
      <c r="DR221" s="154"/>
      <c r="DS221" s="154"/>
      <c r="DT221" s="154"/>
      <c r="DU221" s="154"/>
      <c r="DV221" s="154"/>
      <c r="DW221" s="154"/>
      <c r="DX221" s="154"/>
      <c r="DY221" s="154"/>
      <c r="DZ221" s="154"/>
      <c r="EA221" s="154"/>
      <c r="EB221" s="154"/>
      <c r="EC221" s="154"/>
      <c r="ED221" s="154"/>
      <c r="EE221" s="154"/>
      <c r="EF221" s="154"/>
      <c r="EG221" s="154"/>
      <c r="EH221" s="154"/>
      <c r="EI221" s="154"/>
      <c r="EJ221" s="154"/>
      <c r="EK221" s="154"/>
      <c r="EL221" s="154"/>
      <c r="EM221" s="154"/>
      <c r="EN221" s="154"/>
      <c r="EO221" s="154"/>
      <c r="EP221" s="154"/>
      <c r="EQ221" s="154"/>
      <c r="ER221" s="154"/>
      <c r="ES221" s="154"/>
      <c r="ET221" s="154"/>
      <c r="EU221" s="154"/>
      <c r="EV221" s="154"/>
      <c r="EW221" s="154"/>
    </row>
    <row r="222" spans="2:153" ht="12.95" customHeight="1">
      <c r="B222" s="154"/>
      <c r="C222" s="380"/>
      <c r="D222" s="380"/>
      <c r="E222" s="154"/>
      <c r="F222" s="154"/>
      <c r="G222" s="154"/>
      <c r="H222" s="154"/>
      <c r="I222" s="154"/>
      <c r="J222" s="154"/>
      <c r="K222" s="154"/>
      <c r="L222" s="154"/>
      <c r="M222" s="154"/>
      <c r="N222" s="154"/>
      <c r="O222" s="154"/>
      <c r="P222" s="154"/>
      <c r="Q222" s="154"/>
      <c r="R222" s="154"/>
      <c r="S222" s="154"/>
      <c r="T222" s="154"/>
      <c r="U222" s="154"/>
      <c r="V222" s="154"/>
      <c r="W222" s="154"/>
      <c r="X222" s="154"/>
      <c r="Y222" s="154"/>
      <c r="Z222" s="154"/>
      <c r="AA222" s="154"/>
      <c r="AB222" s="154"/>
      <c r="AC222" s="154"/>
      <c r="AD222" s="154"/>
      <c r="AE222" s="154"/>
      <c r="AF222" s="367"/>
      <c r="AG222" s="368"/>
      <c r="AH222" s="368"/>
      <c r="AI222" s="368"/>
      <c r="AJ222" s="154"/>
      <c r="AK222" s="154"/>
      <c r="AL222" s="154"/>
      <c r="AM222" s="154"/>
      <c r="AN222" s="154"/>
      <c r="AO222" s="154"/>
      <c r="AP222" s="154"/>
      <c r="AQ222" s="154"/>
      <c r="AR222" s="154"/>
      <c r="AS222" s="154"/>
      <c r="AT222" s="154"/>
      <c r="AU222" s="154"/>
      <c r="AV222" s="154"/>
      <c r="AW222" s="154"/>
      <c r="AX222" s="154"/>
      <c r="AY222" s="154"/>
      <c r="AZ222" s="154"/>
      <c r="BA222" s="154"/>
      <c r="BB222" s="154"/>
      <c r="BC222" s="154"/>
      <c r="BD222" s="154"/>
      <c r="BE222" s="154"/>
      <c r="BF222" s="154"/>
      <c r="BG222" s="154"/>
      <c r="BH222" s="154"/>
      <c r="BI222" s="154"/>
      <c r="BJ222" s="154"/>
      <c r="BK222" s="154"/>
      <c r="BL222" s="154"/>
      <c r="BM222" s="154"/>
      <c r="BN222" s="154"/>
      <c r="BO222" s="154"/>
      <c r="BP222" s="154"/>
      <c r="BQ222" s="154"/>
      <c r="BR222" s="154"/>
      <c r="BS222" s="154"/>
      <c r="BT222" s="154"/>
      <c r="BU222" s="154"/>
      <c r="BV222" s="154"/>
      <c r="BW222" s="154"/>
      <c r="BX222" s="154"/>
      <c r="BY222" s="154"/>
      <c r="BZ222" s="154"/>
      <c r="CA222" s="154"/>
      <c r="CB222" s="154"/>
      <c r="CC222" s="154"/>
      <c r="CD222" s="154"/>
      <c r="CE222" s="154"/>
      <c r="CF222" s="154"/>
      <c r="CG222" s="154"/>
      <c r="CH222" s="154"/>
      <c r="CI222" s="154"/>
      <c r="CJ222" s="154"/>
      <c r="CK222" s="154"/>
      <c r="CL222" s="154"/>
      <c r="CM222" s="154"/>
      <c r="CN222" s="154"/>
      <c r="CO222" s="154"/>
      <c r="CP222" s="154"/>
      <c r="CQ222" s="154"/>
      <c r="CR222" s="154"/>
      <c r="CS222" s="154"/>
      <c r="CT222" s="154"/>
      <c r="CU222" s="154"/>
      <c r="CV222" s="154"/>
      <c r="CW222" s="154"/>
      <c r="CX222" s="154"/>
      <c r="CY222" s="154"/>
      <c r="CZ222" s="154"/>
      <c r="DA222" s="154"/>
      <c r="DB222" s="154"/>
      <c r="DC222" s="154"/>
      <c r="DD222" s="154"/>
      <c r="DE222" s="154"/>
      <c r="DF222" s="154"/>
      <c r="DG222" s="154"/>
      <c r="DH222" s="154"/>
      <c r="DI222" s="154"/>
      <c r="DJ222" s="154"/>
      <c r="DK222" s="154"/>
      <c r="DL222" s="154"/>
      <c r="DM222" s="154"/>
      <c r="DN222" s="154"/>
      <c r="DO222" s="154"/>
      <c r="DP222" s="154"/>
      <c r="DQ222" s="154"/>
      <c r="DR222" s="154"/>
      <c r="DS222" s="154"/>
      <c r="DT222" s="154"/>
      <c r="DU222" s="154"/>
      <c r="DV222" s="154"/>
      <c r="DW222" s="154"/>
      <c r="DX222" s="154"/>
      <c r="DY222" s="154"/>
      <c r="DZ222" s="154"/>
      <c r="EA222" s="154"/>
      <c r="EB222" s="154"/>
      <c r="EC222" s="154"/>
      <c r="ED222" s="154"/>
      <c r="EE222" s="154"/>
      <c r="EF222" s="154"/>
      <c r="EG222" s="154"/>
      <c r="EH222" s="154"/>
      <c r="EI222" s="154"/>
      <c r="EJ222" s="154"/>
      <c r="EK222" s="154"/>
      <c r="EL222" s="154"/>
      <c r="EM222" s="154"/>
      <c r="EN222" s="154"/>
      <c r="EO222" s="154"/>
      <c r="EP222" s="154"/>
      <c r="EQ222" s="154"/>
      <c r="ER222" s="154"/>
      <c r="ES222" s="154"/>
      <c r="ET222" s="154"/>
      <c r="EU222" s="154"/>
      <c r="EV222" s="154"/>
      <c r="EW222" s="154"/>
    </row>
    <row r="223" spans="2:153" ht="12.95" customHeight="1">
      <c r="B223" s="154"/>
      <c r="C223" s="380"/>
      <c r="D223" s="380"/>
      <c r="E223" s="154"/>
      <c r="F223" s="154"/>
      <c r="G223" s="154"/>
      <c r="H223" s="154"/>
      <c r="I223" s="154"/>
      <c r="J223" s="154"/>
      <c r="K223" s="154"/>
      <c r="L223" s="154"/>
      <c r="M223" s="154"/>
      <c r="N223" s="154"/>
      <c r="O223" s="154"/>
      <c r="P223" s="154"/>
      <c r="Q223" s="154"/>
      <c r="R223" s="154"/>
      <c r="S223" s="154"/>
      <c r="T223" s="154"/>
      <c r="U223" s="154"/>
      <c r="V223" s="154"/>
      <c r="W223" s="154"/>
      <c r="X223" s="154"/>
      <c r="Y223" s="154"/>
      <c r="Z223" s="154"/>
      <c r="AA223" s="154"/>
      <c r="AB223" s="154"/>
      <c r="AC223" s="154"/>
      <c r="AD223" s="154"/>
      <c r="AE223" s="154"/>
      <c r="AF223" s="367"/>
      <c r="AG223" s="368"/>
      <c r="AH223" s="368"/>
      <c r="AI223" s="368"/>
      <c r="AJ223" s="154"/>
      <c r="AK223" s="154"/>
      <c r="AL223" s="154"/>
      <c r="AM223" s="154"/>
      <c r="AN223" s="154"/>
      <c r="AO223" s="154"/>
      <c r="AP223" s="154"/>
      <c r="AQ223" s="154"/>
      <c r="AR223" s="154"/>
      <c r="AS223" s="154"/>
      <c r="AT223" s="154"/>
      <c r="AU223" s="154"/>
      <c r="AV223" s="154"/>
      <c r="AW223" s="154"/>
      <c r="AX223" s="154"/>
      <c r="AY223" s="154"/>
      <c r="AZ223" s="154"/>
      <c r="BA223" s="154"/>
      <c r="BB223" s="154"/>
      <c r="BC223" s="154"/>
      <c r="BD223" s="154"/>
      <c r="BE223" s="154"/>
      <c r="BF223" s="154"/>
      <c r="BG223" s="154"/>
      <c r="BH223" s="154"/>
      <c r="BI223" s="154"/>
      <c r="BJ223" s="154"/>
      <c r="BK223" s="154"/>
      <c r="BL223" s="154"/>
      <c r="BM223" s="154"/>
      <c r="BN223" s="154"/>
      <c r="BO223" s="154"/>
      <c r="BP223" s="154"/>
      <c r="BQ223" s="154"/>
      <c r="BR223" s="154"/>
      <c r="BS223" s="154"/>
      <c r="BT223" s="154"/>
      <c r="BU223" s="154"/>
      <c r="BV223" s="154"/>
      <c r="BW223" s="154"/>
      <c r="BX223" s="154"/>
      <c r="BY223" s="154"/>
      <c r="BZ223" s="154"/>
      <c r="CA223" s="154"/>
      <c r="CB223" s="154"/>
      <c r="CC223" s="154"/>
      <c r="CD223" s="154"/>
      <c r="CE223" s="154"/>
      <c r="CF223" s="154"/>
      <c r="CG223" s="154"/>
      <c r="CH223" s="154"/>
      <c r="CI223" s="154"/>
      <c r="CJ223" s="154"/>
      <c r="CK223" s="154"/>
      <c r="CL223" s="154"/>
      <c r="CM223" s="154"/>
      <c r="CN223" s="154"/>
      <c r="CO223" s="154"/>
      <c r="CP223" s="154"/>
      <c r="CQ223" s="154"/>
      <c r="CR223" s="154"/>
      <c r="CS223" s="154"/>
      <c r="CT223" s="154"/>
      <c r="CU223" s="154"/>
      <c r="CV223" s="154"/>
      <c r="CW223" s="154"/>
      <c r="CX223" s="154"/>
      <c r="CY223" s="154"/>
      <c r="CZ223" s="154"/>
      <c r="DA223" s="154"/>
      <c r="DB223" s="154"/>
      <c r="DC223" s="154"/>
      <c r="DD223" s="154"/>
      <c r="DE223" s="154"/>
      <c r="DF223" s="154"/>
      <c r="DG223" s="154"/>
      <c r="DH223" s="154"/>
      <c r="DI223" s="154"/>
      <c r="DJ223" s="154"/>
      <c r="DK223" s="154"/>
      <c r="DL223" s="154"/>
      <c r="DM223" s="154"/>
      <c r="DN223" s="154"/>
      <c r="DO223" s="154"/>
      <c r="DP223" s="154"/>
      <c r="DQ223" s="154"/>
      <c r="DR223" s="154"/>
      <c r="DS223" s="154"/>
      <c r="DT223" s="154"/>
      <c r="DU223" s="154"/>
      <c r="DV223" s="154"/>
      <c r="DW223" s="154"/>
      <c r="DX223" s="154"/>
      <c r="DY223" s="154"/>
      <c r="DZ223" s="154"/>
      <c r="EA223" s="154"/>
      <c r="EB223" s="154"/>
      <c r="EC223" s="154"/>
      <c r="ED223" s="154"/>
      <c r="EE223" s="154"/>
      <c r="EF223" s="154"/>
      <c r="EG223" s="154"/>
      <c r="EH223" s="154"/>
      <c r="EI223" s="154"/>
      <c r="EJ223" s="154"/>
      <c r="EK223" s="154"/>
      <c r="EL223" s="154"/>
      <c r="EM223" s="154"/>
      <c r="EN223" s="154"/>
      <c r="EO223" s="154"/>
      <c r="EP223" s="154"/>
      <c r="EQ223" s="154"/>
      <c r="ER223" s="154"/>
      <c r="ES223" s="154"/>
      <c r="ET223" s="154"/>
      <c r="EU223" s="154"/>
      <c r="EV223" s="154"/>
      <c r="EW223" s="154"/>
    </row>
    <row r="224" spans="2:153" ht="12.95" customHeight="1">
      <c r="B224" s="154"/>
      <c r="C224" s="380"/>
      <c r="D224" s="380"/>
      <c r="E224" s="154"/>
      <c r="F224" s="154"/>
      <c r="G224" s="154"/>
      <c r="H224" s="154"/>
      <c r="I224" s="154"/>
      <c r="J224" s="154"/>
      <c r="K224" s="154"/>
      <c r="L224" s="154"/>
      <c r="M224" s="154"/>
      <c r="N224" s="154"/>
      <c r="O224" s="154"/>
      <c r="P224" s="154"/>
      <c r="Q224" s="154"/>
      <c r="R224" s="154"/>
      <c r="S224" s="154"/>
      <c r="T224" s="154"/>
      <c r="U224" s="154"/>
      <c r="V224" s="154"/>
      <c r="W224" s="154"/>
      <c r="X224" s="154"/>
      <c r="Y224" s="154"/>
      <c r="Z224" s="154"/>
      <c r="AA224" s="154"/>
      <c r="AB224" s="154"/>
      <c r="AC224" s="154"/>
      <c r="AD224" s="154"/>
      <c r="AE224" s="154"/>
      <c r="AF224" s="367"/>
      <c r="AG224" s="368"/>
      <c r="AH224" s="368"/>
      <c r="AI224" s="368"/>
      <c r="AJ224" s="154"/>
      <c r="AK224" s="154"/>
      <c r="AL224" s="154"/>
      <c r="AM224" s="154"/>
      <c r="AN224" s="154"/>
      <c r="AO224" s="154"/>
      <c r="AP224" s="154"/>
      <c r="AQ224" s="154"/>
      <c r="AR224" s="154"/>
      <c r="AS224" s="154"/>
      <c r="AT224" s="154"/>
      <c r="AU224" s="154"/>
      <c r="AV224" s="154"/>
      <c r="AW224" s="154"/>
      <c r="AX224" s="154"/>
      <c r="AY224" s="154"/>
      <c r="AZ224" s="154"/>
      <c r="BA224" s="154"/>
      <c r="BB224" s="154"/>
      <c r="BC224" s="154"/>
      <c r="BD224" s="154"/>
      <c r="BE224" s="154"/>
      <c r="BF224" s="154"/>
      <c r="BG224" s="154"/>
      <c r="BH224" s="154"/>
      <c r="BI224" s="154"/>
      <c r="BJ224" s="154"/>
      <c r="BK224" s="154"/>
      <c r="BL224" s="154"/>
      <c r="BM224" s="154"/>
      <c r="BN224" s="154"/>
      <c r="BO224" s="154"/>
      <c r="BP224" s="154"/>
      <c r="BQ224" s="154"/>
      <c r="BR224" s="154"/>
      <c r="BS224" s="154"/>
      <c r="BT224" s="154"/>
      <c r="BU224" s="154"/>
      <c r="BV224" s="154"/>
      <c r="BW224" s="154"/>
      <c r="BX224" s="154"/>
      <c r="BY224" s="154"/>
      <c r="BZ224" s="154"/>
      <c r="CA224" s="154"/>
      <c r="CB224" s="154"/>
      <c r="CC224" s="154"/>
      <c r="CD224" s="154"/>
      <c r="CE224" s="154"/>
      <c r="CF224" s="154"/>
      <c r="CG224" s="154"/>
      <c r="CH224" s="154"/>
      <c r="CI224" s="154"/>
      <c r="CJ224" s="154"/>
      <c r="CK224" s="154"/>
      <c r="CL224" s="154"/>
      <c r="CM224" s="154"/>
      <c r="CN224" s="154"/>
      <c r="CO224" s="154"/>
      <c r="CP224" s="154"/>
      <c r="CQ224" s="154"/>
      <c r="CR224" s="154"/>
      <c r="CS224" s="154"/>
      <c r="CT224" s="154"/>
      <c r="CU224" s="154"/>
      <c r="CV224" s="154"/>
      <c r="CW224" s="154"/>
      <c r="CX224" s="154"/>
      <c r="CY224" s="154"/>
      <c r="CZ224" s="154"/>
      <c r="DA224" s="154"/>
      <c r="DB224" s="154"/>
      <c r="DC224" s="154"/>
      <c r="DD224" s="154"/>
      <c r="DE224" s="154"/>
      <c r="DF224" s="154"/>
      <c r="DG224" s="154"/>
      <c r="DH224" s="154"/>
      <c r="DI224" s="154"/>
      <c r="DJ224" s="154"/>
      <c r="DK224" s="154"/>
      <c r="DL224" s="154"/>
      <c r="DM224" s="154"/>
      <c r="DN224" s="154"/>
      <c r="DO224" s="154"/>
      <c r="DP224" s="154"/>
      <c r="DQ224" s="154"/>
      <c r="DR224" s="154"/>
      <c r="DS224" s="154"/>
      <c r="DT224" s="154"/>
      <c r="DU224" s="154"/>
      <c r="DV224" s="154"/>
      <c r="DW224" s="154"/>
      <c r="DX224" s="154"/>
      <c r="DY224" s="154"/>
      <c r="DZ224" s="154"/>
      <c r="EA224" s="154"/>
      <c r="EB224" s="154"/>
      <c r="EC224" s="154"/>
      <c r="ED224" s="154"/>
      <c r="EE224" s="154"/>
      <c r="EF224" s="154"/>
      <c r="EG224" s="154"/>
      <c r="EH224" s="154"/>
      <c r="EI224" s="154"/>
      <c r="EJ224" s="154"/>
      <c r="EK224" s="154"/>
      <c r="EL224" s="154"/>
      <c r="EM224" s="154"/>
      <c r="EN224" s="154"/>
      <c r="EO224" s="154"/>
      <c r="EP224" s="154"/>
      <c r="EQ224" s="154"/>
      <c r="ER224" s="154"/>
      <c r="ES224" s="154"/>
      <c r="ET224" s="154"/>
      <c r="EU224" s="154"/>
      <c r="EV224" s="154"/>
      <c r="EW224" s="154"/>
    </row>
    <row r="225" spans="2:153" ht="12.95" customHeight="1">
      <c r="B225" s="154"/>
      <c r="C225" s="380"/>
      <c r="D225" s="380"/>
      <c r="E225" s="154"/>
      <c r="F225" s="154"/>
      <c r="G225" s="154"/>
      <c r="H225" s="154"/>
      <c r="I225" s="154"/>
      <c r="J225" s="154"/>
      <c r="K225" s="154"/>
      <c r="L225" s="154"/>
      <c r="M225" s="154"/>
      <c r="N225" s="154"/>
      <c r="O225" s="154"/>
      <c r="P225" s="154"/>
      <c r="Q225" s="154"/>
      <c r="R225" s="154"/>
      <c r="S225" s="154"/>
      <c r="T225" s="154"/>
      <c r="U225" s="154"/>
      <c r="V225" s="154"/>
      <c r="W225" s="154"/>
      <c r="X225" s="154"/>
      <c r="Y225" s="154"/>
      <c r="Z225" s="154"/>
      <c r="AA225" s="154"/>
      <c r="AB225" s="154"/>
      <c r="AC225" s="154"/>
      <c r="AD225" s="154"/>
      <c r="AE225" s="154"/>
      <c r="AF225" s="367"/>
      <c r="AG225" s="368"/>
      <c r="AH225" s="368"/>
      <c r="AI225" s="368"/>
      <c r="AJ225" s="154"/>
      <c r="AK225" s="154"/>
      <c r="AL225" s="154"/>
      <c r="AM225" s="154"/>
      <c r="AN225" s="154"/>
      <c r="AO225" s="154"/>
      <c r="AP225" s="154"/>
      <c r="AQ225" s="154"/>
      <c r="AR225" s="154"/>
      <c r="AS225" s="154"/>
      <c r="AT225" s="154"/>
      <c r="AU225" s="154"/>
      <c r="AV225" s="154"/>
      <c r="AW225" s="154"/>
      <c r="AX225" s="154"/>
      <c r="AY225" s="154"/>
      <c r="AZ225" s="154"/>
      <c r="BA225" s="154"/>
      <c r="BB225" s="154"/>
      <c r="BC225" s="154"/>
      <c r="BD225" s="154"/>
      <c r="BE225" s="154"/>
      <c r="BF225" s="154"/>
      <c r="BG225" s="154"/>
      <c r="BH225" s="154"/>
      <c r="BI225" s="154"/>
      <c r="BJ225" s="154"/>
      <c r="BK225" s="154"/>
      <c r="BL225" s="154"/>
      <c r="BM225" s="154"/>
      <c r="BN225" s="154"/>
      <c r="BO225" s="154"/>
      <c r="BP225" s="154"/>
      <c r="BQ225" s="154"/>
      <c r="BR225" s="154"/>
      <c r="BS225" s="154"/>
      <c r="BT225" s="154"/>
      <c r="BU225" s="154"/>
      <c r="BV225" s="154"/>
      <c r="BW225" s="154"/>
      <c r="BX225" s="154"/>
      <c r="BY225" s="154"/>
      <c r="BZ225" s="154"/>
      <c r="CA225" s="154"/>
      <c r="CB225" s="154"/>
      <c r="CC225" s="154"/>
      <c r="CD225" s="154"/>
      <c r="CE225" s="154"/>
      <c r="CF225" s="154"/>
      <c r="CG225" s="154"/>
      <c r="CH225" s="154"/>
      <c r="CI225" s="154"/>
      <c r="CJ225" s="154"/>
      <c r="CK225" s="154"/>
      <c r="CL225" s="154"/>
      <c r="CM225" s="154"/>
      <c r="CN225" s="154"/>
      <c r="CO225" s="154"/>
      <c r="CP225" s="154"/>
      <c r="CQ225" s="154"/>
      <c r="CR225" s="154"/>
      <c r="CS225" s="154"/>
      <c r="CT225" s="154"/>
      <c r="CU225" s="154"/>
      <c r="CV225" s="154"/>
      <c r="CW225" s="154"/>
      <c r="CX225" s="154"/>
      <c r="CY225" s="154"/>
      <c r="CZ225" s="154"/>
      <c r="DA225" s="154"/>
      <c r="DB225" s="154"/>
      <c r="DC225" s="154"/>
      <c r="DD225" s="154"/>
      <c r="DE225" s="154"/>
      <c r="DF225" s="154"/>
      <c r="DG225" s="154"/>
      <c r="DH225" s="154"/>
      <c r="DI225" s="154"/>
      <c r="DJ225" s="154"/>
      <c r="DK225" s="154"/>
      <c r="DL225" s="154"/>
      <c r="DM225" s="154"/>
      <c r="DN225" s="154"/>
      <c r="DO225" s="154"/>
      <c r="DP225" s="154"/>
      <c r="DQ225" s="154"/>
      <c r="DR225" s="154"/>
      <c r="DS225" s="154"/>
      <c r="DT225" s="154"/>
      <c r="DU225" s="154"/>
      <c r="DV225" s="154"/>
      <c r="DW225" s="154"/>
      <c r="DX225" s="154"/>
      <c r="DY225" s="154"/>
      <c r="DZ225" s="154"/>
      <c r="EA225" s="154"/>
      <c r="EB225" s="154"/>
      <c r="EC225" s="154"/>
      <c r="ED225" s="154"/>
      <c r="EE225" s="154"/>
      <c r="EF225" s="154"/>
      <c r="EG225" s="154"/>
      <c r="EH225" s="154"/>
      <c r="EI225" s="154"/>
      <c r="EJ225" s="154"/>
      <c r="EK225" s="154"/>
      <c r="EL225" s="154"/>
      <c r="EM225" s="154"/>
      <c r="EN225" s="154"/>
      <c r="EO225" s="154"/>
      <c r="EP225" s="154"/>
      <c r="EQ225" s="154"/>
      <c r="ER225" s="154"/>
      <c r="ES225" s="154"/>
      <c r="ET225" s="154"/>
      <c r="EU225" s="154"/>
      <c r="EV225" s="154"/>
      <c r="EW225" s="154"/>
    </row>
    <row r="226" spans="2:153" ht="12.95" customHeight="1">
      <c r="B226" s="154"/>
      <c r="C226" s="380"/>
      <c r="D226" s="380"/>
      <c r="E226" s="154"/>
      <c r="F226" s="154"/>
      <c r="G226" s="154"/>
      <c r="H226" s="154"/>
      <c r="I226" s="154"/>
      <c r="J226" s="154"/>
      <c r="K226" s="154"/>
      <c r="L226" s="154"/>
      <c r="M226" s="154"/>
      <c r="N226" s="154"/>
      <c r="O226" s="154"/>
      <c r="P226" s="154"/>
      <c r="Q226" s="154"/>
      <c r="R226" s="154"/>
      <c r="S226" s="154"/>
      <c r="T226" s="154"/>
      <c r="U226" s="154"/>
      <c r="V226" s="154"/>
      <c r="W226" s="154"/>
      <c r="X226" s="154"/>
      <c r="Y226" s="154"/>
      <c r="Z226" s="154"/>
      <c r="AA226" s="154"/>
      <c r="AB226" s="154"/>
      <c r="AC226" s="154"/>
      <c r="AD226" s="154"/>
      <c r="AE226" s="154"/>
      <c r="AF226" s="367"/>
      <c r="AG226" s="368"/>
      <c r="AH226" s="368"/>
      <c r="AI226" s="368"/>
      <c r="AJ226" s="154"/>
      <c r="AK226" s="154"/>
      <c r="AL226" s="154"/>
      <c r="AM226" s="154"/>
      <c r="AN226" s="154"/>
      <c r="AO226" s="154"/>
      <c r="AP226" s="154"/>
      <c r="AQ226" s="154"/>
      <c r="AR226" s="154"/>
      <c r="AS226" s="154"/>
      <c r="AT226" s="154"/>
      <c r="AU226" s="154"/>
      <c r="AV226" s="154"/>
      <c r="AW226" s="154"/>
      <c r="AX226" s="154"/>
      <c r="AY226" s="154"/>
      <c r="AZ226" s="154"/>
      <c r="BA226" s="154"/>
      <c r="BB226" s="154"/>
      <c r="BC226" s="154"/>
      <c r="BD226" s="154"/>
      <c r="BE226" s="154"/>
      <c r="BF226" s="154"/>
      <c r="BG226" s="154"/>
      <c r="BH226" s="154"/>
      <c r="BI226" s="154"/>
      <c r="BJ226" s="154"/>
      <c r="BK226" s="154"/>
      <c r="BL226" s="154"/>
      <c r="BM226" s="154"/>
      <c r="BN226" s="154"/>
      <c r="BO226" s="154"/>
      <c r="BP226" s="154"/>
      <c r="BQ226" s="154"/>
      <c r="BR226" s="154"/>
      <c r="BS226" s="154"/>
      <c r="BT226" s="154"/>
      <c r="BU226" s="154"/>
      <c r="BV226" s="154"/>
      <c r="BW226" s="154"/>
      <c r="BX226" s="154"/>
      <c r="BY226" s="154"/>
      <c r="BZ226" s="154"/>
      <c r="CA226" s="154"/>
      <c r="CB226" s="154"/>
      <c r="CC226" s="154"/>
      <c r="CD226" s="154"/>
      <c r="CE226" s="154"/>
      <c r="CF226" s="154"/>
      <c r="CG226" s="154"/>
      <c r="CH226" s="154"/>
      <c r="CI226" s="154"/>
      <c r="CJ226" s="154"/>
      <c r="CK226" s="154"/>
      <c r="CL226" s="154"/>
      <c r="CM226" s="154"/>
      <c r="CN226" s="154"/>
      <c r="CO226" s="154"/>
      <c r="CP226" s="154"/>
      <c r="CQ226" s="154"/>
      <c r="CR226" s="154"/>
      <c r="CS226" s="154"/>
      <c r="CT226" s="154"/>
      <c r="CU226" s="154"/>
      <c r="CV226" s="154"/>
      <c r="CW226" s="154"/>
      <c r="CX226" s="154"/>
      <c r="CY226" s="154"/>
      <c r="CZ226" s="154"/>
      <c r="DA226" s="154"/>
      <c r="DB226" s="154"/>
      <c r="DC226" s="154"/>
      <c r="DD226" s="154"/>
      <c r="DE226" s="154"/>
      <c r="DF226" s="154"/>
      <c r="DG226" s="154"/>
      <c r="DH226" s="154"/>
      <c r="DI226" s="154"/>
      <c r="DJ226" s="154"/>
      <c r="DK226" s="154"/>
      <c r="DL226" s="154"/>
      <c r="DM226" s="154"/>
      <c r="DN226" s="154"/>
      <c r="DO226" s="154"/>
      <c r="DP226" s="154"/>
      <c r="DQ226" s="154"/>
      <c r="DR226" s="154"/>
      <c r="DS226" s="154"/>
      <c r="DT226" s="154"/>
      <c r="DU226" s="154"/>
      <c r="DV226" s="154"/>
      <c r="DW226" s="154"/>
      <c r="DX226" s="154"/>
      <c r="DY226" s="154"/>
      <c r="DZ226" s="154"/>
      <c r="EA226" s="154"/>
      <c r="EB226" s="154"/>
      <c r="EC226" s="154"/>
      <c r="ED226" s="154"/>
      <c r="EE226" s="154"/>
      <c r="EF226" s="154"/>
      <c r="EG226" s="154"/>
      <c r="EH226" s="154"/>
      <c r="EI226" s="154"/>
      <c r="EJ226" s="154"/>
      <c r="EK226" s="154"/>
      <c r="EL226" s="154"/>
      <c r="EM226" s="154"/>
      <c r="EN226" s="154"/>
      <c r="EO226" s="154"/>
      <c r="EP226" s="154"/>
      <c r="EQ226" s="154"/>
      <c r="ER226" s="154"/>
      <c r="ES226" s="154"/>
      <c r="ET226" s="154"/>
      <c r="EU226" s="154"/>
      <c r="EV226" s="154"/>
      <c r="EW226" s="154"/>
    </row>
    <row r="227" spans="2:153" ht="12.95" customHeight="1">
      <c r="B227" s="154"/>
      <c r="C227" s="380"/>
      <c r="D227" s="380"/>
      <c r="E227" s="154"/>
      <c r="F227" s="154"/>
      <c r="G227" s="154"/>
      <c r="H227" s="154"/>
      <c r="I227" s="154"/>
      <c r="J227" s="154"/>
      <c r="K227" s="154"/>
      <c r="L227" s="154"/>
      <c r="M227" s="154"/>
      <c r="N227" s="154"/>
      <c r="O227" s="154"/>
      <c r="P227" s="154"/>
      <c r="Q227" s="154"/>
      <c r="R227" s="154"/>
      <c r="S227" s="154"/>
      <c r="T227" s="154"/>
      <c r="U227" s="154"/>
      <c r="V227" s="154"/>
      <c r="W227" s="154"/>
      <c r="X227" s="154"/>
      <c r="Y227" s="154"/>
      <c r="Z227" s="154"/>
      <c r="AA227" s="154"/>
      <c r="AB227" s="154"/>
      <c r="AC227" s="154"/>
      <c r="AD227" s="154"/>
      <c r="AE227" s="154"/>
      <c r="AF227" s="367"/>
      <c r="AG227" s="368"/>
      <c r="AH227" s="368"/>
      <c r="AI227" s="368"/>
      <c r="AJ227" s="154"/>
      <c r="AK227" s="154"/>
      <c r="AL227" s="154"/>
      <c r="AM227" s="154"/>
      <c r="AN227" s="154"/>
      <c r="AO227" s="154"/>
      <c r="AP227" s="154"/>
      <c r="AQ227" s="154"/>
      <c r="AR227" s="154"/>
      <c r="AS227" s="154"/>
      <c r="AT227" s="154"/>
      <c r="AU227" s="154"/>
      <c r="AV227" s="154"/>
      <c r="AW227" s="154"/>
      <c r="AX227" s="154"/>
      <c r="AY227" s="154"/>
      <c r="AZ227" s="154"/>
      <c r="BA227" s="154"/>
      <c r="BB227" s="154"/>
      <c r="BC227" s="154"/>
      <c r="BD227" s="154"/>
      <c r="BE227" s="154"/>
      <c r="BF227" s="154"/>
      <c r="BG227" s="154"/>
      <c r="BH227" s="154"/>
      <c r="BI227" s="154"/>
      <c r="BJ227" s="154"/>
      <c r="BK227" s="154"/>
      <c r="BL227" s="154"/>
      <c r="BM227" s="154"/>
      <c r="BN227" s="154"/>
      <c r="BO227" s="154"/>
      <c r="BP227" s="154"/>
      <c r="BQ227" s="154"/>
      <c r="BR227" s="154"/>
      <c r="BS227" s="154"/>
      <c r="BT227" s="154"/>
      <c r="BU227" s="154"/>
      <c r="BV227" s="154"/>
      <c r="BW227" s="154"/>
      <c r="BX227" s="154"/>
      <c r="BY227" s="154"/>
      <c r="BZ227" s="154"/>
      <c r="CA227" s="154"/>
      <c r="CB227" s="154"/>
      <c r="CC227" s="154"/>
      <c r="CD227" s="154"/>
      <c r="CE227" s="154"/>
      <c r="CF227" s="154"/>
      <c r="CG227" s="154"/>
      <c r="CH227" s="154"/>
      <c r="CI227" s="154"/>
      <c r="CJ227" s="154"/>
      <c r="CK227" s="154"/>
      <c r="CL227" s="154"/>
      <c r="CM227" s="154"/>
      <c r="CN227" s="154"/>
      <c r="CO227" s="154"/>
      <c r="CP227" s="154"/>
      <c r="CQ227" s="154"/>
      <c r="CR227" s="154"/>
      <c r="CS227" s="154"/>
      <c r="CT227" s="154"/>
      <c r="CU227" s="154"/>
      <c r="CV227" s="154"/>
      <c r="CW227" s="154"/>
      <c r="CX227" s="154"/>
      <c r="CY227" s="154"/>
      <c r="CZ227" s="154"/>
      <c r="DA227" s="154"/>
      <c r="DB227" s="154"/>
      <c r="DC227" s="154"/>
      <c r="DD227" s="154"/>
      <c r="DE227" s="154"/>
      <c r="DF227" s="154"/>
      <c r="DG227" s="154"/>
      <c r="DH227" s="154"/>
      <c r="DI227" s="154"/>
      <c r="DJ227" s="154"/>
      <c r="DK227" s="154"/>
      <c r="DL227" s="154"/>
      <c r="DM227" s="154"/>
      <c r="DN227" s="154"/>
      <c r="DO227" s="154"/>
      <c r="DP227" s="154"/>
      <c r="DQ227" s="154"/>
      <c r="DR227" s="154"/>
      <c r="DS227" s="154"/>
      <c r="DT227" s="154"/>
      <c r="DU227" s="154"/>
      <c r="DV227" s="154"/>
      <c r="DW227" s="154"/>
      <c r="DX227" s="154"/>
      <c r="DY227" s="154"/>
      <c r="DZ227" s="154"/>
      <c r="EA227" s="154"/>
      <c r="EB227" s="154"/>
      <c r="EC227" s="154"/>
      <c r="ED227" s="154"/>
      <c r="EE227" s="154"/>
      <c r="EF227" s="154"/>
      <c r="EG227" s="154"/>
      <c r="EH227" s="154"/>
      <c r="EI227" s="154"/>
      <c r="EJ227" s="154"/>
      <c r="EK227" s="154"/>
      <c r="EL227" s="154"/>
      <c r="EM227" s="154"/>
      <c r="EN227" s="154"/>
      <c r="EO227" s="154"/>
      <c r="EP227" s="154"/>
      <c r="EQ227" s="154"/>
      <c r="ER227" s="154"/>
      <c r="ES227" s="154"/>
      <c r="ET227" s="154"/>
      <c r="EU227" s="154"/>
      <c r="EV227" s="154"/>
      <c r="EW227" s="154"/>
    </row>
    <row r="228" spans="2:153" ht="12.95" customHeight="1">
      <c r="B228" s="154"/>
      <c r="C228" s="380"/>
      <c r="D228" s="380"/>
      <c r="E228" s="154"/>
      <c r="F228" s="154"/>
      <c r="G228" s="154"/>
      <c r="H228" s="154"/>
      <c r="I228" s="154"/>
      <c r="J228" s="154"/>
      <c r="K228" s="154"/>
      <c r="L228" s="154"/>
      <c r="M228" s="154"/>
      <c r="N228" s="154"/>
      <c r="O228" s="154"/>
      <c r="P228" s="154"/>
      <c r="Q228" s="154"/>
      <c r="R228" s="154"/>
      <c r="S228" s="154"/>
      <c r="T228" s="154"/>
      <c r="U228" s="154"/>
      <c r="V228" s="154"/>
      <c r="W228" s="154"/>
      <c r="X228" s="154"/>
      <c r="Y228" s="154"/>
      <c r="Z228" s="154"/>
      <c r="AA228" s="154"/>
      <c r="AB228" s="154"/>
      <c r="AC228" s="154"/>
      <c r="AD228" s="154"/>
      <c r="AE228" s="154"/>
      <c r="AF228" s="367"/>
      <c r="AG228" s="368"/>
      <c r="AH228" s="368"/>
      <c r="AI228" s="368"/>
      <c r="AJ228" s="154"/>
      <c r="AK228" s="154"/>
      <c r="AL228" s="154"/>
      <c r="AM228" s="154"/>
      <c r="AN228" s="154"/>
      <c r="AO228" s="154"/>
      <c r="AP228" s="154"/>
      <c r="AQ228" s="154"/>
      <c r="AR228" s="154"/>
      <c r="AS228" s="154"/>
      <c r="AT228" s="154"/>
      <c r="AU228" s="154"/>
      <c r="AV228" s="154"/>
      <c r="AW228" s="154"/>
      <c r="AX228" s="154"/>
      <c r="AY228" s="154"/>
      <c r="AZ228" s="154"/>
      <c r="BA228" s="154"/>
      <c r="BB228" s="154"/>
      <c r="BC228" s="154"/>
      <c r="BD228" s="154"/>
      <c r="BE228" s="154"/>
      <c r="BF228" s="154"/>
      <c r="BG228" s="154"/>
      <c r="BH228" s="154"/>
      <c r="BI228" s="154"/>
      <c r="BJ228" s="154"/>
      <c r="BK228" s="154"/>
      <c r="BL228" s="154"/>
      <c r="BM228" s="154"/>
      <c r="BN228" s="154"/>
      <c r="BO228" s="154"/>
      <c r="BP228" s="154"/>
      <c r="BQ228" s="154"/>
      <c r="BR228" s="154"/>
      <c r="BS228" s="154"/>
      <c r="BT228" s="154"/>
      <c r="BU228" s="154"/>
      <c r="BV228" s="154"/>
      <c r="BW228" s="154"/>
      <c r="BX228" s="154"/>
      <c r="BY228" s="154"/>
      <c r="BZ228" s="154"/>
      <c r="CA228" s="154"/>
      <c r="CB228" s="154"/>
      <c r="CC228" s="154"/>
      <c r="CD228" s="154"/>
      <c r="CE228" s="154"/>
      <c r="CF228" s="154"/>
      <c r="CG228" s="154"/>
      <c r="CH228" s="154"/>
      <c r="CI228" s="154"/>
      <c r="CJ228" s="154"/>
      <c r="CK228" s="154"/>
      <c r="CL228" s="154"/>
      <c r="CM228" s="154"/>
      <c r="CN228" s="154"/>
      <c r="CO228" s="154"/>
      <c r="CP228" s="154"/>
      <c r="CQ228" s="154"/>
      <c r="CR228" s="154"/>
      <c r="CS228" s="154"/>
      <c r="CT228" s="154"/>
      <c r="CU228" s="154"/>
      <c r="CV228" s="154"/>
      <c r="CW228" s="154"/>
      <c r="CX228" s="154"/>
      <c r="CY228" s="154"/>
      <c r="CZ228" s="154"/>
      <c r="DA228" s="154"/>
      <c r="DB228" s="154"/>
      <c r="DC228" s="154"/>
      <c r="DD228" s="154"/>
      <c r="DE228" s="154"/>
      <c r="DF228" s="154"/>
      <c r="DG228" s="154"/>
      <c r="DH228" s="154"/>
      <c r="DI228" s="154"/>
      <c r="DJ228" s="154"/>
      <c r="DK228" s="154"/>
      <c r="DL228" s="154"/>
      <c r="DM228" s="154"/>
      <c r="DN228" s="154"/>
      <c r="DO228" s="154"/>
      <c r="DP228" s="154"/>
      <c r="DQ228" s="154"/>
      <c r="DR228" s="154"/>
      <c r="DS228" s="154"/>
      <c r="DT228" s="154"/>
      <c r="DU228" s="154"/>
      <c r="DV228" s="154"/>
      <c r="DW228" s="154"/>
      <c r="DX228" s="154"/>
      <c r="DY228" s="154"/>
      <c r="DZ228" s="154"/>
      <c r="EA228" s="154"/>
      <c r="EB228" s="154"/>
      <c r="EC228" s="154"/>
      <c r="ED228" s="154"/>
      <c r="EE228" s="154"/>
      <c r="EF228" s="154"/>
      <c r="EG228" s="154"/>
      <c r="EH228" s="154"/>
      <c r="EI228" s="154"/>
      <c r="EJ228" s="154"/>
      <c r="EK228" s="154"/>
      <c r="EL228" s="154"/>
      <c r="EM228" s="154"/>
      <c r="EN228" s="154"/>
      <c r="EO228" s="154"/>
      <c r="EP228" s="154"/>
      <c r="EQ228" s="154"/>
      <c r="ER228" s="154"/>
      <c r="ES228" s="154"/>
      <c r="ET228" s="154"/>
      <c r="EU228" s="154"/>
      <c r="EV228" s="154"/>
      <c r="EW228" s="154"/>
    </row>
    <row r="229" spans="2:153" ht="12.95" customHeight="1">
      <c r="B229" s="154"/>
      <c r="C229" s="380"/>
      <c r="D229" s="380"/>
      <c r="E229" s="154"/>
      <c r="F229" s="154"/>
      <c r="G229" s="154"/>
      <c r="H229" s="154"/>
      <c r="I229" s="154"/>
      <c r="J229" s="154"/>
      <c r="K229" s="154"/>
      <c r="L229" s="154"/>
      <c r="M229" s="154"/>
      <c r="N229" s="154"/>
      <c r="O229" s="154"/>
      <c r="P229" s="154"/>
      <c r="Q229" s="154"/>
      <c r="R229" s="154"/>
      <c r="S229" s="154"/>
      <c r="T229" s="154"/>
      <c r="U229" s="154"/>
      <c r="V229" s="154"/>
      <c r="W229" s="154"/>
      <c r="X229" s="154"/>
      <c r="Y229" s="154"/>
      <c r="Z229" s="154"/>
      <c r="AA229" s="154"/>
      <c r="AB229" s="154"/>
      <c r="AC229" s="154"/>
      <c r="AD229" s="154"/>
      <c r="AE229" s="154"/>
      <c r="AF229" s="367"/>
      <c r="AG229" s="368"/>
      <c r="AH229" s="368"/>
      <c r="AI229" s="368"/>
      <c r="AJ229" s="154"/>
      <c r="AK229" s="154"/>
      <c r="AL229" s="154"/>
      <c r="AM229" s="154"/>
      <c r="AN229" s="154"/>
      <c r="AO229" s="154"/>
      <c r="AP229" s="154"/>
      <c r="AQ229" s="154"/>
      <c r="AR229" s="154"/>
      <c r="AS229" s="154"/>
      <c r="AT229" s="154"/>
      <c r="AU229" s="154"/>
      <c r="AV229" s="154"/>
      <c r="AW229" s="154"/>
      <c r="AX229" s="154"/>
      <c r="AY229" s="154"/>
      <c r="AZ229" s="154"/>
      <c r="BA229" s="154"/>
      <c r="BB229" s="154"/>
      <c r="BC229" s="154"/>
      <c r="BD229" s="154"/>
      <c r="BE229" s="154"/>
      <c r="BF229" s="154"/>
      <c r="BG229" s="154"/>
      <c r="BH229" s="154"/>
      <c r="BI229" s="154"/>
      <c r="BJ229" s="154"/>
      <c r="BK229" s="154"/>
      <c r="BL229" s="154"/>
      <c r="BM229" s="154"/>
      <c r="BN229" s="154"/>
      <c r="BO229" s="154"/>
      <c r="BP229" s="154"/>
      <c r="BQ229" s="154"/>
      <c r="BR229" s="154"/>
      <c r="BS229" s="154"/>
      <c r="BT229" s="154"/>
      <c r="BU229" s="154"/>
      <c r="BV229" s="154"/>
      <c r="BW229" s="154"/>
      <c r="BX229" s="154"/>
      <c r="BY229" s="154"/>
      <c r="BZ229" s="154"/>
      <c r="CA229" s="154"/>
      <c r="CB229" s="154"/>
      <c r="CC229" s="154"/>
      <c r="CD229" s="154"/>
      <c r="CE229" s="154"/>
      <c r="CF229" s="154"/>
      <c r="CG229" s="154"/>
      <c r="CH229" s="154"/>
      <c r="CI229" s="154"/>
      <c r="CJ229" s="154"/>
      <c r="CK229" s="154"/>
      <c r="CL229" s="154"/>
      <c r="CM229" s="154"/>
      <c r="CN229" s="154"/>
      <c r="CO229" s="154"/>
      <c r="CP229" s="154"/>
      <c r="CQ229" s="154"/>
      <c r="CR229" s="154"/>
      <c r="CS229" s="154"/>
      <c r="CT229" s="154"/>
      <c r="CU229" s="154"/>
      <c r="CV229" s="154"/>
      <c r="CW229" s="154"/>
      <c r="CX229" s="154"/>
      <c r="CY229" s="154"/>
      <c r="CZ229" s="154"/>
      <c r="DA229" s="154"/>
      <c r="DB229" s="154"/>
      <c r="DC229" s="154"/>
      <c r="DD229" s="154"/>
      <c r="DE229" s="154"/>
      <c r="DF229" s="154"/>
      <c r="DG229" s="154"/>
      <c r="DH229" s="154"/>
      <c r="DI229" s="154"/>
      <c r="DJ229" s="154"/>
      <c r="DK229" s="154"/>
      <c r="DL229" s="154"/>
      <c r="DM229" s="154"/>
      <c r="DN229" s="154"/>
      <c r="DO229" s="154"/>
      <c r="DP229" s="154"/>
      <c r="DQ229" s="154"/>
      <c r="DR229" s="154"/>
      <c r="DS229" s="154"/>
      <c r="DT229" s="154"/>
      <c r="DU229" s="154"/>
      <c r="DV229" s="154"/>
      <c r="DW229" s="154"/>
      <c r="DX229" s="154"/>
      <c r="DY229" s="154"/>
      <c r="DZ229" s="154"/>
      <c r="EA229" s="154"/>
      <c r="EB229" s="154"/>
      <c r="EC229" s="154"/>
      <c r="ED229" s="154"/>
      <c r="EE229" s="154"/>
      <c r="EF229" s="154"/>
      <c r="EG229" s="154"/>
      <c r="EH229" s="154"/>
      <c r="EI229" s="154"/>
      <c r="EJ229" s="154"/>
      <c r="EK229" s="154"/>
      <c r="EL229" s="154"/>
      <c r="EM229" s="154"/>
      <c r="EN229" s="154"/>
      <c r="EO229" s="154"/>
      <c r="EP229" s="154"/>
      <c r="EQ229" s="154"/>
      <c r="ER229" s="154"/>
      <c r="ES229" s="154"/>
      <c r="ET229" s="154"/>
      <c r="EU229" s="154"/>
      <c r="EV229" s="154"/>
      <c r="EW229" s="154"/>
    </row>
    <row r="230" spans="2:153" ht="12.95" customHeight="1">
      <c r="B230" s="154"/>
      <c r="C230" s="380"/>
      <c r="D230" s="380"/>
      <c r="E230" s="154"/>
      <c r="F230" s="154"/>
      <c r="G230" s="154"/>
      <c r="H230" s="154"/>
      <c r="I230" s="154"/>
      <c r="J230" s="154"/>
      <c r="K230" s="154"/>
      <c r="L230" s="154"/>
      <c r="M230" s="154"/>
      <c r="N230" s="154"/>
      <c r="O230" s="154"/>
      <c r="P230" s="154"/>
      <c r="Q230" s="154"/>
      <c r="R230" s="154"/>
      <c r="S230" s="154"/>
      <c r="T230" s="154"/>
      <c r="U230" s="154"/>
      <c r="V230" s="154"/>
      <c r="W230" s="154"/>
      <c r="X230" s="154"/>
      <c r="Y230" s="154"/>
      <c r="Z230" s="154"/>
      <c r="AA230" s="154"/>
      <c r="AB230" s="154"/>
      <c r="AC230" s="154"/>
      <c r="AD230" s="154"/>
      <c r="AE230" s="154"/>
      <c r="AF230" s="367"/>
      <c r="AG230" s="368"/>
      <c r="AH230" s="368"/>
      <c r="AI230" s="368"/>
      <c r="AJ230" s="154"/>
      <c r="AK230" s="154"/>
      <c r="AL230" s="154"/>
      <c r="AM230" s="154"/>
      <c r="AN230" s="154"/>
      <c r="AO230" s="154"/>
      <c r="AP230" s="154"/>
      <c r="AQ230" s="154"/>
      <c r="AR230" s="154"/>
      <c r="AS230" s="154"/>
      <c r="AT230" s="154"/>
      <c r="AU230" s="154"/>
      <c r="AV230" s="154"/>
      <c r="AW230" s="154"/>
      <c r="AX230" s="154"/>
      <c r="AY230" s="154"/>
      <c r="AZ230" s="154"/>
      <c r="BA230" s="154"/>
      <c r="BB230" s="154"/>
      <c r="BC230" s="154"/>
      <c r="BD230" s="154"/>
      <c r="BE230" s="154"/>
      <c r="BF230" s="154"/>
      <c r="BG230" s="154"/>
      <c r="BH230" s="154"/>
      <c r="BI230" s="154"/>
      <c r="BJ230" s="154"/>
      <c r="BK230" s="154"/>
      <c r="BL230" s="154"/>
      <c r="BM230" s="154"/>
      <c r="BN230" s="154"/>
      <c r="BO230" s="154"/>
      <c r="BP230" s="154"/>
      <c r="BQ230" s="154"/>
      <c r="BR230" s="154"/>
      <c r="BS230" s="154"/>
      <c r="BT230" s="154"/>
      <c r="BU230" s="154"/>
      <c r="BV230" s="154"/>
      <c r="BW230" s="154"/>
      <c r="BX230" s="154"/>
      <c r="BY230" s="154"/>
      <c r="BZ230" s="154"/>
      <c r="CA230" s="154"/>
      <c r="CB230" s="154"/>
      <c r="CC230" s="154"/>
      <c r="CD230" s="154"/>
      <c r="CE230" s="154"/>
      <c r="CF230" s="154"/>
      <c r="CG230" s="154"/>
      <c r="CH230" s="154"/>
      <c r="CI230" s="154"/>
      <c r="CJ230" s="154"/>
      <c r="CK230" s="154"/>
      <c r="CL230" s="154"/>
      <c r="CM230" s="154"/>
      <c r="CN230" s="154"/>
      <c r="CO230" s="154"/>
      <c r="CP230" s="154"/>
      <c r="CQ230" s="154"/>
      <c r="CR230" s="154"/>
      <c r="CS230" s="154"/>
      <c r="CT230" s="154"/>
      <c r="CU230" s="154"/>
      <c r="CV230" s="154"/>
      <c r="CW230" s="154"/>
      <c r="CX230" s="154"/>
      <c r="CY230" s="154"/>
      <c r="CZ230" s="154"/>
      <c r="DA230" s="154"/>
      <c r="DB230" s="154"/>
      <c r="DC230" s="154"/>
      <c r="DD230" s="154"/>
      <c r="DE230" s="154"/>
      <c r="DF230" s="154"/>
      <c r="DG230" s="154"/>
      <c r="DH230" s="154"/>
      <c r="DI230" s="154"/>
      <c r="DJ230" s="154"/>
      <c r="DK230" s="154"/>
      <c r="DL230" s="154"/>
      <c r="DM230" s="154"/>
      <c r="DN230" s="154"/>
      <c r="DO230" s="154"/>
      <c r="DP230" s="154"/>
      <c r="DQ230" s="154"/>
      <c r="DR230" s="154"/>
      <c r="DS230" s="154"/>
      <c r="DT230" s="154"/>
      <c r="DU230" s="154"/>
      <c r="DV230" s="154"/>
      <c r="DW230" s="154"/>
      <c r="DX230" s="154"/>
      <c r="DY230" s="154"/>
      <c r="DZ230" s="154"/>
      <c r="EA230" s="154"/>
      <c r="EB230" s="154"/>
      <c r="EC230" s="154"/>
      <c r="ED230" s="154"/>
      <c r="EE230" s="154"/>
      <c r="EF230" s="154"/>
      <c r="EG230" s="154"/>
      <c r="EH230" s="154"/>
      <c r="EI230" s="154"/>
      <c r="EJ230" s="154"/>
      <c r="EK230" s="154"/>
      <c r="EL230" s="154"/>
      <c r="EM230" s="154"/>
      <c r="EN230" s="154"/>
      <c r="EO230" s="154"/>
      <c r="EP230" s="154"/>
      <c r="EQ230" s="154"/>
      <c r="ER230" s="154"/>
      <c r="ES230" s="154"/>
      <c r="ET230" s="154"/>
      <c r="EU230" s="154"/>
      <c r="EV230" s="154"/>
      <c r="EW230" s="154"/>
    </row>
    <row r="231" spans="2:153" ht="12.95" customHeight="1">
      <c r="B231" s="154"/>
      <c r="C231" s="380"/>
      <c r="D231" s="380"/>
      <c r="E231" s="154"/>
      <c r="F231" s="154"/>
      <c r="G231" s="154"/>
      <c r="H231" s="154"/>
      <c r="I231" s="154"/>
      <c r="J231" s="154"/>
      <c r="K231" s="154"/>
      <c r="L231" s="154"/>
      <c r="M231" s="154"/>
      <c r="N231" s="154"/>
      <c r="O231" s="154"/>
      <c r="P231" s="154"/>
      <c r="Q231" s="154"/>
      <c r="R231" s="154"/>
      <c r="S231" s="154"/>
      <c r="T231" s="154"/>
      <c r="U231" s="154"/>
      <c r="V231" s="154"/>
      <c r="W231" s="154"/>
      <c r="X231" s="154"/>
      <c r="Y231" s="154"/>
      <c r="Z231" s="154"/>
      <c r="AA231" s="154"/>
      <c r="AB231" s="154"/>
      <c r="AC231" s="154"/>
      <c r="AD231" s="154"/>
      <c r="AE231" s="154"/>
      <c r="AF231" s="367"/>
      <c r="AG231" s="368"/>
      <c r="AH231" s="368"/>
      <c r="AI231" s="368"/>
      <c r="AJ231" s="154"/>
      <c r="AK231" s="154"/>
      <c r="AL231" s="154"/>
      <c r="AM231" s="154"/>
      <c r="AN231" s="154"/>
      <c r="AO231" s="154"/>
      <c r="AP231" s="154"/>
      <c r="AQ231" s="154"/>
      <c r="AR231" s="154"/>
      <c r="AS231" s="154"/>
      <c r="AT231" s="154"/>
      <c r="AU231" s="154"/>
      <c r="AV231" s="154"/>
      <c r="AW231" s="154"/>
      <c r="AX231" s="154"/>
      <c r="AY231" s="154"/>
      <c r="AZ231" s="154"/>
      <c r="BA231" s="154"/>
      <c r="BB231" s="154"/>
      <c r="BC231" s="154"/>
      <c r="BD231" s="154"/>
      <c r="BE231" s="154"/>
      <c r="BF231" s="154"/>
      <c r="BG231" s="154"/>
      <c r="BH231" s="154"/>
      <c r="BI231" s="154"/>
      <c r="BJ231" s="154"/>
      <c r="BK231" s="154"/>
      <c r="BL231" s="154"/>
      <c r="BM231" s="154"/>
      <c r="BN231" s="154"/>
      <c r="BO231" s="154"/>
      <c r="BP231" s="154"/>
      <c r="BQ231" s="154"/>
      <c r="BR231" s="154"/>
      <c r="BS231" s="154"/>
      <c r="BT231" s="154"/>
      <c r="BU231" s="154"/>
      <c r="BV231" s="154"/>
      <c r="BW231" s="154"/>
      <c r="BX231" s="154"/>
      <c r="BY231" s="154"/>
      <c r="BZ231" s="154"/>
      <c r="CA231" s="154"/>
      <c r="CB231" s="154"/>
      <c r="CC231" s="154"/>
      <c r="CD231" s="154"/>
      <c r="CE231" s="154"/>
      <c r="CF231" s="154"/>
      <c r="CG231" s="154"/>
      <c r="CH231" s="154"/>
      <c r="CI231" s="154"/>
      <c r="CJ231" s="154"/>
      <c r="CK231" s="154"/>
      <c r="CL231" s="154"/>
      <c r="CM231" s="154"/>
      <c r="CN231" s="154"/>
      <c r="CO231" s="154"/>
      <c r="CP231" s="154"/>
      <c r="CQ231" s="154"/>
      <c r="CR231" s="154"/>
      <c r="CS231" s="154"/>
      <c r="CT231" s="154"/>
      <c r="CU231" s="154"/>
      <c r="CV231" s="154"/>
      <c r="CW231" s="154"/>
      <c r="CX231" s="154"/>
      <c r="CY231" s="154"/>
      <c r="CZ231" s="154"/>
      <c r="DA231" s="154"/>
      <c r="DB231" s="154"/>
      <c r="DC231" s="154"/>
      <c r="DD231" s="154"/>
      <c r="DE231" s="154"/>
      <c r="DF231" s="154"/>
      <c r="DG231" s="154"/>
      <c r="DH231" s="154"/>
      <c r="DI231" s="154"/>
      <c r="DJ231" s="154"/>
      <c r="DK231" s="154"/>
      <c r="DL231" s="154"/>
      <c r="DM231" s="154"/>
      <c r="DN231" s="154"/>
      <c r="DO231" s="154"/>
      <c r="DP231" s="154"/>
      <c r="DQ231" s="154"/>
      <c r="DR231" s="154"/>
      <c r="DS231" s="154"/>
      <c r="DT231" s="154"/>
      <c r="DU231" s="154"/>
      <c r="DV231" s="154"/>
      <c r="DW231" s="154"/>
      <c r="DX231" s="154"/>
      <c r="DY231" s="154"/>
      <c r="DZ231" s="154"/>
      <c r="EA231" s="154"/>
      <c r="EB231" s="154"/>
      <c r="EC231" s="154"/>
      <c r="ED231" s="154"/>
      <c r="EE231" s="154"/>
      <c r="EF231" s="154"/>
      <c r="EG231" s="154"/>
      <c r="EH231" s="154"/>
      <c r="EI231" s="154"/>
      <c r="EJ231" s="154"/>
      <c r="EK231" s="154"/>
      <c r="EL231" s="154"/>
      <c r="EM231" s="154"/>
      <c r="EN231" s="154"/>
      <c r="EO231" s="154"/>
      <c r="EP231" s="154"/>
      <c r="EQ231" s="154"/>
      <c r="ER231" s="154"/>
      <c r="ES231" s="154"/>
      <c r="ET231" s="154"/>
      <c r="EU231" s="154"/>
      <c r="EV231" s="154"/>
      <c r="EW231" s="154"/>
    </row>
    <row r="232" spans="2:153" ht="12.95" customHeight="1">
      <c r="B232" s="154"/>
      <c r="C232" s="380"/>
      <c r="D232" s="380"/>
      <c r="E232" s="154"/>
      <c r="F232" s="154"/>
      <c r="G232" s="154"/>
      <c r="H232" s="154"/>
      <c r="I232" s="154"/>
      <c r="J232" s="154"/>
      <c r="K232" s="154"/>
      <c r="L232" s="154"/>
      <c r="M232" s="154"/>
      <c r="N232" s="154"/>
      <c r="O232" s="154"/>
      <c r="P232" s="154"/>
      <c r="Q232" s="154"/>
      <c r="R232" s="154"/>
      <c r="S232" s="154"/>
      <c r="T232" s="154"/>
      <c r="U232" s="154"/>
      <c r="V232" s="154"/>
      <c r="W232" s="154"/>
      <c r="X232" s="154"/>
      <c r="Y232" s="154"/>
      <c r="Z232" s="154"/>
      <c r="AA232" s="154"/>
      <c r="AB232" s="154"/>
      <c r="AC232" s="154"/>
      <c r="AD232" s="154"/>
      <c r="AE232" s="154"/>
      <c r="AF232" s="367"/>
      <c r="AG232" s="368"/>
      <c r="AH232" s="368"/>
      <c r="AI232" s="368"/>
      <c r="AJ232" s="154"/>
      <c r="AK232" s="154"/>
      <c r="AL232" s="154"/>
      <c r="AM232" s="154"/>
      <c r="AN232" s="154"/>
      <c r="AO232" s="154"/>
      <c r="AP232" s="154"/>
      <c r="AQ232" s="154"/>
      <c r="AR232" s="154"/>
      <c r="AS232" s="154"/>
      <c r="AT232" s="154"/>
      <c r="AU232" s="154"/>
      <c r="AV232" s="154"/>
      <c r="AW232" s="154"/>
      <c r="AX232" s="154"/>
      <c r="AY232" s="154"/>
      <c r="AZ232" s="154"/>
      <c r="BA232" s="154"/>
      <c r="BB232" s="154"/>
      <c r="BC232" s="154"/>
      <c r="BD232" s="154"/>
      <c r="BE232" s="154"/>
      <c r="BF232" s="154"/>
      <c r="BG232" s="154"/>
      <c r="BH232" s="154"/>
      <c r="BI232" s="154"/>
      <c r="BJ232" s="154"/>
      <c r="BK232" s="154"/>
      <c r="BL232" s="154"/>
      <c r="BM232" s="154"/>
      <c r="BN232" s="154"/>
      <c r="BO232" s="154"/>
      <c r="BP232" s="154"/>
      <c r="BQ232" s="154"/>
      <c r="BR232" s="154"/>
      <c r="BS232" s="154"/>
      <c r="BT232" s="154"/>
      <c r="BU232" s="154"/>
      <c r="BV232" s="154"/>
      <c r="BW232" s="154"/>
      <c r="BX232" s="154"/>
      <c r="BY232" s="154"/>
      <c r="BZ232" s="154"/>
      <c r="CA232" s="154"/>
      <c r="CB232" s="154"/>
      <c r="CC232" s="154"/>
      <c r="CD232" s="154"/>
      <c r="CE232" s="154"/>
      <c r="CF232" s="154"/>
      <c r="CG232" s="154"/>
      <c r="CH232" s="154"/>
      <c r="CI232" s="154"/>
      <c r="CJ232" s="154"/>
      <c r="CK232" s="154"/>
      <c r="CL232" s="154"/>
      <c r="CM232" s="154"/>
      <c r="CN232" s="154"/>
      <c r="CO232" s="154"/>
      <c r="CP232" s="154"/>
      <c r="CQ232" s="154"/>
      <c r="CR232" s="154"/>
      <c r="CS232" s="154"/>
      <c r="CT232" s="154"/>
      <c r="CU232" s="154"/>
      <c r="CV232" s="154"/>
      <c r="CW232" s="154"/>
      <c r="CX232" s="154"/>
      <c r="CY232" s="154"/>
      <c r="CZ232" s="154"/>
      <c r="DA232" s="154"/>
      <c r="DB232" s="154"/>
      <c r="DC232" s="154"/>
      <c r="DD232" s="154"/>
      <c r="DE232" s="154"/>
      <c r="DF232" s="154"/>
      <c r="DG232" s="154"/>
      <c r="DH232" s="154"/>
      <c r="DI232" s="154"/>
      <c r="DJ232" s="154"/>
      <c r="DK232" s="154"/>
      <c r="DL232" s="154"/>
      <c r="DM232" s="154"/>
      <c r="DN232" s="154"/>
      <c r="DO232" s="154"/>
      <c r="DP232" s="154"/>
      <c r="DQ232" s="154"/>
      <c r="DR232" s="154"/>
      <c r="DS232" s="154"/>
      <c r="DT232" s="154"/>
      <c r="DU232" s="154"/>
      <c r="DV232" s="154"/>
      <c r="DW232" s="154"/>
      <c r="DX232" s="154"/>
      <c r="DY232" s="154"/>
      <c r="DZ232" s="154"/>
      <c r="EA232" s="154"/>
      <c r="EB232" s="154"/>
      <c r="EC232" s="154"/>
      <c r="ED232" s="154"/>
      <c r="EE232" s="154"/>
      <c r="EF232" s="154"/>
      <c r="EG232" s="154"/>
      <c r="EH232" s="154"/>
      <c r="EI232" s="154"/>
      <c r="EJ232" s="154"/>
      <c r="EK232" s="154"/>
      <c r="EL232" s="154"/>
      <c r="EM232" s="154"/>
      <c r="EN232" s="154"/>
      <c r="EO232" s="154"/>
      <c r="EP232" s="154"/>
      <c r="EQ232" s="154"/>
      <c r="ER232" s="154"/>
      <c r="ES232" s="154"/>
      <c r="ET232" s="154"/>
      <c r="EU232" s="154"/>
      <c r="EV232" s="154"/>
      <c r="EW232" s="154"/>
    </row>
    <row r="233" spans="2:153" ht="12.95" customHeight="1">
      <c r="B233" s="154"/>
      <c r="C233" s="380"/>
      <c r="D233" s="380"/>
      <c r="E233" s="154"/>
      <c r="F233" s="154"/>
      <c r="G233" s="154"/>
      <c r="H233" s="154"/>
      <c r="I233" s="154"/>
      <c r="J233" s="154"/>
      <c r="K233" s="154"/>
      <c r="L233" s="154"/>
      <c r="M233" s="154"/>
      <c r="N233" s="154"/>
      <c r="O233" s="154"/>
      <c r="P233" s="154"/>
      <c r="Q233" s="154"/>
      <c r="R233" s="154"/>
      <c r="S233" s="154"/>
      <c r="T233" s="154"/>
      <c r="U233" s="154"/>
      <c r="V233" s="154"/>
      <c r="W233" s="154"/>
      <c r="X233" s="154"/>
      <c r="Y233" s="154"/>
      <c r="Z233" s="154"/>
      <c r="AA233" s="154"/>
      <c r="AB233" s="154"/>
      <c r="AC233" s="154"/>
      <c r="AD233" s="154"/>
      <c r="AE233" s="154"/>
      <c r="AF233" s="367"/>
      <c r="AG233" s="368"/>
      <c r="AH233" s="368"/>
      <c r="AI233" s="368"/>
      <c r="AJ233" s="154"/>
      <c r="AK233" s="154"/>
      <c r="AL233" s="154"/>
      <c r="AM233" s="154"/>
      <c r="AN233" s="154"/>
      <c r="AO233" s="154"/>
      <c r="AP233" s="154"/>
      <c r="AQ233" s="154"/>
      <c r="AR233" s="154"/>
      <c r="AS233" s="154"/>
      <c r="AT233" s="154"/>
      <c r="AU233" s="154"/>
      <c r="AV233" s="154"/>
      <c r="AW233" s="154"/>
      <c r="AX233" s="154"/>
      <c r="AY233" s="154"/>
      <c r="AZ233" s="154"/>
      <c r="BA233" s="154"/>
      <c r="BB233" s="154"/>
      <c r="BC233" s="154"/>
      <c r="BD233" s="154"/>
      <c r="BE233" s="154"/>
      <c r="BF233" s="154"/>
      <c r="BG233" s="154"/>
      <c r="BH233" s="154"/>
      <c r="BI233" s="154"/>
      <c r="BJ233" s="154"/>
      <c r="BK233" s="154"/>
      <c r="BL233" s="154"/>
      <c r="BM233" s="154"/>
      <c r="BN233" s="154"/>
      <c r="BO233" s="154"/>
      <c r="BP233" s="154"/>
      <c r="BQ233" s="154"/>
      <c r="BR233" s="154"/>
      <c r="BS233" s="154"/>
      <c r="BT233" s="154"/>
      <c r="BU233" s="154"/>
      <c r="BV233" s="154"/>
      <c r="BW233" s="154"/>
      <c r="BX233" s="154"/>
      <c r="BY233" s="154"/>
      <c r="BZ233" s="154"/>
      <c r="CA233" s="154"/>
      <c r="CB233" s="154"/>
      <c r="CC233" s="154"/>
      <c r="CD233" s="154"/>
      <c r="CE233" s="154"/>
      <c r="CF233" s="154"/>
      <c r="CG233" s="154"/>
      <c r="CH233" s="154"/>
      <c r="CI233" s="154"/>
      <c r="CJ233" s="154"/>
      <c r="CK233" s="154"/>
      <c r="CL233" s="154"/>
      <c r="CM233" s="154"/>
      <c r="CN233" s="154"/>
      <c r="CO233" s="154"/>
      <c r="CP233" s="154"/>
      <c r="CQ233" s="154"/>
      <c r="CR233" s="154"/>
      <c r="CS233" s="154"/>
      <c r="CT233" s="154"/>
      <c r="CU233" s="154"/>
      <c r="CV233" s="154"/>
      <c r="CW233" s="154"/>
      <c r="CX233" s="154"/>
      <c r="CY233" s="154"/>
      <c r="CZ233" s="154"/>
      <c r="DA233" s="154"/>
      <c r="DB233" s="154"/>
      <c r="DC233" s="154"/>
      <c r="DD233" s="154"/>
      <c r="DE233" s="154"/>
      <c r="DF233" s="154"/>
      <c r="DG233" s="154"/>
      <c r="DH233" s="154"/>
      <c r="DI233" s="154"/>
      <c r="DJ233" s="154"/>
      <c r="DK233" s="154"/>
      <c r="DL233" s="154"/>
      <c r="DM233" s="154"/>
      <c r="DN233" s="154"/>
      <c r="DO233" s="154"/>
      <c r="DP233" s="154"/>
      <c r="DQ233" s="154"/>
      <c r="DR233" s="154"/>
      <c r="DS233" s="154"/>
      <c r="DT233" s="154"/>
      <c r="DU233" s="154"/>
      <c r="DV233" s="154"/>
      <c r="DW233" s="154"/>
      <c r="DX233" s="154"/>
      <c r="DY233" s="154"/>
      <c r="DZ233" s="154"/>
      <c r="EA233" s="154"/>
      <c r="EB233" s="154"/>
      <c r="EC233" s="154"/>
      <c r="ED233" s="154"/>
      <c r="EE233" s="154"/>
      <c r="EF233" s="154"/>
      <c r="EG233" s="154"/>
      <c r="EH233" s="154"/>
      <c r="EI233" s="154"/>
      <c r="EJ233" s="154"/>
      <c r="EK233" s="154"/>
      <c r="EL233" s="154"/>
      <c r="EM233" s="154"/>
      <c r="EN233" s="154"/>
      <c r="EO233" s="154"/>
      <c r="EP233" s="154"/>
      <c r="EQ233" s="154"/>
      <c r="ER233" s="154"/>
      <c r="ES233" s="154"/>
      <c r="ET233" s="154"/>
      <c r="EU233" s="154"/>
      <c r="EV233" s="154"/>
      <c r="EW233" s="154"/>
    </row>
    <row r="234" spans="2:153" ht="12.95" customHeight="1">
      <c r="B234" s="154"/>
      <c r="C234" s="380"/>
      <c r="D234" s="380"/>
      <c r="E234" s="154"/>
      <c r="F234" s="154"/>
      <c r="G234" s="154"/>
      <c r="H234" s="154"/>
      <c r="I234" s="154"/>
      <c r="J234" s="154"/>
      <c r="K234" s="154"/>
      <c r="L234" s="154"/>
      <c r="M234" s="154"/>
      <c r="N234" s="154"/>
      <c r="O234" s="154"/>
      <c r="P234" s="154"/>
      <c r="Q234" s="154"/>
      <c r="R234" s="154"/>
      <c r="S234" s="154"/>
      <c r="T234" s="154"/>
      <c r="U234" s="154"/>
      <c r="V234" s="154"/>
      <c r="W234" s="154"/>
      <c r="X234" s="154"/>
      <c r="Y234" s="154"/>
      <c r="Z234" s="154"/>
      <c r="AA234" s="154"/>
      <c r="AB234" s="154"/>
      <c r="AC234" s="154"/>
      <c r="AD234" s="154"/>
      <c r="AE234" s="154"/>
      <c r="AF234" s="367"/>
      <c r="AG234" s="368"/>
      <c r="AH234" s="368"/>
      <c r="AI234" s="368"/>
      <c r="AJ234" s="154"/>
      <c r="AK234" s="154"/>
      <c r="AL234" s="154"/>
      <c r="AM234" s="154"/>
      <c r="AN234" s="154"/>
      <c r="AO234" s="154"/>
      <c r="AP234" s="154"/>
      <c r="AQ234" s="154"/>
      <c r="AR234" s="154"/>
      <c r="AS234" s="154"/>
      <c r="AT234" s="154"/>
      <c r="AU234" s="154"/>
      <c r="AV234" s="154"/>
      <c r="AW234" s="154"/>
      <c r="AX234" s="154"/>
      <c r="AY234" s="154"/>
      <c r="AZ234" s="154"/>
      <c r="BA234" s="154"/>
      <c r="BB234" s="154"/>
      <c r="BC234" s="154"/>
      <c r="BD234" s="154"/>
      <c r="BE234" s="154"/>
      <c r="BF234" s="154"/>
      <c r="BG234" s="154"/>
      <c r="BH234" s="154"/>
      <c r="BI234" s="154"/>
      <c r="BJ234" s="154"/>
      <c r="BK234" s="154"/>
      <c r="BL234" s="154"/>
      <c r="BM234" s="154"/>
      <c r="BN234" s="154"/>
      <c r="BO234" s="154"/>
      <c r="BP234" s="154"/>
      <c r="BQ234" s="154"/>
      <c r="BR234" s="154"/>
      <c r="BS234" s="154"/>
      <c r="BT234" s="154"/>
      <c r="BU234" s="154"/>
      <c r="BV234" s="154"/>
      <c r="BW234" s="154"/>
      <c r="BX234" s="154"/>
      <c r="BY234" s="154"/>
      <c r="BZ234" s="154"/>
      <c r="CA234" s="154"/>
      <c r="CB234" s="154"/>
      <c r="CC234" s="154"/>
      <c r="CD234" s="154"/>
      <c r="CE234" s="154"/>
      <c r="CF234" s="154"/>
      <c r="CG234" s="154"/>
      <c r="CH234" s="154"/>
      <c r="CI234" s="154"/>
      <c r="CJ234" s="154"/>
      <c r="CK234" s="154"/>
      <c r="CL234" s="154"/>
      <c r="CM234" s="154"/>
      <c r="CN234" s="154"/>
      <c r="CO234" s="154"/>
      <c r="CP234" s="154"/>
      <c r="CQ234" s="154"/>
      <c r="CR234" s="154"/>
      <c r="CS234" s="154"/>
      <c r="CT234" s="154"/>
      <c r="CU234" s="154"/>
      <c r="CV234" s="154"/>
      <c r="CW234" s="154"/>
      <c r="CX234" s="154"/>
      <c r="CY234" s="154"/>
      <c r="CZ234" s="154"/>
      <c r="DA234" s="154"/>
      <c r="DB234" s="154"/>
      <c r="DC234" s="154"/>
      <c r="DD234" s="154"/>
      <c r="DE234" s="154"/>
      <c r="DF234" s="154"/>
      <c r="DG234" s="154"/>
      <c r="DH234" s="154"/>
      <c r="DI234" s="154"/>
      <c r="DJ234" s="154"/>
      <c r="DK234" s="154"/>
      <c r="DL234" s="154"/>
      <c r="DM234" s="154"/>
      <c r="DN234" s="154"/>
      <c r="DO234" s="154"/>
      <c r="DP234" s="154"/>
      <c r="DQ234" s="154"/>
      <c r="DR234" s="154"/>
      <c r="DS234" s="154"/>
      <c r="DT234" s="154"/>
      <c r="DU234" s="154"/>
      <c r="DV234" s="154"/>
      <c r="DW234" s="154"/>
      <c r="DX234" s="154"/>
      <c r="DY234" s="154"/>
      <c r="DZ234" s="154"/>
      <c r="EA234" s="154"/>
      <c r="EB234" s="154"/>
      <c r="EC234" s="154"/>
      <c r="ED234" s="154"/>
      <c r="EE234" s="154"/>
      <c r="EF234" s="154"/>
      <c r="EG234" s="154"/>
      <c r="EH234" s="154"/>
      <c r="EI234" s="154"/>
      <c r="EJ234" s="154"/>
      <c r="EK234" s="154"/>
      <c r="EL234" s="154"/>
      <c r="EM234" s="154"/>
      <c r="EN234" s="154"/>
      <c r="EO234" s="154"/>
      <c r="EP234" s="154"/>
      <c r="EQ234" s="154"/>
      <c r="ER234" s="154"/>
      <c r="ES234" s="154"/>
      <c r="ET234" s="154"/>
      <c r="EU234" s="154"/>
      <c r="EV234" s="154"/>
      <c r="EW234" s="154"/>
    </row>
    <row r="235" spans="2:153" ht="12.95" customHeight="1">
      <c r="B235" s="154"/>
      <c r="C235" s="380"/>
      <c r="D235" s="380"/>
      <c r="E235" s="154"/>
      <c r="F235" s="154"/>
      <c r="G235" s="154"/>
      <c r="H235" s="154"/>
      <c r="I235" s="154"/>
      <c r="J235" s="154"/>
      <c r="K235" s="154"/>
      <c r="L235" s="154"/>
      <c r="M235" s="154"/>
      <c r="N235" s="154"/>
      <c r="O235" s="154"/>
      <c r="P235" s="154"/>
      <c r="Q235" s="154"/>
      <c r="R235" s="154"/>
      <c r="S235" s="154"/>
      <c r="T235" s="154"/>
      <c r="U235" s="154"/>
      <c r="V235" s="154"/>
      <c r="W235" s="154"/>
      <c r="X235" s="154"/>
      <c r="Y235" s="154"/>
      <c r="Z235" s="154"/>
      <c r="AA235" s="154"/>
      <c r="AB235" s="154"/>
      <c r="AC235" s="154"/>
      <c r="AD235" s="154"/>
      <c r="AE235" s="154"/>
      <c r="AF235" s="367"/>
      <c r="AG235" s="368"/>
      <c r="AH235" s="368"/>
      <c r="AI235" s="368"/>
      <c r="AJ235" s="154"/>
      <c r="AK235" s="154"/>
      <c r="AL235" s="154"/>
      <c r="AM235" s="154"/>
      <c r="AN235" s="154"/>
      <c r="AO235" s="154"/>
      <c r="AP235" s="154"/>
      <c r="AQ235" s="154"/>
      <c r="AR235" s="154"/>
      <c r="AS235" s="154"/>
      <c r="AT235" s="154"/>
      <c r="AU235" s="154"/>
      <c r="AV235" s="154"/>
      <c r="AW235" s="154"/>
      <c r="AX235" s="154"/>
      <c r="AY235" s="154"/>
      <c r="AZ235" s="154"/>
      <c r="BA235" s="154"/>
      <c r="BB235" s="154"/>
      <c r="BC235" s="154"/>
      <c r="BD235" s="154"/>
      <c r="BE235" s="154"/>
      <c r="BF235" s="154"/>
      <c r="BG235" s="154"/>
      <c r="BH235" s="154"/>
      <c r="BI235" s="154"/>
      <c r="BJ235" s="154"/>
      <c r="BK235" s="154"/>
      <c r="BL235" s="154"/>
      <c r="BM235" s="154"/>
      <c r="BN235" s="154"/>
      <c r="BO235" s="154"/>
      <c r="BP235" s="154"/>
      <c r="BQ235" s="154"/>
      <c r="BR235" s="154"/>
      <c r="BS235" s="154"/>
      <c r="BT235" s="154"/>
      <c r="BU235" s="154"/>
      <c r="BV235" s="154"/>
      <c r="BW235" s="154"/>
      <c r="BX235" s="154"/>
      <c r="BY235" s="154"/>
      <c r="BZ235" s="154"/>
      <c r="CA235" s="154"/>
      <c r="CB235" s="154"/>
      <c r="CC235" s="154"/>
      <c r="CD235" s="154"/>
      <c r="CE235" s="154"/>
      <c r="CF235" s="154"/>
      <c r="CG235" s="154"/>
      <c r="CH235" s="154"/>
      <c r="CI235" s="154"/>
      <c r="CJ235" s="154"/>
      <c r="CK235" s="154"/>
      <c r="CL235" s="154"/>
      <c r="CM235" s="154"/>
      <c r="CN235" s="154"/>
      <c r="CO235" s="154"/>
      <c r="CP235" s="154"/>
      <c r="CQ235" s="154"/>
      <c r="CR235" s="154"/>
      <c r="CS235" s="154"/>
      <c r="CT235" s="154"/>
      <c r="CU235" s="154"/>
      <c r="CV235" s="154"/>
      <c r="CW235" s="154"/>
      <c r="CX235" s="154"/>
      <c r="CY235" s="154"/>
      <c r="CZ235" s="154"/>
      <c r="DA235" s="154"/>
      <c r="DB235" s="154"/>
      <c r="DC235" s="154"/>
      <c r="DD235" s="154"/>
      <c r="DE235" s="154"/>
      <c r="DF235" s="154"/>
      <c r="DG235" s="154"/>
      <c r="DH235" s="154"/>
      <c r="DI235" s="154"/>
      <c r="DJ235" s="154"/>
      <c r="DK235" s="154"/>
      <c r="DL235" s="154"/>
      <c r="DM235" s="154"/>
      <c r="DN235" s="154"/>
      <c r="DO235" s="154"/>
      <c r="DP235" s="154"/>
      <c r="DQ235" s="154"/>
      <c r="DR235" s="154"/>
      <c r="DS235" s="154"/>
      <c r="DT235" s="154"/>
      <c r="DU235" s="154"/>
      <c r="DV235" s="154"/>
      <c r="DW235" s="154"/>
      <c r="DX235" s="154"/>
      <c r="DY235" s="154"/>
      <c r="DZ235" s="154"/>
      <c r="EA235" s="154"/>
      <c r="EB235" s="154"/>
      <c r="EC235" s="154"/>
      <c r="ED235" s="154"/>
      <c r="EE235" s="154"/>
      <c r="EF235" s="154"/>
      <c r="EG235" s="154"/>
      <c r="EH235" s="154"/>
      <c r="EI235" s="154"/>
      <c r="EJ235" s="154"/>
      <c r="EK235" s="154"/>
      <c r="EL235" s="154"/>
      <c r="EM235" s="154"/>
      <c r="EN235" s="154"/>
      <c r="EO235" s="154"/>
      <c r="EP235" s="154"/>
      <c r="EQ235" s="154"/>
      <c r="ER235" s="154"/>
      <c r="ES235" s="154"/>
      <c r="ET235" s="154"/>
      <c r="EU235" s="154"/>
      <c r="EV235" s="154"/>
      <c r="EW235" s="154"/>
    </row>
    <row r="236" spans="2:153" ht="12.95" customHeight="1">
      <c r="B236" s="154"/>
      <c r="C236" s="380"/>
      <c r="D236" s="380"/>
      <c r="E236" s="154"/>
      <c r="F236" s="154"/>
      <c r="G236" s="154"/>
      <c r="H236" s="154"/>
      <c r="I236" s="154"/>
      <c r="J236" s="154"/>
      <c r="K236" s="154"/>
      <c r="L236" s="154"/>
      <c r="M236" s="154"/>
      <c r="N236" s="154"/>
      <c r="O236" s="154"/>
      <c r="P236" s="154"/>
      <c r="Q236" s="154"/>
      <c r="R236" s="154"/>
      <c r="S236" s="154"/>
      <c r="T236" s="154"/>
      <c r="U236" s="154"/>
      <c r="V236" s="154"/>
      <c r="W236" s="154"/>
      <c r="X236" s="154"/>
      <c r="Y236" s="154"/>
      <c r="Z236" s="154"/>
      <c r="AA236" s="154"/>
      <c r="AB236" s="154"/>
      <c r="AC236" s="154"/>
      <c r="AD236" s="154"/>
      <c r="AE236" s="154"/>
      <c r="AF236" s="367"/>
      <c r="AG236" s="368"/>
      <c r="AH236" s="368"/>
      <c r="AI236" s="368"/>
      <c r="AJ236" s="154"/>
      <c r="AK236" s="154"/>
      <c r="AL236" s="154"/>
      <c r="AM236" s="154"/>
      <c r="AN236" s="154"/>
      <c r="AO236" s="154"/>
      <c r="AP236" s="154"/>
      <c r="AQ236" s="154"/>
      <c r="AR236" s="154"/>
      <c r="AS236" s="154"/>
      <c r="AT236" s="154"/>
      <c r="AU236" s="154"/>
      <c r="AV236" s="154"/>
      <c r="AW236" s="154"/>
      <c r="AX236" s="154"/>
      <c r="AY236" s="154"/>
      <c r="AZ236" s="154"/>
      <c r="BA236" s="154"/>
      <c r="BB236" s="154"/>
      <c r="BC236" s="154"/>
      <c r="BD236" s="154"/>
      <c r="BE236" s="154"/>
      <c r="BF236" s="154"/>
      <c r="BG236" s="154"/>
      <c r="BH236" s="154"/>
      <c r="BI236" s="154"/>
      <c r="BJ236" s="154"/>
      <c r="BK236" s="154"/>
      <c r="BL236" s="154"/>
      <c r="BM236" s="154"/>
      <c r="BN236" s="154"/>
      <c r="BO236" s="154"/>
      <c r="BP236" s="154"/>
      <c r="BQ236" s="154"/>
      <c r="BR236" s="154"/>
      <c r="BS236" s="154"/>
      <c r="BT236" s="154"/>
      <c r="BU236" s="154"/>
      <c r="BV236" s="154"/>
      <c r="BW236" s="154"/>
      <c r="BX236" s="154"/>
      <c r="BY236" s="154"/>
      <c r="BZ236" s="154"/>
      <c r="CA236" s="154"/>
      <c r="CB236" s="154"/>
      <c r="CC236" s="154"/>
      <c r="CD236" s="154"/>
      <c r="CE236" s="154"/>
      <c r="CF236" s="154"/>
      <c r="CG236" s="154"/>
      <c r="CH236" s="154"/>
      <c r="CI236" s="154"/>
      <c r="CJ236" s="154"/>
      <c r="CK236" s="154"/>
      <c r="CL236" s="154"/>
      <c r="CM236" s="154"/>
      <c r="CN236" s="154"/>
      <c r="CO236" s="154"/>
      <c r="CP236" s="154"/>
      <c r="CQ236" s="154"/>
      <c r="CR236" s="154"/>
      <c r="CS236" s="154"/>
      <c r="CT236" s="154"/>
      <c r="CU236" s="154"/>
      <c r="CV236" s="154"/>
      <c r="CW236" s="154"/>
      <c r="CX236" s="154"/>
      <c r="CY236" s="154"/>
      <c r="CZ236" s="154"/>
      <c r="DA236" s="154"/>
      <c r="DB236" s="154"/>
      <c r="DC236" s="154"/>
      <c r="DD236" s="154"/>
      <c r="DE236" s="154"/>
      <c r="DF236" s="154"/>
      <c r="DG236" s="154"/>
      <c r="DH236" s="154"/>
      <c r="DI236" s="154"/>
      <c r="DJ236" s="154"/>
      <c r="DK236" s="154"/>
      <c r="DL236" s="154"/>
      <c r="DM236" s="154"/>
      <c r="DN236" s="154"/>
      <c r="DO236" s="154"/>
      <c r="DP236" s="154"/>
      <c r="DQ236" s="154"/>
      <c r="DR236" s="154"/>
      <c r="DS236" s="154"/>
      <c r="DT236" s="154"/>
      <c r="DU236" s="154"/>
      <c r="DV236" s="154"/>
      <c r="DW236" s="154"/>
      <c r="DX236" s="154"/>
      <c r="DY236" s="154"/>
      <c r="DZ236" s="154"/>
      <c r="EA236" s="154"/>
      <c r="EB236" s="154"/>
      <c r="EC236" s="154"/>
      <c r="ED236" s="154"/>
      <c r="EE236" s="154"/>
      <c r="EF236" s="154"/>
      <c r="EG236" s="154"/>
      <c r="EH236" s="154"/>
      <c r="EI236" s="154"/>
      <c r="EJ236" s="154"/>
      <c r="EK236" s="154"/>
      <c r="EL236" s="154"/>
      <c r="EM236" s="154"/>
      <c r="EN236" s="154"/>
      <c r="EO236" s="154"/>
      <c r="EP236" s="154"/>
      <c r="EQ236" s="154"/>
      <c r="ER236" s="154"/>
      <c r="ES236" s="154"/>
      <c r="ET236" s="154"/>
      <c r="EU236" s="154"/>
      <c r="EV236" s="154"/>
      <c r="EW236" s="154"/>
    </row>
    <row r="237" spans="2:153" ht="12.95" customHeight="1">
      <c r="B237" s="154"/>
      <c r="C237" s="380"/>
      <c r="D237" s="380"/>
      <c r="E237" s="154"/>
      <c r="F237" s="154"/>
      <c r="G237" s="154"/>
      <c r="H237" s="154"/>
      <c r="I237" s="154"/>
      <c r="J237" s="154"/>
      <c r="K237" s="154"/>
      <c r="L237" s="154"/>
      <c r="M237" s="154"/>
      <c r="N237" s="154"/>
      <c r="O237" s="154"/>
      <c r="P237" s="154"/>
      <c r="Q237" s="154"/>
      <c r="R237" s="154"/>
      <c r="S237" s="154"/>
      <c r="T237" s="154"/>
      <c r="U237" s="154"/>
      <c r="V237" s="154"/>
      <c r="W237" s="154"/>
      <c r="X237" s="154"/>
      <c r="Y237" s="154"/>
      <c r="Z237" s="154"/>
      <c r="AA237" s="154"/>
      <c r="AB237" s="154"/>
      <c r="AC237" s="154"/>
      <c r="AD237" s="154"/>
      <c r="AE237" s="154"/>
      <c r="AF237" s="367"/>
      <c r="AG237" s="368"/>
      <c r="AH237" s="368"/>
      <c r="AI237" s="368"/>
      <c r="AJ237" s="154"/>
      <c r="AK237" s="154"/>
      <c r="AL237" s="154"/>
      <c r="AM237" s="154"/>
      <c r="AN237" s="154"/>
      <c r="AO237" s="154"/>
      <c r="AP237" s="154"/>
      <c r="AQ237" s="154"/>
      <c r="AR237" s="154"/>
      <c r="AS237" s="154"/>
      <c r="AT237" s="154"/>
      <c r="AU237" s="154"/>
      <c r="AV237" s="154"/>
      <c r="AW237" s="154"/>
      <c r="AX237" s="154"/>
      <c r="AY237" s="154"/>
      <c r="AZ237" s="154"/>
      <c r="BA237" s="154"/>
      <c r="BB237" s="154"/>
      <c r="BC237" s="154"/>
      <c r="BD237" s="154"/>
      <c r="BE237" s="154"/>
      <c r="BF237" s="154"/>
      <c r="BG237" s="154"/>
      <c r="BH237" s="154"/>
      <c r="BI237" s="154"/>
      <c r="BJ237" s="154"/>
      <c r="BK237" s="154"/>
      <c r="BL237" s="154"/>
      <c r="BM237" s="154"/>
      <c r="BN237" s="154"/>
      <c r="BO237" s="154"/>
      <c r="BP237" s="154"/>
      <c r="BQ237" s="154"/>
      <c r="BR237" s="154"/>
      <c r="BS237" s="154"/>
      <c r="BT237" s="154"/>
      <c r="BU237" s="154"/>
      <c r="BV237" s="154"/>
      <c r="BW237" s="154"/>
      <c r="BX237" s="154"/>
      <c r="BY237" s="154"/>
      <c r="BZ237" s="154"/>
      <c r="CA237" s="154"/>
      <c r="CB237" s="154"/>
      <c r="CC237" s="154"/>
      <c r="CD237" s="154"/>
      <c r="CE237" s="154"/>
      <c r="CF237" s="154"/>
      <c r="CG237" s="154"/>
      <c r="CH237" s="154"/>
      <c r="CI237" s="154"/>
      <c r="CJ237" s="154"/>
      <c r="CK237" s="154"/>
      <c r="CL237" s="154"/>
      <c r="CM237" s="154"/>
      <c r="CN237" s="154"/>
      <c r="CO237" s="154"/>
      <c r="CP237" s="154"/>
      <c r="CQ237" s="154"/>
      <c r="CR237" s="154"/>
      <c r="CS237" s="154"/>
      <c r="CT237" s="154"/>
      <c r="CU237" s="154"/>
      <c r="CV237" s="154"/>
      <c r="CW237" s="154"/>
      <c r="CX237" s="154"/>
      <c r="CY237" s="154"/>
      <c r="CZ237" s="154"/>
      <c r="DA237" s="154"/>
      <c r="DB237" s="154"/>
      <c r="DC237" s="154"/>
      <c r="DD237" s="154"/>
      <c r="DE237" s="154"/>
      <c r="DF237" s="154"/>
      <c r="DG237" s="154"/>
      <c r="DH237" s="154"/>
      <c r="DI237" s="154"/>
      <c r="DJ237" s="154"/>
      <c r="DK237" s="154"/>
      <c r="DL237" s="154"/>
      <c r="DM237" s="154"/>
      <c r="DN237" s="154"/>
      <c r="DO237" s="154"/>
      <c r="DP237" s="154"/>
      <c r="DQ237" s="154"/>
      <c r="DR237" s="154"/>
      <c r="DS237" s="154"/>
      <c r="DT237" s="154"/>
      <c r="DU237" s="154"/>
      <c r="DV237" s="154"/>
      <c r="DW237" s="154"/>
      <c r="DX237" s="154"/>
      <c r="DY237" s="154"/>
      <c r="DZ237" s="154"/>
      <c r="EA237" s="154"/>
      <c r="EB237" s="154"/>
      <c r="EC237" s="154"/>
      <c r="ED237" s="154"/>
      <c r="EE237" s="154"/>
      <c r="EF237" s="154"/>
      <c r="EG237" s="154"/>
      <c r="EH237" s="154"/>
      <c r="EI237" s="154"/>
      <c r="EJ237" s="154"/>
      <c r="EK237" s="154"/>
      <c r="EL237" s="154"/>
      <c r="EM237" s="154"/>
      <c r="EN237" s="154"/>
      <c r="EO237" s="154"/>
      <c r="EP237" s="154"/>
      <c r="EQ237" s="154"/>
      <c r="ER237" s="154"/>
      <c r="ES237" s="154"/>
      <c r="ET237" s="154"/>
      <c r="EU237" s="154"/>
      <c r="EV237" s="154"/>
      <c r="EW237" s="154"/>
    </row>
    <row r="238" spans="2:153" ht="12.95" customHeight="1">
      <c r="B238" s="154"/>
      <c r="C238" s="380"/>
      <c r="D238" s="380"/>
      <c r="E238" s="154"/>
      <c r="F238" s="154"/>
      <c r="G238" s="154"/>
      <c r="H238" s="154"/>
      <c r="I238" s="154"/>
      <c r="J238" s="154"/>
      <c r="K238" s="154"/>
      <c r="L238" s="154"/>
      <c r="M238" s="154"/>
      <c r="N238" s="154"/>
      <c r="O238" s="154"/>
      <c r="P238" s="154"/>
      <c r="Q238" s="154"/>
      <c r="R238" s="154"/>
      <c r="S238" s="154"/>
      <c r="T238" s="154"/>
      <c r="U238" s="154"/>
      <c r="V238" s="154"/>
      <c r="W238" s="154"/>
      <c r="X238" s="154"/>
      <c r="Y238" s="154"/>
      <c r="Z238" s="154"/>
      <c r="AA238" s="154"/>
      <c r="AB238" s="154"/>
      <c r="AC238" s="154"/>
      <c r="AD238" s="154"/>
      <c r="AE238" s="154"/>
      <c r="AF238" s="367"/>
      <c r="AG238" s="368"/>
      <c r="AH238" s="368"/>
      <c r="AI238" s="368"/>
      <c r="AJ238" s="154"/>
      <c r="AK238" s="154"/>
      <c r="AL238" s="154"/>
      <c r="AM238" s="154"/>
      <c r="AN238" s="154"/>
      <c r="AO238" s="154"/>
      <c r="AP238" s="154"/>
      <c r="AQ238" s="154"/>
      <c r="AR238" s="154"/>
      <c r="AS238" s="154"/>
      <c r="AT238" s="154"/>
      <c r="AU238" s="154"/>
      <c r="AV238" s="154"/>
      <c r="AW238" s="154"/>
      <c r="AX238" s="154"/>
      <c r="AY238" s="154"/>
      <c r="AZ238" s="154"/>
      <c r="BA238" s="154"/>
      <c r="BB238" s="154"/>
      <c r="BC238" s="154"/>
      <c r="BD238" s="154"/>
      <c r="BE238" s="154"/>
      <c r="BF238" s="154"/>
      <c r="BG238" s="154"/>
      <c r="BH238" s="154"/>
      <c r="BI238" s="154"/>
      <c r="BJ238" s="154"/>
      <c r="BK238" s="154"/>
      <c r="BL238" s="154"/>
      <c r="BM238" s="154"/>
      <c r="BN238" s="154"/>
      <c r="BO238" s="154"/>
      <c r="BP238" s="154"/>
      <c r="BQ238" s="154"/>
      <c r="BR238" s="154"/>
      <c r="BS238" s="154"/>
      <c r="BT238" s="154"/>
      <c r="BU238" s="154"/>
      <c r="BV238" s="154"/>
      <c r="BW238" s="154"/>
      <c r="BX238" s="154"/>
      <c r="BY238" s="154"/>
      <c r="BZ238" s="154"/>
      <c r="CA238" s="154"/>
      <c r="CB238" s="154"/>
      <c r="CC238" s="154"/>
      <c r="CD238" s="154"/>
      <c r="CE238" s="154"/>
      <c r="CF238" s="154"/>
      <c r="CG238" s="154"/>
      <c r="CH238" s="154"/>
      <c r="CI238" s="154"/>
      <c r="CJ238" s="154"/>
      <c r="CK238" s="154"/>
      <c r="CL238" s="154"/>
      <c r="CM238" s="154"/>
      <c r="CN238" s="154"/>
      <c r="CO238" s="154"/>
      <c r="CP238" s="154"/>
      <c r="CQ238" s="154"/>
      <c r="CR238" s="154"/>
      <c r="CS238" s="154"/>
      <c r="CT238" s="154"/>
      <c r="CU238" s="154"/>
      <c r="CV238" s="154"/>
      <c r="CW238" s="154"/>
      <c r="CX238" s="154"/>
      <c r="CY238" s="154"/>
      <c r="CZ238" s="154"/>
      <c r="DA238" s="154"/>
      <c r="DB238" s="154"/>
      <c r="DC238" s="154"/>
      <c r="DD238" s="154"/>
      <c r="DE238" s="154"/>
      <c r="DF238" s="154"/>
      <c r="DG238" s="154"/>
      <c r="DH238" s="154"/>
      <c r="DI238" s="154"/>
      <c r="DJ238" s="154"/>
      <c r="DK238" s="154"/>
      <c r="DL238" s="154"/>
      <c r="DM238" s="154"/>
      <c r="DN238" s="154"/>
      <c r="DO238" s="154"/>
      <c r="DP238" s="154"/>
      <c r="DQ238" s="154"/>
      <c r="DR238" s="154"/>
      <c r="DS238" s="154"/>
      <c r="DT238" s="154"/>
      <c r="DU238" s="154"/>
      <c r="DV238" s="154"/>
      <c r="DW238" s="154"/>
      <c r="DX238" s="154"/>
      <c r="DY238" s="154"/>
      <c r="DZ238" s="154"/>
      <c r="EA238" s="154"/>
      <c r="EB238" s="154"/>
      <c r="EC238" s="154"/>
      <c r="ED238" s="154"/>
      <c r="EE238" s="154"/>
      <c r="EF238" s="154"/>
      <c r="EG238" s="154"/>
      <c r="EH238" s="154"/>
      <c r="EI238" s="154"/>
      <c r="EJ238" s="154"/>
      <c r="EK238" s="154"/>
      <c r="EL238" s="154"/>
      <c r="EM238" s="154"/>
      <c r="EN238" s="154"/>
      <c r="EO238" s="154"/>
      <c r="EP238" s="154"/>
      <c r="EQ238" s="154"/>
      <c r="ER238" s="154"/>
      <c r="ES238" s="154"/>
      <c r="ET238" s="154"/>
      <c r="EU238" s="154"/>
      <c r="EV238" s="154"/>
      <c r="EW238" s="154"/>
    </row>
    <row r="239" spans="2:153" ht="12.95" customHeight="1">
      <c r="B239" s="154"/>
      <c r="C239" s="380"/>
      <c r="D239" s="380"/>
      <c r="E239" s="154"/>
      <c r="F239" s="154"/>
      <c r="G239" s="154"/>
      <c r="H239" s="154"/>
      <c r="I239" s="154"/>
      <c r="J239" s="154"/>
      <c r="K239" s="154"/>
      <c r="L239" s="154"/>
      <c r="M239" s="154"/>
      <c r="N239" s="154"/>
      <c r="O239" s="154"/>
      <c r="P239" s="154"/>
      <c r="Q239" s="154"/>
      <c r="R239" s="154"/>
      <c r="S239" s="154"/>
      <c r="T239" s="154"/>
      <c r="U239" s="154"/>
      <c r="V239" s="154"/>
      <c r="W239" s="154"/>
      <c r="X239" s="154"/>
      <c r="Y239" s="154"/>
      <c r="Z239" s="154"/>
      <c r="AA239" s="154"/>
      <c r="AB239" s="154"/>
      <c r="AC239" s="154"/>
      <c r="AD239" s="154"/>
      <c r="AE239" s="154"/>
      <c r="AF239" s="367"/>
      <c r="AG239" s="368"/>
      <c r="AH239" s="368"/>
      <c r="AI239" s="368"/>
      <c r="AJ239" s="154"/>
      <c r="AK239" s="154"/>
      <c r="AL239" s="154"/>
      <c r="AM239" s="154"/>
      <c r="AN239" s="154"/>
      <c r="AO239" s="154"/>
      <c r="AP239" s="154"/>
      <c r="AQ239" s="154"/>
      <c r="AR239" s="154"/>
      <c r="AS239" s="154"/>
      <c r="AT239" s="154"/>
      <c r="AU239" s="154"/>
      <c r="AV239" s="154"/>
      <c r="AW239" s="154"/>
      <c r="AX239" s="154"/>
      <c r="AY239" s="154"/>
      <c r="AZ239" s="154"/>
      <c r="BA239" s="154"/>
      <c r="BB239" s="154"/>
      <c r="BC239" s="154"/>
      <c r="BD239" s="154"/>
      <c r="BE239" s="154"/>
      <c r="BF239" s="154"/>
      <c r="BG239" s="154"/>
      <c r="BH239" s="154"/>
      <c r="BI239" s="154"/>
      <c r="BJ239" s="154"/>
      <c r="BK239" s="154"/>
      <c r="BL239" s="154"/>
      <c r="BM239" s="154"/>
      <c r="BN239" s="154"/>
      <c r="BO239" s="154"/>
      <c r="BP239" s="154"/>
      <c r="BQ239" s="154"/>
      <c r="BR239" s="154"/>
      <c r="BS239" s="154"/>
      <c r="BT239" s="154"/>
      <c r="BU239" s="154"/>
      <c r="BV239" s="154"/>
      <c r="BW239" s="154"/>
      <c r="BX239" s="154"/>
      <c r="BY239" s="154"/>
      <c r="BZ239" s="154"/>
      <c r="CA239" s="154"/>
      <c r="CB239" s="154"/>
      <c r="CC239" s="154"/>
      <c r="CD239" s="154"/>
      <c r="CE239" s="154"/>
      <c r="CF239" s="154"/>
      <c r="CG239" s="154"/>
      <c r="CH239" s="154"/>
      <c r="CI239" s="154"/>
      <c r="CJ239" s="154"/>
      <c r="CK239" s="154"/>
      <c r="CL239" s="154"/>
      <c r="CM239" s="154"/>
      <c r="CN239" s="154"/>
      <c r="CO239" s="154"/>
      <c r="CP239" s="154"/>
      <c r="CQ239" s="154"/>
      <c r="CR239" s="154"/>
      <c r="CS239" s="154"/>
      <c r="CT239" s="154"/>
      <c r="CU239" s="154"/>
      <c r="CV239" s="154"/>
      <c r="CW239" s="154"/>
      <c r="CX239" s="154"/>
      <c r="CY239" s="154"/>
      <c r="CZ239" s="154"/>
      <c r="DA239" s="154"/>
      <c r="DB239" s="154"/>
      <c r="DC239" s="154"/>
      <c r="DD239" s="154"/>
      <c r="DE239" s="154"/>
      <c r="DF239" s="154"/>
      <c r="DG239" s="154"/>
      <c r="DH239" s="154"/>
      <c r="DI239" s="154"/>
      <c r="DJ239" s="154"/>
      <c r="DK239" s="154"/>
      <c r="DL239" s="154"/>
      <c r="DM239" s="154"/>
      <c r="DN239" s="154"/>
      <c r="DO239" s="154"/>
      <c r="DP239" s="154"/>
      <c r="DQ239" s="154"/>
      <c r="DR239" s="154"/>
      <c r="DS239" s="154"/>
      <c r="DT239" s="154"/>
      <c r="DU239" s="154"/>
      <c r="DV239" s="154"/>
      <c r="DW239" s="154"/>
      <c r="DX239" s="154"/>
      <c r="DY239" s="154"/>
      <c r="DZ239" s="154"/>
      <c r="EA239" s="154"/>
      <c r="EB239" s="154"/>
      <c r="EC239" s="154"/>
      <c r="ED239" s="154"/>
      <c r="EE239" s="154"/>
      <c r="EF239" s="154"/>
      <c r="EG239" s="154"/>
      <c r="EH239" s="154"/>
      <c r="EI239" s="154"/>
      <c r="EJ239" s="154"/>
      <c r="EK239" s="154"/>
      <c r="EL239" s="154"/>
      <c r="EM239" s="154"/>
      <c r="EN239" s="154"/>
      <c r="EO239" s="154"/>
      <c r="EP239" s="154"/>
      <c r="EQ239" s="154"/>
      <c r="ER239" s="154"/>
      <c r="ES239" s="154"/>
      <c r="ET239" s="154"/>
      <c r="EU239" s="154"/>
      <c r="EV239" s="154"/>
      <c r="EW239" s="154"/>
    </row>
    <row r="240" spans="2:153" ht="12.95" customHeight="1">
      <c r="B240" s="154"/>
      <c r="C240" s="380"/>
      <c r="D240" s="380"/>
      <c r="E240" s="154"/>
      <c r="F240" s="154"/>
      <c r="G240" s="154"/>
      <c r="H240" s="154"/>
      <c r="I240" s="154"/>
      <c r="J240" s="154"/>
      <c r="K240" s="154"/>
      <c r="L240" s="154"/>
      <c r="M240" s="154"/>
      <c r="N240" s="154"/>
      <c r="O240" s="154"/>
      <c r="P240" s="154"/>
      <c r="Q240" s="154"/>
      <c r="R240" s="154"/>
      <c r="S240" s="154"/>
      <c r="T240" s="154"/>
      <c r="U240" s="154"/>
      <c r="V240" s="154"/>
      <c r="W240" s="154"/>
      <c r="X240" s="154"/>
      <c r="Y240" s="154"/>
      <c r="Z240" s="154"/>
      <c r="AA240" s="154"/>
      <c r="AB240" s="154"/>
      <c r="AC240" s="154"/>
      <c r="AD240" s="154"/>
      <c r="AE240" s="154"/>
      <c r="AF240" s="367"/>
      <c r="AG240" s="368"/>
      <c r="AH240" s="368"/>
      <c r="AI240" s="368"/>
      <c r="AJ240" s="154"/>
      <c r="AK240" s="154"/>
      <c r="AL240" s="154"/>
      <c r="AM240" s="154"/>
      <c r="AN240" s="154"/>
      <c r="AO240" s="154"/>
      <c r="AP240" s="154"/>
      <c r="AQ240" s="154"/>
      <c r="AR240" s="154"/>
      <c r="AS240" s="154"/>
      <c r="AT240" s="154"/>
      <c r="AU240" s="154"/>
      <c r="AV240" s="154"/>
      <c r="AW240" s="154"/>
      <c r="AX240" s="154"/>
      <c r="AY240" s="154"/>
      <c r="AZ240" s="154"/>
      <c r="BA240" s="154"/>
      <c r="BB240" s="154"/>
      <c r="BC240" s="154"/>
      <c r="BD240" s="154"/>
      <c r="BE240" s="154"/>
      <c r="BF240" s="154"/>
      <c r="BG240" s="154"/>
      <c r="BH240" s="154"/>
      <c r="BI240" s="154"/>
      <c r="BJ240" s="154"/>
      <c r="BK240" s="154"/>
      <c r="BL240" s="154"/>
      <c r="BM240" s="154"/>
      <c r="BN240" s="154"/>
      <c r="BO240" s="154"/>
      <c r="BP240" s="154"/>
      <c r="BQ240" s="154"/>
      <c r="BR240" s="154"/>
      <c r="BS240" s="154"/>
      <c r="BT240" s="154"/>
      <c r="BU240" s="154"/>
      <c r="BV240" s="154"/>
      <c r="BW240" s="154"/>
      <c r="BX240" s="154"/>
      <c r="BY240" s="154"/>
      <c r="BZ240" s="154"/>
      <c r="CA240" s="154"/>
      <c r="CB240" s="154"/>
      <c r="CC240" s="154"/>
      <c r="CD240" s="154"/>
      <c r="CE240" s="154"/>
      <c r="CF240" s="154"/>
      <c r="CG240" s="154"/>
      <c r="CH240" s="154"/>
      <c r="CI240" s="154"/>
      <c r="CJ240" s="154"/>
      <c r="CK240" s="154"/>
      <c r="CL240" s="154"/>
      <c r="CM240" s="154"/>
      <c r="CN240" s="154"/>
      <c r="CO240" s="154"/>
      <c r="CP240" s="154"/>
      <c r="CQ240" s="154"/>
      <c r="CR240" s="154"/>
      <c r="CS240" s="154"/>
      <c r="CT240" s="154"/>
      <c r="CU240" s="154"/>
      <c r="CV240" s="154"/>
      <c r="CW240" s="154"/>
      <c r="CX240" s="154"/>
      <c r="CY240" s="154"/>
      <c r="CZ240" s="154"/>
      <c r="DA240" s="154"/>
      <c r="DB240" s="154"/>
      <c r="DC240" s="154"/>
      <c r="DD240" s="154"/>
      <c r="DE240" s="154"/>
      <c r="DF240" s="154"/>
      <c r="DG240" s="154"/>
      <c r="DH240" s="154"/>
      <c r="DI240" s="154"/>
      <c r="DJ240" s="154"/>
      <c r="DK240" s="154"/>
      <c r="DL240" s="154"/>
      <c r="DM240" s="154"/>
      <c r="DN240" s="154"/>
      <c r="DO240" s="154"/>
      <c r="DP240" s="154"/>
      <c r="DQ240" s="154"/>
      <c r="DR240" s="154"/>
      <c r="DS240" s="154"/>
      <c r="DT240" s="154"/>
      <c r="DU240" s="154"/>
      <c r="DV240" s="154"/>
      <c r="DW240" s="154"/>
      <c r="DX240" s="154"/>
      <c r="DY240" s="154"/>
      <c r="DZ240" s="154"/>
      <c r="EA240" s="154"/>
      <c r="EB240" s="154"/>
      <c r="EC240" s="154"/>
      <c r="ED240" s="154"/>
      <c r="EE240" s="154"/>
      <c r="EF240" s="154"/>
      <c r="EG240" s="154"/>
      <c r="EH240" s="154"/>
      <c r="EI240" s="154"/>
      <c r="EJ240" s="154"/>
      <c r="EK240" s="154"/>
      <c r="EL240" s="154"/>
      <c r="EM240" s="154"/>
      <c r="EN240" s="154"/>
      <c r="EO240" s="154"/>
      <c r="EP240" s="154"/>
      <c r="EQ240" s="154"/>
      <c r="ER240" s="154"/>
      <c r="ES240" s="154"/>
      <c r="ET240" s="154"/>
      <c r="EU240" s="154"/>
      <c r="EV240" s="154"/>
      <c r="EW240" s="154"/>
    </row>
    <row r="241" spans="2:153" ht="12.95" customHeight="1">
      <c r="B241" s="154"/>
      <c r="C241" s="380"/>
      <c r="D241" s="380"/>
      <c r="E241" s="154"/>
      <c r="F241" s="154"/>
      <c r="G241" s="154"/>
      <c r="H241" s="154"/>
      <c r="I241" s="154"/>
      <c r="J241" s="154"/>
      <c r="K241" s="154"/>
      <c r="L241" s="154"/>
      <c r="M241" s="154"/>
      <c r="N241" s="154"/>
      <c r="O241" s="154"/>
      <c r="P241" s="154"/>
      <c r="Q241" s="154"/>
      <c r="R241" s="154"/>
      <c r="S241" s="154"/>
      <c r="T241" s="154"/>
      <c r="U241" s="154"/>
      <c r="V241" s="154"/>
      <c r="W241" s="154"/>
      <c r="X241" s="154"/>
      <c r="Y241" s="154"/>
      <c r="Z241" s="154"/>
      <c r="AA241" s="154"/>
      <c r="AB241" s="154"/>
      <c r="AC241" s="154"/>
      <c r="AD241" s="154"/>
      <c r="AE241" s="154"/>
      <c r="AF241" s="367"/>
      <c r="AG241" s="368"/>
      <c r="AH241" s="368"/>
      <c r="AI241" s="368"/>
      <c r="AJ241" s="154"/>
      <c r="AK241" s="154"/>
      <c r="AL241" s="154"/>
      <c r="AM241" s="154"/>
      <c r="AN241" s="154"/>
      <c r="AO241" s="154"/>
      <c r="AP241" s="154"/>
      <c r="AQ241" s="154"/>
      <c r="AR241" s="154"/>
      <c r="AS241" s="154"/>
      <c r="AT241" s="154"/>
      <c r="AU241" s="154"/>
      <c r="AV241" s="154"/>
      <c r="AW241" s="154"/>
      <c r="AX241" s="154"/>
      <c r="AY241" s="154"/>
      <c r="AZ241" s="154"/>
      <c r="BA241" s="154"/>
      <c r="BB241" s="154"/>
      <c r="BC241" s="154"/>
      <c r="BD241" s="154"/>
      <c r="BE241" s="154"/>
      <c r="BF241" s="154"/>
      <c r="BG241" s="154"/>
      <c r="BH241" s="154"/>
      <c r="BI241" s="154"/>
      <c r="BJ241" s="154"/>
      <c r="BK241" s="154"/>
      <c r="BL241" s="154"/>
      <c r="BM241" s="154"/>
      <c r="BN241" s="154"/>
      <c r="BO241" s="154"/>
      <c r="BP241" s="154"/>
      <c r="BQ241" s="154"/>
      <c r="BR241" s="154"/>
      <c r="BS241" s="154"/>
      <c r="BT241" s="154"/>
      <c r="BU241" s="154"/>
      <c r="BV241" s="154"/>
      <c r="BW241" s="154"/>
      <c r="BX241" s="154"/>
      <c r="BY241" s="154"/>
      <c r="BZ241" s="154"/>
      <c r="CA241" s="154"/>
      <c r="CB241" s="154"/>
      <c r="CC241" s="154"/>
      <c r="CD241" s="154"/>
      <c r="CE241" s="154"/>
      <c r="CF241" s="154"/>
      <c r="CG241" s="154"/>
      <c r="CH241" s="154"/>
      <c r="CI241" s="154"/>
      <c r="CJ241" s="154"/>
      <c r="CK241" s="154"/>
      <c r="CL241" s="154"/>
      <c r="CM241" s="154"/>
      <c r="CN241" s="154"/>
      <c r="CO241" s="154"/>
      <c r="CP241" s="154"/>
      <c r="CQ241" s="154"/>
      <c r="CR241" s="154"/>
      <c r="CS241" s="154"/>
      <c r="CT241" s="154"/>
      <c r="CU241" s="154"/>
      <c r="CV241" s="154"/>
      <c r="CW241" s="154"/>
      <c r="CX241" s="154"/>
      <c r="CY241" s="154"/>
      <c r="CZ241" s="154"/>
      <c r="DA241" s="154"/>
      <c r="DB241" s="154"/>
      <c r="DC241" s="154"/>
      <c r="DD241" s="154"/>
      <c r="DE241" s="154"/>
      <c r="DF241" s="154"/>
      <c r="DG241" s="154"/>
      <c r="DH241" s="154"/>
      <c r="DI241" s="154"/>
      <c r="DJ241" s="154"/>
      <c r="DK241" s="154"/>
      <c r="DL241" s="154"/>
      <c r="DM241" s="154"/>
      <c r="DN241" s="154"/>
      <c r="DO241" s="154"/>
      <c r="DP241" s="154"/>
      <c r="DQ241" s="154"/>
      <c r="DR241" s="154"/>
      <c r="DS241" s="154"/>
      <c r="DT241" s="154"/>
      <c r="DU241" s="154"/>
      <c r="DV241" s="154"/>
      <c r="DW241" s="154"/>
      <c r="DX241" s="154"/>
      <c r="DY241" s="154"/>
      <c r="DZ241" s="154"/>
      <c r="EA241" s="154"/>
      <c r="EB241" s="154"/>
      <c r="EC241" s="154"/>
      <c r="ED241" s="154"/>
      <c r="EE241" s="154"/>
      <c r="EF241" s="154"/>
      <c r="EG241" s="154"/>
      <c r="EH241" s="154"/>
      <c r="EI241" s="154"/>
      <c r="EJ241" s="154"/>
      <c r="EK241" s="154"/>
      <c r="EL241" s="154"/>
      <c r="EM241" s="154"/>
      <c r="EN241" s="154"/>
      <c r="EO241" s="154"/>
      <c r="EP241" s="154"/>
      <c r="EQ241" s="154"/>
      <c r="ER241" s="154"/>
      <c r="ES241" s="154"/>
      <c r="ET241" s="154"/>
      <c r="EU241" s="154"/>
      <c r="EV241" s="154"/>
      <c r="EW241" s="154"/>
    </row>
    <row r="242" spans="2:153" ht="12.95" customHeight="1">
      <c r="B242" s="154"/>
      <c r="C242" s="380"/>
      <c r="D242" s="380"/>
      <c r="E242" s="154"/>
      <c r="F242" s="154"/>
      <c r="G242" s="154"/>
      <c r="H242" s="154"/>
      <c r="I242" s="154"/>
      <c r="J242" s="154"/>
      <c r="K242" s="154"/>
      <c r="L242" s="154"/>
      <c r="M242" s="154"/>
      <c r="N242" s="154"/>
      <c r="O242" s="154"/>
      <c r="P242" s="154"/>
      <c r="Q242" s="154"/>
      <c r="R242" s="154"/>
      <c r="S242" s="154"/>
      <c r="T242" s="154"/>
      <c r="U242" s="154"/>
      <c r="V242" s="154"/>
      <c r="W242" s="154"/>
      <c r="X242" s="154"/>
      <c r="Y242" s="154"/>
      <c r="Z242" s="154"/>
      <c r="AA242" s="154"/>
      <c r="AB242" s="154"/>
      <c r="AC242" s="154"/>
      <c r="AD242" s="154"/>
      <c r="AE242" s="154"/>
      <c r="AF242" s="367"/>
      <c r="AG242" s="368"/>
      <c r="AH242" s="368"/>
      <c r="AI242" s="368"/>
      <c r="AJ242" s="154"/>
      <c r="AK242" s="154"/>
      <c r="AL242" s="154"/>
      <c r="AM242" s="154"/>
      <c r="AN242" s="154"/>
      <c r="AO242" s="154"/>
      <c r="AP242" s="154"/>
      <c r="AQ242" s="154"/>
      <c r="AR242" s="154"/>
      <c r="AS242" s="154"/>
      <c r="AT242" s="154"/>
      <c r="AU242" s="154"/>
      <c r="AV242" s="154"/>
      <c r="AW242" s="154"/>
      <c r="AX242" s="154"/>
      <c r="AY242" s="154"/>
      <c r="AZ242" s="154"/>
      <c r="BA242" s="154"/>
      <c r="BB242" s="154"/>
      <c r="BC242" s="154"/>
      <c r="BD242" s="154"/>
      <c r="BE242" s="154"/>
      <c r="BF242" s="154"/>
      <c r="BG242" s="154"/>
      <c r="BH242" s="154"/>
      <c r="BI242" s="154"/>
      <c r="BJ242" s="154"/>
      <c r="BK242" s="154"/>
      <c r="BL242" s="154"/>
      <c r="BM242" s="154"/>
      <c r="BN242" s="154"/>
      <c r="BO242" s="154"/>
      <c r="BP242" s="154"/>
      <c r="BQ242" s="154"/>
      <c r="BR242" s="154"/>
      <c r="BS242" s="154"/>
      <c r="BT242" s="154"/>
      <c r="BU242" s="154"/>
      <c r="BV242" s="154"/>
      <c r="BW242" s="154"/>
      <c r="BX242" s="154"/>
      <c r="BY242" s="154"/>
      <c r="BZ242" s="154"/>
      <c r="CA242" s="154"/>
      <c r="CB242" s="154"/>
      <c r="CC242" s="154"/>
      <c r="CD242" s="154"/>
      <c r="CE242" s="154"/>
      <c r="CF242" s="154"/>
      <c r="CG242" s="154"/>
      <c r="CH242" s="154"/>
      <c r="CI242" s="154"/>
      <c r="CJ242" s="154"/>
      <c r="CK242" s="154"/>
      <c r="CL242" s="154"/>
      <c r="CM242" s="154"/>
      <c r="CN242" s="154"/>
      <c r="CO242" s="154"/>
      <c r="CP242" s="154"/>
      <c r="CQ242" s="154"/>
      <c r="CR242" s="154"/>
      <c r="CS242" s="154"/>
      <c r="CT242" s="154"/>
      <c r="CU242" s="154"/>
      <c r="CV242" s="154"/>
      <c r="CW242" s="154"/>
      <c r="CX242" s="154"/>
      <c r="CY242" s="154"/>
      <c r="CZ242" s="154"/>
      <c r="DA242" s="154"/>
      <c r="DB242" s="154"/>
      <c r="DC242" s="154"/>
      <c r="DD242" s="154"/>
      <c r="DE242" s="154"/>
      <c r="DF242" s="154"/>
      <c r="DG242" s="154"/>
      <c r="DH242" s="154"/>
      <c r="DI242" s="154"/>
      <c r="DJ242" s="154"/>
      <c r="DK242" s="154"/>
      <c r="DL242" s="154"/>
      <c r="DM242" s="154"/>
      <c r="DN242" s="154"/>
      <c r="DO242" s="154"/>
      <c r="DP242" s="154"/>
      <c r="DQ242" s="154"/>
      <c r="DR242" s="154"/>
      <c r="DS242" s="154"/>
      <c r="DT242" s="154"/>
      <c r="DU242" s="154"/>
      <c r="DV242" s="154"/>
      <c r="DW242" s="154"/>
      <c r="DX242" s="154"/>
      <c r="DY242" s="154"/>
      <c r="DZ242" s="154"/>
      <c r="EA242" s="154"/>
      <c r="EB242" s="154"/>
      <c r="EC242" s="154"/>
      <c r="ED242" s="154"/>
      <c r="EE242" s="154"/>
      <c r="EF242" s="154"/>
      <c r="EG242" s="154"/>
      <c r="EH242" s="154"/>
      <c r="EI242" s="154"/>
      <c r="EJ242" s="154"/>
      <c r="EK242" s="154"/>
      <c r="EL242" s="154"/>
      <c r="EM242" s="154"/>
      <c r="EN242" s="154"/>
      <c r="EO242" s="154"/>
      <c r="EP242" s="154"/>
      <c r="EQ242" s="154"/>
      <c r="ER242" s="154"/>
      <c r="ES242" s="154"/>
      <c r="ET242" s="154"/>
      <c r="EU242" s="154"/>
      <c r="EV242" s="154"/>
      <c r="EW242" s="154"/>
    </row>
    <row r="243" spans="2:153" ht="12.95" customHeight="1">
      <c r="B243" s="154"/>
      <c r="C243" s="380"/>
      <c r="D243" s="380"/>
      <c r="E243" s="154"/>
      <c r="F243" s="154"/>
      <c r="G243" s="154"/>
      <c r="H243" s="154"/>
      <c r="I243" s="154"/>
      <c r="J243" s="154"/>
      <c r="K243" s="154"/>
      <c r="L243" s="154"/>
      <c r="M243" s="154"/>
      <c r="N243" s="154"/>
      <c r="O243" s="154"/>
      <c r="P243" s="154"/>
      <c r="Q243" s="154"/>
      <c r="R243" s="154"/>
      <c r="S243" s="154"/>
      <c r="T243" s="154"/>
      <c r="U243" s="154"/>
      <c r="V243" s="154"/>
      <c r="W243" s="154"/>
      <c r="X243" s="154"/>
      <c r="Y243" s="154"/>
      <c r="Z243" s="154"/>
      <c r="AA243" s="154"/>
      <c r="AB243" s="154"/>
      <c r="AC243" s="154"/>
      <c r="AD243" s="154"/>
      <c r="AE243" s="154"/>
      <c r="AF243" s="367"/>
      <c r="AG243" s="368"/>
      <c r="AH243" s="368"/>
      <c r="AI243" s="368"/>
      <c r="AJ243" s="154"/>
      <c r="AK243" s="154"/>
      <c r="AL243" s="154"/>
      <c r="AM243" s="154"/>
      <c r="AN243" s="154"/>
      <c r="AO243" s="154"/>
      <c r="AP243" s="154"/>
      <c r="AQ243" s="154"/>
      <c r="AR243" s="154"/>
      <c r="AS243" s="154"/>
      <c r="AT243" s="154"/>
      <c r="AU243" s="154"/>
      <c r="AV243" s="154"/>
      <c r="AW243" s="154"/>
      <c r="AX243" s="154"/>
      <c r="AY243" s="154"/>
      <c r="AZ243" s="154"/>
      <c r="BA243" s="154"/>
      <c r="BB243" s="154"/>
      <c r="BC243" s="154"/>
      <c r="BD243" s="154"/>
      <c r="BE243" s="154"/>
      <c r="BF243" s="154"/>
      <c r="BG243" s="154"/>
      <c r="BH243" s="154"/>
      <c r="BI243" s="154"/>
      <c r="BJ243" s="154"/>
      <c r="BK243" s="154"/>
      <c r="BL243" s="154"/>
      <c r="BM243" s="154"/>
      <c r="BN243" s="154"/>
      <c r="BO243" s="154"/>
      <c r="BP243" s="154"/>
      <c r="BQ243" s="154"/>
      <c r="BR243" s="154"/>
      <c r="BS243" s="154"/>
      <c r="BT243" s="154"/>
      <c r="BU243" s="154"/>
      <c r="BV243" s="154"/>
      <c r="BW243" s="154"/>
      <c r="BX243" s="154"/>
      <c r="BY243" s="154"/>
      <c r="BZ243" s="154"/>
      <c r="CA243" s="154"/>
      <c r="CB243" s="154"/>
      <c r="CC243" s="154"/>
      <c r="CD243" s="154"/>
      <c r="CE243" s="154"/>
      <c r="CF243" s="154"/>
      <c r="CG243" s="154"/>
      <c r="CH243" s="154"/>
      <c r="CI243" s="154"/>
      <c r="CJ243" s="154"/>
      <c r="CK243" s="154"/>
      <c r="CL243" s="154"/>
      <c r="CM243" s="154"/>
      <c r="CN243" s="154"/>
      <c r="CO243" s="154"/>
      <c r="CP243" s="154"/>
      <c r="CQ243" s="154"/>
      <c r="CR243" s="154"/>
      <c r="CS243" s="154"/>
      <c r="CT243" s="154"/>
      <c r="CU243" s="154"/>
      <c r="CV243" s="154"/>
      <c r="CW243" s="154"/>
      <c r="CX243" s="154"/>
      <c r="CY243" s="154"/>
      <c r="CZ243" s="154"/>
      <c r="DA243" s="154"/>
      <c r="DB243" s="154"/>
      <c r="DC243" s="154"/>
      <c r="DD243" s="154"/>
      <c r="DE243" s="154"/>
      <c r="DF243" s="154"/>
      <c r="DG243" s="154"/>
      <c r="DH243" s="154"/>
      <c r="DI243" s="154"/>
      <c r="DJ243" s="154"/>
      <c r="DK243" s="154"/>
      <c r="DL243" s="154"/>
      <c r="DM243" s="154"/>
      <c r="DN243" s="154"/>
      <c r="DO243" s="154"/>
      <c r="DP243" s="154"/>
      <c r="DQ243" s="154"/>
      <c r="DR243" s="154"/>
      <c r="DS243" s="154"/>
      <c r="DT243" s="154"/>
      <c r="DU243" s="154"/>
      <c r="DV243" s="154"/>
      <c r="DW243" s="154"/>
      <c r="DX243" s="154"/>
      <c r="DY243" s="154"/>
      <c r="DZ243" s="154"/>
      <c r="EA243" s="154"/>
      <c r="EB243" s="154"/>
      <c r="EC243" s="154"/>
      <c r="ED243" s="154"/>
      <c r="EE243" s="154"/>
      <c r="EF243" s="154"/>
      <c r="EG243" s="154"/>
      <c r="EH243" s="154"/>
      <c r="EI243" s="154"/>
      <c r="EJ243" s="154"/>
      <c r="EK243" s="154"/>
      <c r="EL243" s="154"/>
      <c r="EM243" s="154"/>
      <c r="EN243" s="154"/>
      <c r="EO243" s="154"/>
      <c r="EP243" s="154"/>
      <c r="EQ243" s="154"/>
      <c r="ER243" s="154"/>
      <c r="ES243" s="154"/>
      <c r="ET243" s="154"/>
      <c r="EU243" s="154"/>
      <c r="EV243" s="154"/>
      <c r="EW243" s="154"/>
    </row>
    <row r="244" spans="2:153" ht="12.95" customHeight="1">
      <c r="B244" s="154"/>
      <c r="C244" s="380"/>
      <c r="D244" s="380"/>
      <c r="E244" s="154"/>
      <c r="F244" s="154"/>
      <c r="G244" s="154"/>
      <c r="H244" s="154"/>
      <c r="I244" s="154"/>
      <c r="J244" s="154"/>
      <c r="K244" s="154"/>
      <c r="L244" s="154"/>
      <c r="M244" s="154"/>
      <c r="N244" s="154"/>
      <c r="O244" s="154"/>
      <c r="P244" s="154"/>
      <c r="Q244" s="154"/>
      <c r="R244" s="154"/>
      <c r="S244" s="154"/>
      <c r="T244" s="154"/>
      <c r="U244" s="154"/>
      <c r="V244" s="154"/>
      <c r="W244" s="154"/>
      <c r="X244" s="154"/>
      <c r="Y244" s="154"/>
      <c r="Z244" s="154"/>
      <c r="AA244" s="154"/>
      <c r="AB244" s="154"/>
      <c r="AC244" s="154"/>
      <c r="AD244" s="154"/>
      <c r="AE244" s="154"/>
      <c r="AF244" s="367"/>
      <c r="AG244" s="368"/>
      <c r="AH244" s="368"/>
      <c r="AI244" s="368"/>
      <c r="AJ244" s="154"/>
      <c r="AK244" s="154"/>
      <c r="AL244" s="154"/>
      <c r="AM244" s="154"/>
      <c r="AN244" s="154"/>
      <c r="AO244" s="154"/>
      <c r="AP244" s="154"/>
      <c r="AQ244" s="154"/>
      <c r="AR244" s="154"/>
      <c r="AS244" s="154"/>
      <c r="AT244" s="154"/>
      <c r="AU244" s="154"/>
      <c r="AV244" s="154"/>
      <c r="AW244" s="154"/>
      <c r="AX244" s="154"/>
      <c r="AY244" s="154"/>
      <c r="AZ244" s="154"/>
      <c r="BA244" s="154"/>
      <c r="BB244" s="154"/>
      <c r="BC244" s="154"/>
      <c r="BD244" s="154"/>
      <c r="BE244" s="154"/>
      <c r="BF244" s="154"/>
      <c r="BG244" s="154"/>
      <c r="BH244" s="154"/>
      <c r="BI244" s="154"/>
      <c r="BJ244" s="154"/>
      <c r="BK244" s="154"/>
      <c r="BL244" s="154"/>
      <c r="BM244" s="154"/>
      <c r="BN244" s="154"/>
      <c r="BO244" s="154"/>
      <c r="BP244" s="154"/>
      <c r="BQ244" s="154"/>
      <c r="BR244" s="154"/>
      <c r="BS244" s="154"/>
      <c r="BT244" s="154"/>
      <c r="BU244" s="154"/>
      <c r="BV244" s="154"/>
      <c r="BW244" s="154"/>
      <c r="BX244" s="154"/>
      <c r="BY244" s="154"/>
      <c r="BZ244" s="154"/>
      <c r="CA244" s="154"/>
      <c r="CB244" s="154"/>
      <c r="CC244" s="154"/>
      <c r="CD244" s="154"/>
      <c r="CE244" s="154"/>
      <c r="CF244" s="154"/>
      <c r="CG244" s="154"/>
      <c r="CH244" s="154"/>
      <c r="CI244" s="154"/>
      <c r="CJ244" s="154"/>
      <c r="CK244" s="154"/>
      <c r="CL244" s="154"/>
      <c r="CM244" s="154"/>
      <c r="CN244" s="154"/>
      <c r="CO244" s="154"/>
      <c r="CP244" s="154"/>
      <c r="CQ244" s="154"/>
      <c r="CR244" s="154"/>
      <c r="CS244" s="154"/>
      <c r="CT244" s="154"/>
      <c r="CU244" s="154"/>
      <c r="CV244" s="154"/>
      <c r="CW244" s="154"/>
      <c r="CX244" s="154"/>
      <c r="CY244" s="154"/>
      <c r="CZ244" s="154"/>
      <c r="DA244" s="154"/>
      <c r="DB244" s="154"/>
      <c r="DC244" s="154"/>
      <c r="DD244" s="154"/>
      <c r="DE244" s="154"/>
      <c r="DF244" s="154"/>
      <c r="DG244" s="154"/>
      <c r="DH244" s="154"/>
      <c r="DI244" s="154"/>
      <c r="DJ244" s="154"/>
      <c r="DK244" s="154"/>
      <c r="DL244" s="154"/>
      <c r="DM244" s="154"/>
      <c r="DN244" s="154"/>
      <c r="DO244" s="154"/>
      <c r="DP244" s="154"/>
      <c r="DQ244" s="154"/>
      <c r="DR244" s="154"/>
      <c r="DS244" s="154"/>
      <c r="DT244" s="154"/>
      <c r="DU244" s="154"/>
      <c r="DV244" s="154"/>
      <c r="DW244" s="154"/>
      <c r="DX244" s="154"/>
      <c r="DY244" s="154"/>
      <c r="DZ244" s="154"/>
      <c r="EA244" s="154"/>
      <c r="EB244" s="154"/>
      <c r="EC244" s="154"/>
      <c r="ED244" s="154"/>
      <c r="EE244" s="154"/>
      <c r="EF244" s="154"/>
      <c r="EG244" s="154"/>
      <c r="EH244" s="154"/>
      <c r="EI244" s="154"/>
      <c r="EJ244" s="154"/>
      <c r="EK244" s="154"/>
      <c r="EL244" s="154"/>
      <c r="EM244" s="154"/>
      <c r="EN244" s="154"/>
      <c r="EO244" s="154"/>
      <c r="EP244" s="154"/>
      <c r="EQ244" s="154"/>
      <c r="ER244" s="154"/>
      <c r="ES244" s="154"/>
      <c r="ET244" s="154"/>
      <c r="EU244" s="154"/>
      <c r="EV244" s="154"/>
      <c r="EW244" s="154"/>
    </row>
    <row r="245" spans="2:153" ht="12.95" customHeight="1">
      <c r="B245" s="154"/>
      <c r="C245" s="380"/>
      <c r="D245" s="380"/>
      <c r="E245" s="154"/>
      <c r="F245" s="154"/>
      <c r="G245" s="154"/>
      <c r="H245" s="154"/>
      <c r="I245" s="154"/>
      <c r="J245" s="154"/>
      <c r="K245" s="154"/>
      <c r="L245" s="154"/>
      <c r="M245" s="154"/>
      <c r="N245" s="154"/>
      <c r="O245" s="154"/>
      <c r="P245" s="154"/>
      <c r="Q245" s="154"/>
      <c r="R245" s="154"/>
      <c r="S245" s="154"/>
      <c r="T245" s="154"/>
      <c r="U245" s="154"/>
      <c r="V245" s="154"/>
      <c r="W245" s="154"/>
      <c r="X245" s="154"/>
      <c r="Y245" s="154"/>
      <c r="Z245" s="154"/>
      <c r="AA245" s="154"/>
      <c r="AB245" s="154"/>
      <c r="AC245" s="154"/>
      <c r="AD245" s="154"/>
      <c r="AE245" s="154"/>
      <c r="AF245" s="367"/>
      <c r="AG245" s="368"/>
      <c r="AH245" s="368"/>
      <c r="AI245" s="368"/>
      <c r="AJ245" s="154"/>
      <c r="AK245" s="154"/>
      <c r="AL245" s="154"/>
      <c r="AM245" s="154"/>
      <c r="AN245" s="154"/>
      <c r="AO245" s="154"/>
      <c r="AP245" s="154"/>
      <c r="AQ245" s="154"/>
      <c r="AR245" s="154"/>
      <c r="AS245" s="154"/>
      <c r="AT245" s="154"/>
      <c r="AU245" s="154"/>
      <c r="AV245" s="154"/>
      <c r="AW245" s="154"/>
      <c r="AX245" s="154"/>
      <c r="AY245" s="154"/>
      <c r="AZ245" s="154"/>
      <c r="BA245" s="154"/>
      <c r="BB245" s="154"/>
      <c r="BC245" s="154"/>
      <c r="BD245" s="154"/>
      <c r="BE245" s="154"/>
      <c r="BF245" s="154"/>
      <c r="BG245" s="154"/>
      <c r="BH245" s="154"/>
      <c r="BI245" s="154"/>
      <c r="BJ245" s="154"/>
      <c r="BK245" s="154"/>
      <c r="BL245" s="154"/>
      <c r="BM245" s="154"/>
      <c r="BN245" s="154"/>
      <c r="BO245" s="154"/>
      <c r="BP245" s="154"/>
      <c r="BQ245" s="154"/>
      <c r="BR245" s="154"/>
      <c r="BS245" s="154"/>
      <c r="BT245" s="154"/>
      <c r="BU245" s="154"/>
      <c r="BV245" s="154"/>
      <c r="BW245" s="154"/>
      <c r="BX245" s="154"/>
      <c r="BY245" s="154"/>
      <c r="BZ245" s="154"/>
      <c r="CA245" s="154"/>
      <c r="CB245" s="154"/>
      <c r="CC245" s="154"/>
      <c r="CD245" s="154"/>
      <c r="CE245" s="154"/>
      <c r="CF245" s="154"/>
      <c r="CG245" s="154"/>
      <c r="CH245" s="154"/>
      <c r="CI245" s="154"/>
      <c r="CJ245" s="154"/>
      <c r="CK245" s="154"/>
      <c r="CL245" s="154"/>
      <c r="CM245" s="154"/>
      <c r="CN245" s="154"/>
      <c r="CO245" s="154"/>
      <c r="CP245" s="154"/>
      <c r="CQ245" s="154"/>
      <c r="CR245" s="154"/>
      <c r="CS245" s="154"/>
      <c r="CT245" s="154"/>
      <c r="CU245" s="154"/>
      <c r="CV245" s="154"/>
      <c r="CW245" s="154"/>
      <c r="CX245" s="154"/>
      <c r="CY245" s="154"/>
      <c r="CZ245" s="154"/>
      <c r="DA245" s="154"/>
      <c r="DB245" s="154"/>
      <c r="DC245" s="154"/>
      <c r="DD245" s="154"/>
      <c r="DE245" s="154"/>
      <c r="DF245" s="154"/>
      <c r="DG245" s="154"/>
      <c r="DH245" s="154"/>
      <c r="DI245" s="154"/>
      <c r="DJ245" s="154"/>
      <c r="DK245" s="154"/>
      <c r="DL245" s="154"/>
      <c r="DM245" s="154"/>
      <c r="DN245" s="154"/>
      <c r="DO245" s="154"/>
      <c r="DP245" s="154"/>
      <c r="DQ245" s="154"/>
      <c r="DR245" s="154"/>
      <c r="DS245" s="154"/>
      <c r="DT245" s="154"/>
      <c r="DU245" s="154"/>
      <c r="DV245" s="154"/>
      <c r="DW245" s="154"/>
      <c r="DX245" s="154"/>
      <c r="DY245" s="154"/>
      <c r="DZ245" s="154"/>
      <c r="EA245" s="154"/>
      <c r="EB245" s="154"/>
      <c r="EC245" s="154"/>
      <c r="ED245" s="154"/>
      <c r="EE245" s="154"/>
      <c r="EF245" s="154"/>
      <c r="EG245" s="154"/>
      <c r="EH245" s="154"/>
      <c r="EI245" s="154"/>
      <c r="EJ245" s="154"/>
      <c r="EK245" s="154"/>
      <c r="EL245" s="154"/>
      <c r="EM245" s="154"/>
      <c r="EN245" s="154"/>
      <c r="EO245" s="154"/>
      <c r="EP245" s="154"/>
      <c r="EQ245" s="154"/>
      <c r="ER245" s="154"/>
      <c r="ES245" s="154"/>
      <c r="ET245" s="154"/>
      <c r="EU245" s="154"/>
      <c r="EV245" s="154"/>
      <c r="EW245" s="154"/>
    </row>
    <row r="246" spans="2:153" ht="12.95" customHeight="1">
      <c r="B246" s="154"/>
      <c r="C246" s="380"/>
      <c r="D246" s="380"/>
      <c r="E246" s="154"/>
      <c r="F246" s="154"/>
      <c r="G246" s="154"/>
      <c r="H246" s="154"/>
      <c r="I246" s="154"/>
      <c r="J246" s="154"/>
      <c r="K246" s="154"/>
      <c r="L246" s="154"/>
      <c r="M246" s="154"/>
      <c r="N246" s="154"/>
      <c r="O246" s="154"/>
      <c r="P246" s="154"/>
      <c r="Q246" s="154"/>
      <c r="R246" s="154"/>
      <c r="S246" s="154"/>
      <c r="T246" s="154"/>
      <c r="U246" s="154"/>
      <c r="V246" s="154"/>
      <c r="W246" s="154"/>
      <c r="X246" s="154"/>
      <c r="Y246" s="154"/>
      <c r="Z246" s="154"/>
      <c r="AA246" s="154"/>
      <c r="AB246" s="154"/>
      <c r="AC246" s="154"/>
      <c r="AD246" s="154"/>
      <c r="AE246" s="154"/>
      <c r="AF246" s="367"/>
      <c r="AG246" s="368"/>
      <c r="AH246" s="368"/>
      <c r="AI246" s="368"/>
      <c r="AJ246" s="154"/>
      <c r="AK246" s="154"/>
      <c r="AL246" s="154"/>
      <c r="AM246" s="154"/>
      <c r="AN246" s="154"/>
      <c r="AO246" s="154"/>
      <c r="AP246" s="154"/>
      <c r="AQ246" s="154"/>
      <c r="AR246" s="154"/>
      <c r="AS246" s="154"/>
      <c r="AT246" s="154"/>
      <c r="AU246" s="154"/>
      <c r="AV246" s="154"/>
      <c r="AW246" s="154"/>
      <c r="AX246" s="154"/>
      <c r="AY246" s="154"/>
      <c r="AZ246" s="154"/>
      <c r="BA246" s="154"/>
      <c r="BB246" s="154"/>
      <c r="BC246" s="154"/>
      <c r="BD246" s="154"/>
      <c r="BE246" s="154"/>
      <c r="BF246" s="154"/>
      <c r="BG246" s="154"/>
      <c r="BH246" s="154"/>
      <c r="BI246" s="154"/>
      <c r="BJ246" s="154"/>
      <c r="BK246" s="154"/>
      <c r="BL246" s="154"/>
      <c r="BM246" s="154"/>
      <c r="BN246" s="154"/>
      <c r="BO246" s="154"/>
      <c r="BP246" s="154"/>
      <c r="BQ246" s="154"/>
      <c r="BR246" s="154"/>
      <c r="BS246" s="154"/>
      <c r="BT246" s="154"/>
      <c r="BU246" s="154"/>
      <c r="BV246" s="154"/>
      <c r="BW246" s="154"/>
      <c r="BX246" s="154"/>
      <c r="BY246" s="154"/>
      <c r="BZ246" s="154"/>
      <c r="CA246" s="154"/>
      <c r="CB246" s="154"/>
      <c r="CC246" s="154"/>
      <c r="CD246" s="154"/>
      <c r="CE246" s="154"/>
      <c r="CF246" s="154"/>
      <c r="CG246" s="154"/>
      <c r="CH246" s="154"/>
      <c r="CI246" s="154"/>
      <c r="CJ246" s="154"/>
      <c r="CK246" s="154"/>
      <c r="CL246" s="154"/>
      <c r="CM246" s="154"/>
      <c r="CN246" s="154"/>
      <c r="CO246" s="154"/>
      <c r="CP246" s="154"/>
      <c r="CQ246" s="154"/>
      <c r="CR246" s="154"/>
      <c r="CS246" s="154"/>
      <c r="CT246" s="154"/>
      <c r="CU246" s="154"/>
      <c r="CV246" s="154"/>
      <c r="CW246" s="154"/>
      <c r="CX246" s="154"/>
      <c r="CY246" s="154"/>
      <c r="CZ246" s="154"/>
      <c r="DA246" s="154"/>
      <c r="DB246" s="154"/>
      <c r="DC246" s="154"/>
      <c r="DD246" s="154"/>
      <c r="DE246" s="154"/>
      <c r="DF246" s="154"/>
      <c r="DG246" s="154"/>
      <c r="DH246" s="154"/>
      <c r="DI246" s="154"/>
      <c r="DJ246" s="154"/>
      <c r="DK246" s="154"/>
      <c r="DL246" s="154"/>
      <c r="DM246" s="154"/>
      <c r="DN246" s="154"/>
      <c r="DO246" s="154"/>
      <c r="DP246" s="154"/>
      <c r="DQ246" s="154"/>
      <c r="DR246" s="154"/>
      <c r="DS246" s="154"/>
      <c r="DT246" s="154"/>
      <c r="DU246" s="154"/>
      <c r="DV246" s="154"/>
      <c r="DW246" s="154"/>
      <c r="DX246" s="154"/>
      <c r="DY246" s="154"/>
      <c r="DZ246" s="154"/>
      <c r="EA246" s="154"/>
      <c r="EB246" s="154"/>
      <c r="EC246" s="154"/>
      <c r="ED246" s="154"/>
      <c r="EE246" s="154"/>
      <c r="EF246" s="154"/>
      <c r="EG246" s="154"/>
      <c r="EH246" s="154"/>
      <c r="EI246" s="154"/>
      <c r="EJ246" s="154"/>
      <c r="EK246" s="154"/>
      <c r="EL246" s="154"/>
      <c r="EM246" s="154"/>
      <c r="EN246" s="154"/>
      <c r="EO246" s="154"/>
      <c r="EP246" s="154"/>
      <c r="EQ246" s="154"/>
      <c r="ER246" s="154"/>
      <c r="ES246" s="154"/>
      <c r="ET246" s="154"/>
      <c r="EU246" s="154"/>
      <c r="EV246" s="154"/>
      <c r="EW246" s="154"/>
    </row>
    <row r="247" spans="2:153" ht="12.95" customHeight="1">
      <c r="B247" s="154"/>
      <c r="C247" s="380"/>
      <c r="D247" s="380"/>
      <c r="E247" s="154"/>
      <c r="F247" s="154"/>
      <c r="G247" s="154"/>
      <c r="H247" s="154"/>
      <c r="I247" s="154"/>
      <c r="J247" s="154"/>
      <c r="K247" s="154"/>
      <c r="L247" s="154"/>
      <c r="M247" s="154"/>
      <c r="N247" s="154"/>
      <c r="O247" s="154"/>
      <c r="P247" s="154"/>
      <c r="Q247" s="154"/>
      <c r="R247" s="154"/>
      <c r="S247" s="154"/>
      <c r="T247" s="154"/>
      <c r="U247" s="154"/>
      <c r="V247" s="154"/>
      <c r="W247" s="154"/>
      <c r="X247" s="154"/>
      <c r="Y247" s="154"/>
      <c r="Z247" s="154"/>
      <c r="AA247" s="154"/>
      <c r="AB247" s="154"/>
      <c r="AC247" s="154"/>
      <c r="AD247" s="154"/>
      <c r="AE247" s="154"/>
      <c r="AF247" s="367"/>
      <c r="AG247" s="368"/>
      <c r="AH247" s="368"/>
      <c r="AI247" s="368"/>
      <c r="AJ247" s="154"/>
      <c r="AK247" s="154"/>
      <c r="AL247" s="154"/>
      <c r="AM247" s="154"/>
      <c r="AN247" s="154"/>
      <c r="AO247" s="154"/>
      <c r="AP247" s="154"/>
      <c r="AQ247" s="154"/>
      <c r="AR247" s="154"/>
      <c r="AS247" s="154"/>
      <c r="AT247" s="154"/>
      <c r="AU247" s="154"/>
      <c r="AV247" s="154"/>
      <c r="AW247" s="154"/>
      <c r="AX247" s="154"/>
      <c r="AY247" s="154"/>
      <c r="AZ247" s="154"/>
      <c r="BA247" s="154"/>
      <c r="BB247" s="154"/>
      <c r="BC247" s="154"/>
      <c r="BD247" s="154"/>
      <c r="BE247" s="154"/>
      <c r="BF247" s="154"/>
      <c r="BG247" s="154"/>
      <c r="BH247" s="154"/>
      <c r="BI247" s="154"/>
      <c r="BJ247" s="154"/>
      <c r="BK247" s="154"/>
      <c r="BL247" s="154"/>
      <c r="BM247" s="154"/>
      <c r="BN247" s="154"/>
      <c r="BO247" s="154"/>
      <c r="BP247" s="154"/>
      <c r="BQ247" s="154"/>
      <c r="BR247" s="154"/>
      <c r="BS247" s="154"/>
      <c r="BT247" s="154"/>
      <c r="BU247" s="154"/>
      <c r="BV247" s="154"/>
      <c r="BW247" s="154"/>
      <c r="BX247" s="154"/>
      <c r="BY247" s="154"/>
      <c r="BZ247" s="154"/>
      <c r="CA247" s="154"/>
      <c r="CB247" s="154"/>
      <c r="CC247" s="154"/>
      <c r="CD247" s="154"/>
      <c r="CE247" s="154"/>
      <c r="CF247" s="154"/>
      <c r="CG247" s="154"/>
      <c r="CH247" s="154"/>
      <c r="CI247" s="154"/>
      <c r="CJ247" s="154"/>
      <c r="CK247" s="154"/>
      <c r="CL247" s="154"/>
      <c r="CM247" s="154"/>
      <c r="CN247" s="154"/>
      <c r="CO247" s="154"/>
      <c r="CP247" s="154"/>
      <c r="CQ247" s="154"/>
      <c r="CR247" s="154"/>
      <c r="CS247" s="154"/>
      <c r="CT247" s="154"/>
      <c r="CU247" s="154"/>
      <c r="CV247" s="154"/>
      <c r="CW247" s="154"/>
      <c r="CX247" s="154"/>
      <c r="CY247" s="154"/>
      <c r="CZ247" s="154"/>
      <c r="DA247" s="154"/>
      <c r="DB247" s="154"/>
      <c r="DC247" s="154"/>
      <c r="DD247" s="154"/>
      <c r="DE247" s="154"/>
      <c r="DF247" s="154"/>
      <c r="DG247" s="154"/>
      <c r="DH247" s="154"/>
      <c r="DI247" s="154"/>
      <c r="DJ247" s="154"/>
      <c r="DK247" s="154"/>
      <c r="DL247" s="154"/>
      <c r="DM247" s="154"/>
      <c r="DN247" s="154"/>
      <c r="DO247" s="154"/>
      <c r="DP247" s="154"/>
      <c r="DQ247" s="154"/>
      <c r="DR247" s="154"/>
      <c r="DS247" s="154"/>
      <c r="DT247" s="154"/>
      <c r="DU247" s="154"/>
      <c r="DV247" s="154"/>
      <c r="DW247" s="154"/>
      <c r="DX247" s="154"/>
      <c r="DY247" s="154"/>
      <c r="DZ247" s="154"/>
      <c r="EA247" s="154"/>
      <c r="EB247" s="154"/>
      <c r="EC247" s="154"/>
      <c r="ED247" s="154"/>
      <c r="EE247" s="154"/>
      <c r="EF247" s="154"/>
      <c r="EG247" s="154"/>
      <c r="EH247" s="154"/>
      <c r="EI247" s="154"/>
      <c r="EJ247" s="154"/>
      <c r="EK247" s="154"/>
      <c r="EL247" s="154"/>
      <c r="EM247" s="154"/>
      <c r="EN247" s="154"/>
      <c r="EO247" s="154"/>
      <c r="EP247" s="154"/>
      <c r="EQ247" s="154"/>
      <c r="ER247" s="154"/>
      <c r="ES247" s="154"/>
      <c r="ET247" s="154"/>
      <c r="EU247" s="154"/>
      <c r="EV247" s="154"/>
      <c r="EW247" s="154"/>
    </row>
    <row r="248" spans="2:153" ht="12.95" customHeight="1">
      <c r="B248" s="154"/>
      <c r="C248" s="380"/>
      <c r="D248" s="380"/>
      <c r="E248" s="154"/>
      <c r="F248" s="154"/>
      <c r="G248" s="154"/>
      <c r="H248" s="154"/>
      <c r="I248" s="154"/>
      <c r="J248" s="154"/>
      <c r="K248" s="154"/>
      <c r="L248" s="154"/>
      <c r="M248" s="154"/>
      <c r="N248" s="154"/>
      <c r="O248" s="154"/>
      <c r="P248" s="154"/>
      <c r="Q248" s="154"/>
      <c r="R248" s="154"/>
      <c r="S248" s="154"/>
      <c r="T248" s="154"/>
      <c r="U248" s="154"/>
      <c r="V248" s="154"/>
      <c r="W248" s="154"/>
      <c r="X248" s="154"/>
      <c r="Y248" s="154"/>
      <c r="Z248" s="154"/>
      <c r="AA248" s="154"/>
      <c r="AB248" s="154"/>
      <c r="AC248" s="154"/>
      <c r="AD248" s="154"/>
      <c r="AE248" s="154"/>
      <c r="AF248" s="367"/>
      <c r="AG248" s="368"/>
      <c r="AH248" s="368"/>
      <c r="AI248" s="368"/>
      <c r="AJ248" s="154"/>
      <c r="AK248" s="154"/>
      <c r="AL248" s="154"/>
      <c r="AM248" s="154"/>
      <c r="AN248" s="154"/>
      <c r="AO248" s="154"/>
      <c r="AP248" s="154"/>
      <c r="AQ248" s="154"/>
      <c r="AR248" s="154"/>
      <c r="AS248" s="154"/>
      <c r="AT248" s="154"/>
      <c r="AU248" s="154"/>
      <c r="AV248" s="154"/>
      <c r="AW248" s="154"/>
      <c r="AX248" s="154"/>
      <c r="AY248" s="154"/>
      <c r="AZ248" s="154"/>
      <c r="BA248" s="154"/>
      <c r="BB248" s="154"/>
      <c r="BC248" s="154"/>
      <c r="BD248" s="154"/>
      <c r="BE248" s="154"/>
      <c r="BF248" s="154"/>
      <c r="BG248" s="154"/>
      <c r="BH248" s="154"/>
      <c r="BI248" s="154"/>
      <c r="BJ248" s="154"/>
      <c r="BK248" s="154"/>
      <c r="BL248" s="154"/>
      <c r="BM248" s="154"/>
      <c r="BN248" s="154"/>
      <c r="BO248" s="154"/>
      <c r="BP248" s="154"/>
      <c r="BQ248" s="154"/>
      <c r="BR248" s="154"/>
      <c r="BS248" s="154"/>
      <c r="BT248" s="154"/>
      <c r="BU248" s="154"/>
      <c r="BV248" s="154"/>
      <c r="BW248" s="154"/>
      <c r="BX248" s="154"/>
      <c r="BY248" s="154"/>
      <c r="BZ248" s="154"/>
      <c r="CA248" s="154"/>
      <c r="CB248" s="154"/>
      <c r="CC248" s="154"/>
      <c r="CD248" s="154"/>
      <c r="CE248" s="154"/>
      <c r="CF248" s="154"/>
      <c r="CG248" s="154"/>
      <c r="CH248" s="154"/>
      <c r="CI248" s="154"/>
      <c r="CJ248" s="154"/>
      <c r="CK248" s="154"/>
      <c r="CL248" s="154"/>
      <c r="CM248" s="154"/>
      <c r="CN248" s="154"/>
      <c r="CO248" s="154"/>
      <c r="CP248" s="154"/>
      <c r="CQ248" s="154"/>
      <c r="CR248" s="154"/>
      <c r="CS248" s="154"/>
      <c r="CT248" s="154"/>
      <c r="CU248" s="154"/>
      <c r="CV248" s="154"/>
      <c r="CW248" s="154"/>
      <c r="CX248" s="154"/>
      <c r="CY248" s="154"/>
      <c r="CZ248" s="154"/>
      <c r="DA248" s="154"/>
      <c r="DB248" s="154"/>
      <c r="DC248" s="154"/>
      <c r="DD248" s="154"/>
      <c r="DE248" s="154"/>
      <c r="DF248" s="154"/>
      <c r="DG248" s="154"/>
      <c r="DH248" s="154"/>
      <c r="DI248" s="154"/>
      <c r="DJ248" s="154"/>
      <c r="DK248" s="154"/>
      <c r="DL248" s="154"/>
      <c r="DM248" s="154"/>
      <c r="DN248" s="154"/>
      <c r="DO248" s="154"/>
      <c r="DP248" s="154"/>
      <c r="DQ248" s="154"/>
      <c r="DR248" s="154"/>
      <c r="DS248" s="154"/>
      <c r="DT248" s="154"/>
      <c r="DU248" s="154"/>
      <c r="DV248" s="154"/>
      <c r="DW248" s="154"/>
      <c r="DX248" s="154"/>
      <c r="DY248" s="154"/>
      <c r="DZ248" s="154"/>
      <c r="EA248" s="154"/>
      <c r="EB248" s="154"/>
      <c r="EC248" s="154"/>
      <c r="ED248" s="154"/>
      <c r="EE248" s="154"/>
      <c r="EF248" s="154"/>
      <c r="EG248" s="154"/>
      <c r="EH248" s="154"/>
      <c r="EI248" s="154"/>
      <c r="EJ248" s="154"/>
      <c r="EK248" s="154"/>
      <c r="EL248" s="154"/>
      <c r="EM248" s="154"/>
      <c r="EN248" s="154"/>
      <c r="EO248" s="154"/>
      <c r="EP248" s="154"/>
      <c r="EQ248" s="154"/>
      <c r="ER248" s="154"/>
      <c r="ES248" s="154"/>
      <c r="ET248" s="154"/>
      <c r="EU248" s="154"/>
      <c r="EV248" s="154"/>
      <c r="EW248" s="154"/>
    </row>
    <row r="249" spans="2:153" ht="12.95" customHeight="1">
      <c r="B249" s="154"/>
      <c r="C249" s="380"/>
      <c r="D249" s="380"/>
      <c r="E249" s="154"/>
      <c r="F249" s="154"/>
      <c r="G249" s="154"/>
      <c r="H249" s="154"/>
      <c r="I249" s="154"/>
      <c r="J249" s="154"/>
      <c r="K249" s="154"/>
      <c r="L249" s="154"/>
      <c r="M249" s="154"/>
      <c r="N249" s="154"/>
      <c r="O249" s="154"/>
      <c r="P249" s="154"/>
      <c r="Q249" s="154"/>
      <c r="R249" s="154"/>
      <c r="S249" s="154"/>
      <c r="T249" s="154"/>
      <c r="U249" s="154"/>
      <c r="V249" s="154"/>
      <c r="W249" s="154"/>
      <c r="X249" s="154"/>
      <c r="Y249" s="154"/>
      <c r="Z249" s="154"/>
      <c r="AA249" s="154"/>
      <c r="AB249" s="154"/>
      <c r="AC249" s="154"/>
      <c r="AD249" s="154"/>
      <c r="AE249" s="154"/>
      <c r="AF249" s="367"/>
      <c r="AG249" s="368"/>
      <c r="AH249" s="368"/>
      <c r="AI249" s="368"/>
      <c r="AJ249" s="154"/>
      <c r="AK249" s="154"/>
      <c r="AL249" s="154"/>
      <c r="AM249" s="154"/>
      <c r="AN249" s="154"/>
      <c r="AO249" s="154"/>
      <c r="AP249" s="154"/>
      <c r="AQ249" s="154"/>
      <c r="AR249" s="154"/>
      <c r="AS249" s="154"/>
      <c r="AT249" s="154"/>
      <c r="AU249" s="154"/>
      <c r="AV249" s="154"/>
      <c r="AW249" s="154"/>
      <c r="AX249" s="154"/>
      <c r="AY249" s="154"/>
      <c r="AZ249" s="154"/>
      <c r="BA249" s="154"/>
      <c r="BB249" s="154"/>
      <c r="BC249" s="154"/>
      <c r="BD249" s="154"/>
      <c r="BE249" s="154"/>
      <c r="BF249" s="154"/>
      <c r="BG249" s="154"/>
      <c r="BH249" s="154"/>
      <c r="BI249" s="154"/>
      <c r="BJ249" s="154"/>
      <c r="BK249" s="154"/>
      <c r="BL249" s="154"/>
      <c r="BM249" s="154"/>
      <c r="BN249" s="154"/>
      <c r="BO249" s="154"/>
      <c r="BP249" s="154"/>
      <c r="BQ249" s="154"/>
      <c r="BR249" s="154"/>
      <c r="BS249" s="154"/>
      <c r="BT249" s="154"/>
      <c r="BU249" s="154"/>
      <c r="BV249" s="154"/>
      <c r="BW249" s="154"/>
      <c r="BX249" s="154"/>
      <c r="BY249" s="154"/>
      <c r="BZ249" s="154"/>
      <c r="CA249" s="154"/>
      <c r="CB249" s="154"/>
      <c r="CC249" s="154"/>
      <c r="CD249" s="154"/>
      <c r="CE249" s="154"/>
      <c r="CF249" s="154"/>
      <c r="CG249" s="154"/>
      <c r="CH249" s="154"/>
      <c r="CI249" s="154"/>
      <c r="CJ249" s="154"/>
      <c r="CK249" s="154"/>
      <c r="CL249" s="154"/>
      <c r="CM249" s="154"/>
      <c r="CN249" s="154"/>
      <c r="CO249" s="154"/>
      <c r="CP249" s="154"/>
      <c r="CQ249" s="154"/>
      <c r="CR249" s="154"/>
      <c r="CS249" s="154"/>
      <c r="CT249" s="154"/>
      <c r="CU249" s="154"/>
      <c r="CV249" s="154"/>
      <c r="CW249" s="154"/>
      <c r="CX249" s="154"/>
      <c r="CY249" s="154"/>
      <c r="CZ249" s="154"/>
      <c r="DA249" s="154"/>
      <c r="DB249" s="154"/>
      <c r="DC249" s="154"/>
      <c r="DD249" s="154"/>
      <c r="DE249" s="154"/>
      <c r="DF249" s="154"/>
      <c r="DG249" s="154"/>
      <c r="DH249" s="154"/>
      <c r="DI249" s="154"/>
      <c r="DJ249" s="154"/>
      <c r="DK249" s="154"/>
      <c r="DL249" s="154"/>
      <c r="DM249" s="154"/>
      <c r="DN249" s="154"/>
      <c r="DO249" s="154"/>
      <c r="DP249" s="154"/>
      <c r="DQ249" s="154"/>
      <c r="DR249" s="154"/>
      <c r="DS249" s="154"/>
      <c r="DT249" s="154"/>
      <c r="DU249" s="154"/>
      <c r="DV249" s="154"/>
      <c r="DW249" s="154"/>
      <c r="DX249" s="154"/>
      <c r="DY249" s="154"/>
      <c r="DZ249" s="154"/>
      <c r="EA249" s="154"/>
      <c r="EB249" s="154"/>
      <c r="EC249" s="154"/>
      <c r="ED249" s="154"/>
      <c r="EE249" s="154"/>
      <c r="EF249" s="154"/>
      <c r="EG249" s="154"/>
      <c r="EH249" s="154"/>
      <c r="EI249" s="154"/>
      <c r="EJ249" s="154"/>
      <c r="EK249" s="154"/>
      <c r="EL249" s="154"/>
      <c r="EM249" s="154"/>
      <c r="EN249" s="154"/>
      <c r="EO249" s="154"/>
      <c r="EP249" s="154"/>
      <c r="EQ249" s="154"/>
      <c r="ER249" s="154"/>
      <c r="ES249" s="154"/>
      <c r="ET249" s="154"/>
      <c r="EU249" s="154"/>
      <c r="EV249" s="154"/>
      <c r="EW249" s="154"/>
    </row>
    <row r="250" spans="2:153" ht="12.95" customHeight="1">
      <c r="B250" s="154"/>
      <c r="C250" s="380"/>
      <c r="D250" s="380"/>
      <c r="E250" s="154"/>
      <c r="F250" s="154"/>
      <c r="G250" s="154"/>
      <c r="H250" s="154"/>
      <c r="I250" s="154"/>
      <c r="J250" s="154"/>
      <c r="K250" s="154"/>
      <c r="L250" s="154"/>
      <c r="M250" s="154"/>
      <c r="N250" s="154"/>
      <c r="O250" s="154"/>
      <c r="P250" s="154"/>
      <c r="Q250" s="154"/>
      <c r="R250" s="154"/>
      <c r="S250" s="154"/>
      <c r="T250" s="154"/>
      <c r="U250" s="154"/>
      <c r="V250" s="154"/>
      <c r="W250" s="154"/>
      <c r="X250" s="154"/>
      <c r="Y250" s="154"/>
      <c r="Z250" s="154"/>
      <c r="AA250" s="154"/>
      <c r="AB250" s="154"/>
      <c r="AC250" s="154"/>
      <c r="AD250" s="154"/>
      <c r="AE250" s="154"/>
      <c r="AF250" s="367"/>
      <c r="AG250" s="368"/>
      <c r="AH250" s="368"/>
      <c r="AI250" s="368"/>
      <c r="AJ250" s="154"/>
      <c r="AK250" s="154"/>
      <c r="AL250" s="154"/>
      <c r="AM250" s="154"/>
      <c r="AN250" s="154"/>
      <c r="AO250" s="154"/>
      <c r="AP250" s="154"/>
      <c r="AQ250" s="154"/>
      <c r="AR250" s="154"/>
      <c r="AS250" s="154"/>
      <c r="AT250" s="154"/>
      <c r="AU250" s="154"/>
      <c r="AV250" s="154"/>
      <c r="AW250" s="154"/>
      <c r="AX250" s="154"/>
      <c r="AY250" s="154"/>
      <c r="AZ250" s="154"/>
      <c r="BA250" s="154"/>
      <c r="BB250" s="154"/>
      <c r="BC250" s="154"/>
      <c r="BD250" s="154"/>
      <c r="BE250" s="154"/>
      <c r="BF250" s="154"/>
      <c r="BG250" s="154"/>
      <c r="BH250" s="154"/>
      <c r="BI250" s="154"/>
      <c r="BJ250" s="154"/>
      <c r="BK250" s="154"/>
      <c r="BL250" s="154"/>
      <c r="BM250" s="154"/>
      <c r="BN250" s="154"/>
      <c r="BO250" s="154"/>
      <c r="BP250" s="154"/>
      <c r="BQ250" s="154"/>
      <c r="BR250" s="154"/>
      <c r="BS250" s="154"/>
      <c r="BT250" s="154"/>
      <c r="BU250" s="154"/>
      <c r="BV250" s="154"/>
      <c r="BW250" s="154"/>
      <c r="BX250" s="154"/>
      <c r="BY250" s="154"/>
      <c r="BZ250" s="154"/>
      <c r="CA250" s="154"/>
      <c r="CB250" s="154"/>
      <c r="CC250" s="154"/>
      <c r="CD250" s="154"/>
      <c r="CE250" s="154"/>
      <c r="CF250" s="154"/>
      <c r="CG250" s="154"/>
      <c r="CH250" s="154"/>
      <c r="CI250" s="154"/>
      <c r="CJ250" s="154"/>
      <c r="CK250" s="154"/>
      <c r="CL250" s="154"/>
      <c r="CM250" s="154"/>
      <c r="CN250" s="154"/>
      <c r="CO250" s="154"/>
      <c r="CP250" s="154"/>
      <c r="CQ250" s="154"/>
      <c r="CR250" s="154"/>
      <c r="CS250" s="154"/>
      <c r="CT250" s="154"/>
      <c r="CU250" s="154"/>
      <c r="CV250" s="154"/>
      <c r="CW250" s="154"/>
      <c r="CX250" s="154"/>
      <c r="CY250" s="154"/>
      <c r="CZ250" s="154"/>
      <c r="DA250" s="154"/>
      <c r="DB250" s="154"/>
      <c r="DC250" s="154"/>
      <c r="DD250" s="154"/>
      <c r="DE250" s="154"/>
      <c r="DF250" s="154"/>
      <c r="DG250" s="154"/>
      <c r="DH250" s="154"/>
      <c r="DI250" s="154"/>
      <c r="DJ250" s="154"/>
      <c r="DK250" s="154"/>
      <c r="DL250" s="154"/>
      <c r="DM250" s="154"/>
      <c r="DN250" s="154"/>
      <c r="DO250" s="154"/>
      <c r="DP250" s="154"/>
      <c r="DQ250" s="154"/>
      <c r="DR250" s="154"/>
      <c r="DS250" s="154"/>
      <c r="DT250" s="154"/>
      <c r="DU250" s="154"/>
      <c r="DV250" s="154"/>
      <c r="DW250" s="154"/>
      <c r="DX250" s="154"/>
      <c r="DY250" s="154"/>
      <c r="DZ250" s="154"/>
      <c r="EA250" s="154"/>
      <c r="EB250" s="154"/>
      <c r="EC250" s="154"/>
      <c r="ED250" s="154"/>
      <c r="EE250" s="154"/>
      <c r="EF250" s="154"/>
      <c r="EG250" s="154"/>
      <c r="EH250" s="154"/>
      <c r="EI250" s="154"/>
      <c r="EJ250" s="154"/>
      <c r="EK250" s="154"/>
      <c r="EL250" s="154"/>
      <c r="EM250" s="154"/>
      <c r="EN250" s="154"/>
      <c r="EO250" s="154"/>
      <c r="EP250" s="154"/>
      <c r="EQ250" s="154"/>
      <c r="ER250" s="154"/>
      <c r="ES250" s="154"/>
      <c r="ET250" s="154"/>
      <c r="EU250" s="154"/>
      <c r="EV250" s="154"/>
      <c r="EW250" s="154"/>
    </row>
    <row r="251" spans="2:153" ht="12.95" customHeight="1">
      <c r="B251" s="154"/>
      <c r="C251" s="380"/>
      <c r="D251" s="380"/>
      <c r="E251" s="154"/>
      <c r="F251" s="154"/>
      <c r="G251" s="154"/>
      <c r="H251" s="154"/>
      <c r="I251" s="154"/>
      <c r="J251" s="154"/>
      <c r="K251" s="154"/>
      <c r="L251" s="154"/>
      <c r="M251" s="154"/>
      <c r="N251" s="154"/>
      <c r="O251" s="154"/>
      <c r="P251" s="154"/>
      <c r="Q251" s="154"/>
      <c r="R251" s="154"/>
      <c r="S251" s="154"/>
      <c r="T251" s="154"/>
      <c r="U251" s="154"/>
      <c r="V251" s="154"/>
      <c r="W251" s="154"/>
      <c r="X251" s="154"/>
      <c r="Y251" s="154"/>
      <c r="Z251" s="154"/>
      <c r="AA251" s="154"/>
      <c r="AB251" s="154"/>
      <c r="AC251" s="154"/>
      <c r="AD251" s="154"/>
      <c r="AE251" s="154"/>
      <c r="AF251" s="367"/>
      <c r="AG251" s="368"/>
      <c r="AH251" s="368"/>
      <c r="AI251" s="368"/>
      <c r="AJ251" s="154"/>
      <c r="AK251" s="154"/>
      <c r="AL251" s="154"/>
      <c r="AM251" s="154"/>
      <c r="AN251" s="154"/>
      <c r="AO251" s="154"/>
      <c r="AP251" s="154"/>
      <c r="AQ251" s="154"/>
      <c r="AR251" s="154"/>
      <c r="AS251" s="154"/>
      <c r="AT251" s="154"/>
      <c r="AU251" s="154"/>
      <c r="AV251" s="154"/>
      <c r="AW251" s="154"/>
      <c r="AX251" s="154"/>
      <c r="AY251" s="154"/>
      <c r="AZ251" s="154"/>
      <c r="BA251" s="154"/>
      <c r="BB251" s="154"/>
      <c r="BC251" s="154"/>
      <c r="BD251" s="154"/>
      <c r="BE251" s="154"/>
      <c r="BF251" s="154"/>
      <c r="BG251" s="154"/>
      <c r="BH251" s="154"/>
      <c r="BI251" s="154"/>
      <c r="BJ251" s="154"/>
      <c r="BK251" s="154"/>
      <c r="BL251" s="154"/>
      <c r="BM251" s="154"/>
      <c r="BN251" s="154"/>
      <c r="BO251" s="154"/>
      <c r="BP251" s="154"/>
      <c r="BQ251" s="154"/>
      <c r="BR251" s="154"/>
      <c r="BS251" s="154"/>
      <c r="BT251" s="154"/>
      <c r="BU251" s="154"/>
      <c r="BV251" s="154"/>
      <c r="BW251" s="154"/>
      <c r="BX251" s="154"/>
      <c r="BY251" s="154"/>
      <c r="BZ251" s="154"/>
      <c r="CA251" s="154"/>
      <c r="CB251" s="154"/>
      <c r="CC251" s="154"/>
      <c r="CD251" s="154"/>
      <c r="CE251" s="154"/>
      <c r="CF251" s="154"/>
      <c r="CG251" s="154"/>
      <c r="CH251" s="154"/>
      <c r="CI251" s="154"/>
      <c r="CJ251" s="154"/>
      <c r="CK251" s="154"/>
      <c r="CL251" s="154"/>
      <c r="CM251" s="154"/>
      <c r="CN251" s="154"/>
      <c r="CO251" s="154"/>
      <c r="CP251" s="154"/>
      <c r="CQ251" s="154"/>
      <c r="CR251" s="154"/>
      <c r="CS251" s="154"/>
      <c r="CT251" s="154"/>
      <c r="CU251" s="154"/>
      <c r="CV251" s="154"/>
      <c r="CW251" s="154"/>
      <c r="CX251" s="154"/>
      <c r="CY251" s="154"/>
      <c r="CZ251" s="154"/>
      <c r="DA251" s="154"/>
      <c r="DB251" s="154"/>
      <c r="DC251" s="154"/>
      <c r="DD251" s="154"/>
      <c r="DE251" s="154"/>
      <c r="DF251" s="154"/>
      <c r="DG251" s="154"/>
      <c r="DH251" s="154"/>
      <c r="DI251" s="154"/>
      <c r="DJ251" s="154"/>
      <c r="DK251" s="154"/>
      <c r="DL251" s="154"/>
      <c r="DM251" s="154"/>
      <c r="DN251" s="154"/>
      <c r="DO251" s="154"/>
      <c r="DP251" s="154"/>
      <c r="DQ251" s="154"/>
      <c r="DR251" s="154"/>
      <c r="DS251" s="154"/>
      <c r="DT251" s="154"/>
      <c r="DU251" s="154"/>
      <c r="DV251" s="154"/>
      <c r="DW251" s="154"/>
      <c r="DX251" s="154"/>
      <c r="DY251" s="154"/>
      <c r="DZ251" s="154"/>
      <c r="EA251" s="154"/>
      <c r="EB251" s="154"/>
      <c r="EC251" s="154"/>
      <c r="ED251" s="154"/>
      <c r="EE251" s="154"/>
      <c r="EF251" s="154"/>
      <c r="EG251" s="154"/>
      <c r="EH251" s="154"/>
      <c r="EI251" s="154"/>
      <c r="EJ251" s="154"/>
      <c r="EK251" s="154"/>
      <c r="EL251" s="154"/>
      <c r="EM251" s="154"/>
      <c r="EN251" s="154"/>
      <c r="EO251" s="154"/>
      <c r="EP251" s="154"/>
      <c r="EQ251" s="154"/>
      <c r="ER251" s="154"/>
      <c r="ES251" s="154"/>
      <c r="ET251" s="154"/>
      <c r="EU251" s="154"/>
      <c r="EV251" s="154"/>
      <c r="EW251" s="154"/>
    </row>
    <row r="252" spans="2:153" ht="12.95" customHeight="1">
      <c r="B252" s="154"/>
      <c r="C252" s="380"/>
      <c r="D252" s="380"/>
      <c r="E252" s="154"/>
      <c r="F252" s="154"/>
      <c r="G252" s="154"/>
      <c r="H252" s="154"/>
      <c r="I252" s="154"/>
      <c r="J252" s="154"/>
      <c r="K252" s="154"/>
      <c r="L252" s="154"/>
      <c r="M252" s="154"/>
      <c r="N252" s="154"/>
      <c r="O252" s="154"/>
      <c r="P252" s="154"/>
      <c r="Q252" s="154"/>
      <c r="R252" s="154"/>
      <c r="S252" s="154"/>
      <c r="T252" s="154"/>
      <c r="U252" s="154"/>
      <c r="V252" s="154"/>
      <c r="W252" s="154"/>
      <c r="X252" s="154"/>
      <c r="Y252" s="154"/>
      <c r="Z252" s="154"/>
      <c r="AA252" s="154"/>
      <c r="AB252" s="154"/>
      <c r="AC252" s="154"/>
      <c r="AD252" s="154"/>
      <c r="AE252" s="154"/>
      <c r="AF252" s="367"/>
      <c r="AG252" s="368"/>
      <c r="AH252" s="368"/>
      <c r="AI252" s="368"/>
      <c r="AJ252" s="154"/>
      <c r="AK252" s="154"/>
      <c r="AL252" s="154"/>
      <c r="AM252" s="154"/>
      <c r="AN252" s="154"/>
      <c r="AO252" s="154"/>
      <c r="AP252" s="154"/>
      <c r="AQ252" s="154"/>
      <c r="AR252" s="154"/>
      <c r="AS252" s="154"/>
      <c r="AT252" s="154"/>
      <c r="AU252" s="154"/>
      <c r="AV252" s="154"/>
      <c r="AW252" s="154"/>
      <c r="AX252" s="154"/>
      <c r="AY252" s="154"/>
      <c r="AZ252" s="154"/>
      <c r="BA252" s="154"/>
      <c r="BB252" s="154"/>
      <c r="BC252" s="154"/>
      <c r="BD252" s="154"/>
      <c r="BE252" s="154"/>
      <c r="BF252" s="154"/>
      <c r="BG252" s="154"/>
      <c r="BH252" s="154"/>
      <c r="BI252" s="154"/>
      <c r="BJ252" s="154"/>
      <c r="BK252" s="154"/>
      <c r="BL252" s="154"/>
      <c r="BM252" s="154"/>
      <c r="BN252" s="154"/>
      <c r="BO252" s="154"/>
      <c r="BP252" s="154"/>
      <c r="BQ252" s="154"/>
      <c r="BR252" s="154"/>
      <c r="BS252" s="154"/>
      <c r="BT252" s="154"/>
      <c r="BU252" s="154"/>
      <c r="BV252" s="154"/>
      <c r="BW252" s="154"/>
      <c r="BX252" s="154"/>
      <c r="BY252" s="154"/>
      <c r="BZ252" s="154"/>
      <c r="CA252" s="154"/>
      <c r="CB252" s="154"/>
      <c r="CC252" s="154"/>
      <c r="CD252" s="154"/>
      <c r="CE252" s="154"/>
      <c r="CF252" s="154"/>
      <c r="CG252" s="154"/>
      <c r="CH252" s="154"/>
      <c r="CI252" s="154"/>
      <c r="CJ252" s="154"/>
      <c r="CK252" s="154"/>
      <c r="CL252" s="154"/>
      <c r="CM252" s="154"/>
      <c r="CN252" s="154"/>
      <c r="CO252" s="154"/>
      <c r="CP252" s="154"/>
      <c r="CQ252" s="154"/>
      <c r="CR252" s="154"/>
      <c r="CS252" s="154"/>
      <c r="CT252" s="154"/>
      <c r="CU252" s="154"/>
      <c r="CV252" s="154"/>
      <c r="CW252" s="154"/>
      <c r="CX252" s="154"/>
      <c r="CY252" s="154"/>
      <c r="CZ252" s="154"/>
      <c r="DA252" s="154"/>
      <c r="DB252" s="154"/>
      <c r="DC252" s="154"/>
      <c r="DD252" s="154"/>
      <c r="DE252" s="154"/>
      <c r="DF252" s="154"/>
      <c r="DG252" s="154"/>
      <c r="DH252" s="154"/>
      <c r="DI252" s="154"/>
      <c r="DJ252" s="154"/>
      <c r="DK252" s="154"/>
      <c r="DL252" s="154"/>
      <c r="DM252" s="154"/>
      <c r="DN252" s="154"/>
      <c r="DO252" s="154"/>
      <c r="DP252" s="154"/>
      <c r="DQ252" s="154"/>
      <c r="DR252" s="154"/>
      <c r="DS252" s="154"/>
      <c r="DT252" s="154"/>
      <c r="DU252" s="154"/>
      <c r="DV252" s="154"/>
      <c r="DW252" s="154"/>
      <c r="DX252" s="154"/>
      <c r="DY252" s="154"/>
      <c r="DZ252" s="154"/>
      <c r="EA252" s="154"/>
      <c r="EB252" s="154"/>
      <c r="EC252" s="154"/>
      <c r="ED252" s="154"/>
      <c r="EE252" s="154"/>
      <c r="EF252" s="154"/>
      <c r="EG252" s="154"/>
      <c r="EH252" s="154"/>
      <c r="EI252" s="154"/>
      <c r="EJ252" s="154"/>
      <c r="EK252" s="154"/>
      <c r="EL252" s="154"/>
      <c r="EM252" s="154"/>
      <c r="EN252" s="154"/>
      <c r="EO252" s="154"/>
      <c r="EP252" s="154"/>
      <c r="EQ252" s="154"/>
      <c r="ER252" s="154"/>
      <c r="ES252" s="154"/>
      <c r="ET252" s="154"/>
      <c r="EU252" s="154"/>
      <c r="EV252" s="154"/>
      <c r="EW252" s="154"/>
    </row>
    <row r="253" spans="2:153" ht="12.95" customHeight="1">
      <c r="B253" s="154"/>
      <c r="C253" s="380"/>
      <c r="D253" s="380"/>
      <c r="E253" s="154"/>
      <c r="F253" s="154"/>
      <c r="G253" s="154"/>
      <c r="H253" s="154"/>
      <c r="I253" s="154"/>
      <c r="J253" s="154"/>
      <c r="K253" s="154"/>
      <c r="L253" s="154"/>
      <c r="M253" s="154"/>
      <c r="N253" s="154"/>
      <c r="O253" s="154"/>
      <c r="P253" s="154"/>
      <c r="Q253" s="154"/>
      <c r="R253" s="154"/>
      <c r="S253" s="154"/>
      <c r="T253" s="154"/>
      <c r="U253" s="154"/>
      <c r="V253" s="154"/>
      <c r="W253" s="154"/>
      <c r="X253" s="154"/>
      <c r="Y253" s="154"/>
      <c r="Z253" s="154"/>
      <c r="AA253" s="154"/>
      <c r="AB253" s="154"/>
      <c r="AC253" s="154"/>
      <c r="AD253" s="154"/>
      <c r="AE253" s="154"/>
      <c r="AF253" s="367"/>
      <c r="AG253" s="368"/>
      <c r="AH253" s="368"/>
      <c r="AI253" s="368"/>
      <c r="AJ253" s="154"/>
      <c r="AK253" s="154"/>
      <c r="AL253" s="154"/>
      <c r="AM253" s="154"/>
      <c r="AN253" s="154"/>
      <c r="AO253" s="154"/>
      <c r="AP253" s="154"/>
      <c r="AQ253" s="154"/>
      <c r="AR253" s="154"/>
      <c r="AS253" s="154"/>
      <c r="AT253" s="154"/>
      <c r="AU253" s="154"/>
      <c r="AV253" s="154"/>
      <c r="AW253" s="154"/>
      <c r="AX253" s="154"/>
      <c r="AY253" s="154"/>
      <c r="AZ253" s="154"/>
      <c r="BA253" s="154"/>
      <c r="BB253" s="154"/>
      <c r="BC253" s="154"/>
      <c r="BD253" s="154"/>
      <c r="BE253" s="154"/>
      <c r="BF253" s="154"/>
      <c r="BG253" s="154"/>
      <c r="BH253" s="154"/>
      <c r="BI253" s="154"/>
      <c r="BJ253" s="154"/>
      <c r="BK253" s="154"/>
      <c r="BL253" s="154"/>
      <c r="BM253" s="154"/>
      <c r="BN253" s="154"/>
      <c r="BO253" s="154"/>
      <c r="BP253" s="154"/>
      <c r="BQ253" s="154"/>
      <c r="BR253" s="154"/>
      <c r="BS253" s="154"/>
      <c r="BT253" s="154"/>
      <c r="BU253" s="154"/>
      <c r="BV253" s="154"/>
      <c r="BW253" s="154"/>
      <c r="BX253" s="154"/>
      <c r="BY253" s="154"/>
      <c r="BZ253" s="154"/>
      <c r="CA253" s="154"/>
      <c r="CB253" s="154"/>
      <c r="CC253" s="154"/>
      <c r="CD253" s="154"/>
      <c r="CE253" s="154"/>
      <c r="CF253" s="154"/>
      <c r="CG253" s="154"/>
      <c r="CH253" s="154"/>
      <c r="CI253" s="154"/>
      <c r="CJ253" s="154"/>
      <c r="CK253" s="154"/>
      <c r="CL253" s="154"/>
      <c r="CM253" s="154"/>
      <c r="CN253" s="154"/>
      <c r="CO253" s="154"/>
      <c r="CP253" s="154"/>
      <c r="CQ253" s="154"/>
      <c r="CR253" s="154"/>
      <c r="CS253" s="154"/>
      <c r="CT253" s="154"/>
      <c r="CU253" s="154"/>
      <c r="CV253" s="154"/>
      <c r="CW253" s="154"/>
      <c r="CX253" s="154"/>
      <c r="CY253" s="154"/>
      <c r="CZ253" s="154"/>
      <c r="DA253" s="154"/>
      <c r="DB253" s="154"/>
      <c r="DC253" s="154"/>
      <c r="DD253" s="154"/>
      <c r="DE253" s="154"/>
      <c r="DF253" s="154"/>
      <c r="DG253" s="154"/>
      <c r="DH253" s="154"/>
      <c r="DI253" s="154"/>
      <c r="DJ253" s="154"/>
      <c r="DK253" s="154"/>
      <c r="DL253" s="154"/>
      <c r="DM253" s="154"/>
      <c r="DN253" s="154"/>
      <c r="DO253" s="154"/>
      <c r="DP253" s="154"/>
      <c r="DQ253" s="154"/>
      <c r="DR253" s="154"/>
      <c r="DS253" s="154"/>
      <c r="DT253" s="154"/>
      <c r="DU253" s="154"/>
      <c r="DV253" s="154"/>
      <c r="DW253" s="154"/>
      <c r="DX253" s="154"/>
      <c r="DY253" s="154"/>
      <c r="DZ253" s="154"/>
      <c r="EA253" s="154"/>
      <c r="EB253" s="154"/>
      <c r="EC253" s="154"/>
      <c r="ED253" s="154"/>
      <c r="EE253" s="154"/>
      <c r="EF253" s="154"/>
      <c r="EG253" s="154"/>
      <c r="EH253" s="154"/>
      <c r="EI253" s="154"/>
      <c r="EJ253" s="154"/>
      <c r="EK253" s="154"/>
      <c r="EL253" s="154"/>
      <c r="EM253" s="154"/>
      <c r="EN253" s="154"/>
      <c r="EO253" s="154"/>
      <c r="EP253" s="154"/>
      <c r="EQ253" s="154"/>
      <c r="ER253" s="154"/>
      <c r="ES253" s="154"/>
      <c r="ET253" s="154"/>
      <c r="EU253" s="154"/>
      <c r="EV253" s="154"/>
      <c r="EW253" s="154"/>
    </row>
    <row r="254" spans="2:153" ht="12.95" customHeight="1">
      <c r="B254" s="154"/>
      <c r="C254" s="380"/>
      <c r="D254" s="380"/>
      <c r="E254" s="154"/>
      <c r="F254" s="154"/>
      <c r="G254" s="154"/>
      <c r="H254" s="154"/>
      <c r="I254" s="154"/>
      <c r="J254" s="154"/>
      <c r="K254" s="154"/>
      <c r="L254" s="154"/>
      <c r="M254" s="154"/>
      <c r="N254" s="154"/>
      <c r="O254" s="154"/>
      <c r="P254" s="154"/>
      <c r="Q254" s="154"/>
      <c r="R254" s="154"/>
      <c r="S254" s="154"/>
      <c r="T254" s="154"/>
      <c r="U254" s="154"/>
      <c r="V254" s="154"/>
      <c r="W254" s="154"/>
      <c r="X254" s="154"/>
      <c r="Y254" s="154"/>
      <c r="Z254" s="154"/>
      <c r="AA254" s="154"/>
      <c r="AB254" s="154"/>
      <c r="AC254" s="154"/>
      <c r="AD254" s="154"/>
      <c r="AE254" s="154"/>
      <c r="AF254" s="367"/>
      <c r="AG254" s="368"/>
      <c r="AH254" s="368"/>
      <c r="AI254" s="368"/>
      <c r="AJ254" s="154"/>
      <c r="AK254" s="154"/>
      <c r="AL254" s="154"/>
      <c r="AM254" s="154"/>
      <c r="AN254" s="154"/>
      <c r="AO254" s="154"/>
      <c r="AP254" s="154"/>
      <c r="AQ254" s="154"/>
      <c r="AR254" s="154"/>
      <c r="AS254" s="154"/>
      <c r="AT254" s="154"/>
      <c r="AU254" s="154"/>
      <c r="AV254" s="154"/>
      <c r="AW254" s="154"/>
      <c r="AX254" s="154"/>
      <c r="AY254" s="154"/>
      <c r="AZ254" s="154"/>
      <c r="BA254" s="154"/>
      <c r="BB254" s="154"/>
      <c r="BC254" s="154"/>
      <c r="BD254" s="154"/>
      <c r="BE254" s="154"/>
      <c r="BF254" s="154"/>
      <c r="BG254" s="154"/>
      <c r="BH254" s="154"/>
      <c r="BI254" s="154"/>
      <c r="BJ254" s="154"/>
      <c r="BK254" s="154"/>
      <c r="BL254" s="154"/>
      <c r="BM254" s="154"/>
      <c r="BN254" s="154"/>
      <c r="BO254" s="154"/>
      <c r="BP254" s="154"/>
      <c r="BQ254" s="154"/>
      <c r="BR254" s="154"/>
      <c r="BS254" s="154"/>
      <c r="BT254" s="154"/>
      <c r="BU254" s="154"/>
      <c r="BV254" s="154"/>
      <c r="BW254" s="154"/>
      <c r="BX254" s="154"/>
      <c r="BY254" s="154"/>
      <c r="BZ254" s="154"/>
      <c r="CA254" s="154"/>
      <c r="CB254" s="154"/>
      <c r="CC254" s="154"/>
      <c r="CD254" s="154"/>
      <c r="CE254" s="154"/>
      <c r="CF254" s="154"/>
      <c r="CG254" s="154"/>
      <c r="CH254" s="154"/>
      <c r="CI254" s="154"/>
      <c r="CJ254" s="154"/>
      <c r="CK254" s="154"/>
      <c r="CL254" s="154"/>
      <c r="CM254" s="154"/>
      <c r="CN254" s="154"/>
      <c r="CO254" s="154"/>
      <c r="CP254" s="154"/>
      <c r="CQ254" s="154"/>
      <c r="CR254" s="154"/>
      <c r="CS254" s="154"/>
      <c r="CT254" s="154"/>
      <c r="CU254" s="154"/>
      <c r="CV254" s="154"/>
      <c r="CW254" s="154"/>
      <c r="CX254" s="154"/>
      <c r="CY254" s="154"/>
      <c r="CZ254" s="154"/>
      <c r="DA254" s="154"/>
      <c r="DB254" s="154"/>
      <c r="DC254" s="154"/>
      <c r="DD254" s="154"/>
      <c r="DE254" s="154"/>
      <c r="DF254" s="154"/>
      <c r="DG254" s="154"/>
      <c r="DH254" s="154"/>
      <c r="DI254" s="154"/>
      <c r="DJ254" s="154"/>
      <c r="DK254" s="154"/>
      <c r="DL254" s="154"/>
      <c r="DM254" s="154"/>
      <c r="DN254" s="154"/>
      <c r="DO254" s="154"/>
      <c r="DP254" s="154"/>
      <c r="DQ254" s="154"/>
      <c r="DR254" s="154"/>
      <c r="DS254" s="154"/>
      <c r="DT254" s="154"/>
      <c r="DU254" s="154"/>
      <c r="DV254" s="154"/>
      <c r="DW254" s="154"/>
      <c r="DX254" s="154"/>
      <c r="DY254" s="154"/>
      <c r="DZ254" s="154"/>
      <c r="EA254" s="154"/>
      <c r="EB254" s="154"/>
      <c r="EC254" s="154"/>
      <c r="ED254" s="154"/>
      <c r="EE254" s="154"/>
      <c r="EF254" s="154"/>
      <c r="EG254" s="154"/>
      <c r="EH254" s="154"/>
      <c r="EI254" s="154"/>
      <c r="EJ254" s="154"/>
      <c r="EK254" s="154"/>
      <c r="EL254" s="154"/>
      <c r="EM254" s="154"/>
      <c r="EN254" s="154"/>
      <c r="EO254" s="154"/>
      <c r="EP254" s="154"/>
      <c r="EQ254" s="154"/>
      <c r="ER254" s="154"/>
      <c r="ES254" s="154"/>
      <c r="ET254" s="154"/>
      <c r="EU254" s="154"/>
      <c r="EV254" s="154"/>
      <c r="EW254" s="154"/>
    </row>
    <row r="255" spans="2:153" ht="12.95" customHeight="1">
      <c r="B255" s="154"/>
      <c r="C255" s="380"/>
      <c r="D255" s="380"/>
      <c r="E255" s="154"/>
      <c r="F255" s="154"/>
      <c r="G255" s="154"/>
      <c r="H255" s="154"/>
      <c r="I255" s="154"/>
      <c r="J255" s="154"/>
      <c r="K255" s="154"/>
      <c r="L255" s="154"/>
      <c r="M255" s="154"/>
      <c r="N255" s="154"/>
      <c r="O255" s="154"/>
      <c r="P255" s="154"/>
      <c r="Q255" s="154"/>
      <c r="R255" s="154"/>
      <c r="S255" s="154"/>
      <c r="T255" s="154"/>
      <c r="U255" s="154"/>
      <c r="V255" s="154"/>
      <c r="W255" s="154"/>
      <c r="X255" s="154"/>
      <c r="Y255" s="154"/>
      <c r="Z255" s="154"/>
      <c r="AA255" s="154"/>
      <c r="AB255" s="154"/>
      <c r="AC255" s="154"/>
      <c r="AD255" s="154"/>
      <c r="AE255" s="154"/>
      <c r="AF255" s="367"/>
      <c r="AG255" s="368"/>
      <c r="AH255" s="368"/>
      <c r="AI255" s="368"/>
      <c r="AJ255" s="154"/>
      <c r="AK255" s="154"/>
      <c r="AL255" s="154"/>
      <c r="AM255" s="154"/>
      <c r="AN255" s="154"/>
      <c r="AO255" s="154"/>
      <c r="AP255" s="154"/>
      <c r="AQ255" s="154"/>
      <c r="AR255" s="154"/>
      <c r="AS255" s="154"/>
      <c r="AT255" s="154"/>
      <c r="AU255" s="154"/>
      <c r="AV255" s="154"/>
      <c r="AW255" s="154"/>
      <c r="AX255" s="154"/>
      <c r="AY255" s="154"/>
      <c r="AZ255" s="154"/>
      <c r="BA255" s="154"/>
      <c r="BB255" s="154"/>
      <c r="BC255" s="154"/>
      <c r="BD255" s="154"/>
      <c r="BE255" s="154"/>
      <c r="BF255" s="154"/>
      <c r="BG255" s="154"/>
      <c r="BH255" s="154"/>
      <c r="BI255" s="154"/>
      <c r="BJ255" s="154"/>
      <c r="BK255" s="154"/>
      <c r="BL255" s="154"/>
      <c r="BM255" s="154"/>
      <c r="BN255" s="154"/>
      <c r="BO255" s="154"/>
      <c r="BP255" s="154"/>
      <c r="BQ255" s="154"/>
      <c r="BR255" s="154"/>
      <c r="BS255" s="154"/>
      <c r="BT255" s="154"/>
      <c r="BU255" s="154"/>
      <c r="BV255" s="154"/>
      <c r="BW255" s="154"/>
      <c r="BX255" s="154"/>
      <c r="BY255" s="154"/>
      <c r="BZ255" s="154"/>
      <c r="CA255" s="154"/>
      <c r="CB255" s="154"/>
      <c r="CC255" s="154"/>
      <c r="CD255" s="154"/>
      <c r="CE255" s="154"/>
      <c r="CF255" s="154"/>
      <c r="CG255" s="154"/>
      <c r="CH255" s="154"/>
      <c r="CI255" s="154"/>
      <c r="CJ255" s="154"/>
      <c r="CK255" s="154"/>
      <c r="CL255" s="154"/>
      <c r="CM255" s="154"/>
      <c r="CN255" s="154"/>
      <c r="CO255" s="154"/>
      <c r="CP255" s="154"/>
      <c r="CQ255" s="154"/>
      <c r="CR255" s="154"/>
      <c r="CS255" s="154"/>
      <c r="CT255" s="154"/>
      <c r="CU255" s="154"/>
      <c r="CV255" s="154"/>
      <c r="CW255" s="154"/>
      <c r="CX255" s="154"/>
      <c r="CY255" s="154"/>
      <c r="CZ255" s="154"/>
      <c r="DA255" s="154"/>
      <c r="DB255" s="154"/>
      <c r="DC255" s="154"/>
      <c r="DD255" s="154"/>
      <c r="DE255" s="154"/>
      <c r="DF255" s="154"/>
      <c r="DG255" s="154"/>
      <c r="DH255" s="154"/>
      <c r="DI255" s="154"/>
      <c r="DJ255" s="154"/>
      <c r="DK255" s="154"/>
      <c r="DL255" s="154"/>
      <c r="DM255" s="154"/>
      <c r="DN255" s="154"/>
      <c r="DO255" s="154"/>
      <c r="DP255" s="154"/>
      <c r="DQ255" s="154"/>
      <c r="DR255" s="154"/>
      <c r="DS255" s="154"/>
      <c r="DT255" s="154"/>
      <c r="DU255" s="154"/>
      <c r="DV255" s="154"/>
      <c r="DW255" s="154"/>
      <c r="DX255" s="154"/>
      <c r="DY255" s="154"/>
      <c r="DZ255" s="154"/>
      <c r="EA255" s="154"/>
      <c r="EB255" s="154"/>
      <c r="EC255" s="154"/>
      <c r="ED255" s="154"/>
      <c r="EE255" s="154"/>
      <c r="EF255" s="154"/>
      <c r="EG255" s="154"/>
      <c r="EH255" s="154"/>
      <c r="EI255" s="154"/>
      <c r="EJ255" s="154"/>
      <c r="EK255" s="154"/>
      <c r="EL255" s="154"/>
      <c r="EM255" s="154"/>
      <c r="EN255" s="154"/>
      <c r="EO255" s="154"/>
      <c r="EP255" s="154"/>
      <c r="EQ255" s="154"/>
      <c r="ER255" s="154"/>
      <c r="ES255" s="154"/>
      <c r="ET255" s="154"/>
      <c r="EU255" s="154"/>
      <c r="EV255" s="154"/>
      <c r="EW255" s="154"/>
    </row>
    <row r="256" spans="2:153" ht="12.95" customHeight="1">
      <c r="B256" s="154"/>
      <c r="C256" s="380"/>
      <c r="D256" s="380"/>
      <c r="E256" s="154"/>
      <c r="F256" s="154"/>
      <c r="G256" s="154"/>
      <c r="H256" s="154"/>
      <c r="I256" s="154"/>
      <c r="J256" s="154"/>
      <c r="K256" s="154"/>
      <c r="L256" s="154"/>
      <c r="M256" s="154"/>
      <c r="N256" s="154"/>
      <c r="O256" s="154"/>
      <c r="P256" s="154"/>
      <c r="Q256" s="154"/>
      <c r="R256" s="154"/>
      <c r="S256" s="154"/>
      <c r="T256" s="154"/>
      <c r="U256" s="154"/>
      <c r="V256" s="154"/>
      <c r="W256" s="154"/>
      <c r="X256" s="154"/>
      <c r="Y256" s="154"/>
      <c r="Z256" s="154"/>
      <c r="AA256" s="154"/>
      <c r="AB256" s="154"/>
      <c r="AC256" s="154"/>
      <c r="AD256" s="154"/>
      <c r="AE256" s="154"/>
      <c r="AF256" s="367"/>
      <c r="AG256" s="368"/>
      <c r="AH256" s="368"/>
      <c r="AI256" s="368"/>
      <c r="AJ256" s="154"/>
      <c r="AK256" s="154"/>
      <c r="AL256" s="154"/>
      <c r="AM256" s="154"/>
      <c r="AN256" s="154"/>
      <c r="AO256" s="154"/>
      <c r="AP256" s="154"/>
      <c r="AQ256" s="154"/>
      <c r="AR256" s="154"/>
      <c r="AS256" s="154"/>
      <c r="AT256" s="154"/>
      <c r="AU256" s="154"/>
      <c r="AV256" s="154"/>
      <c r="AW256" s="154"/>
      <c r="AX256" s="154"/>
      <c r="AY256" s="154"/>
      <c r="AZ256" s="154"/>
      <c r="BA256" s="154"/>
      <c r="BB256" s="154"/>
      <c r="BC256" s="154"/>
      <c r="BD256" s="154"/>
      <c r="BE256" s="154"/>
      <c r="BF256" s="154"/>
      <c r="BG256" s="154"/>
      <c r="BH256" s="154"/>
      <c r="BI256" s="154"/>
      <c r="BJ256" s="154"/>
      <c r="BK256" s="154"/>
      <c r="BL256" s="154"/>
      <c r="BM256" s="154"/>
      <c r="BN256" s="154"/>
      <c r="BO256" s="154"/>
      <c r="BP256" s="154"/>
      <c r="BQ256" s="154"/>
      <c r="BR256" s="154"/>
      <c r="BS256" s="154"/>
      <c r="BT256" s="154"/>
      <c r="BU256" s="154"/>
      <c r="BV256" s="154"/>
      <c r="BW256" s="154"/>
      <c r="BX256" s="154"/>
      <c r="BY256" s="154"/>
      <c r="BZ256" s="154"/>
      <c r="CA256" s="154"/>
      <c r="CB256" s="154"/>
      <c r="CC256" s="154"/>
      <c r="CD256" s="154"/>
      <c r="CE256" s="154"/>
      <c r="CF256" s="154"/>
      <c r="CG256" s="154"/>
      <c r="CH256" s="154"/>
      <c r="CI256" s="154"/>
      <c r="CJ256" s="154"/>
      <c r="CK256" s="154"/>
      <c r="CL256" s="154"/>
      <c r="CM256" s="154"/>
      <c r="CN256" s="154"/>
      <c r="CO256" s="154"/>
      <c r="CP256" s="154"/>
      <c r="CQ256" s="154"/>
      <c r="CR256" s="154"/>
      <c r="CS256" s="154"/>
      <c r="CT256" s="154"/>
      <c r="CU256" s="154"/>
      <c r="CV256" s="154"/>
      <c r="CW256" s="154"/>
      <c r="CX256" s="154"/>
      <c r="CY256" s="154"/>
      <c r="CZ256" s="154"/>
      <c r="DA256" s="154"/>
      <c r="DB256" s="154"/>
      <c r="DC256" s="154"/>
      <c r="DD256" s="154"/>
      <c r="DE256" s="154"/>
      <c r="DF256" s="154"/>
      <c r="DG256" s="154"/>
      <c r="DH256" s="154"/>
      <c r="DI256" s="154"/>
      <c r="DJ256" s="154"/>
      <c r="DK256" s="154"/>
      <c r="DL256" s="154"/>
      <c r="DM256" s="154"/>
      <c r="DN256" s="154"/>
      <c r="DO256" s="154"/>
      <c r="DP256" s="154"/>
      <c r="DQ256" s="154"/>
      <c r="DR256" s="154"/>
      <c r="DS256" s="154"/>
      <c r="DT256" s="154"/>
      <c r="DU256" s="154"/>
      <c r="DV256" s="154"/>
      <c r="DW256" s="154"/>
      <c r="DX256" s="154"/>
      <c r="DY256" s="154"/>
      <c r="DZ256" s="154"/>
      <c r="EA256" s="154"/>
      <c r="EB256" s="154"/>
      <c r="EC256" s="154"/>
      <c r="ED256" s="154"/>
      <c r="EE256" s="154"/>
      <c r="EF256" s="154"/>
      <c r="EG256" s="154"/>
      <c r="EH256" s="154"/>
      <c r="EI256" s="154"/>
      <c r="EJ256" s="154"/>
      <c r="EK256" s="154"/>
      <c r="EL256" s="154"/>
      <c r="EM256" s="154"/>
      <c r="EN256" s="154"/>
      <c r="EO256" s="154"/>
      <c r="EP256" s="154"/>
      <c r="EQ256" s="154"/>
      <c r="ER256" s="154"/>
      <c r="ES256" s="154"/>
      <c r="ET256" s="154"/>
      <c r="EU256" s="154"/>
      <c r="EV256" s="154"/>
      <c r="EW256" s="154"/>
    </row>
    <row r="257" spans="2:153" ht="12.95" customHeight="1">
      <c r="B257" s="154"/>
      <c r="C257" s="380"/>
      <c r="D257" s="380"/>
      <c r="E257" s="154"/>
      <c r="F257" s="154"/>
      <c r="G257" s="154"/>
      <c r="H257" s="154"/>
      <c r="I257" s="154"/>
      <c r="J257" s="154"/>
      <c r="K257" s="154"/>
      <c r="L257" s="154"/>
      <c r="M257" s="154"/>
      <c r="N257" s="154"/>
      <c r="O257" s="154"/>
      <c r="P257" s="154"/>
      <c r="Q257" s="154"/>
      <c r="R257" s="154"/>
      <c r="S257" s="154"/>
      <c r="T257" s="154"/>
      <c r="U257" s="154"/>
      <c r="V257" s="154"/>
      <c r="W257" s="154"/>
      <c r="X257" s="154"/>
      <c r="Y257" s="154"/>
      <c r="Z257" s="154"/>
      <c r="AA257" s="154"/>
      <c r="AB257" s="154"/>
      <c r="AC257" s="154"/>
      <c r="AD257" s="154"/>
      <c r="AE257" s="154"/>
      <c r="AF257" s="367"/>
      <c r="AG257" s="368"/>
      <c r="AH257" s="368"/>
      <c r="AI257" s="368"/>
      <c r="AJ257" s="154"/>
      <c r="AK257" s="154"/>
      <c r="AL257" s="154"/>
      <c r="AM257" s="154"/>
      <c r="AN257" s="154"/>
      <c r="AO257" s="154"/>
      <c r="AP257" s="154"/>
      <c r="AQ257" s="154"/>
      <c r="AR257" s="154"/>
      <c r="AS257" s="154"/>
      <c r="AT257" s="154"/>
      <c r="AU257" s="154"/>
      <c r="AV257" s="154"/>
      <c r="AW257" s="154"/>
      <c r="AX257" s="154"/>
      <c r="AY257" s="154"/>
      <c r="AZ257" s="154"/>
      <c r="BA257" s="154"/>
      <c r="BB257" s="154"/>
      <c r="BC257" s="154"/>
      <c r="BD257" s="154"/>
      <c r="BE257" s="154"/>
      <c r="BF257" s="154"/>
      <c r="BG257" s="154"/>
      <c r="BH257" s="154"/>
      <c r="BI257" s="154"/>
      <c r="BJ257" s="154"/>
      <c r="BK257" s="154"/>
      <c r="BL257" s="154"/>
      <c r="BM257" s="154"/>
      <c r="BN257" s="154"/>
      <c r="BO257" s="154"/>
      <c r="BP257" s="154"/>
      <c r="BQ257" s="154"/>
      <c r="BR257" s="154"/>
      <c r="BS257" s="154"/>
      <c r="BT257" s="154"/>
      <c r="BU257" s="154"/>
      <c r="BV257" s="154"/>
      <c r="BW257" s="154"/>
      <c r="BX257" s="154"/>
      <c r="BY257" s="154"/>
      <c r="BZ257" s="154"/>
      <c r="CA257" s="154"/>
      <c r="CB257" s="154"/>
      <c r="CC257" s="154"/>
      <c r="CD257" s="154"/>
      <c r="CE257" s="154"/>
      <c r="CF257" s="154"/>
      <c r="CG257" s="154"/>
      <c r="CH257" s="154"/>
      <c r="CI257" s="154"/>
      <c r="CJ257" s="154"/>
      <c r="CK257" s="154"/>
      <c r="CL257" s="154"/>
      <c r="CM257" s="154"/>
      <c r="CN257" s="154"/>
      <c r="CO257" s="154"/>
      <c r="CP257" s="154"/>
      <c r="CQ257" s="154"/>
      <c r="CR257" s="154"/>
      <c r="CS257" s="154"/>
      <c r="CT257" s="154"/>
      <c r="CU257" s="154"/>
      <c r="CV257" s="154"/>
      <c r="CW257" s="154"/>
      <c r="CX257" s="154"/>
      <c r="CY257" s="154"/>
      <c r="CZ257" s="154"/>
      <c r="DA257" s="154"/>
      <c r="DB257" s="154"/>
      <c r="DC257" s="154"/>
      <c r="DD257" s="154"/>
      <c r="DE257" s="154"/>
      <c r="DF257" s="154"/>
      <c r="DG257" s="154"/>
      <c r="DH257" s="154"/>
      <c r="DI257" s="154"/>
      <c r="DJ257" s="154"/>
      <c r="DK257" s="154"/>
      <c r="DL257" s="154"/>
      <c r="DM257" s="154"/>
      <c r="DN257" s="154"/>
      <c r="DO257" s="154"/>
      <c r="DP257" s="154"/>
      <c r="DQ257" s="154"/>
      <c r="DR257" s="154"/>
      <c r="DS257" s="154"/>
      <c r="DT257" s="154"/>
      <c r="DU257" s="154"/>
      <c r="DV257" s="154"/>
      <c r="DW257" s="154"/>
      <c r="DX257" s="154"/>
      <c r="DY257" s="154"/>
      <c r="DZ257" s="154"/>
      <c r="EA257" s="154"/>
      <c r="EB257" s="154"/>
      <c r="EC257" s="154"/>
      <c r="ED257" s="154"/>
      <c r="EE257" s="154"/>
      <c r="EF257" s="154"/>
      <c r="EG257" s="154"/>
      <c r="EH257" s="154"/>
      <c r="EI257" s="154"/>
      <c r="EJ257" s="154"/>
      <c r="EK257" s="154"/>
      <c r="EL257" s="154"/>
      <c r="EM257" s="154"/>
      <c r="EN257" s="154"/>
      <c r="EO257" s="154"/>
      <c r="EP257" s="154"/>
      <c r="EQ257" s="154"/>
      <c r="ER257" s="154"/>
      <c r="ES257" s="154"/>
      <c r="ET257" s="154"/>
      <c r="EU257" s="154"/>
      <c r="EV257" s="154"/>
      <c r="EW257" s="154"/>
    </row>
    <row r="258" spans="2:153" ht="12.95" customHeight="1">
      <c r="B258" s="154"/>
      <c r="C258" s="380"/>
      <c r="D258" s="380"/>
      <c r="E258" s="154"/>
      <c r="F258" s="154"/>
      <c r="G258" s="154"/>
      <c r="H258" s="154"/>
      <c r="I258" s="154"/>
      <c r="J258" s="154"/>
      <c r="K258" s="154"/>
      <c r="L258" s="154"/>
      <c r="M258" s="154"/>
      <c r="N258" s="154"/>
      <c r="O258" s="154"/>
      <c r="P258" s="154"/>
      <c r="Q258" s="154"/>
      <c r="R258" s="154"/>
      <c r="S258" s="154"/>
      <c r="T258" s="154"/>
      <c r="U258" s="154"/>
      <c r="V258" s="154"/>
      <c r="W258" s="154"/>
      <c r="X258" s="154"/>
      <c r="Y258" s="154"/>
      <c r="Z258" s="154"/>
      <c r="AA258" s="154"/>
      <c r="AB258" s="154"/>
      <c r="AC258" s="154"/>
      <c r="AD258" s="154"/>
      <c r="AE258" s="154"/>
      <c r="AF258" s="367"/>
      <c r="AG258" s="368"/>
      <c r="AH258" s="368"/>
      <c r="AI258" s="368"/>
      <c r="AJ258" s="154"/>
      <c r="AK258" s="154"/>
      <c r="AL258" s="154"/>
      <c r="AM258" s="154"/>
      <c r="AN258" s="154"/>
      <c r="AO258" s="154"/>
      <c r="AP258" s="154"/>
      <c r="AQ258" s="154"/>
      <c r="AR258" s="154"/>
      <c r="AS258" s="154"/>
      <c r="AT258" s="154"/>
      <c r="AU258" s="154"/>
      <c r="AV258" s="154"/>
      <c r="AW258" s="154"/>
      <c r="AX258" s="154"/>
      <c r="AY258" s="154"/>
      <c r="AZ258" s="154"/>
      <c r="BA258" s="154"/>
      <c r="BB258" s="154"/>
      <c r="BC258" s="154"/>
      <c r="BD258" s="154"/>
      <c r="BE258" s="154"/>
      <c r="BF258" s="154"/>
      <c r="BG258" s="154"/>
      <c r="BH258" s="154"/>
      <c r="BI258" s="154"/>
      <c r="BJ258" s="154"/>
      <c r="BK258" s="154"/>
      <c r="BL258" s="154"/>
      <c r="BM258" s="154"/>
      <c r="BN258" s="154"/>
      <c r="BO258" s="154"/>
      <c r="BP258" s="154"/>
      <c r="BQ258" s="154"/>
      <c r="BR258" s="154"/>
      <c r="BS258" s="154"/>
      <c r="BT258" s="154"/>
      <c r="BU258" s="154"/>
      <c r="BV258" s="154"/>
      <c r="BW258" s="154"/>
      <c r="BX258" s="154"/>
      <c r="BY258" s="154"/>
      <c r="BZ258" s="154"/>
      <c r="CA258" s="154"/>
      <c r="CB258" s="154"/>
      <c r="CC258" s="154"/>
      <c r="CD258" s="154"/>
      <c r="CE258" s="154"/>
      <c r="CF258" s="154"/>
      <c r="CG258" s="154"/>
      <c r="CH258" s="154"/>
      <c r="CI258" s="154"/>
      <c r="CJ258" s="154"/>
      <c r="CK258" s="154"/>
      <c r="CL258" s="154"/>
      <c r="CM258" s="154"/>
      <c r="CN258" s="154"/>
      <c r="CO258" s="154"/>
      <c r="CP258" s="154"/>
      <c r="CQ258" s="154"/>
      <c r="CR258" s="154"/>
      <c r="CS258" s="154"/>
      <c r="CT258" s="154"/>
      <c r="CU258" s="154"/>
      <c r="CV258" s="154"/>
      <c r="CW258" s="154"/>
      <c r="CX258" s="154"/>
      <c r="CY258" s="154"/>
      <c r="CZ258" s="154"/>
      <c r="DA258" s="154"/>
      <c r="DB258" s="154"/>
      <c r="DC258" s="154"/>
      <c r="DD258" s="154"/>
      <c r="DE258" s="154"/>
      <c r="DF258" s="154"/>
      <c r="DG258" s="154"/>
      <c r="DH258" s="154"/>
      <c r="DI258" s="154"/>
      <c r="DJ258" s="154"/>
      <c r="DK258" s="154"/>
      <c r="DL258" s="154"/>
      <c r="DM258" s="154"/>
      <c r="DN258" s="154"/>
      <c r="DO258" s="154"/>
      <c r="DP258" s="154"/>
      <c r="DQ258" s="154"/>
      <c r="DR258" s="154"/>
      <c r="DS258" s="154"/>
      <c r="DT258" s="154"/>
      <c r="DU258" s="154"/>
      <c r="DV258" s="154"/>
      <c r="DW258" s="154"/>
      <c r="DX258" s="154"/>
      <c r="DY258" s="154"/>
      <c r="DZ258" s="154"/>
      <c r="EA258" s="154"/>
      <c r="EB258" s="154"/>
      <c r="EC258" s="154"/>
      <c r="ED258" s="154"/>
      <c r="EE258" s="154"/>
      <c r="EF258" s="154"/>
      <c r="EG258" s="154"/>
      <c r="EH258" s="154"/>
      <c r="EI258" s="154"/>
      <c r="EJ258" s="154"/>
      <c r="EK258" s="154"/>
      <c r="EL258" s="154"/>
      <c r="EM258" s="154"/>
      <c r="EN258" s="154"/>
      <c r="EO258" s="154"/>
      <c r="EP258" s="154"/>
      <c r="EQ258" s="154"/>
      <c r="ER258" s="154"/>
      <c r="ES258" s="154"/>
      <c r="ET258" s="154"/>
      <c r="EU258" s="154"/>
      <c r="EV258" s="154"/>
      <c r="EW258" s="154"/>
    </row>
    <row r="259" spans="2:153" ht="12.95" customHeight="1">
      <c r="B259" s="154"/>
      <c r="C259" s="380"/>
      <c r="D259" s="380"/>
      <c r="E259" s="154"/>
      <c r="F259" s="154"/>
      <c r="G259" s="154"/>
      <c r="H259" s="154"/>
      <c r="I259" s="154"/>
      <c r="J259" s="154"/>
      <c r="K259" s="154"/>
      <c r="L259" s="154"/>
      <c r="M259" s="154"/>
      <c r="N259" s="154"/>
      <c r="O259" s="154"/>
      <c r="P259" s="154"/>
      <c r="Q259" s="154"/>
      <c r="R259" s="154"/>
      <c r="S259" s="154"/>
      <c r="T259" s="154"/>
      <c r="U259" s="154"/>
      <c r="V259" s="154"/>
      <c r="W259" s="154"/>
      <c r="X259" s="154"/>
      <c r="Y259" s="154"/>
      <c r="Z259" s="154"/>
      <c r="AA259" s="154"/>
      <c r="AB259" s="154"/>
      <c r="AC259" s="154"/>
      <c r="AD259" s="154"/>
      <c r="AE259" s="154"/>
      <c r="AF259" s="367"/>
      <c r="AG259" s="368"/>
      <c r="AH259" s="368"/>
      <c r="AI259" s="368"/>
      <c r="AJ259" s="154"/>
      <c r="AK259" s="154"/>
      <c r="AL259" s="154"/>
      <c r="AM259" s="154"/>
      <c r="AN259" s="154"/>
      <c r="AO259" s="154"/>
      <c r="AP259" s="154"/>
      <c r="AQ259" s="154"/>
      <c r="AR259" s="154"/>
      <c r="AS259" s="154"/>
      <c r="AT259" s="154"/>
      <c r="AU259" s="154"/>
      <c r="AV259" s="154"/>
      <c r="AW259" s="154"/>
      <c r="AX259" s="154"/>
      <c r="AY259" s="154"/>
      <c r="AZ259" s="154"/>
      <c r="BA259" s="154"/>
      <c r="BB259" s="154"/>
      <c r="BC259" s="154"/>
      <c r="BD259" s="154"/>
      <c r="BE259" s="154"/>
      <c r="BF259" s="154"/>
      <c r="BG259" s="154"/>
      <c r="BH259" s="154"/>
      <c r="BI259" s="154"/>
      <c r="BJ259" s="154"/>
      <c r="BK259" s="154"/>
      <c r="BL259" s="154"/>
      <c r="BM259" s="154"/>
      <c r="BN259" s="154"/>
      <c r="BO259" s="154"/>
      <c r="BP259" s="154"/>
      <c r="BQ259" s="154"/>
      <c r="BR259" s="154"/>
      <c r="BS259" s="154"/>
      <c r="BT259" s="154"/>
      <c r="BU259" s="154"/>
      <c r="BV259" s="154"/>
      <c r="BW259" s="154"/>
      <c r="BX259" s="154"/>
      <c r="BY259" s="154"/>
      <c r="BZ259" s="154"/>
      <c r="CA259" s="154"/>
      <c r="CB259" s="154"/>
      <c r="CC259" s="154"/>
      <c r="CD259" s="154"/>
      <c r="CE259" s="154"/>
      <c r="CF259" s="154"/>
      <c r="CG259" s="154"/>
      <c r="CH259" s="154"/>
      <c r="CI259" s="154"/>
      <c r="CJ259" s="154"/>
      <c r="CK259" s="154"/>
      <c r="CL259" s="154"/>
      <c r="CM259" s="154"/>
      <c r="CN259" s="154"/>
      <c r="CO259" s="154"/>
      <c r="CP259" s="154"/>
      <c r="CQ259" s="154"/>
      <c r="CR259" s="154"/>
      <c r="CS259" s="154"/>
      <c r="CT259" s="154"/>
      <c r="CU259" s="154"/>
      <c r="CV259" s="154"/>
      <c r="CW259" s="154"/>
      <c r="CX259" s="154"/>
      <c r="CY259" s="154"/>
      <c r="CZ259" s="154"/>
      <c r="DA259" s="154"/>
      <c r="DB259" s="154"/>
      <c r="DC259" s="154"/>
      <c r="DD259" s="154"/>
      <c r="DE259" s="154"/>
      <c r="DF259" s="154"/>
      <c r="DG259" s="154"/>
      <c r="DH259" s="154"/>
      <c r="DI259" s="154"/>
      <c r="DJ259" s="154"/>
      <c r="DK259" s="154"/>
      <c r="DL259" s="154"/>
      <c r="DM259" s="154"/>
      <c r="DN259" s="154"/>
      <c r="DO259" s="154"/>
      <c r="DP259" s="154"/>
      <c r="DQ259" s="154"/>
      <c r="DR259" s="154"/>
      <c r="DS259" s="154"/>
      <c r="DT259" s="154"/>
      <c r="DU259" s="154"/>
      <c r="DV259" s="154"/>
      <c r="DW259" s="154"/>
      <c r="DX259" s="154"/>
      <c r="DY259" s="154"/>
      <c r="DZ259" s="154"/>
      <c r="EA259" s="154"/>
      <c r="EB259" s="154"/>
      <c r="EC259" s="154"/>
      <c r="ED259" s="154"/>
      <c r="EE259" s="154"/>
      <c r="EF259" s="154"/>
      <c r="EG259" s="154"/>
      <c r="EH259" s="154"/>
      <c r="EI259" s="154"/>
      <c r="EJ259" s="154"/>
      <c r="EK259" s="154"/>
      <c r="EL259" s="154"/>
      <c r="EM259" s="154"/>
      <c r="EN259" s="154"/>
      <c r="EO259" s="154"/>
      <c r="EP259" s="154"/>
      <c r="EQ259" s="154"/>
      <c r="ER259" s="154"/>
      <c r="ES259" s="154"/>
      <c r="ET259" s="154"/>
      <c r="EU259" s="154"/>
      <c r="EV259" s="154"/>
      <c r="EW259" s="154"/>
    </row>
    <row r="260" spans="2:153" ht="12.95" customHeight="1">
      <c r="B260" s="154"/>
      <c r="C260" s="380"/>
      <c r="D260" s="380"/>
      <c r="E260" s="154"/>
      <c r="F260" s="154"/>
      <c r="G260" s="154"/>
      <c r="H260" s="154"/>
      <c r="I260" s="154"/>
      <c r="J260" s="154"/>
      <c r="K260" s="154"/>
      <c r="L260" s="154"/>
      <c r="M260" s="154"/>
      <c r="N260" s="154"/>
      <c r="O260" s="154"/>
      <c r="P260" s="154"/>
      <c r="Q260" s="154"/>
      <c r="R260" s="154"/>
      <c r="S260" s="154"/>
      <c r="T260" s="154"/>
      <c r="U260" s="154"/>
      <c r="V260" s="154"/>
      <c r="W260" s="154"/>
      <c r="X260" s="154"/>
      <c r="Y260" s="154"/>
      <c r="Z260" s="154"/>
      <c r="AA260" s="154"/>
      <c r="AB260" s="154"/>
      <c r="AC260" s="154"/>
      <c r="AD260" s="154"/>
      <c r="AE260" s="154"/>
      <c r="AF260" s="367"/>
      <c r="AG260" s="368"/>
      <c r="AH260" s="368"/>
      <c r="AI260" s="368"/>
      <c r="AJ260" s="154"/>
      <c r="AK260" s="154"/>
      <c r="AL260" s="154"/>
      <c r="AM260" s="154"/>
      <c r="AN260" s="154"/>
      <c r="AO260" s="154"/>
      <c r="AP260" s="154"/>
      <c r="AQ260" s="154"/>
      <c r="AR260" s="154"/>
      <c r="AS260" s="154"/>
      <c r="AT260" s="154"/>
      <c r="AU260" s="154"/>
      <c r="AV260" s="154"/>
      <c r="AW260" s="154"/>
      <c r="AX260" s="154"/>
      <c r="AY260" s="154"/>
      <c r="AZ260" s="154"/>
      <c r="BA260" s="154"/>
      <c r="BB260" s="154"/>
      <c r="BC260" s="154"/>
      <c r="BD260" s="154"/>
      <c r="BE260" s="154"/>
      <c r="BF260" s="154"/>
      <c r="BG260" s="154"/>
      <c r="BH260" s="154"/>
      <c r="BI260" s="154"/>
      <c r="BJ260" s="154"/>
      <c r="BK260" s="154"/>
      <c r="BL260" s="154"/>
      <c r="BM260" s="154"/>
      <c r="BN260" s="154"/>
      <c r="BO260" s="154"/>
      <c r="BP260" s="154"/>
      <c r="BQ260" s="154"/>
      <c r="BR260" s="154"/>
      <c r="BS260" s="154"/>
      <c r="BT260" s="154"/>
      <c r="BU260" s="154"/>
      <c r="BV260" s="154"/>
      <c r="BW260" s="154"/>
      <c r="BX260" s="154"/>
      <c r="BY260" s="154"/>
      <c r="BZ260" s="154"/>
      <c r="CA260" s="154"/>
      <c r="CB260" s="154"/>
      <c r="CC260" s="154"/>
      <c r="CD260" s="154"/>
      <c r="CE260" s="154"/>
      <c r="CF260" s="154"/>
      <c r="CG260" s="154"/>
      <c r="CH260" s="154"/>
      <c r="CI260" s="154"/>
      <c r="CJ260" s="154"/>
      <c r="CK260" s="154"/>
      <c r="CL260" s="154"/>
      <c r="CM260" s="154"/>
      <c r="CN260" s="154"/>
      <c r="CO260" s="154"/>
      <c r="CP260" s="154"/>
      <c r="CQ260" s="154"/>
      <c r="CR260" s="154"/>
      <c r="CS260" s="154"/>
      <c r="CT260" s="154"/>
      <c r="CU260" s="154"/>
      <c r="CV260" s="154"/>
      <c r="CW260" s="154"/>
      <c r="CX260" s="154"/>
      <c r="CY260" s="154"/>
      <c r="CZ260" s="154"/>
      <c r="DA260" s="154"/>
      <c r="DB260" s="154"/>
      <c r="DC260" s="154"/>
      <c r="DD260" s="154"/>
      <c r="DE260" s="154"/>
      <c r="DF260" s="154"/>
      <c r="DG260" s="154"/>
      <c r="DH260" s="154"/>
      <c r="DI260" s="154"/>
      <c r="DJ260" s="154"/>
      <c r="DK260" s="154"/>
      <c r="DL260" s="154"/>
      <c r="DM260" s="154"/>
      <c r="DN260" s="154"/>
      <c r="DO260" s="154"/>
      <c r="DP260" s="154"/>
      <c r="DQ260" s="154"/>
      <c r="DR260" s="154"/>
      <c r="DS260" s="154"/>
      <c r="DT260" s="154"/>
      <c r="DU260" s="154"/>
      <c r="DV260" s="154"/>
      <c r="DW260" s="154"/>
      <c r="DX260" s="154"/>
      <c r="DY260" s="154"/>
      <c r="DZ260" s="154"/>
      <c r="EA260" s="154"/>
      <c r="EB260" s="154"/>
      <c r="EC260" s="154"/>
      <c r="ED260" s="154"/>
      <c r="EE260" s="154"/>
      <c r="EF260" s="154"/>
      <c r="EG260" s="154"/>
      <c r="EH260" s="154"/>
      <c r="EI260" s="154"/>
      <c r="EJ260" s="154"/>
      <c r="EK260" s="154"/>
      <c r="EL260" s="154"/>
      <c r="EM260" s="154"/>
      <c r="EN260" s="154"/>
      <c r="EO260" s="154"/>
      <c r="EP260" s="154"/>
      <c r="EQ260" s="154"/>
      <c r="ER260" s="154"/>
      <c r="ES260" s="154"/>
      <c r="ET260" s="154"/>
      <c r="EU260" s="154"/>
      <c r="EV260" s="154"/>
      <c r="EW260" s="154"/>
    </row>
    <row r="261" spans="2:153" ht="12.95" customHeight="1">
      <c r="B261" s="154"/>
      <c r="C261" s="380"/>
      <c r="D261" s="380"/>
      <c r="E261" s="154"/>
      <c r="F261" s="154"/>
      <c r="G261" s="154"/>
      <c r="H261" s="154"/>
      <c r="I261" s="154"/>
      <c r="J261" s="154"/>
      <c r="K261" s="154"/>
      <c r="L261" s="154"/>
      <c r="M261" s="154"/>
      <c r="N261" s="154"/>
      <c r="O261" s="154"/>
      <c r="P261" s="154"/>
      <c r="Q261" s="154"/>
      <c r="R261" s="154"/>
      <c r="S261" s="154"/>
      <c r="T261" s="154"/>
      <c r="U261" s="154"/>
      <c r="V261" s="154"/>
      <c r="W261" s="154"/>
      <c r="X261" s="154"/>
      <c r="Y261" s="154"/>
      <c r="Z261" s="154"/>
      <c r="AA261" s="154"/>
      <c r="AB261" s="154"/>
      <c r="AC261" s="154"/>
      <c r="AD261" s="154"/>
      <c r="AE261" s="154"/>
      <c r="AF261" s="367"/>
      <c r="AG261" s="368"/>
      <c r="AH261" s="368"/>
      <c r="AI261" s="368"/>
      <c r="AJ261" s="154"/>
      <c r="AK261" s="154"/>
      <c r="AL261" s="154"/>
      <c r="AM261" s="154"/>
      <c r="AN261" s="154"/>
      <c r="AO261" s="154"/>
      <c r="AP261" s="154"/>
      <c r="AQ261" s="154"/>
      <c r="AR261" s="154"/>
      <c r="AS261" s="154"/>
      <c r="AT261" s="154"/>
      <c r="AU261" s="154"/>
      <c r="AV261" s="154"/>
      <c r="AW261" s="154"/>
      <c r="AX261" s="154"/>
      <c r="AY261" s="154"/>
      <c r="AZ261" s="154"/>
      <c r="BA261" s="154"/>
      <c r="BB261" s="154"/>
      <c r="BC261" s="154"/>
      <c r="BD261" s="154"/>
      <c r="BE261" s="154"/>
      <c r="BF261" s="154"/>
      <c r="BG261" s="154"/>
      <c r="BH261" s="154"/>
      <c r="BI261" s="154"/>
      <c r="BJ261" s="154"/>
      <c r="BK261" s="154"/>
      <c r="BL261" s="154"/>
      <c r="BM261" s="154"/>
      <c r="BN261" s="154"/>
      <c r="BO261" s="154"/>
      <c r="BP261" s="154"/>
      <c r="BQ261" s="154"/>
      <c r="BR261" s="154"/>
      <c r="BS261" s="154"/>
      <c r="BT261" s="154"/>
      <c r="BU261" s="154"/>
      <c r="BV261" s="154"/>
      <c r="BW261" s="154"/>
      <c r="BX261" s="154"/>
      <c r="BY261" s="154"/>
      <c r="BZ261" s="154"/>
      <c r="CA261" s="154"/>
      <c r="CB261" s="154"/>
      <c r="CC261" s="154"/>
      <c r="CD261" s="154"/>
      <c r="CE261" s="154"/>
      <c r="CF261" s="154"/>
      <c r="CG261" s="154"/>
      <c r="CH261" s="154"/>
      <c r="CI261" s="154"/>
      <c r="CJ261" s="154"/>
      <c r="CK261" s="154"/>
      <c r="CL261" s="154"/>
      <c r="CM261" s="154"/>
      <c r="CN261" s="154"/>
      <c r="CO261" s="154"/>
      <c r="CP261" s="154"/>
      <c r="CQ261" s="154"/>
      <c r="CR261" s="154"/>
      <c r="CS261" s="154"/>
      <c r="CT261" s="154"/>
      <c r="CU261" s="154"/>
      <c r="CV261" s="154"/>
      <c r="CW261" s="154"/>
      <c r="CX261" s="154"/>
      <c r="CY261" s="154"/>
      <c r="CZ261" s="154"/>
      <c r="DA261" s="154"/>
      <c r="DB261" s="154"/>
      <c r="DC261" s="154"/>
      <c r="DD261" s="154"/>
      <c r="DE261" s="154"/>
      <c r="DF261" s="154"/>
      <c r="DG261" s="154"/>
      <c r="DH261" s="154"/>
      <c r="DI261" s="154"/>
      <c r="DJ261" s="154"/>
      <c r="DK261" s="154"/>
      <c r="DL261" s="154"/>
      <c r="DM261" s="154"/>
      <c r="DN261" s="154"/>
      <c r="DO261" s="154"/>
      <c r="DP261" s="154"/>
      <c r="DQ261" s="154"/>
      <c r="DR261" s="154"/>
      <c r="DS261" s="154"/>
      <c r="DT261" s="154"/>
      <c r="DU261" s="154"/>
      <c r="DV261" s="154"/>
      <c r="DW261" s="154"/>
      <c r="DX261" s="154"/>
      <c r="DY261" s="154"/>
      <c r="DZ261" s="154"/>
      <c r="EA261" s="154"/>
      <c r="EB261" s="154"/>
      <c r="EC261" s="154"/>
      <c r="ED261" s="154"/>
      <c r="EE261" s="154"/>
      <c r="EF261" s="154"/>
      <c r="EG261" s="154"/>
      <c r="EH261" s="154"/>
      <c r="EI261" s="154"/>
      <c r="EJ261" s="154"/>
      <c r="EK261" s="154"/>
      <c r="EL261" s="154"/>
      <c r="EM261" s="154"/>
      <c r="EN261" s="154"/>
      <c r="EO261" s="154"/>
      <c r="EP261" s="154"/>
      <c r="EQ261" s="154"/>
      <c r="ER261" s="154"/>
      <c r="ES261" s="154"/>
      <c r="ET261" s="154"/>
      <c r="EU261" s="154"/>
      <c r="EV261" s="154"/>
      <c r="EW261" s="154"/>
    </row>
    <row r="262" spans="2:153" ht="12.95" customHeight="1">
      <c r="B262" s="154"/>
      <c r="C262" s="380"/>
      <c r="D262" s="380"/>
      <c r="E262" s="154"/>
      <c r="F262" s="154"/>
      <c r="G262" s="154"/>
      <c r="H262" s="154"/>
      <c r="I262" s="154"/>
      <c r="J262" s="154"/>
      <c r="K262" s="154"/>
      <c r="L262" s="154"/>
      <c r="M262" s="154"/>
      <c r="N262" s="154"/>
      <c r="O262" s="154"/>
      <c r="P262" s="154"/>
      <c r="Q262" s="154"/>
      <c r="R262" s="154"/>
      <c r="S262" s="154"/>
      <c r="T262" s="154"/>
      <c r="U262" s="154"/>
      <c r="V262" s="154"/>
      <c r="W262" s="154"/>
      <c r="X262" s="154"/>
      <c r="Y262" s="154"/>
      <c r="Z262" s="154"/>
      <c r="AA262" s="154"/>
      <c r="AB262" s="154"/>
      <c r="AC262" s="154"/>
      <c r="AD262" s="154"/>
      <c r="AE262" s="154"/>
      <c r="AF262" s="367"/>
      <c r="AG262" s="368"/>
      <c r="AH262" s="368"/>
      <c r="AI262" s="368"/>
      <c r="AJ262" s="154"/>
      <c r="AK262" s="154"/>
      <c r="AL262" s="154"/>
      <c r="AM262" s="154"/>
      <c r="AN262" s="154"/>
      <c r="AO262" s="154"/>
      <c r="AP262" s="154"/>
      <c r="AQ262" s="154"/>
      <c r="AR262" s="154"/>
      <c r="AS262" s="154"/>
      <c r="AT262" s="154"/>
      <c r="AU262" s="154"/>
      <c r="AV262" s="154"/>
      <c r="AW262" s="154"/>
      <c r="AX262" s="154"/>
      <c r="AY262" s="154"/>
      <c r="AZ262" s="154"/>
      <c r="BA262" s="154"/>
      <c r="BB262" s="154"/>
      <c r="BC262" s="154"/>
      <c r="BD262" s="154"/>
      <c r="BE262" s="154"/>
      <c r="BF262" s="154"/>
      <c r="BG262" s="154"/>
      <c r="BH262" s="154"/>
      <c r="BI262" s="154"/>
      <c r="BJ262" s="154"/>
      <c r="BK262" s="154"/>
      <c r="BL262" s="154"/>
      <c r="BM262" s="154"/>
      <c r="BN262" s="154"/>
      <c r="BO262" s="154"/>
      <c r="BP262" s="154"/>
      <c r="BQ262" s="154"/>
      <c r="BR262" s="154"/>
      <c r="BS262" s="154"/>
      <c r="BT262" s="154"/>
      <c r="BU262" s="154"/>
      <c r="BV262" s="154"/>
      <c r="BW262" s="154"/>
      <c r="BX262" s="154"/>
      <c r="BY262" s="154"/>
      <c r="BZ262" s="154"/>
      <c r="CA262" s="154"/>
      <c r="CB262" s="154"/>
      <c r="CC262" s="154"/>
      <c r="CD262" s="154"/>
      <c r="CE262" s="154"/>
      <c r="CF262" s="154"/>
      <c r="CG262" s="154"/>
      <c r="CH262" s="154"/>
      <c r="CI262" s="154"/>
      <c r="CJ262" s="154"/>
      <c r="CK262" s="154"/>
      <c r="CL262" s="154"/>
      <c r="CM262" s="154"/>
      <c r="CN262" s="154"/>
      <c r="CO262" s="154"/>
      <c r="CP262" s="154"/>
      <c r="CQ262" s="154"/>
      <c r="CR262" s="154"/>
      <c r="CS262" s="154"/>
      <c r="CT262" s="154"/>
      <c r="CU262" s="154"/>
      <c r="CV262" s="154"/>
      <c r="CW262" s="154"/>
      <c r="CX262" s="154"/>
      <c r="CY262" s="154"/>
      <c r="CZ262" s="154"/>
      <c r="DA262" s="154"/>
      <c r="DB262" s="154"/>
      <c r="DC262" s="154"/>
      <c r="DD262" s="154"/>
      <c r="DE262" s="154"/>
      <c r="DF262" s="154"/>
      <c r="DG262" s="154"/>
      <c r="DH262" s="154"/>
      <c r="DI262" s="154"/>
      <c r="DJ262" s="154"/>
      <c r="DK262" s="154"/>
      <c r="DL262" s="154"/>
      <c r="DM262" s="154"/>
      <c r="DN262" s="154"/>
      <c r="DO262" s="154"/>
      <c r="DP262" s="154"/>
      <c r="DQ262" s="154"/>
      <c r="DR262" s="154"/>
      <c r="DS262" s="154"/>
      <c r="DT262" s="154"/>
      <c r="DU262" s="154"/>
      <c r="DV262" s="154"/>
      <c r="DW262" s="154"/>
      <c r="DX262" s="154"/>
      <c r="DY262" s="154"/>
      <c r="DZ262" s="154"/>
      <c r="EA262" s="154"/>
      <c r="EB262" s="154"/>
      <c r="EC262" s="154"/>
      <c r="ED262" s="154"/>
      <c r="EE262" s="154"/>
      <c r="EF262" s="154"/>
      <c r="EG262" s="154"/>
      <c r="EH262" s="154"/>
      <c r="EI262" s="154"/>
      <c r="EJ262" s="154"/>
      <c r="EK262" s="154"/>
      <c r="EL262" s="154"/>
      <c r="EM262" s="154"/>
      <c r="EN262" s="154"/>
      <c r="EO262" s="154"/>
      <c r="EP262" s="154"/>
      <c r="EQ262" s="154"/>
      <c r="ER262" s="154"/>
      <c r="ES262" s="154"/>
      <c r="ET262" s="154"/>
      <c r="EU262" s="154"/>
      <c r="EV262" s="154"/>
      <c r="EW262" s="154"/>
    </row>
    <row r="263" spans="2:153" ht="12.95" customHeight="1">
      <c r="B263" s="154"/>
      <c r="C263" s="380"/>
      <c r="D263" s="380"/>
      <c r="E263" s="154"/>
      <c r="F263" s="154"/>
      <c r="G263" s="154"/>
      <c r="H263" s="154"/>
      <c r="I263" s="154"/>
      <c r="J263" s="154"/>
      <c r="K263" s="154"/>
      <c r="L263" s="154"/>
      <c r="M263" s="154"/>
      <c r="N263" s="154"/>
      <c r="O263" s="154"/>
      <c r="P263" s="154"/>
      <c r="Q263" s="154"/>
      <c r="R263" s="154"/>
      <c r="S263" s="154"/>
      <c r="T263" s="154"/>
      <c r="U263" s="154"/>
      <c r="V263" s="154"/>
      <c r="W263" s="154"/>
      <c r="X263" s="154"/>
      <c r="Y263" s="154"/>
      <c r="Z263" s="154"/>
      <c r="AA263" s="154"/>
      <c r="AB263" s="154"/>
      <c r="AC263" s="154"/>
      <c r="AD263" s="154"/>
      <c r="AE263" s="154"/>
      <c r="AF263" s="367"/>
      <c r="AG263" s="368"/>
      <c r="AH263" s="368"/>
      <c r="AI263" s="368"/>
      <c r="AJ263" s="154"/>
      <c r="AK263" s="154"/>
      <c r="AL263" s="154"/>
      <c r="AM263" s="154"/>
      <c r="AN263" s="154"/>
      <c r="AO263" s="154"/>
      <c r="AP263" s="154"/>
      <c r="AQ263" s="154"/>
      <c r="AR263" s="154"/>
      <c r="AS263" s="154"/>
      <c r="AT263" s="154"/>
      <c r="AU263" s="154"/>
      <c r="AV263" s="154"/>
      <c r="AW263" s="154"/>
      <c r="AX263" s="154"/>
      <c r="AY263" s="154"/>
      <c r="AZ263" s="154"/>
      <c r="BA263" s="154"/>
      <c r="BB263" s="154"/>
      <c r="BC263" s="154"/>
      <c r="BD263" s="154"/>
      <c r="BE263" s="154"/>
      <c r="BF263" s="154"/>
      <c r="BG263" s="154"/>
      <c r="BH263" s="154"/>
      <c r="BI263" s="154"/>
      <c r="BJ263" s="154"/>
      <c r="BK263" s="154"/>
      <c r="BL263" s="154"/>
      <c r="BM263" s="154"/>
      <c r="BN263" s="154"/>
      <c r="BO263" s="154"/>
      <c r="BP263" s="154"/>
      <c r="BQ263" s="154"/>
      <c r="BR263" s="154"/>
      <c r="BS263" s="154"/>
      <c r="BT263" s="154"/>
      <c r="BU263" s="154"/>
      <c r="BV263" s="154"/>
      <c r="BW263" s="154"/>
      <c r="BX263" s="154"/>
      <c r="BY263" s="154"/>
      <c r="BZ263" s="154"/>
      <c r="CA263" s="154"/>
      <c r="CB263" s="154"/>
      <c r="CC263" s="154"/>
      <c r="CD263" s="154"/>
      <c r="CE263" s="154"/>
      <c r="CF263" s="154"/>
      <c r="CG263" s="154"/>
      <c r="CH263" s="154"/>
      <c r="CI263" s="154"/>
      <c r="CJ263" s="154"/>
      <c r="CK263" s="154"/>
      <c r="CL263" s="154"/>
      <c r="CM263" s="154"/>
      <c r="CN263" s="154"/>
      <c r="CO263" s="154"/>
      <c r="CP263" s="154"/>
      <c r="CQ263" s="154"/>
      <c r="CR263" s="154"/>
      <c r="CS263" s="154"/>
      <c r="CT263" s="154"/>
      <c r="CU263" s="154"/>
      <c r="CV263" s="154"/>
      <c r="CW263" s="154"/>
      <c r="CX263" s="154"/>
      <c r="CY263" s="154"/>
      <c r="CZ263" s="154"/>
      <c r="DA263" s="154"/>
      <c r="DB263" s="154"/>
      <c r="DC263" s="154"/>
      <c r="DD263" s="154"/>
      <c r="DE263" s="154"/>
      <c r="DF263" s="154"/>
      <c r="DG263" s="154"/>
      <c r="DH263" s="154"/>
      <c r="DI263" s="154"/>
      <c r="DJ263" s="154"/>
      <c r="DK263" s="154"/>
      <c r="DL263" s="154"/>
      <c r="DM263" s="154"/>
      <c r="DN263" s="154"/>
      <c r="DO263" s="154"/>
      <c r="DP263" s="154"/>
      <c r="DQ263" s="154"/>
      <c r="DR263" s="154"/>
      <c r="DS263" s="154"/>
      <c r="DT263" s="154"/>
      <c r="DU263" s="154"/>
      <c r="DV263" s="154"/>
      <c r="DW263" s="154"/>
      <c r="DX263" s="154"/>
      <c r="DY263" s="154"/>
      <c r="DZ263" s="154"/>
      <c r="EA263" s="154"/>
      <c r="EB263" s="154"/>
      <c r="EC263" s="154"/>
      <c r="ED263" s="154"/>
      <c r="EE263" s="154"/>
      <c r="EF263" s="154"/>
      <c r="EG263" s="154"/>
      <c r="EH263" s="154"/>
      <c r="EI263" s="154"/>
      <c r="EJ263" s="154"/>
      <c r="EK263" s="154"/>
      <c r="EL263" s="154"/>
      <c r="EM263" s="154"/>
      <c r="EN263" s="154"/>
      <c r="EO263" s="154"/>
      <c r="EP263" s="154"/>
      <c r="EQ263" s="154"/>
      <c r="ER263" s="154"/>
      <c r="ES263" s="154"/>
      <c r="ET263" s="154"/>
      <c r="EU263" s="154"/>
      <c r="EV263" s="154"/>
      <c r="EW263" s="154"/>
    </row>
    <row r="264" spans="2:153" ht="12.95" customHeight="1">
      <c r="B264" s="154"/>
      <c r="C264" s="380"/>
      <c r="D264" s="380"/>
      <c r="E264" s="154"/>
      <c r="F264" s="154"/>
      <c r="G264" s="154"/>
      <c r="H264" s="154"/>
      <c r="I264" s="154"/>
      <c r="J264" s="154"/>
      <c r="K264" s="154"/>
      <c r="L264" s="154"/>
      <c r="M264" s="154"/>
      <c r="N264" s="154"/>
      <c r="O264" s="154"/>
      <c r="P264" s="154"/>
      <c r="Q264" s="154"/>
      <c r="R264" s="154"/>
      <c r="S264" s="154"/>
      <c r="T264" s="154"/>
      <c r="U264" s="154"/>
      <c r="V264" s="154"/>
      <c r="W264" s="154"/>
      <c r="X264" s="154"/>
      <c r="Y264" s="154"/>
      <c r="Z264" s="154"/>
      <c r="AA264" s="154"/>
      <c r="AB264" s="154"/>
      <c r="AC264" s="154"/>
      <c r="AD264" s="154"/>
      <c r="AE264" s="154"/>
      <c r="AF264" s="367"/>
      <c r="AG264" s="368"/>
      <c r="AH264" s="368"/>
      <c r="AI264" s="368"/>
      <c r="AJ264" s="154"/>
      <c r="AK264" s="154"/>
      <c r="AL264" s="154"/>
      <c r="AM264" s="154"/>
      <c r="AN264" s="154"/>
      <c r="AO264" s="154"/>
      <c r="AP264" s="154"/>
      <c r="AQ264" s="154"/>
      <c r="AR264" s="154"/>
      <c r="AS264" s="154"/>
      <c r="AT264" s="154"/>
      <c r="AU264" s="154"/>
      <c r="AV264" s="154"/>
      <c r="AW264" s="154"/>
      <c r="AX264" s="154"/>
      <c r="AY264" s="154"/>
      <c r="AZ264" s="154"/>
      <c r="BA264" s="154"/>
      <c r="BB264" s="154"/>
      <c r="BC264" s="154"/>
      <c r="BD264" s="154"/>
      <c r="BE264" s="154"/>
      <c r="BF264" s="154"/>
      <c r="BG264" s="154"/>
      <c r="BH264" s="154"/>
      <c r="BI264" s="154"/>
      <c r="BJ264" s="154"/>
      <c r="BK264" s="154"/>
      <c r="BL264" s="154"/>
      <c r="BM264" s="154"/>
      <c r="BN264" s="154"/>
      <c r="BO264" s="154"/>
      <c r="BP264" s="154"/>
      <c r="BQ264" s="154"/>
      <c r="BR264" s="154"/>
      <c r="BS264" s="154"/>
      <c r="BT264" s="154"/>
      <c r="BU264" s="154"/>
      <c r="BV264" s="154"/>
      <c r="BW264" s="154"/>
      <c r="BX264" s="154"/>
      <c r="BY264" s="154"/>
      <c r="BZ264" s="154"/>
      <c r="CA264" s="154"/>
      <c r="CB264" s="154"/>
      <c r="CC264" s="154"/>
      <c r="CD264" s="154"/>
      <c r="CE264" s="154"/>
      <c r="CF264" s="154"/>
      <c r="CG264" s="154"/>
      <c r="CH264" s="154"/>
      <c r="CI264" s="154"/>
      <c r="CJ264" s="154"/>
      <c r="CK264" s="154"/>
      <c r="CL264" s="154"/>
      <c r="CM264" s="154"/>
      <c r="CN264" s="154"/>
      <c r="CO264" s="154"/>
      <c r="CP264" s="154"/>
      <c r="CQ264" s="154"/>
      <c r="CR264" s="154"/>
      <c r="CS264" s="154"/>
      <c r="CT264" s="154"/>
      <c r="CU264" s="154"/>
      <c r="CV264" s="154"/>
      <c r="CW264" s="154"/>
      <c r="CX264" s="154"/>
      <c r="CY264" s="154"/>
      <c r="CZ264" s="154"/>
      <c r="DA264" s="154"/>
      <c r="DB264" s="154"/>
      <c r="DC264" s="154"/>
      <c r="DD264" s="154"/>
      <c r="DE264" s="154"/>
      <c r="DF264" s="154"/>
      <c r="DG264" s="154"/>
      <c r="DH264" s="154"/>
      <c r="DI264" s="154"/>
      <c r="DJ264" s="154"/>
      <c r="DK264" s="154"/>
      <c r="DL264" s="154"/>
      <c r="DM264" s="154"/>
      <c r="DN264" s="154"/>
      <c r="DO264" s="154"/>
      <c r="DP264" s="154"/>
      <c r="DQ264" s="154"/>
      <c r="DR264" s="154"/>
      <c r="DS264" s="154"/>
      <c r="DT264" s="154"/>
      <c r="DU264" s="154"/>
      <c r="DV264" s="154"/>
      <c r="DW264" s="154"/>
      <c r="DX264" s="154"/>
      <c r="DY264" s="154"/>
      <c r="DZ264" s="154"/>
      <c r="EA264" s="154"/>
      <c r="EB264" s="154"/>
      <c r="EC264" s="154"/>
      <c r="ED264" s="154"/>
      <c r="EE264" s="154"/>
      <c r="EF264" s="154"/>
      <c r="EG264" s="154"/>
      <c r="EH264" s="154"/>
      <c r="EI264" s="154"/>
      <c r="EJ264" s="154"/>
      <c r="EK264" s="154"/>
      <c r="EL264" s="154"/>
      <c r="EM264" s="154"/>
      <c r="EN264" s="154"/>
      <c r="EO264" s="154"/>
      <c r="EP264" s="154"/>
      <c r="EQ264" s="154"/>
      <c r="ER264" s="154"/>
      <c r="ES264" s="154"/>
      <c r="ET264" s="154"/>
      <c r="EU264" s="154"/>
      <c r="EV264" s="154"/>
      <c r="EW264" s="154"/>
    </row>
    <row r="265" spans="2:153" ht="12.95" customHeight="1">
      <c r="B265" s="154"/>
      <c r="C265" s="380"/>
      <c r="D265" s="380"/>
      <c r="E265" s="154"/>
      <c r="F265" s="154"/>
      <c r="G265" s="154"/>
      <c r="H265" s="154"/>
      <c r="I265" s="154"/>
      <c r="J265" s="154"/>
      <c r="K265" s="154"/>
      <c r="L265" s="154"/>
      <c r="M265" s="154"/>
      <c r="N265" s="154"/>
      <c r="O265" s="154"/>
      <c r="P265" s="154"/>
      <c r="Q265" s="154"/>
      <c r="R265" s="154"/>
      <c r="S265" s="154"/>
      <c r="T265" s="154"/>
      <c r="U265" s="154"/>
      <c r="V265" s="154"/>
      <c r="W265" s="154"/>
      <c r="X265" s="154"/>
      <c r="Y265" s="154"/>
      <c r="Z265" s="154"/>
      <c r="AA265" s="154"/>
      <c r="AB265" s="154"/>
      <c r="AC265" s="154"/>
      <c r="AD265" s="154"/>
      <c r="AE265" s="154"/>
      <c r="AF265" s="367"/>
      <c r="AG265" s="368"/>
      <c r="AH265" s="368"/>
      <c r="AI265" s="368"/>
      <c r="AJ265" s="154"/>
      <c r="AK265" s="154"/>
      <c r="AL265" s="154"/>
      <c r="AM265" s="154"/>
      <c r="AN265" s="154"/>
      <c r="AO265" s="154"/>
      <c r="AP265" s="154"/>
      <c r="AQ265" s="154"/>
      <c r="AR265" s="154"/>
      <c r="AS265" s="154"/>
      <c r="AT265" s="154"/>
      <c r="AU265" s="154"/>
      <c r="AV265" s="154"/>
      <c r="AW265" s="154"/>
      <c r="AX265" s="154"/>
      <c r="AY265" s="154"/>
      <c r="AZ265" s="154"/>
      <c r="BA265" s="154"/>
      <c r="BB265" s="154"/>
      <c r="BC265" s="154"/>
      <c r="BD265" s="154"/>
      <c r="BE265" s="154"/>
      <c r="BF265" s="154"/>
      <c r="BG265" s="154"/>
      <c r="BH265" s="154"/>
      <c r="BI265" s="154"/>
      <c r="BJ265" s="154"/>
      <c r="BK265" s="154"/>
      <c r="BL265" s="154"/>
      <c r="BM265" s="154"/>
      <c r="BN265" s="154"/>
      <c r="BO265" s="154"/>
      <c r="BP265" s="154"/>
      <c r="BQ265" s="154"/>
      <c r="BR265" s="154"/>
      <c r="BS265" s="154"/>
      <c r="BT265" s="154"/>
      <c r="BU265" s="154"/>
      <c r="BV265" s="154"/>
      <c r="BW265" s="154"/>
      <c r="BX265" s="154"/>
      <c r="BY265" s="154"/>
      <c r="BZ265" s="154"/>
      <c r="CA265" s="154"/>
      <c r="CB265" s="154"/>
      <c r="CC265" s="154"/>
      <c r="CD265" s="154"/>
      <c r="CE265" s="154"/>
      <c r="CF265" s="154"/>
      <c r="CG265" s="154"/>
      <c r="CH265" s="154"/>
      <c r="CI265" s="154"/>
      <c r="CJ265" s="154"/>
      <c r="CK265" s="154"/>
      <c r="CL265" s="154"/>
      <c r="CM265" s="154"/>
      <c r="CN265" s="154"/>
      <c r="CO265" s="154"/>
      <c r="CP265" s="154"/>
      <c r="CQ265" s="154"/>
      <c r="CR265" s="154"/>
      <c r="CS265" s="154"/>
      <c r="CT265" s="154"/>
      <c r="CU265" s="154"/>
      <c r="CV265" s="154"/>
      <c r="CW265" s="154"/>
      <c r="CX265" s="154"/>
      <c r="CY265" s="154"/>
      <c r="CZ265" s="154"/>
      <c r="DA265" s="154"/>
      <c r="DB265" s="154"/>
      <c r="DC265" s="154"/>
      <c r="DD265" s="154"/>
      <c r="DE265" s="154"/>
      <c r="DF265" s="154"/>
      <c r="DG265" s="154"/>
      <c r="DH265" s="154"/>
      <c r="DI265" s="154"/>
      <c r="DJ265" s="154"/>
      <c r="DK265" s="154"/>
      <c r="DL265" s="154"/>
      <c r="DM265" s="154"/>
      <c r="DN265" s="154"/>
      <c r="DO265" s="154"/>
      <c r="DP265" s="154"/>
      <c r="DQ265" s="154"/>
      <c r="DR265" s="154"/>
      <c r="DS265" s="154"/>
      <c r="DT265" s="154"/>
      <c r="DU265" s="154"/>
      <c r="DV265" s="154"/>
      <c r="DW265" s="154"/>
      <c r="DX265" s="154"/>
      <c r="DY265" s="154"/>
      <c r="DZ265" s="154"/>
      <c r="EA265" s="154"/>
      <c r="EB265" s="154"/>
      <c r="EC265" s="154"/>
      <c r="ED265" s="154"/>
      <c r="EE265" s="154"/>
      <c r="EF265" s="154"/>
      <c r="EG265" s="154"/>
      <c r="EH265" s="154"/>
      <c r="EI265" s="154"/>
      <c r="EJ265" s="154"/>
      <c r="EK265" s="154"/>
      <c r="EL265" s="154"/>
      <c r="EM265" s="154"/>
      <c r="EN265" s="154"/>
      <c r="EO265" s="154"/>
      <c r="EP265" s="154"/>
      <c r="EQ265" s="154"/>
      <c r="ER265" s="154"/>
      <c r="ES265" s="154"/>
      <c r="ET265" s="154"/>
      <c r="EU265" s="154"/>
      <c r="EV265" s="154"/>
      <c r="EW265" s="154"/>
    </row>
    <row r="266" spans="2:153" ht="12.95" customHeight="1">
      <c r="B266" s="154"/>
      <c r="C266" s="380"/>
      <c r="D266" s="380"/>
      <c r="E266" s="154"/>
      <c r="F266" s="154"/>
      <c r="G266" s="154"/>
      <c r="H266" s="154"/>
      <c r="I266" s="154"/>
      <c r="J266" s="154"/>
      <c r="K266" s="154"/>
      <c r="L266" s="154"/>
      <c r="M266" s="154"/>
      <c r="N266" s="154"/>
      <c r="O266" s="154"/>
      <c r="P266" s="154"/>
      <c r="Q266" s="154"/>
      <c r="R266" s="154"/>
      <c r="S266" s="154"/>
      <c r="T266" s="154"/>
      <c r="U266" s="154"/>
      <c r="V266" s="154"/>
      <c r="W266" s="154"/>
      <c r="X266" s="154"/>
      <c r="Y266" s="154"/>
      <c r="Z266" s="154"/>
      <c r="AA266" s="154"/>
      <c r="AB266" s="154"/>
      <c r="AC266" s="154"/>
      <c r="AD266" s="154"/>
      <c r="AE266" s="154"/>
      <c r="AF266" s="367"/>
      <c r="AG266" s="368"/>
      <c r="AH266" s="368"/>
      <c r="AI266" s="368"/>
      <c r="AJ266" s="154"/>
      <c r="AK266" s="154"/>
      <c r="AL266" s="154"/>
      <c r="AM266" s="154"/>
      <c r="AN266" s="154"/>
      <c r="AO266" s="154"/>
      <c r="AP266" s="154"/>
      <c r="AQ266" s="154"/>
      <c r="AR266" s="154"/>
      <c r="AS266" s="154"/>
      <c r="AT266" s="154"/>
      <c r="AU266" s="154"/>
      <c r="AV266" s="154"/>
      <c r="AW266" s="154"/>
      <c r="AX266" s="154"/>
      <c r="AY266" s="154"/>
      <c r="AZ266" s="154"/>
      <c r="BA266" s="154"/>
      <c r="BB266" s="154"/>
      <c r="BC266" s="154"/>
      <c r="BD266" s="154"/>
      <c r="BE266" s="154"/>
      <c r="BF266" s="154"/>
      <c r="BG266" s="154"/>
      <c r="BH266" s="154"/>
      <c r="BI266" s="154"/>
      <c r="BJ266" s="154"/>
      <c r="BK266" s="154"/>
      <c r="BL266" s="154"/>
      <c r="BM266" s="154"/>
      <c r="BN266" s="154"/>
      <c r="BO266" s="154"/>
      <c r="BP266" s="154"/>
      <c r="BQ266" s="154"/>
      <c r="BR266" s="154"/>
      <c r="BS266" s="154"/>
      <c r="BT266" s="154"/>
      <c r="BU266" s="154"/>
      <c r="BV266" s="154"/>
      <c r="BW266" s="154"/>
      <c r="BX266" s="154"/>
      <c r="BY266" s="154"/>
      <c r="BZ266" s="154"/>
      <c r="CA266" s="154"/>
      <c r="CB266" s="154"/>
      <c r="CC266" s="154"/>
      <c r="CD266" s="154"/>
      <c r="CE266" s="154"/>
      <c r="CF266" s="154"/>
      <c r="CG266" s="154"/>
      <c r="CH266" s="154"/>
      <c r="CI266" s="154"/>
      <c r="CJ266" s="154"/>
      <c r="CK266" s="154"/>
      <c r="CL266" s="154"/>
      <c r="CM266" s="154"/>
      <c r="CN266" s="154"/>
      <c r="CO266" s="154"/>
      <c r="CP266" s="154"/>
      <c r="CQ266" s="154"/>
      <c r="CR266" s="154"/>
      <c r="CS266" s="154"/>
      <c r="CT266" s="154"/>
      <c r="CU266" s="154"/>
      <c r="CV266" s="154"/>
      <c r="CW266" s="154"/>
      <c r="CX266" s="154"/>
      <c r="CY266" s="154"/>
      <c r="CZ266" s="154"/>
      <c r="DA266" s="154"/>
      <c r="DB266" s="154"/>
      <c r="DC266" s="154"/>
      <c r="DD266" s="154"/>
      <c r="DE266" s="154"/>
      <c r="DF266" s="154"/>
      <c r="DG266" s="154"/>
      <c r="DH266" s="154"/>
      <c r="DI266" s="154"/>
      <c r="DJ266" s="154"/>
      <c r="DK266" s="154"/>
      <c r="DL266" s="154"/>
      <c r="DM266" s="154"/>
      <c r="DN266" s="154"/>
      <c r="DO266" s="154"/>
      <c r="DP266" s="154"/>
      <c r="DQ266" s="154"/>
      <c r="DR266" s="154"/>
      <c r="DS266" s="154"/>
      <c r="DT266" s="154"/>
      <c r="DU266" s="154"/>
      <c r="DV266" s="154"/>
      <c r="DW266" s="154"/>
      <c r="DX266" s="154"/>
      <c r="DY266" s="154"/>
      <c r="DZ266" s="154"/>
      <c r="EA266" s="154"/>
      <c r="EB266" s="154"/>
      <c r="EC266" s="154"/>
      <c r="ED266" s="154"/>
      <c r="EE266" s="154"/>
      <c r="EF266" s="154"/>
      <c r="EG266" s="154"/>
      <c r="EH266" s="154"/>
      <c r="EI266" s="154"/>
      <c r="EJ266" s="154"/>
      <c r="EK266" s="154"/>
      <c r="EL266" s="154"/>
      <c r="EM266" s="154"/>
      <c r="EN266" s="154"/>
      <c r="EO266" s="154"/>
      <c r="EP266" s="154"/>
      <c r="EQ266" s="154"/>
      <c r="ER266" s="154"/>
      <c r="ES266" s="154"/>
      <c r="ET266" s="154"/>
      <c r="EU266" s="154"/>
      <c r="EV266" s="154"/>
      <c r="EW266" s="154"/>
    </row>
    <row r="267" spans="2:153" ht="12.95" customHeight="1">
      <c r="B267" s="154"/>
      <c r="C267" s="380"/>
      <c r="D267" s="380"/>
      <c r="E267" s="154"/>
      <c r="F267" s="154"/>
      <c r="G267" s="154"/>
      <c r="H267" s="154"/>
      <c r="I267" s="154"/>
      <c r="J267" s="154"/>
      <c r="K267" s="154"/>
      <c r="L267" s="154"/>
      <c r="M267" s="154"/>
      <c r="N267" s="154"/>
      <c r="O267" s="154"/>
      <c r="P267" s="154"/>
      <c r="Q267" s="154"/>
      <c r="R267" s="154"/>
      <c r="S267" s="154"/>
      <c r="T267" s="154"/>
      <c r="U267" s="154"/>
      <c r="V267" s="154"/>
      <c r="W267" s="154"/>
      <c r="X267" s="154"/>
      <c r="Y267" s="154"/>
      <c r="Z267" s="154"/>
      <c r="AA267" s="154"/>
      <c r="AB267" s="154"/>
      <c r="AC267" s="154"/>
      <c r="AD267" s="154"/>
      <c r="AE267" s="154"/>
      <c r="AF267" s="367"/>
      <c r="AG267" s="368"/>
      <c r="AH267" s="368"/>
      <c r="AI267" s="368"/>
      <c r="AJ267" s="154"/>
      <c r="AK267" s="154"/>
      <c r="AL267" s="154"/>
      <c r="AM267" s="154"/>
      <c r="AN267" s="154"/>
      <c r="AO267" s="154"/>
      <c r="AP267" s="154"/>
      <c r="AQ267" s="154"/>
      <c r="AR267" s="154"/>
      <c r="AS267" s="154"/>
      <c r="AT267" s="154"/>
      <c r="AU267" s="154"/>
      <c r="AV267" s="154"/>
      <c r="AW267" s="154"/>
      <c r="AX267" s="154"/>
      <c r="AY267" s="154"/>
      <c r="AZ267" s="154"/>
      <c r="BA267" s="154"/>
      <c r="BB267" s="154"/>
      <c r="BC267" s="154"/>
      <c r="BD267" s="154"/>
      <c r="BE267" s="154"/>
      <c r="BF267" s="154"/>
      <c r="BG267" s="154"/>
      <c r="BH267" s="154"/>
      <c r="BI267" s="154"/>
      <c r="BJ267" s="154"/>
      <c r="BK267" s="154"/>
      <c r="BL267" s="154"/>
      <c r="BM267" s="154"/>
      <c r="BN267" s="154"/>
      <c r="BO267" s="154"/>
      <c r="BP267" s="154"/>
      <c r="BQ267" s="154"/>
      <c r="BR267" s="154"/>
      <c r="BS267" s="154"/>
      <c r="BT267" s="154"/>
      <c r="BU267" s="154"/>
      <c r="BV267" s="154"/>
      <c r="BW267" s="154"/>
      <c r="BX267" s="154"/>
      <c r="BY267" s="154"/>
      <c r="BZ267" s="154"/>
      <c r="CA267" s="154"/>
      <c r="CB267" s="154"/>
      <c r="CC267" s="154"/>
      <c r="CD267" s="154"/>
      <c r="CE267" s="154"/>
      <c r="CF267" s="154"/>
      <c r="CG267" s="154"/>
      <c r="CH267" s="154"/>
      <c r="CI267" s="154"/>
      <c r="CJ267" s="154"/>
      <c r="CK267" s="154"/>
      <c r="CL267" s="154"/>
      <c r="CM267" s="154"/>
      <c r="CN267" s="154"/>
      <c r="CO267" s="154"/>
      <c r="CP267" s="154"/>
      <c r="CQ267" s="154"/>
      <c r="CR267" s="154"/>
      <c r="CS267" s="154"/>
      <c r="CT267" s="154"/>
      <c r="CU267" s="154"/>
      <c r="CV267" s="154"/>
      <c r="CW267" s="154"/>
      <c r="CX267" s="154"/>
      <c r="CY267" s="154"/>
      <c r="CZ267" s="154"/>
      <c r="DA267" s="154"/>
      <c r="DB267" s="154"/>
      <c r="DC267" s="154"/>
      <c r="DD267" s="154"/>
      <c r="DE267" s="154"/>
      <c r="DF267" s="154"/>
      <c r="DG267" s="154"/>
      <c r="DH267" s="154"/>
      <c r="DI267" s="154"/>
      <c r="DJ267" s="154"/>
      <c r="DK267" s="154"/>
      <c r="DL267" s="154"/>
      <c r="DM267" s="154"/>
      <c r="DN267" s="154"/>
      <c r="DO267" s="154"/>
      <c r="DP267" s="154"/>
      <c r="DQ267" s="154"/>
      <c r="DR267" s="154"/>
      <c r="DS267" s="154"/>
      <c r="DT267" s="154"/>
      <c r="DU267" s="154"/>
      <c r="DV267" s="154"/>
      <c r="DW267" s="154"/>
      <c r="DX267" s="154"/>
      <c r="DY267" s="154"/>
      <c r="DZ267" s="154"/>
      <c r="EA267" s="154"/>
      <c r="EB267" s="154"/>
      <c r="EC267" s="154"/>
      <c r="ED267" s="154"/>
      <c r="EE267" s="154"/>
      <c r="EF267" s="154"/>
      <c r="EG267" s="154"/>
      <c r="EH267" s="154"/>
      <c r="EI267" s="154"/>
      <c r="EJ267" s="154"/>
      <c r="EK267" s="154"/>
      <c r="EL267" s="154"/>
      <c r="EM267" s="154"/>
      <c r="EN267" s="154"/>
      <c r="EO267" s="154"/>
      <c r="EP267" s="154"/>
      <c r="EQ267" s="154"/>
      <c r="ER267" s="154"/>
      <c r="ES267" s="154"/>
      <c r="ET267" s="154"/>
      <c r="EU267" s="154"/>
      <c r="EV267" s="154"/>
      <c r="EW267" s="154"/>
    </row>
    <row r="268" spans="2:153" ht="12.95" customHeight="1">
      <c r="B268" s="154"/>
      <c r="C268" s="380"/>
      <c r="D268" s="380"/>
      <c r="E268" s="154"/>
      <c r="F268" s="154"/>
      <c r="G268" s="154"/>
      <c r="H268" s="154"/>
      <c r="I268" s="154"/>
      <c r="J268" s="154"/>
      <c r="K268" s="154"/>
      <c r="L268" s="154"/>
      <c r="M268" s="154"/>
      <c r="N268" s="154"/>
      <c r="O268" s="154"/>
      <c r="P268" s="154"/>
      <c r="Q268" s="154"/>
      <c r="R268" s="154"/>
      <c r="S268" s="154"/>
      <c r="T268" s="154"/>
      <c r="U268" s="154"/>
      <c r="V268" s="154"/>
      <c r="W268" s="154"/>
      <c r="X268" s="154"/>
      <c r="Y268" s="154"/>
      <c r="Z268" s="154"/>
      <c r="AA268" s="154"/>
      <c r="AB268" s="154"/>
      <c r="AC268" s="154"/>
      <c r="AD268" s="154"/>
      <c r="AE268" s="154"/>
      <c r="AF268" s="367"/>
      <c r="AG268" s="368"/>
      <c r="AH268" s="368"/>
      <c r="AI268" s="368"/>
      <c r="AJ268" s="154"/>
      <c r="AK268" s="154"/>
      <c r="AL268" s="154"/>
      <c r="AM268" s="154"/>
      <c r="AN268" s="154"/>
      <c r="AO268" s="154"/>
      <c r="AP268" s="154"/>
      <c r="AQ268" s="154"/>
      <c r="AR268" s="154"/>
      <c r="AS268" s="154"/>
      <c r="AT268" s="154"/>
      <c r="AU268" s="154"/>
      <c r="AV268" s="154"/>
      <c r="AW268" s="154"/>
      <c r="AX268" s="154"/>
      <c r="AY268" s="154"/>
      <c r="AZ268" s="154"/>
      <c r="BA268" s="154"/>
      <c r="BB268" s="154"/>
      <c r="BC268" s="154"/>
      <c r="BD268" s="154"/>
      <c r="BE268" s="154"/>
      <c r="BF268" s="154"/>
      <c r="BG268" s="154"/>
      <c r="BH268" s="154"/>
      <c r="BI268" s="154"/>
      <c r="BJ268" s="154"/>
      <c r="BK268" s="154"/>
      <c r="BL268" s="154"/>
      <c r="BM268" s="154"/>
      <c r="BN268" s="154"/>
      <c r="BO268" s="154"/>
      <c r="BP268" s="154"/>
      <c r="BQ268" s="154"/>
      <c r="BR268" s="154"/>
      <c r="BS268" s="154"/>
      <c r="BT268" s="154"/>
      <c r="BU268" s="154"/>
      <c r="BV268" s="154"/>
      <c r="BW268" s="154"/>
      <c r="BX268" s="154"/>
      <c r="BY268" s="154"/>
      <c r="BZ268" s="154"/>
      <c r="CA268" s="154"/>
      <c r="CB268" s="154"/>
      <c r="CC268" s="154"/>
      <c r="CD268" s="154"/>
      <c r="CE268" s="154"/>
      <c r="CF268" s="154"/>
      <c r="CG268" s="154"/>
      <c r="CH268" s="154"/>
      <c r="CI268" s="154"/>
      <c r="CJ268" s="154"/>
      <c r="CK268" s="154"/>
      <c r="CL268" s="154"/>
      <c r="CM268" s="154"/>
      <c r="CN268" s="154"/>
      <c r="CO268" s="154"/>
      <c r="CP268" s="154"/>
      <c r="CQ268" s="154"/>
      <c r="CR268" s="154"/>
      <c r="CS268" s="154"/>
      <c r="CT268" s="154"/>
      <c r="CU268" s="154"/>
      <c r="CV268" s="154"/>
      <c r="CW268" s="154"/>
      <c r="CX268" s="154"/>
      <c r="CY268" s="154"/>
      <c r="CZ268" s="154"/>
      <c r="DA268" s="154"/>
      <c r="DB268" s="154"/>
      <c r="DC268" s="154"/>
      <c r="DD268" s="154"/>
      <c r="DE268" s="154"/>
      <c r="DF268" s="154"/>
      <c r="DG268" s="154"/>
      <c r="DH268" s="154"/>
      <c r="DI268" s="154"/>
      <c r="DJ268" s="154"/>
      <c r="DK268" s="154"/>
      <c r="DL268" s="154"/>
      <c r="DM268" s="154"/>
      <c r="DN268" s="154"/>
      <c r="DO268" s="154"/>
      <c r="DP268" s="154"/>
      <c r="DQ268" s="154"/>
      <c r="DR268" s="154"/>
      <c r="DS268" s="154"/>
      <c r="DT268" s="154"/>
      <c r="DU268" s="154"/>
      <c r="DV268" s="154"/>
      <c r="DW268" s="154"/>
      <c r="DX268" s="154"/>
      <c r="DY268" s="154"/>
      <c r="DZ268" s="154"/>
      <c r="EA268" s="154"/>
      <c r="EB268" s="154"/>
      <c r="EC268" s="154"/>
      <c r="ED268" s="154"/>
      <c r="EE268" s="154"/>
      <c r="EF268" s="154"/>
      <c r="EG268" s="154"/>
      <c r="EH268" s="154"/>
      <c r="EI268" s="154"/>
      <c r="EJ268" s="154"/>
      <c r="EK268" s="154"/>
      <c r="EL268" s="154"/>
      <c r="EM268" s="154"/>
      <c r="EN268" s="154"/>
      <c r="EO268" s="154"/>
      <c r="EP268" s="154"/>
      <c r="EQ268" s="154"/>
      <c r="ER268" s="154"/>
      <c r="ES268" s="154"/>
      <c r="ET268" s="154"/>
      <c r="EU268" s="154"/>
      <c r="EV268" s="154"/>
      <c r="EW268" s="154"/>
    </row>
    <row r="269" spans="2:153" ht="12.95" customHeight="1">
      <c r="B269" s="154"/>
      <c r="C269" s="380"/>
      <c r="D269" s="380"/>
      <c r="E269" s="154"/>
      <c r="F269" s="154"/>
      <c r="G269" s="154"/>
      <c r="H269" s="154"/>
      <c r="I269" s="154"/>
      <c r="J269" s="154"/>
      <c r="K269" s="154"/>
      <c r="L269" s="154"/>
      <c r="M269" s="154"/>
      <c r="N269" s="154"/>
      <c r="O269" s="154"/>
      <c r="P269" s="154"/>
      <c r="Q269" s="154"/>
      <c r="R269" s="154"/>
      <c r="S269" s="154"/>
      <c r="T269" s="154"/>
      <c r="U269" s="154"/>
      <c r="V269" s="154"/>
      <c r="W269" s="154"/>
      <c r="X269" s="154"/>
      <c r="Y269" s="154"/>
      <c r="Z269" s="154"/>
      <c r="AA269" s="154"/>
      <c r="AB269" s="154"/>
      <c r="AC269" s="154"/>
      <c r="AD269" s="154"/>
      <c r="AE269" s="154"/>
      <c r="AF269" s="367"/>
      <c r="AG269" s="368"/>
      <c r="AH269" s="368"/>
      <c r="AI269" s="368"/>
      <c r="AJ269" s="154"/>
      <c r="AK269" s="154"/>
      <c r="AL269" s="154"/>
      <c r="AM269" s="154"/>
      <c r="AN269" s="154"/>
      <c r="AO269" s="154"/>
      <c r="AP269" s="154"/>
      <c r="AQ269" s="154"/>
      <c r="AR269" s="154"/>
      <c r="AS269" s="154"/>
      <c r="AT269" s="154"/>
      <c r="AU269" s="154"/>
      <c r="AV269" s="154"/>
      <c r="AW269" s="154"/>
      <c r="AX269" s="154"/>
      <c r="AY269" s="154"/>
      <c r="AZ269" s="154"/>
      <c r="BA269" s="154"/>
      <c r="BB269" s="154"/>
      <c r="BC269" s="154"/>
      <c r="BD269" s="154"/>
      <c r="BE269" s="154"/>
      <c r="BF269" s="154"/>
      <c r="BG269" s="154"/>
      <c r="BH269" s="154"/>
      <c r="BI269" s="154"/>
      <c r="BJ269" s="154"/>
      <c r="BK269" s="154"/>
      <c r="BL269" s="154"/>
      <c r="BM269" s="154"/>
      <c r="BN269" s="154"/>
      <c r="BO269" s="154"/>
      <c r="BP269" s="154"/>
      <c r="BQ269" s="154"/>
      <c r="BR269" s="154"/>
      <c r="BS269" s="154"/>
      <c r="BT269" s="154"/>
      <c r="BU269" s="154"/>
      <c r="BV269" s="154"/>
      <c r="BW269" s="154"/>
      <c r="BX269" s="154"/>
      <c r="BY269" s="154"/>
      <c r="BZ269" s="154"/>
      <c r="CA269" s="154"/>
      <c r="CB269" s="154"/>
      <c r="CC269" s="154"/>
      <c r="CD269" s="154"/>
      <c r="CE269" s="154"/>
      <c r="CF269" s="154"/>
      <c r="CG269" s="154"/>
      <c r="CH269" s="154"/>
      <c r="CI269" s="154"/>
      <c r="CJ269" s="154"/>
      <c r="CK269" s="154"/>
      <c r="CL269" s="154"/>
      <c r="CM269" s="154"/>
      <c r="CN269" s="154"/>
      <c r="CO269" s="154"/>
      <c r="CP269" s="154"/>
      <c r="CQ269" s="154"/>
      <c r="CR269" s="154"/>
      <c r="CS269" s="154"/>
      <c r="CT269" s="154"/>
      <c r="CU269" s="154"/>
      <c r="CV269" s="154"/>
      <c r="CW269" s="154"/>
      <c r="CX269" s="154"/>
      <c r="CY269" s="154"/>
      <c r="CZ269" s="154"/>
      <c r="DA269" s="154"/>
      <c r="DB269" s="154"/>
      <c r="DC269" s="154"/>
      <c r="DD269" s="154"/>
      <c r="DE269" s="154"/>
      <c r="DF269" s="154"/>
      <c r="DG269" s="154"/>
      <c r="DH269" s="154"/>
      <c r="DI269" s="154"/>
      <c r="DJ269" s="154"/>
      <c r="DK269" s="154"/>
      <c r="DL269" s="154"/>
      <c r="DM269" s="154"/>
      <c r="DN269" s="154"/>
      <c r="DO269" s="154"/>
      <c r="DP269" s="154"/>
      <c r="DQ269" s="154"/>
      <c r="DR269" s="154"/>
      <c r="DS269" s="154"/>
      <c r="DT269" s="154"/>
      <c r="DU269" s="154"/>
      <c r="DV269" s="154"/>
      <c r="DW269" s="154"/>
      <c r="DX269" s="154"/>
      <c r="DY269" s="154"/>
      <c r="DZ269" s="154"/>
      <c r="EA269" s="154"/>
      <c r="EB269" s="154"/>
      <c r="EC269" s="154"/>
      <c r="ED269" s="154"/>
      <c r="EE269" s="154"/>
      <c r="EF269" s="154"/>
      <c r="EG269" s="154"/>
      <c r="EH269" s="154"/>
      <c r="EI269" s="154"/>
      <c r="EJ269" s="154"/>
      <c r="EK269" s="154"/>
      <c r="EL269" s="154"/>
      <c r="EM269" s="154"/>
      <c r="EN269" s="154"/>
      <c r="EO269" s="154"/>
      <c r="EP269" s="154"/>
      <c r="EQ269" s="154"/>
      <c r="ER269" s="154"/>
      <c r="ES269" s="154"/>
      <c r="ET269" s="154"/>
      <c r="EU269" s="154"/>
      <c r="EV269" s="154"/>
      <c r="EW269" s="154"/>
    </row>
    <row r="270" spans="2:153" ht="12.95" customHeight="1">
      <c r="B270" s="154"/>
      <c r="C270" s="380"/>
      <c r="D270" s="380"/>
      <c r="E270" s="154"/>
      <c r="F270" s="154"/>
      <c r="G270" s="154"/>
      <c r="H270" s="154"/>
      <c r="I270" s="154"/>
      <c r="J270" s="154"/>
      <c r="K270" s="154"/>
      <c r="L270" s="154"/>
      <c r="M270" s="154"/>
      <c r="N270" s="154"/>
      <c r="O270" s="154"/>
      <c r="P270" s="154"/>
      <c r="Q270" s="154"/>
      <c r="R270" s="154"/>
      <c r="S270" s="154"/>
      <c r="T270" s="154"/>
      <c r="U270" s="154"/>
      <c r="V270" s="154"/>
      <c r="W270" s="154"/>
      <c r="X270" s="154"/>
      <c r="Y270" s="154"/>
      <c r="Z270" s="154"/>
      <c r="AA270" s="154"/>
      <c r="AB270" s="154"/>
      <c r="AC270" s="154"/>
      <c r="AD270" s="154"/>
      <c r="AE270" s="154"/>
      <c r="AF270" s="367"/>
      <c r="AG270" s="368"/>
      <c r="AH270" s="368"/>
      <c r="AI270" s="368"/>
      <c r="AJ270" s="154"/>
      <c r="AK270" s="154"/>
      <c r="AL270" s="154"/>
      <c r="AM270" s="154"/>
      <c r="AN270" s="154"/>
      <c r="AO270" s="154"/>
      <c r="AP270" s="154"/>
      <c r="AQ270" s="154"/>
      <c r="AR270" s="154"/>
      <c r="AS270" s="154"/>
      <c r="AT270" s="154"/>
      <c r="AU270" s="154"/>
      <c r="AV270" s="154"/>
      <c r="AW270" s="154"/>
      <c r="AX270" s="154"/>
      <c r="AY270" s="154"/>
      <c r="AZ270" s="154"/>
      <c r="BA270" s="154"/>
      <c r="BB270" s="154"/>
      <c r="BC270" s="154"/>
      <c r="BD270" s="154"/>
      <c r="BE270" s="154"/>
      <c r="BF270" s="154"/>
      <c r="BG270" s="154"/>
      <c r="BH270" s="154"/>
      <c r="BI270" s="154"/>
      <c r="BJ270" s="154"/>
      <c r="BK270" s="154"/>
      <c r="BL270" s="154"/>
      <c r="BM270" s="154"/>
      <c r="BN270" s="154"/>
      <c r="BO270" s="154"/>
      <c r="BP270" s="154"/>
      <c r="BQ270" s="154"/>
      <c r="BR270" s="154"/>
      <c r="BS270" s="154"/>
      <c r="BT270" s="154"/>
      <c r="BU270" s="154"/>
      <c r="BV270" s="154"/>
      <c r="BW270" s="154"/>
      <c r="BX270" s="154"/>
      <c r="BY270" s="154"/>
      <c r="BZ270" s="154"/>
      <c r="CA270" s="154"/>
      <c r="CB270" s="154"/>
      <c r="CC270" s="154"/>
      <c r="CD270" s="154"/>
      <c r="CE270" s="154"/>
      <c r="CF270" s="154"/>
      <c r="CG270" s="154"/>
      <c r="CH270" s="154"/>
      <c r="CI270" s="154"/>
      <c r="CJ270" s="154"/>
      <c r="CK270" s="154"/>
      <c r="CL270" s="154"/>
      <c r="CM270" s="154"/>
      <c r="CN270" s="154"/>
      <c r="CO270" s="154"/>
      <c r="CP270" s="154"/>
      <c r="CQ270" s="154"/>
      <c r="CR270" s="154"/>
      <c r="CS270" s="154"/>
      <c r="CT270" s="154"/>
      <c r="CU270" s="154"/>
      <c r="CV270" s="154"/>
      <c r="CW270" s="154"/>
      <c r="CX270" s="154"/>
      <c r="CY270" s="154"/>
      <c r="CZ270" s="154"/>
      <c r="DA270" s="154"/>
      <c r="DB270" s="154"/>
      <c r="DC270" s="154"/>
      <c r="DD270" s="154"/>
      <c r="DE270" s="154"/>
      <c r="DF270" s="154"/>
      <c r="DG270" s="154"/>
      <c r="DH270" s="154"/>
      <c r="DI270" s="154"/>
      <c r="DJ270" s="154"/>
      <c r="DK270" s="154"/>
      <c r="DL270" s="154"/>
      <c r="DM270" s="154"/>
      <c r="DN270" s="154"/>
      <c r="DO270" s="154"/>
      <c r="DP270" s="154"/>
      <c r="DQ270" s="154"/>
      <c r="DR270" s="154"/>
      <c r="DS270" s="154"/>
      <c r="DT270" s="154"/>
      <c r="DU270" s="154"/>
      <c r="DV270" s="154"/>
      <c r="DW270" s="154"/>
      <c r="DX270" s="154"/>
      <c r="DY270" s="154"/>
      <c r="DZ270" s="154"/>
      <c r="EA270" s="154"/>
      <c r="EB270" s="154"/>
      <c r="EC270" s="154"/>
      <c r="ED270" s="154"/>
      <c r="EE270" s="154"/>
      <c r="EF270" s="154"/>
      <c r="EG270" s="154"/>
      <c r="EH270" s="154"/>
      <c r="EI270" s="154"/>
      <c r="EJ270" s="154"/>
      <c r="EK270" s="154"/>
      <c r="EL270" s="154"/>
      <c r="EM270" s="154"/>
      <c r="EN270" s="154"/>
      <c r="EO270" s="154"/>
      <c r="EP270" s="154"/>
      <c r="EQ270" s="154"/>
      <c r="ER270" s="154"/>
      <c r="ES270" s="154"/>
      <c r="ET270" s="154"/>
      <c r="EU270" s="154"/>
      <c r="EV270" s="154"/>
      <c r="EW270" s="154"/>
    </row>
    <row r="271" spans="2:153" ht="12.95" customHeight="1">
      <c r="B271" s="154"/>
      <c r="C271" s="380"/>
      <c r="D271" s="380"/>
      <c r="E271" s="154"/>
      <c r="F271" s="154"/>
      <c r="G271" s="154"/>
      <c r="H271" s="154"/>
      <c r="I271" s="154"/>
      <c r="J271" s="154"/>
      <c r="K271" s="154"/>
      <c r="L271" s="154"/>
      <c r="M271" s="154"/>
      <c r="N271" s="154"/>
      <c r="O271" s="154"/>
      <c r="P271" s="154"/>
      <c r="Q271" s="154"/>
      <c r="R271" s="154"/>
      <c r="S271" s="154"/>
      <c r="T271" s="154"/>
      <c r="U271" s="154"/>
      <c r="V271" s="154"/>
      <c r="W271" s="154"/>
      <c r="X271" s="154"/>
      <c r="Y271" s="154"/>
      <c r="Z271" s="154"/>
      <c r="AA271" s="154"/>
      <c r="AB271" s="154"/>
      <c r="AC271" s="154"/>
      <c r="AD271" s="154"/>
      <c r="AE271" s="154"/>
      <c r="AF271" s="367"/>
      <c r="AG271" s="368"/>
      <c r="AH271" s="368"/>
      <c r="AI271" s="368"/>
      <c r="AJ271" s="154"/>
      <c r="AK271" s="154"/>
      <c r="AL271" s="154"/>
      <c r="AM271" s="154"/>
      <c r="AN271" s="154"/>
      <c r="AO271" s="154"/>
      <c r="AP271" s="154"/>
      <c r="AQ271" s="154"/>
      <c r="AR271" s="154"/>
      <c r="AS271" s="154"/>
      <c r="AT271" s="154"/>
      <c r="AU271" s="154"/>
      <c r="AV271" s="154"/>
      <c r="AW271" s="154"/>
      <c r="AX271" s="154"/>
      <c r="AY271" s="154"/>
      <c r="AZ271" s="154"/>
      <c r="BA271" s="154"/>
      <c r="BB271" s="154"/>
      <c r="BC271" s="154"/>
      <c r="BD271" s="154"/>
      <c r="BE271" s="154"/>
      <c r="BF271" s="154"/>
      <c r="BG271" s="154"/>
      <c r="BH271" s="154"/>
      <c r="BI271" s="154"/>
      <c r="BJ271" s="154"/>
      <c r="BK271" s="154"/>
      <c r="BL271" s="154"/>
      <c r="BM271" s="154"/>
      <c r="BN271" s="154"/>
      <c r="BO271" s="154"/>
      <c r="BP271" s="154"/>
      <c r="BQ271" s="154"/>
      <c r="BR271" s="154"/>
      <c r="BS271" s="154"/>
      <c r="BT271" s="154"/>
      <c r="BU271" s="154"/>
      <c r="BV271" s="154"/>
      <c r="BW271" s="154"/>
      <c r="BX271" s="154"/>
      <c r="BY271" s="154"/>
      <c r="BZ271" s="154"/>
      <c r="CA271" s="154"/>
      <c r="CB271" s="154"/>
      <c r="CC271" s="154"/>
      <c r="CD271" s="154"/>
      <c r="CE271" s="154"/>
      <c r="CF271" s="154"/>
      <c r="CG271" s="154"/>
      <c r="CH271" s="154"/>
      <c r="CI271" s="154"/>
      <c r="CJ271" s="154"/>
      <c r="CK271" s="154"/>
      <c r="CL271" s="154"/>
      <c r="CM271" s="154"/>
      <c r="CN271" s="154"/>
      <c r="CO271" s="154"/>
      <c r="CP271" s="154"/>
      <c r="CQ271" s="154"/>
      <c r="CR271" s="154"/>
      <c r="CS271" s="154"/>
      <c r="CT271" s="154"/>
      <c r="CU271" s="154"/>
      <c r="CV271" s="154"/>
      <c r="CW271" s="154"/>
      <c r="CX271" s="154"/>
      <c r="CY271" s="154"/>
      <c r="CZ271" s="154"/>
      <c r="DA271" s="154"/>
      <c r="DB271" s="154"/>
      <c r="DC271" s="154"/>
      <c r="DD271" s="154"/>
      <c r="DE271" s="154"/>
      <c r="DF271" s="154"/>
      <c r="DG271" s="154"/>
      <c r="DH271" s="154"/>
      <c r="DI271" s="154"/>
      <c r="DJ271" s="154"/>
      <c r="DK271" s="154"/>
      <c r="DL271" s="154"/>
      <c r="DM271" s="154"/>
      <c r="DN271" s="154"/>
      <c r="DO271" s="154"/>
      <c r="DP271" s="154"/>
      <c r="DQ271" s="154"/>
      <c r="DR271" s="154"/>
      <c r="DS271" s="154"/>
      <c r="DT271" s="154"/>
      <c r="DU271" s="154"/>
      <c r="DV271" s="154"/>
      <c r="DW271" s="154"/>
      <c r="DX271" s="154"/>
      <c r="DY271" s="154"/>
      <c r="DZ271" s="154"/>
      <c r="EA271" s="154"/>
      <c r="EB271" s="154"/>
      <c r="EC271" s="154"/>
      <c r="ED271" s="154"/>
      <c r="EE271" s="154"/>
      <c r="EF271" s="154"/>
      <c r="EG271" s="154"/>
      <c r="EH271" s="154"/>
      <c r="EI271" s="154"/>
      <c r="EJ271" s="154"/>
      <c r="EK271" s="154"/>
      <c r="EL271" s="154"/>
      <c r="EM271" s="154"/>
      <c r="EN271" s="154"/>
      <c r="EO271" s="154"/>
      <c r="EP271" s="154"/>
      <c r="EQ271" s="154"/>
      <c r="ER271" s="154"/>
      <c r="ES271" s="154"/>
      <c r="ET271" s="154"/>
      <c r="EU271" s="154"/>
      <c r="EV271" s="154"/>
      <c r="EW271" s="154"/>
    </row>
    <row r="272" spans="2:153" ht="12.95" customHeight="1">
      <c r="B272" s="154"/>
      <c r="C272" s="380"/>
      <c r="D272" s="380"/>
      <c r="E272" s="154"/>
      <c r="F272" s="154"/>
      <c r="G272" s="154"/>
      <c r="H272" s="154"/>
      <c r="I272" s="154"/>
      <c r="J272" s="154"/>
      <c r="K272" s="154"/>
      <c r="L272" s="154"/>
      <c r="M272" s="154"/>
      <c r="N272" s="154"/>
      <c r="O272" s="154"/>
      <c r="P272" s="154"/>
      <c r="Q272" s="154"/>
      <c r="R272" s="154"/>
      <c r="S272" s="154"/>
      <c r="T272" s="154"/>
      <c r="U272" s="154"/>
      <c r="V272" s="154"/>
      <c r="W272" s="154"/>
      <c r="X272" s="154"/>
      <c r="Y272" s="154"/>
      <c r="Z272" s="154"/>
      <c r="AA272" s="154"/>
      <c r="AB272" s="154"/>
      <c r="AC272" s="154"/>
      <c r="AD272" s="154"/>
      <c r="AE272" s="154"/>
      <c r="AF272" s="367"/>
      <c r="AG272" s="368"/>
      <c r="AH272" s="368"/>
      <c r="AI272" s="368"/>
      <c r="AJ272" s="154"/>
      <c r="AK272" s="154"/>
      <c r="AL272" s="154"/>
      <c r="AM272" s="154"/>
      <c r="AN272" s="154"/>
      <c r="AO272" s="154"/>
      <c r="AP272" s="154"/>
      <c r="AQ272" s="154"/>
      <c r="AR272" s="154"/>
      <c r="AS272" s="154"/>
      <c r="AT272" s="154"/>
      <c r="AU272" s="154"/>
      <c r="AV272" s="154"/>
      <c r="AW272" s="154"/>
      <c r="AX272" s="154"/>
      <c r="AY272" s="154"/>
      <c r="AZ272" s="154"/>
      <c r="BA272" s="154"/>
      <c r="BB272" s="154"/>
      <c r="BC272" s="154"/>
      <c r="BD272" s="154"/>
      <c r="BE272" s="154"/>
      <c r="BF272" s="154"/>
      <c r="BG272" s="154"/>
      <c r="BH272" s="154"/>
      <c r="BI272" s="154"/>
      <c r="BJ272" s="154"/>
      <c r="BK272" s="154"/>
      <c r="BL272" s="154"/>
      <c r="BM272" s="154"/>
      <c r="BN272" s="154"/>
      <c r="BO272" s="154"/>
      <c r="BP272" s="154"/>
      <c r="BQ272" s="154"/>
      <c r="BR272" s="154"/>
      <c r="BS272" s="154"/>
      <c r="BT272" s="154"/>
      <c r="BU272" s="154"/>
      <c r="BV272" s="154"/>
      <c r="BW272" s="154"/>
      <c r="BX272" s="154"/>
      <c r="BY272" s="154"/>
      <c r="BZ272" s="154"/>
      <c r="CA272" s="154"/>
      <c r="CB272" s="154"/>
      <c r="CC272" s="154"/>
      <c r="CD272" s="154"/>
      <c r="CE272" s="154"/>
      <c r="CF272" s="154"/>
      <c r="CG272" s="154"/>
      <c r="CH272" s="154"/>
      <c r="CI272" s="154"/>
      <c r="CJ272" s="154"/>
      <c r="CK272" s="154"/>
      <c r="CL272" s="154"/>
      <c r="CM272" s="154"/>
      <c r="CN272" s="154"/>
      <c r="CO272" s="154"/>
      <c r="CP272" s="154"/>
      <c r="CQ272" s="154"/>
      <c r="CR272" s="154"/>
      <c r="CS272" s="154"/>
      <c r="CT272" s="154"/>
      <c r="CU272" s="154"/>
      <c r="CV272" s="154"/>
      <c r="CW272" s="154"/>
      <c r="CX272" s="154"/>
      <c r="CY272" s="154"/>
      <c r="CZ272" s="154"/>
      <c r="DA272" s="154"/>
      <c r="DB272" s="154"/>
      <c r="DC272" s="154"/>
      <c r="DD272" s="154"/>
      <c r="DE272" s="154"/>
      <c r="DF272" s="154"/>
      <c r="DG272" s="154"/>
      <c r="DH272" s="154"/>
      <c r="DI272" s="154"/>
      <c r="DJ272" s="154"/>
      <c r="DK272" s="154"/>
      <c r="DL272" s="154"/>
      <c r="DM272" s="154"/>
      <c r="DN272" s="154"/>
      <c r="DO272" s="154"/>
      <c r="DP272" s="154"/>
      <c r="DQ272" s="154"/>
      <c r="DR272" s="154"/>
      <c r="DS272" s="154"/>
      <c r="DT272" s="154"/>
      <c r="DU272" s="154"/>
      <c r="DV272" s="154"/>
      <c r="DW272" s="154"/>
      <c r="DX272" s="154"/>
      <c r="DY272" s="154"/>
      <c r="DZ272" s="154"/>
      <c r="EA272" s="154"/>
      <c r="EB272" s="154"/>
      <c r="EC272" s="154"/>
      <c r="ED272" s="154"/>
      <c r="EE272" s="154"/>
      <c r="EF272" s="154"/>
      <c r="EG272" s="154"/>
      <c r="EH272" s="154"/>
      <c r="EI272" s="154"/>
      <c r="EJ272" s="154"/>
      <c r="EK272" s="154"/>
      <c r="EL272" s="154"/>
      <c r="EM272" s="154"/>
      <c r="EN272" s="154"/>
      <c r="EO272" s="154"/>
      <c r="EP272" s="154"/>
      <c r="EQ272" s="154"/>
      <c r="ER272" s="154"/>
      <c r="ES272" s="154"/>
      <c r="ET272" s="154"/>
      <c r="EU272" s="154"/>
      <c r="EV272" s="154"/>
      <c r="EW272" s="154"/>
    </row>
    <row r="273" spans="2:153" ht="12.95" customHeight="1">
      <c r="B273" s="154"/>
      <c r="C273" s="380"/>
      <c r="D273" s="380"/>
      <c r="E273" s="154"/>
      <c r="F273" s="154"/>
      <c r="G273" s="154"/>
      <c r="H273" s="154"/>
      <c r="I273" s="154"/>
      <c r="J273" s="154"/>
      <c r="K273" s="154"/>
      <c r="L273" s="154"/>
      <c r="M273" s="154"/>
      <c r="N273" s="154"/>
      <c r="O273" s="154"/>
      <c r="P273" s="154"/>
      <c r="Q273" s="154"/>
      <c r="R273" s="154"/>
      <c r="S273" s="154"/>
      <c r="T273" s="154"/>
      <c r="U273" s="154"/>
      <c r="V273" s="154"/>
      <c r="W273" s="154"/>
      <c r="X273" s="154"/>
      <c r="Y273" s="154"/>
      <c r="Z273" s="154"/>
      <c r="AA273" s="154"/>
      <c r="AB273" s="154"/>
      <c r="AC273" s="154"/>
      <c r="AD273" s="154"/>
      <c r="AE273" s="154"/>
      <c r="AF273" s="367"/>
      <c r="AG273" s="368"/>
      <c r="AH273" s="368"/>
      <c r="AI273" s="368"/>
      <c r="AJ273" s="154"/>
      <c r="AK273" s="154"/>
      <c r="AL273" s="154"/>
      <c r="AM273" s="154"/>
      <c r="AN273" s="154"/>
      <c r="AO273" s="154"/>
      <c r="AP273" s="154"/>
      <c r="AQ273" s="154"/>
      <c r="AR273" s="154"/>
      <c r="AS273" s="154"/>
      <c r="AT273" s="154"/>
      <c r="AU273" s="154"/>
      <c r="AV273" s="154"/>
      <c r="AW273" s="154"/>
      <c r="AX273" s="154"/>
      <c r="AY273" s="154"/>
      <c r="AZ273" s="154"/>
      <c r="BA273" s="154"/>
      <c r="BB273" s="154"/>
      <c r="BC273" s="154"/>
      <c r="BD273" s="154"/>
      <c r="BE273" s="154"/>
      <c r="BF273" s="154"/>
      <c r="BG273" s="154"/>
      <c r="BH273" s="154"/>
      <c r="BI273" s="154"/>
      <c r="BJ273" s="154"/>
      <c r="BK273" s="154"/>
      <c r="BL273" s="154"/>
      <c r="BM273" s="154"/>
      <c r="BN273" s="154"/>
      <c r="BO273" s="154"/>
      <c r="BP273" s="154"/>
      <c r="BQ273" s="154"/>
      <c r="BR273" s="154"/>
      <c r="BS273" s="154"/>
      <c r="BT273" s="154"/>
      <c r="BU273" s="154"/>
      <c r="BV273" s="154"/>
      <c r="BW273" s="154"/>
      <c r="BX273" s="154"/>
      <c r="BY273" s="154"/>
      <c r="BZ273" s="154"/>
      <c r="CA273" s="154"/>
      <c r="CB273" s="154"/>
      <c r="CC273" s="154"/>
      <c r="CD273" s="154"/>
      <c r="CE273" s="154"/>
      <c r="CF273" s="154"/>
      <c r="CG273" s="154"/>
      <c r="CH273" s="154"/>
      <c r="CI273" s="154"/>
      <c r="CJ273" s="154"/>
      <c r="CK273" s="154"/>
      <c r="CL273" s="154"/>
      <c r="CM273" s="154"/>
      <c r="CN273" s="154"/>
      <c r="CO273" s="154"/>
      <c r="CP273" s="154"/>
      <c r="CQ273" s="154"/>
      <c r="CR273" s="154"/>
      <c r="CS273" s="154"/>
      <c r="CT273" s="154"/>
      <c r="CU273" s="154"/>
      <c r="CV273" s="154"/>
      <c r="CW273" s="154"/>
      <c r="CX273" s="154"/>
      <c r="CY273" s="154"/>
      <c r="CZ273" s="154"/>
      <c r="DA273" s="154"/>
      <c r="DB273" s="154"/>
      <c r="DC273" s="154"/>
      <c r="DD273" s="154"/>
      <c r="DE273" s="154"/>
      <c r="DF273" s="154"/>
      <c r="DG273" s="154"/>
      <c r="DH273" s="154"/>
      <c r="DI273" s="154"/>
      <c r="DJ273" s="154"/>
      <c r="DK273" s="154"/>
      <c r="DL273" s="154"/>
      <c r="DM273" s="154"/>
      <c r="DN273" s="154"/>
      <c r="DO273" s="154"/>
      <c r="DP273" s="154"/>
      <c r="DQ273" s="154"/>
      <c r="DR273" s="154"/>
      <c r="DS273" s="154"/>
      <c r="DT273" s="154"/>
      <c r="DU273" s="154"/>
      <c r="DV273" s="154"/>
      <c r="DW273" s="154"/>
      <c r="DX273" s="154"/>
      <c r="DY273" s="154"/>
      <c r="DZ273" s="154"/>
      <c r="EA273" s="154"/>
      <c r="EB273" s="154"/>
      <c r="EC273" s="154"/>
      <c r="ED273" s="154"/>
      <c r="EE273" s="154"/>
      <c r="EF273" s="154"/>
      <c r="EG273" s="154"/>
      <c r="EH273" s="154"/>
      <c r="EI273" s="154"/>
      <c r="EJ273" s="154"/>
      <c r="EK273" s="154"/>
      <c r="EL273" s="154"/>
      <c r="EM273" s="154"/>
      <c r="EN273" s="154"/>
      <c r="EO273" s="154"/>
      <c r="EP273" s="154"/>
      <c r="EQ273" s="154"/>
      <c r="ER273" s="154"/>
      <c r="ES273" s="154"/>
      <c r="ET273" s="154"/>
      <c r="EU273" s="154"/>
      <c r="EV273" s="154"/>
      <c r="EW273" s="154"/>
    </row>
    <row r="274" spans="2:153" ht="12.95" customHeight="1">
      <c r="B274" s="154"/>
      <c r="C274" s="380"/>
      <c r="D274" s="380"/>
      <c r="E274" s="154"/>
      <c r="F274" s="154"/>
      <c r="G274" s="154"/>
      <c r="H274" s="154"/>
      <c r="I274" s="154"/>
      <c r="J274" s="154"/>
      <c r="K274" s="154"/>
      <c r="L274" s="154"/>
      <c r="M274" s="154"/>
      <c r="N274" s="154"/>
      <c r="O274" s="154"/>
      <c r="P274" s="154"/>
      <c r="Q274" s="154"/>
      <c r="R274" s="154"/>
      <c r="S274" s="154"/>
      <c r="T274" s="154"/>
      <c r="U274" s="154"/>
      <c r="V274" s="154"/>
      <c r="W274" s="154"/>
      <c r="X274" s="154"/>
      <c r="Y274" s="154"/>
      <c r="Z274" s="154"/>
      <c r="AA274" s="154"/>
      <c r="AB274" s="154"/>
      <c r="AC274" s="154"/>
      <c r="AD274" s="154"/>
      <c r="AE274" s="154"/>
      <c r="AF274" s="367"/>
      <c r="AG274" s="368"/>
      <c r="AH274" s="368"/>
      <c r="AI274" s="368"/>
      <c r="AJ274" s="154"/>
      <c r="AK274" s="154"/>
      <c r="AL274" s="154"/>
      <c r="AM274" s="154"/>
      <c r="AN274" s="154"/>
      <c r="AO274" s="154"/>
      <c r="AP274" s="154"/>
      <c r="AQ274" s="154"/>
      <c r="AR274" s="154"/>
      <c r="AS274" s="154"/>
      <c r="AT274" s="154"/>
      <c r="AU274" s="154"/>
      <c r="AV274" s="154"/>
      <c r="AW274" s="154"/>
      <c r="AX274" s="154"/>
      <c r="AY274" s="154"/>
      <c r="AZ274" s="154"/>
      <c r="BA274" s="154"/>
      <c r="BB274" s="154"/>
      <c r="BC274" s="154"/>
      <c r="BD274" s="154"/>
      <c r="BE274" s="154"/>
      <c r="BF274" s="154"/>
      <c r="BG274" s="154"/>
      <c r="BH274" s="154"/>
      <c r="BI274" s="154"/>
      <c r="BJ274" s="154"/>
      <c r="BK274" s="154"/>
      <c r="BL274" s="154"/>
      <c r="BM274" s="154"/>
      <c r="BN274" s="154"/>
      <c r="BO274" s="154"/>
      <c r="BP274" s="154"/>
      <c r="BQ274" s="154"/>
      <c r="BR274" s="154"/>
      <c r="BS274" s="154"/>
      <c r="BT274" s="154"/>
      <c r="BU274" s="154"/>
      <c r="BV274" s="154"/>
      <c r="BW274" s="154"/>
      <c r="BX274" s="154"/>
      <c r="BY274" s="154"/>
      <c r="BZ274" s="154"/>
      <c r="CA274" s="154"/>
      <c r="CB274" s="154"/>
      <c r="CC274" s="154"/>
      <c r="CD274" s="154"/>
      <c r="CE274" s="154"/>
      <c r="CF274" s="154"/>
      <c r="CG274" s="154"/>
      <c r="CH274" s="154"/>
      <c r="CI274" s="154"/>
      <c r="CJ274" s="154"/>
      <c r="CK274" s="154"/>
      <c r="CL274" s="154"/>
      <c r="CM274" s="154"/>
      <c r="CN274" s="154"/>
      <c r="CO274" s="154"/>
      <c r="CP274" s="154"/>
      <c r="CQ274" s="154"/>
      <c r="CR274" s="154"/>
      <c r="CS274" s="154"/>
      <c r="CT274" s="154"/>
      <c r="CU274" s="154"/>
      <c r="CV274" s="154"/>
      <c r="CW274" s="154"/>
      <c r="CX274" s="154"/>
      <c r="CY274" s="154"/>
      <c r="CZ274" s="154"/>
      <c r="DA274" s="154"/>
      <c r="DB274" s="154"/>
      <c r="DC274" s="154"/>
      <c r="DD274" s="154"/>
      <c r="DE274" s="154"/>
      <c r="DF274" s="154"/>
      <c r="DG274" s="154"/>
      <c r="DH274" s="154"/>
      <c r="DI274" s="154"/>
      <c r="DJ274" s="154"/>
      <c r="DK274" s="154"/>
      <c r="DL274" s="154"/>
      <c r="DM274" s="154"/>
      <c r="DN274" s="154"/>
      <c r="DO274" s="154"/>
      <c r="DP274" s="154"/>
      <c r="DQ274" s="154"/>
      <c r="DR274" s="154"/>
      <c r="DS274" s="154"/>
      <c r="DT274" s="154"/>
      <c r="DU274" s="154"/>
      <c r="DV274" s="154"/>
      <c r="DW274" s="154"/>
      <c r="DX274" s="154"/>
      <c r="DY274" s="154"/>
      <c r="DZ274" s="154"/>
      <c r="EA274" s="154"/>
      <c r="EB274" s="154"/>
      <c r="EC274" s="154"/>
      <c r="ED274" s="154"/>
      <c r="EE274" s="154"/>
      <c r="EF274" s="154"/>
      <c r="EG274" s="154"/>
      <c r="EH274" s="154"/>
      <c r="EI274" s="154"/>
      <c r="EJ274" s="154"/>
      <c r="EK274" s="154"/>
      <c r="EL274" s="154"/>
      <c r="EM274" s="154"/>
      <c r="EN274" s="154"/>
      <c r="EO274" s="154"/>
      <c r="EP274" s="154"/>
      <c r="EQ274" s="154"/>
      <c r="ER274" s="154"/>
      <c r="ES274" s="154"/>
      <c r="ET274" s="154"/>
      <c r="EU274" s="154"/>
      <c r="EV274" s="154"/>
      <c r="EW274" s="154"/>
    </row>
    <row r="275" spans="2:153" ht="12.95" customHeight="1">
      <c r="B275" s="154"/>
      <c r="C275" s="380"/>
      <c r="D275" s="380"/>
      <c r="E275" s="154"/>
      <c r="F275" s="154"/>
      <c r="G275" s="154"/>
      <c r="H275" s="154"/>
      <c r="I275" s="154"/>
      <c r="J275" s="154"/>
      <c r="K275" s="154"/>
      <c r="L275" s="154"/>
      <c r="M275" s="154"/>
      <c r="N275" s="154"/>
      <c r="O275" s="154"/>
      <c r="P275" s="154"/>
      <c r="Q275" s="154"/>
      <c r="R275" s="154"/>
      <c r="S275" s="154"/>
      <c r="T275" s="154"/>
      <c r="U275" s="154"/>
      <c r="V275" s="154"/>
      <c r="W275" s="154"/>
      <c r="X275" s="154"/>
      <c r="Y275" s="154"/>
      <c r="Z275" s="154"/>
      <c r="AA275" s="154"/>
      <c r="AB275" s="154"/>
      <c r="AC275" s="154"/>
      <c r="AD275" s="154"/>
      <c r="AE275" s="154"/>
      <c r="AF275" s="367"/>
      <c r="AG275" s="368"/>
      <c r="AH275" s="368"/>
      <c r="AI275" s="368"/>
      <c r="AJ275" s="154"/>
      <c r="AK275" s="154"/>
      <c r="AL275" s="154"/>
      <c r="AM275" s="154"/>
      <c r="AN275" s="154"/>
      <c r="AO275" s="154"/>
      <c r="AP275" s="154"/>
      <c r="AQ275" s="154"/>
      <c r="AR275" s="154"/>
      <c r="AS275" s="154"/>
      <c r="AT275" s="154"/>
      <c r="AU275" s="154"/>
      <c r="AV275" s="154"/>
      <c r="AW275" s="154"/>
      <c r="AX275" s="154"/>
      <c r="AY275" s="154"/>
      <c r="AZ275" s="154"/>
      <c r="BA275" s="154"/>
      <c r="BB275" s="154"/>
      <c r="BC275" s="154"/>
      <c r="BD275" s="154"/>
      <c r="BE275" s="154"/>
      <c r="BF275" s="154"/>
      <c r="BG275" s="154"/>
      <c r="BH275" s="154"/>
      <c r="BI275" s="154"/>
      <c r="BJ275" s="154"/>
      <c r="BK275" s="154"/>
      <c r="BL275" s="154"/>
      <c r="BM275" s="154"/>
      <c r="BN275" s="154"/>
      <c r="BO275" s="154"/>
      <c r="BP275" s="154"/>
      <c r="BQ275" s="154"/>
      <c r="BR275" s="154"/>
      <c r="BS275" s="154"/>
      <c r="BT275" s="154"/>
      <c r="BU275" s="154"/>
      <c r="BV275" s="154"/>
      <c r="BW275" s="154"/>
      <c r="BX275" s="154"/>
      <c r="BY275" s="154"/>
      <c r="BZ275" s="154"/>
      <c r="CA275" s="154"/>
      <c r="CB275" s="154"/>
      <c r="CC275" s="154"/>
      <c r="CD275" s="154"/>
      <c r="CE275" s="154"/>
      <c r="CF275" s="154"/>
      <c r="CG275" s="154"/>
      <c r="CH275" s="154"/>
      <c r="CI275" s="154"/>
      <c r="CJ275" s="154"/>
      <c r="CK275" s="154"/>
      <c r="CL275" s="154"/>
      <c r="CM275" s="154"/>
      <c r="CN275" s="154"/>
      <c r="CO275" s="154"/>
      <c r="CP275" s="154"/>
      <c r="CQ275" s="154"/>
      <c r="CR275" s="154"/>
      <c r="CS275" s="154"/>
      <c r="CT275" s="154"/>
      <c r="CU275" s="154"/>
      <c r="CV275" s="154"/>
      <c r="CW275" s="154"/>
      <c r="CX275" s="154"/>
      <c r="CY275" s="154"/>
      <c r="CZ275" s="154"/>
      <c r="DA275" s="154"/>
      <c r="DB275" s="154"/>
      <c r="DC275" s="154"/>
      <c r="DD275" s="154"/>
      <c r="DE275" s="154"/>
      <c r="DF275" s="154"/>
      <c r="DG275" s="154"/>
      <c r="DH275" s="154"/>
      <c r="DI275" s="154"/>
      <c r="DJ275" s="154"/>
      <c r="DK275" s="154"/>
      <c r="DL275" s="154"/>
      <c r="DM275" s="154"/>
      <c r="DN275" s="154"/>
      <c r="DO275" s="154"/>
      <c r="DP275" s="154"/>
      <c r="DQ275" s="154"/>
      <c r="DR275" s="154"/>
      <c r="DS275" s="154"/>
      <c r="DT275" s="154"/>
      <c r="DU275" s="154"/>
      <c r="DV275" s="154"/>
      <c r="DW275" s="154"/>
      <c r="DX275" s="154"/>
      <c r="DY275" s="154"/>
      <c r="DZ275" s="154"/>
      <c r="EA275" s="154"/>
      <c r="EB275" s="154"/>
      <c r="EC275" s="154"/>
      <c r="ED275" s="154"/>
      <c r="EE275" s="154"/>
      <c r="EF275" s="154"/>
      <c r="EG275" s="154"/>
      <c r="EH275" s="154"/>
      <c r="EI275" s="154"/>
      <c r="EJ275" s="154"/>
      <c r="EK275" s="154"/>
      <c r="EL275" s="154"/>
      <c r="EM275" s="154"/>
      <c r="EN275" s="154"/>
      <c r="EO275" s="154"/>
      <c r="EP275" s="154"/>
      <c r="EQ275" s="154"/>
      <c r="ER275" s="154"/>
      <c r="ES275" s="154"/>
      <c r="ET275" s="154"/>
      <c r="EU275" s="154"/>
      <c r="EV275" s="154"/>
      <c r="EW275" s="154"/>
    </row>
    <row r="276" spans="2:153" ht="12.95" customHeight="1">
      <c r="B276" s="154"/>
      <c r="C276" s="380"/>
      <c r="D276" s="380"/>
      <c r="E276" s="154"/>
      <c r="F276" s="154"/>
      <c r="G276" s="154"/>
      <c r="H276" s="154"/>
      <c r="I276" s="154"/>
      <c r="J276" s="154"/>
      <c r="K276" s="154"/>
      <c r="L276" s="154"/>
      <c r="M276" s="154"/>
      <c r="N276" s="154"/>
      <c r="O276" s="154"/>
      <c r="P276" s="154"/>
      <c r="Q276" s="154"/>
      <c r="R276" s="154"/>
      <c r="S276" s="154"/>
      <c r="T276" s="154"/>
      <c r="U276" s="154"/>
      <c r="V276" s="154"/>
      <c r="W276" s="154"/>
      <c r="X276" s="154"/>
      <c r="Y276" s="154"/>
      <c r="Z276" s="154"/>
      <c r="AA276" s="154"/>
      <c r="AB276" s="154"/>
      <c r="AC276" s="154"/>
      <c r="AD276" s="154"/>
      <c r="AE276" s="154"/>
      <c r="AF276" s="367"/>
      <c r="AG276" s="368"/>
      <c r="AH276" s="368"/>
      <c r="AI276" s="368"/>
      <c r="AJ276" s="154"/>
      <c r="AK276" s="154"/>
      <c r="AL276" s="154"/>
      <c r="AM276" s="154"/>
      <c r="AN276" s="154"/>
      <c r="AO276" s="154"/>
      <c r="AP276" s="154"/>
      <c r="AQ276" s="154"/>
      <c r="AR276" s="154"/>
      <c r="AS276" s="154"/>
      <c r="AT276" s="154"/>
      <c r="AU276" s="154"/>
      <c r="AV276" s="154"/>
      <c r="AW276" s="154"/>
      <c r="AX276" s="154"/>
      <c r="AY276" s="154"/>
      <c r="AZ276" s="154"/>
      <c r="BA276" s="154"/>
      <c r="BB276" s="154"/>
      <c r="BC276" s="154"/>
      <c r="BD276" s="154"/>
      <c r="BE276" s="154"/>
      <c r="BF276" s="154"/>
      <c r="BG276" s="154"/>
      <c r="BH276" s="154"/>
      <c r="BI276" s="154"/>
      <c r="BJ276" s="154"/>
      <c r="BK276" s="154"/>
      <c r="BL276" s="154"/>
      <c r="BM276" s="154"/>
      <c r="BN276" s="154"/>
      <c r="BO276" s="154"/>
      <c r="BP276" s="154"/>
      <c r="BQ276" s="154"/>
      <c r="BR276" s="154"/>
      <c r="BS276" s="154"/>
      <c r="BT276" s="154"/>
      <c r="BU276" s="154"/>
      <c r="BV276" s="154"/>
      <c r="BW276" s="154"/>
      <c r="BX276" s="154"/>
      <c r="BY276" s="154"/>
      <c r="BZ276" s="154"/>
      <c r="CA276" s="154"/>
      <c r="CB276" s="154"/>
      <c r="CC276" s="154"/>
      <c r="CD276" s="154"/>
      <c r="CE276" s="154"/>
      <c r="CF276" s="154"/>
      <c r="CG276" s="154"/>
      <c r="CH276" s="154"/>
      <c r="CI276" s="154"/>
      <c r="CJ276" s="154"/>
      <c r="CK276" s="154"/>
      <c r="CL276" s="154"/>
      <c r="CM276" s="154"/>
      <c r="CN276" s="154"/>
      <c r="CO276" s="154"/>
      <c r="CP276" s="154"/>
      <c r="CQ276" s="154"/>
      <c r="CR276" s="154"/>
      <c r="CS276" s="154"/>
      <c r="CT276" s="154"/>
      <c r="CU276" s="154"/>
      <c r="CV276" s="154"/>
      <c r="CW276" s="154"/>
      <c r="CX276" s="154"/>
      <c r="CY276" s="154"/>
      <c r="CZ276" s="154"/>
      <c r="DA276" s="154"/>
      <c r="DB276" s="154"/>
      <c r="DC276" s="154"/>
      <c r="DD276" s="154"/>
      <c r="DE276" s="154"/>
      <c r="DF276" s="154"/>
      <c r="DG276" s="154"/>
      <c r="DH276" s="154"/>
      <c r="DI276" s="154"/>
      <c r="DJ276" s="154"/>
      <c r="DK276" s="154"/>
      <c r="DL276" s="154"/>
      <c r="DM276" s="154"/>
      <c r="DN276" s="154"/>
      <c r="DO276" s="154"/>
      <c r="DP276" s="154"/>
      <c r="DQ276" s="154"/>
      <c r="DR276" s="154"/>
      <c r="DS276" s="154"/>
      <c r="DT276" s="154"/>
      <c r="DU276" s="154"/>
      <c r="DV276" s="154"/>
      <c r="DW276" s="154"/>
      <c r="DX276" s="154"/>
      <c r="DY276" s="154"/>
      <c r="DZ276" s="154"/>
      <c r="EA276" s="154"/>
      <c r="EB276" s="154"/>
      <c r="EC276" s="154"/>
      <c r="ED276" s="154"/>
      <c r="EE276" s="154"/>
      <c r="EF276" s="154"/>
      <c r="EG276" s="154"/>
      <c r="EH276" s="154"/>
      <c r="EI276" s="154"/>
      <c r="EJ276" s="154"/>
      <c r="EK276" s="154"/>
      <c r="EL276" s="154"/>
      <c r="EM276" s="154"/>
      <c r="EN276" s="154"/>
      <c r="EO276" s="154"/>
      <c r="EP276" s="154"/>
      <c r="EQ276" s="154"/>
      <c r="ER276" s="154"/>
      <c r="ES276" s="154"/>
      <c r="ET276" s="154"/>
      <c r="EU276" s="154"/>
      <c r="EV276" s="154"/>
      <c r="EW276" s="154"/>
    </row>
    <row r="277" spans="2:153" ht="12.95" customHeight="1">
      <c r="B277" s="154"/>
      <c r="C277" s="380"/>
      <c r="D277" s="380"/>
      <c r="E277" s="154"/>
      <c r="F277" s="154"/>
      <c r="G277" s="154"/>
      <c r="H277" s="154"/>
      <c r="I277" s="154"/>
      <c r="J277" s="154"/>
      <c r="K277" s="154"/>
      <c r="L277" s="154"/>
      <c r="M277" s="154"/>
      <c r="N277" s="154"/>
      <c r="O277" s="154"/>
      <c r="P277" s="154"/>
      <c r="Q277" s="154"/>
      <c r="R277" s="154"/>
      <c r="S277" s="154"/>
      <c r="T277" s="154"/>
      <c r="U277" s="154"/>
      <c r="V277" s="154"/>
      <c r="W277" s="154"/>
      <c r="X277" s="154"/>
      <c r="Y277" s="154"/>
      <c r="Z277" s="154"/>
      <c r="AA277" s="154"/>
      <c r="AB277" s="154"/>
      <c r="AC277" s="154"/>
      <c r="AD277" s="154"/>
      <c r="AE277" s="154"/>
      <c r="AF277" s="367"/>
      <c r="AG277" s="368"/>
      <c r="AH277" s="368"/>
      <c r="AI277" s="368"/>
      <c r="AJ277" s="154"/>
      <c r="AK277" s="154"/>
      <c r="AL277" s="154"/>
      <c r="AM277" s="154"/>
      <c r="AN277" s="154"/>
      <c r="AO277" s="154"/>
      <c r="AP277" s="154"/>
      <c r="AQ277" s="154"/>
      <c r="AR277" s="154"/>
      <c r="AS277" s="154"/>
      <c r="AT277" s="154"/>
      <c r="AU277" s="154"/>
      <c r="AV277" s="154"/>
      <c r="AW277" s="154"/>
      <c r="AX277" s="154"/>
      <c r="AY277" s="154"/>
      <c r="AZ277" s="154"/>
      <c r="BA277" s="154"/>
      <c r="BB277" s="154"/>
      <c r="BC277" s="154"/>
      <c r="BD277" s="154"/>
      <c r="BE277" s="154"/>
      <c r="BF277" s="154"/>
      <c r="BG277" s="154"/>
      <c r="BH277" s="154"/>
      <c r="BI277" s="154"/>
      <c r="BJ277" s="154"/>
      <c r="BK277" s="154"/>
      <c r="BL277" s="154"/>
      <c r="BM277" s="154"/>
      <c r="BN277" s="154"/>
      <c r="BO277" s="154"/>
      <c r="BP277" s="154"/>
      <c r="BQ277" s="154"/>
      <c r="BR277" s="154"/>
      <c r="BS277" s="154"/>
      <c r="BT277" s="154"/>
      <c r="BU277" s="154"/>
      <c r="BV277" s="154"/>
      <c r="BW277" s="154"/>
      <c r="BX277" s="154"/>
      <c r="BY277" s="154"/>
      <c r="BZ277" s="154"/>
      <c r="CA277" s="154"/>
      <c r="CB277" s="154"/>
      <c r="CC277" s="154"/>
      <c r="CD277" s="154"/>
      <c r="CE277" s="154"/>
      <c r="CF277" s="154"/>
      <c r="CG277" s="154"/>
      <c r="CH277" s="154"/>
      <c r="CI277" s="154"/>
      <c r="CJ277" s="154"/>
      <c r="CK277" s="154"/>
      <c r="CL277" s="154"/>
      <c r="CM277" s="154"/>
      <c r="CN277" s="154"/>
      <c r="CO277" s="154"/>
      <c r="CP277" s="154"/>
      <c r="CQ277" s="154"/>
      <c r="CR277" s="154"/>
      <c r="CS277" s="154"/>
      <c r="CT277" s="154"/>
      <c r="CU277" s="154"/>
      <c r="CV277" s="154"/>
      <c r="CW277" s="154"/>
      <c r="CX277" s="154"/>
      <c r="CY277" s="154"/>
      <c r="CZ277" s="154"/>
      <c r="DA277" s="154"/>
      <c r="DB277" s="154"/>
      <c r="DC277" s="154"/>
      <c r="DD277" s="154"/>
      <c r="DE277" s="154"/>
      <c r="DF277" s="154"/>
      <c r="DG277" s="154"/>
      <c r="DH277" s="154"/>
      <c r="DI277" s="154"/>
      <c r="DJ277" s="154"/>
      <c r="DK277" s="154"/>
      <c r="DL277" s="154"/>
      <c r="DM277" s="154"/>
      <c r="DN277" s="154"/>
      <c r="DO277" s="154"/>
      <c r="DP277" s="154"/>
      <c r="DQ277" s="154"/>
      <c r="DR277" s="154"/>
      <c r="DS277" s="154"/>
      <c r="DT277" s="154"/>
      <c r="DU277" s="154"/>
      <c r="DV277" s="154"/>
      <c r="DW277" s="154"/>
      <c r="DX277" s="154"/>
      <c r="DY277" s="154"/>
      <c r="DZ277" s="154"/>
      <c r="EA277" s="154"/>
      <c r="EB277" s="154"/>
      <c r="EC277" s="154"/>
      <c r="ED277" s="154"/>
      <c r="EE277" s="154"/>
      <c r="EF277" s="154"/>
      <c r="EG277" s="154"/>
      <c r="EH277" s="154"/>
      <c r="EI277" s="154"/>
      <c r="EJ277" s="154"/>
      <c r="EK277" s="154"/>
      <c r="EL277" s="154"/>
      <c r="EM277" s="154"/>
      <c r="EN277" s="154"/>
      <c r="EO277" s="154"/>
      <c r="EP277" s="154"/>
      <c r="EQ277" s="154"/>
      <c r="ER277" s="154"/>
      <c r="ES277" s="154"/>
      <c r="ET277" s="154"/>
      <c r="EU277" s="154"/>
      <c r="EV277" s="154"/>
      <c r="EW277" s="154"/>
    </row>
    <row r="278" spans="2:153" ht="12.95" customHeight="1">
      <c r="B278" s="154"/>
      <c r="C278" s="380"/>
      <c r="D278" s="380"/>
      <c r="E278" s="154"/>
      <c r="F278" s="154"/>
      <c r="G278" s="154"/>
      <c r="H278" s="154"/>
      <c r="I278" s="154"/>
      <c r="J278" s="154"/>
      <c r="K278" s="154"/>
      <c r="L278" s="154"/>
      <c r="M278" s="154"/>
      <c r="N278" s="154"/>
      <c r="O278" s="154"/>
      <c r="P278" s="154"/>
      <c r="Q278" s="154"/>
      <c r="R278" s="154"/>
      <c r="S278" s="154"/>
      <c r="T278" s="154"/>
      <c r="U278" s="154"/>
      <c r="V278" s="154"/>
      <c r="W278" s="154"/>
      <c r="X278" s="154"/>
      <c r="Y278" s="154"/>
      <c r="Z278" s="154"/>
      <c r="AA278" s="154"/>
      <c r="AB278" s="154"/>
      <c r="AC278" s="154"/>
      <c r="AD278" s="154"/>
      <c r="AE278" s="154"/>
      <c r="AF278" s="367"/>
      <c r="AG278" s="368"/>
      <c r="AH278" s="368"/>
      <c r="AI278" s="368"/>
      <c r="AJ278" s="154"/>
      <c r="AK278" s="154"/>
      <c r="AL278" s="154"/>
      <c r="AM278" s="154"/>
      <c r="AN278" s="154"/>
      <c r="AO278" s="154"/>
      <c r="AP278" s="154"/>
      <c r="AQ278" s="154"/>
      <c r="AR278" s="154"/>
      <c r="AS278" s="154"/>
      <c r="AT278" s="154"/>
      <c r="AU278" s="154"/>
      <c r="AV278" s="154"/>
      <c r="AW278" s="154"/>
      <c r="AX278" s="154"/>
      <c r="AY278" s="154"/>
      <c r="AZ278" s="154"/>
      <c r="BA278" s="154"/>
      <c r="BB278" s="154"/>
      <c r="BC278" s="154"/>
      <c r="BD278" s="154"/>
      <c r="BE278" s="154"/>
      <c r="BF278" s="154"/>
      <c r="BG278" s="154"/>
      <c r="BH278" s="154"/>
      <c r="BI278" s="154"/>
      <c r="BJ278" s="154"/>
      <c r="BK278" s="154"/>
      <c r="BL278" s="154"/>
      <c r="BM278" s="154"/>
      <c r="BN278" s="154"/>
      <c r="BO278" s="154"/>
      <c r="BP278" s="154"/>
      <c r="BQ278" s="154"/>
      <c r="BR278" s="154"/>
      <c r="BS278" s="154"/>
      <c r="BT278" s="154"/>
      <c r="BU278" s="154"/>
      <c r="BV278" s="154"/>
      <c r="BW278" s="154"/>
      <c r="BX278" s="154"/>
      <c r="BY278" s="154"/>
      <c r="BZ278" s="154"/>
      <c r="CA278" s="154"/>
      <c r="CB278" s="154"/>
      <c r="CC278" s="154"/>
      <c r="CD278" s="154"/>
      <c r="CE278" s="154"/>
      <c r="CF278" s="154"/>
      <c r="CG278" s="154"/>
      <c r="CH278" s="154"/>
      <c r="CI278" s="154"/>
      <c r="CJ278" s="154"/>
      <c r="CK278" s="154"/>
      <c r="CL278" s="154"/>
      <c r="CM278" s="154"/>
      <c r="CN278" s="154"/>
      <c r="CO278" s="154"/>
      <c r="CP278" s="154"/>
      <c r="CQ278" s="154"/>
      <c r="CR278" s="154"/>
      <c r="CS278" s="154"/>
      <c r="CT278" s="154"/>
      <c r="CU278" s="154"/>
      <c r="CV278" s="154"/>
      <c r="CW278" s="154"/>
      <c r="CX278" s="154"/>
      <c r="CY278" s="154"/>
      <c r="CZ278" s="154"/>
      <c r="DA278" s="154"/>
      <c r="DB278" s="154"/>
      <c r="DC278" s="154"/>
      <c r="DD278" s="154"/>
      <c r="DE278" s="154"/>
      <c r="DF278" s="154"/>
      <c r="DG278" s="154"/>
      <c r="DH278" s="154"/>
      <c r="DI278" s="154"/>
      <c r="DJ278" s="154"/>
      <c r="DK278" s="154"/>
      <c r="DL278" s="154"/>
      <c r="DM278" s="154"/>
      <c r="DN278" s="154"/>
      <c r="DO278" s="154"/>
      <c r="DP278" s="154"/>
      <c r="DQ278" s="154"/>
      <c r="DR278" s="154"/>
      <c r="DS278" s="154"/>
      <c r="DT278" s="154"/>
      <c r="DU278" s="154"/>
      <c r="DV278" s="154"/>
      <c r="DW278" s="154"/>
      <c r="DX278" s="154"/>
      <c r="DY278" s="154"/>
      <c r="DZ278" s="154"/>
      <c r="EA278" s="154"/>
      <c r="EB278" s="154"/>
      <c r="EC278" s="154"/>
      <c r="ED278" s="154"/>
      <c r="EE278" s="154"/>
      <c r="EF278" s="154"/>
      <c r="EG278" s="154"/>
      <c r="EH278" s="154"/>
      <c r="EI278" s="154"/>
      <c r="EJ278" s="154"/>
      <c r="EK278" s="154"/>
      <c r="EL278" s="154"/>
      <c r="EM278" s="154"/>
      <c r="EN278" s="154"/>
      <c r="EO278" s="154"/>
      <c r="EP278" s="154"/>
      <c r="EQ278" s="154"/>
      <c r="ER278" s="154"/>
      <c r="ES278" s="154"/>
      <c r="ET278" s="154"/>
      <c r="EU278" s="154"/>
      <c r="EV278" s="154"/>
      <c r="EW278" s="154"/>
    </row>
    <row r="279" spans="2:153" ht="12.95" customHeight="1">
      <c r="B279" s="154"/>
      <c r="C279" s="380"/>
      <c r="D279" s="380"/>
      <c r="E279" s="154"/>
      <c r="F279" s="154"/>
      <c r="G279" s="154"/>
      <c r="H279" s="154"/>
      <c r="I279" s="154"/>
      <c r="J279" s="154"/>
      <c r="K279" s="154"/>
      <c r="L279" s="154"/>
      <c r="M279" s="154"/>
      <c r="N279" s="154"/>
      <c r="O279" s="154"/>
      <c r="P279" s="154"/>
      <c r="Q279" s="154"/>
      <c r="R279" s="154"/>
      <c r="S279" s="154"/>
      <c r="T279" s="154"/>
      <c r="U279" s="154"/>
      <c r="V279" s="154"/>
      <c r="W279" s="154"/>
      <c r="X279" s="154"/>
      <c r="Y279" s="154"/>
      <c r="Z279" s="154"/>
      <c r="AA279" s="154"/>
      <c r="AB279" s="154"/>
      <c r="AC279" s="154"/>
      <c r="AD279" s="154"/>
      <c r="AE279" s="154"/>
      <c r="AF279" s="367"/>
      <c r="AG279" s="368"/>
      <c r="AH279" s="368"/>
      <c r="AI279" s="368"/>
      <c r="AJ279" s="154"/>
      <c r="AK279" s="154"/>
      <c r="AL279" s="154"/>
      <c r="AM279" s="154"/>
      <c r="AN279" s="154"/>
      <c r="AO279" s="154"/>
      <c r="AP279" s="154"/>
      <c r="AQ279" s="154"/>
      <c r="AR279" s="154"/>
      <c r="AS279" s="154"/>
      <c r="AT279" s="154"/>
      <c r="AU279" s="154"/>
      <c r="AV279" s="154"/>
      <c r="AW279" s="154"/>
      <c r="AX279" s="154"/>
      <c r="AY279" s="154"/>
      <c r="AZ279" s="154"/>
      <c r="BA279" s="154"/>
      <c r="BB279" s="154"/>
      <c r="BC279" s="154"/>
      <c r="BD279" s="154"/>
      <c r="BE279" s="154"/>
      <c r="BF279" s="154"/>
      <c r="BG279" s="154"/>
      <c r="BH279" s="154"/>
      <c r="BI279" s="154"/>
      <c r="BJ279" s="154"/>
      <c r="BK279" s="154"/>
      <c r="BL279" s="154"/>
      <c r="BM279" s="154"/>
      <c r="BN279" s="154"/>
      <c r="BO279" s="154"/>
      <c r="BP279" s="154"/>
      <c r="BQ279" s="154"/>
      <c r="BR279" s="154"/>
      <c r="BS279" s="154"/>
      <c r="BT279" s="154"/>
      <c r="BU279" s="154"/>
      <c r="BV279" s="154"/>
      <c r="BW279" s="154"/>
      <c r="BX279" s="154"/>
      <c r="BY279" s="154"/>
      <c r="BZ279" s="154"/>
      <c r="CA279" s="154"/>
      <c r="CB279" s="154"/>
      <c r="CC279" s="154"/>
      <c r="CD279" s="154"/>
      <c r="CE279" s="154"/>
      <c r="CF279" s="154"/>
      <c r="CG279" s="154"/>
      <c r="CH279" s="154"/>
      <c r="CI279" s="154"/>
      <c r="CJ279" s="154"/>
      <c r="CK279" s="154"/>
      <c r="CL279" s="154"/>
      <c r="CM279" s="154"/>
      <c r="CN279" s="154"/>
      <c r="CO279" s="154"/>
      <c r="CP279" s="154"/>
      <c r="CQ279" s="154"/>
      <c r="CR279" s="154"/>
      <c r="CS279" s="154"/>
      <c r="CT279" s="154"/>
      <c r="CU279" s="154"/>
      <c r="CV279" s="154"/>
      <c r="CW279" s="154"/>
      <c r="CX279" s="154"/>
      <c r="CY279" s="154"/>
      <c r="CZ279" s="154"/>
      <c r="DA279" s="154"/>
      <c r="DB279" s="154"/>
      <c r="DC279" s="154"/>
      <c r="DD279" s="154"/>
      <c r="DE279" s="154"/>
      <c r="DF279" s="154"/>
      <c r="DG279" s="154"/>
      <c r="DH279" s="154"/>
      <c r="DI279" s="154"/>
      <c r="DJ279" s="154"/>
      <c r="DK279" s="154"/>
      <c r="DL279" s="154"/>
      <c r="DM279" s="154"/>
      <c r="DN279" s="154"/>
      <c r="DO279" s="154"/>
      <c r="DP279" s="154"/>
      <c r="DQ279" s="154"/>
      <c r="DR279" s="154"/>
      <c r="DS279" s="154"/>
      <c r="DT279" s="154"/>
      <c r="DU279" s="154"/>
      <c r="DV279" s="154"/>
      <c r="DW279" s="154"/>
      <c r="DX279" s="154"/>
      <c r="DY279" s="154"/>
      <c r="DZ279" s="154"/>
      <c r="EA279" s="154"/>
      <c r="EB279" s="154"/>
      <c r="EC279" s="154"/>
      <c r="ED279" s="154"/>
      <c r="EE279" s="154"/>
      <c r="EF279" s="154"/>
      <c r="EG279" s="154"/>
      <c r="EH279" s="154"/>
      <c r="EI279" s="154"/>
      <c r="EJ279" s="154"/>
      <c r="EK279" s="154"/>
      <c r="EL279" s="154"/>
      <c r="EM279" s="154"/>
      <c r="EN279" s="154"/>
      <c r="EO279" s="154"/>
      <c r="EP279" s="154"/>
      <c r="EQ279" s="154"/>
      <c r="ER279" s="154"/>
      <c r="ES279" s="154"/>
      <c r="ET279" s="154"/>
      <c r="EU279" s="154"/>
      <c r="EV279" s="154"/>
      <c r="EW279" s="154"/>
    </row>
    <row r="280" spans="2:153" ht="12.95" customHeight="1">
      <c r="B280" s="154"/>
      <c r="C280" s="380"/>
      <c r="D280" s="380"/>
      <c r="E280" s="154"/>
      <c r="F280" s="154"/>
      <c r="G280" s="154"/>
      <c r="H280" s="154"/>
      <c r="I280" s="154"/>
      <c r="J280" s="154"/>
      <c r="K280" s="154"/>
      <c r="L280" s="154"/>
      <c r="M280" s="154"/>
      <c r="N280" s="154"/>
      <c r="O280" s="154"/>
      <c r="P280" s="154"/>
      <c r="Q280" s="154"/>
      <c r="R280" s="154"/>
      <c r="S280" s="154"/>
      <c r="T280" s="154"/>
      <c r="U280" s="154"/>
      <c r="V280" s="154"/>
      <c r="W280" s="154"/>
      <c r="X280" s="154"/>
      <c r="Y280" s="154"/>
      <c r="Z280" s="154"/>
      <c r="AA280" s="154"/>
      <c r="AB280" s="154"/>
      <c r="AC280" s="154"/>
      <c r="AD280" s="154"/>
      <c r="AE280" s="154"/>
      <c r="AF280" s="367"/>
      <c r="AG280" s="368"/>
      <c r="AH280" s="368"/>
      <c r="AI280" s="368"/>
      <c r="AJ280" s="154"/>
      <c r="AK280" s="154"/>
      <c r="AL280" s="154"/>
      <c r="AM280" s="154"/>
      <c r="AN280" s="154"/>
      <c r="AO280" s="154"/>
      <c r="AP280" s="154"/>
      <c r="AQ280" s="154"/>
      <c r="AR280" s="154"/>
      <c r="AS280" s="154"/>
      <c r="AT280" s="154"/>
      <c r="AU280" s="154"/>
      <c r="AV280" s="154"/>
      <c r="AW280" s="154"/>
      <c r="AX280" s="154"/>
      <c r="AY280" s="154"/>
      <c r="AZ280" s="154"/>
      <c r="BA280" s="154"/>
      <c r="BB280" s="154"/>
      <c r="BC280" s="154"/>
      <c r="BD280" s="154"/>
      <c r="BE280" s="154"/>
      <c r="BF280" s="154"/>
      <c r="BG280" s="154"/>
      <c r="BH280" s="154"/>
      <c r="BI280" s="154"/>
      <c r="BJ280" s="154"/>
      <c r="BK280" s="154"/>
      <c r="BL280" s="154"/>
      <c r="BM280" s="154"/>
      <c r="BN280" s="154"/>
      <c r="BO280" s="154"/>
      <c r="BP280" s="154"/>
      <c r="BQ280" s="154"/>
      <c r="BR280" s="154"/>
      <c r="BS280" s="154"/>
      <c r="BT280" s="154"/>
      <c r="BU280" s="154"/>
      <c r="BV280" s="154"/>
      <c r="BW280" s="154"/>
      <c r="BX280" s="154"/>
      <c r="BY280" s="154"/>
      <c r="BZ280" s="154"/>
      <c r="CA280" s="154"/>
      <c r="CB280" s="154"/>
      <c r="CC280" s="154"/>
      <c r="CD280" s="154"/>
      <c r="CE280" s="154"/>
      <c r="CF280" s="154"/>
      <c r="CG280" s="154"/>
      <c r="CH280" s="154"/>
      <c r="CI280" s="154"/>
      <c r="CJ280" s="154"/>
      <c r="CK280" s="154"/>
      <c r="CL280" s="154"/>
      <c r="CM280" s="154"/>
      <c r="CN280" s="154"/>
      <c r="CO280" s="154"/>
      <c r="CP280" s="154"/>
      <c r="CQ280" s="154"/>
      <c r="CR280" s="154"/>
      <c r="CS280" s="154"/>
      <c r="CT280" s="154"/>
      <c r="CU280" s="154"/>
      <c r="CV280" s="154"/>
      <c r="CW280" s="154"/>
      <c r="CX280" s="154"/>
      <c r="CY280" s="154"/>
      <c r="CZ280" s="154"/>
      <c r="DA280" s="154"/>
      <c r="DB280" s="154"/>
      <c r="DC280" s="154"/>
      <c r="DD280" s="154"/>
      <c r="DE280" s="154"/>
      <c r="DF280" s="154"/>
      <c r="DG280" s="154"/>
      <c r="DH280" s="154"/>
      <c r="DI280" s="154"/>
      <c r="DJ280" s="154"/>
      <c r="DK280" s="154"/>
      <c r="DL280" s="154"/>
      <c r="DM280" s="154"/>
      <c r="DN280" s="154"/>
      <c r="DO280" s="154"/>
      <c r="DP280" s="154"/>
      <c r="DQ280" s="154"/>
      <c r="DR280" s="154"/>
      <c r="DS280" s="154"/>
      <c r="DT280" s="154"/>
      <c r="DU280" s="154"/>
      <c r="DV280" s="154"/>
      <c r="DW280" s="154"/>
      <c r="DX280" s="154"/>
      <c r="DY280" s="154"/>
      <c r="DZ280" s="154"/>
      <c r="EA280" s="154"/>
      <c r="EB280" s="154"/>
      <c r="EC280" s="154"/>
      <c r="ED280" s="154"/>
      <c r="EE280" s="154"/>
      <c r="EF280" s="154"/>
      <c r="EG280" s="154"/>
      <c r="EH280" s="154"/>
      <c r="EI280" s="154"/>
      <c r="EJ280" s="154"/>
      <c r="EK280" s="154"/>
      <c r="EL280" s="154"/>
      <c r="EM280" s="154"/>
      <c r="EN280" s="154"/>
      <c r="EO280" s="154"/>
      <c r="EP280" s="154"/>
      <c r="EQ280" s="154"/>
      <c r="ER280" s="154"/>
      <c r="ES280" s="154"/>
      <c r="ET280" s="154"/>
      <c r="EU280" s="154"/>
      <c r="EV280" s="154"/>
      <c r="EW280" s="154"/>
    </row>
    <row r="281" spans="2:153" ht="12.95" customHeight="1">
      <c r="B281" s="154"/>
      <c r="C281" s="380"/>
      <c r="D281" s="380"/>
      <c r="E281" s="154"/>
      <c r="F281" s="154"/>
      <c r="G281" s="154"/>
      <c r="H281" s="154"/>
      <c r="I281" s="154"/>
      <c r="J281" s="154"/>
      <c r="K281" s="154"/>
      <c r="L281" s="154"/>
      <c r="M281" s="154"/>
      <c r="N281" s="154"/>
      <c r="O281" s="154"/>
      <c r="P281" s="154"/>
      <c r="Q281" s="154"/>
      <c r="R281" s="154"/>
      <c r="S281" s="154"/>
      <c r="T281" s="154"/>
      <c r="U281" s="154"/>
      <c r="V281" s="154"/>
      <c r="W281" s="154"/>
      <c r="X281" s="154"/>
      <c r="Y281" s="154"/>
      <c r="Z281" s="154"/>
      <c r="AA281" s="154"/>
      <c r="AB281" s="154"/>
      <c r="AC281" s="154"/>
      <c r="AD281" s="154"/>
      <c r="AE281" s="154"/>
      <c r="AF281" s="367"/>
      <c r="AG281" s="368"/>
      <c r="AH281" s="368"/>
      <c r="AI281" s="368"/>
      <c r="AJ281" s="154"/>
      <c r="AK281" s="154"/>
      <c r="AL281" s="154"/>
      <c r="AM281" s="154"/>
      <c r="AN281" s="154"/>
      <c r="AO281" s="154"/>
      <c r="AP281" s="154"/>
      <c r="AQ281" s="154"/>
      <c r="AR281" s="154"/>
      <c r="AS281" s="154"/>
      <c r="AT281" s="154"/>
      <c r="AU281" s="154"/>
      <c r="AV281" s="154"/>
      <c r="AW281" s="154"/>
      <c r="AX281" s="154"/>
      <c r="AY281" s="154"/>
      <c r="AZ281" s="154"/>
      <c r="BA281" s="154"/>
      <c r="BB281" s="154"/>
      <c r="BC281" s="154"/>
      <c r="BD281" s="154"/>
      <c r="BE281" s="154"/>
      <c r="BF281" s="154"/>
      <c r="BG281" s="154"/>
      <c r="BH281" s="154"/>
      <c r="BI281" s="154"/>
      <c r="BJ281" s="154"/>
      <c r="BK281" s="154"/>
      <c r="BL281" s="154"/>
      <c r="BM281" s="154"/>
      <c r="BN281" s="154"/>
      <c r="BO281" s="154"/>
      <c r="BP281" s="154"/>
      <c r="BQ281" s="154"/>
      <c r="BR281" s="154"/>
      <c r="BS281" s="154"/>
      <c r="BT281" s="154"/>
      <c r="BU281" s="154"/>
      <c r="BV281" s="154"/>
      <c r="BW281" s="154"/>
      <c r="BX281" s="154"/>
      <c r="BY281" s="154"/>
      <c r="BZ281" s="154"/>
      <c r="CA281" s="154"/>
      <c r="CB281" s="154"/>
      <c r="CC281" s="154"/>
      <c r="CD281" s="154"/>
      <c r="CE281" s="154"/>
      <c r="CF281" s="154"/>
      <c r="CG281" s="154"/>
      <c r="CH281" s="154"/>
      <c r="CI281" s="154"/>
      <c r="CJ281" s="154"/>
      <c r="CK281" s="154"/>
      <c r="CL281" s="154"/>
      <c r="CM281" s="154"/>
      <c r="CN281" s="154"/>
      <c r="CO281" s="154"/>
      <c r="CP281" s="154"/>
      <c r="CQ281" s="154"/>
      <c r="CR281" s="154"/>
      <c r="CS281" s="154"/>
      <c r="CT281" s="154"/>
      <c r="CU281" s="154"/>
      <c r="CV281" s="154"/>
      <c r="CW281" s="154"/>
      <c r="CX281" s="154"/>
      <c r="CY281" s="154"/>
      <c r="CZ281" s="154"/>
      <c r="DA281" s="154"/>
      <c r="DB281" s="154"/>
      <c r="DC281" s="154"/>
      <c r="DD281" s="154"/>
      <c r="DE281" s="154"/>
      <c r="DF281" s="154"/>
      <c r="DG281" s="154"/>
      <c r="DH281" s="154"/>
      <c r="DI281" s="154"/>
      <c r="DJ281" s="154"/>
      <c r="DK281" s="154"/>
      <c r="DL281" s="154"/>
      <c r="DM281" s="154"/>
      <c r="DN281" s="154"/>
      <c r="DO281" s="154"/>
      <c r="DP281" s="154"/>
      <c r="DQ281" s="154"/>
      <c r="DR281" s="154"/>
      <c r="DS281" s="154"/>
      <c r="DT281" s="154"/>
      <c r="DU281" s="154"/>
      <c r="DV281" s="154"/>
      <c r="DW281" s="154"/>
      <c r="DX281" s="154"/>
      <c r="DY281" s="154"/>
      <c r="DZ281" s="154"/>
      <c r="EA281" s="154"/>
      <c r="EB281" s="154"/>
      <c r="EC281" s="154"/>
      <c r="ED281" s="154"/>
      <c r="EE281" s="154"/>
      <c r="EF281" s="154"/>
      <c r="EG281" s="154"/>
      <c r="EH281" s="154"/>
      <c r="EI281" s="154"/>
      <c r="EJ281" s="154"/>
      <c r="EK281" s="154"/>
      <c r="EL281" s="154"/>
      <c r="EM281" s="154"/>
      <c r="EN281" s="154"/>
      <c r="EO281" s="154"/>
      <c r="EP281" s="154"/>
      <c r="EQ281" s="154"/>
      <c r="ER281" s="154"/>
      <c r="ES281" s="154"/>
      <c r="ET281" s="154"/>
      <c r="EU281" s="154"/>
      <c r="EV281" s="154"/>
      <c r="EW281" s="154"/>
    </row>
    <row r="282" spans="2:153" ht="12.95" customHeight="1">
      <c r="B282" s="154"/>
      <c r="C282" s="380"/>
      <c r="D282" s="380"/>
      <c r="E282" s="154"/>
      <c r="F282" s="154"/>
      <c r="G282" s="154"/>
      <c r="H282" s="154"/>
      <c r="I282" s="154"/>
      <c r="J282" s="154"/>
      <c r="K282" s="154"/>
      <c r="L282" s="154"/>
      <c r="M282" s="154"/>
      <c r="N282" s="154"/>
      <c r="O282" s="154"/>
      <c r="P282" s="154"/>
      <c r="Q282" s="154"/>
      <c r="R282" s="154"/>
      <c r="S282" s="154"/>
      <c r="T282" s="154"/>
      <c r="U282" s="154"/>
      <c r="V282" s="154"/>
      <c r="W282" s="154"/>
      <c r="X282" s="154"/>
      <c r="Y282" s="154"/>
      <c r="Z282" s="154"/>
      <c r="AA282" s="154"/>
      <c r="AB282" s="154"/>
      <c r="AC282" s="154"/>
      <c r="AD282" s="154"/>
      <c r="AE282" s="154"/>
      <c r="AF282" s="367"/>
      <c r="AG282" s="368"/>
      <c r="AH282" s="368"/>
      <c r="AI282" s="368"/>
      <c r="AJ282" s="154"/>
      <c r="AK282" s="154"/>
      <c r="AL282" s="154"/>
      <c r="AM282" s="154"/>
      <c r="AN282" s="154"/>
      <c r="AO282" s="154"/>
      <c r="AP282" s="154"/>
      <c r="AQ282" s="154"/>
      <c r="AR282" s="154"/>
      <c r="AS282" s="154"/>
      <c r="AT282" s="154"/>
      <c r="AU282" s="154"/>
      <c r="AV282" s="154"/>
      <c r="AW282" s="154"/>
      <c r="AX282" s="154"/>
      <c r="AY282" s="154"/>
      <c r="AZ282" s="154"/>
      <c r="BA282" s="154"/>
      <c r="BB282" s="154"/>
      <c r="BC282" s="154"/>
      <c r="BD282" s="154"/>
      <c r="BE282" s="154"/>
      <c r="BF282" s="154"/>
      <c r="BG282" s="154"/>
      <c r="BH282" s="154"/>
      <c r="BI282" s="154"/>
      <c r="BJ282" s="154"/>
      <c r="BK282" s="154"/>
      <c r="BL282" s="154"/>
      <c r="BM282" s="154"/>
      <c r="BN282" s="154"/>
      <c r="BO282" s="154"/>
      <c r="BP282" s="154"/>
      <c r="BQ282" s="154"/>
      <c r="BR282" s="154"/>
      <c r="BS282" s="154"/>
      <c r="BT282" s="154"/>
      <c r="BU282" s="154"/>
      <c r="BV282" s="154"/>
      <c r="BW282" s="154"/>
      <c r="BX282" s="154"/>
      <c r="BY282" s="154"/>
      <c r="BZ282" s="154"/>
      <c r="CA282" s="154"/>
      <c r="CB282" s="154"/>
      <c r="CC282" s="154"/>
      <c r="CD282" s="154"/>
      <c r="CE282" s="154"/>
      <c r="CF282" s="154"/>
      <c r="CG282" s="154"/>
      <c r="CH282" s="154"/>
      <c r="CI282" s="154"/>
      <c r="CJ282" s="154"/>
      <c r="CK282" s="154"/>
      <c r="CL282" s="154"/>
      <c r="CM282" s="154"/>
      <c r="CN282" s="154"/>
      <c r="CO282" s="154"/>
      <c r="CP282" s="154"/>
      <c r="CQ282" s="154"/>
      <c r="CR282" s="154"/>
      <c r="CS282" s="154"/>
      <c r="CT282" s="154"/>
      <c r="CU282" s="154"/>
      <c r="CV282" s="154"/>
      <c r="CW282" s="154"/>
      <c r="CX282" s="154"/>
      <c r="CY282" s="154"/>
      <c r="CZ282" s="154"/>
      <c r="DA282" s="154"/>
      <c r="DB282" s="154"/>
      <c r="DC282" s="154"/>
      <c r="DD282" s="154"/>
      <c r="DE282" s="154"/>
      <c r="DF282" s="154"/>
      <c r="DG282" s="154"/>
      <c r="DH282" s="154"/>
      <c r="DI282" s="154"/>
      <c r="DJ282" s="154"/>
      <c r="DK282" s="154"/>
      <c r="DL282" s="154"/>
      <c r="DM282" s="154"/>
      <c r="DN282" s="154"/>
      <c r="DO282" s="154"/>
      <c r="DP282" s="154"/>
      <c r="DQ282" s="154"/>
      <c r="DR282" s="154"/>
      <c r="DS282" s="154"/>
      <c r="DT282" s="154"/>
      <c r="DU282" s="154"/>
      <c r="DV282" s="154"/>
      <c r="DW282" s="154"/>
      <c r="DX282" s="154"/>
      <c r="DY282" s="154"/>
      <c r="DZ282" s="154"/>
      <c r="EA282" s="154"/>
      <c r="EB282" s="154"/>
      <c r="EC282" s="154"/>
      <c r="ED282" s="154"/>
      <c r="EE282" s="154"/>
      <c r="EF282" s="154"/>
      <c r="EG282" s="154"/>
      <c r="EH282" s="154"/>
      <c r="EI282" s="154"/>
      <c r="EJ282" s="154"/>
      <c r="EK282" s="154"/>
      <c r="EL282" s="154"/>
      <c r="EM282" s="154"/>
      <c r="EN282" s="154"/>
      <c r="EO282" s="154"/>
      <c r="EP282" s="154"/>
      <c r="EQ282" s="154"/>
      <c r="ER282" s="154"/>
      <c r="ES282" s="154"/>
      <c r="ET282" s="154"/>
      <c r="EU282" s="154"/>
      <c r="EV282" s="154"/>
      <c r="EW282" s="154"/>
    </row>
    <row r="283" spans="2:153" ht="12.95" customHeight="1">
      <c r="P283" s="154"/>
      <c r="Q283" s="154"/>
      <c r="R283" s="154"/>
      <c r="S283" s="154"/>
      <c r="T283" s="154"/>
      <c r="U283" s="154"/>
      <c r="V283" s="154"/>
      <c r="W283" s="154"/>
      <c r="X283" s="154"/>
      <c r="Y283" s="154"/>
      <c r="Z283" s="154"/>
      <c r="AA283" s="154"/>
      <c r="AB283" s="154"/>
      <c r="AC283" s="154"/>
      <c r="AD283" s="154"/>
      <c r="AE283" s="154"/>
      <c r="AF283" s="367"/>
      <c r="AG283" s="368"/>
      <c r="AH283" s="368"/>
      <c r="AI283" s="368"/>
      <c r="AJ283" s="154"/>
      <c r="AK283" s="154"/>
      <c r="AL283" s="154"/>
      <c r="AM283" s="154"/>
      <c r="AN283" s="154"/>
      <c r="AO283" s="154"/>
      <c r="AP283" s="154"/>
      <c r="AQ283" s="154"/>
      <c r="AR283" s="154"/>
      <c r="AS283" s="154"/>
      <c r="AT283" s="154"/>
      <c r="AU283" s="154"/>
      <c r="AV283" s="154"/>
      <c r="AW283" s="154"/>
      <c r="AX283" s="154"/>
      <c r="AY283" s="154"/>
      <c r="AZ283" s="154"/>
      <c r="BA283" s="154"/>
      <c r="BB283" s="154"/>
      <c r="BC283" s="154"/>
      <c r="BD283" s="154"/>
      <c r="BE283" s="154"/>
      <c r="BF283" s="154"/>
      <c r="BG283" s="154"/>
      <c r="BH283" s="154"/>
      <c r="BI283" s="154"/>
      <c r="BJ283" s="154"/>
      <c r="BK283" s="154"/>
      <c r="BL283" s="154"/>
      <c r="BM283" s="154"/>
      <c r="BN283" s="154"/>
      <c r="BO283" s="154"/>
      <c r="BP283" s="154"/>
      <c r="BQ283" s="154"/>
      <c r="BR283" s="154"/>
      <c r="BS283" s="154"/>
      <c r="BT283" s="154"/>
      <c r="BU283" s="154"/>
      <c r="BV283" s="154"/>
      <c r="BW283" s="154"/>
      <c r="BX283" s="154"/>
      <c r="BY283" s="154"/>
      <c r="BZ283" s="154"/>
      <c r="CA283" s="154"/>
      <c r="CB283" s="154"/>
      <c r="CC283" s="154"/>
      <c r="CD283" s="154"/>
      <c r="CE283" s="154"/>
      <c r="CF283" s="154"/>
      <c r="CG283" s="154"/>
      <c r="CH283" s="154"/>
      <c r="CI283" s="154"/>
      <c r="CJ283" s="154"/>
      <c r="CK283" s="154"/>
      <c r="CL283" s="154"/>
      <c r="CM283" s="154"/>
      <c r="CN283" s="154"/>
      <c r="CO283" s="154"/>
      <c r="CP283" s="154"/>
      <c r="CQ283" s="154"/>
      <c r="CR283" s="154"/>
      <c r="CS283" s="154"/>
      <c r="CT283" s="154"/>
      <c r="CU283" s="154"/>
      <c r="CV283" s="154"/>
      <c r="CW283" s="154"/>
      <c r="CX283" s="154"/>
      <c r="CY283" s="154"/>
      <c r="CZ283" s="154"/>
      <c r="DA283" s="154"/>
      <c r="DB283" s="154"/>
      <c r="DC283" s="154"/>
      <c r="DD283" s="154"/>
      <c r="DE283" s="154"/>
      <c r="DF283" s="154"/>
      <c r="DG283" s="154"/>
      <c r="DH283" s="154"/>
      <c r="DI283" s="154"/>
      <c r="DJ283" s="154"/>
      <c r="DK283" s="154"/>
      <c r="DL283" s="154"/>
      <c r="DM283" s="154"/>
      <c r="DN283" s="154"/>
      <c r="DO283" s="154"/>
      <c r="DP283" s="154"/>
      <c r="DQ283" s="154"/>
      <c r="DR283" s="154"/>
      <c r="DS283" s="154"/>
      <c r="DT283" s="154"/>
      <c r="DU283" s="154"/>
      <c r="DV283" s="154"/>
      <c r="DW283" s="154"/>
      <c r="DX283" s="154"/>
      <c r="DY283" s="154"/>
      <c r="DZ283" s="154"/>
      <c r="EA283" s="154"/>
      <c r="EB283" s="154"/>
      <c r="EC283" s="154"/>
      <c r="ED283" s="154"/>
      <c r="EE283" s="154"/>
      <c r="EF283" s="154"/>
      <c r="EG283" s="154"/>
      <c r="EH283" s="154"/>
      <c r="EI283" s="154"/>
      <c r="EJ283" s="154"/>
      <c r="EK283" s="154"/>
      <c r="EL283" s="154"/>
      <c r="EM283" s="154"/>
      <c r="EN283" s="154"/>
      <c r="EO283" s="154"/>
      <c r="EP283" s="154"/>
      <c r="EQ283" s="154"/>
      <c r="ER283" s="154"/>
      <c r="ES283" s="154"/>
      <c r="ET283" s="154"/>
      <c r="EU283" s="154"/>
      <c r="EV283" s="154"/>
      <c r="EW283" s="154"/>
    </row>
    <row r="284" spans="2:153" ht="12.95" customHeight="1">
      <c r="P284" s="154"/>
      <c r="Q284" s="154"/>
      <c r="R284" s="154"/>
      <c r="S284" s="154"/>
      <c r="T284" s="154"/>
      <c r="U284" s="154"/>
      <c r="V284" s="154"/>
      <c r="W284" s="154"/>
      <c r="X284" s="154"/>
      <c r="Y284" s="154"/>
      <c r="Z284" s="154"/>
      <c r="AA284" s="154"/>
      <c r="AB284" s="154"/>
      <c r="AC284" s="154"/>
      <c r="AD284" s="154"/>
      <c r="AE284" s="154"/>
      <c r="AF284" s="367"/>
      <c r="AG284" s="368"/>
      <c r="AH284" s="368"/>
      <c r="AI284" s="368"/>
      <c r="AJ284" s="154"/>
      <c r="AK284" s="154"/>
      <c r="AL284" s="154"/>
      <c r="AM284" s="154"/>
      <c r="AN284" s="154"/>
      <c r="AO284" s="154"/>
      <c r="AP284" s="154"/>
      <c r="AQ284" s="154"/>
      <c r="AR284" s="154"/>
      <c r="AS284" s="154"/>
      <c r="AT284" s="154"/>
      <c r="AU284" s="154"/>
      <c r="AV284" s="154"/>
      <c r="AW284" s="154"/>
      <c r="AX284" s="154"/>
      <c r="AY284" s="154"/>
      <c r="AZ284" s="154"/>
      <c r="BA284" s="154"/>
      <c r="BB284" s="154"/>
      <c r="BC284" s="154"/>
      <c r="BD284" s="154"/>
      <c r="BE284" s="154"/>
      <c r="BF284" s="154"/>
      <c r="BG284" s="154"/>
      <c r="BH284" s="154"/>
      <c r="BI284" s="154"/>
      <c r="BJ284" s="154"/>
      <c r="BK284" s="154"/>
      <c r="BL284" s="154"/>
      <c r="BM284" s="154"/>
      <c r="BN284" s="154"/>
      <c r="BO284" s="154"/>
      <c r="BP284" s="154"/>
      <c r="BQ284" s="154"/>
      <c r="BR284" s="154"/>
      <c r="BS284" s="154"/>
      <c r="BT284" s="154"/>
      <c r="BU284" s="154"/>
      <c r="BV284" s="154"/>
      <c r="BW284" s="154"/>
      <c r="BX284" s="154"/>
      <c r="BY284" s="154"/>
      <c r="BZ284" s="154"/>
      <c r="CA284" s="154"/>
      <c r="CB284" s="154"/>
      <c r="CC284" s="154"/>
      <c r="CD284" s="154"/>
      <c r="CE284" s="154"/>
      <c r="CF284" s="154"/>
      <c r="CG284" s="154"/>
      <c r="CH284" s="154"/>
      <c r="CI284" s="154"/>
      <c r="CJ284" s="154"/>
      <c r="CK284" s="154"/>
      <c r="CL284" s="154"/>
      <c r="CM284" s="154"/>
      <c r="CN284" s="154"/>
      <c r="CO284" s="154"/>
      <c r="CP284" s="154"/>
      <c r="CQ284" s="154"/>
      <c r="CR284" s="154"/>
      <c r="CS284" s="154"/>
      <c r="CT284" s="154"/>
      <c r="CU284" s="154"/>
      <c r="CV284" s="154"/>
      <c r="CW284" s="154"/>
      <c r="CX284" s="154"/>
      <c r="CY284" s="154"/>
      <c r="CZ284" s="154"/>
      <c r="DA284" s="154"/>
      <c r="DB284" s="154"/>
      <c r="DC284" s="154"/>
      <c r="DD284" s="154"/>
      <c r="DE284" s="154"/>
      <c r="DF284" s="154"/>
      <c r="DG284" s="154"/>
      <c r="DH284" s="154"/>
      <c r="DI284" s="154"/>
      <c r="DJ284" s="154"/>
      <c r="DK284" s="154"/>
      <c r="DL284" s="154"/>
      <c r="DM284" s="154"/>
      <c r="DN284" s="154"/>
      <c r="DO284" s="154"/>
      <c r="DP284" s="154"/>
      <c r="DQ284" s="154"/>
      <c r="DR284" s="154"/>
      <c r="DS284" s="154"/>
      <c r="DT284" s="154"/>
      <c r="DU284" s="154"/>
      <c r="DV284" s="154"/>
      <c r="DW284" s="154"/>
      <c r="DX284" s="154"/>
      <c r="DY284" s="154"/>
      <c r="DZ284" s="154"/>
      <c r="EA284" s="154"/>
      <c r="EB284" s="154"/>
      <c r="EC284" s="154"/>
      <c r="ED284" s="154"/>
      <c r="EE284" s="154"/>
      <c r="EF284" s="154"/>
      <c r="EG284" s="154"/>
      <c r="EH284" s="154"/>
      <c r="EI284" s="154"/>
      <c r="EJ284" s="154"/>
      <c r="EK284" s="154"/>
      <c r="EL284" s="154"/>
      <c r="EM284" s="154"/>
      <c r="EN284" s="154"/>
      <c r="EO284" s="154"/>
      <c r="EP284" s="154"/>
      <c r="EQ284" s="154"/>
      <c r="ER284" s="154"/>
      <c r="ES284" s="154"/>
      <c r="ET284" s="154"/>
      <c r="EU284" s="154"/>
      <c r="EV284" s="154"/>
      <c r="EW284" s="154"/>
    </row>
    <row r="285" spans="2:153" ht="12.95" customHeight="1">
      <c r="P285" s="154"/>
      <c r="Q285" s="154"/>
      <c r="R285" s="154"/>
      <c r="S285" s="154"/>
      <c r="T285" s="154"/>
      <c r="U285" s="154"/>
      <c r="V285" s="154"/>
      <c r="W285" s="154"/>
      <c r="X285" s="154"/>
      <c r="Y285" s="154"/>
      <c r="Z285" s="154"/>
      <c r="AA285" s="154"/>
      <c r="AB285" s="154"/>
      <c r="AC285" s="154"/>
      <c r="AD285" s="154"/>
      <c r="AE285" s="154"/>
      <c r="AF285" s="367"/>
      <c r="AG285" s="368"/>
      <c r="AH285" s="368"/>
      <c r="AI285" s="368"/>
      <c r="AJ285" s="154"/>
      <c r="AK285" s="154"/>
      <c r="AL285" s="154"/>
      <c r="AM285" s="154"/>
      <c r="AN285" s="154"/>
      <c r="AO285" s="154"/>
      <c r="AP285" s="154"/>
      <c r="AQ285" s="154"/>
      <c r="AR285" s="154"/>
      <c r="AS285" s="154"/>
      <c r="AT285" s="154"/>
      <c r="AU285" s="154"/>
      <c r="AV285" s="154"/>
      <c r="AW285" s="154"/>
      <c r="AX285" s="154"/>
      <c r="AY285" s="154"/>
      <c r="AZ285" s="154"/>
      <c r="BA285" s="154"/>
      <c r="BB285" s="154"/>
      <c r="BC285" s="154"/>
      <c r="BD285" s="154"/>
      <c r="BE285" s="154"/>
      <c r="BF285" s="154"/>
      <c r="BG285" s="154"/>
      <c r="BH285" s="154"/>
      <c r="BI285" s="154"/>
      <c r="BJ285" s="154"/>
      <c r="BK285" s="154"/>
      <c r="BL285" s="154"/>
      <c r="BM285" s="154"/>
      <c r="BN285" s="154"/>
      <c r="BO285" s="154"/>
      <c r="BP285" s="154"/>
      <c r="BQ285" s="154"/>
      <c r="BR285" s="154"/>
      <c r="BS285" s="154"/>
      <c r="BT285" s="154"/>
      <c r="BU285" s="154"/>
      <c r="BV285" s="154"/>
      <c r="BW285" s="154"/>
      <c r="BX285" s="154"/>
      <c r="BY285" s="154"/>
      <c r="BZ285" s="154"/>
      <c r="CA285" s="154"/>
      <c r="CB285" s="154"/>
      <c r="CC285" s="154"/>
      <c r="CD285" s="154"/>
      <c r="CE285" s="154"/>
      <c r="CF285" s="154"/>
      <c r="CG285" s="154"/>
      <c r="CH285" s="154"/>
      <c r="CI285" s="154"/>
      <c r="CJ285" s="154"/>
      <c r="CK285" s="154"/>
      <c r="CL285" s="154"/>
      <c r="CM285" s="154"/>
      <c r="CN285" s="154"/>
      <c r="CO285" s="154"/>
      <c r="CP285" s="154"/>
      <c r="CQ285" s="154"/>
      <c r="CR285" s="154"/>
      <c r="CS285" s="154"/>
      <c r="CT285" s="154"/>
      <c r="CU285" s="154"/>
      <c r="CV285" s="154"/>
      <c r="CW285" s="154"/>
      <c r="CX285" s="154"/>
      <c r="CY285" s="154"/>
      <c r="CZ285" s="154"/>
      <c r="DA285" s="154"/>
      <c r="DB285" s="154"/>
      <c r="DC285" s="154"/>
      <c r="DD285" s="154"/>
      <c r="DE285" s="154"/>
      <c r="DF285" s="154"/>
      <c r="DG285" s="154"/>
      <c r="DH285" s="154"/>
      <c r="DI285" s="154"/>
      <c r="DJ285" s="154"/>
      <c r="DK285" s="154"/>
      <c r="DL285" s="154"/>
      <c r="DM285" s="154"/>
      <c r="DN285" s="154"/>
      <c r="DO285" s="154"/>
      <c r="DP285" s="154"/>
      <c r="DQ285" s="154"/>
      <c r="DR285" s="154"/>
      <c r="DS285" s="154"/>
      <c r="DT285" s="154"/>
      <c r="DU285" s="154"/>
      <c r="DV285" s="154"/>
      <c r="DW285" s="154"/>
      <c r="DX285" s="154"/>
      <c r="DY285" s="154"/>
      <c r="DZ285" s="154"/>
      <c r="EA285" s="154"/>
      <c r="EB285" s="154"/>
      <c r="EC285" s="154"/>
      <c r="ED285" s="154"/>
      <c r="EE285" s="154"/>
      <c r="EF285" s="154"/>
      <c r="EG285" s="154"/>
      <c r="EH285" s="154"/>
      <c r="EI285" s="154"/>
      <c r="EJ285" s="154"/>
      <c r="EK285" s="154"/>
      <c r="EL285" s="154"/>
      <c r="EM285" s="154"/>
      <c r="EN285" s="154"/>
      <c r="EO285" s="154"/>
      <c r="EP285" s="154"/>
      <c r="EQ285" s="154"/>
      <c r="ER285" s="154"/>
      <c r="ES285" s="154"/>
      <c r="ET285" s="154"/>
      <c r="EU285" s="154"/>
      <c r="EV285" s="154"/>
      <c r="EW285" s="154"/>
    </row>
    <row r="286" spans="2:153" ht="12.95" customHeight="1">
      <c r="P286" s="154"/>
      <c r="Q286" s="154"/>
      <c r="R286" s="154"/>
      <c r="S286" s="154"/>
      <c r="T286" s="154"/>
      <c r="U286" s="154"/>
      <c r="V286" s="154"/>
      <c r="W286" s="154"/>
      <c r="X286" s="154"/>
      <c r="Y286" s="154"/>
      <c r="Z286" s="154"/>
      <c r="AA286" s="154"/>
      <c r="AB286" s="154"/>
      <c r="AC286" s="154"/>
      <c r="AD286" s="154"/>
      <c r="AE286" s="154"/>
      <c r="AF286" s="367"/>
      <c r="AG286" s="368"/>
      <c r="AH286" s="368"/>
      <c r="AI286" s="368"/>
      <c r="AJ286" s="154"/>
      <c r="AK286" s="154"/>
      <c r="AL286" s="154"/>
      <c r="AM286" s="154"/>
      <c r="AN286" s="154"/>
      <c r="AO286" s="154"/>
      <c r="AP286" s="154"/>
      <c r="AQ286" s="154"/>
      <c r="AR286" s="154"/>
      <c r="AS286" s="154"/>
      <c r="AT286" s="154"/>
      <c r="AU286" s="154"/>
      <c r="AV286" s="154"/>
      <c r="AW286" s="154"/>
      <c r="AX286" s="154"/>
      <c r="AY286" s="154"/>
      <c r="AZ286" s="154"/>
      <c r="BA286" s="154"/>
      <c r="BB286" s="154"/>
      <c r="BC286" s="154"/>
      <c r="BD286" s="154"/>
      <c r="BE286" s="154"/>
      <c r="BF286" s="154"/>
      <c r="BG286" s="154"/>
      <c r="BH286" s="154"/>
      <c r="BI286" s="154"/>
      <c r="BJ286" s="154"/>
      <c r="BK286" s="154"/>
      <c r="BL286" s="154"/>
      <c r="BM286" s="154"/>
      <c r="BN286" s="154"/>
      <c r="BO286" s="154"/>
      <c r="BP286" s="154"/>
      <c r="BQ286" s="154"/>
      <c r="BR286" s="154"/>
      <c r="BS286" s="154"/>
      <c r="BT286" s="154"/>
      <c r="BU286" s="154"/>
      <c r="BV286" s="154"/>
      <c r="BW286" s="154"/>
      <c r="BX286" s="154"/>
      <c r="BY286" s="154"/>
      <c r="BZ286" s="154"/>
      <c r="CA286" s="154"/>
      <c r="CB286" s="154"/>
      <c r="CC286" s="154"/>
      <c r="CD286" s="154"/>
      <c r="CE286" s="154"/>
      <c r="CF286" s="154"/>
      <c r="CG286" s="154"/>
      <c r="CH286" s="154"/>
      <c r="CI286" s="154"/>
      <c r="CJ286" s="154"/>
      <c r="CK286" s="154"/>
      <c r="CL286" s="154"/>
      <c r="CM286" s="154"/>
      <c r="CN286" s="154"/>
      <c r="CO286" s="154"/>
      <c r="CP286" s="154"/>
      <c r="CQ286" s="154"/>
      <c r="CR286" s="154"/>
      <c r="CS286" s="154"/>
      <c r="CT286" s="154"/>
      <c r="CU286" s="154"/>
      <c r="CV286" s="154"/>
      <c r="CW286" s="154"/>
      <c r="CX286" s="154"/>
      <c r="CY286" s="154"/>
      <c r="CZ286" s="154"/>
      <c r="DA286" s="154"/>
      <c r="DB286" s="154"/>
      <c r="DC286" s="154"/>
      <c r="DD286" s="154"/>
      <c r="DE286" s="154"/>
      <c r="DF286" s="154"/>
      <c r="DG286" s="154"/>
      <c r="DH286" s="154"/>
      <c r="DI286" s="154"/>
      <c r="DJ286" s="154"/>
      <c r="DK286" s="154"/>
      <c r="DL286" s="154"/>
      <c r="DM286" s="154"/>
      <c r="DN286" s="154"/>
      <c r="DO286" s="154"/>
      <c r="DP286" s="154"/>
      <c r="DQ286" s="154"/>
      <c r="DR286" s="154"/>
      <c r="DS286" s="154"/>
      <c r="DT286" s="154"/>
      <c r="DU286" s="154"/>
      <c r="DV286" s="154"/>
      <c r="DW286" s="154"/>
      <c r="DX286" s="154"/>
      <c r="DY286" s="154"/>
      <c r="DZ286" s="154"/>
      <c r="EA286" s="154"/>
      <c r="EB286" s="154"/>
      <c r="EC286" s="154"/>
      <c r="ED286" s="154"/>
      <c r="EE286" s="154"/>
      <c r="EF286" s="154"/>
      <c r="EG286" s="154"/>
      <c r="EH286" s="154"/>
      <c r="EI286" s="154"/>
      <c r="EJ286" s="154"/>
      <c r="EK286" s="154"/>
      <c r="EL286" s="154"/>
      <c r="EM286" s="154"/>
      <c r="EN286" s="154"/>
      <c r="EO286" s="154"/>
      <c r="EP286" s="154"/>
      <c r="EQ286" s="154"/>
      <c r="ER286" s="154"/>
      <c r="ES286" s="154"/>
      <c r="ET286" s="154"/>
      <c r="EU286" s="154"/>
      <c r="EV286" s="154"/>
      <c r="EW286" s="154"/>
    </row>
    <row r="287" spans="2:153" ht="12.95" customHeight="1">
      <c r="P287" s="154"/>
      <c r="Q287" s="154"/>
      <c r="R287" s="154"/>
      <c r="S287" s="154"/>
      <c r="T287" s="154"/>
      <c r="U287" s="154"/>
      <c r="V287" s="154"/>
      <c r="W287" s="154"/>
      <c r="X287" s="154"/>
      <c r="Y287" s="154"/>
      <c r="Z287" s="154"/>
      <c r="AA287" s="154"/>
      <c r="AB287" s="154"/>
      <c r="AC287" s="154"/>
      <c r="AD287" s="154"/>
      <c r="AE287" s="154"/>
      <c r="AF287" s="367"/>
      <c r="AG287" s="368"/>
      <c r="AH287" s="368"/>
      <c r="AI287" s="368"/>
      <c r="AJ287" s="154"/>
      <c r="AK287" s="154"/>
      <c r="AL287" s="154"/>
      <c r="AM287" s="154"/>
      <c r="AN287" s="154"/>
      <c r="AO287" s="154"/>
      <c r="AP287" s="154"/>
      <c r="AQ287" s="154"/>
      <c r="AR287" s="154"/>
      <c r="AS287" s="154"/>
      <c r="AT287" s="154"/>
      <c r="AU287" s="154"/>
      <c r="AV287" s="154"/>
      <c r="AW287" s="154"/>
      <c r="AX287" s="154"/>
      <c r="AY287" s="154"/>
      <c r="AZ287" s="154"/>
      <c r="BA287" s="154"/>
      <c r="BB287" s="154"/>
      <c r="BC287" s="154"/>
      <c r="BD287" s="154"/>
      <c r="BE287" s="154"/>
      <c r="BF287" s="154"/>
      <c r="BG287" s="154"/>
      <c r="BH287" s="154"/>
      <c r="BI287" s="154"/>
      <c r="BJ287" s="154"/>
      <c r="BK287" s="154"/>
      <c r="BL287" s="154"/>
      <c r="BM287" s="154"/>
      <c r="BN287" s="154"/>
      <c r="BO287" s="154"/>
      <c r="BP287" s="154"/>
      <c r="BQ287" s="154"/>
      <c r="BR287" s="154"/>
      <c r="BS287" s="154"/>
      <c r="BT287" s="154"/>
      <c r="BU287" s="154"/>
      <c r="BV287" s="154"/>
      <c r="BW287" s="154"/>
      <c r="BX287" s="154"/>
      <c r="BY287" s="154"/>
      <c r="BZ287" s="154"/>
      <c r="CA287" s="154"/>
      <c r="CB287" s="154"/>
      <c r="CC287" s="154"/>
      <c r="CD287" s="154"/>
      <c r="CE287" s="154"/>
      <c r="CF287" s="154"/>
      <c r="CG287" s="154"/>
      <c r="CH287" s="154"/>
      <c r="CI287" s="154"/>
      <c r="CJ287" s="154"/>
      <c r="CK287" s="154"/>
      <c r="CL287" s="154"/>
      <c r="CM287" s="154"/>
      <c r="CN287" s="154"/>
      <c r="CO287" s="154"/>
      <c r="CP287" s="154"/>
      <c r="CQ287" s="154"/>
      <c r="CR287" s="154"/>
      <c r="CS287" s="154"/>
      <c r="CT287" s="154"/>
      <c r="CU287" s="154"/>
      <c r="CV287" s="154"/>
      <c r="CW287" s="154"/>
      <c r="CX287" s="154"/>
      <c r="CY287" s="154"/>
      <c r="CZ287" s="154"/>
      <c r="DA287" s="154"/>
      <c r="DB287" s="154"/>
      <c r="DC287" s="154"/>
      <c r="DD287" s="154"/>
      <c r="DE287" s="154"/>
      <c r="DF287" s="154"/>
      <c r="DG287" s="154"/>
      <c r="DH287" s="154"/>
      <c r="DI287" s="154"/>
      <c r="DJ287" s="154"/>
      <c r="DK287" s="154"/>
      <c r="DL287" s="154"/>
      <c r="DM287" s="154"/>
      <c r="DN287" s="154"/>
      <c r="DO287" s="154"/>
      <c r="DP287" s="154"/>
      <c r="DQ287" s="154"/>
      <c r="DR287" s="154"/>
      <c r="DS287" s="154"/>
      <c r="DT287" s="154"/>
      <c r="DU287" s="154"/>
      <c r="DV287" s="154"/>
      <c r="DW287" s="154"/>
      <c r="DX287" s="154"/>
      <c r="DY287" s="154"/>
      <c r="DZ287" s="154"/>
      <c r="EA287" s="154"/>
      <c r="EB287" s="154"/>
      <c r="EC287" s="154"/>
      <c r="ED287" s="154"/>
      <c r="EE287" s="154"/>
      <c r="EF287" s="154"/>
      <c r="EG287" s="154"/>
      <c r="EH287" s="154"/>
      <c r="EI287" s="154"/>
      <c r="EJ287" s="154"/>
      <c r="EK287" s="154"/>
      <c r="EL287" s="154"/>
      <c r="EM287" s="154"/>
      <c r="EN287" s="154"/>
      <c r="EO287" s="154"/>
      <c r="EP287" s="154"/>
      <c r="EQ287" s="154"/>
      <c r="ER287" s="154"/>
      <c r="ES287" s="154"/>
      <c r="ET287" s="154"/>
      <c r="EU287" s="154"/>
      <c r="EV287" s="154"/>
      <c r="EW287" s="154"/>
    </row>
    <row r="288" spans="2:153" ht="12.95" customHeight="1">
      <c r="P288" s="154"/>
      <c r="Q288" s="154"/>
      <c r="R288" s="154"/>
      <c r="S288" s="154"/>
      <c r="T288" s="154"/>
      <c r="U288" s="154"/>
      <c r="V288" s="154"/>
      <c r="W288" s="154"/>
      <c r="X288" s="154"/>
      <c r="Y288" s="154"/>
      <c r="Z288" s="154"/>
      <c r="AA288" s="154"/>
      <c r="AB288" s="154"/>
      <c r="AC288" s="154"/>
      <c r="AD288" s="154"/>
      <c r="AE288" s="154"/>
      <c r="AF288" s="367"/>
      <c r="AG288" s="368"/>
      <c r="AH288" s="368"/>
      <c r="AI288" s="368"/>
      <c r="AJ288" s="154"/>
      <c r="AK288" s="154"/>
      <c r="AL288" s="154"/>
      <c r="AM288" s="154"/>
      <c r="AN288" s="154"/>
      <c r="AO288" s="154"/>
      <c r="AP288" s="154"/>
      <c r="AQ288" s="154"/>
      <c r="AR288" s="154"/>
      <c r="AS288" s="154"/>
      <c r="AT288" s="154"/>
      <c r="AU288" s="154"/>
      <c r="AV288" s="154"/>
      <c r="AW288" s="154"/>
      <c r="AX288" s="154"/>
      <c r="AY288" s="154"/>
      <c r="AZ288" s="154"/>
      <c r="BA288" s="154"/>
      <c r="BB288" s="154"/>
      <c r="BC288" s="154"/>
      <c r="BD288" s="154"/>
      <c r="BE288" s="154"/>
      <c r="BF288" s="154"/>
      <c r="BG288" s="154"/>
      <c r="BH288" s="154"/>
      <c r="BI288" s="154"/>
      <c r="BJ288" s="154"/>
      <c r="BK288" s="154"/>
      <c r="BL288" s="154"/>
      <c r="BM288" s="154"/>
      <c r="BN288" s="154"/>
      <c r="BO288" s="154"/>
      <c r="BP288" s="154"/>
      <c r="BQ288" s="154"/>
      <c r="BR288" s="154"/>
      <c r="BS288" s="154"/>
      <c r="BT288" s="154"/>
      <c r="BU288" s="154"/>
      <c r="BV288" s="154"/>
      <c r="BW288" s="154"/>
      <c r="BX288" s="154"/>
      <c r="BY288" s="154"/>
      <c r="BZ288" s="154"/>
      <c r="CA288" s="154"/>
      <c r="CB288" s="154"/>
      <c r="CC288" s="154"/>
      <c r="CD288" s="154"/>
      <c r="CE288" s="154"/>
      <c r="CF288" s="154"/>
      <c r="CG288" s="154"/>
      <c r="CH288" s="154"/>
      <c r="CI288" s="154"/>
      <c r="CJ288" s="154"/>
      <c r="CK288" s="154"/>
      <c r="CL288" s="154"/>
      <c r="CM288" s="154"/>
      <c r="CN288" s="154"/>
      <c r="CO288" s="154"/>
      <c r="CP288" s="154"/>
      <c r="CQ288" s="154"/>
      <c r="CR288" s="154"/>
      <c r="CS288" s="154"/>
      <c r="CT288" s="154"/>
      <c r="CU288" s="154"/>
      <c r="CV288" s="154"/>
      <c r="CW288" s="154"/>
      <c r="CX288" s="154"/>
      <c r="CY288" s="154"/>
      <c r="CZ288" s="154"/>
      <c r="DA288" s="154"/>
      <c r="DB288" s="154"/>
      <c r="DC288" s="154"/>
      <c r="DD288" s="154"/>
      <c r="DE288" s="154"/>
      <c r="DF288" s="154"/>
      <c r="DG288" s="154"/>
      <c r="DH288" s="154"/>
      <c r="DI288" s="154"/>
      <c r="DJ288" s="154"/>
      <c r="DK288" s="154"/>
      <c r="DL288" s="154"/>
      <c r="DM288" s="154"/>
      <c r="DN288" s="154"/>
      <c r="DO288" s="154"/>
      <c r="DP288" s="154"/>
      <c r="DQ288" s="154"/>
      <c r="DR288" s="154"/>
      <c r="DS288" s="154"/>
      <c r="DT288" s="154"/>
      <c r="DU288" s="154"/>
      <c r="DV288" s="154"/>
      <c r="DW288" s="154"/>
      <c r="DX288" s="154"/>
      <c r="DY288" s="154"/>
      <c r="DZ288" s="154"/>
      <c r="EA288" s="154"/>
      <c r="EB288" s="154"/>
      <c r="EC288" s="154"/>
      <c r="ED288" s="154"/>
      <c r="EE288" s="154"/>
      <c r="EF288" s="154"/>
      <c r="EG288" s="154"/>
      <c r="EH288" s="154"/>
      <c r="EI288" s="154"/>
      <c r="EJ288" s="154"/>
      <c r="EK288" s="154"/>
      <c r="EL288" s="154"/>
      <c r="EM288" s="154"/>
      <c r="EN288" s="154"/>
      <c r="EO288" s="154"/>
      <c r="EP288" s="154"/>
      <c r="EQ288" s="154"/>
      <c r="ER288" s="154"/>
      <c r="ES288" s="154"/>
      <c r="ET288" s="154"/>
      <c r="EU288" s="154"/>
      <c r="EV288" s="154"/>
      <c r="EW288" s="154"/>
    </row>
    <row r="289" spans="16:153" ht="12.95" customHeight="1">
      <c r="P289" s="154"/>
      <c r="Q289" s="154"/>
      <c r="R289" s="154"/>
      <c r="S289" s="154"/>
      <c r="T289" s="154"/>
      <c r="U289" s="154"/>
      <c r="V289" s="154"/>
      <c r="W289" s="154"/>
      <c r="X289" s="154"/>
      <c r="Y289" s="154"/>
      <c r="Z289" s="154"/>
      <c r="AA289" s="154"/>
      <c r="AB289" s="154"/>
      <c r="AC289" s="154"/>
      <c r="AD289" s="154"/>
      <c r="AE289" s="154"/>
      <c r="AF289" s="367"/>
      <c r="AG289" s="368"/>
      <c r="AH289" s="368"/>
      <c r="AI289" s="368"/>
      <c r="AJ289" s="154"/>
      <c r="AK289" s="154"/>
      <c r="AL289" s="154"/>
      <c r="AM289" s="154"/>
      <c r="AN289" s="154"/>
      <c r="AO289" s="154"/>
      <c r="AP289" s="154"/>
      <c r="AQ289" s="154"/>
      <c r="AR289" s="154"/>
      <c r="AS289" s="154"/>
      <c r="AT289" s="154"/>
      <c r="AU289" s="154"/>
      <c r="AV289" s="154"/>
      <c r="AW289" s="154"/>
      <c r="AX289" s="154"/>
      <c r="AY289" s="154"/>
      <c r="AZ289" s="154"/>
      <c r="BA289" s="154"/>
      <c r="BB289" s="154"/>
      <c r="BC289" s="154"/>
      <c r="BD289" s="154"/>
      <c r="BE289" s="154"/>
      <c r="BF289" s="154"/>
      <c r="BG289" s="154"/>
      <c r="BH289" s="154"/>
      <c r="BI289" s="154"/>
      <c r="BJ289" s="154"/>
      <c r="BK289" s="154"/>
      <c r="BL289" s="154"/>
      <c r="BM289" s="154"/>
      <c r="BN289" s="154"/>
      <c r="BO289" s="154"/>
      <c r="BP289" s="154"/>
      <c r="BQ289" s="154"/>
      <c r="BR289" s="154"/>
      <c r="BS289" s="154"/>
      <c r="BT289" s="154"/>
      <c r="BU289" s="154"/>
      <c r="BV289" s="154"/>
      <c r="BW289" s="154"/>
      <c r="BX289" s="154"/>
      <c r="BY289" s="154"/>
      <c r="BZ289" s="154"/>
      <c r="CA289" s="154"/>
      <c r="CB289" s="154"/>
      <c r="CC289" s="154"/>
      <c r="CD289" s="154"/>
      <c r="CE289" s="154"/>
      <c r="CF289" s="154"/>
      <c r="CG289" s="154"/>
      <c r="CH289" s="154"/>
      <c r="CI289" s="154"/>
      <c r="CJ289" s="154"/>
      <c r="CK289" s="154"/>
      <c r="CL289" s="154"/>
      <c r="CM289" s="154"/>
      <c r="CN289" s="154"/>
      <c r="CO289" s="154"/>
      <c r="CP289" s="154"/>
      <c r="CQ289" s="154"/>
      <c r="CR289" s="154"/>
      <c r="CS289" s="154"/>
      <c r="CT289" s="154"/>
      <c r="CU289" s="154"/>
      <c r="CV289" s="154"/>
      <c r="CW289" s="154"/>
      <c r="CX289" s="154"/>
      <c r="CY289" s="154"/>
      <c r="CZ289" s="154"/>
      <c r="DA289" s="154"/>
      <c r="DB289" s="154"/>
      <c r="DC289" s="154"/>
      <c r="DD289" s="154"/>
      <c r="DE289" s="154"/>
      <c r="DF289" s="154"/>
      <c r="DG289" s="154"/>
      <c r="DH289" s="154"/>
      <c r="DI289" s="154"/>
      <c r="DJ289" s="154"/>
      <c r="DK289" s="154"/>
      <c r="DL289" s="154"/>
      <c r="DM289" s="154"/>
      <c r="DN289" s="154"/>
      <c r="DO289" s="154"/>
      <c r="DP289" s="154"/>
      <c r="DQ289" s="154"/>
      <c r="DR289" s="154"/>
      <c r="DS289" s="154"/>
      <c r="DT289" s="154"/>
      <c r="DU289" s="154"/>
      <c r="DV289" s="154"/>
      <c r="DW289" s="154"/>
      <c r="DX289" s="154"/>
      <c r="DY289" s="154"/>
      <c r="DZ289" s="154"/>
      <c r="EA289" s="154"/>
      <c r="EB289" s="154"/>
      <c r="EC289" s="154"/>
      <c r="ED289" s="154"/>
      <c r="EE289" s="154"/>
      <c r="EF289" s="154"/>
      <c r="EG289" s="154"/>
      <c r="EH289" s="154"/>
      <c r="EI289" s="154"/>
      <c r="EJ289" s="154"/>
      <c r="EK289" s="154"/>
      <c r="EL289" s="154"/>
      <c r="EM289" s="154"/>
      <c r="EN289" s="154"/>
      <c r="EO289" s="154"/>
      <c r="EP289" s="154"/>
      <c r="EQ289" s="154"/>
      <c r="ER289" s="154"/>
      <c r="ES289" s="154"/>
      <c r="ET289" s="154"/>
      <c r="EU289" s="154"/>
      <c r="EV289" s="154"/>
      <c r="EW289" s="154"/>
    </row>
    <row r="290" spans="16:153" ht="12.95" customHeight="1">
      <c r="P290" s="154"/>
      <c r="Q290" s="154"/>
      <c r="R290" s="154"/>
      <c r="S290" s="154"/>
      <c r="T290" s="154"/>
      <c r="U290" s="154"/>
      <c r="V290" s="154"/>
      <c r="W290" s="154"/>
      <c r="X290" s="154"/>
      <c r="Y290" s="154"/>
      <c r="Z290" s="154"/>
      <c r="AA290" s="154"/>
      <c r="AB290" s="154"/>
      <c r="AC290" s="154"/>
      <c r="AD290" s="154"/>
      <c r="AE290" s="154"/>
      <c r="AF290" s="367"/>
      <c r="AG290" s="368"/>
      <c r="AH290" s="368"/>
      <c r="AI290" s="368"/>
      <c r="AJ290" s="154"/>
      <c r="AK290" s="154"/>
      <c r="AL290" s="154"/>
      <c r="AM290" s="154"/>
      <c r="AN290" s="154"/>
      <c r="AO290" s="154"/>
      <c r="AP290" s="154"/>
      <c r="AQ290" s="154"/>
      <c r="AR290" s="154"/>
      <c r="AS290" s="154"/>
      <c r="AT290" s="154"/>
      <c r="AU290" s="154"/>
      <c r="AV290" s="154"/>
      <c r="AW290" s="154"/>
      <c r="AX290" s="154"/>
      <c r="AY290" s="154"/>
      <c r="AZ290" s="154"/>
      <c r="BA290" s="154"/>
      <c r="BB290" s="154"/>
      <c r="BC290" s="154"/>
      <c r="BD290" s="154"/>
      <c r="BE290" s="154"/>
      <c r="BF290" s="154"/>
      <c r="BG290" s="154"/>
      <c r="BH290" s="154"/>
      <c r="BI290" s="154"/>
      <c r="BJ290" s="154"/>
      <c r="BK290" s="154"/>
      <c r="BL290" s="154"/>
      <c r="BM290" s="154"/>
      <c r="BN290" s="154"/>
      <c r="BO290" s="154"/>
      <c r="BP290" s="154"/>
      <c r="BQ290" s="154"/>
      <c r="BR290" s="154"/>
      <c r="BS290" s="154"/>
      <c r="BT290" s="154"/>
      <c r="BU290" s="154"/>
      <c r="BV290" s="154"/>
      <c r="BW290" s="154"/>
      <c r="BX290" s="154"/>
      <c r="BY290" s="154"/>
      <c r="BZ290" s="154"/>
      <c r="CA290" s="154"/>
      <c r="CB290" s="154"/>
      <c r="CC290" s="154"/>
      <c r="CD290" s="154"/>
      <c r="CE290" s="154"/>
      <c r="CF290" s="154"/>
      <c r="CG290" s="154"/>
      <c r="CH290" s="154"/>
      <c r="CI290" s="154"/>
      <c r="CJ290" s="154"/>
      <c r="CK290" s="154"/>
      <c r="CL290" s="154"/>
      <c r="CM290" s="154"/>
      <c r="CN290" s="154"/>
      <c r="CO290" s="154"/>
      <c r="CP290" s="154"/>
      <c r="CQ290" s="154"/>
      <c r="CR290" s="154"/>
      <c r="CS290" s="154"/>
      <c r="CT290" s="154"/>
      <c r="CU290" s="154"/>
      <c r="CV290" s="154"/>
      <c r="CW290" s="154"/>
      <c r="CX290" s="154"/>
      <c r="CY290" s="154"/>
      <c r="CZ290" s="154"/>
      <c r="DA290" s="154"/>
      <c r="DB290" s="154"/>
      <c r="DC290" s="154"/>
      <c r="DD290" s="154"/>
      <c r="DE290" s="154"/>
      <c r="DF290" s="154"/>
      <c r="DG290" s="154"/>
      <c r="DH290" s="154"/>
      <c r="DI290" s="154"/>
      <c r="DJ290" s="154"/>
      <c r="DK290" s="154"/>
      <c r="DL290" s="154"/>
      <c r="DM290" s="154"/>
      <c r="DN290" s="154"/>
      <c r="DO290" s="154"/>
      <c r="DP290" s="154"/>
      <c r="DQ290" s="154"/>
      <c r="DR290" s="154"/>
      <c r="DS290" s="154"/>
      <c r="DT290" s="154"/>
      <c r="DU290" s="154"/>
      <c r="DV290" s="154"/>
      <c r="DW290" s="154"/>
      <c r="DX290" s="154"/>
      <c r="DY290" s="154"/>
      <c r="DZ290" s="154"/>
      <c r="EA290" s="154"/>
      <c r="EB290" s="154"/>
      <c r="EC290" s="154"/>
      <c r="ED290" s="154"/>
      <c r="EE290" s="154"/>
      <c r="EF290" s="154"/>
      <c r="EG290" s="154"/>
      <c r="EH290" s="154"/>
      <c r="EI290" s="154"/>
      <c r="EJ290" s="154"/>
      <c r="EK290" s="154"/>
      <c r="EL290" s="154"/>
      <c r="EM290" s="154"/>
      <c r="EN290" s="154"/>
      <c r="EO290" s="154"/>
      <c r="EP290" s="154"/>
      <c r="EQ290" s="154"/>
      <c r="ER290" s="154"/>
      <c r="ES290" s="154"/>
      <c r="ET290" s="154"/>
      <c r="EU290" s="154"/>
      <c r="EV290" s="154"/>
      <c r="EW290" s="154"/>
    </row>
    <row r="291" spans="16:153" ht="12.95" customHeight="1">
      <c r="P291" s="154"/>
      <c r="Q291" s="154"/>
      <c r="R291" s="154"/>
      <c r="S291" s="154"/>
      <c r="T291" s="154"/>
      <c r="U291" s="154"/>
      <c r="V291" s="154"/>
      <c r="W291" s="154"/>
      <c r="X291" s="154"/>
      <c r="Y291" s="154"/>
      <c r="Z291" s="154"/>
      <c r="AA291" s="154"/>
      <c r="AB291" s="154"/>
      <c r="AC291" s="154"/>
      <c r="AD291" s="154"/>
      <c r="AE291" s="154"/>
      <c r="AF291" s="367"/>
      <c r="AG291" s="368"/>
      <c r="AH291" s="368"/>
      <c r="AI291" s="368"/>
      <c r="AJ291" s="154"/>
      <c r="AK291" s="154"/>
      <c r="AL291" s="154"/>
      <c r="AM291" s="154"/>
      <c r="AN291" s="154"/>
      <c r="AO291" s="154"/>
      <c r="AP291" s="154"/>
      <c r="AQ291" s="154"/>
      <c r="AR291" s="154"/>
      <c r="AS291" s="154"/>
      <c r="AT291" s="154"/>
      <c r="AU291" s="154"/>
      <c r="AV291" s="154"/>
      <c r="AW291" s="154"/>
      <c r="AX291" s="154"/>
      <c r="AY291" s="154"/>
      <c r="AZ291" s="154"/>
      <c r="BA291" s="154"/>
      <c r="BB291" s="154"/>
      <c r="BC291" s="154"/>
      <c r="BD291" s="154"/>
      <c r="BE291" s="154"/>
      <c r="BF291" s="154"/>
      <c r="BG291" s="154"/>
      <c r="BH291" s="154"/>
      <c r="BI291" s="154"/>
      <c r="BJ291" s="154"/>
      <c r="BK291" s="154"/>
      <c r="BL291" s="154"/>
      <c r="BM291" s="154"/>
      <c r="BN291" s="154"/>
      <c r="BO291" s="154"/>
      <c r="BP291" s="154"/>
      <c r="BQ291" s="154"/>
      <c r="BR291" s="154"/>
      <c r="BS291" s="154"/>
      <c r="BT291" s="154"/>
      <c r="BU291" s="154"/>
      <c r="BV291" s="154"/>
      <c r="BW291" s="154"/>
      <c r="BX291" s="154"/>
      <c r="BY291" s="154"/>
      <c r="BZ291" s="154"/>
      <c r="CA291" s="154"/>
      <c r="CB291" s="154"/>
      <c r="CC291" s="154"/>
      <c r="CD291" s="154"/>
      <c r="CE291" s="154"/>
      <c r="CF291" s="154"/>
      <c r="CG291" s="154"/>
      <c r="CH291" s="154"/>
      <c r="CI291" s="154"/>
      <c r="CJ291" s="154"/>
      <c r="CK291" s="154"/>
      <c r="CL291" s="154"/>
      <c r="CM291" s="154"/>
      <c r="CN291" s="154"/>
      <c r="CO291" s="154"/>
      <c r="CP291" s="154"/>
      <c r="CQ291" s="154"/>
      <c r="CR291" s="154"/>
      <c r="CS291" s="154"/>
      <c r="CT291" s="154"/>
      <c r="CU291" s="154"/>
      <c r="CV291" s="154"/>
      <c r="CW291" s="154"/>
      <c r="CX291" s="154"/>
      <c r="CY291" s="154"/>
      <c r="CZ291" s="154"/>
      <c r="DA291" s="154"/>
      <c r="DB291" s="154"/>
      <c r="DC291" s="154"/>
      <c r="DD291" s="154"/>
      <c r="DE291" s="154"/>
      <c r="DF291" s="154"/>
      <c r="DG291" s="154"/>
      <c r="DH291" s="154"/>
      <c r="DI291" s="154"/>
      <c r="DJ291" s="154"/>
      <c r="DK291" s="154"/>
      <c r="DL291" s="154"/>
      <c r="DM291" s="154"/>
      <c r="DN291" s="154"/>
      <c r="DO291" s="154"/>
      <c r="DP291" s="154"/>
      <c r="DQ291" s="154"/>
      <c r="DR291" s="154"/>
      <c r="DS291" s="154"/>
      <c r="DT291" s="154"/>
      <c r="DU291" s="154"/>
      <c r="DV291" s="154"/>
      <c r="DW291" s="154"/>
      <c r="DX291" s="154"/>
      <c r="DY291" s="154"/>
      <c r="DZ291" s="154"/>
      <c r="EA291" s="154"/>
      <c r="EB291" s="154"/>
      <c r="EC291" s="154"/>
      <c r="ED291" s="154"/>
      <c r="EE291" s="154"/>
      <c r="EF291" s="154"/>
      <c r="EG291" s="154"/>
      <c r="EH291" s="154"/>
      <c r="EI291" s="154"/>
      <c r="EJ291" s="154"/>
      <c r="EK291" s="154"/>
      <c r="EL291" s="154"/>
      <c r="EM291" s="154"/>
      <c r="EN291" s="154"/>
      <c r="EO291" s="154"/>
      <c r="EP291" s="154"/>
      <c r="EQ291" s="154"/>
      <c r="ER291" s="154"/>
      <c r="ES291" s="154"/>
      <c r="ET291" s="154"/>
      <c r="EU291" s="154"/>
      <c r="EV291" s="154"/>
      <c r="EW291" s="154"/>
    </row>
    <row r="292" spans="16:153" ht="12.95" customHeight="1">
      <c r="P292" s="154"/>
      <c r="Q292" s="154"/>
      <c r="R292" s="154"/>
      <c r="S292" s="154"/>
      <c r="T292" s="154"/>
      <c r="U292" s="154"/>
      <c r="V292" s="154"/>
      <c r="W292" s="154"/>
      <c r="X292" s="154"/>
      <c r="Y292" s="154"/>
      <c r="Z292" s="154"/>
      <c r="AA292" s="154"/>
      <c r="AB292" s="154"/>
      <c r="AC292" s="154"/>
      <c r="AD292" s="154"/>
      <c r="AE292" s="154"/>
      <c r="AF292" s="367"/>
      <c r="AG292" s="368"/>
      <c r="AH292" s="368"/>
      <c r="AI292" s="368"/>
      <c r="AJ292" s="154"/>
      <c r="AK292" s="154"/>
      <c r="AL292" s="154"/>
      <c r="AM292" s="154"/>
      <c r="AN292" s="154"/>
      <c r="AO292" s="154"/>
      <c r="AP292" s="154"/>
      <c r="AQ292" s="154"/>
      <c r="AR292" s="154"/>
      <c r="AS292" s="154"/>
      <c r="AT292" s="154"/>
      <c r="AU292" s="154"/>
      <c r="AV292" s="154"/>
      <c r="AW292" s="154"/>
      <c r="AX292" s="154"/>
      <c r="AY292" s="154"/>
      <c r="AZ292" s="154"/>
      <c r="BA292" s="154"/>
      <c r="BB292" s="154"/>
      <c r="BC292" s="154"/>
      <c r="BD292" s="154"/>
      <c r="BE292" s="154"/>
      <c r="BF292" s="154"/>
      <c r="BG292" s="154"/>
      <c r="BH292" s="154"/>
      <c r="BI292" s="154"/>
      <c r="BJ292" s="154"/>
      <c r="BK292" s="154"/>
      <c r="BL292" s="154"/>
      <c r="BM292" s="154"/>
      <c r="BN292" s="154"/>
      <c r="BO292" s="154"/>
      <c r="BP292" s="154"/>
      <c r="BQ292" s="154"/>
      <c r="BR292" s="154"/>
      <c r="BS292" s="154"/>
      <c r="BT292" s="154"/>
      <c r="BU292" s="154"/>
      <c r="BV292" s="154"/>
      <c r="BW292" s="154"/>
      <c r="BX292" s="154"/>
      <c r="BY292" s="154"/>
      <c r="BZ292" s="154"/>
      <c r="CA292" s="154"/>
      <c r="CB292" s="154"/>
      <c r="CC292" s="154"/>
      <c r="CD292" s="154"/>
      <c r="CE292" s="154"/>
      <c r="CF292" s="154"/>
      <c r="CG292" s="154"/>
      <c r="CH292" s="154"/>
      <c r="CI292" s="154"/>
      <c r="CJ292" s="154"/>
      <c r="CK292" s="154"/>
      <c r="CL292" s="154"/>
      <c r="CM292" s="154"/>
      <c r="CN292" s="154"/>
      <c r="CO292" s="154"/>
      <c r="CP292" s="154"/>
      <c r="CQ292" s="154"/>
      <c r="CR292" s="154"/>
      <c r="CS292" s="154"/>
      <c r="CT292" s="154"/>
      <c r="CU292" s="154"/>
      <c r="CV292" s="154"/>
      <c r="CW292" s="154"/>
      <c r="CX292" s="154"/>
      <c r="CY292" s="154"/>
      <c r="CZ292" s="154"/>
      <c r="DA292" s="154"/>
      <c r="DB292" s="154"/>
      <c r="DC292" s="154"/>
      <c r="DD292" s="154"/>
      <c r="DE292" s="154"/>
      <c r="DF292" s="154"/>
      <c r="DG292" s="154"/>
      <c r="DH292" s="154"/>
      <c r="DI292" s="154"/>
      <c r="DJ292" s="154"/>
      <c r="DK292" s="154"/>
      <c r="DL292" s="154"/>
      <c r="DM292" s="154"/>
      <c r="DN292" s="154"/>
      <c r="DO292" s="154"/>
      <c r="DP292" s="154"/>
      <c r="DQ292" s="154"/>
      <c r="DR292" s="154"/>
      <c r="DS292" s="154"/>
      <c r="DT292" s="154"/>
      <c r="DU292" s="154"/>
      <c r="DV292" s="154"/>
      <c r="DW292" s="154"/>
      <c r="DX292" s="154"/>
      <c r="DY292" s="154"/>
      <c r="DZ292" s="154"/>
      <c r="EA292" s="154"/>
      <c r="EB292" s="154"/>
      <c r="EC292" s="154"/>
      <c r="ED292" s="154"/>
      <c r="EE292" s="154"/>
      <c r="EF292" s="154"/>
      <c r="EG292" s="154"/>
      <c r="EH292" s="154"/>
      <c r="EI292" s="154"/>
      <c r="EJ292" s="154"/>
      <c r="EK292" s="154"/>
      <c r="EL292" s="154"/>
      <c r="EM292" s="154"/>
      <c r="EN292" s="154"/>
      <c r="EO292" s="154"/>
      <c r="EP292" s="154"/>
      <c r="EQ292" s="154"/>
      <c r="ER292" s="154"/>
      <c r="ES292" s="154"/>
      <c r="ET292" s="154"/>
      <c r="EU292" s="154"/>
      <c r="EV292" s="154"/>
      <c r="EW292" s="154"/>
    </row>
    <row r="293" spans="16:153" ht="12.95" customHeight="1">
      <c r="P293" s="154"/>
      <c r="Q293" s="154"/>
      <c r="R293" s="154"/>
      <c r="S293" s="154"/>
      <c r="T293" s="154"/>
      <c r="U293" s="154"/>
      <c r="V293" s="154"/>
      <c r="W293" s="154"/>
      <c r="X293" s="154"/>
      <c r="Y293" s="154"/>
      <c r="Z293" s="154"/>
      <c r="AA293" s="154"/>
      <c r="AB293" s="154"/>
      <c r="AC293" s="154"/>
      <c r="AD293" s="154"/>
      <c r="AE293" s="154"/>
      <c r="AF293" s="367"/>
      <c r="AG293" s="368"/>
      <c r="AH293" s="368"/>
      <c r="AI293" s="368"/>
      <c r="AJ293" s="154"/>
      <c r="AK293" s="154"/>
      <c r="AL293" s="154"/>
      <c r="AM293" s="154"/>
      <c r="AN293" s="154"/>
      <c r="AO293" s="154"/>
      <c r="AP293" s="154"/>
      <c r="AQ293" s="154"/>
      <c r="AR293" s="154"/>
      <c r="AS293" s="154"/>
      <c r="AT293" s="154"/>
      <c r="AU293" s="154"/>
      <c r="AV293" s="154"/>
      <c r="AW293" s="154"/>
      <c r="AX293" s="154"/>
      <c r="AY293" s="154"/>
      <c r="AZ293" s="154"/>
      <c r="BA293" s="154"/>
      <c r="BB293" s="154"/>
      <c r="BC293" s="154"/>
      <c r="BD293" s="154"/>
      <c r="BE293" s="154"/>
      <c r="BF293" s="154"/>
      <c r="BG293" s="154"/>
      <c r="BH293" s="154"/>
      <c r="BI293" s="154"/>
      <c r="BJ293" s="154"/>
      <c r="BK293" s="154"/>
      <c r="BL293" s="154"/>
      <c r="BM293" s="154"/>
      <c r="BN293" s="154"/>
      <c r="BO293" s="154"/>
      <c r="BP293" s="154"/>
      <c r="BQ293" s="154"/>
      <c r="BR293" s="154"/>
      <c r="BS293" s="154"/>
      <c r="BT293" s="154"/>
      <c r="BU293" s="154"/>
      <c r="BV293" s="154"/>
      <c r="BW293" s="154"/>
      <c r="BX293" s="154"/>
      <c r="BY293" s="154"/>
      <c r="BZ293" s="154"/>
      <c r="CA293" s="154"/>
      <c r="CB293" s="154"/>
      <c r="CC293" s="154"/>
      <c r="CD293" s="154"/>
      <c r="CE293" s="154"/>
      <c r="CF293" s="154"/>
      <c r="CG293" s="154"/>
      <c r="CH293" s="154"/>
      <c r="CI293" s="154"/>
      <c r="CJ293" s="154"/>
      <c r="CK293" s="154"/>
      <c r="CL293" s="154"/>
      <c r="CM293" s="154"/>
      <c r="CN293" s="154"/>
      <c r="CO293" s="154"/>
      <c r="CP293" s="154"/>
      <c r="CQ293" s="154"/>
      <c r="CR293" s="154"/>
      <c r="CS293" s="154"/>
      <c r="CT293" s="154"/>
      <c r="CU293" s="154"/>
      <c r="CV293" s="154"/>
      <c r="CW293" s="154"/>
      <c r="CX293" s="154"/>
      <c r="CY293" s="154"/>
      <c r="CZ293" s="154"/>
      <c r="DA293" s="154"/>
      <c r="DB293" s="154"/>
      <c r="DC293" s="154"/>
      <c r="DD293" s="154"/>
      <c r="DE293" s="154"/>
      <c r="DF293" s="154"/>
      <c r="DG293" s="154"/>
      <c r="DH293" s="154"/>
      <c r="DI293" s="154"/>
      <c r="DJ293" s="154"/>
      <c r="DK293" s="154"/>
      <c r="DL293" s="154"/>
      <c r="DM293" s="154"/>
      <c r="DN293" s="154"/>
      <c r="DO293" s="154"/>
      <c r="DP293" s="154"/>
      <c r="DQ293" s="154"/>
      <c r="DR293" s="154"/>
      <c r="DS293" s="154"/>
      <c r="DT293" s="154"/>
      <c r="DU293" s="154"/>
      <c r="DV293" s="154"/>
      <c r="DW293" s="154"/>
      <c r="DX293" s="154"/>
      <c r="DY293" s="154"/>
      <c r="DZ293" s="154"/>
      <c r="EA293" s="154"/>
      <c r="EB293" s="154"/>
      <c r="EC293" s="154"/>
      <c r="ED293" s="154"/>
      <c r="EE293" s="154"/>
      <c r="EF293" s="154"/>
      <c r="EG293" s="154"/>
      <c r="EH293" s="154"/>
      <c r="EI293" s="154"/>
      <c r="EJ293" s="154"/>
      <c r="EK293" s="154"/>
      <c r="EL293" s="154"/>
      <c r="EM293" s="154"/>
      <c r="EN293" s="154"/>
      <c r="EO293" s="154"/>
      <c r="EP293" s="154"/>
      <c r="EQ293" s="154"/>
      <c r="ER293" s="154"/>
      <c r="ES293" s="154"/>
      <c r="ET293" s="154"/>
      <c r="EU293" s="154"/>
      <c r="EV293" s="154"/>
      <c r="EW293" s="154"/>
    </row>
    <row r="294" spans="16:153" ht="12.95" customHeight="1">
      <c r="P294" s="154"/>
      <c r="Q294" s="154"/>
      <c r="R294" s="154"/>
      <c r="S294" s="154"/>
      <c r="T294" s="154"/>
      <c r="U294" s="154"/>
      <c r="V294" s="154"/>
      <c r="W294" s="154"/>
      <c r="X294" s="154"/>
      <c r="Y294" s="154"/>
      <c r="Z294" s="154"/>
      <c r="AA294" s="154"/>
      <c r="AB294" s="154"/>
      <c r="AC294" s="154"/>
      <c r="AD294" s="154"/>
      <c r="AE294" s="154"/>
      <c r="AF294" s="367"/>
      <c r="AG294" s="368"/>
      <c r="AH294" s="368"/>
      <c r="AI294" s="368"/>
      <c r="AJ294" s="154"/>
      <c r="AK294" s="154"/>
      <c r="AL294" s="154"/>
      <c r="AM294" s="154"/>
      <c r="AN294" s="154"/>
      <c r="AO294" s="154"/>
      <c r="AP294" s="154"/>
      <c r="AQ294" s="154"/>
      <c r="AR294" s="154"/>
      <c r="AS294" s="154"/>
      <c r="AT294" s="154"/>
      <c r="AU294" s="154"/>
      <c r="AV294" s="154"/>
      <c r="AW294" s="154"/>
      <c r="AX294" s="154"/>
      <c r="AY294" s="154"/>
      <c r="AZ294" s="154"/>
      <c r="BA294" s="154"/>
      <c r="BB294" s="154"/>
      <c r="BC294" s="154"/>
      <c r="BD294" s="154"/>
      <c r="BE294" s="154"/>
      <c r="BF294" s="154"/>
      <c r="BG294" s="154"/>
      <c r="BH294" s="154"/>
      <c r="BI294" s="154"/>
      <c r="BJ294" s="154"/>
      <c r="BK294" s="154"/>
      <c r="BL294" s="154"/>
      <c r="BM294" s="154"/>
      <c r="BN294" s="154"/>
      <c r="BO294" s="154"/>
      <c r="BP294" s="154"/>
      <c r="BQ294" s="154"/>
      <c r="BR294" s="154"/>
      <c r="BS294" s="154"/>
      <c r="BT294" s="154"/>
      <c r="BU294" s="154"/>
      <c r="BV294" s="154"/>
      <c r="BW294" s="154"/>
      <c r="BX294" s="154"/>
      <c r="BY294" s="154"/>
      <c r="BZ294" s="154"/>
      <c r="CA294" s="154"/>
      <c r="CB294" s="154"/>
      <c r="CC294" s="154"/>
      <c r="CD294" s="154"/>
      <c r="CE294" s="154"/>
      <c r="CF294" s="154"/>
      <c r="CG294" s="154"/>
      <c r="CH294" s="154"/>
      <c r="CI294" s="154"/>
      <c r="CJ294" s="154"/>
      <c r="CK294" s="154"/>
      <c r="CL294" s="154"/>
      <c r="CM294" s="154"/>
      <c r="CN294" s="154"/>
      <c r="CO294" s="154"/>
      <c r="CP294" s="154"/>
      <c r="CQ294" s="154"/>
      <c r="CR294" s="154"/>
      <c r="CS294" s="154"/>
      <c r="CT294" s="154"/>
      <c r="CU294" s="154"/>
      <c r="CV294" s="154"/>
      <c r="CW294" s="154"/>
      <c r="CX294" s="154"/>
      <c r="CY294" s="154"/>
      <c r="CZ294" s="154"/>
      <c r="DA294" s="154"/>
      <c r="DB294" s="154"/>
      <c r="DC294" s="154"/>
      <c r="DD294" s="154"/>
      <c r="DE294" s="154"/>
      <c r="DF294" s="154"/>
      <c r="DG294" s="154"/>
      <c r="DH294" s="154"/>
      <c r="DI294" s="154"/>
      <c r="DJ294" s="154"/>
      <c r="DK294" s="154"/>
      <c r="DL294" s="154"/>
      <c r="DM294" s="154"/>
      <c r="DN294" s="154"/>
      <c r="DO294" s="154"/>
      <c r="DP294" s="154"/>
      <c r="DQ294" s="154"/>
      <c r="DR294" s="154"/>
      <c r="DS294" s="154"/>
      <c r="DT294" s="154"/>
      <c r="DU294" s="154"/>
      <c r="DV294" s="154"/>
      <c r="DW294" s="154"/>
      <c r="DX294" s="154"/>
      <c r="DY294" s="154"/>
      <c r="DZ294" s="154"/>
      <c r="EA294" s="154"/>
      <c r="EB294" s="154"/>
      <c r="EC294" s="154"/>
      <c r="ED294" s="154"/>
      <c r="EE294" s="154"/>
      <c r="EF294" s="154"/>
      <c r="EG294" s="154"/>
      <c r="EH294" s="154"/>
      <c r="EI294" s="154"/>
      <c r="EJ294" s="154"/>
      <c r="EK294" s="154"/>
      <c r="EL294" s="154"/>
      <c r="EM294" s="154"/>
      <c r="EN294" s="154"/>
      <c r="EO294" s="154"/>
      <c r="EP294" s="154"/>
      <c r="EQ294" s="154"/>
      <c r="ER294" s="154"/>
      <c r="ES294" s="154"/>
      <c r="ET294" s="154"/>
      <c r="EU294" s="154"/>
      <c r="EV294" s="154"/>
      <c r="EW294" s="154"/>
    </row>
    <row r="295" spans="16:153" ht="12.95" customHeight="1">
      <c r="P295" s="154"/>
      <c r="Q295" s="154"/>
      <c r="R295" s="154"/>
      <c r="S295" s="154"/>
      <c r="T295" s="154"/>
      <c r="U295" s="154"/>
      <c r="V295" s="154"/>
      <c r="W295" s="154"/>
      <c r="X295" s="154"/>
      <c r="Y295" s="154"/>
      <c r="Z295" s="154"/>
      <c r="AA295" s="154"/>
      <c r="AB295" s="154"/>
      <c r="AC295" s="154"/>
      <c r="AD295" s="154"/>
      <c r="AE295" s="154"/>
      <c r="AF295" s="367"/>
      <c r="AG295" s="368"/>
      <c r="AH295" s="368"/>
      <c r="AI295" s="368"/>
      <c r="AJ295" s="154"/>
      <c r="AK295" s="154"/>
      <c r="AL295" s="154"/>
      <c r="AM295" s="154"/>
      <c r="AN295" s="154"/>
      <c r="AO295" s="154"/>
      <c r="AP295" s="154"/>
      <c r="AQ295" s="154"/>
      <c r="AR295" s="154"/>
      <c r="AS295" s="154"/>
      <c r="AT295" s="154"/>
      <c r="AU295" s="154"/>
      <c r="AV295" s="154"/>
      <c r="AW295" s="154"/>
      <c r="AX295" s="154"/>
      <c r="AY295" s="154"/>
      <c r="AZ295" s="154"/>
      <c r="BA295" s="154"/>
      <c r="BB295" s="154"/>
      <c r="BC295" s="154"/>
      <c r="BD295" s="154"/>
      <c r="BE295" s="154"/>
      <c r="BF295" s="154"/>
      <c r="BG295" s="154"/>
      <c r="BH295" s="154"/>
      <c r="BI295" s="154"/>
      <c r="BJ295" s="154"/>
      <c r="BK295" s="154"/>
      <c r="BL295" s="154"/>
      <c r="BM295" s="154"/>
      <c r="BN295" s="154"/>
      <c r="BO295" s="154"/>
      <c r="BP295" s="154"/>
      <c r="BQ295" s="154"/>
      <c r="BR295" s="154"/>
      <c r="BS295" s="154"/>
      <c r="BT295" s="154"/>
      <c r="BU295" s="154"/>
      <c r="BV295" s="154"/>
      <c r="BW295" s="154"/>
      <c r="BX295" s="154"/>
      <c r="BY295" s="154"/>
      <c r="BZ295" s="154"/>
      <c r="CA295" s="154"/>
      <c r="CB295" s="154"/>
      <c r="CC295" s="154"/>
      <c r="CD295" s="154"/>
      <c r="CE295" s="154"/>
      <c r="CF295" s="154"/>
      <c r="CG295" s="154"/>
      <c r="CH295" s="154"/>
      <c r="CI295" s="154"/>
      <c r="CJ295" s="154"/>
      <c r="CK295" s="154"/>
      <c r="CL295" s="154"/>
      <c r="CM295" s="154"/>
      <c r="CN295" s="154"/>
      <c r="CO295" s="154"/>
      <c r="CP295" s="154"/>
      <c r="CQ295" s="154"/>
      <c r="CR295" s="154"/>
      <c r="CS295" s="154"/>
      <c r="CT295" s="154"/>
      <c r="CU295" s="154"/>
      <c r="CV295" s="154"/>
      <c r="CW295" s="154"/>
      <c r="CX295" s="154"/>
      <c r="CY295" s="154"/>
      <c r="CZ295" s="154"/>
      <c r="DA295" s="154"/>
      <c r="DB295" s="154"/>
      <c r="DC295" s="154"/>
      <c r="DD295" s="154"/>
      <c r="DE295" s="154"/>
      <c r="DF295" s="154"/>
      <c r="DG295" s="154"/>
      <c r="DH295" s="154"/>
      <c r="DI295" s="154"/>
      <c r="DJ295" s="154"/>
      <c r="DK295" s="154"/>
      <c r="DL295" s="154"/>
      <c r="DM295" s="154"/>
      <c r="DN295" s="154"/>
      <c r="DO295" s="154"/>
      <c r="DP295" s="154"/>
      <c r="DQ295" s="154"/>
      <c r="DR295" s="154"/>
      <c r="DS295" s="154"/>
      <c r="DT295" s="154"/>
      <c r="DU295" s="154"/>
      <c r="DV295" s="154"/>
      <c r="DW295" s="154"/>
      <c r="DX295" s="154"/>
      <c r="DY295" s="154"/>
      <c r="DZ295" s="154"/>
      <c r="EA295" s="154"/>
      <c r="EB295" s="154"/>
      <c r="EC295" s="154"/>
      <c r="ED295" s="154"/>
      <c r="EE295" s="154"/>
      <c r="EF295" s="154"/>
      <c r="EG295" s="154"/>
      <c r="EH295" s="154"/>
      <c r="EI295" s="154"/>
      <c r="EJ295" s="154"/>
      <c r="EK295" s="154"/>
      <c r="EL295" s="154"/>
      <c r="EM295" s="154"/>
      <c r="EN295" s="154"/>
      <c r="EO295" s="154"/>
      <c r="EP295" s="154"/>
      <c r="EQ295" s="154"/>
      <c r="ER295" s="154"/>
      <c r="ES295" s="154"/>
      <c r="ET295" s="154"/>
      <c r="EU295" s="154"/>
      <c r="EV295" s="154"/>
      <c r="EW295" s="154"/>
    </row>
    <row r="296" spans="16:153" ht="12.95" customHeight="1">
      <c r="P296" s="154"/>
      <c r="Q296" s="154"/>
      <c r="R296" s="154"/>
      <c r="S296" s="154"/>
      <c r="T296" s="154"/>
      <c r="U296" s="154"/>
      <c r="V296" s="154"/>
      <c r="W296" s="154"/>
      <c r="X296" s="154"/>
      <c r="Y296" s="154"/>
      <c r="Z296" s="154"/>
      <c r="AA296" s="154"/>
      <c r="AB296" s="154"/>
      <c r="AC296" s="154"/>
      <c r="AD296" s="154"/>
      <c r="AE296" s="154"/>
      <c r="AF296" s="367"/>
      <c r="AG296" s="368"/>
      <c r="AH296" s="368"/>
      <c r="AI296" s="368"/>
      <c r="AJ296" s="154"/>
      <c r="AK296" s="154"/>
      <c r="AL296" s="154"/>
      <c r="AM296" s="154"/>
      <c r="AN296" s="154"/>
      <c r="AO296" s="154"/>
      <c r="AP296" s="154"/>
      <c r="AQ296" s="154"/>
      <c r="AR296" s="154"/>
      <c r="AS296" s="154"/>
      <c r="AT296" s="154"/>
      <c r="AU296" s="154"/>
      <c r="AV296" s="154"/>
      <c r="AW296" s="154"/>
      <c r="AX296" s="154"/>
      <c r="AY296" s="154"/>
      <c r="AZ296" s="154"/>
      <c r="BA296" s="154"/>
      <c r="BB296" s="154"/>
      <c r="BC296" s="154"/>
      <c r="BD296" s="154"/>
      <c r="BE296" s="154"/>
      <c r="BF296" s="154"/>
      <c r="BG296" s="154"/>
      <c r="BH296" s="154"/>
      <c r="BI296" s="154"/>
      <c r="BJ296" s="154"/>
      <c r="BK296" s="154"/>
      <c r="BL296" s="154"/>
      <c r="BM296" s="154"/>
      <c r="BN296" s="154"/>
      <c r="BO296" s="154"/>
      <c r="BP296" s="154"/>
      <c r="BQ296" s="154"/>
      <c r="BR296" s="154"/>
      <c r="BS296" s="154"/>
      <c r="BT296" s="154"/>
      <c r="BU296" s="154"/>
      <c r="BV296" s="154"/>
      <c r="BW296" s="154"/>
      <c r="BX296" s="154"/>
      <c r="BY296" s="154"/>
      <c r="BZ296" s="154"/>
      <c r="CA296" s="154"/>
      <c r="CB296" s="154"/>
      <c r="CC296" s="154"/>
      <c r="CD296" s="154"/>
      <c r="CE296" s="154"/>
      <c r="CF296" s="154"/>
      <c r="CG296" s="154"/>
      <c r="CH296" s="154"/>
      <c r="CI296" s="154"/>
      <c r="CJ296" s="154"/>
      <c r="CK296" s="154"/>
      <c r="CL296" s="154"/>
      <c r="CM296" s="154"/>
      <c r="CN296" s="154"/>
      <c r="CO296" s="154"/>
      <c r="CP296" s="154"/>
      <c r="CQ296" s="154"/>
      <c r="CR296" s="154"/>
      <c r="CS296" s="154"/>
      <c r="CT296" s="154"/>
      <c r="CU296" s="154"/>
      <c r="CV296" s="154"/>
      <c r="CW296" s="154"/>
      <c r="CX296" s="154"/>
      <c r="CY296" s="154"/>
      <c r="CZ296" s="154"/>
      <c r="DA296" s="154"/>
      <c r="DB296" s="154"/>
      <c r="DC296" s="154"/>
      <c r="DD296" s="154"/>
      <c r="DE296" s="154"/>
      <c r="DF296" s="154"/>
      <c r="DG296" s="154"/>
      <c r="DH296" s="154"/>
      <c r="DI296" s="154"/>
      <c r="DJ296" s="154"/>
      <c r="DK296" s="154"/>
      <c r="DL296" s="154"/>
      <c r="DM296" s="154"/>
      <c r="DN296" s="154"/>
      <c r="DO296" s="154"/>
      <c r="DP296" s="154"/>
      <c r="DQ296" s="154"/>
      <c r="DR296" s="154"/>
      <c r="DS296" s="154"/>
      <c r="DT296" s="154"/>
      <c r="DU296" s="154"/>
      <c r="DV296" s="154"/>
      <c r="DW296" s="154"/>
      <c r="DX296" s="154"/>
      <c r="DY296" s="154"/>
      <c r="DZ296" s="154"/>
      <c r="EA296" s="154"/>
      <c r="EB296" s="154"/>
      <c r="EC296" s="154"/>
      <c r="ED296" s="154"/>
      <c r="EE296" s="154"/>
      <c r="EF296" s="154"/>
      <c r="EG296" s="154"/>
      <c r="EH296" s="154"/>
      <c r="EI296" s="154"/>
      <c r="EJ296" s="154"/>
      <c r="EK296" s="154"/>
      <c r="EL296" s="154"/>
      <c r="EM296" s="154"/>
      <c r="EN296" s="154"/>
      <c r="EO296" s="154"/>
      <c r="EP296" s="154"/>
      <c r="EQ296" s="154"/>
      <c r="ER296" s="154"/>
      <c r="ES296" s="154"/>
      <c r="ET296" s="154"/>
      <c r="EU296" s="154"/>
      <c r="EV296" s="154"/>
      <c r="EW296" s="154"/>
    </row>
    <row r="297" spans="16:153" ht="12.95" customHeight="1">
      <c r="P297" s="154"/>
      <c r="Q297" s="154"/>
      <c r="R297" s="154"/>
      <c r="S297" s="154"/>
      <c r="T297" s="154"/>
      <c r="U297" s="154"/>
      <c r="V297" s="154"/>
      <c r="W297" s="154"/>
      <c r="X297" s="154"/>
      <c r="Y297" s="154"/>
      <c r="Z297" s="154"/>
      <c r="AA297" s="154"/>
      <c r="AB297" s="154"/>
      <c r="AC297" s="154"/>
      <c r="AD297" s="154"/>
      <c r="AE297" s="154"/>
      <c r="AF297" s="367"/>
      <c r="AG297" s="368"/>
      <c r="AH297" s="368"/>
      <c r="AI297" s="368"/>
      <c r="AJ297" s="154"/>
      <c r="AK297" s="154"/>
      <c r="AL297" s="154"/>
      <c r="AM297" s="154"/>
      <c r="AN297" s="154"/>
      <c r="AO297" s="154"/>
      <c r="AP297" s="154"/>
      <c r="AQ297" s="154"/>
      <c r="AR297" s="154"/>
      <c r="AS297" s="154"/>
      <c r="AT297" s="154"/>
      <c r="AU297" s="154"/>
      <c r="AV297" s="154"/>
      <c r="AW297" s="154"/>
      <c r="AX297" s="154"/>
      <c r="AY297" s="154"/>
      <c r="AZ297" s="154"/>
      <c r="BA297" s="154"/>
      <c r="BB297" s="154"/>
      <c r="BC297" s="154"/>
      <c r="BD297" s="154"/>
      <c r="BE297" s="154"/>
      <c r="BF297" s="154"/>
      <c r="BG297" s="154"/>
      <c r="BH297" s="154"/>
      <c r="BI297" s="154"/>
      <c r="BJ297" s="154"/>
      <c r="BK297" s="154"/>
      <c r="BL297" s="154"/>
      <c r="BM297" s="154"/>
      <c r="BN297" s="154"/>
      <c r="BO297" s="154"/>
      <c r="BP297" s="154"/>
      <c r="BQ297" s="154"/>
      <c r="BR297" s="154"/>
      <c r="BS297" s="154"/>
      <c r="BT297" s="154"/>
      <c r="BU297" s="154"/>
      <c r="BV297" s="154"/>
      <c r="BW297" s="154"/>
      <c r="BX297" s="154"/>
      <c r="BY297" s="154"/>
      <c r="BZ297" s="154"/>
      <c r="CA297" s="154"/>
      <c r="CB297" s="154"/>
      <c r="CC297" s="154"/>
      <c r="CD297" s="154"/>
      <c r="CE297" s="154"/>
      <c r="CF297" s="154"/>
      <c r="CG297" s="154"/>
      <c r="CH297" s="154"/>
      <c r="CI297" s="154"/>
      <c r="CJ297" s="154"/>
      <c r="CK297" s="154"/>
      <c r="CL297" s="154"/>
      <c r="CM297" s="154"/>
      <c r="CN297" s="154"/>
      <c r="CO297" s="154"/>
      <c r="CP297" s="154"/>
      <c r="CQ297" s="154"/>
      <c r="CR297" s="154"/>
      <c r="CS297" s="154"/>
      <c r="CT297" s="154"/>
      <c r="CU297" s="154"/>
      <c r="CV297" s="154"/>
      <c r="CW297" s="154"/>
      <c r="CX297" s="154"/>
      <c r="CY297" s="154"/>
      <c r="CZ297" s="154"/>
      <c r="DA297" s="154"/>
      <c r="DB297" s="154"/>
      <c r="DC297" s="154"/>
      <c r="DD297" s="154"/>
      <c r="DE297" s="154"/>
      <c r="DF297" s="154"/>
      <c r="DG297" s="154"/>
      <c r="DH297" s="154"/>
      <c r="DI297" s="154"/>
      <c r="DJ297" s="154"/>
      <c r="DK297" s="154"/>
      <c r="DL297" s="154"/>
      <c r="DM297" s="154"/>
      <c r="DN297" s="154"/>
      <c r="DO297" s="154"/>
      <c r="DP297" s="154"/>
      <c r="DQ297" s="154"/>
      <c r="DR297" s="154"/>
      <c r="DS297" s="154"/>
      <c r="DT297" s="154"/>
      <c r="DU297" s="154"/>
      <c r="DV297" s="154"/>
      <c r="DW297" s="154"/>
      <c r="DX297" s="154"/>
      <c r="DY297" s="154"/>
      <c r="DZ297" s="154"/>
      <c r="EA297" s="154"/>
      <c r="EB297" s="154"/>
      <c r="EC297" s="154"/>
      <c r="ED297" s="154"/>
      <c r="EE297" s="154"/>
      <c r="EF297" s="154"/>
      <c r="EG297" s="154"/>
      <c r="EH297" s="154"/>
      <c r="EI297" s="154"/>
      <c r="EJ297" s="154"/>
      <c r="EK297" s="154"/>
      <c r="EL297" s="154"/>
      <c r="EM297" s="154"/>
      <c r="EN297" s="154"/>
      <c r="EO297" s="154"/>
      <c r="EP297" s="154"/>
      <c r="EQ297" s="154"/>
      <c r="ER297" s="154"/>
      <c r="ES297" s="154"/>
      <c r="ET297" s="154"/>
      <c r="EU297" s="154"/>
      <c r="EV297" s="154"/>
      <c r="EW297" s="154"/>
    </row>
    <row r="298" spans="16:153" ht="12.95" customHeight="1">
      <c r="P298" s="154"/>
      <c r="Q298" s="154"/>
      <c r="R298" s="154"/>
      <c r="S298" s="154"/>
      <c r="T298" s="154"/>
      <c r="U298" s="154"/>
      <c r="V298" s="154"/>
      <c r="W298" s="154"/>
      <c r="X298" s="154"/>
      <c r="Y298" s="154"/>
      <c r="Z298" s="154"/>
      <c r="AA298" s="154"/>
      <c r="AB298" s="154"/>
      <c r="AC298" s="154"/>
      <c r="AD298" s="154"/>
      <c r="AE298" s="154"/>
      <c r="AF298" s="367"/>
      <c r="AG298" s="368"/>
      <c r="AH298" s="368"/>
      <c r="AI298" s="368"/>
      <c r="AJ298" s="154"/>
      <c r="AK298" s="154"/>
      <c r="AL298" s="154"/>
      <c r="AM298" s="154"/>
      <c r="AN298" s="154"/>
      <c r="AO298" s="154"/>
      <c r="AP298" s="154"/>
      <c r="AQ298" s="154"/>
      <c r="AR298" s="154"/>
      <c r="AS298" s="154"/>
      <c r="AT298" s="154"/>
      <c r="AU298" s="154"/>
      <c r="AV298" s="154"/>
      <c r="AW298" s="154"/>
      <c r="AX298" s="154"/>
      <c r="AY298" s="154"/>
      <c r="AZ298" s="154"/>
      <c r="BA298" s="154"/>
      <c r="BB298" s="154"/>
      <c r="BC298" s="154"/>
      <c r="BD298" s="154"/>
      <c r="BE298" s="154"/>
      <c r="BF298" s="154"/>
      <c r="BG298" s="154"/>
      <c r="BH298" s="154"/>
      <c r="BI298" s="154"/>
      <c r="BJ298" s="154"/>
      <c r="BK298" s="154"/>
      <c r="BL298" s="154"/>
      <c r="BM298" s="154"/>
      <c r="BN298" s="154"/>
      <c r="BO298" s="154"/>
      <c r="BP298" s="154"/>
      <c r="BQ298" s="154"/>
      <c r="BR298" s="154"/>
      <c r="BS298" s="154"/>
      <c r="BT298" s="154"/>
      <c r="BU298" s="154"/>
      <c r="BV298" s="154"/>
      <c r="BW298" s="154"/>
      <c r="BX298" s="154"/>
      <c r="BY298" s="154"/>
      <c r="BZ298" s="154"/>
      <c r="CA298" s="154"/>
      <c r="CB298" s="154"/>
      <c r="CC298" s="154"/>
      <c r="CD298" s="154"/>
      <c r="CE298" s="154"/>
      <c r="CF298" s="154"/>
      <c r="CG298" s="154"/>
      <c r="CH298" s="154"/>
      <c r="CI298" s="154"/>
      <c r="CJ298" s="154"/>
      <c r="CK298" s="154"/>
      <c r="CL298" s="154"/>
      <c r="CM298" s="154"/>
      <c r="CN298" s="154"/>
      <c r="CO298" s="154"/>
      <c r="CP298" s="154"/>
      <c r="CQ298" s="154"/>
      <c r="CR298" s="154"/>
      <c r="CS298" s="154"/>
      <c r="CT298" s="154"/>
      <c r="CU298" s="154"/>
      <c r="CV298" s="154"/>
      <c r="CW298" s="154"/>
      <c r="CX298" s="154"/>
      <c r="CY298" s="154"/>
      <c r="CZ298" s="154"/>
      <c r="DA298" s="154"/>
      <c r="DB298" s="154"/>
      <c r="DC298" s="154"/>
      <c r="DD298" s="154"/>
      <c r="DE298" s="154"/>
      <c r="DF298" s="154"/>
      <c r="DG298" s="154"/>
      <c r="DH298" s="154"/>
      <c r="DI298" s="154"/>
      <c r="DJ298" s="154"/>
      <c r="DK298" s="154"/>
      <c r="DL298" s="154"/>
      <c r="DM298" s="154"/>
      <c r="DN298" s="154"/>
      <c r="DO298" s="154"/>
      <c r="DP298" s="154"/>
      <c r="DQ298" s="154"/>
      <c r="DR298" s="154"/>
      <c r="DS298" s="154"/>
      <c r="DT298" s="154"/>
      <c r="DU298" s="154"/>
      <c r="DV298" s="154"/>
      <c r="DW298" s="154"/>
      <c r="DX298" s="154"/>
      <c r="DY298" s="154"/>
      <c r="DZ298" s="154"/>
      <c r="EA298" s="154"/>
      <c r="EB298" s="154"/>
      <c r="EC298" s="154"/>
      <c r="ED298" s="154"/>
      <c r="EE298" s="154"/>
      <c r="EF298" s="154"/>
      <c r="EG298" s="154"/>
      <c r="EH298" s="154"/>
      <c r="EI298" s="154"/>
      <c r="EJ298" s="154"/>
      <c r="EK298" s="154"/>
      <c r="EL298" s="154"/>
      <c r="EM298" s="154"/>
      <c r="EN298" s="154"/>
      <c r="EO298" s="154"/>
      <c r="EP298" s="154"/>
      <c r="EQ298" s="154"/>
      <c r="ER298" s="154"/>
      <c r="ES298" s="154"/>
      <c r="ET298" s="154"/>
      <c r="EU298" s="154"/>
      <c r="EV298" s="154"/>
      <c r="EW298" s="154"/>
    </row>
    <row r="299" spans="16:153">
      <c r="P299" s="154"/>
      <c r="Q299" s="154"/>
      <c r="R299" s="154"/>
      <c r="S299" s="154"/>
      <c r="T299" s="154"/>
      <c r="U299" s="154"/>
      <c r="V299" s="154"/>
      <c r="W299" s="154"/>
      <c r="X299" s="154"/>
      <c r="Y299" s="154"/>
      <c r="Z299" s="154"/>
      <c r="AA299" s="154"/>
      <c r="AB299" s="154"/>
      <c r="AC299" s="154"/>
      <c r="AD299" s="154"/>
      <c r="AE299" s="154"/>
      <c r="AF299" s="367"/>
      <c r="AG299" s="368"/>
      <c r="AH299" s="368"/>
      <c r="AI299" s="368"/>
      <c r="AJ299" s="154"/>
      <c r="AK299" s="154"/>
      <c r="AL299" s="154"/>
      <c r="AM299" s="154"/>
      <c r="AN299" s="154"/>
      <c r="AO299" s="154"/>
      <c r="AP299" s="154"/>
      <c r="AQ299" s="154"/>
      <c r="AR299" s="154"/>
      <c r="AS299" s="154"/>
      <c r="AT299" s="154"/>
      <c r="AU299" s="154"/>
      <c r="AV299" s="154"/>
      <c r="AW299" s="154"/>
      <c r="AX299" s="154"/>
      <c r="AY299" s="154"/>
      <c r="AZ299" s="154"/>
      <c r="BA299" s="154"/>
      <c r="BB299" s="154"/>
      <c r="BC299" s="154"/>
      <c r="BD299" s="154"/>
      <c r="BE299" s="154"/>
      <c r="BF299" s="154"/>
      <c r="BG299" s="154"/>
      <c r="BH299" s="154"/>
      <c r="BI299" s="154"/>
      <c r="BJ299" s="154"/>
      <c r="BK299" s="154"/>
      <c r="BL299" s="154"/>
      <c r="BM299" s="154"/>
      <c r="BN299" s="154"/>
      <c r="BO299" s="154"/>
      <c r="BP299" s="154"/>
      <c r="BQ299" s="154"/>
      <c r="BR299" s="154"/>
      <c r="BS299" s="154"/>
      <c r="BT299" s="154"/>
      <c r="BU299" s="154"/>
      <c r="BV299" s="154"/>
      <c r="BW299" s="154"/>
      <c r="BX299" s="154"/>
      <c r="BY299" s="154"/>
      <c r="BZ299" s="154"/>
      <c r="CA299" s="154"/>
      <c r="CB299" s="154"/>
      <c r="CC299" s="154"/>
      <c r="CD299" s="154"/>
      <c r="CE299" s="154"/>
      <c r="CF299" s="154"/>
      <c r="CG299" s="154"/>
      <c r="CH299" s="154"/>
      <c r="CI299" s="154"/>
      <c r="CJ299" s="154"/>
      <c r="CK299" s="154"/>
      <c r="CL299" s="154"/>
      <c r="CM299" s="154"/>
      <c r="CN299" s="154"/>
      <c r="CO299" s="154"/>
      <c r="CP299" s="154"/>
      <c r="CQ299" s="154"/>
      <c r="CR299" s="154"/>
      <c r="CS299" s="154"/>
      <c r="CT299" s="154"/>
      <c r="CU299" s="154"/>
      <c r="CV299" s="154"/>
      <c r="CW299" s="154"/>
      <c r="CX299" s="154"/>
      <c r="CY299" s="154"/>
      <c r="CZ299" s="154"/>
      <c r="DA299" s="154"/>
      <c r="DB299" s="154"/>
      <c r="DC299" s="154"/>
      <c r="DD299" s="154"/>
      <c r="DE299" s="154"/>
      <c r="DF299" s="154"/>
      <c r="DG299" s="154"/>
      <c r="DH299" s="154"/>
      <c r="DI299" s="154"/>
      <c r="DJ299" s="154"/>
      <c r="DK299" s="154"/>
      <c r="DL299" s="154"/>
      <c r="DM299" s="154"/>
      <c r="DN299" s="154"/>
      <c r="DO299" s="154"/>
      <c r="DP299" s="154"/>
      <c r="DQ299" s="154"/>
      <c r="DR299" s="154"/>
      <c r="DS299" s="154"/>
      <c r="DT299" s="154"/>
      <c r="DU299" s="154"/>
      <c r="DV299" s="154"/>
      <c r="DW299" s="154"/>
      <c r="DX299" s="154"/>
      <c r="DY299" s="154"/>
      <c r="DZ299" s="154"/>
      <c r="EA299" s="154"/>
      <c r="EB299" s="154"/>
      <c r="EC299" s="154"/>
      <c r="ED299" s="154"/>
      <c r="EE299" s="154"/>
      <c r="EF299" s="154"/>
      <c r="EG299" s="154"/>
      <c r="EH299" s="154"/>
      <c r="EI299" s="154"/>
      <c r="EJ299" s="154"/>
      <c r="EK299" s="154"/>
      <c r="EL299" s="154"/>
      <c r="EM299" s="154"/>
      <c r="EN299" s="154"/>
      <c r="EO299" s="154"/>
      <c r="EP299" s="154"/>
      <c r="EQ299" s="154"/>
      <c r="ER299" s="154"/>
      <c r="ES299" s="154"/>
      <c r="ET299" s="154"/>
      <c r="EU299" s="154"/>
      <c r="EV299" s="154"/>
      <c r="EW299" s="154"/>
    </row>
    <row r="300" spans="16:153">
      <c r="P300" s="154"/>
      <c r="Q300" s="154"/>
      <c r="R300" s="154"/>
      <c r="S300" s="154"/>
      <c r="T300" s="154"/>
      <c r="U300" s="154"/>
      <c r="V300" s="154"/>
      <c r="W300" s="154"/>
      <c r="X300" s="154"/>
      <c r="Y300" s="154"/>
      <c r="Z300" s="154"/>
      <c r="AA300" s="154"/>
      <c r="AB300" s="154"/>
      <c r="AC300" s="154"/>
      <c r="AD300" s="154"/>
      <c r="AE300" s="154"/>
      <c r="AF300" s="367"/>
      <c r="AG300" s="368"/>
      <c r="AH300" s="368"/>
      <c r="AI300" s="368"/>
      <c r="AJ300" s="154"/>
      <c r="AK300" s="154"/>
      <c r="AL300" s="154"/>
      <c r="AM300" s="154"/>
      <c r="AN300" s="154"/>
      <c r="AO300" s="154"/>
      <c r="AP300" s="154"/>
      <c r="AQ300" s="154"/>
      <c r="AR300" s="154"/>
      <c r="AS300" s="154"/>
      <c r="AT300" s="154"/>
      <c r="AU300" s="154"/>
      <c r="AV300" s="154"/>
      <c r="AW300" s="154"/>
      <c r="AX300" s="154"/>
      <c r="AY300" s="154"/>
      <c r="AZ300" s="154"/>
      <c r="BA300" s="154"/>
      <c r="BB300" s="154"/>
      <c r="BC300" s="154"/>
      <c r="BD300" s="154"/>
      <c r="BE300" s="154"/>
      <c r="BF300" s="154"/>
      <c r="BG300" s="154"/>
      <c r="BH300" s="154"/>
      <c r="BI300" s="154"/>
      <c r="BJ300" s="154"/>
      <c r="BK300" s="154"/>
      <c r="BL300" s="154"/>
      <c r="BM300" s="154"/>
      <c r="BN300" s="154"/>
      <c r="BO300" s="154"/>
      <c r="BP300" s="154"/>
      <c r="BQ300" s="154"/>
      <c r="BR300" s="154"/>
      <c r="BS300" s="154"/>
      <c r="BT300" s="154"/>
      <c r="BU300" s="154"/>
      <c r="BV300" s="154"/>
      <c r="BW300" s="154"/>
      <c r="BX300" s="154"/>
      <c r="BY300" s="154"/>
      <c r="BZ300" s="154"/>
      <c r="CA300" s="154"/>
      <c r="CB300" s="154"/>
      <c r="CC300" s="154"/>
      <c r="CD300" s="154"/>
      <c r="CE300" s="154"/>
      <c r="CF300" s="154"/>
      <c r="CG300" s="154"/>
      <c r="CH300" s="154"/>
      <c r="CI300" s="154"/>
      <c r="CJ300" s="154"/>
      <c r="CK300" s="154"/>
      <c r="CL300" s="154"/>
      <c r="CM300" s="154"/>
      <c r="CN300" s="154"/>
      <c r="CO300" s="154"/>
      <c r="CP300" s="154"/>
      <c r="CQ300" s="154"/>
      <c r="CR300" s="154"/>
      <c r="CS300" s="154"/>
      <c r="CT300" s="154"/>
      <c r="CU300" s="154"/>
      <c r="CV300" s="154"/>
      <c r="CW300" s="154"/>
      <c r="CX300" s="154"/>
      <c r="CY300" s="154"/>
      <c r="CZ300" s="154"/>
      <c r="DA300" s="154"/>
      <c r="DB300" s="154"/>
      <c r="DC300" s="154"/>
      <c r="DD300" s="154"/>
      <c r="DE300" s="154"/>
      <c r="DF300" s="154"/>
      <c r="DG300" s="154"/>
      <c r="DH300" s="154"/>
      <c r="DI300" s="154"/>
      <c r="DJ300" s="154"/>
      <c r="DK300" s="154"/>
      <c r="DL300" s="154"/>
      <c r="DM300" s="154"/>
      <c r="DN300" s="154"/>
      <c r="DO300" s="154"/>
      <c r="DP300" s="154"/>
      <c r="DQ300" s="154"/>
      <c r="DR300" s="154"/>
      <c r="DS300" s="154"/>
      <c r="DT300" s="154"/>
      <c r="DU300" s="154"/>
      <c r="DV300" s="154"/>
      <c r="DW300" s="154"/>
      <c r="DX300" s="154"/>
      <c r="DY300" s="154"/>
      <c r="DZ300" s="154"/>
      <c r="EA300" s="154"/>
      <c r="EB300" s="154"/>
      <c r="EC300" s="154"/>
      <c r="ED300" s="154"/>
      <c r="EE300" s="154"/>
      <c r="EF300" s="154"/>
      <c r="EG300" s="154"/>
      <c r="EH300" s="154"/>
      <c r="EI300" s="154"/>
      <c r="EJ300" s="154"/>
      <c r="EK300" s="154"/>
      <c r="EL300" s="154"/>
      <c r="EM300" s="154"/>
      <c r="EN300" s="154"/>
      <c r="EO300" s="154"/>
      <c r="EP300" s="154"/>
      <c r="EQ300" s="154"/>
      <c r="ER300" s="154"/>
      <c r="ES300" s="154"/>
      <c r="ET300" s="154"/>
      <c r="EU300" s="154"/>
      <c r="EV300" s="154"/>
      <c r="EW300" s="154"/>
    </row>
  </sheetData>
  <mergeCells count="9">
    <mergeCell ref="W42:X42"/>
    <mergeCell ref="B31:D31"/>
    <mergeCell ref="B50:D50"/>
    <mergeCell ref="H49:I49"/>
    <mergeCell ref="B2:D2"/>
    <mergeCell ref="B14:D14"/>
    <mergeCell ref="W41:X41"/>
    <mergeCell ref="S31:T31"/>
    <mergeCell ref="S9:T10"/>
  </mergeCells>
  <phoneticPr fontId="11" type="noConversion"/>
  <dataValidations count="6">
    <dataValidation type="list" allowBlank="1" showInputMessage="1" showErrorMessage="1" sqref="T7:T8 S8 D3">
      <formula1>"GF, MF, TF"</formula1>
    </dataValidation>
    <dataValidation type="list" allowBlank="1" showInputMessage="1" showErrorMessage="1" sqref="Y2 D5">
      <formula1>"South, North, East, West"</formula1>
    </dataValidation>
    <dataValidation type="list" allowBlank="1" showInputMessage="1" showErrorMessage="1" sqref="D6">
      <formula1>"1,2,3,4,5,6,7,8,9,10,11,12"</formula1>
    </dataValidation>
    <dataValidation type="list" allowBlank="1" showInputMessage="1" showErrorMessage="1" sqref="D4">
      <formula1>"Core, ServCore"</formula1>
    </dataValidation>
    <dataValidation type="list" allowBlank="1" showInputMessage="1" showErrorMessage="1" sqref="D7">
      <formula1>"1, 2, 3, 4, 5, 6, 7, 8, 9, 10, 11, 12, 13, 14, 15, 16, 17, 18, 19, 20, 21, 22, 23, 24, 25, 26, 27, 28, 29, 30, 31"</formula1>
    </dataValidation>
    <dataValidation type="list" allowBlank="1" showInputMessage="1" showErrorMessage="1" sqref="D8">
      <formula1>"1, 2, 3, 4, 5, 6, 7, 8, 9, 10, 11, 12, 13, 14, 15, 16, 17, 18, 19, 20, 21, 22, 23, 24"</formula1>
    </dataValidation>
  </dataValidation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4281" r:id="rId4" name="Scroll Bar 137">
              <controlPr defaultSize="0" autoPict="0">
                <anchor moveWithCells="1">
                  <from>
                    <xdr:col>1</xdr:col>
                    <xdr:colOff>1838325</xdr:colOff>
                    <xdr:row>7</xdr:row>
                    <xdr:rowOff>0</xdr:rowOff>
                  </from>
                  <to>
                    <xdr:col>3</xdr:col>
                    <xdr:colOff>0</xdr:colOff>
                    <xdr:row>8</xdr:row>
                    <xdr:rowOff>38100</xdr:rowOff>
                  </to>
                </anchor>
              </controlPr>
            </control>
          </mc:Choice>
        </mc:AlternateContent>
        <mc:AlternateContent xmlns:mc="http://schemas.openxmlformats.org/markup-compatibility/2006">
          <mc:Choice Requires="x14">
            <control shapeId="134293" r:id="rId5" name="Scroll Bar 149">
              <controlPr defaultSize="0" autoPict="0">
                <anchor moveWithCells="1">
                  <from>
                    <xdr:col>6</xdr:col>
                    <xdr:colOff>0</xdr:colOff>
                    <xdr:row>48</xdr:row>
                    <xdr:rowOff>9525</xdr:rowOff>
                  </from>
                  <to>
                    <xdr:col>8</xdr:col>
                    <xdr:colOff>0</xdr:colOff>
                    <xdr:row>49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3"/>
  </sheetPr>
  <dimension ref="A1:AJ50"/>
  <sheetViews>
    <sheetView showRowColHeaders="0" zoomScale="85" zoomScaleNormal="85" workbookViewId="0">
      <selection activeCell="J5" sqref="J5"/>
    </sheetView>
  </sheetViews>
  <sheetFormatPr defaultRowHeight="12.75"/>
  <cols>
    <col min="1" max="1" width="3.7109375" style="54" customWidth="1"/>
    <col min="2" max="2" width="13" style="54" customWidth="1"/>
    <col min="3" max="6" width="8.7109375" style="54" customWidth="1"/>
    <col min="7" max="7" width="3.7109375" style="54" customWidth="1"/>
    <col min="8" max="8" width="32.5703125" style="54" customWidth="1"/>
    <col min="9" max="35" width="8.7109375" style="54" customWidth="1"/>
    <col min="36" max="16384" width="9.140625" style="54"/>
  </cols>
  <sheetData>
    <row r="1" spans="2:36" ht="13.5" thickBot="1"/>
    <row r="2" spans="2:36" ht="13.5" thickBot="1">
      <c r="B2" s="683" t="s">
        <v>881</v>
      </c>
      <c r="C2" s="684"/>
      <c r="D2" s="684"/>
      <c r="E2" s="684"/>
      <c r="F2" s="685"/>
      <c r="H2" s="686" t="s">
        <v>957</v>
      </c>
      <c r="I2" s="687"/>
      <c r="J2" s="688"/>
    </row>
    <row r="3" spans="2:36">
      <c r="B3" s="510" t="s">
        <v>876</v>
      </c>
      <c r="C3" s="360" t="s">
        <v>212</v>
      </c>
      <c r="D3" s="362">
        <v>1</v>
      </c>
      <c r="F3" s="557"/>
      <c r="H3" s="507" t="s">
        <v>953</v>
      </c>
      <c r="I3" s="508" t="s">
        <v>927</v>
      </c>
      <c r="J3" s="509">
        <v>98.031486724940066</v>
      </c>
      <c r="AI3" t="s">
        <v>70</v>
      </c>
      <c r="AJ3" t="s">
        <v>71</v>
      </c>
    </row>
    <row r="4" spans="2:36">
      <c r="B4" s="558" t="s">
        <v>877</v>
      </c>
      <c r="C4" s="360" t="s">
        <v>212</v>
      </c>
      <c r="D4" s="362">
        <v>1</v>
      </c>
      <c r="F4" s="557"/>
      <c r="H4" s="510" t="s">
        <v>953</v>
      </c>
      <c r="I4" s="360" t="s">
        <v>938</v>
      </c>
      <c r="J4" s="511">
        <f>Input!D22*3/J3</f>
        <v>612.04825107212696</v>
      </c>
      <c r="AI4">
        <v>0</v>
      </c>
      <c r="AJ4">
        <v>0</v>
      </c>
    </row>
    <row r="5" spans="2:36">
      <c r="B5" s="558" t="s">
        <v>878</v>
      </c>
      <c r="C5" s="360" t="s">
        <v>212</v>
      </c>
      <c r="D5" s="362">
        <v>12</v>
      </c>
      <c r="F5" s="557"/>
      <c r="H5" s="512" t="s">
        <v>954</v>
      </c>
      <c r="I5" s="505" t="s">
        <v>952</v>
      </c>
      <c r="J5" s="513">
        <v>0.67149482948059946</v>
      </c>
      <c r="AI5">
        <v>1</v>
      </c>
      <c r="AJ5">
        <v>31</v>
      </c>
    </row>
    <row r="6" spans="2:36">
      <c r="B6" s="558" t="s">
        <v>879</v>
      </c>
      <c r="C6" s="360" t="s">
        <v>212</v>
      </c>
      <c r="D6" s="362">
        <v>31</v>
      </c>
      <c r="F6" s="557"/>
      <c r="H6" s="514" t="s">
        <v>968</v>
      </c>
      <c r="I6" s="360" t="s">
        <v>927</v>
      </c>
      <c r="J6" s="515">
        <f>IF(Chiller_Staging="No", Chiller_Capacity/3520, Chiller_Capacity*2/3520)</f>
        <v>120.73939789566818</v>
      </c>
      <c r="AI6">
        <v>2</v>
      </c>
      <c r="AJ6">
        <v>59</v>
      </c>
    </row>
    <row r="7" spans="2:36" ht="13.5" thickBot="1">
      <c r="B7" s="559" t="s">
        <v>696</v>
      </c>
      <c r="C7" s="360" t="s">
        <v>212</v>
      </c>
      <c r="D7" s="362">
        <v>0.3</v>
      </c>
      <c r="F7" s="557"/>
      <c r="H7" s="516" t="s">
        <v>968</v>
      </c>
      <c r="I7" s="517" t="s">
        <v>938</v>
      </c>
      <c r="J7" s="518">
        <f>Input!D22*3/J6</f>
        <v>496.93804214467303</v>
      </c>
      <c r="AI7">
        <v>3</v>
      </c>
      <c r="AJ7">
        <v>90</v>
      </c>
    </row>
    <row r="8" spans="2:36">
      <c r="B8" s="560" t="s">
        <v>960</v>
      </c>
      <c r="C8" s="680" t="s">
        <v>350</v>
      </c>
      <c r="D8" s="681"/>
      <c r="E8" s="680" t="s">
        <v>351</v>
      </c>
      <c r="F8" s="682"/>
      <c r="H8" s="519" t="s">
        <v>955</v>
      </c>
      <c r="I8" s="508" t="s">
        <v>939</v>
      </c>
      <c r="J8" s="520">
        <v>1409.8068606220206</v>
      </c>
      <c r="AI8">
        <v>4</v>
      </c>
      <c r="AJ8">
        <v>120</v>
      </c>
    </row>
    <row r="9" spans="2:36" ht="13.5" thickBot="1">
      <c r="B9" s="561" t="s">
        <v>911</v>
      </c>
      <c r="C9" s="517" t="s">
        <v>925</v>
      </c>
      <c r="D9" s="562" t="s">
        <v>880</v>
      </c>
      <c r="E9" s="517" t="s">
        <v>925</v>
      </c>
      <c r="F9" s="563" t="s">
        <v>880</v>
      </c>
      <c r="H9" s="521" t="s">
        <v>955</v>
      </c>
      <c r="I9" s="505" t="s">
        <v>928</v>
      </c>
      <c r="J9" s="513">
        <f>J8*1000/Input!D22/3</f>
        <v>23.496781010367012</v>
      </c>
      <c r="AI9">
        <v>5</v>
      </c>
      <c r="AJ9">
        <v>151</v>
      </c>
    </row>
    <row r="10" spans="2:36">
      <c r="B10" s="524" t="s">
        <v>72</v>
      </c>
      <c r="C10" s="540">
        <v>0</v>
      </c>
      <c r="D10" s="541">
        <v>0</v>
      </c>
      <c r="E10" s="540">
        <v>1069</v>
      </c>
      <c r="F10" s="542">
        <v>24.866247964642941</v>
      </c>
      <c r="H10" s="514" t="s">
        <v>969</v>
      </c>
      <c r="I10" s="360" t="s">
        <v>939</v>
      </c>
      <c r="J10" s="515">
        <f>IF(Boiler_Staging="No", Boiler_Capacity/0.293/1000, Boiler_Capacity*2/0.293/1000)</f>
        <v>1417.1179434270719</v>
      </c>
      <c r="AI10">
        <v>6</v>
      </c>
      <c r="AJ10" s="45">
        <v>181</v>
      </c>
    </row>
    <row r="11" spans="2:36" ht="13.5" thickBot="1">
      <c r="B11" s="527" t="s">
        <v>73</v>
      </c>
      <c r="C11" s="361">
        <v>924</v>
      </c>
      <c r="D11" s="192">
        <v>21.493370551290997</v>
      </c>
      <c r="E11" s="361">
        <v>377</v>
      </c>
      <c r="F11" s="543">
        <v>8.7694812747150497</v>
      </c>
      <c r="H11" s="516" t="s">
        <v>969</v>
      </c>
      <c r="I11" s="517" t="s">
        <v>928</v>
      </c>
      <c r="J11" s="522">
        <f>J10*1000/Input!D22/3</f>
        <v>23.618632390451197</v>
      </c>
      <c r="AI11">
        <v>7</v>
      </c>
      <c r="AJ11">
        <v>212</v>
      </c>
    </row>
    <row r="12" spans="2:36">
      <c r="B12" s="527" t="s">
        <v>74</v>
      </c>
      <c r="C12" s="361">
        <v>405</v>
      </c>
      <c r="D12" s="192">
        <v>9.4207955338450802</v>
      </c>
      <c r="E12" s="361">
        <v>432</v>
      </c>
      <c r="F12" s="543">
        <v>10.048848569434753</v>
      </c>
      <c r="H12" s="519" t="s">
        <v>956</v>
      </c>
      <c r="I12" s="508" t="s">
        <v>108</v>
      </c>
      <c r="J12" s="523">
        <v>53132.10192709868</v>
      </c>
      <c r="AI12">
        <v>8</v>
      </c>
      <c r="AJ12">
        <v>243</v>
      </c>
    </row>
    <row r="13" spans="2:36">
      <c r="B13" s="527" t="s">
        <v>399</v>
      </c>
      <c r="C13" s="361">
        <v>626</v>
      </c>
      <c r="D13" s="192">
        <v>14.561525936264248</v>
      </c>
      <c r="E13" s="361">
        <v>302</v>
      </c>
      <c r="F13" s="543">
        <v>7.0248895091881831</v>
      </c>
      <c r="H13" s="521" t="s">
        <v>956</v>
      </c>
      <c r="I13" s="505" t="s">
        <v>29</v>
      </c>
      <c r="J13" s="513">
        <f>J12/Input!D22/3</f>
        <v>0.88553503211831142</v>
      </c>
      <c r="AI13">
        <v>9</v>
      </c>
      <c r="AJ13">
        <v>273</v>
      </c>
    </row>
    <row r="14" spans="2:36" ht="13.5" thickBot="1">
      <c r="B14" s="529" t="s">
        <v>400</v>
      </c>
      <c r="C14" s="544">
        <v>330</v>
      </c>
      <c r="D14" s="545">
        <v>7.6762037683182136</v>
      </c>
      <c r="E14" s="544">
        <v>548</v>
      </c>
      <c r="F14" s="546">
        <v>12.747150500116305</v>
      </c>
      <c r="H14" s="514" t="s">
        <v>970</v>
      </c>
      <c r="I14" s="360" t="s">
        <v>108</v>
      </c>
      <c r="J14" s="511">
        <f>Central_SupplyFan_MaxFlow*35.315*60</f>
        <v>68987.806418827662</v>
      </c>
      <c r="AI14">
        <v>10</v>
      </c>
      <c r="AJ14">
        <v>304</v>
      </c>
    </row>
    <row r="15" spans="2:36" ht="13.5" thickBot="1">
      <c r="B15" s="524" t="s">
        <v>406</v>
      </c>
      <c r="C15" s="540">
        <v>217</v>
      </c>
      <c r="D15" s="541">
        <v>5.0476855082577341</v>
      </c>
      <c r="E15" s="540">
        <v>288</v>
      </c>
      <c r="F15" s="542">
        <v>6.6992323796231679</v>
      </c>
      <c r="H15" s="516" t="s">
        <v>970</v>
      </c>
      <c r="I15" s="517" t="s">
        <v>29</v>
      </c>
      <c r="J15" s="522">
        <f>J14/Input!D22/3</f>
        <v>1.1497967736471277</v>
      </c>
      <c r="AI15">
        <v>11</v>
      </c>
      <c r="AJ15">
        <v>334</v>
      </c>
    </row>
    <row r="16" spans="2:36" ht="13.5" thickBot="1">
      <c r="B16" s="527" t="s">
        <v>407</v>
      </c>
      <c r="C16" s="361">
        <v>757</v>
      </c>
      <c r="D16" s="192">
        <v>17.608746220051174</v>
      </c>
      <c r="E16" s="361">
        <v>183</v>
      </c>
      <c r="F16" s="543">
        <v>4.2568039078855548</v>
      </c>
      <c r="AI16">
        <v>12</v>
      </c>
      <c r="AJ16">
        <v>365</v>
      </c>
    </row>
    <row r="17" spans="1:14" ht="13.5" thickBot="1">
      <c r="B17" s="527" t="s">
        <v>408</v>
      </c>
      <c r="C17" s="361">
        <v>538</v>
      </c>
      <c r="D17" s="192">
        <v>12.514538264712725</v>
      </c>
      <c r="E17" s="361">
        <v>196</v>
      </c>
      <c r="F17" s="543">
        <v>4.5591998139102117</v>
      </c>
      <c r="H17" s="686" t="s">
        <v>958</v>
      </c>
      <c r="I17" s="687"/>
      <c r="J17" s="688"/>
    </row>
    <row r="18" spans="1:14">
      <c r="B18" s="527" t="s">
        <v>409</v>
      </c>
      <c r="C18" s="361">
        <v>631</v>
      </c>
      <c r="D18" s="192">
        <v>14.677832053966039</v>
      </c>
      <c r="E18" s="361">
        <v>149</v>
      </c>
      <c r="F18" s="543">
        <v>3.4659223075133752</v>
      </c>
      <c r="H18" s="524" t="s">
        <v>401</v>
      </c>
      <c r="I18" s="525" t="s">
        <v>924</v>
      </c>
      <c r="J18" s="526">
        <f>'imf input text'!E140*35.315*60/'imf input text'!E47/Sizing_Factor</f>
        <v>99.999999999999986</v>
      </c>
    </row>
    <row r="19" spans="1:14" ht="13.5" thickBot="1">
      <c r="B19" s="527" t="s">
        <v>410</v>
      </c>
      <c r="C19" s="361">
        <v>430</v>
      </c>
      <c r="D19" s="192">
        <v>10.002326122354036</v>
      </c>
      <c r="E19" s="361">
        <v>251</v>
      </c>
      <c r="F19" s="543">
        <v>5.8385671086299142</v>
      </c>
      <c r="H19" s="527" t="s">
        <v>402</v>
      </c>
      <c r="I19" s="501" t="s">
        <v>924</v>
      </c>
      <c r="J19" s="528">
        <f>'imf input text'!E134*35.315*60/'imf input text'!E26/Sizing_Factor</f>
        <v>100.00000000000001</v>
      </c>
    </row>
    <row r="20" spans="1:14">
      <c r="B20" s="524" t="s">
        <v>401</v>
      </c>
      <c r="C20" s="540">
        <v>361</v>
      </c>
      <c r="D20" s="541">
        <v>8.3973016980693185</v>
      </c>
      <c r="E20" s="540">
        <v>463</v>
      </c>
      <c r="F20" s="542">
        <v>10.769946499185858</v>
      </c>
      <c r="H20" s="527" t="s">
        <v>403</v>
      </c>
      <c r="I20" s="501" t="s">
        <v>924</v>
      </c>
      <c r="J20" s="528">
        <f>'imf input text'!E135*35.315*60/'imf input text'!E27/Sizing_Factor</f>
        <v>100.00000000000001</v>
      </c>
    </row>
    <row r="21" spans="1:14">
      <c r="B21" s="527" t="s">
        <v>402</v>
      </c>
      <c r="C21" s="361">
        <v>984</v>
      </c>
      <c r="D21" s="192">
        <v>22.889043963712492</v>
      </c>
      <c r="E21" s="361">
        <v>207</v>
      </c>
      <c r="F21" s="543">
        <v>4.8150732728541525</v>
      </c>
      <c r="H21" s="527" t="s">
        <v>404</v>
      </c>
      <c r="I21" s="501" t="s">
        <v>924</v>
      </c>
      <c r="J21" s="597" t="s">
        <v>1055</v>
      </c>
    </row>
    <row r="22" spans="1:14" ht="13.5" thickBot="1">
      <c r="B22" s="527" t="s">
        <v>403</v>
      </c>
      <c r="C22" s="361">
        <v>685</v>
      </c>
      <c r="D22" s="192">
        <v>15.933938125145383</v>
      </c>
      <c r="E22" s="361">
        <v>226</v>
      </c>
      <c r="F22" s="543">
        <v>5.2570365201209581</v>
      </c>
      <c r="H22" s="529" t="s">
        <v>405</v>
      </c>
      <c r="I22" s="530" t="s">
        <v>924</v>
      </c>
      <c r="J22" s="531">
        <f>'imf input text'!E137*35.315*60/'imf input text'!E29/Sizing_Factor</f>
        <v>100</v>
      </c>
    </row>
    <row r="23" spans="1:14">
      <c r="B23" s="527" t="s">
        <v>404</v>
      </c>
      <c r="C23" s="361">
        <v>716</v>
      </c>
      <c r="D23" s="192">
        <v>16.655036054896488</v>
      </c>
      <c r="E23" s="361">
        <v>193</v>
      </c>
      <c r="F23" s="543">
        <v>4.4894161432891373</v>
      </c>
      <c r="H23" s="524" t="s">
        <v>406</v>
      </c>
      <c r="I23" s="525" t="s">
        <v>924</v>
      </c>
      <c r="J23" s="526">
        <f>'imf input text'!E139*35.315*60/'imf input text'!E46/Sizing_Factor</f>
        <v>99.999999999999986</v>
      </c>
      <c r="K23" s="443"/>
      <c r="N23" s="443"/>
    </row>
    <row r="24" spans="1:14" ht="13.5" thickBot="1">
      <c r="B24" s="529" t="s">
        <v>405</v>
      </c>
      <c r="C24" s="544">
        <v>572</v>
      </c>
      <c r="D24" s="545">
        <v>13.305419865084904</v>
      </c>
      <c r="E24" s="544">
        <v>269</v>
      </c>
      <c r="F24" s="546">
        <v>6.2572691323563623</v>
      </c>
      <c r="H24" s="527" t="s">
        <v>407</v>
      </c>
      <c r="I24" s="501" t="s">
        <v>924</v>
      </c>
      <c r="J24" s="528">
        <f>'imf input text'!E130*35.315*60/'imf input text'!E22/Sizing_Factor</f>
        <v>99.999999999999986</v>
      </c>
      <c r="K24" s="443"/>
      <c r="N24" s="442"/>
    </row>
    <row r="25" spans="1:14">
      <c r="H25" s="527" t="s">
        <v>408</v>
      </c>
      <c r="I25" s="501" t="s">
        <v>924</v>
      </c>
      <c r="J25" s="528">
        <f>'imf input text'!E131*35.315*60/'imf input text'!E23/Sizing_Factor</f>
        <v>99.999999999999986</v>
      </c>
      <c r="K25" s="443"/>
      <c r="N25" s="442"/>
    </row>
    <row r="26" spans="1:14" ht="13.5" thickBot="1">
      <c r="B26" s="359"/>
      <c r="H26" s="527" t="s">
        <v>409</v>
      </c>
      <c r="I26" s="501" t="s">
        <v>924</v>
      </c>
      <c r="J26" s="597" t="s">
        <v>1055</v>
      </c>
      <c r="K26" s="443"/>
      <c r="N26" s="442"/>
    </row>
    <row r="27" spans="1:14" ht="13.5" thickBot="1">
      <c r="B27" s="683"/>
      <c r="C27" s="684"/>
      <c r="D27" s="684"/>
      <c r="E27" s="684"/>
      <c r="F27" s="685"/>
      <c r="H27" s="529" t="s">
        <v>410</v>
      </c>
      <c r="I27" s="530" t="s">
        <v>924</v>
      </c>
      <c r="J27" s="531">
        <f>'imf input text'!E133*35.315*60/'imf input text'!E25/Sizing_Factor</f>
        <v>100.00000000000001</v>
      </c>
      <c r="K27" s="443"/>
      <c r="N27" s="442"/>
    </row>
    <row r="28" spans="1:14">
      <c r="B28" s="510" t="s">
        <v>876</v>
      </c>
      <c r="C28" s="360" t="s">
        <v>212</v>
      </c>
      <c r="D28" s="592">
        <v>1</v>
      </c>
      <c r="F28" s="557"/>
      <c r="H28" s="524" t="s">
        <v>72</v>
      </c>
      <c r="I28" s="525" t="s">
        <v>924</v>
      </c>
      <c r="J28" s="526">
        <f>'imf input text'!E138*35.315*60/UFAD_Int_NumDiffs_GF/Sizing_Factor</f>
        <v>99.999999999999986</v>
      </c>
      <c r="K28" s="443"/>
      <c r="N28" s="442"/>
    </row>
    <row r="29" spans="1:14">
      <c r="A29" s="359"/>
      <c r="B29" s="558" t="s">
        <v>877</v>
      </c>
      <c r="C29" s="360" t="s">
        <v>212</v>
      </c>
      <c r="D29" s="592">
        <v>1</v>
      </c>
      <c r="F29" s="557"/>
      <c r="H29" s="527" t="s">
        <v>73</v>
      </c>
      <c r="I29" s="501" t="s">
        <v>924</v>
      </c>
      <c r="J29" s="528">
        <f>FSFan_Max_CoolingAir_GFEast*35.315*60/UFAD_NumDiffs_GFE/Sizing_Factor</f>
        <v>99.999999999999986</v>
      </c>
      <c r="K29" s="443"/>
      <c r="N29" s="442"/>
    </row>
    <row r="30" spans="1:14">
      <c r="B30" s="558" t="s">
        <v>878</v>
      </c>
      <c r="C30" s="360" t="s">
        <v>212</v>
      </c>
      <c r="D30" s="592">
        <v>1</v>
      </c>
      <c r="F30" s="557"/>
      <c r="H30" s="527" t="s">
        <v>74</v>
      </c>
      <c r="I30" s="501" t="s">
        <v>924</v>
      </c>
      <c r="J30" s="528">
        <f>'imf input text'!E127*35.315*60/'imf input text'!E19/Sizing_Factor</f>
        <v>99.999999999999986</v>
      </c>
      <c r="K30" s="443"/>
      <c r="N30" s="442"/>
    </row>
    <row r="31" spans="1:14">
      <c r="B31" s="558" t="s">
        <v>879</v>
      </c>
      <c r="C31" s="360" t="s">
        <v>212</v>
      </c>
      <c r="D31" s="592">
        <v>1</v>
      </c>
      <c r="F31" s="557"/>
      <c r="H31" s="527" t="s">
        <v>399</v>
      </c>
      <c r="I31" s="501" t="s">
        <v>924</v>
      </c>
      <c r="J31" s="597" t="s">
        <v>1055</v>
      </c>
      <c r="K31" s="443"/>
      <c r="N31" s="442"/>
    </row>
    <row r="32" spans="1:14" ht="13.5" thickBot="1">
      <c r="B32" s="559" t="s">
        <v>696</v>
      </c>
      <c r="C32" s="360" t="s">
        <v>212</v>
      </c>
      <c r="D32" s="592">
        <v>0.3</v>
      </c>
      <c r="F32" s="557"/>
      <c r="H32" s="529" t="s">
        <v>400</v>
      </c>
      <c r="I32" s="530" t="s">
        <v>924</v>
      </c>
      <c r="J32" s="531">
        <f>'imf input text'!E129*35.315*60/'imf input text'!E21/Sizing_Factor</f>
        <v>100.00000000000001</v>
      </c>
      <c r="K32" s="443"/>
      <c r="N32" s="442"/>
    </row>
    <row r="33" spans="2:14" ht="13.5" thickBot="1">
      <c r="B33" s="560" t="s">
        <v>960</v>
      </c>
      <c r="C33" s="680" t="s">
        <v>350</v>
      </c>
      <c r="D33" s="681"/>
      <c r="E33" s="680" t="s">
        <v>351</v>
      </c>
      <c r="F33" s="682"/>
      <c r="K33" s="443"/>
      <c r="N33" s="442"/>
    </row>
    <row r="34" spans="2:14" ht="13.5" thickBot="1">
      <c r="B34" s="561" t="s">
        <v>911</v>
      </c>
      <c r="C34" s="517" t="s">
        <v>925</v>
      </c>
      <c r="D34" s="562" t="s">
        <v>880</v>
      </c>
      <c r="E34" s="517" t="s">
        <v>925</v>
      </c>
      <c r="F34" s="563" t="s">
        <v>880</v>
      </c>
      <c r="H34" s="683" t="s">
        <v>962</v>
      </c>
      <c r="I34" s="684"/>
      <c r="J34" s="684"/>
      <c r="K34" s="685"/>
      <c r="N34" s="442"/>
    </row>
    <row r="35" spans="2:14" ht="13.5" thickBot="1">
      <c r="B35" s="524" t="s">
        <v>72</v>
      </c>
      <c r="C35" s="540">
        <v>0</v>
      </c>
      <c r="D35" s="541">
        <v>0</v>
      </c>
      <c r="E35" s="540">
        <v>11</v>
      </c>
      <c r="F35" s="542">
        <v>100</v>
      </c>
      <c r="H35" s="554" t="s">
        <v>959</v>
      </c>
      <c r="I35" s="555" t="s">
        <v>930</v>
      </c>
      <c r="J35" s="555" t="s">
        <v>523</v>
      </c>
      <c r="K35" s="556" t="s">
        <v>929</v>
      </c>
      <c r="N35" s="442"/>
    </row>
    <row r="36" spans="2:14">
      <c r="B36" s="527" t="s">
        <v>73</v>
      </c>
      <c r="C36" s="361">
        <v>0</v>
      </c>
      <c r="D36" s="192">
        <v>0</v>
      </c>
      <c r="E36" s="361">
        <v>7</v>
      </c>
      <c r="F36" s="543">
        <v>63.636363636363633</v>
      </c>
      <c r="H36" s="532" t="s">
        <v>401</v>
      </c>
      <c r="I36" s="533">
        <v>0.50595720793779309</v>
      </c>
      <c r="J36" s="533">
        <v>0.42160837915027666</v>
      </c>
      <c r="K36" s="534">
        <v>7.2434412911930132E-2</v>
      </c>
      <c r="N36" s="442"/>
    </row>
    <row r="37" spans="2:14">
      <c r="B37" s="527" t="s">
        <v>74</v>
      </c>
      <c r="C37" s="361">
        <v>0</v>
      </c>
      <c r="D37" s="192">
        <v>0</v>
      </c>
      <c r="E37" s="361">
        <v>7</v>
      </c>
      <c r="F37" s="543">
        <v>63.636363636363633</v>
      </c>
      <c r="H37" s="510" t="s">
        <v>402</v>
      </c>
      <c r="I37" s="440">
        <v>0.28871462803429576</v>
      </c>
      <c r="J37" s="440">
        <v>0.62376573509164357</v>
      </c>
      <c r="K37" s="535">
        <v>8.7519636874060544E-2</v>
      </c>
      <c r="N37" s="442"/>
    </row>
    <row r="38" spans="2:14">
      <c r="B38" s="527" t="s">
        <v>399</v>
      </c>
      <c r="C38" s="361">
        <v>0</v>
      </c>
      <c r="D38" s="192">
        <v>0</v>
      </c>
      <c r="E38" s="361">
        <v>6</v>
      </c>
      <c r="F38" s="543">
        <v>54.545454545454547</v>
      </c>
      <c r="H38" s="510" t="s">
        <v>403</v>
      </c>
      <c r="I38" s="440">
        <v>0.22475826148434749</v>
      </c>
      <c r="J38" s="440">
        <v>0.64645838372404341</v>
      </c>
      <c r="K38" s="535">
        <v>0.12878335479160913</v>
      </c>
    </row>
    <row r="39" spans="2:14" ht="13.5" thickBot="1">
      <c r="B39" s="529" t="s">
        <v>400</v>
      </c>
      <c r="C39" s="544">
        <v>0</v>
      </c>
      <c r="D39" s="545">
        <v>0</v>
      </c>
      <c r="E39" s="544">
        <v>6</v>
      </c>
      <c r="F39" s="546">
        <v>54.545454545454547</v>
      </c>
      <c r="H39" s="510" t="s">
        <v>404</v>
      </c>
      <c r="I39" s="440">
        <v>0.27680133938091689</v>
      </c>
      <c r="J39" s="440">
        <v>0.55566433193520892</v>
      </c>
      <c r="K39" s="535">
        <v>0.16753432868387433</v>
      </c>
    </row>
    <row r="40" spans="2:14" ht="13.5" thickBot="1">
      <c r="B40" s="524" t="s">
        <v>406</v>
      </c>
      <c r="C40" s="540">
        <v>0</v>
      </c>
      <c r="D40" s="541">
        <v>0</v>
      </c>
      <c r="E40" s="540">
        <v>11</v>
      </c>
      <c r="F40" s="542">
        <v>100</v>
      </c>
      <c r="H40" s="536" t="s">
        <v>405</v>
      </c>
      <c r="I40" s="537">
        <v>0.2872756314909603</v>
      </c>
      <c r="J40" s="537">
        <v>0.55074902097170031</v>
      </c>
      <c r="K40" s="538">
        <v>0.1619753475373393</v>
      </c>
    </row>
    <row r="41" spans="2:14">
      <c r="B41" s="527" t="s">
        <v>407</v>
      </c>
      <c r="C41" s="361">
        <v>0</v>
      </c>
      <c r="D41" s="192">
        <v>0</v>
      </c>
      <c r="E41" s="361">
        <v>6</v>
      </c>
      <c r="F41" s="543">
        <v>54.545454545454547</v>
      </c>
      <c r="H41" s="524" t="s">
        <v>406</v>
      </c>
      <c r="I41" s="533">
        <v>0.49781562065978052</v>
      </c>
      <c r="J41" s="533">
        <v>0.50117963875482729</v>
      </c>
      <c r="K41" s="539">
        <v>1.0047405853921632E-3</v>
      </c>
    </row>
    <row r="42" spans="2:14">
      <c r="B42" s="527" t="s">
        <v>408</v>
      </c>
      <c r="C42" s="361">
        <v>0</v>
      </c>
      <c r="D42" s="192">
        <v>0</v>
      </c>
      <c r="E42" s="361">
        <v>6</v>
      </c>
      <c r="F42" s="543">
        <v>54.545454545454547</v>
      </c>
      <c r="H42" s="527" t="s">
        <v>407</v>
      </c>
      <c r="I42" s="440">
        <v>0.29806633665087795</v>
      </c>
      <c r="J42" s="440">
        <v>0.66771708795827089</v>
      </c>
      <c r="K42" s="535">
        <v>3.4216575390851163E-2</v>
      </c>
    </row>
    <row r="43" spans="2:14">
      <c r="B43" s="527" t="s">
        <v>409</v>
      </c>
      <c r="C43" s="361">
        <v>0</v>
      </c>
      <c r="D43" s="192">
        <v>0</v>
      </c>
      <c r="E43" s="361">
        <v>5</v>
      </c>
      <c r="F43" s="543">
        <v>45.454545454545453</v>
      </c>
      <c r="H43" s="527" t="s">
        <v>408</v>
      </c>
      <c r="I43" s="440">
        <v>0.24191648248092257</v>
      </c>
      <c r="J43" s="440">
        <v>0.72215718347262625</v>
      </c>
      <c r="K43" s="535">
        <v>3.5926334046451083E-2</v>
      </c>
    </row>
    <row r="44" spans="2:14" ht="13.5" thickBot="1">
      <c r="B44" s="527" t="s">
        <v>410</v>
      </c>
      <c r="C44" s="361">
        <v>0</v>
      </c>
      <c r="D44" s="192">
        <v>0</v>
      </c>
      <c r="E44" s="361">
        <v>6</v>
      </c>
      <c r="F44" s="543">
        <v>54.545454545454547</v>
      </c>
      <c r="H44" s="527" t="s">
        <v>409</v>
      </c>
      <c r="I44" s="440">
        <v>0.31441397609035671</v>
      </c>
      <c r="J44" s="440">
        <v>0.64223995186273419</v>
      </c>
      <c r="K44" s="535">
        <v>4.3346072046909177E-2</v>
      </c>
    </row>
    <row r="45" spans="2:14" ht="13.5" thickBot="1">
      <c r="B45" s="524" t="s">
        <v>401</v>
      </c>
      <c r="C45" s="540">
        <v>0</v>
      </c>
      <c r="D45" s="541">
        <v>0</v>
      </c>
      <c r="E45" s="540">
        <v>11</v>
      </c>
      <c r="F45" s="542">
        <v>100</v>
      </c>
      <c r="H45" s="529" t="s">
        <v>410</v>
      </c>
      <c r="I45" s="537">
        <v>0.38549756272448671</v>
      </c>
      <c r="J45" s="537">
        <v>0.58290496543815173</v>
      </c>
      <c r="K45" s="538">
        <v>3.1597471837361599E-2</v>
      </c>
    </row>
    <row r="46" spans="2:14">
      <c r="B46" s="527" t="s">
        <v>402</v>
      </c>
      <c r="C46" s="361">
        <v>0</v>
      </c>
      <c r="D46" s="192">
        <v>0</v>
      </c>
      <c r="E46" s="361">
        <v>7</v>
      </c>
      <c r="F46" s="543">
        <v>63.636363636363633</v>
      </c>
      <c r="H46" s="532" t="s">
        <v>72</v>
      </c>
      <c r="I46" s="533">
        <v>0.37410617717193612</v>
      </c>
      <c r="J46" s="533">
        <v>0.62589382282806394</v>
      </c>
      <c r="K46" s="534">
        <v>0</v>
      </c>
    </row>
    <row r="47" spans="2:14">
      <c r="B47" s="527" t="s">
        <v>403</v>
      </c>
      <c r="C47" s="361">
        <v>0</v>
      </c>
      <c r="D47" s="192">
        <v>0</v>
      </c>
      <c r="E47" s="361">
        <v>7</v>
      </c>
      <c r="F47" s="543">
        <v>63.636363636363633</v>
      </c>
      <c r="H47" s="510" t="s">
        <v>73</v>
      </c>
      <c r="I47" s="440">
        <v>0.16767926578149486</v>
      </c>
      <c r="J47" s="440">
        <v>0.82087322205115398</v>
      </c>
      <c r="K47" s="535">
        <v>1.1447512167351083E-2</v>
      </c>
    </row>
    <row r="48" spans="2:14">
      <c r="B48" s="527" t="s">
        <v>404</v>
      </c>
      <c r="C48" s="361">
        <v>0</v>
      </c>
      <c r="D48" s="192">
        <v>0</v>
      </c>
      <c r="E48" s="361">
        <v>6</v>
      </c>
      <c r="F48" s="543">
        <v>54.545454545454547</v>
      </c>
      <c r="H48" s="510" t="s">
        <v>74</v>
      </c>
      <c r="I48" s="440">
        <v>0.15279751713568854</v>
      </c>
      <c r="J48" s="440">
        <v>0.82397606703185056</v>
      </c>
      <c r="K48" s="535">
        <v>2.3226415832460889E-2</v>
      </c>
    </row>
    <row r="49" spans="2:11" ht="13.5" thickBot="1">
      <c r="B49" s="529" t="s">
        <v>405</v>
      </c>
      <c r="C49" s="544">
        <v>0</v>
      </c>
      <c r="D49" s="545">
        <v>0</v>
      </c>
      <c r="E49" s="544">
        <v>7</v>
      </c>
      <c r="F49" s="546">
        <v>63.636363636363633</v>
      </c>
      <c r="H49" s="510" t="s">
        <v>399</v>
      </c>
      <c r="I49" s="440">
        <v>0.18113093911118794</v>
      </c>
      <c r="J49" s="440">
        <v>0.80095943098068656</v>
      </c>
      <c r="K49" s="535">
        <v>1.7909629908125502E-2</v>
      </c>
    </row>
    <row r="50" spans="2:11" ht="13.5" thickBot="1">
      <c r="H50" s="536" t="s">
        <v>400</v>
      </c>
      <c r="I50" s="537">
        <v>0.36649766889176816</v>
      </c>
      <c r="J50" s="537">
        <v>0.41766608726682553</v>
      </c>
      <c r="K50" s="538">
        <v>0.21583624384140643</v>
      </c>
    </row>
  </sheetData>
  <mergeCells count="9">
    <mergeCell ref="C33:D33"/>
    <mergeCell ref="E33:F33"/>
    <mergeCell ref="H34:K34"/>
    <mergeCell ref="B2:F2"/>
    <mergeCell ref="C8:D8"/>
    <mergeCell ref="E8:F8"/>
    <mergeCell ref="H2:J2"/>
    <mergeCell ref="H17:J17"/>
    <mergeCell ref="B27:F27"/>
  </mergeCells>
  <phoneticPr fontId="72" type="noConversion"/>
  <dataValidations count="1">
    <dataValidation type="list" allowBlank="1" showInputMessage="1" showErrorMessage="1" sqref="D5 D3 D30 D28">
      <formula1>"1,2,3,4,5,6,7,8,9,10,11,12"</formula1>
    </dataValidation>
  </dataValidations>
  <pageMargins left="0.7" right="0.7" top="0.75" bottom="0.75" header="0.3" footer="0.3"/>
  <pageSetup paperSize="1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TimeSetpoint_NotMet">
                <anchor moveWithCells="1" sizeWithCells="1">
                  <from>
                    <xdr:col>4</xdr:col>
                    <xdr:colOff>0</xdr:colOff>
                    <xdr:row>2</xdr:row>
                    <xdr:rowOff>0</xdr:rowOff>
                  </from>
                  <to>
                    <xdr:col>5</xdr:col>
                    <xdr:colOff>581025</xdr:colOff>
                    <xdr:row>6</xdr:row>
                    <xdr:rowOff>152400</xdr:rowOff>
                  </to>
                </anchor>
              </controlPr>
            </control>
          </mc:Choice>
        </mc:AlternateContent>
        <mc:AlternateContent xmlns:mc="http://schemas.openxmlformats.org/markup-compatibility/2006">
          <mc:Choice Requires="x14">
            <control shapeId="228359" r:id="rId5" name="Button 7">
              <controlPr defaultSize="0" print="0" autoFill="0" autoPict="0" macro="[0]!PMVSetpoint_NotMet">
                <anchor moveWithCells="1" sizeWithCells="1">
                  <from>
                    <xdr:col>4</xdr:col>
                    <xdr:colOff>0</xdr:colOff>
                    <xdr:row>27</xdr:row>
                    <xdr:rowOff>0</xdr:rowOff>
                  </from>
                  <to>
                    <xdr:col>5</xdr:col>
                    <xdr:colOff>581025</xdr:colOff>
                    <xdr:row>31</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A1:S1373"/>
  <sheetViews>
    <sheetView zoomScaleNormal="100" workbookViewId="0"/>
  </sheetViews>
  <sheetFormatPr defaultRowHeight="12.75"/>
  <cols>
    <col min="2" max="2" width="21" customWidth="1"/>
    <col min="7" max="7" width="17.28515625" customWidth="1"/>
  </cols>
  <sheetData>
    <row r="1" spans="1:4">
      <c r="A1" t="s">
        <v>1908</v>
      </c>
      <c r="B1" t="s">
        <v>1909</v>
      </c>
      <c r="C1" t="s">
        <v>1910</v>
      </c>
      <c r="D1" t="s">
        <v>2989</v>
      </c>
    </row>
    <row r="2" spans="1:4">
      <c r="A2" t="s">
        <v>1911</v>
      </c>
      <c r="B2" t="s">
        <v>1912</v>
      </c>
    </row>
    <row r="4" spans="1:4">
      <c r="A4" t="s">
        <v>1913</v>
      </c>
      <c r="B4" t="s">
        <v>356</v>
      </c>
    </row>
    <row r="5" spans="1:4">
      <c r="A5" t="s">
        <v>1914</v>
      </c>
      <c r="B5" t="s">
        <v>2490</v>
      </c>
    </row>
    <row r="7" spans="1:4">
      <c r="A7" t="s">
        <v>1915</v>
      </c>
    </row>
    <row r="8" spans="1:4">
      <c r="A8" t="s">
        <v>1916</v>
      </c>
      <c r="B8" t="s">
        <v>1917</v>
      </c>
    </row>
    <row r="9" spans="1:4">
      <c r="A9" t="s">
        <v>1918</v>
      </c>
      <c r="B9" t="s">
        <v>1919</v>
      </c>
    </row>
    <row r="10" spans="1:4">
      <c r="A10" t="s">
        <v>2620</v>
      </c>
    </row>
    <row r="12" spans="1:4">
      <c r="A12" t="s">
        <v>2621</v>
      </c>
    </row>
    <row r="16" spans="1:4">
      <c r="A16" t="s">
        <v>1920</v>
      </c>
    </row>
    <row r="18" spans="1:5">
      <c r="C18" t="s">
        <v>1921</v>
      </c>
      <c r="D18" t="s">
        <v>1922</v>
      </c>
      <c r="E18" t="s">
        <v>1923</v>
      </c>
    </row>
    <row r="19" spans="1:5">
      <c r="B19" t="s">
        <v>1924</v>
      </c>
      <c r="C19">
        <v>0</v>
      </c>
      <c r="D19">
        <v>0</v>
      </c>
      <c r="E19">
        <v>0</v>
      </c>
    </row>
    <row r="20" spans="1:5">
      <c r="B20" t="s">
        <v>1925</v>
      </c>
      <c r="C20">
        <v>0</v>
      </c>
      <c r="D20">
        <v>0</v>
      </c>
      <c r="E20">
        <v>0</v>
      </c>
    </row>
    <row r="21" spans="1:5">
      <c r="B21" t="s">
        <v>1926</v>
      </c>
      <c r="C21">
        <v>0</v>
      </c>
      <c r="D21">
        <v>0</v>
      </c>
      <c r="E21">
        <v>0</v>
      </c>
    </row>
    <row r="22" spans="1:5">
      <c r="B22" t="s">
        <v>1927</v>
      </c>
      <c r="C22">
        <v>0</v>
      </c>
      <c r="D22">
        <v>0</v>
      </c>
      <c r="E22">
        <v>0</v>
      </c>
    </row>
    <row r="25" spans="1:5">
      <c r="A25" t="s">
        <v>1928</v>
      </c>
    </row>
    <row r="27" spans="1:5">
      <c r="C27" t="s">
        <v>1929</v>
      </c>
    </row>
    <row r="28" spans="1:5">
      <c r="B28" t="s">
        <v>1930</v>
      </c>
      <c r="C28">
        <v>3.1669999999999998</v>
      </c>
    </row>
    <row r="29" spans="1:5">
      <c r="B29" t="s">
        <v>1931</v>
      </c>
      <c r="C29">
        <v>1.0840000000000001</v>
      </c>
    </row>
    <row r="30" spans="1:5">
      <c r="B30" t="s">
        <v>1932</v>
      </c>
      <c r="C30">
        <v>1.056</v>
      </c>
    </row>
    <row r="31" spans="1:5">
      <c r="B31" t="s">
        <v>1933</v>
      </c>
      <c r="C31">
        <v>3.613</v>
      </c>
    </row>
    <row r="32" spans="1:5">
      <c r="B32" t="s">
        <v>1934</v>
      </c>
      <c r="C32">
        <v>0.3</v>
      </c>
    </row>
    <row r="33" spans="1:3">
      <c r="B33" t="s">
        <v>1935</v>
      </c>
      <c r="C33">
        <v>1.05</v>
      </c>
    </row>
    <row r="34" spans="1:3">
      <c r="B34" t="s">
        <v>1936</v>
      </c>
      <c r="C34">
        <v>1.05</v>
      </c>
    </row>
    <row r="35" spans="1:3">
      <c r="B35" t="s">
        <v>1937</v>
      </c>
      <c r="C35">
        <v>1.05</v>
      </c>
    </row>
    <row r="36" spans="1:3">
      <c r="B36" t="s">
        <v>1938</v>
      </c>
      <c r="C36">
        <v>1.05</v>
      </c>
    </row>
    <row r="37" spans="1:3">
      <c r="B37" t="s">
        <v>1939</v>
      </c>
      <c r="C37">
        <v>1.05</v>
      </c>
    </row>
    <row r="38" spans="1:3">
      <c r="B38" t="s">
        <v>1940</v>
      </c>
      <c r="C38">
        <v>1.05</v>
      </c>
    </row>
    <row r="41" spans="1:3">
      <c r="A41" t="s">
        <v>1941</v>
      </c>
    </row>
    <row r="43" spans="1:3">
      <c r="C43" t="s">
        <v>1942</v>
      </c>
    </row>
    <row r="44" spans="1:3">
      <c r="B44" t="s">
        <v>1943</v>
      </c>
      <c r="C44">
        <v>16728.63</v>
      </c>
    </row>
    <row r="45" spans="1:3">
      <c r="B45" t="s">
        <v>1944</v>
      </c>
      <c r="C45">
        <v>16728.63</v>
      </c>
    </row>
    <row r="46" spans="1:3">
      <c r="B46" t="s">
        <v>1945</v>
      </c>
      <c r="C46">
        <v>0</v>
      </c>
    </row>
    <row r="49" spans="1:8">
      <c r="A49" t="s">
        <v>1946</v>
      </c>
    </row>
    <row r="51" spans="1:8">
      <c r="C51" t="s">
        <v>1947</v>
      </c>
      <c r="D51" t="s">
        <v>1948</v>
      </c>
      <c r="E51" t="s">
        <v>1949</v>
      </c>
      <c r="F51" t="s">
        <v>1950</v>
      </c>
      <c r="G51" t="s">
        <v>1951</v>
      </c>
      <c r="H51" t="s">
        <v>1952</v>
      </c>
    </row>
    <row r="52" spans="1:8">
      <c r="B52" t="s">
        <v>351</v>
      </c>
      <c r="C52">
        <v>0</v>
      </c>
      <c r="D52">
        <v>0</v>
      </c>
      <c r="E52">
        <v>0</v>
      </c>
      <c r="F52">
        <v>0</v>
      </c>
      <c r="G52">
        <v>0</v>
      </c>
      <c r="H52">
        <v>0</v>
      </c>
    </row>
    <row r="53" spans="1:8">
      <c r="B53" t="s">
        <v>350</v>
      </c>
      <c r="C53">
        <v>0</v>
      </c>
      <c r="D53">
        <v>0</v>
      </c>
      <c r="E53">
        <v>0</v>
      </c>
      <c r="F53">
        <v>0</v>
      </c>
      <c r="G53">
        <v>0</v>
      </c>
      <c r="H53">
        <v>0</v>
      </c>
    </row>
    <row r="54" spans="1:8">
      <c r="B54" t="s">
        <v>1953</v>
      </c>
      <c r="C54">
        <v>0</v>
      </c>
      <c r="D54">
        <v>0</v>
      </c>
      <c r="E54">
        <v>0</v>
      </c>
      <c r="F54">
        <v>0</v>
      </c>
      <c r="G54">
        <v>0</v>
      </c>
      <c r="H54">
        <v>0</v>
      </c>
    </row>
    <row r="55" spans="1:8">
      <c r="B55" t="s">
        <v>1954</v>
      </c>
      <c r="C55">
        <v>0</v>
      </c>
      <c r="D55">
        <v>0</v>
      </c>
      <c r="E55">
        <v>0</v>
      </c>
      <c r="F55">
        <v>0</v>
      </c>
      <c r="G55">
        <v>0</v>
      </c>
      <c r="H55">
        <v>0</v>
      </c>
    </row>
    <row r="56" spans="1:8">
      <c r="B56" t="s">
        <v>1955</v>
      </c>
      <c r="C56">
        <v>0</v>
      </c>
      <c r="D56">
        <v>0</v>
      </c>
      <c r="E56">
        <v>0</v>
      </c>
      <c r="F56">
        <v>0</v>
      </c>
      <c r="G56">
        <v>0</v>
      </c>
      <c r="H56">
        <v>0</v>
      </c>
    </row>
    <row r="57" spans="1:8">
      <c r="B57" t="s">
        <v>1956</v>
      </c>
      <c r="C57">
        <v>0</v>
      </c>
      <c r="D57">
        <v>0</v>
      </c>
      <c r="E57">
        <v>0</v>
      </c>
      <c r="F57">
        <v>0</v>
      </c>
      <c r="G57">
        <v>0</v>
      </c>
      <c r="H57">
        <v>0</v>
      </c>
    </row>
    <row r="58" spans="1:8">
      <c r="B58" t="s">
        <v>502</v>
      </c>
      <c r="C58">
        <v>0</v>
      </c>
      <c r="D58">
        <v>0</v>
      </c>
      <c r="E58">
        <v>0</v>
      </c>
      <c r="F58">
        <v>0</v>
      </c>
      <c r="G58">
        <v>0</v>
      </c>
      <c r="H58">
        <v>0</v>
      </c>
    </row>
    <row r="59" spans="1:8">
      <c r="B59" t="s">
        <v>1957</v>
      </c>
      <c r="C59">
        <v>0</v>
      </c>
      <c r="D59">
        <v>0</v>
      </c>
      <c r="E59">
        <v>0</v>
      </c>
      <c r="F59">
        <v>0</v>
      </c>
      <c r="G59">
        <v>0</v>
      </c>
      <c r="H59">
        <v>0</v>
      </c>
    </row>
    <row r="60" spans="1:8">
      <c r="B60" t="s">
        <v>1958</v>
      </c>
      <c r="C60">
        <v>0</v>
      </c>
      <c r="D60">
        <v>0</v>
      </c>
      <c r="E60">
        <v>0</v>
      </c>
      <c r="F60">
        <v>0</v>
      </c>
      <c r="G60">
        <v>0</v>
      </c>
      <c r="H60">
        <v>0</v>
      </c>
    </row>
    <row r="61" spans="1:8">
      <c r="B61" t="s">
        <v>1959</v>
      </c>
      <c r="C61">
        <v>0</v>
      </c>
      <c r="D61">
        <v>0</v>
      </c>
      <c r="E61">
        <v>0</v>
      </c>
      <c r="F61">
        <v>0</v>
      </c>
      <c r="G61">
        <v>0</v>
      </c>
      <c r="H61">
        <v>0</v>
      </c>
    </row>
    <row r="62" spans="1:8">
      <c r="B62" t="s">
        <v>503</v>
      </c>
      <c r="C62">
        <v>0</v>
      </c>
      <c r="D62">
        <v>0</v>
      </c>
      <c r="E62">
        <v>0</v>
      </c>
      <c r="F62">
        <v>0</v>
      </c>
      <c r="G62">
        <v>0</v>
      </c>
      <c r="H62">
        <v>0</v>
      </c>
    </row>
    <row r="63" spans="1:8">
      <c r="B63" t="s">
        <v>1960</v>
      </c>
      <c r="C63">
        <v>0</v>
      </c>
      <c r="D63">
        <v>0</v>
      </c>
      <c r="E63">
        <v>0</v>
      </c>
      <c r="F63">
        <v>0</v>
      </c>
      <c r="G63">
        <v>0</v>
      </c>
      <c r="H63">
        <v>0</v>
      </c>
    </row>
    <row r="64" spans="1:8">
      <c r="B64" t="s">
        <v>1961</v>
      </c>
      <c r="C64">
        <v>0</v>
      </c>
      <c r="D64">
        <v>0</v>
      </c>
      <c r="E64">
        <v>0</v>
      </c>
      <c r="F64">
        <v>0</v>
      </c>
      <c r="G64">
        <v>0</v>
      </c>
      <c r="H64">
        <v>0</v>
      </c>
    </row>
    <row r="65" spans="1:9">
      <c r="B65" t="s">
        <v>1962</v>
      </c>
      <c r="C65">
        <v>0</v>
      </c>
      <c r="D65">
        <v>0</v>
      </c>
      <c r="E65">
        <v>0</v>
      </c>
      <c r="F65">
        <v>0</v>
      </c>
      <c r="G65">
        <v>0</v>
      </c>
      <c r="H65">
        <v>0</v>
      </c>
    </row>
    <row r="67" spans="1:9">
      <c r="B67" t="s">
        <v>1963</v>
      </c>
      <c r="C67">
        <v>0</v>
      </c>
      <c r="D67">
        <v>0</v>
      </c>
      <c r="E67">
        <v>0</v>
      </c>
      <c r="F67">
        <v>0</v>
      </c>
      <c r="G67">
        <v>0</v>
      </c>
      <c r="H67">
        <v>0</v>
      </c>
    </row>
    <row r="70" spans="1:9">
      <c r="A70" t="s">
        <v>1964</v>
      </c>
    </row>
    <row r="72" spans="1:9">
      <c r="C72" t="s">
        <v>1965</v>
      </c>
      <c r="D72" t="s">
        <v>1947</v>
      </c>
      <c r="E72" t="s">
        <v>1948</v>
      </c>
      <c r="F72" t="s">
        <v>1949</v>
      </c>
      <c r="G72" t="s">
        <v>1950</v>
      </c>
      <c r="H72" t="s">
        <v>1951</v>
      </c>
      <c r="I72" t="s">
        <v>1952</v>
      </c>
    </row>
    <row r="73" spans="1:9">
      <c r="B73" t="s">
        <v>351</v>
      </c>
      <c r="C73" t="s">
        <v>412</v>
      </c>
      <c r="D73">
        <v>0</v>
      </c>
      <c r="E73">
        <v>0</v>
      </c>
      <c r="F73">
        <v>0</v>
      </c>
      <c r="G73">
        <v>0</v>
      </c>
      <c r="H73">
        <v>0</v>
      </c>
      <c r="I73">
        <v>0</v>
      </c>
    </row>
    <row r="74" spans="1:9">
      <c r="C74" t="s">
        <v>1966</v>
      </c>
      <c r="D74">
        <v>0</v>
      </c>
      <c r="E74">
        <v>0</v>
      </c>
      <c r="F74">
        <v>0</v>
      </c>
      <c r="G74">
        <v>0</v>
      </c>
      <c r="H74">
        <v>0</v>
      </c>
      <c r="I74">
        <v>0</v>
      </c>
    </row>
    <row r="75" spans="1:9">
      <c r="B75" t="s">
        <v>350</v>
      </c>
      <c r="C75" t="s">
        <v>1967</v>
      </c>
      <c r="D75">
        <v>0</v>
      </c>
      <c r="E75">
        <v>0</v>
      </c>
      <c r="F75">
        <v>0</v>
      </c>
      <c r="G75">
        <v>0</v>
      </c>
      <c r="H75">
        <v>0</v>
      </c>
      <c r="I75">
        <v>0</v>
      </c>
    </row>
    <row r="76" spans="1:9">
      <c r="B76" t="s">
        <v>1953</v>
      </c>
      <c r="C76" t="s">
        <v>1968</v>
      </c>
      <c r="D76">
        <v>0</v>
      </c>
      <c r="E76">
        <v>0</v>
      </c>
      <c r="F76">
        <v>0</v>
      </c>
      <c r="G76">
        <v>0</v>
      </c>
      <c r="H76">
        <v>0</v>
      </c>
      <c r="I76">
        <v>0</v>
      </c>
    </row>
    <row r="77" spans="1:9">
      <c r="C77" t="s">
        <v>1969</v>
      </c>
      <c r="D77">
        <v>0</v>
      </c>
      <c r="E77">
        <v>0</v>
      </c>
      <c r="F77">
        <v>0</v>
      </c>
      <c r="G77">
        <v>0</v>
      </c>
      <c r="H77">
        <v>0</v>
      </c>
      <c r="I77">
        <v>0</v>
      </c>
    </row>
    <row r="78" spans="1:9">
      <c r="C78" t="s">
        <v>1970</v>
      </c>
      <c r="D78">
        <v>0</v>
      </c>
      <c r="E78">
        <v>0</v>
      </c>
      <c r="F78">
        <v>0</v>
      </c>
      <c r="G78">
        <v>0</v>
      </c>
      <c r="H78">
        <v>0</v>
      </c>
      <c r="I78">
        <v>0</v>
      </c>
    </row>
    <row r="79" spans="1:9">
      <c r="C79" t="s">
        <v>1971</v>
      </c>
      <c r="D79">
        <v>0</v>
      </c>
      <c r="E79">
        <v>0</v>
      </c>
      <c r="F79">
        <v>0</v>
      </c>
      <c r="G79">
        <v>0</v>
      </c>
      <c r="H79">
        <v>0</v>
      </c>
      <c r="I79">
        <v>0</v>
      </c>
    </row>
    <row r="80" spans="1:9">
      <c r="C80" t="s">
        <v>1972</v>
      </c>
      <c r="D80">
        <v>0</v>
      </c>
      <c r="E80">
        <v>0</v>
      </c>
      <c r="F80">
        <v>0</v>
      </c>
      <c r="G80">
        <v>0</v>
      </c>
      <c r="H80">
        <v>0</v>
      </c>
      <c r="I80">
        <v>0</v>
      </c>
    </row>
    <row r="81" spans="2:9">
      <c r="C81" t="s">
        <v>1973</v>
      </c>
      <c r="D81">
        <v>0</v>
      </c>
      <c r="E81">
        <v>0</v>
      </c>
      <c r="F81">
        <v>0</v>
      </c>
      <c r="G81">
        <v>0</v>
      </c>
      <c r="H81">
        <v>0</v>
      </c>
      <c r="I81">
        <v>0</v>
      </c>
    </row>
    <row r="82" spans="2:9">
      <c r="C82" t="s">
        <v>1974</v>
      </c>
      <c r="D82">
        <v>0</v>
      </c>
      <c r="E82">
        <v>0</v>
      </c>
      <c r="F82">
        <v>0</v>
      </c>
      <c r="G82">
        <v>0</v>
      </c>
      <c r="H82">
        <v>0</v>
      </c>
      <c r="I82">
        <v>0</v>
      </c>
    </row>
    <row r="83" spans="2:9">
      <c r="C83" t="s">
        <v>1975</v>
      </c>
      <c r="D83">
        <v>0</v>
      </c>
      <c r="E83">
        <v>0</v>
      </c>
      <c r="F83">
        <v>0</v>
      </c>
      <c r="G83">
        <v>0</v>
      </c>
      <c r="H83">
        <v>0</v>
      </c>
      <c r="I83">
        <v>0</v>
      </c>
    </row>
    <row r="84" spans="2:9">
      <c r="C84" t="s">
        <v>1976</v>
      </c>
      <c r="D84">
        <v>0</v>
      </c>
      <c r="E84">
        <v>0</v>
      </c>
      <c r="F84">
        <v>0</v>
      </c>
      <c r="G84">
        <v>0</v>
      </c>
      <c r="H84">
        <v>0</v>
      </c>
      <c r="I84">
        <v>0</v>
      </c>
    </row>
    <row r="85" spans="2:9">
      <c r="C85" t="s">
        <v>1977</v>
      </c>
      <c r="D85">
        <v>0</v>
      </c>
      <c r="E85">
        <v>0</v>
      </c>
      <c r="F85">
        <v>0</v>
      </c>
      <c r="G85">
        <v>0</v>
      </c>
      <c r="H85">
        <v>0</v>
      </c>
      <c r="I85">
        <v>0</v>
      </c>
    </row>
    <row r="86" spans="2:9">
      <c r="C86" t="s">
        <v>1978</v>
      </c>
      <c r="D86">
        <v>0</v>
      </c>
      <c r="E86">
        <v>0</v>
      </c>
      <c r="F86">
        <v>0</v>
      </c>
      <c r="G86">
        <v>0</v>
      </c>
      <c r="H86">
        <v>0</v>
      </c>
      <c r="I86">
        <v>0</v>
      </c>
    </row>
    <row r="87" spans="2:9">
      <c r="C87" t="s">
        <v>1979</v>
      </c>
      <c r="D87">
        <v>0</v>
      </c>
      <c r="E87">
        <v>0</v>
      </c>
      <c r="F87">
        <v>0</v>
      </c>
      <c r="G87">
        <v>0</v>
      </c>
      <c r="H87">
        <v>0</v>
      </c>
      <c r="I87">
        <v>0</v>
      </c>
    </row>
    <row r="88" spans="2:9">
      <c r="C88" t="s">
        <v>1980</v>
      </c>
      <c r="D88">
        <v>0</v>
      </c>
      <c r="E88">
        <v>0</v>
      </c>
      <c r="F88">
        <v>0</v>
      </c>
      <c r="G88">
        <v>0</v>
      </c>
      <c r="H88">
        <v>0</v>
      </c>
      <c r="I88">
        <v>0</v>
      </c>
    </row>
    <row r="89" spans="2:9">
      <c r="C89" t="s">
        <v>1981</v>
      </c>
      <c r="D89">
        <v>0</v>
      </c>
      <c r="E89">
        <v>0</v>
      </c>
      <c r="F89">
        <v>0</v>
      </c>
      <c r="G89">
        <v>0</v>
      </c>
      <c r="H89">
        <v>0</v>
      </c>
      <c r="I89">
        <v>0</v>
      </c>
    </row>
    <row r="90" spans="2:9">
      <c r="C90" t="s">
        <v>1982</v>
      </c>
      <c r="D90">
        <v>0</v>
      </c>
      <c r="E90">
        <v>0</v>
      </c>
      <c r="F90">
        <v>0</v>
      </c>
      <c r="G90">
        <v>0</v>
      </c>
      <c r="H90">
        <v>0</v>
      </c>
      <c r="I90">
        <v>0</v>
      </c>
    </row>
    <row r="91" spans="2:9">
      <c r="B91" t="s">
        <v>1954</v>
      </c>
      <c r="C91" t="s">
        <v>1967</v>
      </c>
      <c r="D91">
        <v>0</v>
      </c>
      <c r="E91">
        <v>0</v>
      </c>
      <c r="F91">
        <v>0</v>
      </c>
      <c r="G91">
        <v>0</v>
      </c>
      <c r="H91">
        <v>0</v>
      </c>
      <c r="I91">
        <v>0</v>
      </c>
    </row>
    <row r="92" spans="2:9">
      <c r="B92" t="s">
        <v>1955</v>
      </c>
      <c r="C92" t="s">
        <v>1983</v>
      </c>
      <c r="D92">
        <v>0</v>
      </c>
      <c r="E92">
        <v>0</v>
      </c>
      <c r="F92">
        <v>0</v>
      </c>
      <c r="G92">
        <v>0</v>
      </c>
      <c r="H92">
        <v>0</v>
      </c>
      <c r="I92">
        <v>0</v>
      </c>
    </row>
    <row r="93" spans="2:9">
      <c r="C93" t="s">
        <v>1984</v>
      </c>
      <c r="D93">
        <v>0</v>
      </c>
      <c r="E93">
        <v>0</v>
      </c>
      <c r="F93">
        <v>0</v>
      </c>
      <c r="G93">
        <v>0</v>
      </c>
      <c r="H93">
        <v>0</v>
      </c>
      <c r="I93">
        <v>0</v>
      </c>
    </row>
    <row r="94" spans="2:9">
      <c r="C94" t="s">
        <v>1985</v>
      </c>
      <c r="D94">
        <v>0</v>
      </c>
      <c r="E94">
        <v>0</v>
      </c>
      <c r="F94">
        <v>0</v>
      </c>
      <c r="G94">
        <v>0</v>
      </c>
      <c r="H94">
        <v>0</v>
      </c>
      <c r="I94">
        <v>0</v>
      </c>
    </row>
    <row r="95" spans="2:9">
      <c r="C95" t="s">
        <v>1986</v>
      </c>
      <c r="D95">
        <v>0</v>
      </c>
      <c r="E95">
        <v>0</v>
      </c>
      <c r="F95">
        <v>0</v>
      </c>
      <c r="G95">
        <v>0</v>
      </c>
      <c r="H95">
        <v>0</v>
      </c>
      <c r="I95">
        <v>0</v>
      </c>
    </row>
    <row r="96" spans="2:9">
      <c r="C96" t="s">
        <v>1987</v>
      </c>
      <c r="D96">
        <v>0</v>
      </c>
      <c r="E96">
        <v>0</v>
      </c>
      <c r="F96">
        <v>0</v>
      </c>
      <c r="G96">
        <v>0</v>
      </c>
      <c r="H96">
        <v>0</v>
      </c>
      <c r="I96">
        <v>0</v>
      </c>
    </row>
    <row r="97" spans="2:9">
      <c r="C97" t="s">
        <v>1988</v>
      </c>
      <c r="D97">
        <v>0</v>
      </c>
      <c r="E97">
        <v>0</v>
      </c>
      <c r="F97">
        <v>0</v>
      </c>
      <c r="G97">
        <v>0</v>
      </c>
      <c r="H97">
        <v>0</v>
      </c>
      <c r="I97">
        <v>0</v>
      </c>
    </row>
    <row r="98" spans="2:9">
      <c r="C98" t="s">
        <v>1989</v>
      </c>
      <c r="D98">
        <v>0</v>
      </c>
      <c r="E98">
        <v>0</v>
      </c>
      <c r="F98">
        <v>0</v>
      </c>
      <c r="G98">
        <v>0</v>
      </c>
      <c r="H98">
        <v>0</v>
      </c>
      <c r="I98">
        <v>0</v>
      </c>
    </row>
    <row r="99" spans="2:9">
      <c r="C99" t="s">
        <v>1990</v>
      </c>
      <c r="D99">
        <v>0</v>
      </c>
      <c r="E99">
        <v>0</v>
      </c>
      <c r="F99">
        <v>0</v>
      </c>
      <c r="G99">
        <v>0</v>
      </c>
      <c r="H99">
        <v>0</v>
      </c>
      <c r="I99">
        <v>0</v>
      </c>
    </row>
    <row r="100" spans="2:9">
      <c r="C100" t="s">
        <v>1991</v>
      </c>
      <c r="D100">
        <v>0</v>
      </c>
      <c r="E100">
        <v>0</v>
      </c>
      <c r="F100">
        <v>0</v>
      </c>
      <c r="G100">
        <v>0</v>
      </c>
      <c r="H100">
        <v>0</v>
      </c>
      <c r="I100">
        <v>0</v>
      </c>
    </row>
    <row r="101" spans="2:9">
      <c r="C101" t="s">
        <v>1992</v>
      </c>
      <c r="D101">
        <v>0</v>
      </c>
      <c r="E101">
        <v>0</v>
      </c>
      <c r="F101">
        <v>0</v>
      </c>
      <c r="G101">
        <v>0</v>
      </c>
      <c r="H101">
        <v>0</v>
      </c>
      <c r="I101">
        <v>0</v>
      </c>
    </row>
    <row r="102" spans="2:9">
      <c r="C102" t="s">
        <v>1993</v>
      </c>
      <c r="D102">
        <v>0</v>
      </c>
      <c r="E102">
        <v>0</v>
      </c>
      <c r="F102">
        <v>0</v>
      </c>
      <c r="G102">
        <v>0</v>
      </c>
      <c r="H102">
        <v>0</v>
      </c>
      <c r="I102">
        <v>0</v>
      </c>
    </row>
    <row r="103" spans="2:9">
      <c r="C103" t="s">
        <v>1994</v>
      </c>
      <c r="D103">
        <v>0</v>
      </c>
      <c r="E103">
        <v>0</v>
      </c>
      <c r="F103">
        <v>0</v>
      </c>
      <c r="G103">
        <v>0</v>
      </c>
      <c r="H103">
        <v>0</v>
      </c>
      <c r="I103">
        <v>0</v>
      </c>
    </row>
    <row r="104" spans="2:9">
      <c r="C104" t="s">
        <v>1995</v>
      </c>
      <c r="D104">
        <v>0</v>
      </c>
      <c r="E104">
        <v>0</v>
      </c>
      <c r="F104">
        <v>0</v>
      </c>
      <c r="G104">
        <v>0</v>
      </c>
      <c r="H104">
        <v>0</v>
      </c>
      <c r="I104">
        <v>0</v>
      </c>
    </row>
    <row r="105" spans="2:9">
      <c r="C105" t="s">
        <v>1996</v>
      </c>
      <c r="D105">
        <v>0</v>
      </c>
      <c r="E105">
        <v>0</v>
      </c>
      <c r="F105">
        <v>0</v>
      </c>
      <c r="G105">
        <v>0</v>
      </c>
      <c r="H105">
        <v>0</v>
      </c>
      <c r="I105">
        <v>0</v>
      </c>
    </row>
    <row r="106" spans="2:9">
      <c r="C106" t="s">
        <v>1997</v>
      </c>
      <c r="D106">
        <v>0</v>
      </c>
      <c r="E106">
        <v>0</v>
      </c>
      <c r="F106">
        <v>0</v>
      </c>
      <c r="G106">
        <v>0</v>
      </c>
      <c r="H106">
        <v>0</v>
      </c>
      <c r="I106">
        <v>0</v>
      </c>
    </row>
    <row r="107" spans="2:9">
      <c r="B107" t="s">
        <v>1956</v>
      </c>
      <c r="C107" t="s">
        <v>1967</v>
      </c>
      <c r="D107">
        <v>0</v>
      </c>
      <c r="E107">
        <v>0</v>
      </c>
      <c r="F107">
        <v>0</v>
      </c>
      <c r="G107">
        <v>0</v>
      </c>
      <c r="H107">
        <v>0</v>
      </c>
      <c r="I107">
        <v>0</v>
      </c>
    </row>
    <row r="108" spans="2:9">
      <c r="B108" t="s">
        <v>502</v>
      </c>
      <c r="C108" t="s">
        <v>1967</v>
      </c>
      <c r="D108">
        <v>0</v>
      </c>
      <c r="E108">
        <v>0</v>
      </c>
      <c r="F108">
        <v>0</v>
      </c>
      <c r="G108">
        <v>0</v>
      </c>
      <c r="H108">
        <v>0</v>
      </c>
      <c r="I108">
        <v>0</v>
      </c>
    </row>
    <row r="109" spans="2:9">
      <c r="B109" t="s">
        <v>1957</v>
      </c>
      <c r="C109" t="s">
        <v>1967</v>
      </c>
      <c r="D109">
        <v>0</v>
      </c>
      <c r="E109">
        <v>0</v>
      </c>
      <c r="F109">
        <v>0</v>
      </c>
      <c r="G109">
        <v>0</v>
      </c>
      <c r="H109">
        <v>0</v>
      </c>
      <c r="I109">
        <v>0</v>
      </c>
    </row>
    <row r="110" spans="2:9">
      <c r="B110" t="s">
        <v>1958</v>
      </c>
      <c r="C110" t="s">
        <v>1967</v>
      </c>
      <c r="D110">
        <v>0</v>
      </c>
      <c r="E110">
        <v>0</v>
      </c>
      <c r="F110">
        <v>0</v>
      </c>
      <c r="G110">
        <v>0</v>
      </c>
      <c r="H110">
        <v>0</v>
      </c>
      <c r="I110">
        <v>0</v>
      </c>
    </row>
    <row r="111" spans="2:9">
      <c r="B111" t="s">
        <v>1959</v>
      </c>
      <c r="C111" t="s">
        <v>1967</v>
      </c>
      <c r="D111">
        <v>0</v>
      </c>
      <c r="E111">
        <v>0</v>
      </c>
      <c r="F111">
        <v>0</v>
      </c>
      <c r="G111">
        <v>0</v>
      </c>
      <c r="H111">
        <v>0</v>
      </c>
      <c r="I111">
        <v>0</v>
      </c>
    </row>
    <row r="112" spans="2:9">
      <c r="B112" t="s">
        <v>503</v>
      </c>
      <c r="C112" t="s">
        <v>1967</v>
      </c>
      <c r="D112">
        <v>0</v>
      </c>
      <c r="E112">
        <v>0</v>
      </c>
      <c r="F112">
        <v>0</v>
      </c>
      <c r="G112">
        <v>0</v>
      </c>
      <c r="H112">
        <v>0</v>
      </c>
      <c r="I112">
        <v>0</v>
      </c>
    </row>
    <row r="113" spans="1:9">
      <c r="B113" t="s">
        <v>1960</v>
      </c>
      <c r="C113" t="s">
        <v>1967</v>
      </c>
      <c r="D113">
        <v>0</v>
      </c>
      <c r="E113">
        <v>0</v>
      </c>
      <c r="F113">
        <v>0</v>
      </c>
      <c r="G113">
        <v>0</v>
      </c>
      <c r="H113">
        <v>0</v>
      </c>
      <c r="I113">
        <v>0</v>
      </c>
    </row>
    <row r="114" spans="1:9">
      <c r="B114" t="s">
        <v>1961</v>
      </c>
      <c r="C114" t="s">
        <v>1967</v>
      </c>
      <c r="D114">
        <v>0</v>
      </c>
      <c r="E114">
        <v>0</v>
      </c>
      <c r="F114">
        <v>0</v>
      </c>
      <c r="G114">
        <v>0</v>
      </c>
      <c r="H114">
        <v>0</v>
      </c>
      <c r="I114">
        <v>0</v>
      </c>
    </row>
    <row r="115" spans="1:9">
      <c r="B115" t="s">
        <v>1962</v>
      </c>
      <c r="C115" t="s">
        <v>1967</v>
      </c>
      <c r="D115">
        <v>0</v>
      </c>
      <c r="E115">
        <v>0</v>
      </c>
      <c r="F115">
        <v>0</v>
      </c>
      <c r="G115">
        <v>0</v>
      </c>
      <c r="H115">
        <v>0</v>
      </c>
      <c r="I115">
        <v>0</v>
      </c>
    </row>
    <row r="118" spans="1:9">
      <c r="A118" t="s">
        <v>1998</v>
      </c>
    </row>
    <row r="120" spans="1:9">
      <c r="A120" t="s">
        <v>1999</v>
      </c>
    </row>
    <row r="122" spans="1:9">
      <c r="C122" t="s">
        <v>2000</v>
      </c>
      <c r="D122" t="s">
        <v>2001</v>
      </c>
      <c r="E122" t="s">
        <v>2002</v>
      </c>
      <c r="F122" t="s">
        <v>2003</v>
      </c>
      <c r="G122" t="s">
        <v>2004</v>
      </c>
      <c r="H122" t="s">
        <v>2005</v>
      </c>
    </row>
    <row r="123" spans="1:9">
      <c r="B123" t="s">
        <v>354</v>
      </c>
      <c r="C123">
        <v>0</v>
      </c>
      <c r="D123">
        <v>0</v>
      </c>
      <c r="E123">
        <v>0</v>
      </c>
      <c r="F123">
        <v>0</v>
      </c>
      <c r="G123">
        <v>0</v>
      </c>
      <c r="H123">
        <v>0</v>
      </c>
    </row>
    <row r="124" spans="1:9">
      <c r="B124" t="s">
        <v>353</v>
      </c>
      <c r="C124">
        <v>0</v>
      </c>
      <c r="D124">
        <v>0</v>
      </c>
      <c r="E124">
        <v>0</v>
      </c>
      <c r="F124">
        <v>0</v>
      </c>
      <c r="G124">
        <v>0</v>
      </c>
      <c r="H124">
        <v>0</v>
      </c>
    </row>
    <row r="125" spans="1:9">
      <c r="B125" t="s">
        <v>2006</v>
      </c>
      <c r="C125">
        <v>0</v>
      </c>
      <c r="D125">
        <v>0</v>
      </c>
      <c r="E125">
        <v>0</v>
      </c>
      <c r="F125">
        <v>0</v>
      </c>
      <c r="G125">
        <v>0</v>
      </c>
      <c r="H125">
        <v>0</v>
      </c>
    </row>
    <row r="126" spans="1:9">
      <c r="B126" t="s">
        <v>2007</v>
      </c>
      <c r="C126">
        <v>0</v>
      </c>
      <c r="D126">
        <v>0</v>
      </c>
      <c r="E126">
        <v>0</v>
      </c>
      <c r="F126">
        <v>0</v>
      </c>
      <c r="G126">
        <v>0</v>
      </c>
      <c r="H126">
        <v>0</v>
      </c>
    </row>
    <row r="129" spans="1:8">
      <c r="A129" t="s">
        <v>2008</v>
      </c>
    </row>
    <row r="131" spans="1:8">
      <c r="C131" t="s">
        <v>2000</v>
      </c>
      <c r="D131" t="s">
        <v>2001</v>
      </c>
      <c r="E131" t="s">
        <v>2002</v>
      </c>
      <c r="F131" t="s">
        <v>2003</v>
      </c>
      <c r="G131" t="s">
        <v>2004</v>
      </c>
      <c r="H131" t="s">
        <v>2005</v>
      </c>
    </row>
    <row r="132" spans="1:8">
      <c r="B132" t="s">
        <v>354</v>
      </c>
      <c r="C132">
        <v>0</v>
      </c>
      <c r="D132">
        <v>0</v>
      </c>
      <c r="E132">
        <v>0</v>
      </c>
      <c r="F132">
        <v>0</v>
      </c>
      <c r="G132">
        <v>0</v>
      </c>
      <c r="H132">
        <v>0</v>
      </c>
    </row>
    <row r="133" spans="1:8">
      <c r="B133" t="s">
        <v>353</v>
      </c>
      <c r="C133">
        <v>0</v>
      </c>
      <c r="D133">
        <v>0</v>
      </c>
      <c r="E133">
        <v>0</v>
      </c>
      <c r="F133">
        <v>0</v>
      </c>
      <c r="G133">
        <v>0</v>
      </c>
      <c r="H133">
        <v>0</v>
      </c>
    </row>
    <row r="134" spans="1:8">
      <c r="B134" t="s">
        <v>2006</v>
      </c>
      <c r="C134">
        <v>0</v>
      </c>
      <c r="D134">
        <v>0</v>
      </c>
      <c r="E134">
        <v>0</v>
      </c>
      <c r="F134">
        <v>0</v>
      </c>
      <c r="G134">
        <v>0</v>
      </c>
      <c r="H134">
        <v>0</v>
      </c>
    </row>
    <row r="135" spans="1:8">
      <c r="B135" t="s">
        <v>2007</v>
      </c>
      <c r="C135">
        <v>0</v>
      </c>
      <c r="D135">
        <v>0</v>
      </c>
      <c r="E135">
        <v>0</v>
      </c>
      <c r="F135">
        <v>0</v>
      </c>
      <c r="G135">
        <v>0</v>
      </c>
      <c r="H135">
        <v>0</v>
      </c>
    </row>
    <row r="138" spans="1:8">
      <c r="A138" t="s">
        <v>2009</v>
      </c>
    </row>
    <row r="140" spans="1:8">
      <c r="C140" t="s">
        <v>1947</v>
      </c>
      <c r="D140" t="s">
        <v>2010</v>
      </c>
    </row>
    <row r="141" spans="1:8">
      <c r="B141" t="s">
        <v>2011</v>
      </c>
      <c r="C141">
        <v>0</v>
      </c>
    </row>
    <row r="142" spans="1:8">
      <c r="B142" t="s">
        <v>2012</v>
      </c>
      <c r="C142">
        <v>0</v>
      </c>
    </row>
    <row r="143" spans="1:8">
      <c r="B143" t="s">
        <v>2013</v>
      </c>
      <c r="C143">
        <v>0</v>
      </c>
    </row>
    <row r="144" spans="1:8">
      <c r="B144" t="s">
        <v>2014</v>
      </c>
      <c r="C144">
        <v>0</v>
      </c>
    </row>
    <row r="145" spans="1:4">
      <c r="B145" t="s">
        <v>2015</v>
      </c>
      <c r="C145">
        <v>0</v>
      </c>
    </row>
    <row r="146" spans="1:4">
      <c r="B146" t="s">
        <v>2016</v>
      </c>
      <c r="C146">
        <v>0</v>
      </c>
    </row>
    <row r="148" spans="1:4">
      <c r="B148" t="s">
        <v>2017</v>
      </c>
      <c r="C148">
        <v>0</v>
      </c>
    </row>
    <row r="149" spans="1:4">
      <c r="B149" t="s">
        <v>2018</v>
      </c>
      <c r="C149">
        <v>0</v>
      </c>
    </row>
    <row r="150" spans="1:4">
      <c r="B150" t="s">
        <v>2019</v>
      </c>
      <c r="C150">
        <v>0</v>
      </c>
    </row>
    <row r="152" spans="1:4">
      <c r="B152" t="s">
        <v>2020</v>
      </c>
      <c r="C152">
        <v>0</v>
      </c>
    </row>
    <row r="153" spans="1:4">
      <c r="B153" t="s">
        <v>2021</v>
      </c>
      <c r="C153">
        <v>0</v>
      </c>
    </row>
    <row r="156" spans="1:4">
      <c r="A156" t="s">
        <v>2022</v>
      </c>
    </row>
    <row r="158" spans="1:4">
      <c r="C158" t="s">
        <v>2023</v>
      </c>
      <c r="D158" t="s">
        <v>2024</v>
      </c>
    </row>
    <row r="159" spans="1:4">
      <c r="B159" t="s">
        <v>2025</v>
      </c>
      <c r="C159">
        <v>0</v>
      </c>
    </row>
    <row r="160" spans="1:4">
      <c r="B160" t="s">
        <v>2026</v>
      </c>
      <c r="C160">
        <v>0</v>
      </c>
    </row>
    <row r="161" spans="1:4">
      <c r="B161" t="s">
        <v>2027</v>
      </c>
      <c r="C161">
        <v>0</v>
      </c>
    </row>
    <row r="162" spans="1:4">
      <c r="B162" t="s">
        <v>2028</v>
      </c>
      <c r="C162">
        <v>0</v>
      </c>
    </row>
    <row r="163" spans="1:4">
      <c r="B163" t="s">
        <v>2029</v>
      </c>
      <c r="C163">
        <v>0</v>
      </c>
    </row>
    <row r="164" spans="1:4">
      <c r="B164" t="s">
        <v>2030</v>
      </c>
      <c r="C164">
        <v>0</v>
      </c>
    </row>
    <row r="165" spans="1:4">
      <c r="B165" t="s">
        <v>2031</v>
      </c>
      <c r="C165">
        <v>0</v>
      </c>
    </row>
    <row r="168" spans="1:4">
      <c r="A168" t="s">
        <v>2032</v>
      </c>
    </row>
    <row r="170" spans="1:4">
      <c r="C170" t="s">
        <v>1952</v>
      </c>
      <c r="D170" t="s">
        <v>2033</v>
      </c>
    </row>
    <row r="171" spans="1:4">
      <c r="B171" t="s">
        <v>2034</v>
      </c>
      <c r="C171">
        <v>0</v>
      </c>
      <c r="D171" t="s">
        <v>212</v>
      </c>
    </row>
    <row r="172" spans="1:4">
      <c r="B172" t="s">
        <v>2035</v>
      </c>
      <c r="C172">
        <v>0</v>
      </c>
      <c r="D172" t="s">
        <v>212</v>
      </c>
    </row>
    <row r="173" spans="1:4">
      <c r="B173" t="s">
        <v>2036</v>
      </c>
      <c r="C173">
        <v>0</v>
      </c>
      <c r="D173" t="s">
        <v>212</v>
      </c>
    </row>
    <row r="174" spans="1:4">
      <c r="B174" t="s">
        <v>2037</v>
      </c>
      <c r="C174">
        <v>0</v>
      </c>
      <c r="D174" t="s">
        <v>212</v>
      </c>
    </row>
    <row r="175" spans="1:4">
      <c r="B175" t="s">
        <v>212</v>
      </c>
      <c r="C175" t="s">
        <v>212</v>
      </c>
      <c r="D175" t="s">
        <v>212</v>
      </c>
    </row>
    <row r="176" spans="1:4">
      <c r="B176" t="s">
        <v>2038</v>
      </c>
      <c r="C176">
        <v>0</v>
      </c>
      <c r="D176" t="s">
        <v>212</v>
      </c>
    </row>
    <row r="177" spans="1:6">
      <c r="B177" t="s">
        <v>2039</v>
      </c>
      <c r="C177">
        <v>0</v>
      </c>
      <c r="D177" t="s">
        <v>212</v>
      </c>
    </row>
    <row r="178" spans="1:6">
      <c r="B178" t="s">
        <v>2040</v>
      </c>
      <c r="C178">
        <v>0</v>
      </c>
      <c r="D178" t="s">
        <v>212</v>
      </c>
    </row>
    <row r="179" spans="1:6">
      <c r="B179" t="s">
        <v>212</v>
      </c>
      <c r="C179" t="s">
        <v>212</v>
      </c>
      <c r="D179" t="s">
        <v>212</v>
      </c>
    </row>
    <row r="180" spans="1:6">
      <c r="B180" t="s">
        <v>2041</v>
      </c>
      <c r="C180">
        <v>0</v>
      </c>
      <c r="D180" t="s">
        <v>212</v>
      </c>
    </row>
    <row r="181" spans="1:6">
      <c r="B181" t="s">
        <v>212</v>
      </c>
      <c r="C181" t="s">
        <v>212</v>
      </c>
      <c r="D181" t="s">
        <v>212</v>
      </c>
    </row>
    <row r="182" spans="1:6">
      <c r="B182" t="s">
        <v>2042</v>
      </c>
      <c r="C182" t="s">
        <v>2043</v>
      </c>
      <c r="D182" t="s">
        <v>2044</v>
      </c>
      <c r="E182">
        <v>0</v>
      </c>
      <c r="F182" t="s">
        <v>212</v>
      </c>
    </row>
    <row r="183" spans="1:6">
      <c r="B183" t="s">
        <v>2045</v>
      </c>
      <c r="C183">
        <v>0</v>
      </c>
      <c r="D183" t="s">
        <v>212</v>
      </c>
    </row>
    <row r="186" spans="1:6">
      <c r="A186" t="s">
        <v>2046</v>
      </c>
    </row>
    <row r="188" spans="1:6">
      <c r="C188" t="s">
        <v>2047</v>
      </c>
    </row>
    <row r="189" spans="1:6">
      <c r="B189" t="s">
        <v>2048</v>
      </c>
      <c r="C189">
        <v>0.2</v>
      </c>
    </row>
    <row r="190" spans="1:6">
      <c r="B190" t="s">
        <v>2049</v>
      </c>
      <c r="C190">
        <v>0.2</v>
      </c>
    </row>
    <row r="193" spans="1:5">
      <c r="C193" t="s">
        <v>2050</v>
      </c>
    </row>
    <row r="194" spans="1:5">
      <c r="B194" t="s">
        <v>2051</v>
      </c>
      <c r="C194">
        <v>0</v>
      </c>
    </row>
    <row r="195" spans="1:5">
      <c r="B195" t="s">
        <v>2052</v>
      </c>
      <c r="C195">
        <v>10.25</v>
      </c>
    </row>
    <row r="196" spans="1:5">
      <c r="B196" t="s">
        <v>2053</v>
      </c>
      <c r="C196">
        <v>2.75</v>
      </c>
    </row>
    <row r="199" spans="1:5">
      <c r="A199" t="s">
        <v>2054</v>
      </c>
    </row>
    <row r="201" spans="1:5">
      <c r="A201" t="s">
        <v>1915</v>
      </c>
    </row>
    <row r="202" spans="1:5">
      <c r="A202" t="s">
        <v>1916</v>
      </c>
      <c r="B202" t="s">
        <v>2055</v>
      </c>
    </row>
    <row r="203" spans="1:5">
      <c r="A203" t="s">
        <v>1918</v>
      </c>
      <c r="B203" t="s">
        <v>1919</v>
      </c>
    </row>
    <row r="204" spans="1:5">
      <c r="A204" t="s">
        <v>1967</v>
      </c>
    </row>
    <row r="206" spans="1:5">
      <c r="C206" t="s">
        <v>196</v>
      </c>
    </row>
    <row r="207" spans="1:5">
      <c r="B207" t="s">
        <v>2056</v>
      </c>
      <c r="C207" t="s">
        <v>1909</v>
      </c>
      <c r="D207" t="s">
        <v>1910</v>
      </c>
      <c r="E207" t="s">
        <v>2989</v>
      </c>
    </row>
    <row r="208" spans="1:5">
      <c r="B208" t="s">
        <v>2057</v>
      </c>
      <c r="C208" t="s">
        <v>2490</v>
      </c>
    </row>
    <row r="209" spans="1:7">
      <c r="B209" t="s">
        <v>2058</v>
      </c>
      <c r="C209">
        <v>38.5</v>
      </c>
    </row>
    <row r="210" spans="1:7">
      <c r="B210" t="s">
        <v>2059</v>
      </c>
      <c r="C210">
        <v>-121.5</v>
      </c>
    </row>
    <row r="211" spans="1:7">
      <c r="B211" t="s">
        <v>2060</v>
      </c>
      <c r="C211">
        <v>5</v>
      </c>
    </row>
    <row r="212" spans="1:7">
      <c r="B212" t="s">
        <v>2061</v>
      </c>
      <c r="C212">
        <v>-8</v>
      </c>
    </row>
    <row r="213" spans="1:7">
      <c r="B213" t="s">
        <v>2062</v>
      </c>
      <c r="C213">
        <v>0</v>
      </c>
    </row>
    <row r="214" spans="1:7">
      <c r="B214" t="s">
        <v>2063</v>
      </c>
      <c r="C214">
        <v>0</v>
      </c>
    </row>
    <row r="215" spans="1:7">
      <c r="B215" t="s">
        <v>2064</v>
      </c>
      <c r="C215">
        <v>0</v>
      </c>
    </row>
    <row r="218" spans="1:7">
      <c r="A218" t="s">
        <v>2065</v>
      </c>
    </row>
    <row r="220" spans="1:7">
      <c r="A220" t="s">
        <v>2066</v>
      </c>
    </row>
    <row r="222" spans="1:7">
      <c r="C222" t="s">
        <v>2007</v>
      </c>
      <c r="D222" t="s">
        <v>2067</v>
      </c>
      <c r="E222" t="s">
        <v>2068</v>
      </c>
      <c r="F222" t="s">
        <v>2069</v>
      </c>
      <c r="G222" t="s">
        <v>2070</v>
      </c>
    </row>
    <row r="223" spans="1:7">
      <c r="B223" t="s">
        <v>2071</v>
      </c>
      <c r="C223">
        <v>2092.2399999999998</v>
      </c>
      <c r="D223">
        <v>627.66999999999996</v>
      </c>
      <c r="E223">
        <v>418.45</v>
      </c>
      <c r="F223">
        <v>627.66999999999996</v>
      </c>
      <c r="G223">
        <v>418.45</v>
      </c>
    </row>
    <row r="224" spans="1:7">
      <c r="B224" t="s">
        <v>2072</v>
      </c>
      <c r="C224">
        <v>691.23</v>
      </c>
      <c r="D224">
        <v>207.36</v>
      </c>
      <c r="E224">
        <v>138.26</v>
      </c>
      <c r="F224">
        <v>207.36</v>
      </c>
      <c r="G224">
        <v>138.26</v>
      </c>
    </row>
    <row r="225" spans="1:11">
      <c r="B225" t="s">
        <v>2073</v>
      </c>
      <c r="C225">
        <v>33.04</v>
      </c>
      <c r="D225">
        <v>33.04</v>
      </c>
      <c r="E225">
        <v>33.04</v>
      </c>
      <c r="F225">
        <v>33.04</v>
      </c>
      <c r="G225">
        <v>33.04</v>
      </c>
    </row>
    <row r="228" spans="1:11">
      <c r="A228" t="s">
        <v>2074</v>
      </c>
    </row>
    <row r="230" spans="1:11">
      <c r="C230" t="s">
        <v>2007</v>
      </c>
    </row>
    <row r="231" spans="1:11">
      <c r="B231" t="s">
        <v>2075</v>
      </c>
      <c r="C231">
        <v>1858.74</v>
      </c>
    </row>
    <row r="232" spans="1:11">
      <c r="B232" t="s">
        <v>2076</v>
      </c>
      <c r="C232">
        <v>0</v>
      </c>
    </row>
    <row r="233" spans="1:11">
      <c r="B233" t="s">
        <v>2077</v>
      </c>
      <c r="C233">
        <v>0</v>
      </c>
    </row>
    <row r="236" spans="1:11">
      <c r="A236" t="s">
        <v>2078</v>
      </c>
    </row>
    <row r="238" spans="1:11">
      <c r="A238" t="s">
        <v>2079</v>
      </c>
    </row>
    <row r="240" spans="1:11">
      <c r="C240" t="s">
        <v>1942</v>
      </c>
      <c r="D240" t="s">
        <v>2080</v>
      </c>
      <c r="E240" t="s">
        <v>2081</v>
      </c>
      <c r="F240" t="s">
        <v>2082</v>
      </c>
      <c r="G240" t="s">
        <v>2071</v>
      </c>
      <c r="H240" t="s">
        <v>2083</v>
      </c>
      <c r="I240" t="s">
        <v>2084</v>
      </c>
      <c r="J240" t="s">
        <v>2085</v>
      </c>
      <c r="K240" t="s">
        <v>2086</v>
      </c>
    </row>
    <row r="241" spans="2:11">
      <c r="B241" t="s">
        <v>2087</v>
      </c>
      <c r="C241">
        <v>220.56</v>
      </c>
      <c r="D241" t="s">
        <v>488</v>
      </c>
      <c r="E241">
        <v>605.04</v>
      </c>
      <c r="F241">
        <v>1</v>
      </c>
      <c r="G241">
        <v>144.85</v>
      </c>
      <c r="H241">
        <v>59.43</v>
      </c>
      <c r="I241">
        <v>10.8</v>
      </c>
      <c r="J241">
        <v>9.3000000000000007</v>
      </c>
      <c r="K241">
        <v>8.1</v>
      </c>
    </row>
    <row r="242" spans="2:11">
      <c r="B242" t="s">
        <v>2088</v>
      </c>
      <c r="C242">
        <v>140.07</v>
      </c>
      <c r="D242" t="s">
        <v>488</v>
      </c>
      <c r="E242">
        <v>384.24</v>
      </c>
      <c r="F242">
        <v>1</v>
      </c>
      <c r="G242">
        <v>96.57</v>
      </c>
      <c r="H242">
        <v>39.58</v>
      </c>
      <c r="I242">
        <v>10.8</v>
      </c>
      <c r="J242">
        <v>9.3000000000000007</v>
      </c>
      <c r="K242">
        <v>8.1</v>
      </c>
    </row>
    <row r="243" spans="2:11">
      <c r="B243" t="s">
        <v>2089</v>
      </c>
      <c r="C243">
        <v>220.56</v>
      </c>
      <c r="D243" t="s">
        <v>488</v>
      </c>
      <c r="E243">
        <v>605.04</v>
      </c>
      <c r="F243">
        <v>1</v>
      </c>
      <c r="G243">
        <v>144.85</v>
      </c>
      <c r="H243">
        <v>59.43</v>
      </c>
      <c r="I243">
        <v>10.8</v>
      </c>
      <c r="J243">
        <v>9.3000000000000007</v>
      </c>
      <c r="K243">
        <v>8.1</v>
      </c>
    </row>
    <row r="244" spans="2:11">
      <c r="B244" t="s">
        <v>2090</v>
      </c>
      <c r="C244">
        <v>140.07</v>
      </c>
      <c r="D244" t="s">
        <v>488</v>
      </c>
      <c r="E244">
        <v>384.24</v>
      </c>
      <c r="F244">
        <v>1</v>
      </c>
      <c r="G244">
        <v>96.57</v>
      </c>
      <c r="H244">
        <v>39.58</v>
      </c>
      <c r="I244">
        <v>10.8</v>
      </c>
      <c r="J244">
        <v>9.3000000000000007</v>
      </c>
      <c r="K244">
        <v>8.1</v>
      </c>
    </row>
    <row r="245" spans="2:11">
      <c r="B245" t="s">
        <v>2091</v>
      </c>
      <c r="C245">
        <v>1137.48</v>
      </c>
      <c r="D245" t="s">
        <v>488</v>
      </c>
      <c r="E245">
        <v>3120.32</v>
      </c>
      <c r="F245">
        <v>1</v>
      </c>
      <c r="G245">
        <v>0</v>
      </c>
      <c r="H245">
        <v>0</v>
      </c>
      <c r="I245">
        <v>10.8</v>
      </c>
      <c r="J245">
        <v>9.3000000000000007</v>
      </c>
      <c r="K245">
        <v>8.1</v>
      </c>
    </row>
    <row r="246" spans="2:11">
      <c r="B246" t="s">
        <v>2092</v>
      </c>
      <c r="C246">
        <v>220.56</v>
      </c>
      <c r="D246" t="s">
        <v>488</v>
      </c>
      <c r="E246">
        <v>179.38</v>
      </c>
      <c r="F246">
        <v>1</v>
      </c>
      <c r="G246">
        <v>42.94</v>
      </c>
      <c r="H246">
        <v>0</v>
      </c>
      <c r="I246">
        <v>0</v>
      </c>
      <c r="K246">
        <v>0</v>
      </c>
    </row>
    <row r="247" spans="2:11">
      <c r="B247" t="s">
        <v>2093</v>
      </c>
      <c r="C247">
        <v>140.07</v>
      </c>
      <c r="D247" t="s">
        <v>488</v>
      </c>
      <c r="E247">
        <v>113.92</v>
      </c>
      <c r="F247">
        <v>1</v>
      </c>
      <c r="G247">
        <v>28.63</v>
      </c>
      <c r="H247">
        <v>0</v>
      </c>
      <c r="I247">
        <v>0</v>
      </c>
      <c r="K247">
        <v>0</v>
      </c>
    </row>
    <row r="248" spans="2:11">
      <c r="B248" t="s">
        <v>2094</v>
      </c>
      <c r="C248">
        <v>220.56</v>
      </c>
      <c r="D248" t="s">
        <v>488</v>
      </c>
      <c r="E248">
        <v>179.38</v>
      </c>
      <c r="F248">
        <v>1</v>
      </c>
      <c r="G248">
        <v>42.94</v>
      </c>
      <c r="H248">
        <v>0</v>
      </c>
      <c r="I248">
        <v>0</v>
      </c>
      <c r="K248">
        <v>0</v>
      </c>
    </row>
    <row r="249" spans="2:11">
      <c r="B249" t="s">
        <v>2095</v>
      </c>
      <c r="C249">
        <v>140.07</v>
      </c>
      <c r="D249" t="s">
        <v>488</v>
      </c>
      <c r="E249">
        <v>113.92</v>
      </c>
      <c r="F249">
        <v>1</v>
      </c>
      <c r="G249">
        <v>28.63</v>
      </c>
      <c r="H249">
        <v>0</v>
      </c>
      <c r="I249">
        <v>0</v>
      </c>
      <c r="K249">
        <v>0</v>
      </c>
    </row>
    <row r="250" spans="2:11">
      <c r="B250" t="s">
        <v>2096</v>
      </c>
      <c r="C250">
        <v>1137.48</v>
      </c>
      <c r="D250" t="s">
        <v>488</v>
      </c>
      <c r="E250">
        <v>925.11</v>
      </c>
      <c r="F250">
        <v>1</v>
      </c>
      <c r="G250">
        <v>0</v>
      </c>
      <c r="H250">
        <v>0</v>
      </c>
      <c r="I250">
        <v>0</v>
      </c>
      <c r="K250">
        <v>0</v>
      </c>
    </row>
    <row r="251" spans="2:11">
      <c r="B251" t="s">
        <v>2097</v>
      </c>
      <c r="C251">
        <v>220.56</v>
      </c>
      <c r="D251" t="s">
        <v>488</v>
      </c>
      <c r="E251">
        <v>605.04</v>
      </c>
      <c r="F251">
        <v>1</v>
      </c>
      <c r="G251">
        <v>144.85</v>
      </c>
      <c r="H251">
        <v>64.7</v>
      </c>
      <c r="I251">
        <v>10.8</v>
      </c>
      <c r="J251">
        <v>9.3000000000000007</v>
      </c>
      <c r="K251">
        <v>8.1</v>
      </c>
    </row>
    <row r="252" spans="2:11">
      <c r="B252" t="s">
        <v>2098</v>
      </c>
      <c r="C252">
        <v>140.07</v>
      </c>
      <c r="D252" t="s">
        <v>488</v>
      </c>
      <c r="E252">
        <v>384.24</v>
      </c>
      <c r="F252">
        <v>1</v>
      </c>
      <c r="G252">
        <v>96.57</v>
      </c>
      <c r="H252">
        <v>43.09</v>
      </c>
      <c r="I252">
        <v>10.8</v>
      </c>
      <c r="J252">
        <v>9.3000000000000007</v>
      </c>
      <c r="K252">
        <v>8.1</v>
      </c>
    </row>
    <row r="253" spans="2:11">
      <c r="B253" t="s">
        <v>2099</v>
      </c>
      <c r="C253">
        <v>220.56</v>
      </c>
      <c r="D253" t="s">
        <v>488</v>
      </c>
      <c r="E253">
        <v>605.04</v>
      </c>
      <c r="F253">
        <v>1</v>
      </c>
      <c r="G253">
        <v>144.85</v>
      </c>
      <c r="H253">
        <v>64.7</v>
      </c>
      <c r="I253">
        <v>10.8</v>
      </c>
      <c r="J253">
        <v>9.3000000000000007</v>
      </c>
      <c r="K253">
        <v>8.1</v>
      </c>
    </row>
    <row r="254" spans="2:11">
      <c r="B254" t="s">
        <v>2100</v>
      </c>
      <c r="C254">
        <v>140.07</v>
      </c>
      <c r="D254" t="s">
        <v>488</v>
      </c>
      <c r="E254">
        <v>384.24</v>
      </c>
      <c r="F254">
        <v>1</v>
      </c>
      <c r="G254">
        <v>96.57</v>
      </c>
      <c r="H254">
        <v>43.09</v>
      </c>
      <c r="I254">
        <v>10.8</v>
      </c>
      <c r="J254">
        <v>9.3000000000000007</v>
      </c>
      <c r="K254">
        <v>8.1</v>
      </c>
    </row>
    <row r="255" spans="2:11">
      <c r="B255" t="s">
        <v>2101</v>
      </c>
      <c r="C255">
        <v>1137.48</v>
      </c>
      <c r="D255" t="s">
        <v>488</v>
      </c>
      <c r="E255">
        <v>3120.32</v>
      </c>
      <c r="F255">
        <v>1</v>
      </c>
      <c r="G255">
        <v>0</v>
      </c>
      <c r="H255">
        <v>0</v>
      </c>
      <c r="I255">
        <v>10.8</v>
      </c>
      <c r="J255">
        <v>9.3000000000000007</v>
      </c>
      <c r="K255">
        <v>8.1</v>
      </c>
    </row>
    <row r="256" spans="2:11">
      <c r="B256" t="s">
        <v>2102</v>
      </c>
      <c r="C256">
        <v>220.56</v>
      </c>
      <c r="D256" t="s">
        <v>488</v>
      </c>
      <c r="E256">
        <v>179.38</v>
      </c>
      <c r="F256">
        <v>1</v>
      </c>
      <c r="G256">
        <v>42.94</v>
      </c>
      <c r="H256">
        <v>0</v>
      </c>
      <c r="I256">
        <v>0</v>
      </c>
      <c r="K256">
        <v>0</v>
      </c>
    </row>
    <row r="257" spans="2:11">
      <c r="B257" t="s">
        <v>2103</v>
      </c>
      <c r="C257">
        <v>140.07</v>
      </c>
      <c r="D257" t="s">
        <v>488</v>
      </c>
      <c r="E257">
        <v>113.92</v>
      </c>
      <c r="F257">
        <v>1</v>
      </c>
      <c r="G257">
        <v>28.63</v>
      </c>
      <c r="H257">
        <v>0</v>
      </c>
      <c r="I257">
        <v>0</v>
      </c>
      <c r="K257">
        <v>0</v>
      </c>
    </row>
    <row r="258" spans="2:11">
      <c r="B258" t="s">
        <v>2104</v>
      </c>
      <c r="C258">
        <v>220.56</v>
      </c>
      <c r="D258" t="s">
        <v>488</v>
      </c>
      <c r="E258">
        <v>179.38</v>
      </c>
      <c r="F258">
        <v>1</v>
      </c>
      <c r="G258">
        <v>42.94</v>
      </c>
      <c r="H258">
        <v>0</v>
      </c>
      <c r="I258">
        <v>0</v>
      </c>
      <c r="K258">
        <v>0</v>
      </c>
    </row>
    <row r="259" spans="2:11">
      <c r="B259" t="s">
        <v>2105</v>
      </c>
      <c r="C259">
        <v>140.07</v>
      </c>
      <c r="D259" t="s">
        <v>488</v>
      </c>
      <c r="E259">
        <v>113.92</v>
      </c>
      <c r="F259">
        <v>1</v>
      </c>
      <c r="G259">
        <v>28.63</v>
      </c>
      <c r="H259">
        <v>0</v>
      </c>
      <c r="I259">
        <v>0</v>
      </c>
      <c r="K259">
        <v>0</v>
      </c>
    </row>
    <row r="260" spans="2:11">
      <c r="B260" t="s">
        <v>2106</v>
      </c>
      <c r="C260">
        <v>1137.48</v>
      </c>
      <c r="D260" t="s">
        <v>488</v>
      </c>
      <c r="E260">
        <v>925.11</v>
      </c>
      <c r="F260">
        <v>1</v>
      </c>
      <c r="G260">
        <v>0</v>
      </c>
      <c r="H260">
        <v>0</v>
      </c>
      <c r="I260">
        <v>0</v>
      </c>
      <c r="K260">
        <v>0</v>
      </c>
    </row>
    <row r="261" spans="2:11">
      <c r="B261" t="s">
        <v>2107</v>
      </c>
      <c r="C261">
        <v>220.56</v>
      </c>
      <c r="D261" t="s">
        <v>488</v>
      </c>
      <c r="E261">
        <v>604.84</v>
      </c>
      <c r="F261">
        <v>1</v>
      </c>
      <c r="G261">
        <v>144.80000000000001</v>
      </c>
      <c r="H261">
        <v>64.7</v>
      </c>
      <c r="I261">
        <v>10.8</v>
      </c>
      <c r="J261">
        <v>9.3000000000000007</v>
      </c>
      <c r="K261">
        <v>8.1</v>
      </c>
    </row>
    <row r="262" spans="2:11">
      <c r="B262" t="s">
        <v>2108</v>
      </c>
      <c r="C262">
        <v>140.07</v>
      </c>
      <c r="D262" t="s">
        <v>488</v>
      </c>
      <c r="E262">
        <v>384.11</v>
      </c>
      <c r="F262">
        <v>1</v>
      </c>
      <c r="G262">
        <v>96.53</v>
      </c>
      <c r="H262">
        <v>43.09</v>
      </c>
      <c r="I262">
        <v>10.8</v>
      </c>
      <c r="J262">
        <v>9.3000000000000007</v>
      </c>
      <c r="K262">
        <v>8.1</v>
      </c>
    </row>
    <row r="263" spans="2:11">
      <c r="B263" t="s">
        <v>2109</v>
      </c>
      <c r="C263">
        <v>220.56</v>
      </c>
      <c r="D263" t="s">
        <v>488</v>
      </c>
      <c r="E263">
        <v>604.84</v>
      </c>
      <c r="F263">
        <v>1</v>
      </c>
      <c r="G263">
        <v>144.80000000000001</v>
      </c>
      <c r="H263">
        <v>64.7</v>
      </c>
      <c r="I263">
        <v>10.8</v>
      </c>
      <c r="J263">
        <v>9.3000000000000007</v>
      </c>
      <c r="K263">
        <v>8.1</v>
      </c>
    </row>
    <row r="264" spans="2:11">
      <c r="B264" t="s">
        <v>2110</v>
      </c>
      <c r="C264">
        <v>140.07</v>
      </c>
      <c r="D264" t="s">
        <v>488</v>
      </c>
      <c r="E264">
        <v>384.11</v>
      </c>
      <c r="F264">
        <v>1</v>
      </c>
      <c r="G264">
        <v>96.53</v>
      </c>
      <c r="H264">
        <v>43.09</v>
      </c>
      <c r="I264">
        <v>10.8</v>
      </c>
      <c r="J264">
        <v>9.3000000000000007</v>
      </c>
      <c r="K264">
        <v>8.1</v>
      </c>
    </row>
    <row r="265" spans="2:11">
      <c r="B265" t="s">
        <v>2111</v>
      </c>
      <c r="C265">
        <v>1137.48</v>
      </c>
      <c r="D265" t="s">
        <v>488</v>
      </c>
      <c r="E265">
        <v>3119.29</v>
      </c>
      <c r="F265">
        <v>1</v>
      </c>
      <c r="G265">
        <v>0</v>
      </c>
      <c r="H265">
        <v>0</v>
      </c>
      <c r="I265">
        <v>10.8</v>
      </c>
      <c r="J265">
        <v>9.3000000000000007</v>
      </c>
      <c r="K265">
        <v>8.1</v>
      </c>
    </row>
    <row r="266" spans="2:11">
      <c r="B266" t="s">
        <v>2112</v>
      </c>
      <c r="C266">
        <v>220.56</v>
      </c>
      <c r="D266" t="s">
        <v>488</v>
      </c>
      <c r="E266">
        <v>179.58</v>
      </c>
      <c r="F266">
        <v>1</v>
      </c>
      <c r="G266">
        <v>42.99</v>
      </c>
      <c r="H266">
        <v>0</v>
      </c>
      <c r="I266">
        <v>0</v>
      </c>
      <c r="K266">
        <v>0</v>
      </c>
    </row>
    <row r="267" spans="2:11">
      <c r="B267" t="s">
        <v>2113</v>
      </c>
      <c r="C267">
        <v>140.07</v>
      </c>
      <c r="D267" t="s">
        <v>488</v>
      </c>
      <c r="E267">
        <v>114.04</v>
      </c>
      <c r="F267">
        <v>1</v>
      </c>
      <c r="G267">
        <v>28.66</v>
      </c>
      <c r="H267">
        <v>0</v>
      </c>
      <c r="I267">
        <v>0</v>
      </c>
      <c r="K267">
        <v>0</v>
      </c>
    </row>
    <row r="268" spans="2:11">
      <c r="B268" t="s">
        <v>2114</v>
      </c>
      <c r="C268">
        <v>220.56</v>
      </c>
      <c r="D268" t="s">
        <v>488</v>
      </c>
      <c r="E268">
        <v>179.58</v>
      </c>
      <c r="F268">
        <v>1</v>
      </c>
      <c r="G268">
        <v>42.99</v>
      </c>
      <c r="H268">
        <v>0</v>
      </c>
      <c r="I268">
        <v>0</v>
      </c>
      <c r="K268">
        <v>0</v>
      </c>
    </row>
    <row r="269" spans="2:11">
      <c r="B269" t="s">
        <v>2115</v>
      </c>
      <c r="C269">
        <v>140.07</v>
      </c>
      <c r="D269" t="s">
        <v>488</v>
      </c>
      <c r="E269">
        <v>114.04</v>
      </c>
      <c r="F269">
        <v>1</v>
      </c>
      <c r="G269">
        <v>28.66</v>
      </c>
      <c r="H269">
        <v>0</v>
      </c>
      <c r="I269">
        <v>0</v>
      </c>
      <c r="K269">
        <v>0</v>
      </c>
    </row>
    <row r="270" spans="2:11">
      <c r="B270" t="s">
        <v>2116</v>
      </c>
      <c r="C270">
        <v>1137.48</v>
      </c>
      <c r="D270" t="s">
        <v>488</v>
      </c>
      <c r="E270">
        <v>926.13</v>
      </c>
      <c r="F270">
        <v>1</v>
      </c>
      <c r="G270">
        <v>0</v>
      </c>
      <c r="H270">
        <v>0</v>
      </c>
      <c r="I270">
        <v>0</v>
      </c>
      <c r="K270">
        <v>0</v>
      </c>
    </row>
    <row r="271" spans="2:11">
      <c r="B271" t="s">
        <v>2932</v>
      </c>
      <c r="C271">
        <v>220.56</v>
      </c>
      <c r="D271" t="s">
        <v>488</v>
      </c>
      <c r="E271">
        <v>89.53</v>
      </c>
      <c r="F271">
        <v>1</v>
      </c>
      <c r="G271">
        <v>21.43</v>
      </c>
      <c r="H271">
        <v>0</v>
      </c>
      <c r="I271">
        <v>0</v>
      </c>
      <c r="K271">
        <v>0</v>
      </c>
    </row>
    <row r="272" spans="2:11">
      <c r="B272" t="s">
        <v>2933</v>
      </c>
      <c r="C272">
        <v>140.07</v>
      </c>
      <c r="D272" t="s">
        <v>488</v>
      </c>
      <c r="E272">
        <v>56.85</v>
      </c>
      <c r="F272">
        <v>1</v>
      </c>
      <c r="G272">
        <v>14.29</v>
      </c>
      <c r="H272">
        <v>0</v>
      </c>
      <c r="I272">
        <v>0</v>
      </c>
      <c r="K272">
        <v>0</v>
      </c>
    </row>
    <row r="273" spans="2:11">
      <c r="B273" t="s">
        <v>2934</v>
      </c>
      <c r="C273">
        <v>220.56</v>
      </c>
      <c r="D273" t="s">
        <v>488</v>
      </c>
      <c r="E273">
        <v>89.53</v>
      </c>
      <c r="F273">
        <v>1</v>
      </c>
      <c r="G273">
        <v>21.43</v>
      </c>
      <c r="H273">
        <v>0</v>
      </c>
      <c r="I273">
        <v>0</v>
      </c>
      <c r="K273">
        <v>0</v>
      </c>
    </row>
    <row r="274" spans="2:11">
      <c r="B274" t="s">
        <v>2935</v>
      </c>
      <c r="C274">
        <v>140.07</v>
      </c>
      <c r="D274" t="s">
        <v>488</v>
      </c>
      <c r="E274">
        <v>56.85</v>
      </c>
      <c r="F274">
        <v>1</v>
      </c>
      <c r="G274">
        <v>14.29</v>
      </c>
      <c r="H274">
        <v>0</v>
      </c>
      <c r="I274">
        <v>0</v>
      </c>
      <c r="K274">
        <v>0</v>
      </c>
    </row>
    <row r="275" spans="2:11">
      <c r="B275" t="s">
        <v>2936</v>
      </c>
      <c r="C275">
        <v>1137.48</v>
      </c>
      <c r="D275" t="s">
        <v>488</v>
      </c>
      <c r="E275">
        <v>461.71</v>
      </c>
      <c r="F275">
        <v>1</v>
      </c>
      <c r="G275">
        <v>0</v>
      </c>
      <c r="H275">
        <v>0</v>
      </c>
      <c r="I275">
        <v>0</v>
      </c>
      <c r="K275">
        <v>0</v>
      </c>
    </row>
    <row r="276" spans="2:11">
      <c r="B276" t="s">
        <v>2937</v>
      </c>
      <c r="C276">
        <v>220.56</v>
      </c>
      <c r="D276" t="s">
        <v>488</v>
      </c>
      <c r="E276">
        <v>89.52</v>
      </c>
      <c r="F276">
        <v>1</v>
      </c>
      <c r="G276">
        <v>21.43</v>
      </c>
      <c r="H276">
        <v>0</v>
      </c>
      <c r="I276">
        <v>0</v>
      </c>
      <c r="K276">
        <v>0</v>
      </c>
    </row>
    <row r="277" spans="2:11">
      <c r="B277" t="s">
        <v>2938</v>
      </c>
      <c r="C277">
        <v>140.07</v>
      </c>
      <c r="D277" t="s">
        <v>488</v>
      </c>
      <c r="E277">
        <v>56.85</v>
      </c>
      <c r="F277">
        <v>1</v>
      </c>
      <c r="G277">
        <v>14.29</v>
      </c>
      <c r="H277">
        <v>0</v>
      </c>
      <c r="I277">
        <v>0</v>
      </c>
      <c r="K277">
        <v>0</v>
      </c>
    </row>
    <row r="278" spans="2:11">
      <c r="B278" t="s">
        <v>2939</v>
      </c>
      <c r="C278">
        <v>220.56</v>
      </c>
      <c r="D278" t="s">
        <v>488</v>
      </c>
      <c r="E278">
        <v>89.52</v>
      </c>
      <c r="F278">
        <v>1</v>
      </c>
      <c r="G278">
        <v>21.43</v>
      </c>
      <c r="H278">
        <v>0</v>
      </c>
      <c r="I278">
        <v>0</v>
      </c>
      <c r="K278">
        <v>0</v>
      </c>
    </row>
    <row r="279" spans="2:11">
      <c r="B279" t="s">
        <v>2940</v>
      </c>
      <c r="C279">
        <v>140.07</v>
      </c>
      <c r="D279" t="s">
        <v>488</v>
      </c>
      <c r="E279">
        <v>56.85</v>
      </c>
      <c r="F279">
        <v>1</v>
      </c>
      <c r="G279">
        <v>14.29</v>
      </c>
      <c r="H279">
        <v>0</v>
      </c>
      <c r="I279">
        <v>0</v>
      </c>
      <c r="K279">
        <v>0</v>
      </c>
    </row>
    <row r="280" spans="2:11">
      <c r="B280" t="s">
        <v>2941</v>
      </c>
      <c r="C280">
        <v>1137.48</v>
      </c>
      <c r="D280" t="s">
        <v>488</v>
      </c>
      <c r="E280">
        <v>461.69</v>
      </c>
      <c r="F280">
        <v>1</v>
      </c>
      <c r="G280">
        <v>0</v>
      </c>
      <c r="H280">
        <v>0</v>
      </c>
      <c r="I280">
        <v>0</v>
      </c>
      <c r="K280">
        <v>0</v>
      </c>
    </row>
    <row r="281" spans="2:11">
      <c r="B281" t="s">
        <v>2942</v>
      </c>
      <c r="C281">
        <v>220.56</v>
      </c>
      <c r="D281" t="s">
        <v>488</v>
      </c>
      <c r="E281">
        <v>89.52</v>
      </c>
      <c r="F281">
        <v>1</v>
      </c>
      <c r="G281">
        <v>21.43</v>
      </c>
      <c r="H281">
        <v>0</v>
      </c>
      <c r="I281">
        <v>0</v>
      </c>
      <c r="K281">
        <v>0</v>
      </c>
    </row>
    <row r="282" spans="2:11">
      <c r="B282" t="s">
        <v>2943</v>
      </c>
      <c r="C282">
        <v>140.07</v>
      </c>
      <c r="D282" t="s">
        <v>488</v>
      </c>
      <c r="E282">
        <v>56.85</v>
      </c>
      <c r="F282">
        <v>1</v>
      </c>
      <c r="G282">
        <v>14.29</v>
      </c>
      <c r="H282">
        <v>0</v>
      </c>
      <c r="I282">
        <v>0</v>
      </c>
      <c r="K282">
        <v>0</v>
      </c>
    </row>
    <row r="283" spans="2:11">
      <c r="B283" t="s">
        <v>2944</v>
      </c>
      <c r="C283">
        <v>220.56</v>
      </c>
      <c r="D283" t="s">
        <v>488</v>
      </c>
      <c r="E283">
        <v>89.52</v>
      </c>
      <c r="F283">
        <v>1</v>
      </c>
      <c r="G283">
        <v>21.43</v>
      </c>
      <c r="H283">
        <v>0</v>
      </c>
      <c r="I283">
        <v>0</v>
      </c>
      <c r="K283">
        <v>0</v>
      </c>
    </row>
    <row r="284" spans="2:11">
      <c r="B284" t="s">
        <v>2945</v>
      </c>
      <c r="C284">
        <v>140.07</v>
      </c>
      <c r="D284" t="s">
        <v>488</v>
      </c>
      <c r="E284">
        <v>56.85</v>
      </c>
      <c r="F284">
        <v>1</v>
      </c>
      <c r="G284">
        <v>14.29</v>
      </c>
      <c r="H284">
        <v>0</v>
      </c>
      <c r="I284">
        <v>0</v>
      </c>
      <c r="K284">
        <v>0</v>
      </c>
    </row>
    <row r="285" spans="2:11">
      <c r="B285" t="s">
        <v>2946</v>
      </c>
      <c r="C285">
        <v>1137.48</v>
      </c>
      <c r="D285" t="s">
        <v>488</v>
      </c>
      <c r="E285">
        <v>461.69</v>
      </c>
      <c r="F285">
        <v>1</v>
      </c>
      <c r="G285">
        <v>0</v>
      </c>
      <c r="H285">
        <v>0</v>
      </c>
      <c r="I285">
        <v>0</v>
      </c>
      <c r="K285">
        <v>0</v>
      </c>
    </row>
    <row r="286" spans="2:11">
      <c r="B286" t="s">
        <v>2007</v>
      </c>
      <c r="C286">
        <v>16728.63</v>
      </c>
      <c r="E286">
        <v>22095.11</v>
      </c>
      <c r="G286">
        <v>2092.2399999999998</v>
      </c>
      <c r="H286">
        <v>629.16999999999996</v>
      </c>
      <c r="I286">
        <v>3.6</v>
      </c>
      <c r="J286">
        <v>27.9</v>
      </c>
      <c r="K286">
        <v>2.7</v>
      </c>
    </row>
    <row r="287" spans="2:11">
      <c r="B287" t="s">
        <v>2117</v>
      </c>
      <c r="C287">
        <v>16728.63</v>
      </c>
      <c r="E287">
        <v>22095.11</v>
      </c>
      <c r="G287">
        <v>2092.2399999999998</v>
      </c>
      <c r="H287">
        <v>629.16999999999996</v>
      </c>
      <c r="I287">
        <v>3.6</v>
      </c>
      <c r="J287">
        <v>27.9</v>
      </c>
      <c r="K287">
        <v>2.7</v>
      </c>
    </row>
    <row r="288" spans="2:11">
      <c r="B288" t="s">
        <v>2118</v>
      </c>
      <c r="C288">
        <v>0</v>
      </c>
      <c r="E288">
        <v>0</v>
      </c>
      <c r="G288">
        <v>0</v>
      </c>
      <c r="H288">
        <v>0</v>
      </c>
    </row>
    <row r="291" spans="1:8">
      <c r="A291" t="s">
        <v>1915</v>
      </c>
    </row>
    <row r="292" spans="1:8">
      <c r="A292" t="s">
        <v>1916</v>
      </c>
      <c r="B292" t="s">
        <v>2119</v>
      </c>
    </row>
    <row r="293" spans="1:8">
      <c r="A293" t="s">
        <v>1918</v>
      </c>
      <c r="B293" t="s">
        <v>1919</v>
      </c>
    </row>
    <row r="294" spans="1:8">
      <c r="A294" t="s">
        <v>1946</v>
      </c>
    </row>
    <row r="296" spans="1:8">
      <c r="C296" t="s">
        <v>2120</v>
      </c>
      <c r="D296" t="s">
        <v>2121</v>
      </c>
      <c r="E296" t="s">
        <v>2122</v>
      </c>
      <c r="F296" t="s">
        <v>2123</v>
      </c>
      <c r="G296" t="s">
        <v>2124</v>
      </c>
      <c r="H296" t="s">
        <v>2125</v>
      </c>
    </row>
    <row r="297" spans="1:8">
      <c r="B297" t="s">
        <v>2126</v>
      </c>
      <c r="C297" t="s">
        <v>212</v>
      </c>
      <c r="D297" t="s">
        <v>212</v>
      </c>
      <c r="E297" t="s">
        <v>212</v>
      </c>
      <c r="F297" t="s">
        <v>212</v>
      </c>
      <c r="G297" t="s">
        <v>212</v>
      </c>
      <c r="H297" t="s">
        <v>212</v>
      </c>
    </row>
    <row r="298" spans="1:8">
      <c r="B298" t="s">
        <v>351</v>
      </c>
      <c r="C298">
        <v>0</v>
      </c>
      <c r="D298">
        <v>0</v>
      </c>
      <c r="E298">
        <v>0</v>
      </c>
      <c r="F298">
        <v>0</v>
      </c>
      <c r="G298">
        <v>0</v>
      </c>
      <c r="H298">
        <v>0</v>
      </c>
    </row>
    <row r="299" spans="1:8">
      <c r="B299" t="s">
        <v>350</v>
      </c>
      <c r="C299">
        <v>0</v>
      </c>
      <c r="D299">
        <v>0</v>
      </c>
      <c r="E299">
        <v>0</v>
      </c>
      <c r="F299">
        <v>0</v>
      </c>
      <c r="G299">
        <v>0</v>
      </c>
      <c r="H299">
        <v>0</v>
      </c>
    </row>
    <row r="300" spans="1:8">
      <c r="B300" t="s">
        <v>1953</v>
      </c>
      <c r="C300">
        <v>0</v>
      </c>
      <c r="D300">
        <v>0</v>
      </c>
      <c r="E300">
        <v>0</v>
      </c>
      <c r="F300">
        <v>0</v>
      </c>
      <c r="G300">
        <v>0</v>
      </c>
      <c r="H300">
        <v>0</v>
      </c>
    </row>
    <row r="301" spans="1:8">
      <c r="B301" t="s">
        <v>1954</v>
      </c>
      <c r="C301">
        <v>0</v>
      </c>
      <c r="D301">
        <v>0</v>
      </c>
      <c r="E301">
        <v>0</v>
      </c>
      <c r="F301">
        <v>0</v>
      </c>
      <c r="G301">
        <v>0</v>
      </c>
      <c r="H301">
        <v>0</v>
      </c>
    </row>
    <row r="302" spans="1:8">
      <c r="B302" t="s">
        <v>1955</v>
      </c>
      <c r="C302">
        <v>0</v>
      </c>
      <c r="D302">
        <v>0</v>
      </c>
      <c r="E302">
        <v>0</v>
      </c>
      <c r="F302">
        <v>0</v>
      </c>
      <c r="G302">
        <v>0</v>
      </c>
      <c r="H302">
        <v>0</v>
      </c>
    </row>
    <row r="303" spans="1:8">
      <c r="B303" t="s">
        <v>1956</v>
      </c>
      <c r="C303">
        <v>0</v>
      </c>
      <c r="D303">
        <v>0</v>
      </c>
      <c r="E303">
        <v>0</v>
      </c>
      <c r="F303">
        <v>0</v>
      </c>
      <c r="G303">
        <v>0</v>
      </c>
      <c r="H303">
        <v>0</v>
      </c>
    </row>
    <row r="304" spans="1:8">
      <c r="B304" t="s">
        <v>502</v>
      </c>
      <c r="C304">
        <v>0</v>
      </c>
      <c r="D304">
        <v>0</v>
      </c>
      <c r="E304">
        <v>0</v>
      </c>
      <c r="F304">
        <v>0</v>
      </c>
      <c r="G304">
        <v>0</v>
      </c>
      <c r="H304">
        <v>0</v>
      </c>
    </row>
    <row r="305" spans="1:9">
      <c r="B305" t="s">
        <v>1957</v>
      </c>
      <c r="C305">
        <v>0</v>
      </c>
      <c r="D305">
        <v>0</v>
      </c>
      <c r="E305">
        <v>0</v>
      </c>
      <c r="F305">
        <v>0</v>
      </c>
      <c r="G305">
        <v>0</v>
      </c>
      <c r="H305">
        <v>0</v>
      </c>
    </row>
    <row r="306" spans="1:9">
      <c r="B306" t="s">
        <v>1958</v>
      </c>
      <c r="C306">
        <v>0</v>
      </c>
      <c r="D306">
        <v>0</v>
      </c>
      <c r="E306">
        <v>0</v>
      </c>
      <c r="F306">
        <v>0</v>
      </c>
      <c r="G306">
        <v>0</v>
      </c>
      <c r="H306">
        <v>0</v>
      </c>
    </row>
    <row r="307" spans="1:9">
      <c r="B307" t="s">
        <v>1959</v>
      </c>
      <c r="C307">
        <v>0</v>
      </c>
      <c r="D307">
        <v>0</v>
      </c>
      <c r="E307">
        <v>0</v>
      </c>
      <c r="F307">
        <v>0</v>
      </c>
      <c r="G307">
        <v>0</v>
      </c>
      <c r="H307">
        <v>0</v>
      </c>
    </row>
    <row r="308" spans="1:9">
      <c r="B308" t="s">
        <v>503</v>
      </c>
      <c r="C308">
        <v>0</v>
      </c>
      <c r="D308">
        <v>0</v>
      </c>
      <c r="E308">
        <v>0</v>
      </c>
      <c r="F308">
        <v>0</v>
      </c>
      <c r="G308">
        <v>0</v>
      </c>
      <c r="H308">
        <v>0</v>
      </c>
    </row>
    <row r="309" spans="1:9">
      <c r="B309" t="s">
        <v>1960</v>
      </c>
      <c r="C309">
        <v>0</v>
      </c>
      <c r="D309">
        <v>0</v>
      </c>
      <c r="E309">
        <v>0</v>
      </c>
      <c r="F309">
        <v>0</v>
      </c>
      <c r="G309">
        <v>0</v>
      </c>
      <c r="H309">
        <v>0</v>
      </c>
    </row>
    <row r="310" spans="1:9">
      <c r="B310" t="s">
        <v>1961</v>
      </c>
      <c r="C310">
        <v>0</v>
      </c>
      <c r="D310">
        <v>0</v>
      </c>
      <c r="E310">
        <v>0</v>
      </c>
      <c r="F310">
        <v>0</v>
      </c>
      <c r="G310">
        <v>0</v>
      </c>
      <c r="H310">
        <v>0</v>
      </c>
    </row>
    <row r="311" spans="1:9">
      <c r="B311" t="s">
        <v>1962</v>
      </c>
      <c r="C311">
        <v>0</v>
      </c>
      <c r="D311">
        <v>0</v>
      </c>
      <c r="E311">
        <v>0</v>
      </c>
      <c r="F311">
        <v>0</v>
      </c>
      <c r="G311">
        <v>0</v>
      </c>
      <c r="H311">
        <v>0</v>
      </c>
    </row>
    <row r="313" spans="1:9">
      <c r="B313" t="s">
        <v>1963</v>
      </c>
      <c r="C313">
        <v>0</v>
      </c>
      <c r="D313">
        <v>0</v>
      </c>
      <c r="E313">
        <v>0</v>
      </c>
      <c r="F313">
        <v>0</v>
      </c>
      <c r="G313">
        <v>0</v>
      </c>
      <c r="H313">
        <v>0</v>
      </c>
    </row>
    <row r="316" spans="1:9">
      <c r="A316" t="s">
        <v>1964</v>
      </c>
    </row>
    <row r="318" spans="1:9">
      <c r="C318" t="s">
        <v>1965</v>
      </c>
      <c r="D318" t="s">
        <v>2120</v>
      </c>
      <c r="E318" t="s">
        <v>2121</v>
      </c>
      <c r="F318" t="s">
        <v>2122</v>
      </c>
      <c r="G318" t="s">
        <v>2123</v>
      </c>
      <c r="H318" t="s">
        <v>2124</v>
      </c>
      <c r="I318" t="s">
        <v>2125</v>
      </c>
    </row>
    <row r="319" spans="1:9">
      <c r="B319" t="s">
        <v>351</v>
      </c>
      <c r="C319" t="s">
        <v>412</v>
      </c>
      <c r="D319">
        <v>0</v>
      </c>
      <c r="E319">
        <v>0</v>
      </c>
      <c r="F319">
        <v>0</v>
      </c>
      <c r="G319">
        <v>0</v>
      </c>
      <c r="H319">
        <v>0</v>
      </c>
      <c r="I319">
        <v>0</v>
      </c>
    </row>
    <row r="320" spans="1:9">
      <c r="C320" t="s">
        <v>1966</v>
      </c>
      <c r="D320">
        <v>0</v>
      </c>
      <c r="E320">
        <v>0</v>
      </c>
      <c r="F320">
        <v>0</v>
      </c>
      <c r="G320">
        <v>0</v>
      </c>
      <c r="H320">
        <v>0</v>
      </c>
      <c r="I320">
        <v>0</v>
      </c>
    </row>
    <row r="321" spans="2:9">
      <c r="B321" t="s">
        <v>350</v>
      </c>
      <c r="C321" t="s">
        <v>1967</v>
      </c>
      <c r="D321">
        <v>0</v>
      </c>
      <c r="E321">
        <v>0</v>
      </c>
      <c r="F321">
        <v>0</v>
      </c>
      <c r="G321">
        <v>0</v>
      </c>
      <c r="H321">
        <v>0</v>
      </c>
      <c r="I321">
        <v>0</v>
      </c>
    </row>
    <row r="322" spans="2:9">
      <c r="B322" t="s">
        <v>1953</v>
      </c>
      <c r="C322" t="s">
        <v>1968</v>
      </c>
      <c r="D322">
        <v>0</v>
      </c>
      <c r="E322">
        <v>0</v>
      </c>
      <c r="F322">
        <v>0</v>
      </c>
      <c r="G322">
        <v>0</v>
      </c>
      <c r="H322">
        <v>0</v>
      </c>
      <c r="I322">
        <v>0</v>
      </c>
    </row>
    <row r="323" spans="2:9">
      <c r="C323" t="s">
        <v>1969</v>
      </c>
      <c r="D323">
        <v>0</v>
      </c>
      <c r="E323">
        <v>0</v>
      </c>
      <c r="F323">
        <v>0</v>
      </c>
      <c r="G323">
        <v>0</v>
      </c>
      <c r="H323">
        <v>0</v>
      </c>
      <c r="I323">
        <v>0</v>
      </c>
    </row>
    <row r="324" spans="2:9">
      <c r="C324" t="s">
        <v>1970</v>
      </c>
      <c r="D324">
        <v>0</v>
      </c>
      <c r="E324">
        <v>0</v>
      </c>
      <c r="F324">
        <v>0</v>
      </c>
      <c r="G324">
        <v>0</v>
      </c>
      <c r="H324">
        <v>0</v>
      </c>
      <c r="I324">
        <v>0</v>
      </c>
    </row>
    <row r="325" spans="2:9">
      <c r="C325" t="s">
        <v>1971</v>
      </c>
      <c r="D325">
        <v>0</v>
      </c>
      <c r="E325">
        <v>0</v>
      </c>
      <c r="F325">
        <v>0</v>
      </c>
      <c r="G325">
        <v>0</v>
      </c>
      <c r="H325">
        <v>0</v>
      </c>
      <c r="I325">
        <v>0</v>
      </c>
    </row>
    <row r="326" spans="2:9">
      <c r="C326" t="s">
        <v>1972</v>
      </c>
      <c r="D326">
        <v>0</v>
      </c>
      <c r="E326">
        <v>0</v>
      </c>
      <c r="F326">
        <v>0</v>
      </c>
      <c r="G326">
        <v>0</v>
      </c>
      <c r="H326">
        <v>0</v>
      </c>
      <c r="I326">
        <v>0</v>
      </c>
    </row>
    <row r="327" spans="2:9">
      <c r="C327" t="s">
        <v>1973</v>
      </c>
      <c r="D327">
        <v>0</v>
      </c>
      <c r="E327">
        <v>0</v>
      </c>
      <c r="F327">
        <v>0</v>
      </c>
      <c r="G327">
        <v>0</v>
      </c>
      <c r="H327">
        <v>0</v>
      </c>
      <c r="I327">
        <v>0</v>
      </c>
    </row>
    <row r="328" spans="2:9">
      <c r="C328" t="s">
        <v>1974</v>
      </c>
      <c r="D328">
        <v>0</v>
      </c>
      <c r="E328">
        <v>0</v>
      </c>
      <c r="F328">
        <v>0</v>
      </c>
      <c r="G328">
        <v>0</v>
      </c>
      <c r="H328">
        <v>0</v>
      </c>
      <c r="I328">
        <v>0</v>
      </c>
    </row>
    <row r="329" spans="2:9">
      <c r="C329" t="s">
        <v>1975</v>
      </c>
      <c r="D329">
        <v>0</v>
      </c>
      <c r="E329">
        <v>0</v>
      </c>
      <c r="F329">
        <v>0</v>
      </c>
      <c r="G329">
        <v>0</v>
      </c>
      <c r="H329">
        <v>0</v>
      </c>
      <c r="I329">
        <v>0</v>
      </c>
    </row>
    <row r="330" spans="2:9">
      <c r="C330" t="s">
        <v>1976</v>
      </c>
      <c r="D330">
        <v>0</v>
      </c>
      <c r="E330">
        <v>0</v>
      </c>
      <c r="F330">
        <v>0</v>
      </c>
      <c r="G330">
        <v>0</v>
      </c>
      <c r="H330">
        <v>0</v>
      </c>
      <c r="I330">
        <v>0</v>
      </c>
    </row>
    <row r="331" spans="2:9">
      <c r="C331" t="s">
        <v>1977</v>
      </c>
      <c r="D331">
        <v>0</v>
      </c>
      <c r="E331">
        <v>0</v>
      </c>
      <c r="F331">
        <v>0</v>
      </c>
      <c r="G331">
        <v>0</v>
      </c>
      <c r="H331">
        <v>0</v>
      </c>
      <c r="I331">
        <v>0</v>
      </c>
    </row>
    <row r="332" spans="2:9">
      <c r="C332" t="s">
        <v>1978</v>
      </c>
      <c r="D332">
        <v>0</v>
      </c>
      <c r="E332">
        <v>0</v>
      </c>
      <c r="F332">
        <v>0</v>
      </c>
      <c r="G332">
        <v>0</v>
      </c>
      <c r="H332">
        <v>0</v>
      </c>
      <c r="I332">
        <v>0</v>
      </c>
    </row>
    <row r="333" spans="2:9">
      <c r="C333" t="s">
        <v>1979</v>
      </c>
      <c r="D333">
        <v>0</v>
      </c>
      <c r="E333">
        <v>0</v>
      </c>
      <c r="F333">
        <v>0</v>
      </c>
      <c r="G333">
        <v>0</v>
      </c>
      <c r="H333">
        <v>0</v>
      </c>
      <c r="I333">
        <v>0</v>
      </c>
    </row>
    <row r="334" spans="2:9">
      <c r="C334" t="s">
        <v>1980</v>
      </c>
      <c r="D334">
        <v>0</v>
      </c>
      <c r="E334">
        <v>0</v>
      </c>
      <c r="F334">
        <v>0</v>
      </c>
      <c r="G334">
        <v>0</v>
      </c>
      <c r="H334">
        <v>0</v>
      </c>
      <c r="I334">
        <v>0</v>
      </c>
    </row>
    <row r="335" spans="2:9">
      <c r="C335" t="s">
        <v>1981</v>
      </c>
      <c r="D335">
        <v>0</v>
      </c>
      <c r="E335">
        <v>0</v>
      </c>
      <c r="F335">
        <v>0</v>
      </c>
      <c r="G335">
        <v>0</v>
      </c>
      <c r="H335">
        <v>0</v>
      </c>
      <c r="I335">
        <v>0</v>
      </c>
    </row>
    <row r="336" spans="2:9">
      <c r="C336" t="s">
        <v>1982</v>
      </c>
      <c r="D336">
        <v>0</v>
      </c>
      <c r="E336">
        <v>0</v>
      </c>
      <c r="F336">
        <v>0</v>
      </c>
      <c r="G336">
        <v>0</v>
      </c>
      <c r="H336">
        <v>0</v>
      </c>
      <c r="I336">
        <v>0</v>
      </c>
    </row>
    <row r="337" spans="2:9">
      <c r="B337" t="s">
        <v>1954</v>
      </c>
      <c r="C337" t="s">
        <v>1967</v>
      </c>
      <c r="D337">
        <v>0</v>
      </c>
      <c r="E337">
        <v>0</v>
      </c>
      <c r="F337">
        <v>0</v>
      </c>
      <c r="G337">
        <v>0</v>
      </c>
      <c r="H337">
        <v>0</v>
      </c>
      <c r="I337">
        <v>0</v>
      </c>
    </row>
    <row r="338" spans="2:9">
      <c r="B338" t="s">
        <v>1955</v>
      </c>
      <c r="C338" t="s">
        <v>1983</v>
      </c>
      <c r="D338">
        <v>0</v>
      </c>
      <c r="E338">
        <v>0</v>
      </c>
      <c r="F338">
        <v>0</v>
      </c>
      <c r="G338">
        <v>0</v>
      </c>
      <c r="H338">
        <v>0</v>
      </c>
      <c r="I338">
        <v>0</v>
      </c>
    </row>
    <row r="339" spans="2:9">
      <c r="C339" t="s">
        <v>1984</v>
      </c>
      <c r="D339">
        <v>0</v>
      </c>
      <c r="E339">
        <v>0</v>
      </c>
      <c r="F339">
        <v>0</v>
      </c>
      <c r="G339">
        <v>0</v>
      </c>
      <c r="H339">
        <v>0</v>
      </c>
      <c r="I339">
        <v>0</v>
      </c>
    </row>
    <row r="340" spans="2:9">
      <c r="C340" t="s">
        <v>1985</v>
      </c>
      <c r="D340">
        <v>0</v>
      </c>
      <c r="E340">
        <v>0</v>
      </c>
      <c r="F340">
        <v>0</v>
      </c>
      <c r="G340">
        <v>0</v>
      </c>
      <c r="H340">
        <v>0</v>
      </c>
      <c r="I340">
        <v>0</v>
      </c>
    </row>
    <row r="341" spans="2:9">
      <c r="C341" t="s">
        <v>1986</v>
      </c>
      <c r="D341">
        <v>0</v>
      </c>
      <c r="E341">
        <v>0</v>
      </c>
      <c r="F341">
        <v>0</v>
      </c>
      <c r="G341">
        <v>0</v>
      </c>
      <c r="H341">
        <v>0</v>
      </c>
      <c r="I341">
        <v>0</v>
      </c>
    </row>
    <row r="342" spans="2:9">
      <c r="C342" t="s">
        <v>1987</v>
      </c>
      <c r="D342">
        <v>0</v>
      </c>
      <c r="E342">
        <v>0</v>
      </c>
      <c r="F342">
        <v>0</v>
      </c>
      <c r="G342">
        <v>0</v>
      </c>
      <c r="H342">
        <v>0</v>
      </c>
      <c r="I342">
        <v>0</v>
      </c>
    </row>
    <row r="343" spans="2:9">
      <c r="C343" t="s">
        <v>1988</v>
      </c>
      <c r="D343">
        <v>0</v>
      </c>
      <c r="E343">
        <v>0</v>
      </c>
      <c r="F343">
        <v>0</v>
      </c>
      <c r="G343">
        <v>0</v>
      </c>
      <c r="H343">
        <v>0</v>
      </c>
      <c r="I343">
        <v>0</v>
      </c>
    </row>
    <row r="344" spans="2:9">
      <c r="C344" t="s">
        <v>1989</v>
      </c>
      <c r="D344">
        <v>0</v>
      </c>
      <c r="E344">
        <v>0</v>
      </c>
      <c r="F344">
        <v>0</v>
      </c>
      <c r="G344">
        <v>0</v>
      </c>
      <c r="H344">
        <v>0</v>
      </c>
      <c r="I344">
        <v>0</v>
      </c>
    </row>
    <row r="345" spans="2:9">
      <c r="C345" t="s">
        <v>1990</v>
      </c>
      <c r="D345">
        <v>0</v>
      </c>
      <c r="E345">
        <v>0</v>
      </c>
      <c r="F345">
        <v>0</v>
      </c>
      <c r="G345">
        <v>0</v>
      </c>
      <c r="H345">
        <v>0</v>
      </c>
      <c r="I345">
        <v>0</v>
      </c>
    </row>
    <row r="346" spans="2:9">
      <c r="C346" t="s">
        <v>1991</v>
      </c>
      <c r="D346">
        <v>0</v>
      </c>
      <c r="E346">
        <v>0</v>
      </c>
      <c r="F346">
        <v>0</v>
      </c>
      <c r="G346">
        <v>0</v>
      </c>
      <c r="H346">
        <v>0</v>
      </c>
      <c r="I346">
        <v>0</v>
      </c>
    </row>
    <row r="347" spans="2:9">
      <c r="C347" t="s">
        <v>1992</v>
      </c>
      <c r="D347">
        <v>0</v>
      </c>
      <c r="E347">
        <v>0</v>
      </c>
      <c r="F347">
        <v>0</v>
      </c>
      <c r="G347">
        <v>0</v>
      </c>
      <c r="H347">
        <v>0</v>
      </c>
      <c r="I347">
        <v>0</v>
      </c>
    </row>
    <row r="348" spans="2:9">
      <c r="C348" t="s">
        <v>1993</v>
      </c>
      <c r="D348">
        <v>0</v>
      </c>
      <c r="E348">
        <v>0</v>
      </c>
      <c r="F348">
        <v>0</v>
      </c>
      <c r="G348">
        <v>0</v>
      </c>
      <c r="H348">
        <v>0</v>
      </c>
      <c r="I348">
        <v>0</v>
      </c>
    </row>
    <row r="349" spans="2:9">
      <c r="C349" t="s">
        <v>1994</v>
      </c>
      <c r="D349">
        <v>0</v>
      </c>
      <c r="E349">
        <v>0</v>
      </c>
      <c r="F349">
        <v>0</v>
      </c>
      <c r="G349">
        <v>0</v>
      </c>
      <c r="H349">
        <v>0</v>
      </c>
      <c r="I349">
        <v>0</v>
      </c>
    </row>
    <row r="350" spans="2:9">
      <c r="C350" t="s">
        <v>1995</v>
      </c>
      <c r="D350">
        <v>0</v>
      </c>
      <c r="E350">
        <v>0</v>
      </c>
      <c r="F350">
        <v>0</v>
      </c>
      <c r="G350">
        <v>0</v>
      </c>
      <c r="H350">
        <v>0</v>
      </c>
      <c r="I350">
        <v>0</v>
      </c>
    </row>
    <row r="351" spans="2:9">
      <c r="C351" t="s">
        <v>1996</v>
      </c>
      <c r="D351">
        <v>0</v>
      </c>
      <c r="E351">
        <v>0</v>
      </c>
      <c r="F351">
        <v>0</v>
      </c>
      <c r="G351">
        <v>0</v>
      </c>
      <c r="H351">
        <v>0</v>
      </c>
      <c r="I351">
        <v>0</v>
      </c>
    </row>
    <row r="352" spans="2:9">
      <c r="C352" t="s">
        <v>1997</v>
      </c>
      <c r="D352">
        <v>0</v>
      </c>
      <c r="E352">
        <v>0</v>
      </c>
      <c r="F352">
        <v>0</v>
      </c>
      <c r="G352">
        <v>0</v>
      </c>
      <c r="H352">
        <v>0</v>
      </c>
      <c r="I352">
        <v>0</v>
      </c>
    </row>
    <row r="353" spans="1:9">
      <c r="B353" t="s">
        <v>1956</v>
      </c>
      <c r="C353" t="s">
        <v>1967</v>
      </c>
      <c r="D353">
        <v>0</v>
      </c>
      <c r="E353">
        <v>0</v>
      </c>
      <c r="F353">
        <v>0</v>
      </c>
      <c r="G353">
        <v>0</v>
      </c>
      <c r="H353">
        <v>0</v>
      </c>
      <c r="I353">
        <v>0</v>
      </c>
    </row>
    <row r="354" spans="1:9">
      <c r="B354" t="s">
        <v>502</v>
      </c>
      <c r="C354" t="s">
        <v>1967</v>
      </c>
      <c r="D354">
        <v>0</v>
      </c>
      <c r="E354">
        <v>0</v>
      </c>
      <c r="F354">
        <v>0</v>
      </c>
      <c r="G354">
        <v>0</v>
      </c>
      <c r="H354">
        <v>0</v>
      </c>
      <c r="I354">
        <v>0</v>
      </c>
    </row>
    <row r="355" spans="1:9">
      <c r="B355" t="s">
        <v>1957</v>
      </c>
      <c r="C355" t="s">
        <v>1967</v>
      </c>
      <c r="D355">
        <v>0</v>
      </c>
      <c r="E355">
        <v>0</v>
      </c>
      <c r="F355">
        <v>0</v>
      </c>
      <c r="G355">
        <v>0</v>
      </c>
      <c r="H355">
        <v>0</v>
      </c>
      <c r="I355">
        <v>0</v>
      </c>
    </row>
    <row r="356" spans="1:9">
      <c r="B356" t="s">
        <v>1958</v>
      </c>
      <c r="C356" t="s">
        <v>1967</v>
      </c>
      <c r="D356">
        <v>0</v>
      </c>
      <c r="E356">
        <v>0</v>
      </c>
      <c r="F356">
        <v>0</v>
      </c>
      <c r="G356">
        <v>0</v>
      </c>
      <c r="H356">
        <v>0</v>
      </c>
      <c r="I356">
        <v>0</v>
      </c>
    </row>
    <row r="357" spans="1:9">
      <c r="B357" t="s">
        <v>1959</v>
      </c>
      <c r="C357" t="s">
        <v>1967</v>
      </c>
      <c r="D357">
        <v>0</v>
      </c>
      <c r="E357">
        <v>0</v>
      </c>
      <c r="F357">
        <v>0</v>
      </c>
      <c r="G357">
        <v>0</v>
      </c>
      <c r="H357">
        <v>0</v>
      </c>
      <c r="I357">
        <v>0</v>
      </c>
    </row>
    <row r="358" spans="1:9">
      <c r="B358" t="s">
        <v>503</v>
      </c>
      <c r="C358" t="s">
        <v>1967</v>
      </c>
      <c r="D358">
        <v>0</v>
      </c>
      <c r="E358">
        <v>0</v>
      </c>
      <c r="F358">
        <v>0</v>
      </c>
      <c r="G358">
        <v>0</v>
      </c>
      <c r="H358">
        <v>0</v>
      </c>
      <c r="I358">
        <v>0</v>
      </c>
    </row>
    <row r="359" spans="1:9">
      <c r="B359" t="s">
        <v>1960</v>
      </c>
      <c r="C359" t="s">
        <v>1967</v>
      </c>
      <c r="D359">
        <v>0</v>
      </c>
      <c r="E359">
        <v>0</v>
      </c>
      <c r="F359">
        <v>0</v>
      </c>
      <c r="G359">
        <v>0</v>
      </c>
      <c r="H359">
        <v>0</v>
      </c>
      <c r="I359">
        <v>0</v>
      </c>
    </row>
    <row r="360" spans="1:9">
      <c r="B360" t="s">
        <v>1961</v>
      </c>
      <c r="C360" t="s">
        <v>1967</v>
      </c>
      <c r="D360">
        <v>0</v>
      </c>
      <c r="E360">
        <v>0</v>
      </c>
      <c r="F360">
        <v>0</v>
      </c>
      <c r="G360">
        <v>0</v>
      </c>
      <c r="H360">
        <v>0</v>
      </c>
      <c r="I360">
        <v>0</v>
      </c>
    </row>
    <row r="361" spans="1:9">
      <c r="B361" t="s">
        <v>1962</v>
      </c>
      <c r="C361" t="s">
        <v>1967</v>
      </c>
      <c r="D361">
        <v>0</v>
      </c>
      <c r="E361">
        <v>0</v>
      </c>
      <c r="F361">
        <v>0</v>
      </c>
      <c r="G361">
        <v>0</v>
      </c>
      <c r="H361">
        <v>0</v>
      </c>
      <c r="I361">
        <v>0</v>
      </c>
    </row>
    <row r="364" spans="1:9">
      <c r="A364" t="s">
        <v>1915</v>
      </c>
    </row>
    <row r="365" spans="1:9">
      <c r="A365" t="s">
        <v>1916</v>
      </c>
      <c r="B365" t="s">
        <v>2127</v>
      </c>
    </row>
    <row r="366" spans="1:9">
      <c r="A366" t="s">
        <v>1918</v>
      </c>
      <c r="B366" t="s">
        <v>1919</v>
      </c>
    </row>
    <row r="367" spans="1:9">
      <c r="A367" t="s">
        <v>2128</v>
      </c>
    </row>
    <row r="369" spans="1:8">
      <c r="C369" t="s">
        <v>2129</v>
      </c>
      <c r="D369" t="s">
        <v>2130</v>
      </c>
      <c r="E369" t="s">
        <v>2131</v>
      </c>
      <c r="F369" t="s">
        <v>2132</v>
      </c>
      <c r="G369" t="s">
        <v>2133</v>
      </c>
      <c r="H369" t="s">
        <v>2134</v>
      </c>
    </row>
    <row r="370" spans="1:8">
      <c r="B370" t="s">
        <v>2548</v>
      </c>
      <c r="C370">
        <v>-3.33</v>
      </c>
      <c r="D370">
        <v>0</v>
      </c>
      <c r="E370">
        <v>-3.33</v>
      </c>
      <c r="F370" t="s">
        <v>2135</v>
      </c>
      <c r="G370">
        <v>0.9</v>
      </c>
      <c r="H370">
        <v>320</v>
      </c>
    </row>
    <row r="371" spans="1:8">
      <c r="B371" t="s">
        <v>2549</v>
      </c>
      <c r="C371">
        <v>37.78</v>
      </c>
      <c r="D371">
        <v>19.440000000000001</v>
      </c>
      <c r="E371">
        <v>21.11</v>
      </c>
      <c r="F371" t="s">
        <v>2135</v>
      </c>
      <c r="G371">
        <v>3.4</v>
      </c>
      <c r="H371">
        <v>220</v>
      </c>
    </row>
    <row r="374" spans="1:8">
      <c r="A374" t="s">
        <v>2136</v>
      </c>
    </row>
    <row r="376" spans="1:8">
      <c r="C376" t="s">
        <v>196</v>
      </c>
    </row>
    <row r="377" spans="1:8">
      <c r="B377" t="s">
        <v>2494</v>
      </c>
      <c r="C377" t="s">
        <v>2550</v>
      </c>
    </row>
    <row r="378" spans="1:8">
      <c r="B378" t="s">
        <v>2495</v>
      </c>
      <c r="C378" t="s">
        <v>2551</v>
      </c>
    </row>
    <row r="379" spans="1:8">
      <c r="B379" t="s">
        <v>2496</v>
      </c>
      <c r="C379" t="s">
        <v>2552</v>
      </c>
    </row>
    <row r="380" spans="1:8">
      <c r="B380" t="s">
        <v>2497</v>
      </c>
      <c r="C380" t="s">
        <v>2553</v>
      </c>
    </row>
    <row r="381" spans="1:8">
      <c r="B381" t="s">
        <v>2061</v>
      </c>
      <c r="C381" t="s">
        <v>2498</v>
      </c>
    </row>
    <row r="382" spans="1:8">
      <c r="B382" t="s">
        <v>2499</v>
      </c>
      <c r="C382">
        <v>5</v>
      </c>
    </row>
    <row r="383" spans="1:8">
      <c r="B383" t="s">
        <v>2500</v>
      </c>
      <c r="C383" t="s">
        <v>2554</v>
      </c>
    </row>
    <row r="384" spans="1:8">
      <c r="B384" t="s">
        <v>2501</v>
      </c>
      <c r="C384" t="s">
        <v>2502</v>
      </c>
    </row>
    <row r="385" spans="2:3">
      <c r="B385" t="s">
        <v>2503</v>
      </c>
      <c r="C385">
        <v>724830</v>
      </c>
    </row>
    <row r="386" spans="2:3">
      <c r="B386" t="s">
        <v>2504</v>
      </c>
      <c r="C386" t="s">
        <v>2505</v>
      </c>
    </row>
    <row r="387" spans="2:3">
      <c r="B387" t="s">
        <v>2506</v>
      </c>
      <c r="C387" t="s">
        <v>2555</v>
      </c>
    </row>
    <row r="388" spans="2:3">
      <c r="B388" t="s">
        <v>2507</v>
      </c>
      <c r="C388" t="s">
        <v>2556</v>
      </c>
    </row>
    <row r="389" spans="2:3">
      <c r="B389" t="s">
        <v>2508</v>
      </c>
      <c r="C389" t="s">
        <v>2557</v>
      </c>
    </row>
    <row r="390" spans="2:3">
      <c r="B390" t="s">
        <v>2509</v>
      </c>
      <c r="C390" t="s">
        <v>2558</v>
      </c>
    </row>
    <row r="391" spans="2:3">
      <c r="B391" t="s">
        <v>2510</v>
      </c>
      <c r="C391" t="s">
        <v>2559</v>
      </c>
    </row>
    <row r="392" spans="2:3">
      <c r="B392" t="s">
        <v>2511</v>
      </c>
      <c r="C392" t="s">
        <v>2560</v>
      </c>
    </row>
    <row r="393" spans="2:3">
      <c r="B393" t="s">
        <v>2512</v>
      </c>
      <c r="C393">
        <v>40748</v>
      </c>
    </row>
    <row r="394" spans="2:3">
      <c r="B394" t="s">
        <v>2513</v>
      </c>
      <c r="C394" t="s">
        <v>2561</v>
      </c>
    </row>
    <row r="395" spans="2:3">
      <c r="B395" t="s">
        <v>2514</v>
      </c>
      <c r="C395">
        <v>40901</v>
      </c>
    </row>
    <row r="396" spans="2:3">
      <c r="B396" t="s">
        <v>2515</v>
      </c>
      <c r="C396" t="s">
        <v>2562</v>
      </c>
    </row>
    <row r="397" spans="2:3">
      <c r="B397" t="s">
        <v>2516</v>
      </c>
      <c r="C397">
        <v>40752</v>
      </c>
    </row>
    <row r="398" spans="2:3">
      <c r="B398" t="s">
        <v>2517</v>
      </c>
      <c r="C398" t="s">
        <v>2563</v>
      </c>
    </row>
    <row r="399" spans="2:3">
      <c r="B399" t="s">
        <v>2518</v>
      </c>
      <c r="C399">
        <v>40876</v>
      </c>
    </row>
    <row r="400" spans="2:3">
      <c r="B400" t="s">
        <v>2519</v>
      </c>
      <c r="C400">
        <v>198</v>
      </c>
    </row>
    <row r="401" spans="1:10">
      <c r="B401" t="s">
        <v>2520</v>
      </c>
      <c r="C401">
        <v>484</v>
      </c>
    </row>
    <row r="402" spans="1:10">
      <c r="B402" t="s">
        <v>2521</v>
      </c>
      <c r="C402" t="s">
        <v>2564</v>
      </c>
    </row>
    <row r="403" spans="1:10">
      <c r="B403" t="s">
        <v>2522</v>
      </c>
      <c r="C403" t="s">
        <v>2565</v>
      </c>
      <c r="D403" t="s">
        <v>2523</v>
      </c>
      <c r="E403" t="s">
        <v>2524</v>
      </c>
    </row>
    <row r="404" spans="1:10">
      <c r="B404" t="s">
        <v>2525</v>
      </c>
      <c r="C404" t="s">
        <v>2566</v>
      </c>
      <c r="D404" t="s">
        <v>2567</v>
      </c>
    </row>
    <row r="405" spans="1:10">
      <c r="B405" t="s">
        <v>2526</v>
      </c>
      <c r="C405" t="s">
        <v>613</v>
      </c>
    </row>
    <row r="406" spans="1:10">
      <c r="B406" t="s">
        <v>2527</v>
      </c>
      <c r="C406" t="s">
        <v>2528</v>
      </c>
    </row>
    <row r="409" spans="1:10">
      <c r="A409" t="s">
        <v>1915</v>
      </c>
    </row>
    <row r="410" spans="1:10">
      <c r="A410" t="s">
        <v>1916</v>
      </c>
      <c r="B410" t="s">
        <v>2137</v>
      </c>
    </row>
    <row r="411" spans="1:10">
      <c r="A411" t="s">
        <v>1918</v>
      </c>
      <c r="B411" t="s">
        <v>1919</v>
      </c>
    </row>
    <row r="412" spans="1:10">
      <c r="A412" t="s">
        <v>2138</v>
      </c>
    </row>
    <row r="414" spans="1:10">
      <c r="C414" t="s">
        <v>2139</v>
      </c>
      <c r="D414" t="s">
        <v>2140</v>
      </c>
      <c r="E414" t="s">
        <v>2141</v>
      </c>
      <c r="F414" t="s">
        <v>2142</v>
      </c>
      <c r="G414" t="s">
        <v>2143</v>
      </c>
      <c r="H414" t="s">
        <v>2144</v>
      </c>
      <c r="I414" t="s">
        <v>2145</v>
      </c>
      <c r="J414" t="s">
        <v>2146</v>
      </c>
    </row>
    <row r="415" spans="1:10">
      <c r="B415" t="s">
        <v>2147</v>
      </c>
      <c r="C415" t="s">
        <v>2148</v>
      </c>
      <c r="D415">
        <v>0.3</v>
      </c>
      <c r="E415">
        <v>0.47699999999999998</v>
      </c>
      <c r="F415">
        <v>0.51400000000000001</v>
      </c>
      <c r="G415">
        <v>144.85</v>
      </c>
      <c r="H415">
        <v>0</v>
      </c>
      <c r="I415">
        <v>90</v>
      </c>
      <c r="J415" t="s">
        <v>2150</v>
      </c>
    </row>
    <row r="416" spans="1:10">
      <c r="B416" t="s">
        <v>2149</v>
      </c>
      <c r="C416" t="s">
        <v>2148</v>
      </c>
      <c r="D416">
        <v>0.3</v>
      </c>
      <c r="E416">
        <v>0.47699999999999998</v>
      </c>
      <c r="F416">
        <v>0.51400000000000001</v>
      </c>
      <c r="G416">
        <v>96.57</v>
      </c>
      <c r="H416">
        <v>90</v>
      </c>
      <c r="I416">
        <v>90</v>
      </c>
      <c r="J416" t="s">
        <v>2152</v>
      </c>
    </row>
    <row r="417" spans="2:10">
      <c r="B417" t="s">
        <v>2151</v>
      </c>
      <c r="C417" t="s">
        <v>2148</v>
      </c>
      <c r="D417">
        <v>0.3</v>
      </c>
      <c r="E417">
        <v>0.47699999999999998</v>
      </c>
      <c r="F417">
        <v>0.51400000000000001</v>
      </c>
      <c r="G417">
        <v>144.85</v>
      </c>
      <c r="H417">
        <v>180</v>
      </c>
      <c r="I417">
        <v>90</v>
      </c>
      <c r="J417" t="s">
        <v>2154</v>
      </c>
    </row>
    <row r="418" spans="2:10">
      <c r="B418" t="s">
        <v>2153</v>
      </c>
      <c r="C418" t="s">
        <v>2148</v>
      </c>
      <c r="D418">
        <v>0.3</v>
      </c>
      <c r="E418">
        <v>0.47699999999999998</v>
      </c>
      <c r="F418">
        <v>0.51400000000000001</v>
      </c>
      <c r="G418">
        <v>96.57</v>
      </c>
      <c r="H418">
        <v>270</v>
      </c>
      <c r="I418">
        <v>90</v>
      </c>
      <c r="J418" t="s">
        <v>232</v>
      </c>
    </row>
    <row r="419" spans="2:10">
      <c r="B419" t="s">
        <v>2155</v>
      </c>
      <c r="C419" t="s">
        <v>2148</v>
      </c>
      <c r="D419">
        <v>0.3</v>
      </c>
      <c r="E419">
        <v>0.47699999999999998</v>
      </c>
      <c r="F419">
        <v>0.51400000000000001</v>
      </c>
      <c r="G419">
        <v>42.94</v>
      </c>
      <c r="H419">
        <v>0</v>
      </c>
      <c r="I419">
        <v>90</v>
      </c>
      <c r="J419" t="s">
        <v>2150</v>
      </c>
    </row>
    <row r="420" spans="2:10">
      <c r="B420" t="s">
        <v>2156</v>
      </c>
      <c r="C420" t="s">
        <v>2148</v>
      </c>
      <c r="D420">
        <v>0.3</v>
      </c>
      <c r="E420">
        <v>0.47699999999999998</v>
      </c>
      <c r="F420">
        <v>0.51400000000000001</v>
      </c>
      <c r="G420">
        <v>28.63</v>
      </c>
      <c r="H420">
        <v>90</v>
      </c>
      <c r="I420">
        <v>90</v>
      </c>
      <c r="J420" t="s">
        <v>2152</v>
      </c>
    </row>
    <row r="421" spans="2:10">
      <c r="B421" t="s">
        <v>2157</v>
      </c>
      <c r="C421" t="s">
        <v>2148</v>
      </c>
      <c r="D421">
        <v>0.3</v>
      </c>
      <c r="E421">
        <v>0.47699999999999998</v>
      </c>
      <c r="F421">
        <v>0.51400000000000001</v>
      </c>
      <c r="G421">
        <v>42.94</v>
      </c>
      <c r="H421">
        <v>180</v>
      </c>
      <c r="I421">
        <v>90</v>
      </c>
      <c r="J421" t="s">
        <v>2154</v>
      </c>
    </row>
    <row r="422" spans="2:10">
      <c r="B422" t="s">
        <v>2158</v>
      </c>
      <c r="C422" t="s">
        <v>2148</v>
      </c>
      <c r="D422">
        <v>0.3</v>
      </c>
      <c r="E422">
        <v>0.47699999999999998</v>
      </c>
      <c r="F422">
        <v>0.51400000000000001</v>
      </c>
      <c r="G422">
        <v>28.63</v>
      </c>
      <c r="H422">
        <v>270</v>
      </c>
      <c r="I422">
        <v>90</v>
      </c>
      <c r="J422" t="s">
        <v>232</v>
      </c>
    </row>
    <row r="423" spans="2:10">
      <c r="B423" t="s">
        <v>2159</v>
      </c>
      <c r="C423" t="s">
        <v>2148</v>
      </c>
      <c r="D423">
        <v>0.3</v>
      </c>
      <c r="E423">
        <v>0.47699999999999998</v>
      </c>
      <c r="F423">
        <v>0.51400000000000001</v>
      </c>
      <c r="G423">
        <v>144.85</v>
      </c>
      <c r="H423">
        <v>0</v>
      </c>
      <c r="I423">
        <v>90</v>
      </c>
      <c r="J423" t="s">
        <v>2150</v>
      </c>
    </row>
    <row r="424" spans="2:10">
      <c r="B424" t="s">
        <v>2160</v>
      </c>
      <c r="C424" t="s">
        <v>2148</v>
      </c>
      <c r="D424">
        <v>0.3</v>
      </c>
      <c r="E424">
        <v>0.47699999999999998</v>
      </c>
      <c r="F424">
        <v>0.51400000000000001</v>
      </c>
      <c r="G424">
        <v>96.57</v>
      </c>
      <c r="H424">
        <v>90</v>
      </c>
      <c r="I424">
        <v>90</v>
      </c>
      <c r="J424" t="s">
        <v>2152</v>
      </c>
    </row>
    <row r="425" spans="2:10">
      <c r="B425" t="s">
        <v>2161</v>
      </c>
      <c r="C425" t="s">
        <v>2148</v>
      </c>
      <c r="D425">
        <v>0.3</v>
      </c>
      <c r="E425">
        <v>0.47699999999999998</v>
      </c>
      <c r="F425">
        <v>0.51400000000000001</v>
      </c>
      <c r="G425">
        <v>144.85</v>
      </c>
      <c r="H425">
        <v>180</v>
      </c>
      <c r="I425">
        <v>90</v>
      </c>
      <c r="J425" t="s">
        <v>2154</v>
      </c>
    </row>
    <row r="426" spans="2:10">
      <c r="B426" t="s">
        <v>2162</v>
      </c>
      <c r="C426" t="s">
        <v>2148</v>
      </c>
      <c r="D426">
        <v>0.3</v>
      </c>
      <c r="E426">
        <v>0.47699999999999998</v>
      </c>
      <c r="F426">
        <v>0.51400000000000001</v>
      </c>
      <c r="G426">
        <v>96.57</v>
      </c>
      <c r="H426">
        <v>270</v>
      </c>
      <c r="I426">
        <v>90</v>
      </c>
      <c r="J426" t="s">
        <v>232</v>
      </c>
    </row>
    <row r="427" spans="2:10">
      <c r="B427" t="s">
        <v>2163</v>
      </c>
      <c r="C427" t="s">
        <v>2148</v>
      </c>
      <c r="D427">
        <v>0.3</v>
      </c>
      <c r="E427">
        <v>0.47699999999999998</v>
      </c>
      <c r="F427">
        <v>0.51400000000000001</v>
      </c>
      <c r="G427">
        <v>42.94</v>
      </c>
      <c r="H427">
        <v>0</v>
      </c>
      <c r="I427">
        <v>90</v>
      </c>
      <c r="J427" t="s">
        <v>2150</v>
      </c>
    </row>
    <row r="428" spans="2:10">
      <c r="B428" t="s">
        <v>2164</v>
      </c>
      <c r="C428" t="s">
        <v>2148</v>
      </c>
      <c r="D428">
        <v>0.3</v>
      </c>
      <c r="E428">
        <v>0.47699999999999998</v>
      </c>
      <c r="F428">
        <v>0.51400000000000001</v>
      </c>
      <c r="G428">
        <v>28.63</v>
      </c>
      <c r="H428">
        <v>90</v>
      </c>
      <c r="I428">
        <v>90</v>
      </c>
      <c r="J428" t="s">
        <v>2152</v>
      </c>
    </row>
    <row r="429" spans="2:10">
      <c r="B429" t="s">
        <v>2165</v>
      </c>
      <c r="C429" t="s">
        <v>2148</v>
      </c>
      <c r="D429">
        <v>0.3</v>
      </c>
      <c r="E429">
        <v>0.47699999999999998</v>
      </c>
      <c r="F429">
        <v>0.51400000000000001</v>
      </c>
      <c r="G429">
        <v>42.94</v>
      </c>
      <c r="H429">
        <v>180</v>
      </c>
      <c r="I429">
        <v>90</v>
      </c>
      <c r="J429" t="s">
        <v>2154</v>
      </c>
    </row>
    <row r="430" spans="2:10">
      <c r="B430" t="s">
        <v>2166</v>
      </c>
      <c r="C430" t="s">
        <v>2148</v>
      </c>
      <c r="D430">
        <v>0.3</v>
      </c>
      <c r="E430">
        <v>0.47699999999999998</v>
      </c>
      <c r="F430">
        <v>0.51400000000000001</v>
      </c>
      <c r="G430">
        <v>28.63</v>
      </c>
      <c r="H430">
        <v>270</v>
      </c>
      <c r="I430">
        <v>90</v>
      </c>
      <c r="J430" t="s">
        <v>232</v>
      </c>
    </row>
    <row r="431" spans="2:10">
      <c r="B431" t="s">
        <v>2167</v>
      </c>
      <c r="C431" t="s">
        <v>2148</v>
      </c>
      <c r="D431">
        <v>0.3</v>
      </c>
      <c r="E431">
        <v>0.47699999999999998</v>
      </c>
      <c r="F431">
        <v>0.51400000000000001</v>
      </c>
      <c r="G431">
        <v>144.80000000000001</v>
      </c>
      <c r="H431">
        <v>0</v>
      </c>
      <c r="I431">
        <v>90</v>
      </c>
      <c r="J431" t="s">
        <v>2150</v>
      </c>
    </row>
    <row r="432" spans="2:10">
      <c r="B432" t="s">
        <v>2168</v>
      </c>
      <c r="C432" t="s">
        <v>2148</v>
      </c>
      <c r="D432">
        <v>0.3</v>
      </c>
      <c r="E432">
        <v>0.47699999999999998</v>
      </c>
      <c r="F432">
        <v>0.51400000000000001</v>
      </c>
      <c r="G432">
        <v>96.53</v>
      </c>
      <c r="H432">
        <v>90</v>
      </c>
      <c r="I432">
        <v>90</v>
      </c>
      <c r="J432" t="s">
        <v>2152</v>
      </c>
    </row>
    <row r="433" spans="2:10">
      <c r="B433" t="s">
        <v>2169</v>
      </c>
      <c r="C433" t="s">
        <v>2148</v>
      </c>
      <c r="D433">
        <v>0.3</v>
      </c>
      <c r="E433">
        <v>0.47699999999999998</v>
      </c>
      <c r="F433">
        <v>0.51400000000000001</v>
      </c>
      <c r="G433">
        <v>144.80000000000001</v>
      </c>
      <c r="H433">
        <v>180</v>
      </c>
      <c r="I433">
        <v>90</v>
      </c>
      <c r="J433" t="s">
        <v>2154</v>
      </c>
    </row>
    <row r="434" spans="2:10">
      <c r="B434" t="s">
        <v>2170</v>
      </c>
      <c r="C434" t="s">
        <v>2148</v>
      </c>
      <c r="D434">
        <v>0.3</v>
      </c>
      <c r="E434">
        <v>0.47699999999999998</v>
      </c>
      <c r="F434">
        <v>0.51400000000000001</v>
      </c>
      <c r="G434">
        <v>96.53</v>
      </c>
      <c r="H434">
        <v>270</v>
      </c>
      <c r="I434">
        <v>90</v>
      </c>
      <c r="J434" t="s">
        <v>232</v>
      </c>
    </row>
    <row r="435" spans="2:10">
      <c r="B435" t="s">
        <v>2171</v>
      </c>
      <c r="C435" t="s">
        <v>2148</v>
      </c>
      <c r="D435">
        <v>0.3</v>
      </c>
      <c r="E435">
        <v>0.47699999999999998</v>
      </c>
      <c r="F435">
        <v>0.51400000000000001</v>
      </c>
      <c r="G435">
        <v>42.99</v>
      </c>
      <c r="H435">
        <v>0</v>
      </c>
      <c r="I435">
        <v>90</v>
      </c>
      <c r="J435" t="s">
        <v>2150</v>
      </c>
    </row>
    <row r="436" spans="2:10">
      <c r="B436" t="s">
        <v>2172</v>
      </c>
      <c r="C436" t="s">
        <v>2173</v>
      </c>
      <c r="D436">
        <v>0.3</v>
      </c>
      <c r="E436">
        <v>0.26900000000000002</v>
      </c>
      <c r="F436">
        <v>0.28299999999999997</v>
      </c>
      <c r="G436">
        <v>220.56</v>
      </c>
      <c r="H436">
        <v>180</v>
      </c>
      <c r="I436">
        <v>0</v>
      </c>
    </row>
    <row r="437" spans="2:10">
      <c r="B437" t="s">
        <v>2174</v>
      </c>
      <c r="C437" t="s">
        <v>2148</v>
      </c>
      <c r="D437">
        <v>0.3</v>
      </c>
      <c r="E437">
        <v>0.47699999999999998</v>
      </c>
      <c r="F437">
        <v>0.51400000000000001</v>
      </c>
      <c r="G437">
        <v>28.66</v>
      </c>
      <c r="H437">
        <v>90</v>
      </c>
      <c r="I437">
        <v>90</v>
      </c>
      <c r="J437" t="s">
        <v>2152</v>
      </c>
    </row>
    <row r="438" spans="2:10">
      <c r="B438" t="s">
        <v>2175</v>
      </c>
      <c r="C438" t="s">
        <v>2173</v>
      </c>
      <c r="D438">
        <v>0.3</v>
      </c>
      <c r="E438">
        <v>0.26900000000000002</v>
      </c>
      <c r="F438">
        <v>0.28299999999999997</v>
      </c>
      <c r="G438">
        <v>140.07</v>
      </c>
      <c r="H438">
        <v>90</v>
      </c>
      <c r="I438">
        <v>0</v>
      </c>
    </row>
    <row r="439" spans="2:10">
      <c r="B439" t="s">
        <v>2176</v>
      </c>
      <c r="C439" t="s">
        <v>2148</v>
      </c>
      <c r="D439">
        <v>0.3</v>
      </c>
      <c r="E439">
        <v>0.47699999999999998</v>
      </c>
      <c r="F439">
        <v>0.51400000000000001</v>
      </c>
      <c r="G439">
        <v>42.99</v>
      </c>
      <c r="H439">
        <v>180</v>
      </c>
      <c r="I439">
        <v>90</v>
      </c>
      <c r="J439" t="s">
        <v>2154</v>
      </c>
    </row>
    <row r="440" spans="2:10">
      <c r="B440" t="s">
        <v>2177</v>
      </c>
      <c r="C440" t="s">
        <v>2173</v>
      </c>
      <c r="D440">
        <v>0.3</v>
      </c>
      <c r="E440">
        <v>0.26900000000000002</v>
      </c>
      <c r="F440">
        <v>0.28299999999999997</v>
      </c>
      <c r="G440">
        <v>220.56</v>
      </c>
      <c r="H440">
        <v>180</v>
      </c>
      <c r="I440">
        <v>0</v>
      </c>
    </row>
    <row r="441" spans="2:10">
      <c r="B441" t="s">
        <v>2178</v>
      </c>
      <c r="C441" t="s">
        <v>2148</v>
      </c>
      <c r="D441">
        <v>0.3</v>
      </c>
      <c r="E441">
        <v>0.47699999999999998</v>
      </c>
      <c r="F441">
        <v>0.51400000000000001</v>
      </c>
      <c r="G441">
        <v>28.66</v>
      </c>
      <c r="H441">
        <v>270</v>
      </c>
      <c r="I441">
        <v>90</v>
      </c>
      <c r="J441" t="s">
        <v>232</v>
      </c>
    </row>
    <row r="442" spans="2:10">
      <c r="B442" t="s">
        <v>2179</v>
      </c>
      <c r="C442" t="s">
        <v>2173</v>
      </c>
      <c r="D442">
        <v>0.3</v>
      </c>
      <c r="E442">
        <v>0.26900000000000002</v>
      </c>
      <c r="F442">
        <v>0.28299999999999997</v>
      </c>
      <c r="G442">
        <v>140.07</v>
      </c>
      <c r="H442">
        <v>135</v>
      </c>
      <c r="I442">
        <v>0</v>
      </c>
    </row>
    <row r="443" spans="2:10">
      <c r="B443" t="s">
        <v>2180</v>
      </c>
      <c r="C443" t="s">
        <v>2173</v>
      </c>
      <c r="D443">
        <v>0.3</v>
      </c>
      <c r="E443">
        <v>0.26900000000000002</v>
      </c>
      <c r="F443">
        <v>0.28299999999999997</v>
      </c>
      <c r="G443">
        <v>1137.48</v>
      </c>
      <c r="H443">
        <v>180</v>
      </c>
      <c r="I443">
        <v>0</v>
      </c>
    </row>
    <row r="444" spans="2:10">
      <c r="B444" t="s">
        <v>2947</v>
      </c>
      <c r="C444" t="s">
        <v>2148</v>
      </c>
      <c r="D444">
        <v>0.3</v>
      </c>
      <c r="E444">
        <v>0.47699999999999998</v>
      </c>
      <c r="F444">
        <v>0.51400000000000001</v>
      </c>
      <c r="G444">
        <v>21.43</v>
      </c>
      <c r="H444">
        <v>0</v>
      </c>
      <c r="I444">
        <v>90</v>
      </c>
      <c r="J444" t="s">
        <v>2150</v>
      </c>
    </row>
    <row r="445" spans="2:10">
      <c r="B445" t="s">
        <v>2948</v>
      </c>
      <c r="C445" t="s">
        <v>2148</v>
      </c>
      <c r="D445">
        <v>0.3</v>
      </c>
      <c r="E445">
        <v>0.47699999999999998</v>
      </c>
      <c r="F445">
        <v>0.51400000000000001</v>
      </c>
      <c r="G445">
        <v>14.29</v>
      </c>
      <c r="H445">
        <v>90</v>
      </c>
      <c r="I445">
        <v>90</v>
      </c>
      <c r="J445" t="s">
        <v>2152</v>
      </c>
    </row>
    <row r="446" spans="2:10">
      <c r="B446" t="s">
        <v>2949</v>
      </c>
      <c r="C446" t="s">
        <v>2148</v>
      </c>
      <c r="D446">
        <v>0.3</v>
      </c>
      <c r="E446">
        <v>0.47699999999999998</v>
      </c>
      <c r="F446">
        <v>0.51400000000000001</v>
      </c>
      <c r="G446">
        <v>21.43</v>
      </c>
      <c r="H446">
        <v>180</v>
      </c>
      <c r="I446">
        <v>90</v>
      </c>
      <c r="J446" t="s">
        <v>2154</v>
      </c>
    </row>
    <row r="447" spans="2:10">
      <c r="B447" t="s">
        <v>2950</v>
      </c>
      <c r="C447" t="s">
        <v>2148</v>
      </c>
      <c r="D447">
        <v>0.3</v>
      </c>
      <c r="E447">
        <v>0.47699999999999998</v>
      </c>
      <c r="F447">
        <v>0.51400000000000001</v>
      </c>
      <c r="G447">
        <v>14.29</v>
      </c>
      <c r="H447">
        <v>270</v>
      </c>
      <c r="I447">
        <v>90</v>
      </c>
      <c r="J447" t="s">
        <v>232</v>
      </c>
    </row>
    <row r="448" spans="2:10">
      <c r="B448" t="s">
        <v>2951</v>
      </c>
      <c r="C448" t="s">
        <v>2181</v>
      </c>
      <c r="D448">
        <v>0.25</v>
      </c>
      <c r="E448">
        <v>1.4119999999999999</v>
      </c>
      <c r="F448">
        <v>2.1509999999999998</v>
      </c>
      <c r="G448">
        <v>1137.48</v>
      </c>
      <c r="H448">
        <v>0</v>
      </c>
      <c r="I448">
        <v>180</v>
      </c>
    </row>
    <row r="449" spans="1:12">
      <c r="B449" t="s">
        <v>2952</v>
      </c>
      <c r="C449" t="s">
        <v>2148</v>
      </c>
      <c r="D449">
        <v>0.3</v>
      </c>
      <c r="E449">
        <v>0.47699999999999998</v>
      </c>
      <c r="F449">
        <v>0.51400000000000001</v>
      </c>
      <c r="G449">
        <v>21.43</v>
      </c>
      <c r="H449">
        <v>0</v>
      </c>
      <c r="I449">
        <v>90</v>
      </c>
      <c r="J449" t="s">
        <v>2150</v>
      </c>
    </row>
    <row r="450" spans="1:12">
      <c r="B450" t="s">
        <v>2953</v>
      </c>
      <c r="C450" t="s">
        <v>2148</v>
      </c>
      <c r="D450">
        <v>0.3</v>
      </c>
      <c r="E450">
        <v>0.47699999999999998</v>
      </c>
      <c r="F450">
        <v>0.51400000000000001</v>
      </c>
      <c r="G450">
        <v>14.29</v>
      </c>
      <c r="H450">
        <v>90</v>
      </c>
      <c r="I450">
        <v>90</v>
      </c>
      <c r="J450" t="s">
        <v>2152</v>
      </c>
    </row>
    <row r="451" spans="1:12">
      <c r="B451" t="s">
        <v>2954</v>
      </c>
      <c r="C451" t="s">
        <v>2148</v>
      </c>
      <c r="D451">
        <v>0.3</v>
      </c>
      <c r="E451">
        <v>0.47699999999999998</v>
      </c>
      <c r="F451">
        <v>0.51400000000000001</v>
      </c>
      <c r="G451">
        <v>21.43</v>
      </c>
      <c r="H451">
        <v>180</v>
      </c>
      <c r="I451">
        <v>90</v>
      </c>
      <c r="J451" t="s">
        <v>2154</v>
      </c>
    </row>
    <row r="452" spans="1:12">
      <c r="B452" t="s">
        <v>2955</v>
      </c>
      <c r="C452" t="s">
        <v>2148</v>
      </c>
      <c r="D452">
        <v>0.3</v>
      </c>
      <c r="E452">
        <v>0.47699999999999998</v>
      </c>
      <c r="F452">
        <v>0.51400000000000001</v>
      </c>
      <c r="G452">
        <v>14.29</v>
      </c>
      <c r="H452">
        <v>270</v>
      </c>
      <c r="I452">
        <v>90</v>
      </c>
      <c r="J452" t="s">
        <v>232</v>
      </c>
    </row>
    <row r="453" spans="1:12">
      <c r="B453" t="s">
        <v>2956</v>
      </c>
      <c r="C453" t="s">
        <v>2148</v>
      </c>
      <c r="D453">
        <v>0.3</v>
      </c>
      <c r="E453">
        <v>0.47699999999999998</v>
      </c>
      <c r="F453">
        <v>0.51400000000000001</v>
      </c>
      <c r="G453">
        <v>21.43</v>
      </c>
      <c r="H453">
        <v>0</v>
      </c>
      <c r="I453">
        <v>90</v>
      </c>
      <c r="J453" t="s">
        <v>2150</v>
      </c>
    </row>
    <row r="454" spans="1:12">
      <c r="B454" t="s">
        <v>2957</v>
      </c>
      <c r="C454" t="s">
        <v>2148</v>
      </c>
      <c r="D454">
        <v>0.3</v>
      </c>
      <c r="E454">
        <v>0.47699999999999998</v>
      </c>
      <c r="F454">
        <v>0.51400000000000001</v>
      </c>
      <c r="G454">
        <v>14.29</v>
      </c>
      <c r="H454">
        <v>90</v>
      </c>
      <c r="I454">
        <v>90</v>
      </c>
      <c r="J454" t="s">
        <v>2152</v>
      </c>
    </row>
    <row r="455" spans="1:12">
      <c r="B455" t="s">
        <v>2958</v>
      </c>
      <c r="C455" t="s">
        <v>2148</v>
      </c>
      <c r="D455">
        <v>0.3</v>
      </c>
      <c r="E455">
        <v>0.47699999999999998</v>
      </c>
      <c r="F455">
        <v>0.51400000000000001</v>
      </c>
      <c r="G455">
        <v>21.43</v>
      </c>
      <c r="H455">
        <v>180</v>
      </c>
      <c r="I455">
        <v>90</v>
      </c>
      <c r="J455" t="s">
        <v>2154</v>
      </c>
    </row>
    <row r="456" spans="1:12">
      <c r="B456" t="s">
        <v>2959</v>
      </c>
      <c r="C456" t="s">
        <v>2148</v>
      </c>
      <c r="D456">
        <v>0.3</v>
      </c>
      <c r="E456">
        <v>0.47699999999999998</v>
      </c>
      <c r="F456">
        <v>0.51400000000000001</v>
      </c>
      <c r="G456">
        <v>14.29</v>
      </c>
      <c r="H456">
        <v>270</v>
      </c>
      <c r="I456">
        <v>90</v>
      </c>
      <c r="J456" t="s">
        <v>232</v>
      </c>
    </row>
    <row r="459" spans="1:12">
      <c r="A459" t="s">
        <v>2182</v>
      </c>
    </row>
    <row r="461" spans="1:12">
      <c r="C461" t="s">
        <v>2139</v>
      </c>
      <c r="D461" t="s">
        <v>2183</v>
      </c>
      <c r="E461" t="s">
        <v>2184</v>
      </c>
      <c r="F461" t="s">
        <v>2185</v>
      </c>
      <c r="G461" t="s">
        <v>2186</v>
      </c>
      <c r="H461" t="s">
        <v>2187</v>
      </c>
      <c r="I461" t="s">
        <v>2188</v>
      </c>
      <c r="J461" t="s">
        <v>2189</v>
      </c>
      <c r="K461" t="s">
        <v>2144</v>
      </c>
      <c r="L461" t="s">
        <v>2146</v>
      </c>
    </row>
    <row r="462" spans="1:12">
      <c r="B462" t="s">
        <v>2190</v>
      </c>
      <c r="C462" t="s">
        <v>2192</v>
      </c>
      <c r="D462">
        <v>65.599999999999994</v>
      </c>
      <c r="E462">
        <v>65.599999999999994</v>
      </c>
      <c r="F462">
        <v>2.8479999999999999</v>
      </c>
      <c r="G462">
        <v>0.28699999999999998</v>
      </c>
      <c r="H462">
        <v>0.2</v>
      </c>
      <c r="I462" t="s">
        <v>488</v>
      </c>
      <c r="J462" t="s">
        <v>2147</v>
      </c>
      <c r="K462">
        <v>0</v>
      </c>
      <c r="L462" t="s">
        <v>2150</v>
      </c>
    </row>
    <row r="463" spans="1:12">
      <c r="B463" t="s">
        <v>2191</v>
      </c>
      <c r="C463" t="s">
        <v>2192</v>
      </c>
      <c r="D463">
        <v>43.74</v>
      </c>
      <c r="E463">
        <v>43.74</v>
      </c>
      <c r="F463">
        <v>2.8479999999999999</v>
      </c>
      <c r="G463">
        <v>0.28699999999999998</v>
      </c>
      <c r="H463">
        <v>0.2</v>
      </c>
      <c r="I463" t="s">
        <v>488</v>
      </c>
      <c r="J463" t="s">
        <v>2149</v>
      </c>
      <c r="K463">
        <v>90</v>
      </c>
      <c r="L463" t="s">
        <v>2152</v>
      </c>
    </row>
    <row r="464" spans="1:12">
      <c r="B464" t="s">
        <v>2193</v>
      </c>
      <c r="C464" t="s">
        <v>2192</v>
      </c>
      <c r="D464">
        <v>65.599999999999994</v>
      </c>
      <c r="E464">
        <v>65.599999999999994</v>
      </c>
      <c r="F464">
        <v>2.8479999999999999</v>
      </c>
      <c r="G464">
        <v>0.28699999999999998</v>
      </c>
      <c r="H464">
        <v>0.2</v>
      </c>
      <c r="I464" t="s">
        <v>488</v>
      </c>
      <c r="J464" t="s">
        <v>2151</v>
      </c>
      <c r="K464">
        <v>180</v>
      </c>
      <c r="L464" t="s">
        <v>2154</v>
      </c>
    </row>
    <row r="465" spans="1:12">
      <c r="B465" t="s">
        <v>2194</v>
      </c>
      <c r="C465" t="s">
        <v>2192</v>
      </c>
      <c r="D465">
        <v>43.74</v>
      </c>
      <c r="E465">
        <v>43.74</v>
      </c>
      <c r="F465">
        <v>2.8479999999999999</v>
      </c>
      <c r="G465">
        <v>0.28699999999999998</v>
      </c>
      <c r="H465">
        <v>0.2</v>
      </c>
      <c r="I465" t="s">
        <v>488</v>
      </c>
      <c r="J465" t="s">
        <v>2153</v>
      </c>
      <c r="K465">
        <v>270</v>
      </c>
      <c r="L465" t="s">
        <v>232</v>
      </c>
    </row>
    <row r="466" spans="1:12">
      <c r="B466" t="s">
        <v>2195</v>
      </c>
      <c r="C466" t="s">
        <v>2192</v>
      </c>
      <c r="D466">
        <v>70.88</v>
      </c>
      <c r="E466">
        <v>70.88</v>
      </c>
      <c r="F466">
        <v>2.8479999999999999</v>
      </c>
      <c r="G466">
        <v>0.28699999999999998</v>
      </c>
      <c r="H466">
        <v>0.2</v>
      </c>
      <c r="I466" t="s">
        <v>488</v>
      </c>
      <c r="J466" t="s">
        <v>2159</v>
      </c>
      <c r="K466">
        <v>0</v>
      </c>
      <c r="L466" t="s">
        <v>2150</v>
      </c>
    </row>
    <row r="467" spans="1:12">
      <c r="B467" t="s">
        <v>2196</v>
      </c>
      <c r="C467" t="s">
        <v>2192</v>
      </c>
      <c r="D467">
        <v>47.26</v>
      </c>
      <c r="E467">
        <v>47.26</v>
      </c>
      <c r="F467">
        <v>2.8479999999999999</v>
      </c>
      <c r="G467">
        <v>0.28699999999999998</v>
      </c>
      <c r="H467">
        <v>0.2</v>
      </c>
      <c r="I467" t="s">
        <v>488</v>
      </c>
      <c r="J467" t="s">
        <v>2160</v>
      </c>
      <c r="K467">
        <v>90</v>
      </c>
      <c r="L467" t="s">
        <v>2152</v>
      </c>
    </row>
    <row r="468" spans="1:12">
      <c r="B468" t="s">
        <v>2197</v>
      </c>
      <c r="C468" t="s">
        <v>2192</v>
      </c>
      <c r="D468">
        <v>70.88</v>
      </c>
      <c r="E468">
        <v>70.88</v>
      </c>
      <c r="F468">
        <v>2.8479999999999999</v>
      </c>
      <c r="G468">
        <v>0.28699999999999998</v>
      </c>
      <c r="H468">
        <v>0.2</v>
      </c>
      <c r="I468" t="s">
        <v>488</v>
      </c>
      <c r="J468" t="s">
        <v>2161</v>
      </c>
      <c r="K468">
        <v>180</v>
      </c>
      <c r="L468" t="s">
        <v>2154</v>
      </c>
    </row>
    <row r="469" spans="1:12">
      <c r="B469" t="s">
        <v>2198</v>
      </c>
      <c r="C469" t="s">
        <v>2192</v>
      </c>
      <c r="D469">
        <v>47.26</v>
      </c>
      <c r="E469">
        <v>47.26</v>
      </c>
      <c r="F469">
        <v>2.8479999999999999</v>
      </c>
      <c r="G469">
        <v>0.28699999999999998</v>
      </c>
      <c r="H469">
        <v>0.2</v>
      </c>
      <c r="I469" t="s">
        <v>488</v>
      </c>
      <c r="J469" t="s">
        <v>2162</v>
      </c>
      <c r="K469">
        <v>270</v>
      </c>
      <c r="L469" t="s">
        <v>232</v>
      </c>
    </row>
    <row r="470" spans="1:12">
      <c r="B470" t="s">
        <v>2199</v>
      </c>
      <c r="C470" t="s">
        <v>2192</v>
      </c>
      <c r="D470">
        <v>70.88</v>
      </c>
      <c r="E470">
        <v>70.88</v>
      </c>
      <c r="F470">
        <v>2.8479999999999999</v>
      </c>
      <c r="G470">
        <v>0.28699999999999998</v>
      </c>
      <c r="H470">
        <v>0.2</v>
      </c>
      <c r="I470" t="s">
        <v>488</v>
      </c>
      <c r="J470" t="s">
        <v>2167</v>
      </c>
      <c r="K470">
        <v>0</v>
      </c>
      <c r="L470" t="s">
        <v>2150</v>
      </c>
    </row>
    <row r="471" spans="1:12">
      <c r="B471" t="s">
        <v>2200</v>
      </c>
      <c r="C471" t="s">
        <v>2192</v>
      </c>
      <c r="D471">
        <v>47.26</v>
      </c>
      <c r="E471">
        <v>47.26</v>
      </c>
      <c r="F471">
        <v>2.8479999999999999</v>
      </c>
      <c r="G471">
        <v>0.28699999999999998</v>
      </c>
      <c r="H471">
        <v>0.2</v>
      </c>
      <c r="I471" t="s">
        <v>488</v>
      </c>
      <c r="J471" t="s">
        <v>2168</v>
      </c>
      <c r="K471">
        <v>90</v>
      </c>
      <c r="L471" t="s">
        <v>2152</v>
      </c>
    </row>
    <row r="472" spans="1:12">
      <c r="B472" t="s">
        <v>2201</v>
      </c>
      <c r="C472" t="s">
        <v>2192</v>
      </c>
      <c r="D472">
        <v>70.88</v>
      </c>
      <c r="E472">
        <v>70.88</v>
      </c>
      <c r="F472">
        <v>2.8479999999999999</v>
      </c>
      <c r="G472">
        <v>0.28699999999999998</v>
      </c>
      <c r="H472">
        <v>0.2</v>
      </c>
      <c r="I472" t="s">
        <v>488</v>
      </c>
      <c r="J472" t="s">
        <v>2169</v>
      </c>
      <c r="K472">
        <v>180</v>
      </c>
      <c r="L472" t="s">
        <v>2154</v>
      </c>
    </row>
    <row r="473" spans="1:12">
      <c r="B473" t="s">
        <v>2202</v>
      </c>
      <c r="C473" t="s">
        <v>2192</v>
      </c>
      <c r="D473">
        <v>47.26</v>
      </c>
      <c r="E473">
        <v>47.26</v>
      </c>
      <c r="F473">
        <v>2.8479999999999999</v>
      </c>
      <c r="G473">
        <v>0.28699999999999998</v>
      </c>
      <c r="H473">
        <v>0.2</v>
      </c>
      <c r="I473" t="s">
        <v>488</v>
      </c>
      <c r="J473" t="s">
        <v>2170</v>
      </c>
      <c r="K473">
        <v>270</v>
      </c>
      <c r="L473" t="s">
        <v>232</v>
      </c>
    </row>
    <row r="474" spans="1:12">
      <c r="B474" t="s">
        <v>2203</v>
      </c>
      <c r="E474">
        <v>691.23</v>
      </c>
      <c r="F474">
        <v>2.85</v>
      </c>
      <c r="G474">
        <v>0.28699999999999998</v>
      </c>
      <c r="H474">
        <v>0.2</v>
      </c>
    </row>
    <row r="475" spans="1:12">
      <c r="B475" t="s">
        <v>2204</v>
      </c>
      <c r="E475">
        <v>207.36</v>
      </c>
      <c r="F475">
        <v>2.85</v>
      </c>
      <c r="G475">
        <v>0.28699999999999998</v>
      </c>
      <c r="H475">
        <v>0.2</v>
      </c>
    </row>
    <row r="476" spans="1:12">
      <c r="B476" t="s">
        <v>2205</v>
      </c>
      <c r="E476">
        <v>483.88</v>
      </c>
      <c r="F476">
        <v>2.85</v>
      </c>
      <c r="G476">
        <v>0.28699999999999998</v>
      </c>
      <c r="H476">
        <v>0.2</v>
      </c>
    </row>
    <row r="479" spans="1:12">
      <c r="A479" t="s">
        <v>1915</v>
      </c>
    </row>
    <row r="480" spans="1:12">
      <c r="A480" t="s">
        <v>1916</v>
      </c>
      <c r="B480" t="s">
        <v>2206</v>
      </c>
    </row>
    <row r="481" spans="1:11">
      <c r="A481" t="s">
        <v>1918</v>
      </c>
      <c r="B481" t="s">
        <v>1919</v>
      </c>
    </row>
    <row r="482" spans="1:11">
      <c r="A482" t="s">
        <v>2207</v>
      </c>
    </row>
    <row r="484" spans="1:11">
      <c r="C484" t="s">
        <v>2208</v>
      </c>
      <c r="D484" t="s">
        <v>2209</v>
      </c>
      <c r="E484" t="s">
        <v>2210</v>
      </c>
      <c r="F484" t="s">
        <v>2211</v>
      </c>
      <c r="G484" t="s">
        <v>2212</v>
      </c>
      <c r="H484" t="s">
        <v>2213</v>
      </c>
      <c r="I484" t="s">
        <v>2214</v>
      </c>
      <c r="J484" t="s">
        <v>2215</v>
      </c>
      <c r="K484" t="s">
        <v>2216</v>
      </c>
    </row>
    <row r="485" spans="1:11">
      <c r="B485" t="s">
        <v>2190</v>
      </c>
      <c r="I485">
        <v>0</v>
      </c>
      <c r="J485">
        <v>0</v>
      </c>
      <c r="K485">
        <v>0</v>
      </c>
    </row>
    <row r="486" spans="1:11">
      <c r="B486" t="s">
        <v>2191</v>
      </c>
      <c r="I486">
        <v>1</v>
      </c>
      <c r="J486">
        <v>1</v>
      </c>
      <c r="K486">
        <v>0</v>
      </c>
    </row>
    <row r="487" spans="1:11">
      <c r="B487" t="s">
        <v>2193</v>
      </c>
      <c r="I487">
        <v>1</v>
      </c>
      <c r="J487">
        <v>1</v>
      </c>
      <c r="K487">
        <v>1</v>
      </c>
    </row>
    <row r="488" spans="1:11">
      <c r="B488" t="s">
        <v>2194</v>
      </c>
      <c r="I488">
        <v>0</v>
      </c>
      <c r="J488">
        <v>0</v>
      </c>
      <c r="K488">
        <v>1</v>
      </c>
    </row>
    <row r="489" spans="1:11">
      <c r="B489" t="s">
        <v>2195</v>
      </c>
      <c r="I489">
        <v>0</v>
      </c>
      <c r="J489">
        <v>0</v>
      </c>
      <c r="K489">
        <v>0</v>
      </c>
    </row>
    <row r="490" spans="1:11">
      <c r="B490" t="s">
        <v>2196</v>
      </c>
      <c r="I490">
        <v>1</v>
      </c>
      <c r="J490">
        <v>1</v>
      </c>
      <c r="K490">
        <v>0</v>
      </c>
    </row>
    <row r="491" spans="1:11">
      <c r="B491" t="s">
        <v>2197</v>
      </c>
      <c r="I491">
        <v>1</v>
      </c>
      <c r="J491">
        <v>1</v>
      </c>
      <c r="K491">
        <v>1</v>
      </c>
    </row>
    <row r="492" spans="1:11">
      <c r="B492" t="s">
        <v>2198</v>
      </c>
      <c r="I492">
        <v>0</v>
      </c>
      <c r="J492">
        <v>0</v>
      </c>
      <c r="K492">
        <v>1</v>
      </c>
    </row>
    <row r="493" spans="1:11">
      <c r="B493" t="s">
        <v>2199</v>
      </c>
      <c r="I493">
        <v>0</v>
      </c>
      <c r="J493">
        <v>0</v>
      </c>
      <c r="K493">
        <v>0</v>
      </c>
    </row>
    <row r="494" spans="1:11">
      <c r="B494" t="s">
        <v>2200</v>
      </c>
      <c r="I494">
        <v>1</v>
      </c>
      <c r="J494">
        <v>1</v>
      </c>
      <c r="K494">
        <v>0</v>
      </c>
    </row>
    <row r="495" spans="1:11">
      <c r="B495" t="s">
        <v>2201</v>
      </c>
      <c r="I495">
        <v>1</v>
      </c>
      <c r="J495">
        <v>1</v>
      </c>
      <c r="K495">
        <v>1</v>
      </c>
    </row>
    <row r="496" spans="1:11">
      <c r="B496" t="s">
        <v>2202</v>
      </c>
      <c r="I496">
        <v>0</v>
      </c>
      <c r="J496">
        <v>0</v>
      </c>
      <c r="K496">
        <v>1</v>
      </c>
    </row>
    <row r="499" spans="1:7">
      <c r="A499" t="s">
        <v>2217</v>
      </c>
    </row>
    <row r="501" spans="1:7">
      <c r="C501" t="s">
        <v>86</v>
      </c>
      <c r="D501" t="s">
        <v>2218</v>
      </c>
      <c r="E501" t="s">
        <v>2219</v>
      </c>
      <c r="F501" t="s">
        <v>2220</v>
      </c>
      <c r="G501" t="s">
        <v>2221</v>
      </c>
    </row>
    <row r="502" spans="1:7">
      <c r="B502" t="s">
        <v>2190</v>
      </c>
      <c r="C502" t="s">
        <v>2542</v>
      </c>
      <c r="D502" t="s">
        <v>2222</v>
      </c>
      <c r="F502" t="s">
        <v>2543</v>
      </c>
      <c r="G502" t="s">
        <v>489</v>
      </c>
    </row>
    <row r="503" spans="1:7">
      <c r="B503" t="s">
        <v>2191</v>
      </c>
      <c r="C503" t="s">
        <v>2542</v>
      </c>
      <c r="D503" t="s">
        <v>2222</v>
      </c>
      <c r="F503" t="s">
        <v>2543</v>
      </c>
      <c r="G503" t="s">
        <v>489</v>
      </c>
    </row>
    <row r="504" spans="1:7">
      <c r="B504" t="s">
        <v>2193</v>
      </c>
      <c r="C504" t="s">
        <v>2542</v>
      </c>
      <c r="D504" t="s">
        <v>2222</v>
      </c>
      <c r="F504" t="s">
        <v>2543</v>
      </c>
      <c r="G504" t="s">
        <v>489</v>
      </c>
    </row>
    <row r="505" spans="1:7">
      <c r="B505" t="s">
        <v>2194</v>
      </c>
      <c r="C505" t="s">
        <v>2542</v>
      </c>
      <c r="D505" t="s">
        <v>2222</v>
      </c>
      <c r="F505" t="s">
        <v>2543</v>
      </c>
      <c r="G505" t="s">
        <v>489</v>
      </c>
    </row>
    <row r="506" spans="1:7">
      <c r="B506" t="s">
        <v>2195</v>
      </c>
      <c r="C506" t="s">
        <v>2542</v>
      </c>
      <c r="D506" t="s">
        <v>2222</v>
      </c>
      <c r="F506" t="s">
        <v>2543</v>
      </c>
      <c r="G506" t="s">
        <v>489</v>
      </c>
    </row>
    <row r="507" spans="1:7">
      <c r="B507" t="s">
        <v>2196</v>
      </c>
      <c r="C507" t="s">
        <v>2542</v>
      </c>
      <c r="D507" t="s">
        <v>2222</v>
      </c>
      <c r="F507" t="s">
        <v>2543</v>
      </c>
      <c r="G507" t="s">
        <v>489</v>
      </c>
    </row>
    <row r="508" spans="1:7">
      <c r="B508" t="s">
        <v>2197</v>
      </c>
      <c r="C508" t="s">
        <v>2542</v>
      </c>
      <c r="D508" t="s">
        <v>2222</v>
      </c>
      <c r="F508" t="s">
        <v>2543</v>
      </c>
      <c r="G508" t="s">
        <v>489</v>
      </c>
    </row>
    <row r="509" spans="1:7">
      <c r="B509" t="s">
        <v>2198</v>
      </c>
      <c r="C509" t="s">
        <v>2542</v>
      </c>
      <c r="D509" t="s">
        <v>2222</v>
      </c>
      <c r="F509" t="s">
        <v>2543</v>
      </c>
      <c r="G509" t="s">
        <v>489</v>
      </c>
    </row>
    <row r="510" spans="1:7">
      <c r="B510" t="s">
        <v>2199</v>
      </c>
      <c r="C510" t="s">
        <v>2542</v>
      </c>
      <c r="D510" t="s">
        <v>2222</v>
      </c>
      <c r="F510" t="s">
        <v>2543</v>
      </c>
      <c r="G510" t="s">
        <v>489</v>
      </c>
    </row>
    <row r="511" spans="1:7">
      <c r="B511" t="s">
        <v>2200</v>
      </c>
      <c r="C511" t="s">
        <v>2542</v>
      </c>
      <c r="D511" t="s">
        <v>2222</v>
      </c>
      <c r="F511" t="s">
        <v>2543</v>
      </c>
      <c r="G511" t="s">
        <v>489</v>
      </c>
    </row>
    <row r="512" spans="1:7">
      <c r="B512" t="s">
        <v>2201</v>
      </c>
      <c r="C512" t="s">
        <v>2542</v>
      </c>
      <c r="D512" t="s">
        <v>2222</v>
      </c>
      <c r="F512" t="s">
        <v>2543</v>
      </c>
      <c r="G512" t="s">
        <v>489</v>
      </c>
    </row>
    <row r="513" spans="1:11">
      <c r="B513" t="s">
        <v>2202</v>
      </c>
      <c r="C513" t="s">
        <v>2542</v>
      </c>
      <c r="D513" t="s">
        <v>2222</v>
      </c>
      <c r="F513" t="s">
        <v>2543</v>
      </c>
      <c r="G513" t="s">
        <v>489</v>
      </c>
    </row>
    <row r="516" spans="1:11">
      <c r="A516" t="s">
        <v>1915</v>
      </c>
    </row>
    <row r="517" spans="1:11">
      <c r="A517" t="s">
        <v>1916</v>
      </c>
      <c r="B517" t="s">
        <v>2223</v>
      </c>
    </row>
    <row r="518" spans="1:11">
      <c r="A518" t="s">
        <v>1918</v>
      </c>
      <c r="B518" t="s">
        <v>1919</v>
      </c>
    </row>
    <row r="519" spans="1:11">
      <c r="A519" t="s">
        <v>1953</v>
      </c>
    </row>
    <row r="521" spans="1:11">
      <c r="C521" t="s">
        <v>90</v>
      </c>
      <c r="D521" t="s">
        <v>2224</v>
      </c>
      <c r="E521" t="s">
        <v>2225</v>
      </c>
      <c r="F521" t="s">
        <v>2226</v>
      </c>
      <c r="G521" t="s">
        <v>2227</v>
      </c>
      <c r="H521" t="s">
        <v>2228</v>
      </c>
      <c r="I521" t="s">
        <v>2229</v>
      </c>
      <c r="J521" t="s">
        <v>2230</v>
      </c>
      <c r="K521" t="s">
        <v>2080</v>
      </c>
    </row>
    <row r="522" spans="1:11">
      <c r="B522" t="s">
        <v>2231</v>
      </c>
      <c r="C522" t="s">
        <v>2089</v>
      </c>
      <c r="D522">
        <v>10.8</v>
      </c>
      <c r="E522">
        <v>220.56</v>
      </c>
      <c r="F522">
        <v>2382.06</v>
      </c>
      <c r="G522" t="s">
        <v>1968</v>
      </c>
      <c r="H522" t="s">
        <v>2988</v>
      </c>
      <c r="I522">
        <v>0</v>
      </c>
      <c r="J522">
        <v>0</v>
      </c>
      <c r="K522" t="s">
        <v>2232</v>
      </c>
    </row>
    <row r="523" spans="1:11">
      <c r="B523" t="s">
        <v>2233</v>
      </c>
      <c r="C523" t="s">
        <v>2087</v>
      </c>
      <c r="D523">
        <v>10.8</v>
      </c>
      <c r="E523">
        <v>220.56</v>
      </c>
      <c r="F523">
        <v>2382.06</v>
      </c>
      <c r="G523" t="s">
        <v>1969</v>
      </c>
      <c r="H523" t="s">
        <v>2988</v>
      </c>
      <c r="I523">
        <v>0</v>
      </c>
      <c r="J523">
        <v>0</v>
      </c>
      <c r="K523" t="s">
        <v>2232</v>
      </c>
    </row>
    <row r="524" spans="1:11">
      <c r="B524" t="s">
        <v>2234</v>
      </c>
      <c r="C524" t="s">
        <v>2090</v>
      </c>
      <c r="D524">
        <v>10.8</v>
      </c>
      <c r="E524">
        <v>140.07</v>
      </c>
      <c r="F524">
        <v>1512.75</v>
      </c>
      <c r="G524" t="s">
        <v>1970</v>
      </c>
      <c r="H524" t="s">
        <v>2988</v>
      </c>
      <c r="I524">
        <v>0</v>
      </c>
      <c r="J524">
        <v>0</v>
      </c>
      <c r="K524" t="s">
        <v>2232</v>
      </c>
    </row>
    <row r="525" spans="1:11">
      <c r="B525" t="s">
        <v>2235</v>
      </c>
      <c r="C525" t="s">
        <v>2088</v>
      </c>
      <c r="D525">
        <v>10.8</v>
      </c>
      <c r="E525">
        <v>140.07</v>
      </c>
      <c r="F525">
        <v>1512.75</v>
      </c>
      <c r="G525" t="s">
        <v>1971</v>
      </c>
      <c r="H525" t="s">
        <v>2988</v>
      </c>
      <c r="I525">
        <v>0</v>
      </c>
      <c r="J525">
        <v>0</v>
      </c>
      <c r="K525" t="s">
        <v>2232</v>
      </c>
    </row>
    <row r="526" spans="1:11">
      <c r="B526" t="s">
        <v>2236</v>
      </c>
      <c r="C526" t="s">
        <v>2099</v>
      </c>
      <c r="D526">
        <v>10.8</v>
      </c>
      <c r="E526">
        <v>220.56</v>
      </c>
      <c r="F526">
        <v>2382.06</v>
      </c>
      <c r="G526" t="s">
        <v>1972</v>
      </c>
      <c r="H526" t="s">
        <v>2988</v>
      </c>
      <c r="I526">
        <v>0</v>
      </c>
      <c r="J526">
        <v>0</v>
      </c>
      <c r="K526" t="s">
        <v>2232</v>
      </c>
    </row>
    <row r="527" spans="1:11">
      <c r="B527" t="s">
        <v>2237</v>
      </c>
      <c r="C527" t="s">
        <v>2097</v>
      </c>
      <c r="D527">
        <v>10.8</v>
      </c>
      <c r="E527">
        <v>220.56</v>
      </c>
      <c r="F527">
        <v>2382.06</v>
      </c>
      <c r="G527" t="s">
        <v>1973</v>
      </c>
      <c r="H527" t="s">
        <v>2988</v>
      </c>
      <c r="I527">
        <v>0</v>
      </c>
      <c r="J527">
        <v>0</v>
      </c>
      <c r="K527" t="s">
        <v>2232</v>
      </c>
    </row>
    <row r="528" spans="1:11">
      <c r="B528" t="s">
        <v>2238</v>
      </c>
      <c r="C528" t="s">
        <v>2100</v>
      </c>
      <c r="D528">
        <v>10.8</v>
      </c>
      <c r="E528">
        <v>140.07</v>
      </c>
      <c r="F528">
        <v>1512.75</v>
      </c>
      <c r="G528" t="s">
        <v>1974</v>
      </c>
      <c r="H528" t="s">
        <v>2988</v>
      </c>
      <c r="I528">
        <v>0</v>
      </c>
      <c r="J528">
        <v>0</v>
      </c>
      <c r="K528" t="s">
        <v>2232</v>
      </c>
    </row>
    <row r="529" spans="1:11">
      <c r="B529" t="s">
        <v>2239</v>
      </c>
      <c r="C529" t="s">
        <v>2098</v>
      </c>
      <c r="D529">
        <v>10.8</v>
      </c>
      <c r="E529">
        <v>140.07</v>
      </c>
      <c r="F529">
        <v>1512.75</v>
      </c>
      <c r="G529" t="s">
        <v>1975</v>
      </c>
      <c r="H529" t="s">
        <v>2988</v>
      </c>
      <c r="I529">
        <v>0</v>
      </c>
      <c r="J529">
        <v>0</v>
      </c>
      <c r="K529" t="s">
        <v>2232</v>
      </c>
    </row>
    <row r="530" spans="1:11">
      <c r="B530" t="s">
        <v>2240</v>
      </c>
      <c r="C530" t="s">
        <v>2109</v>
      </c>
      <c r="D530">
        <v>10.8</v>
      </c>
      <c r="E530">
        <v>220.56</v>
      </c>
      <c r="F530">
        <v>2382.06</v>
      </c>
      <c r="G530" t="s">
        <v>1976</v>
      </c>
      <c r="H530" t="s">
        <v>2988</v>
      </c>
      <c r="I530">
        <v>0</v>
      </c>
      <c r="J530">
        <v>0</v>
      </c>
      <c r="K530" t="s">
        <v>2232</v>
      </c>
    </row>
    <row r="531" spans="1:11">
      <c r="B531" t="s">
        <v>2241</v>
      </c>
      <c r="C531" t="s">
        <v>2107</v>
      </c>
      <c r="D531">
        <v>10.8</v>
      </c>
      <c r="E531">
        <v>220.56</v>
      </c>
      <c r="F531">
        <v>2382.06</v>
      </c>
      <c r="G531" t="s">
        <v>1977</v>
      </c>
      <c r="H531" t="s">
        <v>2988</v>
      </c>
      <c r="I531">
        <v>0</v>
      </c>
      <c r="J531">
        <v>0</v>
      </c>
      <c r="K531" t="s">
        <v>2232</v>
      </c>
    </row>
    <row r="532" spans="1:11">
      <c r="B532" t="s">
        <v>2242</v>
      </c>
      <c r="C532" t="s">
        <v>2110</v>
      </c>
      <c r="D532">
        <v>10.8</v>
      </c>
      <c r="E532">
        <v>140.07</v>
      </c>
      <c r="F532">
        <v>1512.75</v>
      </c>
      <c r="G532" t="s">
        <v>1978</v>
      </c>
      <c r="H532" t="s">
        <v>2988</v>
      </c>
      <c r="I532">
        <v>0</v>
      </c>
      <c r="J532">
        <v>0</v>
      </c>
      <c r="K532" t="s">
        <v>2232</v>
      </c>
    </row>
    <row r="533" spans="1:11">
      <c r="B533" t="s">
        <v>2243</v>
      </c>
      <c r="C533" t="s">
        <v>2108</v>
      </c>
      <c r="D533">
        <v>10.8</v>
      </c>
      <c r="E533">
        <v>140.07</v>
      </c>
      <c r="F533">
        <v>1512.75</v>
      </c>
      <c r="G533" t="s">
        <v>1979</v>
      </c>
      <c r="H533" t="s">
        <v>2988</v>
      </c>
      <c r="I533">
        <v>0</v>
      </c>
      <c r="J533">
        <v>0</v>
      </c>
      <c r="K533" t="s">
        <v>2232</v>
      </c>
    </row>
    <row r="534" spans="1:11">
      <c r="B534" t="s">
        <v>2244</v>
      </c>
      <c r="C534" t="s">
        <v>2091</v>
      </c>
      <c r="D534">
        <v>10.8</v>
      </c>
      <c r="E534">
        <v>1137.48</v>
      </c>
      <c r="F534">
        <v>12284.74</v>
      </c>
      <c r="G534" t="s">
        <v>1980</v>
      </c>
      <c r="H534" t="s">
        <v>2988</v>
      </c>
      <c r="I534">
        <v>0</v>
      </c>
      <c r="J534">
        <v>0</v>
      </c>
      <c r="K534" t="s">
        <v>2232</v>
      </c>
    </row>
    <row r="535" spans="1:11">
      <c r="B535" t="s">
        <v>2245</v>
      </c>
      <c r="C535" t="s">
        <v>2101</v>
      </c>
      <c r="D535">
        <v>10.8</v>
      </c>
      <c r="E535">
        <v>1137.48</v>
      </c>
      <c r="F535">
        <v>12284.74</v>
      </c>
      <c r="G535" t="s">
        <v>1981</v>
      </c>
      <c r="H535" t="s">
        <v>2988</v>
      </c>
      <c r="I535">
        <v>0</v>
      </c>
      <c r="J535">
        <v>0</v>
      </c>
      <c r="K535" t="s">
        <v>2232</v>
      </c>
    </row>
    <row r="536" spans="1:11">
      <c r="B536" t="s">
        <v>2246</v>
      </c>
      <c r="C536" t="s">
        <v>2111</v>
      </c>
      <c r="D536">
        <v>10.8</v>
      </c>
      <c r="E536">
        <v>1137.48</v>
      </c>
      <c r="F536">
        <v>12284.74</v>
      </c>
      <c r="G536" t="s">
        <v>1982</v>
      </c>
      <c r="H536" t="s">
        <v>2988</v>
      </c>
      <c r="I536">
        <v>0</v>
      </c>
      <c r="J536">
        <v>0</v>
      </c>
      <c r="K536" t="s">
        <v>2232</v>
      </c>
    </row>
    <row r="537" spans="1:11">
      <c r="B537" t="s">
        <v>2247</v>
      </c>
      <c r="D537">
        <v>10.8</v>
      </c>
      <c r="E537">
        <v>5576.21</v>
      </c>
      <c r="F537">
        <v>60223.05</v>
      </c>
    </row>
    <row r="540" spans="1:11">
      <c r="A540" t="s">
        <v>2248</v>
      </c>
    </row>
    <row r="542" spans="1:11">
      <c r="C542" t="s">
        <v>90</v>
      </c>
      <c r="D542" t="s">
        <v>2249</v>
      </c>
      <c r="E542" t="s">
        <v>2250</v>
      </c>
      <c r="F542" t="s">
        <v>2251</v>
      </c>
      <c r="G542" t="s">
        <v>2252</v>
      </c>
      <c r="H542" t="s">
        <v>2253</v>
      </c>
    </row>
    <row r="543" spans="1:11">
      <c r="B543" t="s">
        <v>2</v>
      </c>
    </row>
    <row r="546" spans="1:6">
      <c r="A546" t="s">
        <v>1954</v>
      </c>
    </row>
    <row r="548" spans="1:6">
      <c r="C548" t="s">
        <v>2254</v>
      </c>
      <c r="D548" t="s">
        <v>2255</v>
      </c>
      <c r="E548" t="s">
        <v>2228</v>
      </c>
      <c r="F548" t="s">
        <v>2256</v>
      </c>
    </row>
    <row r="549" spans="1:6">
      <c r="B549" t="s">
        <v>2257</v>
      </c>
      <c r="C549">
        <v>0</v>
      </c>
    </row>
    <row r="552" spans="1:6">
      <c r="A552" t="s">
        <v>1915</v>
      </c>
    </row>
    <row r="553" spans="1:6">
      <c r="A553" t="s">
        <v>1916</v>
      </c>
      <c r="B553" t="s">
        <v>2258</v>
      </c>
    </row>
    <row r="554" spans="1:6">
      <c r="A554" t="s">
        <v>1918</v>
      </c>
      <c r="B554" t="s">
        <v>1919</v>
      </c>
    </row>
    <row r="555" spans="1:6">
      <c r="A555" t="s">
        <v>2259</v>
      </c>
    </row>
    <row r="557" spans="1:6">
      <c r="C557" t="s">
        <v>2218</v>
      </c>
      <c r="D557" t="s">
        <v>2260</v>
      </c>
      <c r="E557" t="s">
        <v>2261</v>
      </c>
    </row>
    <row r="558" spans="1:6">
      <c r="B558" t="s">
        <v>2262</v>
      </c>
      <c r="C558" t="s">
        <v>2263</v>
      </c>
      <c r="D558">
        <v>425002.7</v>
      </c>
      <c r="E558">
        <v>4.83</v>
      </c>
    </row>
    <row r="559" spans="1:6">
      <c r="B559" t="s">
        <v>2264</v>
      </c>
      <c r="C559" t="s">
        <v>2265</v>
      </c>
      <c r="D559">
        <v>207607.8</v>
      </c>
      <c r="E559">
        <v>0.8</v>
      </c>
    </row>
    <row r="560" spans="1:6">
      <c r="B560" t="s">
        <v>2266</v>
      </c>
      <c r="C560" t="s">
        <v>2265</v>
      </c>
      <c r="D560">
        <v>207607.8</v>
      </c>
      <c r="E560">
        <v>0.8</v>
      </c>
    </row>
    <row r="561" spans="1:10">
      <c r="B561" t="s">
        <v>2267</v>
      </c>
      <c r="C561" t="s">
        <v>2268</v>
      </c>
      <c r="D561">
        <v>295315.40999999997</v>
      </c>
    </row>
    <row r="564" spans="1:10">
      <c r="A564" t="s">
        <v>2269</v>
      </c>
    </row>
    <row r="566" spans="1:10">
      <c r="C566" t="s">
        <v>2218</v>
      </c>
      <c r="D566" t="s">
        <v>2270</v>
      </c>
      <c r="E566" t="s">
        <v>2271</v>
      </c>
      <c r="F566" t="s">
        <v>2272</v>
      </c>
      <c r="G566" t="s">
        <v>2273</v>
      </c>
      <c r="H566" t="s">
        <v>2261</v>
      </c>
      <c r="I566" t="s">
        <v>2274</v>
      </c>
      <c r="J566" t="s">
        <v>2275</v>
      </c>
    </row>
    <row r="567" spans="1:10">
      <c r="B567" t="s">
        <v>2276</v>
      </c>
      <c r="C567" t="s">
        <v>2277</v>
      </c>
      <c r="D567">
        <v>605077.81999999995</v>
      </c>
      <c r="E567">
        <v>439721.71</v>
      </c>
      <c r="F567">
        <v>165356.12</v>
      </c>
      <c r="G567">
        <v>0.73</v>
      </c>
      <c r="H567" t="s">
        <v>212</v>
      </c>
      <c r="I567">
        <v>69146.539999999994</v>
      </c>
      <c r="J567">
        <v>701.32</v>
      </c>
    </row>
    <row r="570" spans="1:10">
      <c r="A570" t="s">
        <v>2278</v>
      </c>
    </row>
    <row r="572" spans="1:10">
      <c r="C572" t="s">
        <v>2279</v>
      </c>
      <c r="D572" t="s">
        <v>2280</v>
      </c>
      <c r="E572" t="s">
        <v>2281</v>
      </c>
      <c r="F572" t="s">
        <v>2282</v>
      </c>
      <c r="G572" t="s">
        <v>2283</v>
      </c>
      <c r="H572" t="s">
        <v>2284</v>
      </c>
      <c r="I572" t="s">
        <v>2285</v>
      </c>
      <c r="J572" t="s">
        <v>2286</v>
      </c>
    </row>
    <row r="573" spans="1:10">
      <c r="B573" t="s">
        <v>2</v>
      </c>
    </row>
    <row r="576" spans="1:10">
      <c r="A576" t="s">
        <v>2287</v>
      </c>
    </row>
    <row r="578" spans="2:7">
      <c r="C578" t="s">
        <v>2218</v>
      </c>
      <c r="D578" t="s">
        <v>2270</v>
      </c>
      <c r="E578" t="s">
        <v>2261</v>
      </c>
    </row>
    <row r="579" spans="2:7">
      <c r="B579" t="s">
        <v>2288</v>
      </c>
      <c r="C579" t="s">
        <v>2289</v>
      </c>
      <c r="D579">
        <v>60982.73</v>
      </c>
      <c r="E579" t="s">
        <v>212</v>
      </c>
    </row>
    <row r="580" spans="2:7">
      <c r="B580" t="s">
        <v>2290</v>
      </c>
      <c r="C580" t="s">
        <v>2289</v>
      </c>
      <c r="D580">
        <v>38727.22</v>
      </c>
      <c r="E580" t="s">
        <v>212</v>
      </c>
    </row>
    <row r="581" spans="2:7">
      <c r="B581" t="s">
        <v>2291</v>
      </c>
      <c r="C581" t="s">
        <v>2289</v>
      </c>
      <c r="D581">
        <v>27529.5</v>
      </c>
      <c r="E581" t="s">
        <v>212</v>
      </c>
      <c r="G581" s="499"/>
    </row>
    <row r="582" spans="2:7">
      <c r="B582" t="s">
        <v>2292</v>
      </c>
      <c r="C582" t="s">
        <v>2289</v>
      </c>
      <c r="D582">
        <v>38727.22</v>
      </c>
      <c r="E582" t="s">
        <v>212</v>
      </c>
      <c r="G582" s="499"/>
    </row>
    <row r="583" spans="2:7">
      <c r="B583" t="s">
        <v>2293</v>
      </c>
      <c r="C583" t="s">
        <v>2289</v>
      </c>
      <c r="D583">
        <v>90571.87</v>
      </c>
      <c r="E583" t="s">
        <v>212</v>
      </c>
      <c r="G583" s="499"/>
    </row>
    <row r="584" spans="2:7">
      <c r="B584" t="s">
        <v>2294</v>
      </c>
      <c r="C584" t="s">
        <v>2289</v>
      </c>
      <c r="D584">
        <v>60982.73</v>
      </c>
      <c r="E584" t="s">
        <v>212</v>
      </c>
      <c r="G584" s="499"/>
    </row>
    <row r="585" spans="2:7">
      <c r="B585" t="s">
        <v>2295</v>
      </c>
      <c r="C585" t="s">
        <v>2289</v>
      </c>
      <c r="D585">
        <v>38727.22</v>
      </c>
      <c r="E585" t="s">
        <v>212</v>
      </c>
      <c r="G585" s="499"/>
    </row>
    <row r="586" spans="2:7">
      <c r="B586" t="s">
        <v>2296</v>
      </c>
      <c r="C586" t="s">
        <v>2289</v>
      </c>
      <c r="D586">
        <v>33364.03</v>
      </c>
      <c r="E586" t="s">
        <v>212</v>
      </c>
      <c r="G586" s="499"/>
    </row>
    <row r="587" spans="2:7">
      <c r="B587" t="s">
        <v>2297</v>
      </c>
      <c r="C587" t="s">
        <v>2289</v>
      </c>
      <c r="D587">
        <v>38727.22</v>
      </c>
      <c r="E587" t="s">
        <v>212</v>
      </c>
      <c r="G587" s="499"/>
    </row>
    <row r="588" spans="2:7">
      <c r="B588" t="s">
        <v>2298</v>
      </c>
      <c r="C588" t="s">
        <v>2289</v>
      </c>
      <c r="D588">
        <v>90571.87</v>
      </c>
      <c r="E588" t="s">
        <v>212</v>
      </c>
      <c r="G588" s="499"/>
    </row>
    <row r="589" spans="2:7">
      <c r="B589" t="s">
        <v>2299</v>
      </c>
      <c r="C589" t="s">
        <v>2289</v>
      </c>
      <c r="D589">
        <v>62879.32</v>
      </c>
      <c r="E589" t="s">
        <v>212</v>
      </c>
      <c r="G589" s="499"/>
    </row>
    <row r="590" spans="2:7">
      <c r="B590" t="s">
        <v>2300</v>
      </c>
      <c r="C590" t="s">
        <v>2289</v>
      </c>
      <c r="D590">
        <v>39930.22</v>
      </c>
      <c r="E590" t="s">
        <v>212</v>
      </c>
      <c r="G590" s="499"/>
    </row>
    <row r="591" spans="2:7">
      <c r="B591" t="s">
        <v>2301</v>
      </c>
      <c r="C591" t="s">
        <v>2289</v>
      </c>
      <c r="D591">
        <v>38510.69</v>
      </c>
      <c r="E591" t="s">
        <v>212</v>
      </c>
      <c r="G591" s="499"/>
    </row>
    <row r="592" spans="2:7">
      <c r="B592" t="s">
        <v>2302</v>
      </c>
      <c r="C592" t="s">
        <v>2289</v>
      </c>
      <c r="D592">
        <v>39930.22</v>
      </c>
      <c r="E592" t="s">
        <v>212</v>
      </c>
      <c r="G592" s="499"/>
    </row>
    <row r="593" spans="1:9">
      <c r="B593" t="s">
        <v>2303</v>
      </c>
      <c r="C593" t="s">
        <v>2289</v>
      </c>
      <c r="D593">
        <v>90571.87</v>
      </c>
      <c r="E593" t="s">
        <v>212</v>
      </c>
      <c r="G593" s="499"/>
    </row>
    <row r="594" spans="1:9">
      <c r="B594" t="s">
        <v>2304</v>
      </c>
      <c r="C594" t="s">
        <v>2289</v>
      </c>
      <c r="D594">
        <v>131963.78</v>
      </c>
      <c r="E594" t="s">
        <v>212</v>
      </c>
      <c r="G594" s="499"/>
    </row>
    <row r="595" spans="1:9">
      <c r="G595" s="499"/>
    </row>
    <row r="596" spans="1:9">
      <c r="G596" s="499"/>
    </row>
    <row r="597" spans="1:9">
      <c r="A597" t="s">
        <v>502</v>
      </c>
      <c r="G597" s="499"/>
    </row>
    <row r="598" spans="1:9">
      <c r="G598" s="499"/>
    </row>
    <row r="599" spans="1:9">
      <c r="C599" t="s">
        <v>2218</v>
      </c>
      <c r="D599" t="s">
        <v>2305</v>
      </c>
      <c r="E599" t="s">
        <v>2306</v>
      </c>
      <c r="F599" t="s">
        <v>2307</v>
      </c>
      <c r="G599" t="s">
        <v>2308</v>
      </c>
      <c r="H599" t="s">
        <v>2309</v>
      </c>
      <c r="I599" t="s">
        <v>2310</v>
      </c>
    </row>
    <row r="600" spans="1:9">
      <c r="B600" t="s">
        <v>2960</v>
      </c>
      <c r="C600" t="s">
        <v>2311</v>
      </c>
      <c r="D600">
        <v>0.15</v>
      </c>
      <c r="E600">
        <v>125</v>
      </c>
      <c r="F600">
        <v>3.11</v>
      </c>
      <c r="G600">
        <v>2593.75</v>
      </c>
      <c r="H600">
        <v>1</v>
      </c>
      <c r="I600" t="s">
        <v>1967</v>
      </c>
    </row>
    <row r="601" spans="1:9">
      <c r="B601" t="s">
        <v>2961</v>
      </c>
      <c r="C601" t="s">
        <v>2311</v>
      </c>
      <c r="D601">
        <v>0.15</v>
      </c>
      <c r="E601">
        <v>125</v>
      </c>
      <c r="F601">
        <v>1.98</v>
      </c>
      <c r="G601">
        <v>1647.17</v>
      </c>
      <c r="H601">
        <v>1</v>
      </c>
      <c r="I601" t="s">
        <v>1967</v>
      </c>
    </row>
    <row r="602" spans="1:9">
      <c r="B602" t="s">
        <v>2962</v>
      </c>
      <c r="C602" t="s">
        <v>2311</v>
      </c>
      <c r="D602">
        <v>0.15</v>
      </c>
      <c r="E602">
        <v>125</v>
      </c>
      <c r="F602">
        <v>1.41</v>
      </c>
      <c r="G602">
        <v>1170.9000000000001</v>
      </c>
      <c r="H602">
        <v>1</v>
      </c>
      <c r="I602" t="s">
        <v>1967</v>
      </c>
    </row>
    <row r="603" spans="1:9">
      <c r="B603" t="s">
        <v>2963</v>
      </c>
      <c r="C603" t="s">
        <v>2311</v>
      </c>
      <c r="D603">
        <v>0.15</v>
      </c>
      <c r="E603">
        <v>125</v>
      </c>
      <c r="F603">
        <v>1.98</v>
      </c>
      <c r="G603">
        <v>1647.17</v>
      </c>
      <c r="H603">
        <v>1</v>
      </c>
      <c r="I603" t="s">
        <v>1967</v>
      </c>
    </row>
    <row r="604" spans="1:9">
      <c r="B604" t="s">
        <v>2964</v>
      </c>
      <c r="C604" t="s">
        <v>2311</v>
      </c>
      <c r="D604">
        <v>0.15</v>
      </c>
      <c r="E604">
        <v>125</v>
      </c>
      <c r="F604">
        <v>3.11</v>
      </c>
      <c r="G604" s="499">
        <v>2593.75</v>
      </c>
      <c r="H604">
        <v>1</v>
      </c>
      <c r="I604" t="s">
        <v>1967</v>
      </c>
    </row>
    <row r="605" spans="1:9">
      <c r="B605" t="s">
        <v>2965</v>
      </c>
      <c r="C605" t="s">
        <v>2311</v>
      </c>
      <c r="D605">
        <v>0.15</v>
      </c>
      <c r="E605">
        <v>125</v>
      </c>
      <c r="F605">
        <v>1.98</v>
      </c>
      <c r="G605" s="499">
        <v>1647.17</v>
      </c>
      <c r="H605">
        <v>1</v>
      </c>
      <c r="I605" t="s">
        <v>1967</v>
      </c>
    </row>
    <row r="606" spans="1:9">
      <c r="B606" t="s">
        <v>2966</v>
      </c>
      <c r="C606" t="s">
        <v>2311</v>
      </c>
      <c r="D606">
        <v>0.15</v>
      </c>
      <c r="E606">
        <v>125</v>
      </c>
      <c r="F606">
        <v>1.7</v>
      </c>
      <c r="G606" s="499">
        <v>1419.06</v>
      </c>
      <c r="H606">
        <v>1</v>
      </c>
      <c r="I606" t="s">
        <v>1967</v>
      </c>
    </row>
    <row r="607" spans="1:9">
      <c r="B607" t="s">
        <v>2967</v>
      </c>
      <c r="C607" t="s">
        <v>2311</v>
      </c>
      <c r="D607">
        <v>0.15</v>
      </c>
      <c r="E607">
        <v>125</v>
      </c>
      <c r="F607">
        <v>1.98</v>
      </c>
      <c r="G607" s="499">
        <v>1647.17</v>
      </c>
      <c r="H607">
        <v>1</v>
      </c>
      <c r="I607" t="s">
        <v>1967</v>
      </c>
    </row>
    <row r="608" spans="1:9">
      <c r="B608" t="s">
        <v>2968</v>
      </c>
      <c r="C608" t="s">
        <v>2311</v>
      </c>
      <c r="D608">
        <v>0.15</v>
      </c>
      <c r="E608">
        <v>125</v>
      </c>
      <c r="F608">
        <v>3.21</v>
      </c>
      <c r="G608" s="499">
        <v>2674.42</v>
      </c>
      <c r="H608">
        <v>1</v>
      </c>
      <c r="I608" t="s">
        <v>1967</v>
      </c>
    </row>
    <row r="609" spans="1:9">
      <c r="B609" t="s">
        <v>2969</v>
      </c>
      <c r="C609" t="s">
        <v>2311</v>
      </c>
      <c r="D609">
        <v>0.15</v>
      </c>
      <c r="E609">
        <v>125</v>
      </c>
      <c r="F609">
        <v>2.04</v>
      </c>
      <c r="G609" s="499">
        <v>1698.33</v>
      </c>
      <c r="H609">
        <v>1</v>
      </c>
      <c r="I609" t="s">
        <v>1967</v>
      </c>
    </row>
    <row r="610" spans="1:9">
      <c r="B610" t="s">
        <v>2970</v>
      </c>
      <c r="C610" t="s">
        <v>2311</v>
      </c>
      <c r="D610">
        <v>0.15</v>
      </c>
      <c r="E610">
        <v>125</v>
      </c>
      <c r="F610">
        <v>1.97</v>
      </c>
      <c r="G610" s="499">
        <v>1637.96</v>
      </c>
      <c r="H610">
        <v>1</v>
      </c>
      <c r="I610" t="s">
        <v>1967</v>
      </c>
    </row>
    <row r="611" spans="1:9">
      <c r="B611" t="s">
        <v>2971</v>
      </c>
      <c r="C611" t="s">
        <v>2311</v>
      </c>
      <c r="D611">
        <v>0.15</v>
      </c>
      <c r="E611">
        <v>125</v>
      </c>
      <c r="F611">
        <v>2.04</v>
      </c>
      <c r="G611" s="499">
        <v>1698.33</v>
      </c>
      <c r="H611">
        <v>1</v>
      </c>
      <c r="I611" t="s">
        <v>1967</v>
      </c>
    </row>
    <row r="612" spans="1:9">
      <c r="B612" t="s">
        <v>2312</v>
      </c>
      <c r="C612" t="s">
        <v>2311</v>
      </c>
      <c r="D612">
        <v>0.37</v>
      </c>
      <c r="E612">
        <v>149</v>
      </c>
      <c r="F612">
        <v>32.56</v>
      </c>
      <c r="G612" s="499">
        <v>13111.19</v>
      </c>
      <c r="H612">
        <v>1</v>
      </c>
      <c r="I612" t="s">
        <v>1967</v>
      </c>
    </row>
    <row r="613" spans="1:9">
      <c r="B613" t="s">
        <v>2313</v>
      </c>
      <c r="C613" t="s">
        <v>2311</v>
      </c>
      <c r="D613">
        <v>0.65</v>
      </c>
      <c r="E613">
        <v>600</v>
      </c>
      <c r="F613">
        <v>32.56</v>
      </c>
      <c r="G613" s="499">
        <v>30053.54</v>
      </c>
      <c r="H613">
        <v>1</v>
      </c>
      <c r="I613" t="s">
        <v>1967</v>
      </c>
    </row>
    <row r="614" spans="1:9">
      <c r="G614" s="499"/>
    </row>
    <row r="615" spans="1:9">
      <c r="G615" s="499"/>
    </row>
    <row r="616" spans="1:9">
      <c r="A616" t="s">
        <v>1957</v>
      </c>
      <c r="G616" s="499"/>
    </row>
    <row r="617" spans="1:9">
      <c r="G617" s="499"/>
    </row>
    <row r="618" spans="1:9">
      <c r="C618" t="s">
        <v>2218</v>
      </c>
      <c r="D618" t="s">
        <v>2220</v>
      </c>
      <c r="E618" t="s">
        <v>2314</v>
      </c>
      <c r="F618" t="s">
        <v>2315</v>
      </c>
      <c r="G618" s="499" t="s">
        <v>2316</v>
      </c>
    </row>
    <row r="619" spans="1:9">
      <c r="B619" t="s">
        <v>2317</v>
      </c>
      <c r="C619" t="s">
        <v>2318</v>
      </c>
      <c r="D619" t="s">
        <v>2319</v>
      </c>
      <c r="E619">
        <v>119563</v>
      </c>
      <c r="F619">
        <v>3104.2</v>
      </c>
      <c r="G619" s="499">
        <v>0.9</v>
      </c>
    </row>
    <row r="620" spans="1:9">
      <c r="B620" t="s">
        <v>2320</v>
      </c>
      <c r="C620" t="s">
        <v>2318</v>
      </c>
      <c r="D620" t="s">
        <v>2319</v>
      </c>
      <c r="E620">
        <v>119563</v>
      </c>
      <c r="F620">
        <v>2759.15</v>
      </c>
      <c r="G620" s="499">
        <v>0.9</v>
      </c>
    </row>
    <row r="621" spans="1:9">
      <c r="B621" t="s">
        <v>2321</v>
      </c>
      <c r="C621" t="s">
        <v>2318</v>
      </c>
      <c r="D621" t="s">
        <v>2319</v>
      </c>
      <c r="E621">
        <v>74727</v>
      </c>
      <c r="F621">
        <v>1678.7</v>
      </c>
      <c r="G621" s="499">
        <v>0.9</v>
      </c>
    </row>
    <row r="624" spans="1:9">
      <c r="A624" t="s">
        <v>2322</v>
      </c>
    </row>
    <row r="626" spans="1:10">
      <c r="C626" t="s">
        <v>2218</v>
      </c>
      <c r="D626" t="s">
        <v>2323</v>
      </c>
      <c r="E626" t="s">
        <v>2324</v>
      </c>
      <c r="F626" t="s">
        <v>2325</v>
      </c>
      <c r="G626" t="s">
        <v>2326</v>
      </c>
      <c r="H626" t="s">
        <v>2327</v>
      </c>
    </row>
    <row r="627" spans="1:10">
      <c r="B627" t="s">
        <v>2</v>
      </c>
    </row>
    <row r="630" spans="1:10">
      <c r="A630" t="s">
        <v>1915</v>
      </c>
    </row>
    <row r="631" spans="1:10">
      <c r="A631" t="s">
        <v>1916</v>
      </c>
      <c r="B631" t="s">
        <v>2328</v>
      </c>
    </row>
    <row r="632" spans="1:10">
      <c r="A632" t="s">
        <v>1918</v>
      </c>
      <c r="B632" t="s">
        <v>1919</v>
      </c>
    </row>
    <row r="633" spans="1:10">
      <c r="A633" t="s">
        <v>2329</v>
      </c>
    </row>
    <row r="635" spans="1:10">
      <c r="C635" t="s">
        <v>2330</v>
      </c>
      <c r="D635" t="s">
        <v>2331</v>
      </c>
      <c r="E635" t="s">
        <v>2332</v>
      </c>
      <c r="F635" t="s">
        <v>2333</v>
      </c>
      <c r="G635" t="s">
        <v>2334</v>
      </c>
      <c r="H635" t="s">
        <v>2335</v>
      </c>
      <c r="I635" t="s">
        <v>2336</v>
      </c>
      <c r="J635" t="s">
        <v>2337</v>
      </c>
    </row>
    <row r="636" spans="1:10">
      <c r="B636" t="s">
        <v>2087</v>
      </c>
      <c r="C636">
        <v>7359.65</v>
      </c>
      <c r="D636">
        <v>8831.58</v>
      </c>
      <c r="E636">
        <v>0.98899999999999999</v>
      </c>
      <c r="F636">
        <v>1.1870000000000001</v>
      </c>
      <c r="G636" t="s">
        <v>2549</v>
      </c>
      <c r="H636">
        <v>40745.760416666664</v>
      </c>
      <c r="I636">
        <v>32.39</v>
      </c>
      <c r="J636">
        <v>8.8599999999999998E-3</v>
      </c>
    </row>
    <row r="637" spans="1:10">
      <c r="B637" t="s">
        <v>2088</v>
      </c>
      <c r="C637">
        <v>6078.94</v>
      </c>
      <c r="D637">
        <v>7294.73</v>
      </c>
      <c r="E637">
        <v>0.754</v>
      </c>
      <c r="F637">
        <v>0.90400000000000003</v>
      </c>
      <c r="G637" t="s">
        <v>2549</v>
      </c>
      <c r="H637">
        <v>40745.375</v>
      </c>
      <c r="I637">
        <v>27.09</v>
      </c>
      <c r="J637">
        <v>8.8599999999999998E-3</v>
      </c>
    </row>
    <row r="638" spans="1:10">
      <c r="B638" t="s">
        <v>2089</v>
      </c>
      <c r="C638">
        <v>8690.23</v>
      </c>
      <c r="D638">
        <v>10428.280000000001</v>
      </c>
      <c r="E638">
        <v>1.171</v>
      </c>
      <c r="F638">
        <v>1.405</v>
      </c>
      <c r="G638" t="s">
        <v>2549</v>
      </c>
      <c r="H638">
        <v>40745.552083333336</v>
      </c>
      <c r="I638">
        <v>37.049999999999997</v>
      </c>
      <c r="J638">
        <v>8.8599999999999998E-3</v>
      </c>
    </row>
    <row r="639" spans="1:10">
      <c r="B639" t="s">
        <v>2090</v>
      </c>
      <c r="C639">
        <v>8439.67</v>
      </c>
      <c r="D639">
        <v>10127.61</v>
      </c>
      <c r="E639">
        <v>1.1439999999999999</v>
      </c>
      <c r="F639">
        <v>1.373</v>
      </c>
      <c r="G639" t="s">
        <v>2549</v>
      </c>
      <c r="H639">
        <v>40745.71875</v>
      </c>
      <c r="I639">
        <v>34.57</v>
      </c>
      <c r="J639">
        <v>8.8599999999999998E-3</v>
      </c>
    </row>
    <row r="640" spans="1:10">
      <c r="B640" t="s">
        <v>2091</v>
      </c>
      <c r="C640">
        <v>27256.38</v>
      </c>
      <c r="D640">
        <v>32707.65</v>
      </c>
      <c r="E640">
        <v>2.2429999999999999</v>
      </c>
      <c r="F640">
        <v>2.6920000000000002</v>
      </c>
      <c r="G640" t="s">
        <v>2549</v>
      </c>
      <c r="H640">
        <v>40745.364583333336</v>
      </c>
      <c r="I640">
        <v>26.16</v>
      </c>
      <c r="J640">
        <v>8.8599999999999998E-3</v>
      </c>
    </row>
    <row r="641" spans="1:10">
      <c r="B641" t="s">
        <v>2097</v>
      </c>
      <c r="C641">
        <v>9151.5300000000007</v>
      </c>
      <c r="D641">
        <v>10981.84</v>
      </c>
      <c r="E641">
        <v>1.2290000000000001</v>
      </c>
      <c r="F641">
        <v>1.4750000000000001</v>
      </c>
      <c r="G641" t="s">
        <v>2549</v>
      </c>
      <c r="H641">
        <v>40745.760416666664</v>
      </c>
      <c r="I641">
        <v>32.39</v>
      </c>
      <c r="J641">
        <v>8.8599999999999998E-3</v>
      </c>
    </row>
    <row r="642" spans="1:10">
      <c r="B642" t="s">
        <v>2098</v>
      </c>
      <c r="C642">
        <v>8763.9599999999991</v>
      </c>
      <c r="D642">
        <v>10516.75</v>
      </c>
      <c r="E642">
        <v>1.01</v>
      </c>
      <c r="F642">
        <v>1.212</v>
      </c>
      <c r="G642" t="s">
        <v>2549</v>
      </c>
      <c r="H642">
        <v>40745.354166666664</v>
      </c>
      <c r="I642">
        <v>25.24</v>
      </c>
      <c r="J642">
        <v>8.8599999999999998E-3</v>
      </c>
    </row>
    <row r="643" spans="1:10">
      <c r="B643" t="s">
        <v>2099</v>
      </c>
      <c r="C643">
        <v>10518.92</v>
      </c>
      <c r="D643">
        <v>12622.71</v>
      </c>
      <c r="E643">
        <v>1.419</v>
      </c>
      <c r="F643">
        <v>1.7030000000000001</v>
      </c>
      <c r="G643" t="s">
        <v>2549</v>
      </c>
      <c r="H643">
        <v>40745.552083333336</v>
      </c>
      <c r="I643">
        <v>37.049999999999997</v>
      </c>
      <c r="J643">
        <v>8.8599999999999998E-3</v>
      </c>
    </row>
    <row r="644" spans="1:10">
      <c r="B644" t="s">
        <v>2100</v>
      </c>
      <c r="C644">
        <v>9715.7199999999993</v>
      </c>
      <c r="D644">
        <v>11658.86</v>
      </c>
      <c r="E644">
        <v>1.325</v>
      </c>
      <c r="F644">
        <v>1.59</v>
      </c>
      <c r="G644" t="s">
        <v>2549</v>
      </c>
      <c r="H644">
        <v>40745.71875</v>
      </c>
      <c r="I644">
        <v>34.57</v>
      </c>
      <c r="J644">
        <v>8.8599999999999998E-3</v>
      </c>
    </row>
    <row r="645" spans="1:10">
      <c r="B645" t="s">
        <v>2101</v>
      </c>
      <c r="C645">
        <v>39756.06</v>
      </c>
      <c r="D645">
        <v>47707.28</v>
      </c>
      <c r="E645">
        <v>2.94</v>
      </c>
      <c r="F645">
        <v>3.528</v>
      </c>
      <c r="G645" t="s">
        <v>2549</v>
      </c>
      <c r="H645">
        <v>40745.333333333336</v>
      </c>
      <c r="I645">
        <v>23.39</v>
      </c>
      <c r="J645">
        <v>8.8599999999999998E-3</v>
      </c>
    </row>
    <row r="646" spans="1:10">
      <c r="B646" t="s">
        <v>2107</v>
      </c>
      <c r="C646">
        <v>10801.65</v>
      </c>
      <c r="D646">
        <v>12961.98</v>
      </c>
      <c r="E646">
        <v>1.4419999999999999</v>
      </c>
      <c r="F646">
        <v>1.73</v>
      </c>
      <c r="G646" t="s">
        <v>2549</v>
      </c>
      <c r="H646">
        <v>40745.625</v>
      </c>
      <c r="I646">
        <v>37.78</v>
      </c>
      <c r="J646">
        <v>8.8599999999999998E-3</v>
      </c>
    </row>
    <row r="647" spans="1:10">
      <c r="B647" t="s">
        <v>2108</v>
      </c>
      <c r="C647">
        <v>8932.89</v>
      </c>
      <c r="D647">
        <v>10719.47</v>
      </c>
      <c r="E647">
        <v>1.0509999999999999</v>
      </c>
      <c r="F647">
        <v>1.2609999999999999</v>
      </c>
      <c r="G647" t="s">
        <v>2549</v>
      </c>
      <c r="H647">
        <v>40745.375</v>
      </c>
      <c r="I647">
        <v>27.09</v>
      </c>
      <c r="J647">
        <v>8.8599999999999998E-3</v>
      </c>
    </row>
    <row r="648" spans="1:10">
      <c r="B648" t="s">
        <v>2109</v>
      </c>
      <c r="C648">
        <v>12233.58</v>
      </c>
      <c r="D648">
        <v>14680.29</v>
      </c>
      <c r="E648">
        <v>1.6379999999999999</v>
      </c>
      <c r="F648">
        <v>1.966</v>
      </c>
      <c r="G648" t="s">
        <v>2549</v>
      </c>
      <c r="H648">
        <v>40745.572916666664</v>
      </c>
      <c r="I648">
        <v>37.54</v>
      </c>
      <c r="J648">
        <v>8.8599999999999998E-3</v>
      </c>
    </row>
    <row r="649" spans="1:10">
      <c r="B649" t="s">
        <v>2110</v>
      </c>
      <c r="C649">
        <v>10829.06</v>
      </c>
      <c r="D649">
        <v>12994.87</v>
      </c>
      <c r="E649">
        <v>1.4910000000000001</v>
      </c>
      <c r="F649">
        <v>1.7889999999999999</v>
      </c>
      <c r="G649" t="s">
        <v>2549</v>
      </c>
      <c r="H649">
        <v>40745.708333333336</v>
      </c>
      <c r="I649">
        <v>35.06</v>
      </c>
      <c r="J649">
        <v>8.8599999999999998E-3</v>
      </c>
    </row>
    <row r="650" spans="1:10">
      <c r="B650" t="s">
        <v>2111</v>
      </c>
      <c r="C650">
        <v>42953.07</v>
      </c>
      <c r="D650">
        <v>51543.68</v>
      </c>
      <c r="E650">
        <v>3.8239999999999998</v>
      </c>
      <c r="F650">
        <v>4.5890000000000004</v>
      </c>
      <c r="G650" t="s">
        <v>2549</v>
      </c>
      <c r="H650">
        <v>40745.625</v>
      </c>
      <c r="I650">
        <v>37.78</v>
      </c>
      <c r="J650">
        <v>8.8599999999999998E-3</v>
      </c>
    </row>
    <row r="653" spans="1:10">
      <c r="A653" t="s">
        <v>2338</v>
      </c>
    </row>
    <row r="655" spans="1:10">
      <c r="C655" t="s">
        <v>2330</v>
      </c>
      <c r="D655" t="s">
        <v>2331</v>
      </c>
      <c r="E655" t="s">
        <v>2332</v>
      </c>
      <c r="F655" t="s">
        <v>2333</v>
      </c>
      <c r="G655" t="s">
        <v>2334</v>
      </c>
      <c r="H655" t="s">
        <v>2335</v>
      </c>
      <c r="I655" t="s">
        <v>2336</v>
      </c>
      <c r="J655" t="s">
        <v>2337</v>
      </c>
    </row>
    <row r="656" spans="1:10">
      <c r="B656" t="s">
        <v>2087</v>
      </c>
      <c r="C656">
        <v>6621.73</v>
      </c>
      <c r="D656">
        <v>7946.08</v>
      </c>
      <c r="E656">
        <v>0.184</v>
      </c>
      <c r="F656">
        <v>0.221</v>
      </c>
      <c r="G656" t="s">
        <v>2548</v>
      </c>
      <c r="H656">
        <v>40898.354166666664</v>
      </c>
      <c r="I656">
        <v>-3.33</v>
      </c>
      <c r="J656">
        <v>2.8600000000000001E-3</v>
      </c>
    </row>
    <row r="657" spans="2:10">
      <c r="B657" t="s">
        <v>2088</v>
      </c>
      <c r="C657">
        <v>4338.7</v>
      </c>
      <c r="D657">
        <v>5206.43</v>
      </c>
      <c r="E657">
        <v>0.121</v>
      </c>
      <c r="F657">
        <v>0.14499999999999999</v>
      </c>
      <c r="G657" t="s">
        <v>2548</v>
      </c>
      <c r="H657">
        <v>40898.354166666664</v>
      </c>
      <c r="I657">
        <v>-3.33</v>
      </c>
      <c r="J657">
        <v>2.8600000000000001E-3</v>
      </c>
    </row>
    <row r="658" spans="2:10">
      <c r="B658" t="s">
        <v>2089</v>
      </c>
      <c r="C658">
        <v>6515.74</v>
      </c>
      <c r="D658">
        <v>7818.88</v>
      </c>
      <c r="E658">
        <v>0.18099999999999999</v>
      </c>
      <c r="F658">
        <v>0.217</v>
      </c>
      <c r="G658" t="s">
        <v>2548</v>
      </c>
      <c r="H658">
        <v>40898.354166666664</v>
      </c>
      <c r="I658">
        <v>-3.33</v>
      </c>
      <c r="J658">
        <v>2.8600000000000001E-3</v>
      </c>
    </row>
    <row r="659" spans="2:10">
      <c r="B659" t="s">
        <v>2090</v>
      </c>
      <c r="C659">
        <v>4380.84</v>
      </c>
      <c r="D659">
        <v>5257.01</v>
      </c>
      <c r="E659">
        <v>0.122</v>
      </c>
      <c r="F659">
        <v>0.14599999999999999</v>
      </c>
      <c r="G659" t="s">
        <v>2548</v>
      </c>
      <c r="H659">
        <v>40898.354166666664</v>
      </c>
      <c r="I659">
        <v>-3.33</v>
      </c>
      <c r="J659">
        <v>2.8600000000000001E-3</v>
      </c>
    </row>
    <row r="660" spans="2:10">
      <c r="B660" t="s">
        <v>2091</v>
      </c>
      <c r="C660">
        <v>2929.36</v>
      </c>
      <c r="D660">
        <v>3515.24</v>
      </c>
      <c r="E660">
        <v>8.3000000000000004E-2</v>
      </c>
      <c r="F660">
        <v>0.86599999999999999</v>
      </c>
      <c r="G660" t="s">
        <v>2548</v>
      </c>
      <c r="H660">
        <v>40898.302083333336</v>
      </c>
      <c r="I660">
        <v>-3.33</v>
      </c>
      <c r="J660">
        <v>2.8600000000000001E-3</v>
      </c>
    </row>
    <row r="661" spans="2:10">
      <c r="B661" t="s">
        <v>2097</v>
      </c>
      <c r="C661">
        <v>6789.29</v>
      </c>
      <c r="D661">
        <v>8147.15</v>
      </c>
      <c r="E661">
        <v>0.189</v>
      </c>
      <c r="F661">
        <v>0.22700000000000001</v>
      </c>
      <c r="G661" t="s">
        <v>2548</v>
      </c>
      <c r="H661">
        <v>40898.354166666664</v>
      </c>
      <c r="I661">
        <v>-3.33</v>
      </c>
      <c r="J661">
        <v>2.8600000000000001E-3</v>
      </c>
    </row>
    <row r="662" spans="2:10">
      <c r="B662" t="s">
        <v>2098</v>
      </c>
      <c r="C662">
        <v>4473.2299999999996</v>
      </c>
      <c r="D662">
        <v>5367.88</v>
      </c>
      <c r="E662">
        <v>0.124</v>
      </c>
      <c r="F662">
        <v>0.14899999999999999</v>
      </c>
      <c r="G662" t="s">
        <v>2548</v>
      </c>
      <c r="H662">
        <v>40898.354166666664</v>
      </c>
      <c r="I662">
        <v>-3.33</v>
      </c>
      <c r="J662">
        <v>2.8600000000000001E-3</v>
      </c>
    </row>
    <row r="663" spans="2:10">
      <c r="B663" t="s">
        <v>2099</v>
      </c>
      <c r="C663">
        <v>6652.04</v>
      </c>
      <c r="D663">
        <v>7982.45</v>
      </c>
      <c r="E663">
        <v>0.185</v>
      </c>
      <c r="F663">
        <v>0.222</v>
      </c>
      <c r="G663" t="s">
        <v>2548</v>
      </c>
      <c r="H663">
        <v>40898.354166666664</v>
      </c>
      <c r="I663">
        <v>-3.33</v>
      </c>
      <c r="J663">
        <v>2.8600000000000001E-3</v>
      </c>
    </row>
    <row r="664" spans="2:10">
      <c r="B664" t="s">
        <v>2100</v>
      </c>
      <c r="C664">
        <v>4509.8</v>
      </c>
      <c r="D664">
        <v>5411.75</v>
      </c>
      <c r="E664">
        <v>0.125</v>
      </c>
      <c r="F664">
        <v>0.15</v>
      </c>
      <c r="G664" t="s">
        <v>2548</v>
      </c>
      <c r="H664">
        <v>40898.354166666664</v>
      </c>
      <c r="I664">
        <v>-3.33</v>
      </c>
      <c r="J664">
        <v>2.8600000000000001E-3</v>
      </c>
    </row>
    <row r="665" spans="2:10">
      <c r="B665" t="s">
        <v>2101</v>
      </c>
      <c r="C665">
        <v>1966.34</v>
      </c>
      <c r="D665">
        <v>2359.61</v>
      </c>
      <c r="E665">
        <v>5.5E-2</v>
      </c>
      <c r="F665">
        <v>0.86599999999999999</v>
      </c>
      <c r="G665" t="s">
        <v>2548</v>
      </c>
      <c r="H665">
        <v>40898.302083333336</v>
      </c>
      <c r="I665">
        <v>-3.33</v>
      </c>
      <c r="J665">
        <v>2.8600000000000001E-3</v>
      </c>
    </row>
    <row r="666" spans="2:10">
      <c r="B666" t="s">
        <v>2107</v>
      </c>
      <c r="C666">
        <v>8756.76</v>
      </c>
      <c r="D666">
        <v>10508.12</v>
      </c>
      <c r="E666">
        <v>0.24299999999999999</v>
      </c>
      <c r="F666">
        <v>0.29099999999999998</v>
      </c>
      <c r="G666" t="s">
        <v>2548</v>
      </c>
      <c r="H666">
        <v>40898.354166666664</v>
      </c>
      <c r="I666">
        <v>-3.33</v>
      </c>
      <c r="J666">
        <v>2.8600000000000001E-3</v>
      </c>
    </row>
    <row r="667" spans="2:10">
      <c r="B667" t="s">
        <v>2108</v>
      </c>
      <c r="C667">
        <v>5682.84</v>
      </c>
      <c r="D667">
        <v>6819.41</v>
      </c>
      <c r="E667">
        <v>0.158</v>
      </c>
      <c r="F667">
        <v>0.189</v>
      </c>
      <c r="G667" t="s">
        <v>2548</v>
      </c>
      <c r="H667">
        <v>40898.354166666664</v>
      </c>
      <c r="I667">
        <v>-3.33</v>
      </c>
      <c r="J667">
        <v>2.8600000000000001E-3</v>
      </c>
    </row>
    <row r="668" spans="2:10">
      <c r="B668" t="s">
        <v>2109</v>
      </c>
      <c r="C668">
        <v>8597.98</v>
      </c>
      <c r="D668">
        <v>10317.57</v>
      </c>
      <c r="E668">
        <v>0.23799999999999999</v>
      </c>
      <c r="F668">
        <v>0.28599999999999998</v>
      </c>
      <c r="G668" t="s">
        <v>2548</v>
      </c>
      <c r="H668">
        <v>40898.354166666664</v>
      </c>
      <c r="I668">
        <v>-3.33</v>
      </c>
      <c r="J668">
        <v>2.8600000000000001E-3</v>
      </c>
    </row>
    <row r="669" spans="2:10">
      <c r="B669" t="s">
        <v>2110</v>
      </c>
      <c r="C669">
        <v>5729.65</v>
      </c>
      <c r="D669">
        <v>6875.58</v>
      </c>
      <c r="E669">
        <v>0.159</v>
      </c>
      <c r="F669">
        <v>0.191</v>
      </c>
      <c r="G669" t="s">
        <v>2548</v>
      </c>
      <c r="H669">
        <v>40898.354166666664</v>
      </c>
      <c r="I669">
        <v>-3.33</v>
      </c>
      <c r="J669">
        <v>2.8600000000000001E-3</v>
      </c>
    </row>
    <row r="670" spans="2:10">
      <c r="B670" t="s">
        <v>2111</v>
      </c>
      <c r="C670">
        <v>9372.0400000000009</v>
      </c>
      <c r="D670">
        <v>11246.44</v>
      </c>
      <c r="E670">
        <v>0.26400000000000001</v>
      </c>
      <c r="F670">
        <v>0.86599999999999999</v>
      </c>
      <c r="G670" t="s">
        <v>2548</v>
      </c>
      <c r="H670">
        <v>40898.302083333336</v>
      </c>
      <c r="I670">
        <v>-3.33</v>
      </c>
      <c r="J670">
        <v>2.8600000000000001E-3</v>
      </c>
    </row>
    <row r="673" spans="1:9">
      <c r="A673" t="s">
        <v>2339</v>
      </c>
    </row>
    <row r="675" spans="1:9">
      <c r="C675" t="s">
        <v>2340</v>
      </c>
      <c r="D675" t="s">
        <v>2341</v>
      </c>
      <c r="E675" t="s">
        <v>2342</v>
      </c>
      <c r="F675" t="s">
        <v>2343</v>
      </c>
    </row>
    <row r="676" spans="1:9">
      <c r="B676" t="s">
        <v>2344</v>
      </c>
      <c r="C676">
        <v>27.13</v>
      </c>
      <c r="D676">
        <v>27.13</v>
      </c>
      <c r="E676">
        <v>5.03</v>
      </c>
      <c r="F676">
        <v>5.03</v>
      </c>
    </row>
    <row r="679" spans="1:9">
      <c r="A679" t="s">
        <v>1915</v>
      </c>
    </row>
    <row r="680" spans="1:9">
      <c r="A680" t="s">
        <v>1916</v>
      </c>
      <c r="B680" t="s">
        <v>2345</v>
      </c>
    </row>
    <row r="681" spans="1:9">
      <c r="A681" t="s">
        <v>1918</v>
      </c>
      <c r="B681" t="s">
        <v>1919</v>
      </c>
    </row>
    <row r="682" spans="1:9">
      <c r="A682" t="s">
        <v>2346</v>
      </c>
    </row>
    <row r="684" spans="1:9">
      <c r="C684" t="s">
        <v>2347</v>
      </c>
      <c r="D684" t="s">
        <v>2348</v>
      </c>
      <c r="E684" t="s">
        <v>2349</v>
      </c>
      <c r="F684" t="s">
        <v>2350</v>
      </c>
      <c r="G684" t="s">
        <v>2351</v>
      </c>
      <c r="H684" t="s">
        <v>2352</v>
      </c>
      <c r="I684" t="s">
        <v>2353</v>
      </c>
    </row>
    <row r="685" spans="1:9">
      <c r="B685" t="s">
        <v>2354</v>
      </c>
      <c r="C685" t="s">
        <v>2355</v>
      </c>
      <c r="D685">
        <v>4.25</v>
      </c>
      <c r="E685">
        <v>27.13</v>
      </c>
      <c r="F685" t="s">
        <v>212</v>
      </c>
    </row>
    <row r="688" spans="1:9">
      <c r="A688" t="s">
        <v>2356</v>
      </c>
    </row>
    <row r="690" spans="1:8">
      <c r="C690" t="s">
        <v>2357</v>
      </c>
      <c r="D690" t="s">
        <v>2358</v>
      </c>
      <c r="E690" t="s">
        <v>2359</v>
      </c>
      <c r="F690" t="s">
        <v>2360</v>
      </c>
      <c r="G690" t="s">
        <v>2361</v>
      </c>
      <c r="H690" t="s">
        <v>2362</v>
      </c>
    </row>
    <row r="691" spans="1:8">
      <c r="B691" t="s">
        <v>2</v>
      </c>
    </row>
    <row r="694" spans="1:8">
      <c r="A694" t="s">
        <v>2053</v>
      </c>
    </row>
    <row r="696" spans="1:8">
      <c r="C696" t="s">
        <v>2363</v>
      </c>
      <c r="D696" t="s">
        <v>2364</v>
      </c>
      <c r="E696" t="s">
        <v>2365</v>
      </c>
    </row>
    <row r="697" spans="1:8">
      <c r="B697" t="s">
        <v>2087</v>
      </c>
      <c r="C697">
        <v>18</v>
      </c>
      <c r="D697">
        <v>0</v>
      </c>
      <c r="E697">
        <v>0</v>
      </c>
    </row>
    <row r="698" spans="1:8">
      <c r="B698" t="s">
        <v>2088</v>
      </c>
      <c r="C698">
        <v>18</v>
      </c>
      <c r="D698">
        <v>0</v>
      </c>
      <c r="E698">
        <v>0</v>
      </c>
    </row>
    <row r="699" spans="1:8">
      <c r="B699" t="s">
        <v>2089</v>
      </c>
      <c r="C699">
        <v>18</v>
      </c>
      <c r="D699">
        <v>0</v>
      </c>
      <c r="E699">
        <v>0</v>
      </c>
    </row>
    <row r="700" spans="1:8">
      <c r="B700" t="s">
        <v>2090</v>
      </c>
      <c r="C700">
        <v>18</v>
      </c>
      <c r="D700">
        <v>0</v>
      </c>
      <c r="E700">
        <v>0</v>
      </c>
    </row>
    <row r="701" spans="1:8">
      <c r="B701" t="s">
        <v>2091</v>
      </c>
      <c r="C701">
        <v>18</v>
      </c>
      <c r="D701">
        <v>0</v>
      </c>
      <c r="E701">
        <v>0</v>
      </c>
    </row>
    <row r="702" spans="1:8">
      <c r="B702" t="s">
        <v>2097</v>
      </c>
      <c r="C702">
        <v>18</v>
      </c>
      <c r="D702">
        <v>0.5</v>
      </c>
      <c r="E702">
        <v>0.5</v>
      </c>
    </row>
    <row r="703" spans="1:8">
      <c r="B703" t="s">
        <v>2098</v>
      </c>
      <c r="C703">
        <v>18</v>
      </c>
      <c r="D703">
        <v>1.5</v>
      </c>
      <c r="E703">
        <v>1.5</v>
      </c>
    </row>
    <row r="704" spans="1:8">
      <c r="B704" t="s">
        <v>2099</v>
      </c>
      <c r="C704">
        <v>18</v>
      </c>
      <c r="D704">
        <v>0.5</v>
      </c>
      <c r="E704">
        <v>0.5</v>
      </c>
    </row>
    <row r="705" spans="2:5">
      <c r="B705" t="s">
        <v>2100</v>
      </c>
      <c r="C705">
        <v>18</v>
      </c>
      <c r="D705">
        <v>1</v>
      </c>
      <c r="E705">
        <v>1</v>
      </c>
    </row>
    <row r="706" spans="2:5">
      <c r="B706" t="s">
        <v>2101</v>
      </c>
      <c r="C706">
        <v>18</v>
      </c>
      <c r="D706">
        <v>1.75</v>
      </c>
      <c r="E706">
        <v>1.75</v>
      </c>
    </row>
    <row r="707" spans="2:5">
      <c r="B707" t="s">
        <v>2107</v>
      </c>
      <c r="C707">
        <v>18</v>
      </c>
      <c r="D707">
        <v>0.75</v>
      </c>
      <c r="E707">
        <v>0.75</v>
      </c>
    </row>
    <row r="708" spans="2:5">
      <c r="B708" t="s">
        <v>2108</v>
      </c>
      <c r="C708">
        <v>18</v>
      </c>
      <c r="D708">
        <v>1.75</v>
      </c>
      <c r="E708">
        <v>1.75</v>
      </c>
    </row>
    <row r="709" spans="2:5">
      <c r="B709" t="s">
        <v>2109</v>
      </c>
      <c r="C709">
        <v>18</v>
      </c>
      <c r="D709">
        <v>0.75</v>
      </c>
      <c r="E709">
        <v>0.75</v>
      </c>
    </row>
    <row r="710" spans="2:5">
      <c r="B710" t="s">
        <v>2110</v>
      </c>
      <c r="C710">
        <v>18</v>
      </c>
      <c r="D710">
        <v>1.75</v>
      </c>
      <c r="E710">
        <v>1.75</v>
      </c>
    </row>
    <row r="711" spans="2:5">
      <c r="B711" t="s">
        <v>2111</v>
      </c>
      <c r="C711">
        <v>18</v>
      </c>
      <c r="D711">
        <v>2.25</v>
      </c>
      <c r="E711">
        <v>2.25</v>
      </c>
    </row>
    <row r="712" spans="2:5">
      <c r="B712" t="s">
        <v>2092</v>
      </c>
      <c r="C712">
        <v>0</v>
      </c>
      <c r="D712">
        <v>0</v>
      </c>
      <c r="E712">
        <v>0</v>
      </c>
    </row>
    <row r="713" spans="2:5">
      <c r="B713" t="s">
        <v>2093</v>
      </c>
      <c r="C713">
        <v>0</v>
      </c>
      <c r="D713">
        <v>0</v>
      </c>
      <c r="E713">
        <v>0</v>
      </c>
    </row>
    <row r="714" spans="2:5">
      <c r="B714" t="s">
        <v>2094</v>
      </c>
      <c r="C714">
        <v>0</v>
      </c>
      <c r="D714">
        <v>0</v>
      </c>
      <c r="E714">
        <v>0</v>
      </c>
    </row>
    <row r="715" spans="2:5">
      <c r="B715" t="s">
        <v>2095</v>
      </c>
      <c r="C715">
        <v>0</v>
      </c>
      <c r="D715">
        <v>0</v>
      </c>
      <c r="E715">
        <v>0</v>
      </c>
    </row>
    <row r="716" spans="2:5">
      <c r="B716" t="s">
        <v>2096</v>
      </c>
      <c r="C716">
        <v>0</v>
      </c>
      <c r="D716">
        <v>0</v>
      </c>
      <c r="E716">
        <v>0</v>
      </c>
    </row>
    <row r="717" spans="2:5">
      <c r="B717" t="s">
        <v>2102</v>
      </c>
      <c r="C717">
        <v>0</v>
      </c>
      <c r="D717">
        <v>0</v>
      </c>
      <c r="E717">
        <v>0</v>
      </c>
    </row>
    <row r="718" spans="2:5">
      <c r="B718" t="s">
        <v>2103</v>
      </c>
      <c r="C718">
        <v>0</v>
      </c>
      <c r="D718">
        <v>0</v>
      </c>
      <c r="E718">
        <v>0</v>
      </c>
    </row>
    <row r="719" spans="2:5">
      <c r="B719" t="s">
        <v>2104</v>
      </c>
      <c r="C719">
        <v>0</v>
      </c>
      <c r="D719">
        <v>0</v>
      </c>
      <c r="E719">
        <v>0</v>
      </c>
    </row>
    <row r="720" spans="2:5">
      <c r="B720" t="s">
        <v>2105</v>
      </c>
      <c r="C720">
        <v>0</v>
      </c>
      <c r="D720">
        <v>0</v>
      </c>
      <c r="E720">
        <v>0</v>
      </c>
    </row>
    <row r="721" spans="2:5">
      <c r="B721" t="s">
        <v>2106</v>
      </c>
      <c r="C721">
        <v>0</v>
      </c>
      <c r="D721">
        <v>0</v>
      </c>
      <c r="E721">
        <v>0</v>
      </c>
    </row>
    <row r="722" spans="2:5">
      <c r="B722" t="s">
        <v>2112</v>
      </c>
      <c r="C722">
        <v>0</v>
      </c>
      <c r="D722">
        <v>0</v>
      </c>
      <c r="E722">
        <v>0</v>
      </c>
    </row>
    <row r="723" spans="2:5">
      <c r="B723" t="s">
        <v>2113</v>
      </c>
      <c r="C723">
        <v>0</v>
      </c>
      <c r="D723">
        <v>0</v>
      </c>
      <c r="E723">
        <v>0</v>
      </c>
    </row>
    <row r="724" spans="2:5">
      <c r="B724" t="s">
        <v>2114</v>
      </c>
      <c r="C724">
        <v>0</v>
      </c>
      <c r="D724">
        <v>0</v>
      </c>
      <c r="E724">
        <v>0</v>
      </c>
    </row>
    <row r="725" spans="2:5">
      <c r="B725" t="s">
        <v>2115</v>
      </c>
      <c r="C725">
        <v>0</v>
      </c>
      <c r="D725">
        <v>0</v>
      </c>
      <c r="E725">
        <v>0</v>
      </c>
    </row>
    <row r="726" spans="2:5">
      <c r="B726" t="s">
        <v>2116</v>
      </c>
      <c r="C726">
        <v>0</v>
      </c>
      <c r="D726">
        <v>0</v>
      </c>
      <c r="E726">
        <v>0</v>
      </c>
    </row>
    <row r="727" spans="2:5">
      <c r="B727" t="s">
        <v>2932</v>
      </c>
      <c r="C727">
        <v>0</v>
      </c>
      <c r="D727">
        <v>0</v>
      </c>
      <c r="E727">
        <v>0</v>
      </c>
    </row>
    <row r="728" spans="2:5">
      <c r="B728" t="s">
        <v>2933</v>
      </c>
      <c r="C728">
        <v>0</v>
      </c>
      <c r="D728">
        <v>0</v>
      </c>
      <c r="E728">
        <v>0</v>
      </c>
    </row>
    <row r="729" spans="2:5">
      <c r="B729" t="s">
        <v>2934</v>
      </c>
      <c r="C729">
        <v>0</v>
      </c>
      <c r="D729">
        <v>0</v>
      </c>
      <c r="E729">
        <v>0</v>
      </c>
    </row>
    <row r="730" spans="2:5">
      <c r="B730" t="s">
        <v>2935</v>
      </c>
      <c r="C730">
        <v>0</v>
      </c>
      <c r="D730">
        <v>0</v>
      </c>
      <c r="E730">
        <v>0</v>
      </c>
    </row>
    <row r="731" spans="2:5">
      <c r="B731" t="s">
        <v>2936</v>
      </c>
      <c r="C731">
        <v>0</v>
      </c>
      <c r="D731">
        <v>0</v>
      </c>
      <c r="E731">
        <v>0</v>
      </c>
    </row>
    <row r="732" spans="2:5">
      <c r="B732" t="s">
        <v>2937</v>
      </c>
      <c r="C732">
        <v>0</v>
      </c>
      <c r="D732">
        <v>0</v>
      </c>
      <c r="E732">
        <v>0</v>
      </c>
    </row>
    <row r="733" spans="2:5">
      <c r="B733" t="s">
        <v>2938</v>
      </c>
      <c r="C733">
        <v>0</v>
      </c>
      <c r="D733">
        <v>0</v>
      </c>
      <c r="E733">
        <v>0</v>
      </c>
    </row>
    <row r="734" spans="2:5">
      <c r="B734" t="s">
        <v>2939</v>
      </c>
      <c r="C734">
        <v>0</v>
      </c>
      <c r="D734">
        <v>0</v>
      </c>
      <c r="E734">
        <v>0</v>
      </c>
    </row>
    <row r="735" spans="2:5">
      <c r="B735" t="s">
        <v>2940</v>
      </c>
      <c r="C735">
        <v>0</v>
      </c>
      <c r="D735">
        <v>0</v>
      </c>
      <c r="E735">
        <v>0</v>
      </c>
    </row>
    <row r="736" spans="2:5">
      <c r="B736" t="s">
        <v>2941</v>
      </c>
      <c r="C736">
        <v>0</v>
      </c>
      <c r="D736">
        <v>0</v>
      </c>
      <c r="E736">
        <v>0</v>
      </c>
    </row>
    <row r="737" spans="1:6">
      <c r="B737" t="s">
        <v>2942</v>
      </c>
      <c r="C737">
        <v>0</v>
      </c>
      <c r="D737">
        <v>0</v>
      </c>
      <c r="E737">
        <v>0</v>
      </c>
    </row>
    <row r="738" spans="1:6">
      <c r="B738" t="s">
        <v>2943</v>
      </c>
      <c r="C738">
        <v>0</v>
      </c>
      <c r="D738">
        <v>0</v>
      </c>
      <c r="E738">
        <v>0</v>
      </c>
    </row>
    <row r="739" spans="1:6">
      <c r="B739" t="s">
        <v>2944</v>
      </c>
      <c r="C739">
        <v>0</v>
      </c>
      <c r="D739">
        <v>0</v>
      </c>
      <c r="E739">
        <v>0</v>
      </c>
    </row>
    <row r="740" spans="1:6">
      <c r="B740" t="s">
        <v>2945</v>
      </c>
      <c r="C740">
        <v>0</v>
      </c>
      <c r="D740">
        <v>0</v>
      </c>
      <c r="E740">
        <v>0</v>
      </c>
    </row>
    <row r="741" spans="1:6">
      <c r="B741" t="s">
        <v>2946</v>
      </c>
      <c r="C741">
        <v>0</v>
      </c>
      <c r="D741">
        <v>0</v>
      </c>
      <c r="E741">
        <v>0</v>
      </c>
    </row>
    <row r="742" spans="1:6">
      <c r="B742" t="s">
        <v>2366</v>
      </c>
      <c r="C742">
        <v>18</v>
      </c>
      <c r="D742">
        <v>2.75</v>
      </c>
      <c r="E742">
        <v>2.75</v>
      </c>
    </row>
    <row r="743" spans="1:6">
      <c r="A743" t="s">
        <v>2622</v>
      </c>
    </row>
    <row r="746" spans="1:6">
      <c r="A746" t="s">
        <v>2367</v>
      </c>
    </row>
    <row r="748" spans="1:6">
      <c r="C748" t="s">
        <v>2368</v>
      </c>
      <c r="D748" t="s">
        <v>2369</v>
      </c>
      <c r="E748" t="s">
        <v>2370</v>
      </c>
      <c r="F748" t="s">
        <v>2371</v>
      </c>
    </row>
    <row r="749" spans="1:6">
      <c r="B749" t="s">
        <v>2087</v>
      </c>
      <c r="C749">
        <v>15.25</v>
      </c>
      <c r="D749">
        <v>3.5</v>
      </c>
      <c r="E749">
        <v>0</v>
      </c>
      <c r="F749">
        <v>3.25</v>
      </c>
    </row>
    <row r="750" spans="1:6">
      <c r="B750" t="s">
        <v>2088</v>
      </c>
      <c r="C750">
        <v>15.25</v>
      </c>
      <c r="D750">
        <v>4.5</v>
      </c>
      <c r="E750">
        <v>0</v>
      </c>
      <c r="F750">
        <v>4.25</v>
      </c>
    </row>
    <row r="751" spans="1:6">
      <c r="B751" t="s">
        <v>2089</v>
      </c>
      <c r="C751">
        <v>15.75</v>
      </c>
      <c r="D751">
        <v>2.75</v>
      </c>
      <c r="E751">
        <v>0</v>
      </c>
      <c r="F751">
        <v>2.75</v>
      </c>
    </row>
    <row r="752" spans="1:6">
      <c r="B752" t="s">
        <v>2090</v>
      </c>
      <c r="C752">
        <v>15.25</v>
      </c>
      <c r="D752">
        <v>4.5</v>
      </c>
      <c r="E752">
        <v>0</v>
      </c>
      <c r="F752">
        <v>4.5</v>
      </c>
    </row>
    <row r="753" spans="2:6">
      <c r="B753" t="s">
        <v>2091</v>
      </c>
      <c r="C753">
        <v>24</v>
      </c>
      <c r="D753">
        <v>8.75</v>
      </c>
      <c r="E753">
        <v>0</v>
      </c>
      <c r="F753">
        <v>2.75</v>
      </c>
    </row>
    <row r="754" spans="2:6">
      <c r="B754" t="s">
        <v>2097</v>
      </c>
      <c r="C754">
        <v>16</v>
      </c>
      <c r="D754">
        <v>10.25</v>
      </c>
      <c r="E754">
        <v>0</v>
      </c>
      <c r="F754">
        <v>4.25</v>
      </c>
    </row>
    <row r="755" spans="2:6">
      <c r="B755" t="s">
        <v>2098</v>
      </c>
      <c r="C755">
        <v>16</v>
      </c>
      <c r="D755">
        <v>12</v>
      </c>
      <c r="E755">
        <v>0</v>
      </c>
      <c r="F755">
        <v>6</v>
      </c>
    </row>
    <row r="756" spans="2:6">
      <c r="B756" t="s">
        <v>2099</v>
      </c>
      <c r="C756">
        <v>15.5</v>
      </c>
      <c r="D756">
        <v>9.5</v>
      </c>
      <c r="E756">
        <v>0</v>
      </c>
      <c r="F756">
        <v>3.5</v>
      </c>
    </row>
    <row r="757" spans="2:6">
      <c r="B757" t="s">
        <v>2100</v>
      </c>
      <c r="C757">
        <v>16</v>
      </c>
      <c r="D757">
        <v>11.25</v>
      </c>
      <c r="E757">
        <v>0</v>
      </c>
      <c r="F757">
        <v>5.25</v>
      </c>
    </row>
    <row r="758" spans="2:6">
      <c r="B758" t="s">
        <v>2101</v>
      </c>
      <c r="C758">
        <v>24</v>
      </c>
      <c r="D758">
        <v>9</v>
      </c>
      <c r="E758">
        <v>0</v>
      </c>
      <c r="F758">
        <v>3</v>
      </c>
    </row>
    <row r="759" spans="2:6">
      <c r="B759" t="s">
        <v>2107</v>
      </c>
      <c r="C759">
        <v>15</v>
      </c>
      <c r="D759">
        <v>10.5</v>
      </c>
      <c r="E759">
        <v>0</v>
      </c>
      <c r="F759">
        <v>4.5</v>
      </c>
    </row>
    <row r="760" spans="2:6">
      <c r="B760" t="s">
        <v>2108</v>
      </c>
      <c r="C760">
        <v>15</v>
      </c>
      <c r="D760">
        <v>12</v>
      </c>
      <c r="E760">
        <v>0</v>
      </c>
      <c r="F760">
        <v>6</v>
      </c>
    </row>
    <row r="761" spans="2:6">
      <c r="B761" t="s">
        <v>2109</v>
      </c>
      <c r="C761">
        <v>15</v>
      </c>
      <c r="D761">
        <v>9.5</v>
      </c>
      <c r="E761">
        <v>0</v>
      </c>
      <c r="F761">
        <v>3.5</v>
      </c>
    </row>
    <row r="762" spans="2:6">
      <c r="B762" t="s">
        <v>2110</v>
      </c>
      <c r="C762">
        <v>14.5</v>
      </c>
      <c r="D762">
        <v>11.5</v>
      </c>
      <c r="E762">
        <v>0</v>
      </c>
      <c r="F762">
        <v>5.5</v>
      </c>
    </row>
    <row r="763" spans="2:6">
      <c r="B763" t="s">
        <v>2111</v>
      </c>
      <c r="C763">
        <v>24</v>
      </c>
      <c r="D763">
        <v>9.25</v>
      </c>
      <c r="E763">
        <v>0</v>
      </c>
      <c r="F763">
        <v>3.25</v>
      </c>
    </row>
    <row r="764" spans="2:6">
      <c r="B764" t="s">
        <v>2092</v>
      </c>
      <c r="C764">
        <v>0</v>
      </c>
      <c r="D764">
        <v>0</v>
      </c>
      <c r="E764">
        <v>0</v>
      </c>
      <c r="F764">
        <v>0</v>
      </c>
    </row>
    <row r="765" spans="2:6">
      <c r="B765" t="s">
        <v>2093</v>
      </c>
      <c r="C765">
        <v>0</v>
      </c>
      <c r="D765">
        <v>0</v>
      </c>
      <c r="E765">
        <v>0</v>
      </c>
      <c r="F765">
        <v>0</v>
      </c>
    </row>
    <row r="766" spans="2:6">
      <c r="B766" t="s">
        <v>2094</v>
      </c>
      <c r="C766">
        <v>0</v>
      </c>
      <c r="D766">
        <v>0</v>
      </c>
      <c r="E766">
        <v>0</v>
      </c>
      <c r="F766">
        <v>0</v>
      </c>
    </row>
    <row r="767" spans="2:6">
      <c r="B767" t="s">
        <v>2095</v>
      </c>
      <c r="C767">
        <v>0</v>
      </c>
      <c r="D767">
        <v>0</v>
      </c>
      <c r="E767">
        <v>0</v>
      </c>
      <c r="F767">
        <v>0</v>
      </c>
    </row>
    <row r="768" spans="2:6">
      <c r="B768" t="s">
        <v>2096</v>
      </c>
      <c r="C768">
        <v>0</v>
      </c>
      <c r="D768">
        <v>0</v>
      </c>
      <c r="E768">
        <v>0</v>
      </c>
      <c r="F768">
        <v>0</v>
      </c>
    </row>
    <row r="769" spans="2:6">
      <c r="B769" t="s">
        <v>2102</v>
      </c>
      <c r="C769">
        <v>0</v>
      </c>
      <c r="D769">
        <v>0</v>
      </c>
      <c r="E769">
        <v>0</v>
      </c>
      <c r="F769">
        <v>0</v>
      </c>
    </row>
    <row r="770" spans="2:6">
      <c r="B770" t="s">
        <v>2103</v>
      </c>
      <c r="C770">
        <v>0</v>
      </c>
      <c r="D770">
        <v>0</v>
      </c>
      <c r="E770">
        <v>0</v>
      </c>
      <c r="F770">
        <v>0</v>
      </c>
    </row>
    <row r="771" spans="2:6">
      <c r="B771" t="s">
        <v>2104</v>
      </c>
      <c r="C771">
        <v>0</v>
      </c>
      <c r="D771">
        <v>0</v>
      </c>
      <c r="E771">
        <v>0</v>
      </c>
      <c r="F771">
        <v>0</v>
      </c>
    </row>
    <row r="772" spans="2:6">
      <c r="B772" t="s">
        <v>2105</v>
      </c>
      <c r="C772">
        <v>0</v>
      </c>
      <c r="D772">
        <v>0</v>
      </c>
      <c r="E772">
        <v>0</v>
      </c>
      <c r="F772">
        <v>0</v>
      </c>
    </row>
    <row r="773" spans="2:6">
      <c r="B773" t="s">
        <v>2106</v>
      </c>
      <c r="C773">
        <v>0</v>
      </c>
      <c r="D773">
        <v>0</v>
      </c>
      <c r="E773">
        <v>0</v>
      </c>
      <c r="F773">
        <v>0</v>
      </c>
    </row>
    <row r="774" spans="2:6">
      <c r="B774" t="s">
        <v>2112</v>
      </c>
      <c r="C774">
        <v>0</v>
      </c>
      <c r="D774">
        <v>0</v>
      </c>
      <c r="E774">
        <v>0</v>
      </c>
      <c r="F774">
        <v>0</v>
      </c>
    </row>
    <row r="775" spans="2:6">
      <c r="B775" t="s">
        <v>2113</v>
      </c>
      <c r="C775">
        <v>0</v>
      </c>
      <c r="D775">
        <v>0</v>
      </c>
      <c r="E775">
        <v>0</v>
      </c>
      <c r="F775">
        <v>0</v>
      </c>
    </row>
    <row r="776" spans="2:6">
      <c r="B776" t="s">
        <v>2114</v>
      </c>
      <c r="C776">
        <v>0</v>
      </c>
      <c r="D776">
        <v>0</v>
      </c>
      <c r="E776">
        <v>0</v>
      </c>
      <c r="F776">
        <v>0</v>
      </c>
    </row>
    <row r="777" spans="2:6">
      <c r="B777" t="s">
        <v>2115</v>
      </c>
      <c r="C777">
        <v>0</v>
      </c>
      <c r="D777">
        <v>0</v>
      </c>
      <c r="E777">
        <v>0</v>
      </c>
      <c r="F777">
        <v>0</v>
      </c>
    </row>
    <row r="778" spans="2:6">
      <c r="B778" t="s">
        <v>2116</v>
      </c>
      <c r="C778">
        <v>0</v>
      </c>
      <c r="D778">
        <v>0</v>
      </c>
      <c r="E778">
        <v>0</v>
      </c>
      <c r="F778">
        <v>0</v>
      </c>
    </row>
    <row r="779" spans="2:6">
      <c r="B779" t="s">
        <v>2932</v>
      </c>
      <c r="C779">
        <v>0</v>
      </c>
      <c r="D779">
        <v>0</v>
      </c>
      <c r="E779">
        <v>0</v>
      </c>
      <c r="F779">
        <v>0</v>
      </c>
    </row>
    <row r="780" spans="2:6">
      <c r="B780" t="s">
        <v>2933</v>
      </c>
      <c r="C780">
        <v>0</v>
      </c>
      <c r="D780">
        <v>0</v>
      </c>
      <c r="E780">
        <v>0</v>
      </c>
      <c r="F780">
        <v>0</v>
      </c>
    </row>
    <row r="781" spans="2:6">
      <c r="B781" t="s">
        <v>2934</v>
      </c>
      <c r="C781">
        <v>0</v>
      </c>
      <c r="D781">
        <v>0</v>
      </c>
      <c r="E781">
        <v>0</v>
      </c>
      <c r="F781">
        <v>0</v>
      </c>
    </row>
    <row r="782" spans="2:6">
      <c r="B782" t="s">
        <v>2935</v>
      </c>
      <c r="C782">
        <v>0</v>
      </c>
      <c r="D782">
        <v>0</v>
      </c>
      <c r="E782">
        <v>0</v>
      </c>
      <c r="F782">
        <v>0</v>
      </c>
    </row>
    <row r="783" spans="2:6">
      <c r="B783" t="s">
        <v>2936</v>
      </c>
      <c r="C783">
        <v>0</v>
      </c>
      <c r="D783">
        <v>0</v>
      </c>
      <c r="E783">
        <v>0</v>
      </c>
      <c r="F783">
        <v>0</v>
      </c>
    </row>
    <row r="784" spans="2:6">
      <c r="B784" t="s">
        <v>2937</v>
      </c>
      <c r="C784">
        <v>0</v>
      </c>
      <c r="D784">
        <v>0</v>
      </c>
      <c r="E784">
        <v>0</v>
      </c>
      <c r="F784">
        <v>0</v>
      </c>
    </row>
    <row r="785" spans="1:6">
      <c r="B785" t="s">
        <v>2938</v>
      </c>
      <c r="C785">
        <v>0</v>
      </c>
      <c r="D785">
        <v>0</v>
      </c>
      <c r="E785">
        <v>0</v>
      </c>
      <c r="F785">
        <v>0</v>
      </c>
    </row>
    <row r="786" spans="1:6">
      <c r="B786" t="s">
        <v>2939</v>
      </c>
      <c r="C786">
        <v>0</v>
      </c>
      <c r="D786">
        <v>0</v>
      </c>
      <c r="E786">
        <v>0</v>
      </c>
      <c r="F786">
        <v>0</v>
      </c>
    </row>
    <row r="787" spans="1:6">
      <c r="B787" t="s">
        <v>2940</v>
      </c>
      <c r="C787">
        <v>0</v>
      </c>
      <c r="D787">
        <v>0</v>
      </c>
      <c r="E787">
        <v>0</v>
      </c>
      <c r="F787">
        <v>0</v>
      </c>
    </row>
    <row r="788" spans="1:6">
      <c r="B788" t="s">
        <v>2941</v>
      </c>
      <c r="C788">
        <v>0</v>
      </c>
      <c r="D788">
        <v>0</v>
      </c>
      <c r="E788">
        <v>0</v>
      </c>
      <c r="F788">
        <v>0</v>
      </c>
    </row>
    <row r="789" spans="1:6">
      <c r="B789" t="s">
        <v>2942</v>
      </c>
      <c r="C789">
        <v>0</v>
      </c>
      <c r="D789">
        <v>0</v>
      </c>
      <c r="E789">
        <v>0</v>
      </c>
      <c r="F789">
        <v>0</v>
      </c>
    </row>
    <row r="790" spans="1:6">
      <c r="B790" t="s">
        <v>2943</v>
      </c>
      <c r="C790">
        <v>0</v>
      </c>
      <c r="D790">
        <v>0</v>
      </c>
      <c r="E790">
        <v>0</v>
      </c>
      <c r="F790">
        <v>0</v>
      </c>
    </row>
    <row r="791" spans="1:6">
      <c r="B791" t="s">
        <v>2944</v>
      </c>
      <c r="C791">
        <v>0</v>
      </c>
      <c r="D791">
        <v>0</v>
      </c>
      <c r="E791">
        <v>0</v>
      </c>
      <c r="F791">
        <v>0</v>
      </c>
    </row>
    <row r="792" spans="1:6">
      <c r="B792" t="s">
        <v>2945</v>
      </c>
      <c r="C792">
        <v>0</v>
      </c>
      <c r="D792">
        <v>0</v>
      </c>
      <c r="E792">
        <v>0</v>
      </c>
      <c r="F792">
        <v>0</v>
      </c>
    </row>
    <row r="793" spans="1:6">
      <c r="B793" t="s">
        <v>2946</v>
      </c>
      <c r="C793">
        <v>0</v>
      </c>
      <c r="D793">
        <v>0</v>
      </c>
      <c r="E793">
        <v>0</v>
      </c>
      <c r="F793">
        <v>0</v>
      </c>
    </row>
    <row r="794" spans="1:6">
      <c r="B794" t="s">
        <v>2366</v>
      </c>
      <c r="C794">
        <v>24</v>
      </c>
      <c r="D794">
        <v>16.25</v>
      </c>
      <c r="E794">
        <v>0</v>
      </c>
      <c r="F794">
        <v>10.25</v>
      </c>
    </row>
    <row r="795" spans="1:6">
      <c r="A795" t="s">
        <v>2622</v>
      </c>
    </row>
    <row r="798" spans="1:6">
      <c r="A798" t="s">
        <v>1915</v>
      </c>
    </row>
    <row r="799" spans="1:6">
      <c r="A799" t="s">
        <v>1916</v>
      </c>
      <c r="B799" t="s">
        <v>2372</v>
      </c>
    </row>
    <row r="800" spans="1:6">
      <c r="A800" t="s">
        <v>1918</v>
      </c>
      <c r="B800" t="s">
        <v>1919</v>
      </c>
    </row>
    <row r="801" spans="1:8">
      <c r="A801" t="s">
        <v>2373</v>
      </c>
    </row>
    <row r="803" spans="1:8">
      <c r="C803" t="s">
        <v>2374</v>
      </c>
      <c r="D803" t="s">
        <v>2375</v>
      </c>
      <c r="E803" t="s">
        <v>2376</v>
      </c>
      <c r="F803" t="s">
        <v>2377</v>
      </c>
      <c r="G803" t="s">
        <v>2378</v>
      </c>
      <c r="H803" t="s">
        <v>2379</v>
      </c>
    </row>
    <row r="804" spans="1:8">
      <c r="B804" t="s">
        <v>2087</v>
      </c>
      <c r="C804">
        <v>21.14</v>
      </c>
      <c r="D804">
        <v>23.72</v>
      </c>
      <c r="E804">
        <v>605.04</v>
      </c>
      <c r="F804">
        <v>0.83399999999999996</v>
      </c>
      <c r="G804">
        <v>6.2E-2</v>
      </c>
      <c r="H804">
        <v>0</v>
      </c>
    </row>
    <row r="805" spans="1:8">
      <c r="B805" t="s">
        <v>2088</v>
      </c>
      <c r="C805">
        <v>13.42</v>
      </c>
      <c r="D805">
        <v>15.06</v>
      </c>
      <c r="E805">
        <v>384.24</v>
      </c>
      <c r="F805">
        <v>1.0189999999999999</v>
      </c>
      <c r="G805">
        <v>6.6000000000000003E-2</v>
      </c>
      <c r="H805">
        <v>0</v>
      </c>
    </row>
    <row r="806" spans="1:8">
      <c r="B806" t="s">
        <v>2089</v>
      </c>
      <c r="C806">
        <v>21.14</v>
      </c>
      <c r="D806">
        <v>23.72</v>
      </c>
      <c r="E806">
        <v>605.04</v>
      </c>
      <c r="F806">
        <v>0.68100000000000005</v>
      </c>
      <c r="G806">
        <v>6.2E-2</v>
      </c>
      <c r="H806">
        <v>0</v>
      </c>
    </row>
    <row r="807" spans="1:8">
      <c r="B807" t="s">
        <v>2090</v>
      </c>
      <c r="C807">
        <v>13.42</v>
      </c>
      <c r="D807">
        <v>15.06</v>
      </c>
      <c r="E807">
        <v>384.24</v>
      </c>
      <c r="F807">
        <v>0.95399999999999996</v>
      </c>
      <c r="G807">
        <v>6.6000000000000003E-2</v>
      </c>
      <c r="H807">
        <v>0</v>
      </c>
    </row>
    <row r="808" spans="1:8">
      <c r="B808" t="s">
        <v>2091</v>
      </c>
      <c r="C808">
        <v>109.01</v>
      </c>
      <c r="D808">
        <v>122.31</v>
      </c>
      <c r="E808">
        <v>3120.32</v>
      </c>
      <c r="F808">
        <v>0.48299999999999998</v>
      </c>
      <c r="G808">
        <v>0</v>
      </c>
      <c r="H808">
        <v>0</v>
      </c>
    </row>
    <row r="809" spans="1:8">
      <c r="B809" t="s">
        <v>2097</v>
      </c>
      <c r="C809">
        <v>21.14</v>
      </c>
      <c r="D809">
        <v>23.72</v>
      </c>
      <c r="E809">
        <v>605.04</v>
      </c>
      <c r="F809">
        <v>1.2649999999999999</v>
      </c>
      <c r="G809">
        <v>8.1000000000000003E-2</v>
      </c>
      <c r="H809">
        <v>0</v>
      </c>
    </row>
    <row r="810" spans="1:8">
      <c r="B810" t="s">
        <v>2098</v>
      </c>
      <c r="C810">
        <v>13.42</v>
      </c>
      <c r="D810">
        <v>15.06</v>
      </c>
      <c r="E810">
        <v>384.24</v>
      </c>
      <c r="F810">
        <v>1.5169999999999999</v>
      </c>
      <c r="G810">
        <v>8.5000000000000006E-2</v>
      </c>
      <c r="H810">
        <v>0</v>
      </c>
    </row>
    <row r="811" spans="1:8">
      <c r="B811" t="s">
        <v>2099</v>
      </c>
      <c r="C811">
        <v>21.14</v>
      </c>
      <c r="D811">
        <v>23.72</v>
      </c>
      <c r="E811">
        <v>605.04</v>
      </c>
      <c r="F811">
        <v>1.2290000000000001</v>
      </c>
      <c r="G811">
        <v>8.1000000000000003E-2</v>
      </c>
      <c r="H811">
        <v>0</v>
      </c>
    </row>
    <row r="812" spans="1:8">
      <c r="B812" t="s">
        <v>2100</v>
      </c>
      <c r="C812">
        <v>13.42</v>
      </c>
      <c r="D812">
        <v>15.06</v>
      </c>
      <c r="E812">
        <v>384.24</v>
      </c>
      <c r="F812">
        <v>1.4570000000000001</v>
      </c>
      <c r="G812">
        <v>8.5000000000000006E-2</v>
      </c>
      <c r="H812">
        <v>0</v>
      </c>
    </row>
    <row r="813" spans="1:8">
      <c r="B813" t="s">
        <v>2101</v>
      </c>
      <c r="C813">
        <v>109.01</v>
      </c>
      <c r="D813">
        <v>122.31</v>
      </c>
      <c r="E813">
        <v>3120.32</v>
      </c>
      <c r="F813">
        <v>0.59699999999999998</v>
      </c>
      <c r="G813">
        <v>0</v>
      </c>
      <c r="H813">
        <v>0</v>
      </c>
    </row>
    <row r="814" spans="1:8">
      <c r="B814" t="s">
        <v>2107</v>
      </c>
      <c r="C814">
        <v>21.14</v>
      </c>
      <c r="D814">
        <v>23.72</v>
      </c>
      <c r="E814">
        <v>604.84</v>
      </c>
      <c r="F814">
        <v>1.333</v>
      </c>
      <c r="G814">
        <v>9.0999999999999998E-2</v>
      </c>
      <c r="H814">
        <v>0</v>
      </c>
    </row>
    <row r="815" spans="1:8">
      <c r="B815" t="s">
        <v>2108</v>
      </c>
      <c r="C815">
        <v>13.42</v>
      </c>
      <c r="D815">
        <v>15.06</v>
      </c>
      <c r="E815">
        <v>384.11</v>
      </c>
      <c r="F815">
        <v>1.61</v>
      </c>
      <c r="G815">
        <v>9.5000000000000001E-2</v>
      </c>
      <c r="H815">
        <v>0</v>
      </c>
    </row>
    <row r="816" spans="1:8">
      <c r="B816" t="s">
        <v>2109</v>
      </c>
      <c r="C816">
        <v>21.14</v>
      </c>
      <c r="D816">
        <v>23.72</v>
      </c>
      <c r="E816">
        <v>604.84</v>
      </c>
      <c r="F816">
        <v>1.3420000000000001</v>
      </c>
      <c r="G816">
        <v>9.0999999999999998E-2</v>
      </c>
      <c r="H816">
        <v>0</v>
      </c>
    </row>
    <row r="817" spans="1:8">
      <c r="B817" t="s">
        <v>2110</v>
      </c>
      <c r="C817">
        <v>13.42</v>
      </c>
      <c r="D817">
        <v>15.06</v>
      </c>
      <c r="E817">
        <v>384.11</v>
      </c>
      <c r="F817">
        <v>1.5649999999999999</v>
      </c>
      <c r="G817">
        <v>9.5000000000000001E-2</v>
      </c>
      <c r="H817">
        <v>0</v>
      </c>
    </row>
    <row r="818" spans="1:8">
      <c r="B818" t="s">
        <v>2111</v>
      </c>
      <c r="C818">
        <v>109.01</v>
      </c>
      <c r="D818">
        <v>122.31</v>
      </c>
      <c r="E818">
        <v>3119.29</v>
      </c>
      <c r="F818">
        <v>0.65600000000000003</v>
      </c>
      <c r="G818">
        <v>0</v>
      </c>
      <c r="H818">
        <v>0</v>
      </c>
    </row>
    <row r="821" spans="1:8">
      <c r="A821" t="s">
        <v>2380</v>
      </c>
    </row>
    <row r="823" spans="1:8">
      <c r="C823" t="s">
        <v>2374</v>
      </c>
      <c r="D823" t="s">
        <v>2375</v>
      </c>
      <c r="E823" t="s">
        <v>2376</v>
      </c>
      <c r="F823" t="s">
        <v>2377</v>
      </c>
      <c r="G823" t="s">
        <v>2378</v>
      </c>
      <c r="H823" t="s">
        <v>2379</v>
      </c>
    </row>
    <row r="824" spans="1:8">
      <c r="B824" t="s">
        <v>2087</v>
      </c>
      <c r="C824">
        <v>21.14</v>
      </c>
      <c r="D824">
        <v>23.72</v>
      </c>
      <c r="E824">
        <v>605.04</v>
      </c>
      <c r="F824">
        <v>0</v>
      </c>
      <c r="G824">
        <v>3.0000000000000001E-3</v>
      </c>
      <c r="H824">
        <v>0</v>
      </c>
    </row>
    <row r="825" spans="1:8">
      <c r="B825" t="s">
        <v>2088</v>
      </c>
      <c r="C825">
        <v>13.42</v>
      </c>
      <c r="D825">
        <v>15.06</v>
      </c>
      <c r="E825">
        <v>384.24</v>
      </c>
      <c r="F825">
        <v>0</v>
      </c>
      <c r="G825">
        <v>3.0000000000000001E-3</v>
      </c>
      <c r="H825">
        <v>0</v>
      </c>
    </row>
    <row r="826" spans="1:8">
      <c r="B826" t="s">
        <v>2089</v>
      </c>
      <c r="C826">
        <v>21.14</v>
      </c>
      <c r="D826">
        <v>23.72</v>
      </c>
      <c r="E826">
        <v>605.04</v>
      </c>
      <c r="F826">
        <v>0</v>
      </c>
      <c r="G826">
        <v>3.0000000000000001E-3</v>
      </c>
      <c r="H826">
        <v>0</v>
      </c>
    </row>
    <row r="827" spans="1:8">
      <c r="B827" t="s">
        <v>2090</v>
      </c>
      <c r="C827">
        <v>13.42</v>
      </c>
      <c r="D827">
        <v>15.06</v>
      </c>
      <c r="E827">
        <v>384.24</v>
      </c>
      <c r="F827">
        <v>0</v>
      </c>
      <c r="G827">
        <v>3.0000000000000001E-3</v>
      </c>
      <c r="H827">
        <v>0</v>
      </c>
    </row>
    <row r="828" spans="1:8">
      <c r="B828" t="s">
        <v>2091</v>
      </c>
      <c r="C828">
        <v>109.01</v>
      </c>
      <c r="D828">
        <v>122.31</v>
      </c>
      <c r="E828">
        <v>3120.32</v>
      </c>
      <c r="F828">
        <v>0</v>
      </c>
      <c r="G828">
        <v>0</v>
      </c>
      <c r="H828">
        <v>0</v>
      </c>
    </row>
    <row r="829" spans="1:8">
      <c r="B829" t="s">
        <v>2097</v>
      </c>
      <c r="C829">
        <v>21.14</v>
      </c>
      <c r="D829">
        <v>23.72</v>
      </c>
      <c r="E829">
        <v>605.04</v>
      </c>
      <c r="F829">
        <v>0</v>
      </c>
      <c r="G829">
        <v>4.0000000000000001E-3</v>
      </c>
      <c r="H829">
        <v>0</v>
      </c>
    </row>
    <row r="830" spans="1:8">
      <c r="B830" t="s">
        <v>2098</v>
      </c>
      <c r="C830">
        <v>13.42</v>
      </c>
      <c r="D830">
        <v>15.06</v>
      </c>
      <c r="E830">
        <v>384.24</v>
      </c>
      <c r="F830">
        <v>0</v>
      </c>
      <c r="G830">
        <v>4.0000000000000001E-3</v>
      </c>
      <c r="H830">
        <v>0</v>
      </c>
    </row>
    <row r="831" spans="1:8">
      <c r="B831" t="s">
        <v>2099</v>
      </c>
      <c r="C831">
        <v>21.14</v>
      </c>
      <c r="D831">
        <v>23.72</v>
      </c>
      <c r="E831">
        <v>605.04</v>
      </c>
      <c r="F831">
        <v>0</v>
      </c>
      <c r="G831">
        <v>4.0000000000000001E-3</v>
      </c>
      <c r="H831">
        <v>0</v>
      </c>
    </row>
    <row r="832" spans="1:8">
      <c r="B832" t="s">
        <v>2100</v>
      </c>
      <c r="C832">
        <v>13.42</v>
      </c>
      <c r="D832">
        <v>15.06</v>
      </c>
      <c r="E832">
        <v>384.24</v>
      </c>
      <c r="F832">
        <v>0</v>
      </c>
      <c r="G832">
        <v>4.0000000000000001E-3</v>
      </c>
      <c r="H832">
        <v>0</v>
      </c>
    </row>
    <row r="833" spans="1:8">
      <c r="B833" t="s">
        <v>2101</v>
      </c>
      <c r="C833">
        <v>109.01</v>
      </c>
      <c r="D833">
        <v>122.31</v>
      </c>
      <c r="E833">
        <v>3120.32</v>
      </c>
      <c r="F833">
        <v>0</v>
      </c>
      <c r="G833">
        <v>0</v>
      </c>
      <c r="H833">
        <v>0</v>
      </c>
    </row>
    <row r="834" spans="1:8">
      <c r="B834" t="s">
        <v>2107</v>
      </c>
      <c r="C834">
        <v>21.14</v>
      </c>
      <c r="D834">
        <v>23.72</v>
      </c>
      <c r="E834">
        <v>604.84</v>
      </c>
      <c r="F834">
        <v>0</v>
      </c>
      <c r="G834">
        <v>5.0000000000000001E-3</v>
      </c>
      <c r="H834">
        <v>0</v>
      </c>
    </row>
    <row r="835" spans="1:8">
      <c r="B835" t="s">
        <v>2108</v>
      </c>
      <c r="C835">
        <v>13.42</v>
      </c>
      <c r="D835">
        <v>15.06</v>
      </c>
      <c r="E835">
        <v>384.11</v>
      </c>
      <c r="F835">
        <v>0</v>
      </c>
      <c r="G835">
        <v>5.0000000000000001E-3</v>
      </c>
      <c r="H835">
        <v>0</v>
      </c>
    </row>
    <row r="836" spans="1:8">
      <c r="B836" t="s">
        <v>2109</v>
      </c>
      <c r="C836">
        <v>21.14</v>
      </c>
      <c r="D836">
        <v>23.72</v>
      </c>
      <c r="E836">
        <v>604.84</v>
      </c>
      <c r="F836">
        <v>0</v>
      </c>
      <c r="G836">
        <v>5.0000000000000001E-3</v>
      </c>
      <c r="H836">
        <v>0</v>
      </c>
    </row>
    <row r="837" spans="1:8">
      <c r="B837" t="s">
        <v>2110</v>
      </c>
      <c r="C837">
        <v>13.42</v>
      </c>
      <c r="D837">
        <v>15.06</v>
      </c>
      <c r="E837">
        <v>384.11</v>
      </c>
      <c r="F837">
        <v>0</v>
      </c>
      <c r="G837">
        <v>5.0000000000000001E-3</v>
      </c>
      <c r="H837">
        <v>0</v>
      </c>
    </row>
    <row r="838" spans="1:8">
      <c r="B838" t="s">
        <v>2111</v>
      </c>
      <c r="C838">
        <v>109.01</v>
      </c>
      <c r="D838">
        <v>122.31</v>
      </c>
      <c r="E838">
        <v>3119.29</v>
      </c>
      <c r="F838">
        <v>0</v>
      </c>
      <c r="G838">
        <v>0</v>
      </c>
      <c r="H838">
        <v>0</v>
      </c>
    </row>
    <row r="841" spans="1:8">
      <c r="A841" t="s">
        <v>1915</v>
      </c>
    </row>
    <row r="842" spans="1:8">
      <c r="A842" t="s">
        <v>1916</v>
      </c>
      <c r="B842" t="s">
        <v>2381</v>
      </c>
    </row>
    <row r="843" spans="1:8">
      <c r="A843" t="s">
        <v>1918</v>
      </c>
      <c r="B843" t="s">
        <v>1919</v>
      </c>
    </row>
    <row r="844" spans="1:8">
      <c r="A844" t="s">
        <v>2382</v>
      </c>
    </row>
    <row r="846" spans="1:8">
      <c r="C846" t="s">
        <v>2007</v>
      </c>
      <c r="D846" t="s">
        <v>2383</v>
      </c>
    </row>
    <row r="847" spans="1:8">
      <c r="B847" t="s">
        <v>2384</v>
      </c>
      <c r="C847">
        <v>180</v>
      </c>
      <c r="D847">
        <v>36</v>
      </c>
    </row>
    <row r="848" spans="1:8">
      <c r="B848" t="s">
        <v>357</v>
      </c>
      <c r="C848">
        <v>45</v>
      </c>
      <c r="D848">
        <v>1</v>
      </c>
    </row>
    <row r="849" spans="1:4">
      <c r="B849" t="s">
        <v>516</v>
      </c>
      <c r="C849">
        <v>45</v>
      </c>
      <c r="D849">
        <v>5</v>
      </c>
    </row>
    <row r="850" spans="1:4">
      <c r="B850" t="s">
        <v>604</v>
      </c>
      <c r="C850">
        <v>15</v>
      </c>
      <c r="D850">
        <v>0</v>
      </c>
    </row>
    <row r="851" spans="1:4">
      <c r="B851" t="s">
        <v>2385</v>
      </c>
      <c r="C851">
        <v>0</v>
      </c>
      <c r="D851">
        <v>0</v>
      </c>
    </row>
    <row r="852" spans="1:4">
      <c r="B852" t="s">
        <v>2386</v>
      </c>
      <c r="C852">
        <v>0</v>
      </c>
      <c r="D852">
        <v>0</v>
      </c>
    </row>
    <row r="853" spans="1:4">
      <c r="B853" t="s">
        <v>2387</v>
      </c>
      <c r="C853">
        <v>12</v>
      </c>
      <c r="D853">
        <v>12</v>
      </c>
    </row>
    <row r="854" spans="1:4">
      <c r="B854" t="s">
        <v>2388</v>
      </c>
      <c r="C854">
        <v>0</v>
      </c>
      <c r="D854">
        <v>0</v>
      </c>
    </row>
    <row r="855" spans="1:4">
      <c r="B855" t="s">
        <v>2389</v>
      </c>
      <c r="C855">
        <v>0</v>
      </c>
      <c r="D855">
        <v>0</v>
      </c>
    </row>
    <row r="856" spans="1:4">
      <c r="B856" t="s">
        <v>2390</v>
      </c>
      <c r="C856">
        <v>0</v>
      </c>
      <c r="D856">
        <v>0</v>
      </c>
    </row>
    <row r="857" spans="1:4">
      <c r="B857" t="s">
        <v>2391</v>
      </c>
      <c r="C857">
        <v>0</v>
      </c>
      <c r="D857">
        <v>0</v>
      </c>
    </row>
    <row r="858" spans="1:4">
      <c r="B858" t="s">
        <v>2392</v>
      </c>
      <c r="C858">
        <v>0</v>
      </c>
      <c r="D858">
        <v>0</v>
      </c>
    </row>
    <row r="859" spans="1:4">
      <c r="B859" t="s">
        <v>2393</v>
      </c>
      <c r="C859">
        <v>0</v>
      </c>
      <c r="D859">
        <v>0</v>
      </c>
    </row>
    <row r="860" spans="1:4">
      <c r="B860" t="s">
        <v>2394</v>
      </c>
      <c r="C860">
        <v>0</v>
      </c>
      <c r="D860">
        <v>0</v>
      </c>
    </row>
    <row r="863" spans="1:4">
      <c r="A863" t="s">
        <v>353</v>
      </c>
    </row>
    <row r="865" spans="1:3">
      <c r="C865" t="s">
        <v>2395</v>
      </c>
    </row>
    <row r="866" spans="1:3">
      <c r="B866" t="s">
        <v>2396</v>
      </c>
      <c r="C866">
        <v>1</v>
      </c>
    </row>
    <row r="867" spans="1:3">
      <c r="B867" t="s">
        <v>2397</v>
      </c>
      <c r="C867">
        <v>45</v>
      </c>
    </row>
    <row r="868" spans="1:3">
      <c r="B868" t="s">
        <v>2398</v>
      </c>
      <c r="C868">
        <v>0</v>
      </c>
    </row>
    <row r="869" spans="1:3">
      <c r="B869" t="s">
        <v>2399</v>
      </c>
      <c r="C869">
        <v>15</v>
      </c>
    </row>
    <row r="870" spans="1:3">
      <c r="B870" t="s">
        <v>2400</v>
      </c>
      <c r="C870">
        <v>15</v>
      </c>
    </row>
    <row r="873" spans="1:3">
      <c r="A873" t="s">
        <v>2401</v>
      </c>
    </row>
    <row r="875" spans="1:3">
      <c r="C875" t="s">
        <v>2395</v>
      </c>
    </row>
    <row r="876" spans="1:3">
      <c r="B876" t="s">
        <v>2402</v>
      </c>
      <c r="C876">
        <v>1555</v>
      </c>
    </row>
    <row r="877" spans="1:3">
      <c r="B877" t="s">
        <v>2403</v>
      </c>
      <c r="C877">
        <v>217</v>
      </c>
    </row>
    <row r="878" spans="1:3">
      <c r="B878" t="s">
        <v>2404</v>
      </c>
      <c r="C878">
        <v>4146</v>
      </c>
    </row>
    <row r="879" spans="1:3">
      <c r="B879" t="s">
        <v>2405</v>
      </c>
      <c r="C879">
        <v>110</v>
      </c>
    </row>
    <row r="880" spans="1:3">
      <c r="B880" t="s">
        <v>2406</v>
      </c>
      <c r="C880">
        <v>185</v>
      </c>
    </row>
    <row r="881" spans="1:3">
      <c r="B881" t="s">
        <v>2407</v>
      </c>
      <c r="C881">
        <v>96</v>
      </c>
    </row>
    <row r="882" spans="1:3">
      <c r="B882" t="s">
        <v>2408</v>
      </c>
      <c r="C882">
        <v>708</v>
      </c>
    </row>
    <row r="885" spans="1:3">
      <c r="A885" t="s">
        <v>1915</v>
      </c>
    </row>
    <row r="886" spans="1:3">
      <c r="A886" t="s">
        <v>1916</v>
      </c>
      <c r="B886" t="s">
        <v>2409</v>
      </c>
    </row>
    <row r="887" spans="1:3">
      <c r="A887" t="s">
        <v>1918</v>
      </c>
      <c r="B887" t="s">
        <v>1919</v>
      </c>
    </row>
    <row r="888" spans="1:3">
      <c r="A888" t="s">
        <v>2972</v>
      </c>
    </row>
    <row r="890" spans="1:3">
      <c r="C890" t="s">
        <v>2973</v>
      </c>
    </row>
    <row r="891" spans="1:3">
      <c r="B891" t="s">
        <v>2091</v>
      </c>
      <c r="C891">
        <v>110.67</v>
      </c>
    </row>
    <row r="892" spans="1:3">
      <c r="B892" t="s">
        <v>2101</v>
      </c>
      <c r="C892">
        <v>110.67</v>
      </c>
    </row>
    <row r="893" spans="1:3">
      <c r="B893" t="s">
        <v>2111</v>
      </c>
      <c r="C893">
        <v>110.67</v>
      </c>
    </row>
    <row r="896" spans="1:3">
      <c r="A896" t="s">
        <v>2974</v>
      </c>
    </row>
    <row r="898" spans="2:6" s="644" customFormat="1" ht="89.25">
      <c r="C898" s="650" t="s">
        <v>2975</v>
      </c>
      <c r="D898" s="650" t="s">
        <v>2410</v>
      </c>
      <c r="E898" s="650" t="s">
        <v>2411</v>
      </c>
      <c r="F898" s="650" t="s">
        <v>2412</v>
      </c>
    </row>
    <row r="899" spans="2:6">
      <c r="B899" t="s">
        <v>2976</v>
      </c>
      <c r="C899" s="5">
        <v>0.22103900000000001</v>
      </c>
      <c r="D899" s="5">
        <v>1.1839999999999999E-3</v>
      </c>
      <c r="E899" s="5">
        <v>1.56</v>
      </c>
      <c r="F899" s="5"/>
    </row>
    <row r="900" spans="2:6">
      <c r="B900" t="s">
        <v>2977</v>
      </c>
      <c r="C900" s="5">
        <v>0.144736</v>
      </c>
      <c r="D900" s="5">
        <v>7.5199999999999996E-4</v>
      </c>
      <c r="E900" s="5">
        <v>0.98829999999999996</v>
      </c>
      <c r="F900" s="5"/>
    </row>
    <row r="901" spans="2:6">
      <c r="B901" t="s">
        <v>2978</v>
      </c>
      <c r="C901" s="5">
        <v>0.21745700000000001</v>
      </c>
      <c r="D901" s="5">
        <v>5.3399999999999997E-4</v>
      </c>
      <c r="E901" s="5">
        <v>0.70254000000000005</v>
      </c>
      <c r="F901" s="5">
        <v>1.41</v>
      </c>
    </row>
    <row r="902" spans="2:6">
      <c r="B902" t="s">
        <v>2979</v>
      </c>
      <c r="C902" s="5">
        <v>0.14613799999999999</v>
      </c>
      <c r="D902" s="5">
        <v>7.5199999999999996E-4</v>
      </c>
      <c r="E902" s="5">
        <v>0.98829999999999996</v>
      </c>
      <c r="F902" s="5"/>
    </row>
    <row r="903" spans="2:6">
      <c r="B903" t="s">
        <v>2980</v>
      </c>
      <c r="C903" s="5">
        <v>0.22673499999999999</v>
      </c>
      <c r="D903" s="5">
        <v>1.1839999999999999E-3</v>
      </c>
      <c r="E903" s="5">
        <v>1.56</v>
      </c>
      <c r="F903" s="5"/>
    </row>
    <row r="904" spans="2:6">
      <c r="B904" t="s">
        <v>2981</v>
      </c>
      <c r="C904" s="5">
        <v>0.14921100000000001</v>
      </c>
      <c r="D904" s="5">
        <v>7.5199999999999996E-4</v>
      </c>
      <c r="E904" s="5">
        <v>0.98829999999999996</v>
      </c>
      <c r="F904" s="5"/>
    </row>
    <row r="905" spans="2:6">
      <c r="B905" t="s">
        <v>2982</v>
      </c>
      <c r="C905" s="5">
        <v>0.222135</v>
      </c>
      <c r="D905" s="5">
        <v>6.4800000000000003E-4</v>
      </c>
      <c r="E905" s="5">
        <v>0.85143400000000002</v>
      </c>
      <c r="F905" s="5">
        <v>1.7</v>
      </c>
    </row>
    <row r="906" spans="2:6">
      <c r="B906" t="s">
        <v>2983</v>
      </c>
      <c r="C906" s="5">
        <v>0.150474</v>
      </c>
      <c r="D906" s="5">
        <v>7.5199999999999996E-4</v>
      </c>
      <c r="E906" s="5">
        <v>0.98829999999999996</v>
      </c>
      <c r="F906" s="5"/>
    </row>
    <row r="907" spans="2:6">
      <c r="B907" t="s">
        <v>2984</v>
      </c>
      <c r="C907" s="5">
        <v>0.29142699999999999</v>
      </c>
      <c r="D907" s="5">
        <v>1.2210000000000001E-3</v>
      </c>
      <c r="E907" s="5">
        <v>1.6</v>
      </c>
      <c r="F907" s="5"/>
    </row>
    <row r="908" spans="2:6">
      <c r="B908" t="s">
        <v>2985</v>
      </c>
      <c r="C908" s="5">
        <v>0.18903700000000001</v>
      </c>
      <c r="D908" s="5">
        <v>7.7499999999999997E-4</v>
      </c>
      <c r="E908" s="5">
        <v>1.02</v>
      </c>
      <c r="F908" s="5"/>
    </row>
    <row r="909" spans="2:6">
      <c r="B909" t="s">
        <v>2986</v>
      </c>
      <c r="C909" s="5">
        <v>0.286161</v>
      </c>
      <c r="D909" s="5">
        <v>7.4799999999999997E-4</v>
      </c>
      <c r="E909" s="5">
        <v>0.98277400000000004</v>
      </c>
      <c r="F909" s="5">
        <v>1.97</v>
      </c>
    </row>
    <row r="910" spans="2:6">
      <c r="B910" t="s">
        <v>2987</v>
      </c>
      <c r="C910" s="5">
        <v>0.19058900000000001</v>
      </c>
      <c r="D910" s="5">
        <v>7.7499999999999997E-4</v>
      </c>
      <c r="E910" s="5">
        <v>1.02</v>
      </c>
      <c r="F910" s="5"/>
    </row>
    <row r="913" spans="1:5">
      <c r="A913" t="s">
        <v>2289</v>
      </c>
    </row>
    <row r="915" spans="1:5">
      <c r="C915" t="s">
        <v>2413</v>
      </c>
      <c r="D915" t="s">
        <v>2414</v>
      </c>
      <c r="E915" t="s">
        <v>2415</v>
      </c>
    </row>
    <row r="916" spans="1:5">
      <c r="B916" t="s">
        <v>2288</v>
      </c>
      <c r="C916">
        <v>1.1839999999999999E-3</v>
      </c>
      <c r="D916">
        <v>54435.47</v>
      </c>
      <c r="E916">
        <v>1489.23</v>
      </c>
    </row>
    <row r="917" spans="1:5">
      <c r="B917" t="s">
        <v>2290</v>
      </c>
      <c r="C917">
        <v>7.5199999999999996E-4</v>
      </c>
      <c r="D917">
        <v>34569.360000000001</v>
      </c>
      <c r="E917">
        <v>945.74</v>
      </c>
    </row>
    <row r="918" spans="1:5">
      <c r="B918" t="s">
        <v>2291</v>
      </c>
      <c r="C918">
        <v>5.3399999999999997E-4</v>
      </c>
      <c r="D918">
        <v>24573.86</v>
      </c>
      <c r="E918">
        <v>672.29</v>
      </c>
    </row>
    <row r="919" spans="1:5">
      <c r="B919" t="s">
        <v>2292</v>
      </c>
      <c r="C919">
        <v>7.5199999999999996E-4</v>
      </c>
      <c r="D919">
        <v>34569.360000000001</v>
      </c>
      <c r="E919">
        <v>945.74</v>
      </c>
    </row>
    <row r="920" spans="1:5">
      <c r="B920" t="s">
        <v>2293</v>
      </c>
      <c r="C920">
        <v>1.758E-3</v>
      </c>
      <c r="D920">
        <v>80847.839999999997</v>
      </c>
      <c r="E920">
        <v>2211.81</v>
      </c>
    </row>
    <row r="921" spans="1:5">
      <c r="B921" t="s">
        <v>2294</v>
      </c>
      <c r="C921">
        <v>1.1839999999999999E-3</v>
      </c>
      <c r="D921">
        <v>54435.47</v>
      </c>
      <c r="E921">
        <v>1489.23</v>
      </c>
    </row>
    <row r="922" spans="1:5">
      <c r="B922" t="s">
        <v>2295</v>
      </c>
      <c r="C922">
        <v>7.5199999999999996E-4</v>
      </c>
      <c r="D922">
        <v>34569.360000000001</v>
      </c>
      <c r="E922">
        <v>945.74</v>
      </c>
    </row>
    <row r="923" spans="1:5">
      <c r="B923" t="s">
        <v>2296</v>
      </c>
      <c r="C923">
        <v>6.4800000000000003E-4</v>
      </c>
      <c r="D923">
        <v>29781.98</v>
      </c>
      <c r="E923">
        <v>814.77</v>
      </c>
    </row>
    <row r="924" spans="1:5">
      <c r="B924" t="s">
        <v>2297</v>
      </c>
      <c r="C924">
        <v>7.5199999999999996E-4</v>
      </c>
      <c r="D924">
        <v>34569.360000000001</v>
      </c>
      <c r="E924">
        <v>945.74</v>
      </c>
    </row>
    <row r="925" spans="1:5">
      <c r="B925" t="s">
        <v>2298</v>
      </c>
      <c r="C925">
        <v>1.758E-3</v>
      </c>
      <c r="D925">
        <v>80847.839999999997</v>
      </c>
      <c r="E925">
        <v>2211.81</v>
      </c>
    </row>
    <row r="926" spans="1:5">
      <c r="B926" t="s">
        <v>2299</v>
      </c>
      <c r="C926">
        <v>1.2210000000000001E-3</v>
      </c>
      <c r="D926">
        <v>56128.43</v>
      </c>
      <c r="E926">
        <v>1535.55</v>
      </c>
    </row>
    <row r="927" spans="1:5">
      <c r="B927" t="s">
        <v>2300</v>
      </c>
      <c r="C927">
        <v>7.7499999999999997E-4</v>
      </c>
      <c r="D927">
        <v>35643.21</v>
      </c>
      <c r="E927">
        <v>975.12</v>
      </c>
    </row>
    <row r="928" spans="1:5">
      <c r="B928" t="s">
        <v>2301</v>
      </c>
      <c r="C928">
        <v>7.4799999999999997E-4</v>
      </c>
      <c r="D928">
        <v>34376.080000000002</v>
      </c>
      <c r="E928">
        <v>940.45</v>
      </c>
    </row>
    <row r="929" spans="1:5">
      <c r="B929" t="s">
        <v>2302</v>
      </c>
      <c r="C929">
        <v>7.7499999999999997E-4</v>
      </c>
      <c r="D929">
        <v>35643.21</v>
      </c>
      <c r="E929">
        <v>975.12</v>
      </c>
    </row>
    <row r="930" spans="1:5">
      <c r="B930" t="s">
        <v>2303</v>
      </c>
      <c r="C930">
        <v>1.758E-3</v>
      </c>
      <c r="D930">
        <v>80847.839999999997</v>
      </c>
      <c r="E930">
        <v>2211.81</v>
      </c>
    </row>
    <row r="931" spans="1:5">
      <c r="B931" t="s">
        <v>2304</v>
      </c>
      <c r="C931">
        <v>2.875E-3</v>
      </c>
      <c r="D931">
        <v>132191.48000000001</v>
      </c>
      <c r="E931">
        <v>2313.69</v>
      </c>
    </row>
    <row r="933" spans="1:5">
      <c r="B933" s="581"/>
    </row>
    <row r="934" spans="1:5">
      <c r="A934" t="s">
        <v>2311</v>
      </c>
    </row>
    <row r="936" spans="1:5">
      <c r="C936" t="s">
        <v>2416</v>
      </c>
    </row>
    <row r="937" spans="1:5">
      <c r="B937" t="s">
        <v>2962</v>
      </c>
      <c r="C937">
        <v>1.41</v>
      </c>
    </row>
    <row r="938" spans="1:5">
      <c r="B938" t="s">
        <v>2966</v>
      </c>
      <c r="C938">
        <v>1.7</v>
      </c>
    </row>
    <row r="939" spans="1:5">
      <c r="B939" t="s">
        <v>2970</v>
      </c>
      <c r="C939">
        <v>1.97</v>
      </c>
    </row>
    <row r="942" spans="1:5">
      <c r="A942" t="s">
        <v>2417</v>
      </c>
    </row>
    <row r="944" spans="1:5">
      <c r="C944" t="s">
        <v>2410</v>
      </c>
      <c r="D944" t="s">
        <v>2411</v>
      </c>
    </row>
    <row r="945" spans="1:4">
      <c r="B945" t="s">
        <v>2418</v>
      </c>
      <c r="C945">
        <v>1.758E-3</v>
      </c>
      <c r="D945">
        <v>2.31</v>
      </c>
    </row>
    <row r="946" spans="1:4">
      <c r="B946" t="s">
        <v>2419</v>
      </c>
      <c r="C946">
        <v>1.758E-3</v>
      </c>
      <c r="D946">
        <v>2.31</v>
      </c>
    </row>
    <row r="947" spans="1:4">
      <c r="B947" t="s">
        <v>2420</v>
      </c>
      <c r="C947">
        <v>1.758E-3</v>
      </c>
      <c r="D947">
        <v>2.31</v>
      </c>
    </row>
    <row r="950" spans="1:4">
      <c r="A950" t="s">
        <v>2421</v>
      </c>
    </row>
    <row r="952" spans="1:4">
      <c r="C952" t="s">
        <v>2416</v>
      </c>
    </row>
    <row r="953" spans="1:4">
      <c r="B953" t="s">
        <v>2422</v>
      </c>
      <c r="C953">
        <v>27.13</v>
      </c>
    </row>
    <row r="956" spans="1:4">
      <c r="A956" t="s">
        <v>2423</v>
      </c>
    </row>
    <row r="958" spans="1:4">
      <c r="C958" t="s">
        <v>2424</v>
      </c>
    </row>
    <row r="959" spans="1:4">
      <c r="B959" t="s">
        <v>2344</v>
      </c>
      <c r="C959">
        <v>27.13</v>
      </c>
    </row>
    <row r="962" spans="1:5">
      <c r="A962" t="s">
        <v>2425</v>
      </c>
    </row>
    <row r="964" spans="1:5">
      <c r="C964" t="s">
        <v>2426</v>
      </c>
    </row>
    <row r="965" spans="1:5">
      <c r="B965" t="s">
        <v>2354</v>
      </c>
      <c r="C965">
        <v>27.13</v>
      </c>
    </row>
    <row r="968" spans="1:5">
      <c r="A968" t="s">
        <v>2277</v>
      </c>
    </row>
    <row r="970" spans="1:5">
      <c r="C970" t="s">
        <v>2427</v>
      </c>
      <c r="D970" t="s">
        <v>2428</v>
      </c>
      <c r="E970" t="s">
        <v>2429</v>
      </c>
    </row>
    <row r="971" spans="1:5">
      <c r="B971" t="s">
        <v>2276</v>
      </c>
      <c r="C971">
        <v>1.5747000000000001E-2</v>
      </c>
      <c r="D971">
        <v>27.13</v>
      </c>
      <c r="E971">
        <v>7.22</v>
      </c>
    </row>
    <row r="974" spans="1:5">
      <c r="A974" t="s">
        <v>2430</v>
      </c>
    </row>
    <row r="976" spans="1:5">
      <c r="C976" t="s">
        <v>2431</v>
      </c>
      <c r="D976" t="s">
        <v>2432</v>
      </c>
    </row>
    <row r="977" spans="1:4">
      <c r="B977" t="s">
        <v>2433</v>
      </c>
      <c r="C977">
        <v>1.5747000000000001E-2</v>
      </c>
      <c r="D977">
        <v>3.0000000000000001E-5</v>
      </c>
    </row>
    <row r="978" spans="1:4">
      <c r="B978" t="s">
        <v>2434</v>
      </c>
      <c r="C978">
        <v>2.875E-3</v>
      </c>
      <c r="D978">
        <v>1.66E-4</v>
      </c>
    </row>
    <row r="981" spans="1:4">
      <c r="A981" t="s">
        <v>2435</v>
      </c>
    </row>
    <row r="983" spans="1:4">
      <c r="C983" t="s">
        <v>2436</v>
      </c>
      <c r="D983" t="s">
        <v>2437</v>
      </c>
    </row>
    <row r="984" spans="1:4">
      <c r="B984" t="s">
        <v>2438</v>
      </c>
      <c r="C984">
        <v>1.8225999999999999E-2</v>
      </c>
      <c r="D984">
        <v>20.5</v>
      </c>
    </row>
    <row r="985" spans="1:4">
      <c r="B985" t="s">
        <v>2439</v>
      </c>
      <c r="C985">
        <v>1.5747000000000001E-2</v>
      </c>
      <c r="D985">
        <v>17.72</v>
      </c>
    </row>
    <row r="988" spans="1:4">
      <c r="A988" t="s">
        <v>2265</v>
      </c>
    </row>
    <row r="990" spans="1:4">
      <c r="C990" t="s">
        <v>2427</v>
      </c>
    </row>
    <row r="991" spans="1:4">
      <c r="B991" t="s">
        <v>2264</v>
      </c>
      <c r="C991">
        <v>9.1129999999999996E-3</v>
      </c>
    </row>
    <row r="992" spans="1:4">
      <c r="B992" t="s">
        <v>2266</v>
      </c>
      <c r="C992">
        <v>9.1129999999999996E-3</v>
      </c>
    </row>
    <row r="995" spans="1:4">
      <c r="A995" t="s">
        <v>2318</v>
      </c>
    </row>
    <row r="997" spans="1:4">
      <c r="C997" t="s">
        <v>2440</v>
      </c>
      <c r="D997" t="s">
        <v>2441</v>
      </c>
    </row>
    <row r="998" spans="1:4">
      <c r="B998" t="s">
        <v>2317</v>
      </c>
      <c r="C998">
        <v>1.8225999999999999E-2</v>
      </c>
      <c r="D998">
        <v>3104.2</v>
      </c>
    </row>
    <row r="999" spans="1:4">
      <c r="B999" t="s">
        <v>2320</v>
      </c>
      <c r="D999">
        <v>2759.15</v>
      </c>
    </row>
    <row r="1000" spans="1:4">
      <c r="B1000" t="s">
        <v>2321</v>
      </c>
      <c r="C1000">
        <v>1.5769999999999999E-2</v>
      </c>
      <c r="D1000">
        <v>1678.7</v>
      </c>
    </row>
    <row r="1003" spans="1:4">
      <c r="A1003" t="s">
        <v>2442</v>
      </c>
    </row>
    <row r="1005" spans="1:4">
      <c r="C1005" t="s">
        <v>2436</v>
      </c>
      <c r="D1005" t="s">
        <v>2443</v>
      </c>
    </row>
    <row r="1006" spans="1:4">
      <c r="B1006" t="s">
        <v>2444</v>
      </c>
      <c r="C1006">
        <v>1.5769999999999999E-2</v>
      </c>
      <c r="D1006">
        <v>17.739999999999998</v>
      </c>
    </row>
    <row r="1009" spans="1:11">
      <c r="A1009" t="s">
        <v>2268</v>
      </c>
    </row>
    <row r="1011" spans="1:11">
      <c r="C1011" t="s">
        <v>2427</v>
      </c>
      <c r="D1011" t="s">
        <v>2445</v>
      </c>
      <c r="E1011" t="s">
        <v>2446</v>
      </c>
      <c r="F1011" t="s">
        <v>2447</v>
      </c>
      <c r="G1011" t="s">
        <v>2448</v>
      </c>
      <c r="H1011" t="s">
        <v>2449</v>
      </c>
      <c r="I1011" t="s">
        <v>2450</v>
      </c>
      <c r="J1011" t="s">
        <v>2451</v>
      </c>
      <c r="K1011" t="s">
        <v>2452</v>
      </c>
    </row>
    <row r="1012" spans="1:11">
      <c r="B1012" t="s">
        <v>2267</v>
      </c>
      <c r="C1012">
        <v>1.5769999999999999E-2</v>
      </c>
      <c r="D1012">
        <v>3876.01</v>
      </c>
      <c r="E1012">
        <v>10.210000000000001</v>
      </c>
      <c r="F1012">
        <v>23084.43</v>
      </c>
      <c r="G1012">
        <v>5.0999999999999996</v>
      </c>
      <c r="H1012">
        <v>620.16</v>
      </c>
      <c r="I1012">
        <v>13850.66</v>
      </c>
      <c r="J1012">
        <v>1.02</v>
      </c>
      <c r="K1012">
        <v>2308.44</v>
      </c>
    </row>
    <row r="1015" spans="1:11">
      <c r="A1015" t="s">
        <v>1915</v>
      </c>
    </row>
    <row r="1016" spans="1:11">
      <c r="A1016" t="s">
        <v>1916</v>
      </c>
      <c r="B1016" t="s">
        <v>2453</v>
      </c>
    </row>
    <row r="1017" spans="1:11">
      <c r="A1017" t="s">
        <v>1918</v>
      </c>
      <c r="B1017" t="s">
        <v>1919</v>
      </c>
    </row>
    <row r="1018" spans="1:11">
      <c r="A1018" t="s">
        <v>2454</v>
      </c>
      <c r="B1018" t="s">
        <v>2455</v>
      </c>
      <c r="C1018" t="s">
        <v>2456</v>
      </c>
    </row>
    <row r="1020" spans="1:11">
      <c r="C1020" t="s">
        <v>2</v>
      </c>
    </row>
    <row r="1023" spans="1:11">
      <c r="A1023" t="s">
        <v>2457</v>
      </c>
    </row>
    <row r="1025" spans="2:3">
      <c r="C1025" t="s">
        <v>2458</v>
      </c>
    </row>
    <row r="1026" spans="2:3">
      <c r="B1026" t="s">
        <v>2147</v>
      </c>
      <c r="C1026" t="s">
        <v>2459</v>
      </c>
    </row>
    <row r="1027" spans="2:3">
      <c r="B1027" t="s">
        <v>2149</v>
      </c>
      <c r="C1027" t="s">
        <v>2460</v>
      </c>
    </row>
    <row r="1028" spans="2:3">
      <c r="B1028" t="s">
        <v>2151</v>
      </c>
      <c r="C1028" t="s">
        <v>2461</v>
      </c>
    </row>
    <row r="1029" spans="2:3">
      <c r="B1029" t="s">
        <v>2153</v>
      </c>
      <c r="C1029" t="s">
        <v>2462</v>
      </c>
    </row>
    <row r="1030" spans="2:3">
      <c r="B1030" t="s">
        <v>2159</v>
      </c>
      <c r="C1030" t="s">
        <v>2463</v>
      </c>
    </row>
    <row r="1031" spans="2:3">
      <c r="B1031" t="s">
        <v>2160</v>
      </c>
      <c r="C1031" t="s">
        <v>2464</v>
      </c>
    </row>
    <row r="1032" spans="2:3">
      <c r="B1032" t="s">
        <v>2161</v>
      </c>
      <c r="C1032" t="s">
        <v>2465</v>
      </c>
    </row>
    <row r="1033" spans="2:3">
      <c r="B1033" t="s">
        <v>2162</v>
      </c>
      <c r="C1033" t="s">
        <v>2466</v>
      </c>
    </row>
    <row r="1034" spans="2:3">
      <c r="B1034" t="s">
        <v>2167</v>
      </c>
      <c r="C1034" t="s">
        <v>2467</v>
      </c>
    </row>
    <row r="1035" spans="2:3">
      <c r="B1035" t="s">
        <v>2168</v>
      </c>
      <c r="C1035" t="s">
        <v>2468</v>
      </c>
    </row>
    <row r="1036" spans="2:3">
      <c r="B1036" t="s">
        <v>2169</v>
      </c>
      <c r="C1036" t="s">
        <v>2469</v>
      </c>
    </row>
    <row r="1037" spans="2:3">
      <c r="B1037" t="s">
        <v>2170</v>
      </c>
      <c r="C1037" t="s">
        <v>2470</v>
      </c>
    </row>
    <row r="1360" spans="19:19">
      <c r="S1360" s="580"/>
    </row>
    <row r="1361" spans="19:19">
      <c r="S1361" s="580"/>
    </row>
    <row r="1362" spans="19:19">
      <c r="S1362" s="580"/>
    </row>
    <row r="1363" spans="19:19">
      <c r="S1363" s="580"/>
    </row>
    <row r="1364" spans="19:19">
      <c r="S1364" s="580"/>
    </row>
    <row r="1365" spans="19:19">
      <c r="S1365" s="580"/>
    </row>
    <row r="1366" spans="19:19">
      <c r="S1366" s="580"/>
    </row>
    <row r="1367" spans="19:19">
      <c r="S1367" s="580"/>
    </row>
    <row r="1368" spans="19:19">
      <c r="S1368" s="580"/>
    </row>
    <row r="1369" spans="19:19">
      <c r="S1369" s="580"/>
    </row>
    <row r="1370" spans="19:19">
      <c r="S1370" s="580"/>
    </row>
    <row r="1371" spans="19:19">
      <c r="S1371" s="580"/>
    </row>
    <row r="1372" spans="19:19">
      <c r="S1372" s="580"/>
    </row>
    <row r="1373" spans="19:19">
      <c r="S1373" s="580"/>
    </row>
  </sheetData>
  <phoneticPr fontId="11" type="noConversion"/>
  <dataValidations disablePrompts="1" count="3">
    <dataValidation type="list" allowBlank="1" showInputMessage="1" showErrorMessage="1" sqref="C27">
      <formula1>interior_zones_list</formula1>
    </dataValidation>
    <dataValidation type="list" allowBlank="1" showInputMessage="1" showErrorMessage="1" sqref="C17">
      <formula1>perimeter_zones_list</formula1>
    </dataValidation>
    <dataValidation type="list" allowBlank="1" showInputMessage="1" showErrorMessage="1" sqref="C13">
      <formula1>floors_list</formula1>
    </dataValidation>
  </dataValidations>
  <pageMargins left="0.75" right="0.75" top="1" bottom="1" header="0.5" footer="0.5"/>
  <pageSetup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B050"/>
  </sheetPr>
  <dimension ref="B1:AB278"/>
  <sheetViews>
    <sheetView tabSelected="1" zoomScale="85" zoomScaleNormal="85" workbookViewId="0">
      <selection activeCell="G28" sqref="G28"/>
    </sheetView>
  </sheetViews>
  <sheetFormatPr defaultRowHeight="12.75"/>
  <cols>
    <col min="1" max="1" width="3.7109375" customWidth="1"/>
    <col min="2" max="2" width="108" style="6" customWidth="1"/>
    <col min="3" max="3" width="1.5703125" customWidth="1"/>
    <col min="4" max="4" width="30.85546875" customWidth="1"/>
    <col min="5" max="5" width="17.5703125" style="15" customWidth="1"/>
    <col min="6" max="6" width="7.7109375" style="5" customWidth="1"/>
    <col min="7" max="7" width="7.85546875" style="5" customWidth="1"/>
    <col min="8" max="8" width="1.7109375" customWidth="1"/>
    <col min="9" max="9" width="30" customWidth="1"/>
    <col min="10" max="10" width="33.5703125" customWidth="1"/>
    <col min="11" max="11" width="10.5703125" customWidth="1"/>
    <col min="12" max="12" width="5.28515625" customWidth="1"/>
    <col min="13" max="13" width="8.5703125" customWidth="1"/>
    <col min="14" max="14" width="8" bestFit="1" customWidth="1"/>
    <col min="15" max="15" width="6.7109375" customWidth="1"/>
    <col min="16" max="16" width="21" bestFit="1" customWidth="1"/>
    <col min="17" max="17" width="17" bestFit="1" customWidth="1"/>
    <col min="18" max="18" width="10.28515625" customWidth="1"/>
    <col min="19" max="19" width="12.28515625" bestFit="1" customWidth="1"/>
    <col min="20" max="22" width="16" bestFit="1" customWidth="1"/>
    <col min="23" max="23" width="21.140625" bestFit="1" customWidth="1"/>
    <col min="25" max="27" width="23.5703125" bestFit="1" customWidth="1"/>
    <col min="28" max="28" width="21.140625" bestFit="1" customWidth="1"/>
  </cols>
  <sheetData>
    <row r="1" spans="2:20" ht="14.25" thickBot="1">
      <c r="B1" s="21" t="s">
        <v>2489</v>
      </c>
      <c r="C1" s="22"/>
      <c r="D1" s="22">
        <v>30</v>
      </c>
      <c r="E1" s="23">
        <v>10</v>
      </c>
    </row>
    <row r="2" spans="2:20" ht="13.5" thickBot="1">
      <c r="B2" s="4" t="s">
        <v>198</v>
      </c>
      <c r="I2" s="7" t="s">
        <v>814</v>
      </c>
      <c r="J2" s="17">
        <v>25</v>
      </c>
    </row>
    <row r="3" spans="2:20" ht="13.5" thickBot="1">
      <c r="I3" s="7" t="s">
        <v>206</v>
      </c>
      <c r="J3" s="12" t="s">
        <v>213</v>
      </c>
    </row>
    <row r="4" spans="2:20">
      <c r="I4" s="7" t="s">
        <v>192</v>
      </c>
      <c r="J4" s="11">
        <v>16</v>
      </c>
    </row>
    <row r="5" spans="2:20">
      <c r="I5" s="7" t="s">
        <v>207</v>
      </c>
      <c r="J5" s="2" t="s">
        <v>2492</v>
      </c>
    </row>
    <row r="6" spans="2:20" ht="13.5" thickBot="1">
      <c r="I6" s="10" t="s">
        <v>205</v>
      </c>
      <c r="J6" s="2" t="s">
        <v>1134</v>
      </c>
      <c r="Q6" s="564" t="s">
        <v>1066</v>
      </c>
      <c r="R6" s="581" t="s">
        <v>657</v>
      </c>
    </row>
    <row r="7" spans="2:20" ht="13.5" thickBot="1">
      <c r="I7" s="610" t="s">
        <v>1123</v>
      </c>
      <c r="J7" s="630" t="s">
        <v>489</v>
      </c>
      <c r="Q7" s="581" t="s">
        <v>1067</v>
      </c>
      <c r="R7" s="49" t="s">
        <v>656</v>
      </c>
    </row>
    <row r="8" spans="2:20">
      <c r="B8" s="9" t="s">
        <v>194</v>
      </c>
      <c r="D8" s="2" t="s">
        <v>193</v>
      </c>
      <c r="E8" s="16" t="s">
        <v>196</v>
      </c>
      <c r="F8" s="3" t="s">
        <v>204</v>
      </c>
      <c r="G8" s="3" t="s">
        <v>197</v>
      </c>
      <c r="I8" s="94" t="s">
        <v>689</v>
      </c>
      <c r="Q8" s="581" t="s">
        <v>1068</v>
      </c>
      <c r="R8" s="49" t="s">
        <v>655</v>
      </c>
    </row>
    <row r="9" spans="2:20" ht="13.5">
      <c r="B9" s="13" t="str">
        <f>"##SET1 "&amp;D9&amp;REPT(" ",fill_1-LEN(D9))&amp;TEXT(E9,F9)&amp;REPT(" ",fill_2-LEN(TEXT(E9,F9)))&amp;"! ["&amp;G9&amp;"]"</f>
        <v>##SET1 StartMonth[]                  1         ! [-]</v>
      </c>
      <c r="D9" t="s">
        <v>214</v>
      </c>
      <c r="E9" s="616">
        <v>1</v>
      </c>
      <c r="F9" s="14" t="s">
        <v>211</v>
      </c>
      <c r="G9" s="14" t="s">
        <v>212</v>
      </c>
      <c r="I9" s="7" t="s">
        <v>6</v>
      </c>
      <c r="J9" s="593" t="s">
        <v>2547</v>
      </c>
      <c r="Q9" s="581" t="s">
        <v>1069</v>
      </c>
      <c r="R9" s="49" t="s">
        <v>654</v>
      </c>
    </row>
    <row r="10" spans="2:20" ht="13.5">
      <c r="B10" s="13" t="str">
        <f>"##SET1 "&amp;D10&amp;REPT(" ",fill_1-LEN(D10))&amp;TEXT(E10,F10)&amp;REPT(" ",fill_2-LEN(TEXT(E10,F10)))&amp;"! ["&amp;G10&amp;"]"</f>
        <v>##SET1 StartDay[]                    1         ! [-]</v>
      </c>
      <c r="D10" t="s">
        <v>215</v>
      </c>
      <c r="E10" s="616">
        <v>1</v>
      </c>
      <c r="F10" s="14" t="s">
        <v>211</v>
      </c>
      <c r="G10" s="14" t="s">
        <v>212</v>
      </c>
      <c r="I10" s="7" t="s">
        <v>839</v>
      </c>
      <c r="J10" s="631" t="s">
        <v>488</v>
      </c>
      <c r="Q10" s="581" t="s">
        <v>1071</v>
      </c>
      <c r="R10" s="49" t="s">
        <v>653</v>
      </c>
    </row>
    <row r="11" spans="2:20" ht="13.5">
      <c r="B11" s="8"/>
      <c r="E11" s="49"/>
      <c r="I11" s="7" t="s">
        <v>2539</v>
      </c>
      <c r="J11" s="631" t="s">
        <v>488</v>
      </c>
      <c r="Q11" s="581" t="s">
        <v>1070</v>
      </c>
      <c r="R11" s="49" t="s">
        <v>652</v>
      </c>
    </row>
    <row r="12" spans="2:20" ht="13.5">
      <c r="B12" s="13" t="str">
        <f>"##SET1 "&amp;D12&amp;REPT(" ",fill_1-LEN(D12))&amp;TEXT(E12,F12)&amp;REPT(" ",fill_2-LEN(TEXT(E12,F12)))&amp;"! ["&amp;G12&amp;"]"</f>
        <v>##SET1 EndMonth[]                    1         ! [-]</v>
      </c>
      <c r="D12" t="s">
        <v>216</v>
      </c>
      <c r="E12" s="616">
        <v>1</v>
      </c>
      <c r="F12" s="14" t="s">
        <v>211</v>
      </c>
      <c r="G12" s="14" t="s">
        <v>212</v>
      </c>
      <c r="I12" s="7" t="s">
        <v>2493</v>
      </c>
      <c r="J12" s="638" t="s">
        <v>489</v>
      </c>
      <c r="M12" s="84" t="s">
        <v>630</v>
      </c>
      <c r="N12" s="65">
        <f>((J15/10.76/J16)^0.5)*J16</f>
        <v>52.802500785657216</v>
      </c>
      <c r="O12" s="65" t="s">
        <v>236</v>
      </c>
      <c r="Q12" s="581" t="s">
        <v>1072</v>
      </c>
      <c r="R12" s="576" t="s">
        <v>652</v>
      </c>
    </row>
    <row r="13" spans="2:20" ht="13.5">
      <c r="B13" s="13" t="str">
        <f>"##SET1 "&amp;D13&amp;REPT(" ",fill_1-LEN(D13))&amp;TEXT(E13,F13)&amp;REPT(" ",fill_2-LEN(TEXT(E13,F13)))&amp;"! ["&amp;G13&amp;"]"</f>
        <v>##SET1 EndDay[]                      1         ! [-]</v>
      </c>
      <c r="D13" t="s">
        <v>217</v>
      </c>
      <c r="E13" s="616">
        <v>1</v>
      </c>
      <c r="F13" s="14" t="s">
        <v>211</v>
      </c>
      <c r="G13" s="14" t="s">
        <v>212</v>
      </c>
      <c r="I13" s="589" t="s">
        <v>1032</v>
      </c>
      <c r="J13" s="638" t="s">
        <v>488</v>
      </c>
      <c r="M13" s="84" t="s">
        <v>631</v>
      </c>
      <c r="N13" s="65">
        <f>N12/J16</f>
        <v>35.201667190438144</v>
      </c>
      <c r="O13" s="65" t="s">
        <v>236</v>
      </c>
      <c r="Q13" s="581" t="s">
        <v>1073</v>
      </c>
      <c r="R13" s="49" t="s">
        <v>613</v>
      </c>
      <c r="T13" t="str">
        <f>RunType</f>
        <v>UFAD</v>
      </c>
    </row>
    <row r="14" spans="2:20" ht="14.25" thickBot="1">
      <c r="B14" s="13" t="str">
        <f>"##SET1 "&amp;D14&amp;REPT(" ",fill_1-LEN(D14))&amp;TEXT(E14,F14)&amp;REPT(" ",fill_2-LEN(TEXT(E14,F14)))&amp;"! ["&amp;G14&amp;"]"</f>
        <v>##SET1 RadiantSimulation[]           No        ! []</v>
      </c>
      <c r="D14" t="s">
        <v>582</v>
      </c>
      <c r="E14" s="617" t="str">
        <f>Radiant_Simulation</f>
        <v>No</v>
      </c>
      <c r="F14" s="14" t="s">
        <v>211</v>
      </c>
      <c r="I14" s="94" t="s">
        <v>682</v>
      </c>
      <c r="M14" s="84" t="s">
        <v>634</v>
      </c>
      <c r="N14" s="65">
        <f>J17/3.28</f>
        <v>4.5731707317073171</v>
      </c>
      <c r="O14" s="65" t="s">
        <v>236</v>
      </c>
      <c r="Q14" s="581" t="s">
        <v>1074</v>
      </c>
      <c r="R14" s="49" t="s">
        <v>651</v>
      </c>
    </row>
    <row r="15" spans="2:20" ht="14.25" thickBot="1">
      <c r="B15" s="13" t="str">
        <f>"##SET1 "&amp;D15&amp;REPT(" ",fill_1-LEN(D15))&amp;TEXT(E15,F15)&amp;REPT(" ",20-LEN(TEXT(E15,F15)))&amp;"! ["&amp;G15&amp;"]"</f>
        <v>##SET1 RunType[]                     UFAD                ! [-]</v>
      </c>
      <c r="D15" t="s">
        <v>210</v>
      </c>
      <c r="E15" s="15" t="str">
        <f>RunType</f>
        <v>UFAD</v>
      </c>
      <c r="F15" s="14" t="s">
        <v>211</v>
      </c>
      <c r="G15" s="14" t="s">
        <v>212</v>
      </c>
      <c r="I15" s="63" t="s">
        <v>628</v>
      </c>
      <c r="J15" s="70">
        <v>20000</v>
      </c>
      <c r="K15" s="4" t="s">
        <v>627</v>
      </c>
      <c r="M15" s="84" t="s">
        <v>635</v>
      </c>
      <c r="N15" s="65">
        <v>0</v>
      </c>
      <c r="O15" s="65" t="s">
        <v>233</v>
      </c>
      <c r="Q15" s="581" t="s">
        <v>1075</v>
      </c>
      <c r="R15" s="49" t="s">
        <v>650</v>
      </c>
    </row>
    <row r="16" spans="2:20" ht="14.25" thickBot="1">
      <c r="B16" s="13" t="str">
        <f>"##SET1 "&amp;D16&amp;REPT(" ",fill_1-LEN(D16))&amp;TEXT(E16,F16)&amp;REPT(" ",20-LEN(TEXT(E16,F16)))&amp;"! ["&amp;G16&amp;"]"</f>
        <v>##SET1 Weather_Location[]            CA_sacramento       ! []</v>
      </c>
      <c r="D16" s="581" t="s">
        <v>30</v>
      </c>
      <c r="E16" s="15" t="str">
        <f>Weather_location</f>
        <v>CA_sacramento</v>
      </c>
      <c r="F16" s="14" t="s">
        <v>211</v>
      </c>
      <c r="I16" s="63" t="s">
        <v>629</v>
      </c>
      <c r="J16" s="71">
        <v>1.5</v>
      </c>
      <c r="M16" s="84" t="s">
        <v>636</v>
      </c>
      <c r="N16" s="65">
        <f>((N15/J16)^0.5)*J16</f>
        <v>0</v>
      </c>
      <c r="O16" s="65" t="s">
        <v>236</v>
      </c>
      <c r="Q16" s="581" t="s">
        <v>1076</v>
      </c>
      <c r="R16" s="49" t="s">
        <v>649</v>
      </c>
    </row>
    <row r="17" spans="2:28" ht="14.25" thickBot="1">
      <c r="B17" s="13" t="str">
        <f>"##SET1 "&amp;D17&amp;REPT(" ",fill_1-LEN(D17))&amp;TEXT(E17,F17)&amp;REPT(" ",20-LEN(TEXT(E17,F17)))&amp;"! ["&amp;G17&amp;"]"</f>
        <v>##SET1 Supply_Plenum[]               Series              ! []</v>
      </c>
      <c r="D17" t="s">
        <v>4</v>
      </c>
      <c r="E17" s="617" t="str">
        <f>J102</f>
        <v>Series</v>
      </c>
      <c r="I17" s="63" t="s">
        <v>632</v>
      </c>
      <c r="J17" s="79">
        <v>15</v>
      </c>
      <c r="K17" s="4" t="s">
        <v>633</v>
      </c>
      <c r="M17" s="84" t="s">
        <v>637</v>
      </c>
      <c r="N17" s="65">
        <f>N16/J16</f>
        <v>0</v>
      </c>
      <c r="O17" s="65" t="s">
        <v>236</v>
      </c>
      <c r="Q17" s="581" t="s">
        <v>1077</v>
      </c>
      <c r="R17" s="49" t="s">
        <v>648</v>
      </c>
    </row>
    <row r="18" spans="2:28" ht="14.25" thickBot="1">
      <c r="B18" s="13" t="str">
        <f t="shared" ref="B18:B28" si="0">"##SET1 "&amp;D18&amp;REPT(" ",fill_1-LEN(D18))&amp;TEXT(E18,F18)&amp;REPT(" ",fill_2-LEN(TEXT(E18,F18)))&amp;"! ["&amp;G18&amp;"]"</f>
        <v>##SET1 UFAD_NumDiffsPerZone_GFE[]    34.901    ! [-]</v>
      </c>
      <c r="D18" s="581" t="s">
        <v>1039</v>
      </c>
      <c r="E18" s="36">
        <v>34.901151831432259</v>
      </c>
      <c r="F18" s="14" t="s">
        <v>151</v>
      </c>
      <c r="G18" s="636" t="s">
        <v>212</v>
      </c>
      <c r="I18" s="63" t="s">
        <v>659</v>
      </c>
      <c r="J18" s="79">
        <v>0</v>
      </c>
      <c r="K18" s="4" t="s">
        <v>683</v>
      </c>
      <c r="M18" s="84" t="s">
        <v>662</v>
      </c>
      <c r="N18" s="65">
        <f>(Bldg_Width-Perimeter_Depth)*Perimeter_Depth</f>
        <v>140.06934356126902</v>
      </c>
      <c r="O18" s="65" t="s">
        <v>233</v>
      </c>
      <c r="Q18" s="581" t="s">
        <v>1078</v>
      </c>
      <c r="R18" s="49" t="s">
        <v>647</v>
      </c>
    </row>
    <row r="19" spans="2:28" ht="14.25" thickBot="1">
      <c r="B19" s="13" t="str">
        <f t="shared" si="0"/>
        <v>##SET1 UFAD_NumDiffsPerZone_GFW[]    34.901    ! [-]</v>
      </c>
      <c r="D19" s="581" t="s">
        <v>1040</v>
      </c>
      <c r="E19" s="36">
        <v>34.901151831432259</v>
      </c>
      <c r="F19" s="14" t="s">
        <v>151</v>
      </c>
      <c r="G19" s="584" t="s">
        <v>212</v>
      </c>
      <c r="I19" s="76" t="s">
        <v>17</v>
      </c>
      <c r="J19" s="77">
        <v>0.33</v>
      </c>
      <c r="M19" s="84" t="s">
        <v>663</v>
      </c>
      <c r="N19" s="65">
        <f>(Bldg_Length-Perimeter_Depth)*Perimeter_Depth</f>
        <v>220.56096061257577</v>
      </c>
      <c r="O19" s="65" t="s">
        <v>233</v>
      </c>
      <c r="Q19" s="581" t="s">
        <v>1079</v>
      </c>
      <c r="R19" s="49" t="s">
        <v>646</v>
      </c>
    </row>
    <row r="20" spans="2:28" ht="14.25" thickBot="1">
      <c r="B20" s="13" t="str">
        <f t="shared" si="0"/>
        <v>##SET1 UFAD_NumDiffsPerZone_GFS[]    20.213    ! [-]</v>
      </c>
      <c r="D20" s="581" t="s">
        <v>1041</v>
      </c>
      <c r="E20" s="36">
        <v>20.212987700679289</v>
      </c>
      <c r="F20" s="14" t="s">
        <v>151</v>
      </c>
      <c r="G20" s="584" t="s">
        <v>212</v>
      </c>
      <c r="I20" s="101" t="s">
        <v>747</v>
      </c>
      <c r="J20" s="630" t="s">
        <v>2</v>
      </c>
      <c r="M20" s="84" t="s">
        <v>664</v>
      </c>
      <c r="N20" s="65">
        <f>(Bldg_Length-2*Perimeter_Depth)*(Bldg_Width-2*Perimeter_Depth)-N15</f>
        <v>1137.4754511318642</v>
      </c>
      <c r="O20" s="65" t="s">
        <v>233</v>
      </c>
      <c r="Q20" s="581" t="s">
        <v>1080</v>
      </c>
      <c r="R20" s="49" t="s">
        <v>645</v>
      </c>
    </row>
    <row r="21" spans="2:28" ht="13.5">
      <c r="B21" s="13" t="str">
        <f t="shared" si="0"/>
        <v>##SET1 UFAD_NumDiffsPerZone_GFN[]    54.958    ! [-]</v>
      </c>
      <c r="D21" s="581" t="s">
        <v>1042</v>
      </c>
      <c r="E21" s="36">
        <v>54.958224745919267</v>
      </c>
      <c r="F21" s="14" t="s">
        <v>151</v>
      </c>
      <c r="G21" s="32" t="s">
        <v>212</v>
      </c>
      <c r="Q21" s="581" t="s">
        <v>1081</v>
      </c>
      <c r="R21" s="5">
        <v>7</v>
      </c>
    </row>
    <row r="22" spans="2:28" ht="13.5">
      <c r="B22" s="582" t="str">
        <f t="shared" si="0"/>
        <v>##SET1 UFAD_NumDiffsPerZone_MFE[]    34.901    ! [-]</v>
      </c>
      <c r="C22" s="580"/>
      <c r="D22" s="581" t="s">
        <v>1043</v>
      </c>
      <c r="E22" s="583">
        <v>34.901151831432259</v>
      </c>
      <c r="F22" s="14" t="s">
        <v>151</v>
      </c>
      <c r="G22" s="584" t="s">
        <v>212</v>
      </c>
      <c r="L22" s="4" t="s">
        <v>660</v>
      </c>
      <c r="Q22" s="581" t="s">
        <v>1082</v>
      </c>
      <c r="R22" s="5">
        <v>8</v>
      </c>
      <c r="T22" s="98" t="s">
        <v>721</v>
      </c>
      <c r="Y22" s="98" t="s">
        <v>722</v>
      </c>
    </row>
    <row r="23" spans="2:28" ht="14.25" thickBot="1">
      <c r="B23" s="582" t="str">
        <f t="shared" si="0"/>
        <v>##SET1 UFAD_NumDiffsPerZone_MFW[]    34.901    ! [-]</v>
      </c>
      <c r="C23" s="580"/>
      <c r="D23" s="581" t="s">
        <v>1044</v>
      </c>
      <c r="E23" s="583">
        <v>34.901151831432259</v>
      </c>
      <c r="F23" s="14" t="s">
        <v>151</v>
      </c>
      <c r="G23" s="584" t="s">
        <v>212</v>
      </c>
      <c r="I23" s="95" t="s">
        <v>684</v>
      </c>
      <c r="L23" s="4" t="s">
        <v>661</v>
      </c>
      <c r="T23" s="98" t="s">
        <v>665</v>
      </c>
      <c r="U23" s="98" t="s">
        <v>355</v>
      </c>
      <c r="V23" s="98" t="s">
        <v>354</v>
      </c>
      <c r="W23" s="98" t="s">
        <v>353</v>
      </c>
      <c r="Y23" s="98" t="s">
        <v>665</v>
      </c>
      <c r="Z23" s="98" t="s">
        <v>355</v>
      </c>
      <c r="AA23" s="98" t="s">
        <v>354</v>
      </c>
      <c r="AB23" s="98" t="s">
        <v>353</v>
      </c>
    </row>
    <row r="24" spans="2:28" ht="14.25" thickBot="1">
      <c r="B24" s="582" t="str">
        <f t="shared" si="0"/>
        <v>##SET1 UFAD_NumDiffsPerZone_MFS[]    36.082    ! [-]</v>
      </c>
      <c r="C24" s="580"/>
      <c r="D24" s="581" t="s">
        <v>1045</v>
      </c>
      <c r="E24" s="583">
        <v>36.082069675101721</v>
      </c>
      <c r="F24" s="14" t="s">
        <v>151</v>
      </c>
      <c r="G24" s="584" t="s">
        <v>212</v>
      </c>
      <c r="I24" s="607" t="s">
        <v>1110</v>
      </c>
      <c r="J24" s="79">
        <f>J27</f>
        <v>100</v>
      </c>
      <c r="K24" s="4" t="s">
        <v>666</v>
      </c>
      <c r="T24" t="s">
        <v>711</v>
      </c>
      <c r="U24" t="s">
        <v>711</v>
      </c>
      <c r="V24" t="s">
        <v>711</v>
      </c>
      <c r="W24" t="s">
        <v>711</v>
      </c>
      <c r="Y24" s="100" t="s">
        <v>723</v>
      </c>
      <c r="Z24" t="s">
        <v>723</v>
      </c>
      <c r="AA24" s="100" t="s">
        <v>723</v>
      </c>
      <c r="AB24" t="s">
        <v>711</v>
      </c>
    </row>
    <row r="25" spans="2:28" ht="14.25" thickBot="1">
      <c r="B25" s="582" t="str">
        <f t="shared" si="0"/>
        <v>##SET1 UFAD_NumDiffsPerZone_MFN[]    54.958    ! [-]</v>
      </c>
      <c r="C25" s="580"/>
      <c r="D25" s="581" t="s">
        <v>1046</v>
      </c>
      <c r="E25" s="583">
        <v>54.958224745919267</v>
      </c>
      <c r="F25" s="14" t="s">
        <v>151</v>
      </c>
      <c r="G25" s="32" t="s">
        <v>212</v>
      </c>
      <c r="I25" s="607" t="s">
        <v>1111</v>
      </c>
      <c r="J25" s="79">
        <v>1</v>
      </c>
      <c r="K25" s="4" t="s">
        <v>475</v>
      </c>
      <c r="T25" s="30" t="s">
        <v>712</v>
      </c>
      <c r="U25" s="30" t="s">
        <v>712</v>
      </c>
      <c r="V25" s="30" t="s">
        <v>712</v>
      </c>
      <c r="W25" s="74" t="s">
        <v>739</v>
      </c>
      <c r="Y25" s="30" t="s">
        <v>724</v>
      </c>
      <c r="Z25" s="74" t="s">
        <v>725</v>
      </c>
      <c r="AA25" s="74" t="s">
        <v>724</v>
      </c>
      <c r="AB25" s="74" t="s">
        <v>743</v>
      </c>
    </row>
    <row r="26" spans="2:28" ht="14.25" thickBot="1">
      <c r="B26" s="582" t="str">
        <f t="shared" si="0"/>
        <v>##SET1 UFAD_NumDiffsPerZone_TFE[]    35.987    ! [-]</v>
      </c>
      <c r="C26" s="580"/>
      <c r="D26" s="581" t="s">
        <v>1047</v>
      </c>
      <c r="E26" s="583">
        <v>35.986628662104451</v>
      </c>
      <c r="F26" s="14" t="s">
        <v>151</v>
      </c>
      <c r="G26" s="584" t="s">
        <v>212</v>
      </c>
      <c r="I26" s="607" t="s">
        <v>1112</v>
      </c>
      <c r="J26" s="79">
        <v>0.75</v>
      </c>
      <c r="K26" s="4" t="s">
        <v>475</v>
      </c>
      <c r="T26" s="30">
        <v>0</v>
      </c>
      <c r="U26" s="30">
        <v>0.17</v>
      </c>
      <c r="V26" s="30">
        <v>0.3</v>
      </c>
      <c r="W26" s="30">
        <v>0</v>
      </c>
      <c r="Y26" s="30">
        <v>0</v>
      </c>
      <c r="Z26" s="30">
        <v>0.2</v>
      </c>
      <c r="AA26" s="30">
        <v>0.1</v>
      </c>
      <c r="AB26" s="30">
        <v>0</v>
      </c>
    </row>
    <row r="27" spans="2:28" ht="14.25" thickBot="1">
      <c r="B27" s="582" t="str">
        <f t="shared" si="0"/>
        <v>##SET1 UFAD_NumDiffsPerZone_TFW[]    35.987    ! [-]</v>
      </c>
      <c r="C27" s="580"/>
      <c r="D27" s="581" t="s">
        <v>1048</v>
      </c>
      <c r="E27" s="583">
        <v>35.986628662104451</v>
      </c>
      <c r="F27" s="14" t="s">
        <v>151</v>
      </c>
      <c r="G27" s="584" t="s">
        <v>212</v>
      </c>
      <c r="I27" s="78" t="s">
        <v>665</v>
      </c>
      <c r="J27" s="79">
        <v>100</v>
      </c>
      <c r="K27" s="4" t="s">
        <v>666</v>
      </c>
      <c r="S27" s="581" t="s">
        <v>2530</v>
      </c>
      <c r="T27" s="30" t="s">
        <v>713</v>
      </c>
      <c r="U27" s="30" t="s">
        <v>714</v>
      </c>
      <c r="V27" s="30" t="s">
        <v>714</v>
      </c>
      <c r="W27" s="74" t="s">
        <v>740</v>
      </c>
      <c r="Y27" s="30" t="s">
        <v>725</v>
      </c>
      <c r="Z27" s="434" t="s">
        <v>729</v>
      </c>
      <c r="AA27" s="30" t="s">
        <v>725</v>
      </c>
      <c r="AB27" s="74" t="s">
        <v>744</v>
      </c>
    </row>
    <row r="28" spans="2:28" ht="14.25" thickBot="1">
      <c r="B28" s="582" t="str">
        <f t="shared" si="0"/>
        <v>##SET1 UFAD_NumDiffsPerZone_TFS[]    41.589    ! [-]</v>
      </c>
      <c r="C28" s="580"/>
      <c r="D28" s="581" t="s">
        <v>1049</v>
      </c>
      <c r="E28" s="583">
        <v>41.589161033313303</v>
      </c>
      <c r="F28" s="14" t="s">
        <v>151</v>
      </c>
      <c r="G28" s="584" t="s">
        <v>212</v>
      </c>
      <c r="I28" s="78" t="s">
        <v>354</v>
      </c>
      <c r="J28" s="79">
        <v>1</v>
      </c>
      <c r="K28" s="4" t="s">
        <v>475</v>
      </c>
      <c r="P28" s="581" t="s">
        <v>1142</v>
      </c>
      <c r="Q28" s="576" t="s">
        <v>489</v>
      </c>
      <c r="T28" s="30">
        <v>0.33</v>
      </c>
      <c r="U28" s="30">
        <v>1</v>
      </c>
      <c r="V28" s="30">
        <v>0.9</v>
      </c>
      <c r="W28" s="30">
        <v>1</v>
      </c>
      <c r="Y28" s="30">
        <v>0.1</v>
      </c>
      <c r="Z28" s="30">
        <v>0.8</v>
      </c>
      <c r="AA28" s="30">
        <v>0.5</v>
      </c>
      <c r="AB28" s="30">
        <v>1</v>
      </c>
    </row>
    <row r="29" spans="2:28" ht="14.25" thickBot="1">
      <c r="B29" s="582" t="str">
        <f>"##SET1 "&amp;D29&amp;REPT(" ",fill_1-LEN(D29))&amp;TEXT(E29,F29)&amp;REPT(" ",fill_2-LEN(TEXT(E29,F29)))&amp;"! ["&amp;G29&amp;"]"</f>
        <v>##SET1 UFAD_NumDiffsPerZone_TFN[]    56.668    ! [-]</v>
      </c>
      <c r="C29" s="580"/>
      <c r="D29" s="581" t="s">
        <v>1050</v>
      </c>
      <c r="E29" s="583">
        <v>56.667505858035582</v>
      </c>
      <c r="F29" s="14" t="s">
        <v>151</v>
      </c>
      <c r="G29" s="32" t="s">
        <v>212</v>
      </c>
      <c r="I29" s="78" t="s">
        <v>355</v>
      </c>
      <c r="J29" s="79">
        <v>0.75</v>
      </c>
      <c r="K29" s="4" t="s">
        <v>475</v>
      </c>
      <c r="P29" s="581" t="s">
        <v>1140</v>
      </c>
      <c r="Q29" s="576" t="s">
        <v>488</v>
      </c>
      <c r="T29" s="30" t="s">
        <v>715</v>
      </c>
      <c r="U29" s="30" t="s">
        <v>716</v>
      </c>
      <c r="V29" s="30" t="s">
        <v>716</v>
      </c>
      <c r="W29" s="30" t="s">
        <v>716</v>
      </c>
      <c r="Y29" s="30" t="s">
        <v>726</v>
      </c>
      <c r="Z29" s="74" t="s">
        <v>731</v>
      </c>
      <c r="AA29" s="30" t="s">
        <v>729</v>
      </c>
      <c r="AB29" s="30" t="s">
        <v>716</v>
      </c>
    </row>
    <row r="30" spans="2:28" ht="14.25" thickBot="1">
      <c r="B30" s="13" t="str">
        <f>"##SET1 "&amp;D30&amp;REPT(" ",fill_1-LEN(D30))&amp;TEXT(E30,F30)&amp;REPT(" ",20-LEN(TEXT(E30,F30)))&amp;"! ["&amp;G30&amp;"]"</f>
        <v>##SET1 UFAD_PowerPerPlume[]          150.000             ! [-]</v>
      </c>
      <c r="D30" t="s">
        <v>218</v>
      </c>
      <c r="E30" s="618">
        <f t="shared" ref="E30:E35" si="1">J71</f>
        <v>150</v>
      </c>
      <c r="F30" s="14" t="s">
        <v>151</v>
      </c>
      <c r="G30" s="32" t="s">
        <v>212</v>
      </c>
      <c r="I30" s="63"/>
      <c r="J30" s="630"/>
      <c r="P30" s="74" t="s">
        <v>678</v>
      </c>
      <c r="Q30" s="73" t="s">
        <v>488</v>
      </c>
      <c r="T30" s="30">
        <v>0.67</v>
      </c>
      <c r="U30" s="30">
        <v>0.17</v>
      </c>
      <c r="V30" s="30">
        <v>0.3</v>
      </c>
      <c r="W30" s="30">
        <v>0</v>
      </c>
      <c r="Y30" s="30">
        <v>0.2</v>
      </c>
      <c r="Z30" s="30">
        <v>0.2</v>
      </c>
      <c r="AA30" s="30">
        <v>0.9</v>
      </c>
      <c r="AB30" s="30">
        <v>0</v>
      </c>
    </row>
    <row r="31" spans="2:28" ht="14.25" thickBot="1">
      <c r="B31" s="13" t="str">
        <f>"##SET1 "&amp;D31&amp;REPT(" ",fill_1-LEN(D31))&amp;TEXT(E31,F31)&amp;REPT(" ",20-LEN(TEXT(E31,F31)))&amp;"! ["&amp;G31&amp;"]"</f>
        <v>##SET1 UFAD_DiffEffectiveArea[]      0.03500             ! [m2]</v>
      </c>
      <c r="D31" t="s">
        <v>219</v>
      </c>
      <c r="E31" s="618">
        <f>IF(Perim_DiffType="Custom",J72,"autosize")</f>
        <v>3.5000000000000003E-2</v>
      </c>
      <c r="F31" s="14" t="s">
        <v>149</v>
      </c>
      <c r="G31" s="26" t="str">
        <f>K72</f>
        <v>m2</v>
      </c>
      <c r="I31" s="90" t="s">
        <v>604</v>
      </c>
      <c r="J31" s="630" t="s">
        <v>488</v>
      </c>
      <c r="P31" s="74" t="s">
        <v>679</v>
      </c>
      <c r="Q31" s="564" t="str">
        <f>IF(RunType_Two="UFAD/Radiant","Yes","No")</f>
        <v>No</v>
      </c>
      <c r="T31" s="30" t="s">
        <v>714</v>
      </c>
      <c r="U31" t="s">
        <v>717</v>
      </c>
      <c r="V31" t="s">
        <v>717</v>
      </c>
      <c r="W31" s="4" t="s">
        <v>741</v>
      </c>
      <c r="Y31" s="30" t="s">
        <v>727</v>
      </c>
      <c r="Z31" s="100" t="s">
        <v>732</v>
      </c>
      <c r="AA31" s="74" t="s">
        <v>737</v>
      </c>
      <c r="AB31" s="4" t="s">
        <v>741</v>
      </c>
    </row>
    <row r="32" spans="2:28" ht="13.5">
      <c r="B32" s="582" t="str">
        <f>"##SET1 "&amp;D32&amp;REPT(" ",fill_1-LEN(D32))&amp;TEXT(E32,F32)&amp;REPT(" ",20-LEN(TEXT(E32,F32)))&amp;"! ["&amp;G32&amp;"]"</f>
        <v>##SET1 UFAD_DiffSlotAngle[]          45                  ! [deg]</v>
      </c>
      <c r="D32" t="s">
        <v>220</v>
      </c>
      <c r="E32" s="618">
        <f>IF(Perim_DiffType="Custom",J73,"autosize")</f>
        <v>45</v>
      </c>
      <c r="F32" s="14" t="s">
        <v>211</v>
      </c>
      <c r="G32" s="26" t="str">
        <f>K73</f>
        <v>deg</v>
      </c>
      <c r="P32" s="74" t="s">
        <v>680</v>
      </c>
      <c r="Q32" s="564" t="str">
        <f>IF(OR(RunType_Two="UFAD/Radiant",RunType_Two="UFAD_NoReturnPlen"),"No","Yes")</f>
        <v>Yes</v>
      </c>
      <c r="T32" s="30">
        <v>1</v>
      </c>
      <c r="U32" s="30" t="s">
        <v>716</v>
      </c>
      <c r="V32" s="30" t="s">
        <v>716</v>
      </c>
      <c r="W32" s="74" t="s">
        <v>739</v>
      </c>
      <c r="Y32" s="30">
        <v>0.95</v>
      </c>
      <c r="Z32" s="30" t="s">
        <v>731</v>
      </c>
      <c r="AA32" s="30">
        <v>0.5</v>
      </c>
      <c r="AB32" s="74" t="s">
        <v>743</v>
      </c>
    </row>
    <row r="33" spans="2:28" ht="13.5">
      <c r="B33" s="13" t="str">
        <f>"##SET1 "&amp;D33&amp;REPT(" ",fill_1-LEN(D33))&amp;TEXT(E33,F33)&amp;REPT(" ",fill_2-LEN(TEXT(E33,F33)))&amp;"! ["&amp;G33&amp;"]"</f>
        <v>##SET1 UFAD_TStatHeight[]            0.20      ! [m]</v>
      </c>
      <c r="D33" t="s">
        <v>221</v>
      </c>
      <c r="E33" s="620">
        <f t="shared" si="1"/>
        <v>0.2</v>
      </c>
      <c r="F33" s="14" t="s">
        <v>150</v>
      </c>
      <c r="G33" s="26" t="str">
        <f>K74</f>
        <v>m</v>
      </c>
      <c r="P33" s="75" t="s">
        <v>681</v>
      </c>
      <c r="Q33" s="72" t="s">
        <v>532</v>
      </c>
      <c r="T33" s="30" t="s">
        <v>718</v>
      </c>
      <c r="U33" s="30">
        <v>0.17</v>
      </c>
      <c r="V33" s="30">
        <v>0.3</v>
      </c>
      <c r="W33" s="30">
        <v>0</v>
      </c>
      <c r="Y33" s="30" t="s">
        <v>728</v>
      </c>
      <c r="Z33" s="30">
        <v>1</v>
      </c>
      <c r="AA33" s="74" t="s">
        <v>731</v>
      </c>
      <c r="AB33" s="30">
        <v>0</v>
      </c>
    </row>
    <row r="34" spans="2:28" ht="14.25" thickBot="1">
      <c r="B34" s="13" t="str">
        <f>"##SET1 "&amp;D34&amp;REPT(" ",fill_1-LEN(D34))&amp;TEXT(E34,F34)&amp;REPT(" ",fill_2-LEN(TEXT(E34,F34)))&amp;"! ["&amp;G34&amp;"]"</f>
        <v>##SET1 UFAD_ComfortHeight[]          0.61      ! [m]</v>
      </c>
      <c r="D34" t="s">
        <v>222</v>
      </c>
      <c r="E34" s="620">
        <f t="shared" si="1"/>
        <v>0.61</v>
      </c>
      <c r="F34" s="14" t="s">
        <v>150</v>
      </c>
      <c r="G34" s="26" t="str">
        <f>K75</f>
        <v>m</v>
      </c>
      <c r="I34" s="95" t="s">
        <v>686</v>
      </c>
      <c r="P34" s="75" t="s">
        <v>574</v>
      </c>
      <c r="Q34" s="80">
        <v>1</v>
      </c>
      <c r="T34" s="30">
        <v>0.5</v>
      </c>
      <c r="U34" s="99"/>
      <c r="V34" s="99"/>
      <c r="W34" s="74" t="s">
        <v>740</v>
      </c>
      <c r="Y34" s="30">
        <v>0.5</v>
      </c>
      <c r="Z34" s="100" t="s">
        <v>734</v>
      </c>
      <c r="AA34" s="30">
        <v>0.1</v>
      </c>
      <c r="AB34" s="74" t="s">
        <v>744</v>
      </c>
    </row>
    <row r="35" spans="2:28" ht="13.5">
      <c r="B35" s="13" t="str">
        <f>"##SET1 "&amp;D35&amp;REPT(" ",fill_1-LEN(D35))&amp;TEXT(E35,F35)&amp;REPT(" ",fill_2-LEN(TEXT(E35,F35)))&amp;"! ["&amp;G35&amp;"]"</f>
        <v>##SET1 UFAD_TempDiffReporting[]      0.001     ! [C]</v>
      </c>
      <c r="D35" s="581" t="s">
        <v>223</v>
      </c>
      <c r="E35" s="621">
        <f t="shared" si="1"/>
        <v>1E-3</v>
      </c>
      <c r="F35" s="14" t="s">
        <v>151</v>
      </c>
      <c r="G35" s="26" t="str">
        <f>K76</f>
        <v>C</v>
      </c>
      <c r="I35" s="104" t="s">
        <v>752</v>
      </c>
      <c r="J35" s="646" t="s">
        <v>2624</v>
      </c>
      <c r="K35" s="2" t="s">
        <v>692</v>
      </c>
      <c r="P35" s="75" t="s">
        <v>575</v>
      </c>
      <c r="Q35" s="81" t="s">
        <v>576</v>
      </c>
      <c r="T35" s="30" t="s">
        <v>716</v>
      </c>
      <c r="U35" s="99"/>
      <c r="V35" s="99"/>
      <c r="W35" s="30">
        <v>1</v>
      </c>
      <c r="Y35" s="30" t="s">
        <v>729</v>
      </c>
      <c r="Z35" s="30" t="s">
        <v>724</v>
      </c>
      <c r="AA35" s="100" t="s">
        <v>732</v>
      </c>
      <c r="AB35" s="30">
        <v>1</v>
      </c>
    </row>
    <row r="36" spans="2:28" ht="14.25" thickBot="1">
      <c r="B36" s="13" t="str">
        <f>"##SET1 "&amp;D36&amp;REPT(" ",fill_1-LEN(D36))&amp;TEXT(E36,F36)&amp;REPT(" ",20-LEN(TEXT(E36,F36)))&amp;"! ["&amp;G36&amp;"]"</f>
        <v>##SET1 UFAD_DiffType[]               Custom              ! [-]</v>
      </c>
      <c r="D36" t="s">
        <v>224</v>
      </c>
      <c r="E36" s="28" t="str">
        <f>J70</f>
        <v>Custom</v>
      </c>
      <c r="F36" s="14"/>
      <c r="G36" s="26" t="str">
        <f>K70</f>
        <v>-</v>
      </c>
      <c r="I36" s="105" t="s">
        <v>750</v>
      </c>
      <c r="J36" s="629" t="s">
        <v>2623</v>
      </c>
      <c r="K36" s="2" t="s">
        <v>751</v>
      </c>
      <c r="P36" s="83" t="s">
        <v>27</v>
      </c>
      <c r="Q36" s="82" t="str">
        <f>IF(RunType="OH",IF(J7="Yes","OFF", "ON"),"OFF")</f>
        <v>OFF</v>
      </c>
      <c r="T36" s="30">
        <v>0</v>
      </c>
      <c r="U36" s="99"/>
      <c r="V36" s="99"/>
      <c r="W36" s="30" t="s">
        <v>716</v>
      </c>
      <c r="Y36" s="30">
        <v>0.95</v>
      </c>
      <c r="Z36" s="30">
        <v>0.3</v>
      </c>
      <c r="AA36" s="30" t="s">
        <v>731</v>
      </c>
      <c r="AB36" s="30" t="s">
        <v>716</v>
      </c>
    </row>
    <row r="37" spans="2:28" ht="14.25" thickBot="1">
      <c r="B37" s="13" t="str">
        <f>"##SET1 "&amp;D37&amp;REPT(" ",fill_1-LEN(D37))&amp;TEXT(E37,F37)&amp;REPT(" ",20-LEN(TEXT(E37,F37)))&amp;"! ["&amp;G37&amp;"]"</f>
        <v>##SET1 UFAD_TransitionHeight[]       1.70                ! [m]</v>
      </c>
      <c r="D37" s="581" t="s">
        <v>225</v>
      </c>
      <c r="E37" s="620">
        <f t="shared" ref="E37:E42" si="2">J77</f>
        <v>1.7</v>
      </c>
      <c r="F37" s="14" t="s">
        <v>150</v>
      </c>
      <c r="G37" s="26" t="str">
        <f>K77</f>
        <v>m</v>
      </c>
      <c r="I37" s="590" t="s">
        <v>693</v>
      </c>
      <c r="J37" s="591" t="s">
        <v>532</v>
      </c>
      <c r="K37" s="96"/>
      <c r="P37" s="74" t="s">
        <v>191</v>
      </c>
      <c r="Q37" s="438" t="s">
        <v>200</v>
      </c>
      <c r="T37" t="s">
        <v>717</v>
      </c>
      <c r="U37" s="99"/>
      <c r="V37" s="99"/>
      <c r="W37" s="30">
        <v>0</v>
      </c>
      <c r="Y37" s="30" t="s">
        <v>730</v>
      </c>
      <c r="Z37" s="30" t="s">
        <v>726</v>
      </c>
      <c r="AA37" s="30">
        <v>1</v>
      </c>
      <c r="AB37" s="30">
        <v>0</v>
      </c>
    </row>
    <row r="38" spans="2:28" ht="14.25" thickBot="1">
      <c r="B38" s="13" t="str">
        <f t="shared" ref="B38:B43" si="3">"##SET1 "&amp;D38&amp;REPT(" ",fill_1-LEN(D38))&amp;TEXT(E38,F38)&amp;REPT(" ",fill_2-LEN(TEXT(E38,F38)))&amp;"! ["&amp;G38&amp;"]"</f>
        <v>##SET1 UFAD_CoeffA[]                 0.0000    ! [0]</v>
      </c>
      <c r="D38" t="s">
        <v>226</v>
      </c>
      <c r="E38" s="27">
        <f t="shared" si="2"/>
        <v>0</v>
      </c>
      <c r="F38" s="14" t="s">
        <v>152</v>
      </c>
      <c r="G38" s="26">
        <f>K82</f>
        <v>0</v>
      </c>
      <c r="I38" s="90" t="s">
        <v>691</v>
      </c>
      <c r="J38" s="613" t="s">
        <v>971</v>
      </c>
      <c r="L38" s="2"/>
      <c r="P38" s="75" t="s">
        <v>687</v>
      </c>
      <c r="Q38" s="89" t="s">
        <v>24</v>
      </c>
      <c r="T38" s="30" t="s">
        <v>712</v>
      </c>
      <c r="U38" s="99"/>
      <c r="V38" s="99"/>
      <c r="W38" s="4" t="s">
        <v>742</v>
      </c>
      <c r="Y38" s="30">
        <v>0.3</v>
      </c>
      <c r="Z38" s="30">
        <v>0.4</v>
      </c>
      <c r="AA38" s="100" t="s">
        <v>734</v>
      </c>
      <c r="AB38" s="4" t="s">
        <v>745</v>
      </c>
    </row>
    <row r="39" spans="2:28" ht="14.25" thickBot="1">
      <c r="B39" s="13" t="str">
        <f t="shared" si="3"/>
        <v>##SET1 UFAD_CoeffB[]                 0.0000    ! [0]</v>
      </c>
      <c r="D39" t="s">
        <v>227</v>
      </c>
      <c r="E39" s="27">
        <f t="shared" si="2"/>
        <v>0</v>
      </c>
      <c r="F39" s="14" t="s">
        <v>152</v>
      </c>
      <c r="G39" s="26">
        <f>K83</f>
        <v>0</v>
      </c>
      <c r="I39" s="24" t="s">
        <v>12</v>
      </c>
      <c r="J39" s="122">
        <v>60</v>
      </c>
      <c r="K39" s="20" t="s">
        <v>89</v>
      </c>
      <c r="P39" s="74" t="s">
        <v>688</v>
      </c>
      <c r="Q39" s="89" t="s">
        <v>24</v>
      </c>
      <c r="T39" s="30">
        <v>0</v>
      </c>
      <c r="U39" s="99"/>
      <c r="V39" s="99"/>
      <c r="W39" s="74" t="s">
        <v>739</v>
      </c>
      <c r="Y39" s="74" t="s">
        <v>737</v>
      </c>
      <c r="Z39" s="30" t="s">
        <v>727</v>
      </c>
      <c r="AA39" s="30" t="s">
        <v>724</v>
      </c>
      <c r="AB39" s="74" t="s">
        <v>743</v>
      </c>
    </row>
    <row r="40" spans="2:28" ht="14.25" thickBot="1">
      <c r="B40" s="582" t="str">
        <f t="shared" si="3"/>
        <v>##SET1 UFAD_CoeffC[]                 0.8000    ! [0]</v>
      </c>
      <c r="D40" t="s">
        <v>228</v>
      </c>
      <c r="E40" s="27">
        <f t="shared" si="2"/>
        <v>0.8</v>
      </c>
      <c r="F40" s="14" t="s">
        <v>152</v>
      </c>
      <c r="G40" s="26">
        <f>K84</f>
        <v>0</v>
      </c>
      <c r="I40" s="38" t="s">
        <v>16</v>
      </c>
      <c r="J40" s="633">
        <v>2.4</v>
      </c>
      <c r="K40" s="20" t="s">
        <v>14</v>
      </c>
      <c r="P40" s="74" t="s">
        <v>246</v>
      </c>
      <c r="Q40" t="str">
        <f>IF(J35="OH","OH","UFAD")</f>
        <v>UFAD</v>
      </c>
      <c r="T40" s="30" t="s">
        <v>713</v>
      </c>
      <c r="U40" s="99"/>
      <c r="V40" s="99"/>
      <c r="W40" s="30">
        <v>0</v>
      </c>
      <c r="Y40" s="30">
        <v>0.2</v>
      </c>
      <c r="Z40" s="30">
        <v>0.5</v>
      </c>
      <c r="AA40" s="30">
        <v>0.05</v>
      </c>
      <c r="AB40" s="30">
        <v>0</v>
      </c>
    </row>
    <row r="41" spans="2:28" ht="14.25" thickBot="1">
      <c r="B41" s="13" t="str">
        <f t="shared" si="3"/>
        <v>##SET1 UFAD_CoeffD[]                 0.0000    ! [-]</v>
      </c>
      <c r="D41" t="s">
        <v>229</v>
      </c>
      <c r="E41" s="27">
        <f t="shared" si="2"/>
        <v>0</v>
      </c>
      <c r="F41" s="14" t="s">
        <v>152</v>
      </c>
      <c r="G41" s="636" t="s">
        <v>212</v>
      </c>
      <c r="I41" s="97" t="s">
        <v>706</v>
      </c>
      <c r="J41" s="630" t="s">
        <v>488</v>
      </c>
      <c r="P41" s="75" t="s">
        <v>698</v>
      </c>
      <c r="Q41" s="82">
        <v>0.15</v>
      </c>
      <c r="R41" s="20" t="s">
        <v>29</v>
      </c>
      <c r="T41" s="30">
        <v>7.0000000000000007E-2</v>
      </c>
      <c r="U41" s="99"/>
      <c r="V41" s="99"/>
      <c r="W41" s="74" t="s">
        <v>740</v>
      </c>
      <c r="Y41" s="30" t="s">
        <v>731</v>
      </c>
      <c r="Z41" s="30" t="s">
        <v>729</v>
      </c>
      <c r="AA41" s="30" t="s">
        <v>726</v>
      </c>
      <c r="AB41" s="74" t="s">
        <v>718</v>
      </c>
    </row>
    <row r="42" spans="2:28" ht="14.25" thickBot="1">
      <c r="B42" s="13" t="str">
        <f t="shared" si="3"/>
        <v>##SET1 UFAD_CoeffE[]                 0.0000    ! [-]</v>
      </c>
      <c r="D42" t="s">
        <v>230</v>
      </c>
      <c r="E42" s="27">
        <f t="shared" si="2"/>
        <v>0</v>
      </c>
      <c r="F42" s="14" t="s">
        <v>152</v>
      </c>
      <c r="G42" s="636" t="s">
        <v>212</v>
      </c>
      <c r="I42" s="97" t="s">
        <v>707</v>
      </c>
      <c r="J42" s="632">
        <v>1.5</v>
      </c>
      <c r="K42" s="4" t="s">
        <v>14</v>
      </c>
      <c r="T42" s="30" t="s">
        <v>715</v>
      </c>
      <c r="U42" s="99"/>
      <c r="V42" s="99"/>
      <c r="W42" s="30">
        <v>1</v>
      </c>
      <c r="Y42" s="30">
        <v>0</v>
      </c>
      <c r="Z42" s="30">
        <v>0.35</v>
      </c>
      <c r="AA42" s="30">
        <v>0.1</v>
      </c>
      <c r="AB42" s="30">
        <v>1</v>
      </c>
    </row>
    <row r="43" spans="2:28" ht="14.25" thickBot="1">
      <c r="B43" s="13" t="str">
        <f t="shared" si="3"/>
        <v>##SET1 Return_Plenum[]               Yes       ! []</v>
      </c>
      <c r="D43" s="4" t="s">
        <v>583</v>
      </c>
      <c r="E43" s="620" t="str">
        <f>Return_Plenum</f>
        <v>Yes</v>
      </c>
      <c r="I43" s="63" t="s">
        <v>642</v>
      </c>
      <c r="J43" s="630" t="s">
        <v>972</v>
      </c>
      <c r="L43" s="4"/>
      <c r="P43" s="598" t="s">
        <v>1058</v>
      </c>
      <c r="Q43">
        <v>1</v>
      </c>
      <c r="T43" s="30">
        <v>0.13</v>
      </c>
      <c r="U43" s="99"/>
      <c r="V43" s="99"/>
      <c r="W43" s="30" t="s">
        <v>716</v>
      </c>
      <c r="Y43" s="100" t="s">
        <v>732</v>
      </c>
      <c r="Z43" s="30" t="s">
        <v>731</v>
      </c>
      <c r="AA43" s="30" t="s">
        <v>727</v>
      </c>
      <c r="AB43" s="30" t="s">
        <v>716</v>
      </c>
    </row>
    <row r="44" spans="2:28" ht="13.5" thickBot="1">
      <c r="I44" s="63" t="s">
        <v>503</v>
      </c>
      <c r="J44" s="630" t="s">
        <v>489</v>
      </c>
      <c r="T44" s="30" t="s">
        <v>719</v>
      </c>
      <c r="U44" s="99"/>
      <c r="V44" s="99"/>
      <c r="W44" s="30">
        <v>0</v>
      </c>
      <c r="Y44" s="30" t="s">
        <v>724</v>
      </c>
      <c r="Z44" s="30">
        <v>0.3</v>
      </c>
      <c r="AA44" s="30">
        <v>0.3</v>
      </c>
      <c r="AB44" s="30">
        <v>0</v>
      </c>
    </row>
    <row r="45" spans="2:28" ht="14.25" thickBot="1">
      <c r="B45" s="13" t="str">
        <f>"##SET1 "&amp;D45&amp;REPT(" ",fill_1-LEN(D45))&amp;TEXT(E45,F45)&amp;REPT(" ",fill_2-LEN(TEXT(E45,F45)))&amp;"! ["&amp;G45&amp;"]"</f>
        <v>##SET1 UFAD_Int_NumDiffsPerZone_GF[] 118.4683  ! [-]</v>
      </c>
      <c r="D45" s="581" t="s">
        <v>1051</v>
      </c>
      <c r="E45" s="36">
        <v>118.46830919917244</v>
      </c>
      <c r="F45" s="14" t="s">
        <v>152</v>
      </c>
      <c r="G45" s="636" t="s">
        <v>212</v>
      </c>
      <c r="I45" s="63" t="s">
        <v>669</v>
      </c>
      <c r="J45" s="122">
        <v>75</v>
      </c>
      <c r="K45" s="4" t="s">
        <v>89</v>
      </c>
      <c r="T45" s="30">
        <v>0.2</v>
      </c>
      <c r="U45" s="99"/>
      <c r="V45" s="99"/>
      <c r="W45" t="s">
        <v>717</v>
      </c>
      <c r="Y45" s="30">
        <v>0</v>
      </c>
      <c r="Z45" s="100" t="s">
        <v>735</v>
      </c>
      <c r="AA45" s="30" t="s">
        <v>729</v>
      </c>
      <c r="AB45" s="4" t="s">
        <v>742</v>
      </c>
    </row>
    <row r="46" spans="2:28" ht="14.25" thickBot="1">
      <c r="B46" s="582" t="str">
        <f>"##SET1 "&amp;D46&amp;REPT(" ",fill_1-LEN(D46))&amp;TEXT(E46,F46)&amp;REPT(" ",fill_2-LEN(TEXT(E46,F46)))&amp;"! ["&amp;G46&amp;"]"</f>
        <v>##SET1 UFAD_Int_NumDiffsPerZone_MF[] 118.4683  ! [-]</v>
      </c>
      <c r="C46" s="580"/>
      <c r="D46" s="581" t="s">
        <v>1052</v>
      </c>
      <c r="E46" s="583">
        <v>118.46830919917244</v>
      </c>
      <c r="F46" s="14" t="s">
        <v>152</v>
      </c>
      <c r="G46" s="584" t="s">
        <v>212</v>
      </c>
      <c r="I46" s="63" t="s">
        <v>670</v>
      </c>
      <c r="J46" s="122">
        <v>80</v>
      </c>
      <c r="K46" s="4" t="s">
        <v>89</v>
      </c>
      <c r="T46" s="30" t="s">
        <v>720</v>
      </c>
      <c r="U46" s="99"/>
      <c r="V46" s="99"/>
      <c r="W46" s="74" t="s">
        <v>743</v>
      </c>
      <c r="Y46" s="30" t="s">
        <v>733</v>
      </c>
      <c r="Z46" s="30" t="s">
        <v>731</v>
      </c>
      <c r="AA46" s="30">
        <v>0.15</v>
      </c>
      <c r="AB46" s="74" t="s">
        <v>743</v>
      </c>
    </row>
    <row r="47" spans="2:28" ht="14.25" thickBot="1">
      <c r="B47" s="582" t="str">
        <f>"##SET1 "&amp;D47&amp;REPT(" ",fill_1-LEN(D47))&amp;TEXT(E47,F47)&amp;REPT(" ",fill_2-LEN(TEXT(E47,F47)))&amp;"! ["&amp;G47&amp;"]"</f>
        <v>##SET1 UFAD_Int_NumDiffsPerZone_TF[] 118.4683  ! [-]</v>
      </c>
      <c r="C47" s="580"/>
      <c r="D47" s="581" t="s">
        <v>1053</v>
      </c>
      <c r="E47" s="583">
        <v>118.46830919917244</v>
      </c>
      <c r="F47" s="14" t="s">
        <v>152</v>
      </c>
      <c r="G47" s="584" t="s">
        <v>212</v>
      </c>
      <c r="I47" s="63" t="s">
        <v>673</v>
      </c>
      <c r="J47" s="122">
        <v>70</v>
      </c>
      <c r="K47" s="4" t="s">
        <v>89</v>
      </c>
      <c r="T47" s="30">
        <v>0.1</v>
      </c>
      <c r="U47" s="99"/>
      <c r="V47" s="99"/>
      <c r="W47" s="30">
        <v>0</v>
      </c>
      <c r="Y47" s="30">
        <v>1</v>
      </c>
      <c r="Z47" s="30">
        <v>0</v>
      </c>
      <c r="AA47" s="30" t="s">
        <v>731</v>
      </c>
      <c r="AB47" s="30">
        <v>0</v>
      </c>
    </row>
    <row r="48" spans="2:28" ht="14.25" thickBot="1">
      <c r="B48" s="13" t="str">
        <f>"##SET1 "&amp;D48&amp;REPT(" ",fill_1-LEN(D48))&amp;TEXT(E48,F48)&amp;REPT(" ",20-LEN(TEXT(E48,F48)))&amp;"! ["&amp;G48&amp;"]"</f>
        <v>##SET1 UFAD_Int_PowerPerPlume[]      autocalculate       ! [-]</v>
      </c>
      <c r="D48" t="s">
        <v>449</v>
      </c>
      <c r="E48" s="618" t="str">
        <f>J89</f>
        <v>autocalculate</v>
      </c>
      <c r="F48" s="14"/>
      <c r="G48" s="32" t="s">
        <v>212</v>
      </c>
      <c r="I48" s="63" t="s">
        <v>674</v>
      </c>
      <c r="J48" s="122">
        <v>65</v>
      </c>
      <c r="K48" s="4" t="s">
        <v>89</v>
      </c>
      <c r="T48" s="30" t="s">
        <v>716</v>
      </c>
      <c r="U48" s="99"/>
      <c r="V48" s="99"/>
      <c r="W48" s="74" t="s">
        <v>720</v>
      </c>
      <c r="Y48" s="30" t="s">
        <v>731</v>
      </c>
      <c r="Z48" s="100" t="s">
        <v>736</v>
      </c>
      <c r="AA48" s="30">
        <v>0.05</v>
      </c>
      <c r="AB48" s="74" t="s">
        <v>718</v>
      </c>
    </row>
    <row r="49" spans="2:28" ht="14.25" thickBot="1">
      <c r="B49" s="13" t="str">
        <f>"##SET1 "&amp;D49&amp;REPT(" ",fill_1-LEN(D49))&amp;TEXT(E49,F49)&amp;REPT(" ",20-LEN(TEXT(E49,F49)))&amp;"! ["&amp;G49&amp;"]"</f>
        <v>##SET1 UFAD_Int_DiffEffectiveArea[]  0.03500             ! [m2]</v>
      </c>
      <c r="D49" t="s">
        <v>450</v>
      </c>
      <c r="E49" s="619">
        <f>IF(Int_DiffType="Custom",J90,"autosize")</f>
        <v>3.5000000000000003E-2</v>
      </c>
      <c r="F49" s="14" t="s">
        <v>149</v>
      </c>
      <c r="G49" s="26" t="str">
        <f>K89</f>
        <v>m2</v>
      </c>
      <c r="I49" s="63" t="s">
        <v>675</v>
      </c>
      <c r="J49" s="630" t="s">
        <v>489</v>
      </c>
      <c r="M49" s="581"/>
      <c r="T49" s="30">
        <v>0</v>
      </c>
      <c r="U49" s="99"/>
      <c r="V49" s="99"/>
      <c r="W49" s="30">
        <v>1</v>
      </c>
      <c r="Y49" s="30">
        <v>0.05</v>
      </c>
      <c r="Z49" s="30" t="s">
        <v>731</v>
      </c>
      <c r="AA49" s="100" t="s">
        <v>735</v>
      </c>
      <c r="AB49" s="30">
        <v>1</v>
      </c>
    </row>
    <row r="50" spans="2:28" ht="14.25" thickBot="1">
      <c r="B50" s="582" t="str">
        <f>"##SET1 "&amp;D50&amp;REPT(" ",fill_1-LEN(D50))&amp;TEXT(E50,F50)&amp;REPT(" ",20-LEN(TEXT(E50,F50)))&amp;"! ["&amp;G50&amp;"]"</f>
        <v>##SET1 UFAD_Int_DiffSlotAngle[]      45                  ! [deg]</v>
      </c>
      <c r="D50" t="s">
        <v>451</v>
      </c>
      <c r="E50" s="618">
        <f>IF(Int_DiffType="Custom",J91,"autosize")</f>
        <v>45</v>
      </c>
      <c r="F50" s="14" t="s">
        <v>211</v>
      </c>
      <c r="G50" s="26" t="str">
        <f>K90</f>
        <v>deg</v>
      </c>
      <c r="I50" s="392" t="s">
        <v>1116</v>
      </c>
      <c r="J50" s="122">
        <v>65</v>
      </c>
      <c r="M50" s="581"/>
      <c r="W50" s="30" t="s">
        <v>716</v>
      </c>
      <c r="Y50" s="100" t="s">
        <v>734</v>
      </c>
      <c r="Z50" s="30">
        <v>0.3</v>
      </c>
      <c r="AA50" s="30" t="s">
        <v>731</v>
      </c>
      <c r="AB50" s="30" t="s">
        <v>716</v>
      </c>
    </row>
    <row r="51" spans="2:28" ht="14.25" thickBot="1">
      <c r="B51" s="13" t="str">
        <f>"##SET1 "&amp;D51&amp;REPT(" ",fill_1-LEN(D51))&amp;TEXT(E51,F51)&amp;REPT(" ",fill_2-LEN(TEXT(E51,F51)))&amp;"! ["&amp;G51&amp;"]"</f>
        <v>##SET1 UFAD_Int_TStatHeight[]        0.20      ! [m]</v>
      </c>
      <c r="D51" t="s">
        <v>452</v>
      </c>
      <c r="E51" s="620">
        <f>J92</f>
        <v>0.2</v>
      </c>
      <c r="F51" s="14" t="s">
        <v>150</v>
      </c>
      <c r="G51" s="26" t="str">
        <f>K91</f>
        <v>m</v>
      </c>
      <c r="I51" s="63" t="s">
        <v>699</v>
      </c>
      <c r="J51" s="630" t="s">
        <v>489</v>
      </c>
      <c r="W51" s="30">
        <v>0</v>
      </c>
      <c r="Y51" s="30" t="s">
        <v>724</v>
      </c>
      <c r="AA51" s="30">
        <v>0</v>
      </c>
      <c r="AB51" s="30">
        <v>0</v>
      </c>
    </row>
    <row r="52" spans="2:28" ht="14.25" thickBot="1">
      <c r="B52" s="13" t="str">
        <f>"##SET1 "&amp;D52&amp;REPT(" ",fill_1-LEN(D52))&amp;TEXT(E52,F52)&amp;REPT(" ",fill_2-LEN(TEXT(E52,F52)))&amp;"! ["&amp;G52&amp;"]"</f>
        <v>##SET1 UFAD_Int_ComfortHeight[]      0.61      ! [m]</v>
      </c>
      <c r="D52" t="s">
        <v>453</v>
      </c>
      <c r="E52" s="620">
        <f>J93</f>
        <v>0.61</v>
      </c>
      <c r="F52" s="14" t="s">
        <v>150</v>
      </c>
      <c r="G52" s="26" t="str">
        <f>K92</f>
        <v>m</v>
      </c>
      <c r="I52" s="63" t="s">
        <v>701</v>
      </c>
      <c r="J52" s="630" t="s">
        <v>488</v>
      </c>
      <c r="Y52" s="30">
        <v>0</v>
      </c>
      <c r="AA52" s="100" t="s">
        <v>736</v>
      </c>
      <c r="AB52" t="s">
        <v>717</v>
      </c>
    </row>
    <row r="53" spans="2:28" ht="14.25" thickBot="1">
      <c r="B53" s="13" t="str">
        <f>"##SET1 "&amp;D53&amp;REPT(" ",fill_1-LEN(D53))&amp;TEXT(E53,F53)&amp;REPT(" ",fill_2-LEN(TEXT(E53,F53)))&amp;"! ["&amp;G53&amp;"]"</f>
        <v>##SET1 UFAD_Int_TempDiffReporting[]  0.001     ! [C]</v>
      </c>
      <c r="D53" t="s">
        <v>454</v>
      </c>
      <c r="E53" s="621">
        <f>J94</f>
        <v>1E-3</v>
      </c>
      <c r="F53" s="14" t="s">
        <v>151</v>
      </c>
      <c r="G53" s="26" t="str">
        <f>K93</f>
        <v>C</v>
      </c>
      <c r="I53" s="571" t="s">
        <v>994</v>
      </c>
      <c r="J53" s="632">
        <v>0.5</v>
      </c>
      <c r="Y53" s="30" t="s">
        <v>726</v>
      </c>
      <c r="AA53" s="30" t="s">
        <v>731</v>
      </c>
      <c r="AB53" s="30" t="s">
        <v>731</v>
      </c>
    </row>
    <row r="54" spans="2:28" ht="14.25" thickBot="1">
      <c r="B54" s="13" t="str">
        <f>"##SET1 "&amp;D54&amp;REPT(" ",fill_1-LEN(D54))&amp;TEXT(E54,F54)&amp;REPT(" ",20-LEN(TEXT(E54,F54)))&amp;"! ["&amp;G54&amp;"]"</f>
        <v>##SET1 UFAD_Int_DiffType[]           Custom              ! [-]</v>
      </c>
      <c r="D54" t="s">
        <v>455</v>
      </c>
      <c r="E54" s="622" t="str">
        <f>J88</f>
        <v>Custom</v>
      </c>
      <c r="F54" s="14"/>
      <c r="G54" s="26" t="str">
        <f>K87</f>
        <v>-</v>
      </c>
      <c r="I54" s="63" t="s">
        <v>704</v>
      </c>
      <c r="J54" s="630" t="s">
        <v>488</v>
      </c>
      <c r="K54" s="2"/>
      <c r="Y54" s="30">
        <v>0.1</v>
      </c>
      <c r="AA54" s="30">
        <v>0.05</v>
      </c>
      <c r="AB54" s="30">
        <v>0</v>
      </c>
    </row>
    <row r="55" spans="2:28" ht="14.25" thickBot="1">
      <c r="B55" s="13" t="str">
        <f>"##SET1 "&amp;D55&amp;REPT(" ",fill_1-LEN(D55))&amp;TEXT(E55,F55)&amp;REPT(" ",20-LEN(TEXT(E55,F55)))&amp;"! ["&amp;G55&amp;"]"</f>
        <v>##SET1 UFAD_Int_TransitionHeight[]   1.70                ! [m]</v>
      </c>
      <c r="D55" t="s">
        <v>456</v>
      </c>
      <c r="E55" s="620">
        <f t="shared" ref="E55:E60" si="4">J95</f>
        <v>1.7</v>
      </c>
      <c r="F55" s="14" t="s">
        <v>150</v>
      </c>
      <c r="G55" s="26" t="str">
        <f t="shared" ref="G55:G60" si="5">K94</f>
        <v>m</v>
      </c>
      <c r="I55" s="63" t="s">
        <v>705</v>
      </c>
      <c r="J55" s="637" t="s">
        <v>488</v>
      </c>
      <c r="Y55" s="30" t="s">
        <v>727</v>
      </c>
      <c r="AB55" s="74"/>
    </row>
    <row r="56" spans="2:28" ht="14.25" thickBot="1">
      <c r="B56" s="13" t="str">
        <f t="shared" ref="B56:B61" si="6">"##SET1 "&amp;D56&amp;REPT(" ",fill_1-LEN(D56))&amp;TEXT(E56,F56)&amp;REPT(" ",fill_2-LEN(TEXT(E56,F56)))&amp;"! ["&amp;G56&amp;"]"</f>
        <v>##SET1 UFAD_Int_CoeffA[]             0.0000    ! [-]</v>
      </c>
      <c r="D56" t="s">
        <v>457</v>
      </c>
      <c r="E56" s="27">
        <f t="shared" si="4"/>
        <v>0</v>
      </c>
      <c r="F56" s="14" t="s">
        <v>152</v>
      </c>
      <c r="G56" s="26" t="str">
        <f t="shared" si="5"/>
        <v>-</v>
      </c>
      <c r="I56" s="63" t="s">
        <v>813</v>
      </c>
      <c r="J56" s="632">
        <v>1.2</v>
      </c>
      <c r="Y56" s="30">
        <v>0.3</v>
      </c>
      <c r="AB56" s="30"/>
    </row>
    <row r="57" spans="2:28" ht="14.25" thickBot="1">
      <c r="B57" s="13" t="str">
        <f t="shared" si="6"/>
        <v>##SET1 UFAD_Int_CoeffB[]             0.0000    ! [-]</v>
      </c>
      <c r="D57" t="s">
        <v>84</v>
      </c>
      <c r="E57" s="27">
        <f t="shared" si="4"/>
        <v>0</v>
      </c>
      <c r="F57" s="14" t="s">
        <v>152</v>
      </c>
      <c r="G57" s="26" t="str">
        <f t="shared" si="5"/>
        <v>-</v>
      </c>
      <c r="I57" s="392" t="s">
        <v>909</v>
      </c>
      <c r="J57" s="630" t="s">
        <v>1057</v>
      </c>
      <c r="Y57" s="30" t="s">
        <v>729</v>
      </c>
      <c r="AB57" s="30"/>
    </row>
    <row r="58" spans="2:28" ht="14.25" thickBot="1">
      <c r="B58" s="13" t="str">
        <f t="shared" si="6"/>
        <v>##SET1 UFAD_Int_CoeffC[]             0.8000    ! [-]</v>
      </c>
      <c r="D58" t="s">
        <v>144</v>
      </c>
      <c r="E58" s="27">
        <f t="shared" si="4"/>
        <v>0.8</v>
      </c>
      <c r="F58" s="14" t="s">
        <v>152</v>
      </c>
      <c r="G58" s="26" t="str">
        <f t="shared" si="5"/>
        <v>-</v>
      </c>
      <c r="I58" s="392" t="s">
        <v>979</v>
      </c>
      <c r="J58" s="630" t="s">
        <v>1033</v>
      </c>
      <c r="Y58" s="30">
        <v>0.1</v>
      </c>
      <c r="AB58" s="30"/>
    </row>
    <row r="59" spans="2:28" ht="14.25" thickBot="1">
      <c r="B59" s="13" t="str">
        <f t="shared" si="6"/>
        <v>##SET1 UFAD_Int_CoeffD[]             0.0000    ! [-]</v>
      </c>
      <c r="D59" t="s">
        <v>145</v>
      </c>
      <c r="E59" s="27">
        <f t="shared" si="4"/>
        <v>0</v>
      </c>
      <c r="F59" s="14" t="s">
        <v>152</v>
      </c>
      <c r="G59" s="26" t="str">
        <f t="shared" si="5"/>
        <v>-</v>
      </c>
      <c r="I59" s="392" t="s">
        <v>980</v>
      </c>
      <c r="J59" s="630" t="s">
        <v>907</v>
      </c>
      <c r="Y59" s="30" t="s">
        <v>731</v>
      </c>
    </row>
    <row r="60" spans="2:28" ht="14.25" thickBot="1">
      <c r="B60" s="13" t="str">
        <f t="shared" si="6"/>
        <v>##SET1 UFAD_Int_CoeffE[]             0.00000   ! [-]</v>
      </c>
      <c r="D60" t="s">
        <v>146</v>
      </c>
      <c r="E60" s="27">
        <f t="shared" si="4"/>
        <v>0</v>
      </c>
      <c r="F60" s="50" t="s">
        <v>149</v>
      </c>
      <c r="G60" s="26" t="str">
        <f t="shared" si="5"/>
        <v>-</v>
      </c>
      <c r="I60" s="392" t="s">
        <v>1118</v>
      </c>
      <c r="J60" s="630" t="s">
        <v>1121</v>
      </c>
      <c r="L60" t="s">
        <v>108</v>
      </c>
      <c r="M60" t="s">
        <v>107</v>
      </c>
      <c r="N60" s="4" t="s">
        <v>572</v>
      </c>
      <c r="O60" s="4"/>
      <c r="Y60" s="30">
        <v>0</v>
      </c>
    </row>
    <row r="61" spans="2:28" ht="14.25" thickBot="1">
      <c r="B61" s="13" t="str">
        <f t="shared" si="6"/>
        <v>##SET1 Internal_Mass[]               Yes       ! []</v>
      </c>
      <c r="D61" t="s">
        <v>525</v>
      </c>
      <c r="E61" s="623" t="str">
        <f>Internal_Mass</f>
        <v>Yes</v>
      </c>
      <c r="F61" s="14" t="s">
        <v>152</v>
      </c>
      <c r="G61" s="26"/>
      <c r="I61" s="392" t="s">
        <v>1083</v>
      </c>
      <c r="J61" s="630" t="s">
        <v>1034</v>
      </c>
      <c r="L61" s="45">
        <f>N61*O61</f>
        <v>0</v>
      </c>
      <c r="M61" s="45">
        <v>1.9970537981965919</v>
      </c>
      <c r="N61" s="88">
        <v>1</v>
      </c>
      <c r="O61" s="46"/>
      <c r="Y61" s="100" t="s">
        <v>735</v>
      </c>
    </row>
    <row r="62" spans="2:28" ht="14.25" thickBot="1">
      <c r="B62" s="33"/>
      <c r="E62" s="27"/>
      <c r="F62" s="14"/>
      <c r="G62" s="26"/>
      <c r="I62" s="392" t="s">
        <v>2569</v>
      </c>
      <c r="J62" s="648">
        <v>0.06</v>
      </c>
      <c r="L62" s="45">
        <f>N62*O62</f>
        <v>0</v>
      </c>
      <c r="M62" s="45">
        <v>1.9970537981965919</v>
      </c>
      <c r="N62" s="88">
        <v>1</v>
      </c>
      <c r="O62" s="46"/>
      <c r="Y62" s="30" t="s">
        <v>731</v>
      </c>
    </row>
    <row r="63" spans="2:28" ht="14.25" thickBot="1">
      <c r="B63" s="13" t="str">
        <f t="shared" ref="B63:B78" si="7">"##SET1 "&amp;D63&amp;REPT(" ",fill_1-LEN(D63))&amp;TEXT(E63,F63)&amp;REPT(" ",fill_2-LEN(TEXT(E63,F63)))&amp;"! ["&amp;G63&amp;"]"</f>
        <v>##SET1 Window_Height_GF[]            1.8276    ! [m]</v>
      </c>
      <c r="D63" t="s">
        <v>10</v>
      </c>
      <c r="E63" s="34">
        <f>IF(RunType="OH",0.27+((3.9624-0)*J19*IF(J7="No",1,E264)),0.52+((3.9624-0)*J19))</f>
        <v>1.8275920000000001</v>
      </c>
      <c r="F63" s="14" t="s">
        <v>152</v>
      </c>
      <c r="G63" s="32" t="s">
        <v>236</v>
      </c>
      <c r="I63" s="392" t="s">
        <v>2570</v>
      </c>
      <c r="J63" s="648">
        <v>0.12</v>
      </c>
      <c r="L63" s="45">
        <f>N63*O63</f>
        <v>0</v>
      </c>
      <c r="M63" s="45">
        <v>0.24191766666666667</v>
      </c>
      <c r="N63" s="88">
        <v>1</v>
      </c>
      <c r="O63" s="46"/>
      <c r="Y63" s="30">
        <v>0</v>
      </c>
    </row>
    <row r="64" spans="2:28" ht="13.5">
      <c r="B64" s="13" t="str">
        <f t="shared" si="7"/>
        <v>##SET1 Window_Height_MF[]            5.9276    ! [m]</v>
      </c>
      <c r="D64" t="s">
        <v>11</v>
      </c>
      <c r="E64" s="34">
        <f>IF(RunType="OH",4.07+((7.9248-3.9624)*J19*IF(J7="No",1,E264)),4.62+((7.9248-3.9624)*J19))</f>
        <v>5.9275920000000006</v>
      </c>
      <c r="F64" s="14" t="s">
        <v>152</v>
      </c>
      <c r="G64" s="32" t="s">
        <v>236</v>
      </c>
      <c r="K64" s="1"/>
      <c r="L64" s="45">
        <f>N64*O64</f>
        <v>0</v>
      </c>
      <c r="M64" s="45">
        <v>3.1447251942021643</v>
      </c>
      <c r="N64" s="88">
        <v>1</v>
      </c>
      <c r="O64" s="46"/>
      <c r="Y64" s="100" t="s">
        <v>736</v>
      </c>
    </row>
    <row r="65" spans="2:25" ht="13.5">
      <c r="B65" s="13" t="str">
        <f t="shared" si="7"/>
        <v>##SET1 Window_Height_TF[]            9.8276    ! [m]</v>
      </c>
      <c r="D65" t="s">
        <v>5</v>
      </c>
      <c r="E65" s="34">
        <f>IF(RunType="OH",8.17+((11.8872-7.9248)*J19*IF(J7="No",1,E264)),8.52+((11.8872-7.9248)*J19))</f>
        <v>9.8275919999999992</v>
      </c>
      <c r="F65" s="14" t="s">
        <v>152</v>
      </c>
      <c r="G65" s="32" t="s">
        <v>236</v>
      </c>
      <c r="I65" s="95" t="s">
        <v>685</v>
      </c>
      <c r="J65" s="2" t="s">
        <v>694</v>
      </c>
      <c r="Y65" s="74" t="s">
        <v>731</v>
      </c>
    </row>
    <row r="66" spans="2:25" ht="14.25" thickBot="1">
      <c r="B66" s="582" t="str">
        <f t="shared" si="7"/>
        <v>##SET1 Area/Person_Core[]            9.3       ! [-]</v>
      </c>
      <c r="C66" s="580"/>
      <c r="D66" s="581" t="s">
        <v>1115</v>
      </c>
      <c r="E66" s="37">
        <f>J24/10.76</f>
        <v>9.2936802973977706</v>
      </c>
      <c r="F66" s="14" t="s">
        <v>162</v>
      </c>
      <c r="G66" s="584" t="s">
        <v>212</v>
      </c>
      <c r="I66" s="25" t="s">
        <v>447</v>
      </c>
      <c r="J66" s="1"/>
      <c r="K66" s="393"/>
      <c r="N66" s="612"/>
      <c r="Y66" s="30">
        <v>0</v>
      </c>
    </row>
    <row r="67" spans="2:25" ht="14.25" thickBot="1">
      <c r="B67" s="13" t="str">
        <f t="shared" si="7"/>
        <v>##SET1 Area/Person[]                 9.3       ! [-]</v>
      </c>
      <c r="D67" s="581" t="s">
        <v>1038</v>
      </c>
      <c r="E67" s="37">
        <f>J27/10.76</f>
        <v>9.2936802973977706</v>
      </c>
      <c r="F67" s="14" t="s">
        <v>162</v>
      </c>
      <c r="G67" s="32" t="s">
        <v>212</v>
      </c>
      <c r="I67" s="639" t="s">
        <v>2531</v>
      </c>
      <c r="J67" s="642">
        <f>VLOOKUP(Perim_DiffType,lists!$B$13:$C$20,2,FALSE)</f>
        <v>100</v>
      </c>
      <c r="K67" s="393" t="s">
        <v>2546</v>
      </c>
      <c r="N67" s="612"/>
    </row>
    <row r="68" spans="2:25" ht="14.25" thickBot="1">
      <c r="B68" s="582" t="str">
        <f t="shared" si="7"/>
        <v>##SET1 Floor_Multiplier[]            1.0       ! [-]</v>
      </c>
      <c r="D68" s="581" t="s">
        <v>1059</v>
      </c>
      <c r="E68" s="624">
        <f>Q43</f>
        <v>1</v>
      </c>
      <c r="F68" s="14" t="s">
        <v>162</v>
      </c>
      <c r="G68" s="584" t="s">
        <v>212</v>
      </c>
      <c r="I68" s="643" t="s">
        <v>2540</v>
      </c>
      <c r="J68" s="632">
        <v>1</v>
      </c>
      <c r="K68" s="393"/>
      <c r="N68" s="612"/>
    </row>
    <row r="69" spans="2:25" ht="14.25" thickBot="1">
      <c r="B69" s="582" t="str">
        <f t="shared" si="7"/>
        <v>##SET1 FloorMultiplier_Flag[]        No        ! [-]</v>
      </c>
      <c r="D69" s="581" t="s">
        <v>1060</v>
      </c>
      <c r="E69" s="624" t="str">
        <f>IF(Q43=1,"No","Yes")</f>
        <v>No</v>
      </c>
      <c r="F69" s="14" t="s">
        <v>162</v>
      </c>
      <c r="G69" s="584" t="s">
        <v>212</v>
      </c>
      <c r="I69" s="643" t="s">
        <v>2538</v>
      </c>
      <c r="J69" s="632">
        <v>0.8</v>
      </c>
      <c r="K69" s="393"/>
      <c r="Y69" s="30"/>
    </row>
    <row r="70" spans="2:25" ht="14.25" thickBot="1">
      <c r="B70" s="582"/>
      <c r="E70" s="27"/>
      <c r="F70" s="14"/>
      <c r="G70" s="32"/>
      <c r="I70" s="102" t="s">
        <v>240</v>
      </c>
      <c r="J70" s="635" t="s">
        <v>2529</v>
      </c>
      <c r="K70" s="1" t="s">
        <v>212</v>
      </c>
      <c r="Y70" s="30"/>
    </row>
    <row r="71" spans="2:25" ht="14.25" thickBot="1">
      <c r="B71" s="582" t="str">
        <f t="shared" si="7"/>
        <v>##SET1 Lighting_Level_Core[]         10.8      ! [W]</v>
      </c>
      <c r="C71" s="580"/>
      <c r="D71" s="581" t="s">
        <v>1114</v>
      </c>
      <c r="E71" s="27">
        <f>J25*10.76</f>
        <v>10.76</v>
      </c>
      <c r="F71" s="14" t="s">
        <v>162</v>
      </c>
      <c r="G71" s="32" t="s">
        <v>232</v>
      </c>
      <c r="I71" s="102" t="s">
        <v>231</v>
      </c>
      <c r="J71" s="651">
        <v>150</v>
      </c>
      <c r="K71" s="20" t="s">
        <v>232</v>
      </c>
      <c r="Y71" s="30"/>
    </row>
    <row r="72" spans="2:25" ht="14.25" thickBot="1">
      <c r="B72" s="582" t="str">
        <f t="shared" si="7"/>
        <v>##SET1 Lighting_Level[]              10.8      ! [W]</v>
      </c>
      <c r="D72" s="581" t="s">
        <v>1037</v>
      </c>
      <c r="E72" s="27">
        <f>J28*10.76</f>
        <v>10.76</v>
      </c>
      <c r="F72" s="14" t="s">
        <v>162</v>
      </c>
      <c r="G72" s="32" t="s">
        <v>232</v>
      </c>
      <c r="I72" s="643" t="s">
        <v>2544</v>
      </c>
      <c r="J72" s="634">
        <v>3.5000000000000003E-2</v>
      </c>
      <c r="K72" s="1" t="s">
        <v>233</v>
      </c>
      <c r="Y72" s="30"/>
    </row>
    <row r="73" spans="2:25" ht="14.25" thickBot="1">
      <c r="B73" s="582" t="str">
        <f t="shared" si="7"/>
        <v>##SET1 Central_HeatingCoil[]         Off       ! [-]</v>
      </c>
      <c r="D73" s="581" t="s">
        <v>1084</v>
      </c>
      <c r="E73" s="620" t="str">
        <f>J61</f>
        <v>Off</v>
      </c>
      <c r="F73" s="14" t="s">
        <v>162</v>
      </c>
      <c r="G73" s="584" t="s">
        <v>212</v>
      </c>
      <c r="I73" s="643" t="s">
        <v>2545</v>
      </c>
      <c r="J73" s="632">
        <v>45</v>
      </c>
      <c r="K73" s="1" t="s">
        <v>234</v>
      </c>
    </row>
    <row r="74" spans="2:25" ht="14.25" thickBot="1">
      <c r="B74" s="582"/>
      <c r="E74" s="27"/>
      <c r="F74" s="14"/>
      <c r="G74" s="32"/>
      <c r="I74" s="102" t="s">
        <v>235</v>
      </c>
      <c r="J74" s="632">
        <v>0.2</v>
      </c>
      <c r="K74" s="1" t="s">
        <v>236</v>
      </c>
    </row>
    <row r="75" spans="2:25" ht="14.25" thickBot="1">
      <c r="B75" s="582"/>
      <c r="E75" s="27"/>
      <c r="F75" s="14"/>
      <c r="G75" s="32"/>
      <c r="I75" s="102" t="s">
        <v>237</v>
      </c>
      <c r="J75" s="632">
        <v>0.61</v>
      </c>
      <c r="K75" s="1" t="s">
        <v>236</v>
      </c>
    </row>
    <row r="76" spans="2:25" ht="14.25" thickBot="1">
      <c r="B76" s="582" t="str">
        <f t="shared" si="7"/>
        <v>##SET1 Equipment_Level_Core[]        8.1       ! [W]</v>
      </c>
      <c r="C76" s="580"/>
      <c r="D76" s="581" t="s">
        <v>1113</v>
      </c>
      <c r="E76" s="27">
        <f>J26*10.76</f>
        <v>8.07</v>
      </c>
      <c r="F76" s="14" t="s">
        <v>162</v>
      </c>
      <c r="G76" s="32" t="s">
        <v>232</v>
      </c>
      <c r="I76" s="102" t="s">
        <v>238</v>
      </c>
      <c r="J76" s="632">
        <v>1E-3</v>
      </c>
      <c r="K76" s="1" t="s">
        <v>239</v>
      </c>
    </row>
    <row r="77" spans="2:25" ht="14.25" thickBot="1">
      <c r="B77" s="13" t="str">
        <f t="shared" si="7"/>
        <v>##SET1 Equipment_Level[]             8.1       ! [W]</v>
      </c>
      <c r="D77" s="581" t="s">
        <v>1036</v>
      </c>
      <c r="E77" s="27">
        <f>J29*10.76</f>
        <v>8.07</v>
      </c>
      <c r="F77" s="14" t="s">
        <v>162</v>
      </c>
      <c r="G77" s="32" t="s">
        <v>232</v>
      </c>
      <c r="I77" s="102" t="s">
        <v>241</v>
      </c>
      <c r="J77" s="632">
        <v>1.7</v>
      </c>
      <c r="K77" s="20" t="s">
        <v>236</v>
      </c>
      <c r="P77" s="581" t="s">
        <v>1117</v>
      </c>
    </row>
    <row r="78" spans="2:25" ht="39.75" thickBot="1">
      <c r="B78" s="582" t="str">
        <f t="shared" si="7"/>
        <v>##SET1 Chiller_SizingFactor[]        1.0       ! [-]</v>
      </c>
      <c r="D78" t="s">
        <v>1122</v>
      </c>
      <c r="E78" s="27">
        <v>1</v>
      </c>
      <c r="F78" s="14" t="s">
        <v>162</v>
      </c>
      <c r="G78" s="584" t="s">
        <v>212</v>
      </c>
      <c r="I78" s="103" t="s">
        <v>242</v>
      </c>
      <c r="J78" s="632">
        <v>0</v>
      </c>
    </row>
    <row r="79" spans="2:25" ht="14.25" thickBot="1">
      <c r="B79" s="13"/>
      <c r="E79" s="27"/>
      <c r="F79" s="14"/>
      <c r="G79" s="32"/>
      <c r="I79" s="102" t="s">
        <v>243</v>
      </c>
      <c r="J79" s="632">
        <v>0</v>
      </c>
    </row>
    <row r="80" spans="2:25" ht="14.25" thickBot="1">
      <c r="B80" s="13"/>
      <c r="E80" s="27"/>
      <c r="F80" s="14"/>
      <c r="G80" s="32"/>
      <c r="I80" s="102" t="s">
        <v>244</v>
      </c>
      <c r="J80" s="632">
        <v>0.8</v>
      </c>
    </row>
    <row r="81" spans="2:15" ht="14.25" thickBot="1">
      <c r="B81" s="13" t="str">
        <f t="shared" ref="B81:B98" si="8">"##SET1 "&amp;D81&amp;REPT(" ",fill_1-LEN(D81))&amp;TEXT(E81,F81)&amp;REPT(" ",fill_2-LEN(TEXT(E81,F81)))&amp;"! ["&amp;G81&amp;"]"</f>
        <v>##SET1 AHU_SAT_SPT[]                 15.56     ! [C]</v>
      </c>
      <c r="D81" t="s">
        <v>173</v>
      </c>
      <c r="E81" s="34">
        <f>CONVERT(AHU_SAT,"F","C")</f>
        <v>15.555555555555555</v>
      </c>
      <c r="F81" s="14" t="s">
        <v>150</v>
      </c>
      <c r="G81" s="32" t="s">
        <v>239</v>
      </c>
      <c r="I81" s="102" t="s">
        <v>147</v>
      </c>
      <c r="J81" s="632">
        <v>0</v>
      </c>
      <c r="L81" t="s">
        <v>108</v>
      </c>
      <c r="M81" t="s">
        <v>107</v>
      </c>
      <c r="N81" s="4" t="s">
        <v>572</v>
      </c>
      <c r="O81" s="4" t="s">
        <v>573</v>
      </c>
    </row>
    <row r="82" spans="2:15" ht="14.25" thickBot="1">
      <c r="B82" s="13" t="str">
        <f t="shared" si="8"/>
        <v>##SET1 AHU_SAT_SPT_Cool[]            15.56     ! [C]</v>
      </c>
      <c r="D82" t="s">
        <v>65</v>
      </c>
      <c r="E82" s="34">
        <f>E81</f>
        <v>15.555555555555555</v>
      </c>
      <c r="F82" s="14" t="s">
        <v>150</v>
      </c>
      <c r="G82" s="32" t="s">
        <v>239</v>
      </c>
      <c r="I82" s="102" t="s">
        <v>148</v>
      </c>
      <c r="J82" s="632">
        <v>0</v>
      </c>
      <c r="K82" s="1"/>
      <c r="L82" s="45">
        <f>N82*O82</f>
        <v>0.8</v>
      </c>
      <c r="M82" s="45">
        <v>6.7092345575065799</v>
      </c>
      <c r="N82" s="88">
        <v>1</v>
      </c>
      <c r="O82" s="46">
        <f>J87</f>
        <v>0.8</v>
      </c>
    </row>
    <row r="83" spans="2:15" ht="13.5">
      <c r="B83" s="13" t="str">
        <f t="shared" si="8"/>
        <v>##SET1 AHU_SAT_SPT_Heat[]            21.50     ! [C]</v>
      </c>
      <c r="D83" t="s">
        <v>333</v>
      </c>
      <c r="E83" s="34">
        <v>21.5</v>
      </c>
      <c r="F83" s="14" t="s">
        <v>150</v>
      </c>
      <c r="G83" s="32" t="s">
        <v>239</v>
      </c>
      <c r="K83" s="1"/>
    </row>
    <row r="84" spans="2:15" ht="14.25" thickBot="1">
      <c r="B84" s="13" t="str">
        <f t="shared" si="8"/>
        <v>##SET1 AHU_Design_SP[]               600.00    ! [Pa]</v>
      </c>
      <c r="D84" t="s">
        <v>13</v>
      </c>
      <c r="E84" s="34">
        <f>250*J40</f>
        <v>600</v>
      </c>
      <c r="F84" s="14" t="s">
        <v>150</v>
      </c>
      <c r="G84" s="32" t="s">
        <v>15</v>
      </c>
      <c r="I84" s="25" t="s">
        <v>448</v>
      </c>
      <c r="J84" s="1"/>
      <c r="K84" s="1"/>
    </row>
    <row r="85" spans="2:15" ht="14.25" thickBot="1">
      <c r="B85" s="13" t="str">
        <f t="shared" si="8"/>
        <v>##SET1 CC_Intlet_Temp[]              32.67     ! [C]</v>
      </c>
      <c r="D85" t="s">
        <v>398</v>
      </c>
      <c r="E85" s="34">
        <f>31+E81-13.89</f>
        <v>32.665555555555557</v>
      </c>
      <c r="F85" s="14" t="s">
        <v>150</v>
      </c>
      <c r="G85" s="32" t="s">
        <v>239</v>
      </c>
      <c r="I85" s="647" t="s">
        <v>2531</v>
      </c>
      <c r="J85" s="642">
        <f>VLOOKUP(Int_DiffType,lists!$B$13:$C$20,2,FALSE)</f>
        <v>100</v>
      </c>
      <c r="K85" s="47" t="s">
        <v>749</v>
      </c>
    </row>
    <row r="86" spans="2:15" ht="14.25" thickBot="1">
      <c r="B86" s="13" t="str">
        <f>"##SET1 "&amp;D86&amp;REPT(" ",fill_1-LEN(D86))&amp;TEXT(E86,F86)&amp;REPT(" ",fill_2-LEN(TEXT(E86,F86)))&amp;"! ["&amp;G86&amp;"]"</f>
        <v>##SET1 CC_Outlet_Temp[]              14.56     ! [C]</v>
      </c>
      <c r="D86" t="s">
        <v>397</v>
      </c>
      <c r="E86" s="34">
        <f>E81-1</f>
        <v>14.555555555555555</v>
      </c>
      <c r="F86" s="14" t="s">
        <v>150</v>
      </c>
      <c r="G86" s="32" t="s">
        <v>239</v>
      </c>
      <c r="I86" s="643" t="s">
        <v>2540</v>
      </c>
      <c r="J86" s="632">
        <v>1</v>
      </c>
      <c r="K86" s="393" t="s">
        <v>212</v>
      </c>
    </row>
    <row r="87" spans="2:15" ht="14.25" thickBot="1">
      <c r="B87" s="13" t="str">
        <f t="shared" si="8"/>
        <v>##SET1 Zone_Cool_SAT_Perim[]         19.56     ! [C]</v>
      </c>
      <c r="D87" s="581" t="s">
        <v>341</v>
      </c>
      <c r="E87" s="34">
        <v>19.555555555555557</v>
      </c>
      <c r="F87" s="14" t="s">
        <v>150</v>
      </c>
      <c r="G87" s="32" t="s">
        <v>239</v>
      </c>
      <c r="I87" s="596" t="s">
        <v>1054</v>
      </c>
      <c r="J87" s="632">
        <v>0.8</v>
      </c>
      <c r="K87" s="1" t="s">
        <v>212</v>
      </c>
    </row>
    <row r="88" spans="2:15" ht="14.25" thickBot="1">
      <c r="B88" s="13" t="str">
        <f>"##SET1 "&amp;D88&amp;REPT(" ",fill_1-LEN(D88))&amp;TEXT(E88,F88)&amp;REPT(" ",fill_2-LEN(TEXT(E88,F88)))&amp;"! ["&amp;G88&amp;"]"</f>
        <v>##SET1 Zone_Cool_SAT_Serv[]          16.56     ! [C]</v>
      </c>
      <c r="D88" t="s">
        <v>342</v>
      </c>
      <c r="E88" s="34">
        <f>IF(RunType="OH",E81+1,E81+1)</f>
        <v>16.555555555555557</v>
      </c>
      <c r="F88" s="14" t="s">
        <v>150</v>
      </c>
      <c r="G88" s="32" t="s">
        <v>239</v>
      </c>
      <c r="I88" s="102" t="s">
        <v>240</v>
      </c>
      <c r="J88" s="635" t="s">
        <v>2529</v>
      </c>
      <c r="K88" s="20" t="s">
        <v>232</v>
      </c>
    </row>
    <row r="89" spans="2:15" ht="14.25" thickBot="1">
      <c r="B89" s="13" t="str">
        <f>"##SET1 "&amp;D89&amp;REPT(" ",fill_1-LEN(D89))&amp;TEXT(E89,F89)&amp;REPT(" ",fill_2-LEN(TEXT(E89,F89)))&amp;"! ["&amp;G89&amp;"]"</f>
        <v>##SET1 Zone_Cool_SAT_Core[]          16.56     ! [C]</v>
      </c>
      <c r="D89" t="s">
        <v>343</v>
      </c>
      <c r="E89" s="34">
        <v>16.555555555555557</v>
      </c>
      <c r="F89" s="14" t="s">
        <v>150</v>
      </c>
      <c r="G89" s="32" t="s">
        <v>239</v>
      </c>
      <c r="I89" s="102" t="s">
        <v>231</v>
      </c>
      <c r="J89" s="648" t="s">
        <v>23</v>
      </c>
      <c r="K89" s="1" t="s">
        <v>233</v>
      </c>
    </row>
    <row r="90" spans="2:15" ht="14.25" thickBot="1">
      <c r="B90" s="13" t="str">
        <f>"##SET1 "&amp;D90&amp;REPT(" ",fill_1-LEN(D90))&amp;TEXT(E90,F90)&amp;REPT(" ",20-LEN(TEXT(E90,F90)))&amp;"! ["&amp;G90&amp;"]"</f>
        <v>##SET1 Internal_Schedule[]           0.00                ! []</v>
      </c>
      <c r="D90" s="4" t="s">
        <v>710</v>
      </c>
      <c r="E90" s="623">
        <f>J30</f>
        <v>0</v>
      </c>
      <c r="F90" s="14" t="s">
        <v>150</v>
      </c>
      <c r="G90" s="32"/>
      <c r="I90" s="643" t="s">
        <v>2544</v>
      </c>
      <c r="J90" s="634">
        <v>3.5000000000000003E-2</v>
      </c>
      <c r="K90" s="1" t="s">
        <v>234</v>
      </c>
    </row>
    <row r="91" spans="2:15" ht="14.25" thickBot="1">
      <c r="B91" s="13" t="str">
        <f>"##SET1 "&amp;D91&amp;REPT(" ",fill_1-LEN(D91))&amp;TEXT(E91,F91)&amp;REPT(" ",20-LEN(TEXT(E91,F91)))&amp;"! ["&amp;G91&amp;"]"</f>
        <v>##SET1 HVAC_Schedule[]               0.00                ! [-]</v>
      </c>
      <c r="D91" s="4" t="s">
        <v>738</v>
      </c>
      <c r="E91" s="623">
        <f>E90</f>
        <v>0</v>
      </c>
      <c r="F91" s="14" t="s">
        <v>150</v>
      </c>
      <c r="G91" s="32" t="s">
        <v>212</v>
      </c>
      <c r="I91" s="643" t="s">
        <v>2545</v>
      </c>
      <c r="J91" s="632">
        <v>45</v>
      </c>
      <c r="K91" s="1" t="s">
        <v>236</v>
      </c>
    </row>
    <row r="92" spans="2:15" ht="14.25" thickBot="1">
      <c r="B92" s="13" t="str">
        <f t="shared" si="8"/>
        <v>##SET1 High_AHU_SAT[]                18.33     ! [C]</v>
      </c>
      <c r="D92" s="4" t="s">
        <v>677</v>
      </c>
      <c r="E92" s="34">
        <f>CONVERT(J50,"F","C")</f>
        <v>18.333333333333332</v>
      </c>
      <c r="F92" s="14" t="s">
        <v>150</v>
      </c>
      <c r="G92" s="32" t="s">
        <v>239</v>
      </c>
      <c r="I92" s="102" t="s">
        <v>235</v>
      </c>
      <c r="J92" s="632">
        <v>0.2</v>
      </c>
      <c r="K92" s="1" t="s">
        <v>236</v>
      </c>
    </row>
    <row r="93" spans="2:15" ht="14.25" thickBot="1">
      <c r="B93" s="13" t="str">
        <f t="shared" si="8"/>
        <v>##SET1 INTReheat_Coil_ONOFF[]        0.0       ! [-]</v>
      </c>
      <c r="D93" t="s">
        <v>66</v>
      </c>
      <c r="E93" s="623">
        <f>IF(Q36="ON",1,0)</f>
        <v>0</v>
      </c>
      <c r="F93" s="14" t="s">
        <v>162</v>
      </c>
      <c r="G93" s="32" t="s">
        <v>212</v>
      </c>
      <c r="I93" s="102" t="s">
        <v>237</v>
      </c>
      <c r="J93" s="634">
        <v>0.61</v>
      </c>
      <c r="K93" s="1" t="s">
        <v>239</v>
      </c>
    </row>
    <row r="94" spans="2:15" ht="14.25" thickBot="1">
      <c r="B94" s="13" t="str">
        <f t="shared" si="8"/>
        <v>##SET1 OSA_Min_Flow[]                4.2475    ! [m3/s]</v>
      </c>
      <c r="D94" t="s">
        <v>28</v>
      </c>
      <c r="E94" s="623">
        <f>Q41/35.315/60*(E68+2)*J15</f>
        <v>4.2474869035820468</v>
      </c>
      <c r="F94" s="14" t="s">
        <v>152</v>
      </c>
      <c r="G94" s="32" t="s">
        <v>107</v>
      </c>
      <c r="I94" s="102" t="s">
        <v>238</v>
      </c>
      <c r="J94" s="632">
        <v>1E-3</v>
      </c>
      <c r="K94" s="20" t="s">
        <v>236</v>
      </c>
    </row>
    <row r="95" spans="2:15" ht="14.25" thickBot="1">
      <c r="B95" s="13" t="str">
        <f t="shared" si="8"/>
        <v>##SET1 Non_N_Solar_Transmittance[]   FALSE     ! [-]</v>
      </c>
      <c r="D95" t="s">
        <v>18</v>
      </c>
      <c r="E95" s="623" t="b">
        <f>IF(WWR_value=0.2,lists!E22,IF(WWR_value=0.4,lists!E23,IF(WWR_value=0.6,lists!E24)))</f>
        <v>0</v>
      </c>
      <c r="F95" s="14" t="s">
        <v>152</v>
      </c>
      <c r="G95" s="32" t="s">
        <v>212</v>
      </c>
      <c r="I95" s="102" t="s">
        <v>241</v>
      </c>
      <c r="J95" s="632">
        <v>1.7</v>
      </c>
      <c r="K95" s="1" t="s">
        <v>212</v>
      </c>
      <c r="L95" s="581" t="s">
        <v>1117</v>
      </c>
    </row>
    <row r="96" spans="2:15" ht="39.75" thickBot="1">
      <c r="B96" s="13" t="str">
        <f t="shared" si="8"/>
        <v>##SET1 Non_N_Nothing[]               FALSE     ! [-]</v>
      </c>
      <c r="D96" t="s">
        <v>0</v>
      </c>
      <c r="E96" s="623" t="b">
        <f>IF(WWR_value=0.2,lists!F22,IF(WWR_value=0.4,lists!F23,IF(WWR_value=0.6,lists!F24)))</f>
        <v>0</v>
      </c>
      <c r="F96" s="14" t="s">
        <v>152</v>
      </c>
      <c r="G96" s="32" t="s">
        <v>212</v>
      </c>
      <c r="I96" s="103" t="s">
        <v>242</v>
      </c>
      <c r="J96" s="632">
        <v>0</v>
      </c>
      <c r="K96" s="1" t="s">
        <v>212</v>
      </c>
    </row>
    <row r="97" spans="2:14" ht="14.25" thickBot="1">
      <c r="B97" s="13" t="str">
        <f t="shared" si="8"/>
        <v>##SET1 N_Solar_Transmittance[]       FALSE     ! [-]</v>
      </c>
      <c r="D97" t="s">
        <v>19</v>
      </c>
      <c r="E97" s="623" t="b">
        <f>IF(WWR_value=0.2,lists!E26,IF(WWR_value=0.4,lists!E27,IF(WWR_value=0.6,lists!E28)))</f>
        <v>0</v>
      </c>
      <c r="F97" s="14" t="s">
        <v>152</v>
      </c>
      <c r="G97" s="32" t="s">
        <v>212</v>
      </c>
      <c r="I97" s="102" t="s">
        <v>243</v>
      </c>
      <c r="J97" s="632">
        <v>0</v>
      </c>
      <c r="K97" s="1" t="s">
        <v>212</v>
      </c>
    </row>
    <row r="98" spans="2:14" ht="14.25" thickBot="1">
      <c r="B98" s="13" t="str">
        <f t="shared" si="8"/>
        <v>##SET1 N_Nothing[]                   FALSE     ! [-]</v>
      </c>
      <c r="D98" t="s">
        <v>1</v>
      </c>
      <c r="E98" s="623" t="b">
        <f>IF(WWR_value=0.2,lists!F26,IF(WWR_value=0.4,lists!F27,IF(WWR_value=0.6,lists!F28)))</f>
        <v>0</v>
      </c>
      <c r="F98" s="14" t="s">
        <v>152</v>
      </c>
      <c r="G98" s="32" t="s">
        <v>212</v>
      </c>
      <c r="I98" s="102" t="s">
        <v>244</v>
      </c>
      <c r="J98" s="632">
        <v>0.8</v>
      </c>
      <c r="K98" s="1" t="s">
        <v>212</v>
      </c>
    </row>
    <row r="99" spans="2:14" ht="14.25" thickBot="1">
      <c r="B99" s="13"/>
      <c r="E99" s="34"/>
      <c r="F99" s="14"/>
      <c r="G99" s="32"/>
      <c r="I99" s="102" t="s">
        <v>147</v>
      </c>
      <c r="J99" s="632">
        <v>0</v>
      </c>
      <c r="K99" s="1" t="s">
        <v>212</v>
      </c>
    </row>
    <row r="100" spans="2:14" ht="14.25" thickBot="1">
      <c r="B100" s="13"/>
      <c r="E100" s="34"/>
      <c r="F100" s="14"/>
      <c r="G100" s="32"/>
      <c r="I100" s="102" t="s">
        <v>148</v>
      </c>
      <c r="J100" s="632">
        <v>0</v>
      </c>
    </row>
    <row r="101" spans="2:14" ht="14.25" thickBot="1">
      <c r="B101" s="13" t="str">
        <f>"##SET1 "&amp;D101&amp;REPT(" ",fill_1-LEN(D101))&amp;TEXT(E101,F101)&amp;REPT(" ",fill_2-LEN(TEXT(E101,F101)))&amp;"! ["&amp;G101&amp;"]"</f>
        <v>##SET1 CoolCoil_Water_Flow[]         0.050     ! [m3/s]</v>
      </c>
      <c r="D101" t="s">
        <v>413</v>
      </c>
      <c r="E101" s="625">
        <v>0.05</v>
      </c>
      <c r="F101" s="14" t="s">
        <v>151</v>
      </c>
      <c r="G101" s="32" t="s">
        <v>107</v>
      </c>
      <c r="I101" s="91"/>
      <c r="J101" s="580"/>
    </row>
    <row r="102" spans="2:14" ht="14.25" thickBot="1">
      <c r="B102" s="13" t="str">
        <f>"##SET1 "&amp;D102&amp;REPT(" ",fill_1-LEN(D102))&amp;TEXT(E102,F102)&amp;REPT(" ",fill_2-LEN(TEXT(E102,F102)))&amp;"! ["&amp;G102&amp;"]"</f>
        <v>##SET1 Whole_Floor_Breakdown[]       Yes       ! []</v>
      </c>
      <c r="D102" s="4" t="s">
        <v>517</v>
      </c>
      <c r="E102" s="625" t="str">
        <f>Whole_Floor_Breakdown</f>
        <v>Yes</v>
      </c>
      <c r="F102" s="14" t="s">
        <v>151</v>
      </c>
      <c r="G102" s="32"/>
      <c r="I102" s="93" t="s">
        <v>3</v>
      </c>
      <c r="J102" s="635" t="s">
        <v>531</v>
      </c>
    </row>
    <row r="103" spans="2:14" ht="14.25" thickBot="1">
      <c r="B103" s="13" t="str">
        <f>"##SET1 "&amp;D103&amp;REPT(" ",fill_1-LEN(D103))&amp;TEXT(E103,F103)&amp;REPT(" ",fill_2-LEN(TEXT(E103,F103)))&amp;"! ["&amp;G103&amp;"]"</f>
        <v>##SET1 Window_Shading[]              ALWAYSON  ! []</v>
      </c>
      <c r="D103" t="s">
        <v>157</v>
      </c>
      <c r="E103" s="623" t="str">
        <f>IF(J108="ON","ALWAYSON","ALWAYSOFF")</f>
        <v>ALWAYSON</v>
      </c>
      <c r="F103" s="14"/>
      <c r="G103" s="32"/>
      <c r="I103" s="92" t="s">
        <v>581</v>
      </c>
      <c r="J103" s="635" t="s">
        <v>1056</v>
      </c>
    </row>
    <row r="104" spans="2:14" ht="13.5">
      <c r="B104" s="13"/>
      <c r="E104" s="34"/>
      <c r="F104" s="14"/>
      <c r="G104" s="32"/>
      <c r="I104" s="20"/>
      <c r="J104" s="85"/>
    </row>
    <row r="105" spans="2:14" ht="13.5">
      <c r="B105" s="13" t="str">
        <f t="shared" ref="B105:B122" si="9">"##SET1 "&amp;D105&amp;REPT(" ",fill_1-LEN(D105))&amp;TEXT(E105,F105)&amp;REPT(" ",fill_2-LEN(TEXT(E105,F105)))&amp;"! ["&amp;G105&amp;"]"</f>
        <v>##SET1 FSFan_UFAD_Min_Frac_GFEast[]  0.0540    ! [-]</v>
      </c>
      <c r="D105" s="581" t="s">
        <v>490</v>
      </c>
      <c r="E105" s="594">
        <v>5.3979097308828182E-2</v>
      </c>
      <c r="F105" s="50" t="s">
        <v>152</v>
      </c>
      <c r="G105" s="32" t="s">
        <v>212</v>
      </c>
    </row>
    <row r="106" spans="2:14" ht="13.5">
      <c r="B106" s="13" t="str">
        <f t="shared" si="9"/>
        <v>##SET1 FSFan_UFAD_Min_Frac_GFWest[]  0.0540    ! [-]</v>
      </c>
      <c r="D106" s="4" t="s">
        <v>491</v>
      </c>
      <c r="E106" s="594">
        <v>5.3979097308828182E-2</v>
      </c>
      <c r="F106" s="50" t="s">
        <v>152</v>
      </c>
      <c r="G106" s="32" t="s">
        <v>212</v>
      </c>
      <c r="I106" s="20"/>
      <c r="J106" s="85"/>
    </row>
    <row r="107" spans="2:14" ht="14.25" thickBot="1">
      <c r="B107" s="13" t="str">
        <f t="shared" si="9"/>
        <v>##SET1 FSFan_UFAD_Min_Frac_GFSouth[] 0.1192    ! [-]</v>
      </c>
      <c r="D107" s="4" t="s">
        <v>492</v>
      </c>
      <c r="E107" s="594">
        <v>0.11915234702225641</v>
      </c>
      <c r="F107" s="50" t="s">
        <v>152</v>
      </c>
      <c r="G107" s="32" t="s">
        <v>212</v>
      </c>
      <c r="I107" s="95" t="s">
        <v>690</v>
      </c>
    </row>
    <row r="108" spans="2:14" ht="14.25" thickBot="1">
      <c r="B108" s="13" t="str">
        <f t="shared" si="9"/>
        <v>##SET1 FSFan_UFAD_Min_Frac_GFNorth[] 0.0540    ! [-]</v>
      </c>
      <c r="D108" s="4" t="s">
        <v>493</v>
      </c>
      <c r="E108" s="594">
        <v>5.3978179498227231E-2</v>
      </c>
      <c r="F108" s="50" t="s">
        <v>152</v>
      </c>
      <c r="G108" s="32" t="s">
        <v>212</v>
      </c>
      <c r="I108" s="24" t="s">
        <v>156</v>
      </c>
      <c r="J108" s="630" t="s">
        <v>2541</v>
      </c>
    </row>
    <row r="109" spans="2:14" ht="13.5">
      <c r="B109" s="13" t="str">
        <f t="shared" si="9"/>
        <v>##SET1 FSFan_UFAD_Min_Frac_MFEast[]  0.0540    ! [-]</v>
      </c>
      <c r="D109" s="4" t="s">
        <v>494</v>
      </c>
      <c r="E109" s="594">
        <v>5.3979097308828182E-2</v>
      </c>
      <c r="F109" s="50" t="s">
        <v>152</v>
      </c>
      <c r="G109" s="32" t="s">
        <v>212</v>
      </c>
      <c r="I109" s="86"/>
      <c r="J109" s="87"/>
      <c r="K109" s="2" t="s">
        <v>697</v>
      </c>
    </row>
    <row r="110" spans="2:14" ht="13.5">
      <c r="B110" s="13" t="str">
        <f t="shared" si="9"/>
        <v>##SET1 FSFan_UFAD_Min_Frac_MFWest[]  0.0540    ! [-]</v>
      </c>
      <c r="D110" s="4" t="s">
        <v>495</v>
      </c>
      <c r="E110" s="594">
        <v>5.3979097308828182E-2</v>
      </c>
      <c r="F110" s="50" t="s">
        <v>152</v>
      </c>
      <c r="G110" s="32" t="s">
        <v>212</v>
      </c>
      <c r="I110" s="567" t="s">
        <v>978</v>
      </c>
      <c r="J110" s="87"/>
    </row>
    <row r="111" spans="2:14" ht="15">
      <c r="B111" s="13" t="str">
        <f t="shared" si="9"/>
        <v>##SET1 FSFan_UFAD_Min_Frac_MFSouth[] 0.0988    ! [-]</v>
      </c>
      <c r="D111" s="4" t="s">
        <v>496</v>
      </c>
      <c r="E111" s="594">
        <v>9.8826358412577378E-2</v>
      </c>
      <c r="F111" s="50" t="s">
        <v>152</v>
      </c>
      <c r="G111" s="32" t="s">
        <v>212</v>
      </c>
      <c r="I111" s="574" t="s">
        <v>1001</v>
      </c>
      <c r="J111" s="573" t="s">
        <v>991</v>
      </c>
      <c r="K111" s="20"/>
    </row>
    <row r="112" spans="2:14" ht="15">
      <c r="B112" s="13" t="str">
        <f t="shared" si="9"/>
        <v>##SET1 FSFan_UFAD_Min_Frac_MFNorth[] 0.0540    ! [-]</v>
      </c>
      <c r="D112" s="4" t="s">
        <v>497</v>
      </c>
      <c r="E112" s="594">
        <v>5.3978179498227231E-2</v>
      </c>
      <c r="F112" s="50" t="s">
        <v>152</v>
      </c>
      <c r="G112" s="32" t="s">
        <v>212</v>
      </c>
      <c r="I112" s="574" t="s">
        <v>1000</v>
      </c>
      <c r="J112" s="573" t="s">
        <v>993</v>
      </c>
      <c r="K112" s="1"/>
      <c r="M112" s="576" t="s">
        <v>1015</v>
      </c>
      <c r="N112" s="576"/>
    </row>
    <row r="113" spans="2:14" ht="15">
      <c r="B113" s="13" t="str">
        <f t="shared" si="9"/>
        <v>##SET1 FSFan_UFAD_Min_Frac_TFEast[]  0.0524    ! [-]</v>
      </c>
      <c r="D113" s="4" t="s">
        <v>498</v>
      </c>
      <c r="E113" s="594">
        <v>5.2350907571481815E-2</v>
      </c>
      <c r="F113" s="50" t="s">
        <v>152</v>
      </c>
      <c r="G113" s="32" t="s">
        <v>212</v>
      </c>
      <c r="I113" s="574" t="s">
        <v>998</v>
      </c>
      <c r="J113" s="573" t="s">
        <v>986</v>
      </c>
      <c r="K113" s="1"/>
      <c r="M113" s="576" t="s">
        <v>988</v>
      </c>
      <c r="N113" s="576" t="s">
        <v>989</v>
      </c>
    </row>
    <row r="114" spans="2:14" ht="15">
      <c r="B114" s="13" t="str">
        <f t="shared" si="9"/>
        <v>##SET1 FSFan_UFAD_Min_Frac_TFWest[]  0.0524    ! [-]</v>
      </c>
      <c r="D114" s="4" t="s">
        <v>499</v>
      </c>
      <c r="E114" s="594">
        <v>5.2350907571481815E-2</v>
      </c>
      <c r="F114" s="50" t="s">
        <v>152</v>
      </c>
      <c r="G114" s="32" t="s">
        <v>212</v>
      </c>
      <c r="I114" s="574" t="s">
        <v>999</v>
      </c>
      <c r="J114" s="573" t="s">
        <v>987</v>
      </c>
      <c r="M114" s="577" t="s">
        <v>991</v>
      </c>
      <c r="N114" s="576"/>
    </row>
    <row r="115" spans="2:14" ht="15">
      <c r="B115" s="13" t="str">
        <f t="shared" si="9"/>
        <v>##SET1 FSFan_UFAD_Min_Frac_TFSouth[] 0.0853    ! [-]</v>
      </c>
      <c r="D115" s="4" t="s">
        <v>500</v>
      </c>
      <c r="E115" s="594">
        <v>8.52816290869957E-2</v>
      </c>
      <c r="F115" s="50" t="s">
        <v>152</v>
      </c>
      <c r="G115" s="32" t="s">
        <v>212</v>
      </c>
      <c r="I115" s="574" t="s">
        <v>996</v>
      </c>
      <c r="J115" s="573">
        <v>1</v>
      </c>
      <c r="K115" s="32"/>
      <c r="M115" s="576" t="s">
        <v>993</v>
      </c>
      <c r="N115" s="576"/>
    </row>
    <row r="116" spans="2:14" ht="15">
      <c r="B116" s="13" t="str">
        <f t="shared" si="9"/>
        <v>##SET1 FSFan_UFAD_Min_Frac_TFNorth[] 0.0524    ! [-]</v>
      </c>
      <c r="D116" s="4" t="s">
        <v>501</v>
      </c>
      <c r="E116" s="594">
        <v>5.2350017445111918E-2</v>
      </c>
      <c r="F116" s="50" t="s">
        <v>152</v>
      </c>
      <c r="G116" s="32" t="s">
        <v>212</v>
      </c>
      <c r="I116" s="575" t="s">
        <v>1023</v>
      </c>
      <c r="J116" s="573">
        <v>1.0999999999999999E-2</v>
      </c>
      <c r="K116" s="1"/>
      <c r="M116" s="576" t="s">
        <v>986</v>
      </c>
      <c r="N116" s="576"/>
    </row>
    <row r="117" spans="2:14" ht="15">
      <c r="B117" s="13" t="str">
        <f t="shared" si="9"/>
        <v>##SET1 FSFan_UFAD_Min_Frac_GFCore[]  0.1291    ! [-]</v>
      </c>
      <c r="D117" s="4" t="s">
        <v>504</v>
      </c>
      <c r="E117" s="594">
        <v>0.12914039983471332</v>
      </c>
      <c r="F117" s="50" t="s">
        <v>152</v>
      </c>
      <c r="G117" s="32" t="s">
        <v>212</v>
      </c>
      <c r="I117" s="575" t="s">
        <v>1007</v>
      </c>
      <c r="J117" s="573" t="s">
        <v>1035</v>
      </c>
      <c r="K117" s="20"/>
      <c r="M117" s="576" t="s">
        <v>987</v>
      </c>
      <c r="N117" s="576"/>
    </row>
    <row r="118" spans="2:14" ht="15">
      <c r="B118" s="13" t="str">
        <f t="shared" si="9"/>
        <v>##SET1 FSFan_UFAD_Min_Frac_MFCore[]  0.1291    ! [-]</v>
      </c>
      <c r="D118" s="4" t="s">
        <v>505</v>
      </c>
      <c r="E118" s="594">
        <v>0.12914039983471332</v>
      </c>
      <c r="F118" s="50" t="s">
        <v>152</v>
      </c>
      <c r="G118" s="32" t="s">
        <v>212</v>
      </c>
      <c r="I118" s="575" t="s">
        <v>1006</v>
      </c>
      <c r="J118" s="573">
        <v>15</v>
      </c>
      <c r="K118" s="393"/>
      <c r="M118" s="576">
        <v>1</v>
      </c>
      <c r="N118" s="576"/>
    </row>
    <row r="119" spans="2:14" ht="15">
      <c r="B119" s="13" t="str">
        <f t="shared" si="9"/>
        <v>##SET1 FSFan_UFAD_Min_Frac_TFCore[]  0.1291    ! [-]</v>
      </c>
      <c r="D119" s="4" t="s">
        <v>506</v>
      </c>
      <c r="E119" s="594">
        <v>0.12914039983471332</v>
      </c>
      <c r="F119" s="50" t="s">
        <v>152</v>
      </c>
      <c r="G119" s="32" t="s">
        <v>212</v>
      </c>
      <c r="I119" s="575" t="s">
        <v>1003</v>
      </c>
      <c r="J119" s="573">
        <v>21.5</v>
      </c>
      <c r="K119" s="358" t="s">
        <v>107</v>
      </c>
      <c r="M119">
        <v>8.9999999999999993E-3</v>
      </c>
      <c r="N119" s="576"/>
    </row>
    <row r="120" spans="2:14" ht="15">
      <c r="B120" s="13" t="str">
        <f t="shared" si="9"/>
        <v>##SET1 FSFan_UFAD_Min_Frac_GFServ[]  0.0500    ! [-]</v>
      </c>
      <c r="D120" s="4" t="s">
        <v>507</v>
      </c>
      <c r="E120" s="34">
        <f>IF(Recirculation="Min_OSA",0.05,Recirculation)</f>
        <v>0.05</v>
      </c>
      <c r="F120" s="50" t="s">
        <v>152</v>
      </c>
      <c r="G120" s="32" t="s">
        <v>212</v>
      </c>
      <c r="I120" s="575" t="s">
        <v>1024</v>
      </c>
      <c r="J120" s="573" t="s">
        <v>1034</v>
      </c>
      <c r="K120" s="393"/>
      <c r="M120" s="576" t="s">
        <v>1002</v>
      </c>
      <c r="N120" s="577"/>
    </row>
    <row r="121" spans="2:14" ht="15">
      <c r="B121" s="13" t="str">
        <f t="shared" si="9"/>
        <v>##SET1 FSFan_UFAD_Min_Frac_MFServ[]  0.0500    ! [-]</v>
      </c>
      <c r="D121" s="4" t="s">
        <v>508</v>
      </c>
      <c r="E121" s="34">
        <f>IF(Recirculation="Min_OSA",0.05,Recirculation)</f>
        <v>0.05</v>
      </c>
      <c r="F121" s="50" t="s">
        <v>152</v>
      </c>
      <c r="G121" s="32" t="s">
        <v>212</v>
      </c>
      <c r="I121" s="575" t="s">
        <v>1004</v>
      </c>
      <c r="J121" s="573">
        <v>19.5</v>
      </c>
      <c r="M121" s="587" t="s">
        <v>1029</v>
      </c>
      <c r="N121" s="577"/>
    </row>
    <row r="122" spans="2:14" ht="15">
      <c r="B122" s="13" t="str">
        <f t="shared" si="9"/>
        <v>##SET1 FSFan_UFAD_Min_Frac_TFServ[]  0.0500    ! [-]</v>
      </c>
      <c r="D122" s="4" t="s">
        <v>509</v>
      </c>
      <c r="E122" s="34">
        <f>IF(Recirculation="Min_OSA",0.05,Recirculation)</f>
        <v>0.05</v>
      </c>
      <c r="F122" s="50" t="s">
        <v>152</v>
      </c>
      <c r="G122" s="32" t="s">
        <v>212</v>
      </c>
      <c r="I122" s="575" t="s">
        <v>1005</v>
      </c>
      <c r="J122" s="573" t="s">
        <v>1034</v>
      </c>
      <c r="M122" s="587" t="s">
        <v>1026</v>
      </c>
      <c r="N122" s="576"/>
    </row>
    <row r="123" spans="2:14" ht="15">
      <c r="B123" s="13"/>
      <c r="D123" s="4"/>
      <c r="E123" s="34"/>
      <c r="F123" s="50"/>
      <c r="G123" s="32"/>
      <c r="I123" s="575" t="s">
        <v>1027</v>
      </c>
      <c r="J123" s="573" t="s">
        <v>488</v>
      </c>
      <c r="M123">
        <v>26</v>
      </c>
      <c r="N123" s="576"/>
    </row>
    <row r="124" spans="2:14" ht="15">
      <c r="B124" s="13" t="str">
        <f>"##SET1 "&amp;D124&amp;REPT(" ",fill_1-LEN(D124))&amp;TEXT(E124,F124)&amp;REPT(" ",20-LEN(TEXT(E124,F124)))&amp;"! ["&amp;G124&amp;"]"</f>
        <v>##SET1 Chiller_Model_Type[]          CBE_RegularEIR      ! [-]</v>
      </c>
      <c r="D124" s="4" t="s">
        <v>577</v>
      </c>
      <c r="E124" s="623" t="str">
        <f>Q35</f>
        <v>CBE_RegularEIR</v>
      </c>
      <c r="F124" s="14" t="s">
        <v>152</v>
      </c>
      <c r="G124" s="32" t="s">
        <v>212</v>
      </c>
      <c r="I124" s="586" t="s">
        <v>1028</v>
      </c>
      <c r="J124" s="573" t="s">
        <v>1025</v>
      </c>
      <c r="K124" s="393"/>
      <c r="M124" s="576">
        <v>19.5</v>
      </c>
      <c r="N124" s="576"/>
    </row>
    <row r="125" spans="2:14" ht="15">
      <c r="B125" s="13"/>
      <c r="D125" s="4"/>
      <c r="E125" s="34"/>
      <c r="F125" s="14"/>
      <c r="G125" s="32"/>
      <c r="I125" s="586" t="s">
        <v>1030</v>
      </c>
      <c r="J125" s="573" t="s">
        <v>489</v>
      </c>
      <c r="K125" s="578" t="s">
        <v>1016</v>
      </c>
      <c r="M125" s="576">
        <v>23</v>
      </c>
      <c r="N125" s="576"/>
    </row>
    <row r="126" spans="2:14" ht="15">
      <c r="B126" s="13" t="str">
        <f t="shared" ref="B126:B143" si="10">"##SET1 "&amp;D126&amp;REPT(" ",fill_1-LEN(D126))&amp;TEXT(E126,F126)&amp;REPT(" ",fill_2-LEN(TEXT(E126,F126)))&amp;"! ["&amp;G126&amp;"]"</f>
        <v>##SET1 FSFan_Max_CoolingAir_GFEast[] 1.9766    ! [-]</v>
      </c>
      <c r="D126" s="581" t="s">
        <v>533</v>
      </c>
      <c r="E126" s="594">
        <v>1.9765624709858278</v>
      </c>
      <c r="F126" s="50" t="s">
        <v>152</v>
      </c>
      <c r="G126" s="32" t="s">
        <v>212</v>
      </c>
      <c r="I126" s="574"/>
      <c r="J126" s="573"/>
      <c r="M126" s="581" t="s">
        <v>488</v>
      </c>
    </row>
    <row r="127" spans="2:14" ht="15">
      <c r="B127" s="13" t="str">
        <f t="shared" si="10"/>
        <v>##SET1 FSFan_Max_CoolingAir_GFWest[] 1.9766    ! [-]</v>
      </c>
      <c r="D127" s="4" t="s">
        <v>534</v>
      </c>
      <c r="E127" s="594">
        <v>1.9765624709858278</v>
      </c>
      <c r="F127" s="50" t="s">
        <v>152</v>
      </c>
      <c r="G127" s="32" t="s">
        <v>212</v>
      </c>
      <c r="I127" s="574"/>
      <c r="J127" s="573"/>
      <c r="M127" t="s">
        <v>1025</v>
      </c>
    </row>
    <row r="128" spans="2:14" ht="15">
      <c r="B128" s="13" t="str">
        <f t="shared" si="10"/>
        <v>##SET1 FSFan_Max_CoolingAir_GFSouth[]autosize  ! [-]</v>
      </c>
      <c r="D128" s="4" t="s">
        <v>535</v>
      </c>
      <c r="E128" s="623" t="s">
        <v>551</v>
      </c>
      <c r="F128" s="50" t="s">
        <v>152</v>
      </c>
      <c r="G128" s="32" t="s">
        <v>212</v>
      </c>
      <c r="I128" s="575"/>
      <c r="J128" s="573"/>
    </row>
    <row r="129" spans="2:10" ht="15">
      <c r="B129" s="13" t="str">
        <f t="shared" si="10"/>
        <v>##SET1 FSFan_Max_CoolingAir_GFNorth[]3.1125    ! [-]</v>
      </c>
      <c r="D129" s="4" t="s">
        <v>536</v>
      </c>
      <c r="E129" s="594">
        <v>3.1124578646988121</v>
      </c>
      <c r="F129" s="50" t="s">
        <v>152</v>
      </c>
      <c r="G129" s="32" t="s">
        <v>212</v>
      </c>
      <c r="I129" s="575"/>
      <c r="J129" s="573"/>
    </row>
    <row r="130" spans="2:10" ht="15">
      <c r="B130" s="13" t="str">
        <f t="shared" si="10"/>
        <v>##SET1 FSFan_Max_CoolingAir_MFEast[] 1.9766    ! [-]</v>
      </c>
      <c r="D130" s="4" t="s">
        <v>537</v>
      </c>
      <c r="E130" s="594">
        <v>1.9765624709858278</v>
      </c>
      <c r="F130" s="50" t="s">
        <v>152</v>
      </c>
      <c r="G130" s="32" t="s">
        <v>212</v>
      </c>
      <c r="I130" s="575"/>
      <c r="J130" s="573"/>
    </row>
    <row r="131" spans="2:10" ht="15">
      <c r="B131" s="13" t="str">
        <f t="shared" si="10"/>
        <v>##SET1 FSFan_Max_CoolingAir_MFWest[] 1.9766    ! [-]</v>
      </c>
      <c r="D131" s="4" t="s">
        <v>538</v>
      </c>
      <c r="E131" s="594">
        <v>1.9765624709858278</v>
      </c>
      <c r="F131" s="50" t="s">
        <v>152</v>
      </c>
      <c r="G131" s="32" t="s">
        <v>212</v>
      </c>
      <c r="I131" s="575"/>
      <c r="J131" s="573"/>
    </row>
    <row r="132" spans="2:10" ht="15">
      <c r="B132" s="13" t="str">
        <f t="shared" si="10"/>
        <v>##SET1 FSFan_Max_CoolingAir_MFSouth[]autosize  ! [-]</v>
      </c>
      <c r="D132" s="4" t="s">
        <v>539</v>
      </c>
      <c r="E132" s="623" t="s">
        <v>551</v>
      </c>
      <c r="F132" s="50" t="s">
        <v>152</v>
      </c>
      <c r="G132" s="32" t="s">
        <v>212</v>
      </c>
      <c r="I132" s="575"/>
      <c r="J132" s="573"/>
    </row>
    <row r="133" spans="2:10" ht="15">
      <c r="B133" s="13" t="str">
        <f t="shared" si="10"/>
        <v>##SET1 FSFan_Max_CoolingAir_MFNorth[]3.1125    ! [-]</v>
      </c>
      <c r="D133" s="4" t="s">
        <v>540</v>
      </c>
      <c r="E133" s="594">
        <v>3.1124578646988121</v>
      </c>
      <c r="F133" s="50" t="s">
        <v>152</v>
      </c>
      <c r="G133" s="32" t="s">
        <v>212</v>
      </c>
      <c r="I133" s="575"/>
      <c r="J133" s="573"/>
    </row>
    <row r="134" spans="2:10" ht="15">
      <c r="B134" s="13" t="str">
        <f t="shared" si="10"/>
        <v>##SET1 FSFan_Max_CoolingAir_TFEast[] 2.0380    ! [-]</v>
      </c>
      <c r="D134" s="4" t="s">
        <v>541</v>
      </c>
      <c r="E134" s="594">
        <v>2.0380364526181198</v>
      </c>
      <c r="F134" s="50" t="s">
        <v>152</v>
      </c>
      <c r="G134" s="32" t="s">
        <v>212</v>
      </c>
      <c r="I134" s="575"/>
      <c r="J134" s="573"/>
    </row>
    <row r="135" spans="2:10" ht="15">
      <c r="B135" s="13" t="str">
        <f t="shared" si="10"/>
        <v>##SET1 FSFan_Max_CoolingAir_TFWest[] 2.0380    ! [-]</v>
      </c>
      <c r="D135" s="4" t="s">
        <v>542</v>
      </c>
      <c r="E135" s="594">
        <v>2.0380364526181198</v>
      </c>
      <c r="F135" s="50" t="s">
        <v>152</v>
      </c>
      <c r="G135" s="32" t="s">
        <v>212</v>
      </c>
      <c r="I135" s="575"/>
      <c r="J135" s="573"/>
    </row>
    <row r="136" spans="2:10" ht="15">
      <c r="B136" s="13" t="str">
        <f t="shared" si="10"/>
        <v>##SET1 FSFan_Max_CoolingAir_TFSouth[]autosize  ! [-]</v>
      </c>
      <c r="D136" s="4" t="s">
        <v>543</v>
      </c>
      <c r="E136" s="623" t="s">
        <v>551</v>
      </c>
      <c r="F136" s="50" t="s">
        <v>152</v>
      </c>
      <c r="G136" s="32" t="s">
        <v>212</v>
      </c>
      <c r="I136" s="575"/>
      <c r="J136" s="573"/>
    </row>
    <row r="137" spans="2:10" ht="15">
      <c r="B137" s="13" t="str">
        <f t="shared" si="10"/>
        <v>##SET1 FSFan_Max_CoolingAir_TFNorth[]3.2093    ! [-]</v>
      </c>
      <c r="D137" s="4" t="s">
        <v>544</v>
      </c>
      <c r="E137" s="594">
        <v>3.2092598532088679</v>
      </c>
      <c r="F137" s="50" t="s">
        <v>152</v>
      </c>
      <c r="G137" s="32" t="s">
        <v>212</v>
      </c>
      <c r="I137" s="575"/>
      <c r="J137" s="573"/>
    </row>
    <row r="138" spans="2:10" ht="15">
      <c r="B138" s="13" t="str">
        <f t="shared" si="10"/>
        <v>##SET1 FSFan_Max_CoolingAir_GFCore[] 6.7092    ! [-]</v>
      </c>
      <c r="D138" s="4" t="s">
        <v>545</v>
      </c>
      <c r="E138" s="594">
        <v>6.7092345575065799</v>
      </c>
      <c r="F138" s="50" t="s">
        <v>152</v>
      </c>
      <c r="G138" s="32" t="s">
        <v>212</v>
      </c>
      <c r="I138" s="575"/>
      <c r="J138" s="573"/>
    </row>
    <row r="139" spans="2:10" ht="15">
      <c r="B139" s="13" t="str">
        <f t="shared" si="10"/>
        <v>##SET1 FSFan_Max_CoolingAir_MFCore[] 6.7092    ! [-]</v>
      </c>
      <c r="D139" s="4" t="s">
        <v>546</v>
      </c>
      <c r="E139" s="594">
        <v>6.7092345575065799</v>
      </c>
      <c r="F139" s="50" t="s">
        <v>152</v>
      </c>
      <c r="G139" s="32" t="s">
        <v>212</v>
      </c>
      <c r="I139" s="575"/>
      <c r="J139" s="573"/>
    </row>
    <row r="140" spans="2:10" ht="15">
      <c r="B140" s="13" t="str">
        <f t="shared" si="10"/>
        <v>##SET1 FSFan_Max_CoolingAir_TFCore[] 6.7092    ! [-]</v>
      </c>
      <c r="D140" s="4" t="s">
        <v>547</v>
      </c>
      <c r="E140" s="594">
        <v>6.7092345575065799</v>
      </c>
      <c r="F140" s="50" t="s">
        <v>152</v>
      </c>
      <c r="G140" s="32" t="s">
        <v>212</v>
      </c>
      <c r="I140" s="575"/>
      <c r="J140" s="573"/>
    </row>
    <row r="141" spans="2:10" ht="15">
      <c r="B141" s="13" t="str">
        <f t="shared" si="10"/>
        <v>##SET1 FSFan_Max_CoolingAir_GFServ[] autosize  ! [-]</v>
      </c>
      <c r="D141" s="4" t="s">
        <v>548</v>
      </c>
      <c r="E141" s="623" t="s">
        <v>551</v>
      </c>
      <c r="F141" s="50" t="s">
        <v>152</v>
      </c>
      <c r="G141" s="32" t="s">
        <v>212</v>
      </c>
      <c r="I141" s="575"/>
      <c r="J141" s="573"/>
    </row>
    <row r="142" spans="2:10" ht="15">
      <c r="B142" s="13" t="str">
        <f t="shared" si="10"/>
        <v>##SET1 FSFan_Max_CoolingAir_MFServ[] autosize  ! [-]</v>
      </c>
      <c r="D142" s="4" t="s">
        <v>549</v>
      </c>
      <c r="E142" s="623" t="s">
        <v>551</v>
      </c>
      <c r="F142" s="50" t="s">
        <v>152</v>
      </c>
      <c r="G142" s="32" t="s">
        <v>212</v>
      </c>
      <c r="I142" s="575"/>
      <c r="J142" s="573"/>
    </row>
    <row r="143" spans="2:10" ht="15">
      <c r="B143" s="13" t="str">
        <f t="shared" si="10"/>
        <v>##SET1 FSFan_Max_CoolingAir_TFServ[] autosize  ! [-]</v>
      </c>
      <c r="D143" s="4" t="s">
        <v>550</v>
      </c>
      <c r="E143" s="623" t="s">
        <v>551</v>
      </c>
      <c r="F143" s="50" t="s">
        <v>152</v>
      </c>
      <c r="G143" s="32" t="s">
        <v>212</v>
      </c>
      <c r="I143" s="575"/>
      <c r="J143" s="573"/>
    </row>
    <row r="144" spans="2:10" ht="13.5">
      <c r="B144" s="13"/>
      <c r="D144" s="4"/>
      <c r="E144" s="34"/>
      <c r="F144" s="14"/>
      <c r="G144" s="32"/>
    </row>
    <row r="145" spans="2:10" ht="13.5">
      <c r="B145" s="13" t="str">
        <f t="shared" ref="B145:B156" si="11">"##SET1 "&amp;D145&amp;REPT(" ",fill_1-LEN(D145))&amp;TEXT(E145,F145)&amp;REPT(" ",fill_2-LEN(TEXT(E145,F145)))&amp;"! ["&amp;G145&amp;"]"</f>
        <v>##SET1 FSFan_Max_HeatingAir_GFEast[] autosize  ! []</v>
      </c>
      <c r="D145" s="4" t="s">
        <v>556</v>
      </c>
      <c r="E145" s="623" t="s">
        <v>551</v>
      </c>
      <c r="F145" s="50" t="s">
        <v>152</v>
      </c>
      <c r="G145" s="32"/>
    </row>
    <row r="146" spans="2:10" ht="13.5">
      <c r="B146" s="13" t="str">
        <f t="shared" si="11"/>
        <v>##SET1 FSFan_Max_HeatingAir_GFWest[] autosize  ! []</v>
      </c>
      <c r="D146" s="4" t="s">
        <v>557</v>
      </c>
      <c r="E146" s="623" t="s">
        <v>551</v>
      </c>
      <c r="F146" s="50" t="s">
        <v>152</v>
      </c>
      <c r="G146" s="32"/>
    </row>
    <row r="147" spans="2:10" ht="13.5">
      <c r="B147" s="13" t="str">
        <f t="shared" si="11"/>
        <v>##SET1 FSFan_Max_HeatingAir_GFSouth[]autosize  ! []</v>
      </c>
      <c r="D147" s="4" t="s">
        <v>558</v>
      </c>
      <c r="E147" s="623" t="s">
        <v>551</v>
      </c>
      <c r="F147" s="50" t="s">
        <v>152</v>
      </c>
      <c r="G147" s="32"/>
    </row>
    <row r="148" spans="2:10" ht="13.5">
      <c r="B148" s="13" t="str">
        <f t="shared" si="11"/>
        <v>##SET1 FSFan_Max_HeatingAir_GFNorth[]autosize  ! []</v>
      </c>
      <c r="D148" s="4" t="s">
        <v>559</v>
      </c>
      <c r="E148" s="623" t="s">
        <v>551</v>
      </c>
      <c r="F148" s="50" t="s">
        <v>152</v>
      </c>
      <c r="G148" s="32"/>
    </row>
    <row r="149" spans="2:10" ht="13.5">
      <c r="B149" s="13" t="str">
        <f t="shared" si="11"/>
        <v>##SET1 FSFan_Max_HeatingAir_MFEast[] autosize  ! []</v>
      </c>
      <c r="D149" s="4" t="s">
        <v>560</v>
      </c>
      <c r="E149" s="623" t="s">
        <v>551</v>
      </c>
      <c r="F149" s="50" t="s">
        <v>152</v>
      </c>
      <c r="G149" s="32"/>
      <c r="I149" s="67"/>
      <c r="J149" s="67"/>
    </row>
    <row r="150" spans="2:10" ht="13.5">
      <c r="B150" s="13" t="str">
        <f t="shared" si="11"/>
        <v>##SET1 FSFan_Max_HeatingAir_MFWest[] autosize  ! []</v>
      </c>
      <c r="D150" s="4" t="s">
        <v>561</v>
      </c>
      <c r="E150" s="623" t="s">
        <v>551</v>
      </c>
      <c r="F150" s="50" t="s">
        <v>152</v>
      </c>
      <c r="G150" s="32"/>
    </row>
    <row r="151" spans="2:10" ht="13.5">
      <c r="B151" s="13" t="str">
        <f t="shared" si="11"/>
        <v>##SET1 FSFan_Max_HeatingAir_MFSouth[]autosize  ! []</v>
      </c>
      <c r="D151" s="4" t="s">
        <v>562</v>
      </c>
      <c r="E151" s="623" t="s">
        <v>551</v>
      </c>
      <c r="F151" s="50" t="s">
        <v>152</v>
      </c>
      <c r="G151" s="32"/>
      <c r="I151" s="48"/>
    </row>
    <row r="152" spans="2:10" ht="13.5">
      <c r="B152" s="13" t="str">
        <f t="shared" si="11"/>
        <v>##SET1 FSFan_Max_HeatingAir_MFNorth[]autosize  ! []</v>
      </c>
      <c r="D152" s="4" t="s">
        <v>563</v>
      </c>
      <c r="E152" s="623" t="s">
        <v>551</v>
      </c>
      <c r="F152" s="50" t="s">
        <v>152</v>
      </c>
      <c r="G152" s="32"/>
      <c r="I152" s="48"/>
    </row>
    <row r="153" spans="2:10" ht="13.5">
      <c r="B153" s="13" t="str">
        <f t="shared" si="11"/>
        <v>##SET1 FSFan_Max_HeatingAir_TFEast[] autosize  ! []</v>
      </c>
      <c r="D153" s="4" t="s">
        <v>564</v>
      </c>
      <c r="E153" s="623" t="s">
        <v>551</v>
      </c>
      <c r="F153" s="50" t="s">
        <v>152</v>
      </c>
      <c r="G153" s="32"/>
      <c r="I153" s="48"/>
    </row>
    <row r="154" spans="2:10" ht="13.5">
      <c r="B154" s="13" t="str">
        <f t="shared" si="11"/>
        <v>##SET1 FSFan_Max_HeatingAir_TFWest[] autosize  ! []</v>
      </c>
      <c r="D154" s="4" t="s">
        <v>565</v>
      </c>
      <c r="E154" s="623" t="s">
        <v>551</v>
      </c>
      <c r="F154" s="50" t="s">
        <v>152</v>
      </c>
      <c r="G154" s="32"/>
      <c r="I154" s="48"/>
    </row>
    <row r="155" spans="2:10" ht="13.5">
      <c r="B155" s="13" t="str">
        <f t="shared" si="11"/>
        <v>##SET1 FSFan_Max_HeatingAir_TFSouth[]autosize  ! []</v>
      </c>
      <c r="D155" s="4" t="s">
        <v>566</v>
      </c>
      <c r="E155" s="623" t="s">
        <v>551</v>
      </c>
      <c r="F155" s="50" t="s">
        <v>152</v>
      </c>
      <c r="G155" s="32"/>
      <c r="I155" s="48"/>
    </row>
    <row r="156" spans="2:10" ht="13.5">
      <c r="B156" s="13" t="str">
        <f t="shared" si="11"/>
        <v>##SET1 FSFan_Max_HeatingAir_TFNorth[]autosize  ! []</v>
      </c>
      <c r="D156" s="4" t="s">
        <v>567</v>
      </c>
      <c r="E156" s="623" t="s">
        <v>551</v>
      </c>
      <c r="F156" s="50" t="s">
        <v>152</v>
      </c>
      <c r="G156" s="32"/>
      <c r="I156" s="48"/>
    </row>
    <row r="157" spans="2:10" ht="13.5">
      <c r="B157" s="13"/>
      <c r="D157" s="4"/>
      <c r="E157" s="34"/>
      <c r="F157" s="14"/>
      <c r="G157" s="32"/>
    </row>
    <row r="158" spans="2:10" ht="13.5">
      <c r="B158" s="13" t="str">
        <f>"##SET1 "&amp;D158&amp;REPT(" ",fill_1-LEN(D158))&amp;TEXT(E158,F158)&amp;REPT(" ",20-LEN(TEXT(E158,F158)))&amp;"  ! ["&amp;G158&amp;"]"</f>
        <v>##SET1 BoilerEfficiencyCurve[]       BoilerEfficiency      ! []</v>
      </c>
      <c r="D158" s="358" t="s">
        <v>984</v>
      </c>
      <c r="E158" s="626" t="s">
        <v>981</v>
      </c>
      <c r="F158" s="68"/>
      <c r="G158" s="566"/>
    </row>
    <row r="159" spans="2:10" ht="13.5">
      <c r="B159" s="13" t="str">
        <f>"##SET1 "&amp;D159&amp;REPT(" ",fill_1-LEN(D159))&amp;TEXT(E159,F159)&amp;REPT(" ",20-LEN(TEXT(E159,F159)))&amp;"  ! ["&amp;G159&amp;"]"</f>
        <v>##SET1 BoilerFirstStageRatio[]       0.500                 ! []</v>
      </c>
      <c r="D159" s="358" t="s">
        <v>982</v>
      </c>
      <c r="E159" s="626">
        <f>J53</f>
        <v>0.5</v>
      </c>
      <c r="F159" s="568" t="s">
        <v>151</v>
      </c>
      <c r="G159" s="566"/>
    </row>
    <row r="160" spans="2:10" ht="13.5">
      <c r="B160" s="13" t="str">
        <f>"##SET1 "&amp;D160&amp;REPT(" ",fill_1-LEN(D160))&amp;TEXT(E160,F160)&amp;REPT(" ",fill_2-LEN(TEXT(E160,F160)))&amp;"! ["&amp;G160&amp;"]"</f>
        <v>##SET1 Boiler_Capacity[]             207607.8  ! [W]</v>
      </c>
      <c r="D160" s="4" t="s">
        <v>552</v>
      </c>
      <c r="E160" s="595">
        <v>207607.77871206601</v>
      </c>
      <c r="F160" s="50" t="s">
        <v>162</v>
      </c>
      <c r="G160" s="64" t="s">
        <v>232</v>
      </c>
    </row>
    <row r="161" spans="2:7" ht="13.5">
      <c r="B161" s="13" t="str">
        <f>"##SET1 "&amp;D161&amp;REPT(" ",fill_1-LEN(D161))&amp;TEXT(E161,F161)&amp;REPT(" ",fill_2-LEN(TEXT(E161,F161)))&amp;"! ["&amp;G161&amp;"]"</f>
        <v>##SET1 Boiler2_Capacity[]            207607.8  ! [W]</v>
      </c>
      <c r="D161" s="358" t="s">
        <v>983</v>
      </c>
      <c r="E161" s="595">
        <v>207607.77871206601</v>
      </c>
      <c r="F161" s="50" t="s">
        <v>162</v>
      </c>
      <c r="G161" s="64" t="s">
        <v>232</v>
      </c>
    </row>
    <row r="162" spans="2:7" ht="13.5">
      <c r="B162" s="13" t="str">
        <f>"##SET1 "&amp;D162&amp;REPT(" ",fill_1-LEN(D162))&amp;TEXT(E162,F162)&amp;REPT(" ",fill_2-LEN(TEXT(E162,F162)))&amp;"! ["&amp;G162&amp;"]"</f>
        <v>##SET1 Chiller_Capacity[]            425002.7  ! [W]</v>
      </c>
      <c r="D162" s="4" t="s">
        <v>553</v>
      </c>
      <c r="E162" s="595">
        <v>425002.680592752</v>
      </c>
      <c r="F162" s="50" t="s">
        <v>162</v>
      </c>
      <c r="G162" s="64" t="s">
        <v>232</v>
      </c>
    </row>
    <row r="163" spans="2:7" ht="13.5">
      <c r="B163" s="13"/>
      <c r="D163" s="4"/>
      <c r="E163" s="48"/>
      <c r="F163" s="14"/>
      <c r="G163" s="32"/>
    </row>
    <row r="164" spans="2:7" ht="13.5">
      <c r="B164" s="13" t="str">
        <f>"##SET1 "&amp;D164&amp;REPT(" ",fill_1-LEN(D164))&amp;TEXT(E164,F164)&amp;REPT(" ",fill_2-LEN(TEXT(E164,F164)))&amp;"! ["&amp;G164&amp;"]"</f>
        <v>##SET1 Central_SupplyFan_MaxFlow[]   32.558    ! [m3/s]</v>
      </c>
      <c r="D164" s="4" t="s">
        <v>568</v>
      </c>
      <c r="E164" s="594">
        <v>32.558311585647118</v>
      </c>
      <c r="F164" s="50" t="s">
        <v>151</v>
      </c>
      <c r="G164" s="64" t="s">
        <v>107</v>
      </c>
    </row>
    <row r="165" spans="2:7" ht="13.5">
      <c r="B165" s="13" t="str">
        <f>"##SET1 "&amp;D165&amp;REPT(" ",fill_1-LEN(D165))&amp;TEXT(E165,F165)&amp;REPT(" ",fill_2-LEN(TEXT(E165,F165)))&amp;"! ["&amp;G165&amp;"]"</f>
        <v>##SET1 Central_ReturnFan_MaxFlow[]   32.558    ! [m3/s]</v>
      </c>
      <c r="D165" s="4" t="s">
        <v>569</v>
      </c>
      <c r="E165" s="594">
        <v>32.558311585647118</v>
      </c>
      <c r="F165" s="50" t="s">
        <v>151</v>
      </c>
      <c r="G165" s="64" t="s">
        <v>107</v>
      </c>
    </row>
    <row r="166" spans="2:7">
      <c r="G166" s="32"/>
    </row>
    <row r="167" spans="2:7" ht="13.5">
      <c r="B167" s="13" t="str">
        <f>"##SET1 "&amp;D167&amp;REPT(" ",fill_1-LEN(D167))&amp;TEXT(E167,F167)&amp;REPT(" ",fill_2-LEN(TEXT(E167,F167)))&amp;"! ["&amp;I155&amp;"]"</f>
        <v>##SET1 HW_Pump_MaxFlow[]             autosize  ! []</v>
      </c>
      <c r="D167" s="4" t="s">
        <v>554</v>
      </c>
      <c r="E167" s="623" t="s">
        <v>551</v>
      </c>
      <c r="F167" s="50" t="s">
        <v>571</v>
      </c>
    </row>
    <row r="168" spans="2:7" ht="13.5">
      <c r="B168" s="13" t="str">
        <f>"##SET1 "&amp;D168&amp;REPT(" ",fill_1-LEN(D168))&amp;TEXT(E168,F168)&amp;REPT(" ",fill_2-LEN(TEXT(E168,F168)))&amp;"! ["&amp;I156&amp;"]"</f>
        <v>##SET1 ChW_Pump_MaxFlow[]            0.016200  ! []</v>
      </c>
      <c r="D168" s="4" t="s">
        <v>555</v>
      </c>
      <c r="E168" s="594">
        <v>1.6199999999999999E-2</v>
      </c>
      <c r="F168" s="50" t="s">
        <v>571</v>
      </c>
    </row>
    <row r="169" spans="2:7" ht="13.5">
      <c r="B169" s="13" t="str">
        <f>"##SET1 "&amp;D169&amp;REPT(" ",fill_1-LEN(D169))&amp;TEXT(E169,F169)&amp;REPT(" ",fill_2-LEN(TEXT(E169,F169)))&amp;"! ["&amp;G166&amp;"]"</f>
        <v>##SET1 Condenser_Pump_MaxFlow[]      autosize  ! []</v>
      </c>
      <c r="D169" s="4" t="s">
        <v>570</v>
      </c>
      <c r="E169" s="623" t="s">
        <v>551</v>
      </c>
      <c r="F169" s="50" t="s">
        <v>571</v>
      </c>
      <c r="G169" s="32"/>
    </row>
    <row r="170" spans="2:7" ht="13.5">
      <c r="B170" s="13"/>
      <c r="D170" s="4"/>
      <c r="E170" s="34"/>
      <c r="F170" s="50"/>
      <c r="G170" s="32"/>
    </row>
    <row r="171" spans="2:7" ht="13.5">
      <c r="B171" s="13" t="str">
        <f t="shared" ref="B171:B182" si="12">"##SET1 "&amp;D171&amp;REPT(" ",fill_1-LEN(D171))&amp;TEXT(E171,F171)&amp;REPT(" ",fill_2-LEN(TEXT(E171,F171)))&amp;"! ["&amp;G171&amp;"]"</f>
        <v>##SET1 GF_Height[]                   3.1491    ! [-]</v>
      </c>
      <c r="D171" s="4" t="s">
        <v>584</v>
      </c>
      <c r="E171" s="623">
        <f>IF(Ceiling_Height="High",3.9624,3.1491)</f>
        <v>3.1490999999999998</v>
      </c>
      <c r="F171" s="50" t="s">
        <v>152</v>
      </c>
      <c r="G171" s="32" t="s">
        <v>212</v>
      </c>
    </row>
    <row r="172" spans="2:7" ht="13.5">
      <c r="B172" s="13" t="str">
        <f t="shared" si="12"/>
        <v>##SET1 MFSP_Height[]                 3.5550    ! [-]</v>
      </c>
      <c r="D172" s="4" t="s">
        <v>585</v>
      </c>
      <c r="E172" s="623">
        <f>IF(Ceiling_Height="High",4.3683,3.555)</f>
        <v>3.5550000000000002</v>
      </c>
      <c r="F172" s="50" t="s">
        <v>152</v>
      </c>
      <c r="G172" s="32" t="s">
        <v>212</v>
      </c>
    </row>
    <row r="173" spans="2:7" ht="13.5">
      <c r="B173" s="13" t="str">
        <f t="shared" si="12"/>
        <v>##SET1 MF_Height[]                   6.2982    ! [-]</v>
      </c>
      <c r="D173" s="4" t="s">
        <v>586</v>
      </c>
      <c r="E173" s="623">
        <f>IF(Ceiling_Height="High",7.9248,6.2982)</f>
        <v>6.2981999999999996</v>
      </c>
      <c r="F173" s="50" t="s">
        <v>152</v>
      </c>
      <c r="G173" s="32" t="s">
        <v>212</v>
      </c>
    </row>
    <row r="174" spans="2:7" ht="13.5">
      <c r="B174" s="13" t="str">
        <f t="shared" si="12"/>
        <v>##SET1 TFSP_Height[]                 6.7041    ! [-]</v>
      </c>
      <c r="D174" s="4" t="s">
        <v>587</v>
      </c>
      <c r="E174" s="623">
        <f>IF(Ceiling_Height="High",8.3307,6.7041)</f>
        <v>6.7041000000000004</v>
      </c>
      <c r="F174" s="50" t="s">
        <v>152</v>
      </c>
      <c r="G174" s="32" t="s">
        <v>212</v>
      </c>
    </row>
    <row r="175" spans="2:7" ht="13.5">
      <c r="B175" s="13" t="str">
        <f t="shared" si="12"/>
        <v>##SET1 TF_Height[]                   9.4473    ! [-]</v>
      </c>
      <c r="D175" s="4" t="s">
        <v>588</v>
      </c>
      <c r="E175" s="623">
        <f>IF(Ceiling_Height="High",11.8872,9.4473)</f>
        <v>9.4473000000000003</v>
      </c>
      <c r="F175" s="50" t="s">
        <v>152</v>
      </c>
      <c r="G175" s="32" t="s">
        <v>212</v>
      </c>
    </row>
    <row r="176" spans="2:7" ht="13.5">
      <c r="B176" s="13" t="str">
        <f t="shared" si="12"/>
        <v>##SET1 Radiant_Window_Height_GF[]    1.9135    ! [m]</v>
      </c>
      <c r="D176" s="4" t="s">
        <v>589</v>
      </c>
      <c r="E176" s="623">
        <f>0.4059+0.2+((3.9624-0)*WWR_value)</f>
        <v>1.9134920000000002</v>
      </c>
      <c r="F176" s="14" t="s">
        <v>152</v>
      </c>
      <c r="G176" s="32" t="s">
        <v>236</v>
      </c>
    </row>
    <row r="177" spans="2:9" ht="13.5">
      <c r="B177" s="13" t="str">
        <f t="shared" si="12"/>
        <v>##SET1 Radiant_Window_Height_MF[]    5.1626    ! [m]</v>
      </c>
      <c r="D177" s="4" t="s">
        <v>590</v>
      </c>
      <c r="E177" s="623">
        <f>E172+0.3+((7.9248-3.9624)*WWR_value)</f>
        <v>5.1625920000000001</v>
      </c>
      <c r="F177" s="14" t="s">
        <v>152</v>
      </c>
      <c r="G177" s="32" t="s">
        <v>236</v>
      </c>
    </row>
    <row r="178" spans="2:9" ht="13.5">
      <c r="B178" s="13" t="str">
        <f t="shared" si="12"/>
        <v>##SET1 Radiant_Window_Height_TF[]    8.3117    ! [m]</v>
      </c>
      <c r="D178" s="4" t="s">
        <v>591</v>
      </c>
      <c r="E178" s="623">
        <f>E174+0.3+((11.8872-7.9248)*WWR_value)</f>
        <v>8.3116920000000007</v>
      </c>
      <c r="F178" s="14" t="s">
        <v>152</v>
      </c>
      <c r="G178" s="32" t="s">
        <v>236</v>
      </c>
    </row>
    <row r="179" spans="2:9" ht="13.5">
      <c r="B179" s="13" t="str">
        <f t="shared" si="12"/>
        <v>##SET1 Tubing_Position[]             0.5000    ! [m]</v>
      </c>
      <c r="D179" s="4" t="s">
        <v>592</v>
      </c>
      <c r="E179" s="623">
        <v>0.5</v>
      </c>
      <c r="F179" s="14" t="s">
        <v>152</v>
      </c>
      <c r="G179" s="32" t="s">
        <v>236</v>
      </c>
    </row>
    <row r="180" spans="2:9" ht="13.5">
      <c r="B180" s="13" t="str">
        <f t="shared" si="12"/>
        <v>##SET1 Radiant_Calc_Dimension[]      1.0000    ! [m]</v>
      </c>
      <c r="D180" s="4" t="s">
        <v>593</v>
      </c>
      <c r="E180" s="623">
        <v>1</v>
      </c>
      <c r="F180" s="14" t="s">
        <v>152</v>
      </c>
      <c r="G180" s="32" t="s">
        <v>236</v>
      </c>
    </row>
    <row r="181" spans="2:9" ht="13.5">
      <c r="B181" s="13" t="str">
        <f t="shared" si="12"/>
        <v>##SET1 Tube_Spacing[]                0.1500    ! [m]</v>
      </c>
      <c r="D181" s="4" t="s">
        <v>594</v>
      </c>
      <c r="E181" s="623">
        <v>0.15</v>
      </c>
      <c r="F181" s="14" t="s">
        <v>152</v>
      </c>
      <c r="G181" s="32" t="s">
        <v>236</v>
      </c>
    </row>
    <row r="182" spans="2:9" ht="13.5">
      <c r="B182" s="13" t="str">
        <f t="shared" si="12"/>
        <v>##SET1 Tubing_Inside_Diameter[]      0.0120    ! [m]</v>
      </c>
      <c r="D182" s="4" t="s">
        <v>595</v>
      </c>
      <c r="E182" s="623">
        <v>1.2E-2</v>
      </c>
      <c r="F182" s="14" t="s">
        <v>152</v>
      </c>
      <c r="G182" s="32" t="s">
        <v>236</v>
      </c>
    </row>
    <row r="183" spans="2:9" ht="13.5">
      <c r="B183" s="13" t="str">
        <f>"##SET1 "&amp;D183&amp;REPT(" ",35-LEN(D183))&amp;TEXT(E183,F183)&amp;REPT(" ",15-LEN(TEXT(E183,F183)))&amp;"! ["&amp;G183&amp;"]"</f>
        <v>##SET1 Internal_Calculation_Variable[]    7.6667         ! [m]</v>
      </c>
      <c r="D183" s="4" t="s">
        <v>596</v>
      </c>
      <c r="E183" s="623">
        <f>1/E181+1</f>
        <v>7.666666666666667</v>
      </c>
      <c r="F183" s="14" t="s">
        <v>152</v>
      </c>
      <c r="G183" s="32" t="s">
        <v>236</v>
      </c>
    </row>
    <row r="184" spans="2:9" ht="13.5">
      <c r="B184" s="13" t="str">
        <f>"##SET1 "&amp;D184&amp;REPT(" ",fill_1-LEN(D184))&amp;TEXT(E184,F184)&amp;REPT(" ",fill_2-LEN(TEXT(E184,F184)))&amp;"! ["&amp;G184&amp;"]"</f>
        <v>##SET1 Tubing_Length_Core[]          6210.0000 ! [m]</v>
      </c>
      <c r="D184" s="4" t="s">
        <v>597</v>
      </c>
      <c r="E184" s="623">
        <f>810*E183</f>
        <v>6210</v>
      </c>
      <c r="F184" s="14" t="s">
        <v>152</v>
      </c>
      <c r="G184" s="32" t="s">
        <v>236</v>
      </c>
    </row>
    <row r="185" spans="2:9" ht="13.5">
      <c r="B185" s="13" t="str">
        <f>"##SET1 "&amp;D185&amp;REPT(" ",fill_1-LEN(D185))&amp;TEXT(E185,F185)&amp;REPT(" ",fill_2-LEN(TEXT(E185,F185)))&amp;"! ["&amp;G185&amp;"]"</f>
        <v>##SET1 Tubing_Length_NorthSouth[]    1686.6667 ! [m]</v>
      </c>
      <c r="D185" s="4" t="s">
        <v>598</v>
      </c>
      <c r="E185" s="623">
        <f>220*E183</f>
        <v>1686.6666666666667</v>
      </c>
      <c r="F185" s="14" t="s">
        <v>152</v>
      </c>
      <c r="G185" s="32" t="s">
        <v>236</v>
      </c>
    </row>
    <row r="186" spans="2:9" ht="13.5">
      <c r="B186" s="13" t="str">
        <f>"##SET1 "&amp;D186&amp;REPT(" ",fill_1-LEN(D186))&amp;TEXT(E186,F186)&amp;REPT(" ",fill_2-LEN(TEXT(E186,F186)))&amp;"! ["&amp;G186&amp;"]"</f>
        <v>##SET1 Tubing_Length_EastWest[]      1073.3333 ! [m]</v>
      </c>
      <c r="D186" s="4" t="s">
        <v>599</v>
      </c>
      <c r="E186" s="623">
        <f>140*E183</f>
        <v>1073.3333333333335</v>
      </c>
      <c r="F186" s="14" t="s">
        <v>152</v>
      </c>
      <c r="G186" s="32" t="s">
        <v>236</v>
      </c>
    </row>
    <row r="187" spans="2:9" ht="13.5">
      <c r="B187" s="13" t="str">
        <f>"##SET1 "&amp;D187&amp;REPT(" ",40-LEN(D187))&amp;E187</f>
        <v>##SET1 RadiantSystem_ControlType[]             InsideSurfaceTemperature</v>
      </c>
      <c r="D187" s="4" t="s">
        <v>600</v>
      </c>
      <c r="E187" s="623" t="str">
        <f>J124</f>
        <v>InsideSurfaceTemperature</v>
      </c>
      <c r="F187" s="14" t="s">
        <v>152</v>
      </c>
      <c r="G187" s="64" t="s">
        <v>212</v>
      </c>
    </row>
    <row r="188" spans="2:9" ht="13.5">
      <c r="B188" s="13" t="str">
        <f>"##SET1 "&amp;D188&amp;REPT(" ",40-LEN(D188))&amp;TEXT(E188,F188)&amp;REPT(" ",15-LEN(TEXT(E188,F188)))&amp;"! ["&amp;G188&amp;"]"</f>
        <v>##SET1 RadiantSystem_HeatingThrottleRange[]    0.5            ! [C]</v>
      </c>
      <c r="D188" s="4" t="s">
        <v>601</v>
      </c>
      <c r="E188" s="623">
        <v>0.5</v>
      </c>
      <c r="F188" s="50" t="s">
        <v>162</v>
      </c>
      <c r="G188" s="64" t="s">
        <v>239</v>
      </c>
    </row>
    <row r="189" spans="2:9" ht="13.5">
      <c r="B189" s="13" t="str">
        <f>"##SET1 "&amp;D189&amp;REPT(" ",40-LEN(D189))&amp;TEXT(E189,F189)&amp;REPT(" ",15-LEN(TEXT(E189,F189)))&amp;"! ["&amp;G189&amp;"]"</f>
        <v>##SET1 RadiantSystem_CoolingThrottleRange[]    0.5            ! [C]</v>
      </c>
      <c r="D189" s="4" t="s">
        <v>602</v>
      </c>
      <c r="E189" s="623">
        <v>0.5</v>
      </c>
      <c r="F189" s="50" t="s">
        <v>162</v>
      </c>
      <c r="G189" s="64" t="s">
        <v>239</v>
      </c>
    </row>
    <row r="190" spans="2:9" ht="13.5">
      <c r="B190" s="13" t="str">
        <f>"##SET1 "&amp;D190&amp;REPT(" ",40-LEN(D190))&amp;TEXT(E190,F190)&amp;REPT(" ",15-LEN(TEXT(E190,F190)))&amp;"! ["&amp;G190&amp;"]"</f>
        <v>##SET1 RadiantSystem_Priority[]                1              ! [-]</v>
      </c>
      <c r="D190" s="4" t="s">
        <v>603</v>
      </c>
      <c r="E190" s="623">
        <v>1</v>
      </c>
      <c r="F190" s="50" t="s">
        <v>211</v>
      </c>
      <c r="G190" s="64" t="s">
        <v>212</v>
      </c>
    </row>
    <row r="191" spans="2:9" ht="13.5">
      <c r="B191" s="13" t="str">
        <f>"##SET1 "&amp;D191&amp;REPT(" ",40-LEN(D191))&amp;TEXT(E191,F191)&amp;REPT(" ",15-LEN(TEXT(E191,F191)))&amp;"! ["&amp;G191&amp;"]"</f>
        <v>##SET1 RadiantSystem_MaxFlow_Core[]            0.002000       ! [ m3/s]</v>
      </c>
      <c r="D191" s="66" t="s">
        <v>605</v>
      </c>
      <c r="E191" s="626">
        <v>2E-3</v>
      </c>
      <c r="F191" s="68" t="s">
        <v>571</v>
      </c>
      <c r="G191" s="64" t="s">
        <v>606</v>
      </c>
    </row>
    <row r="192" spans="2:9" ht="13.5">
      <c r="B192" s="13" t="str">
        <f>"##SET1 "&amp;D192&amp;REPT(" ",fill_1-LEN(D192))&amp;TEXT(E192,F192)&amp;REPT(" ",fill_2-LEN(TEXT(E192,F192)))&amp;"! ["&amp;G192&amp;"]"</f>
        <v>##SET1 TowerWaterFlowRate[]                    ! [m3/s]</v>
      </c>
      <c r="D192" s="66" t="s">
        <v>607</v>
      </c>
      <c r="E192" s="626" t="s">
        <v>1117</v>
      </c>
      <c r="F192" s="68" t="s">
        <v>149</v>
      </c>
      <c r="G192" s="64" t="s">
        <v>107</v>
      </c>
      <c r="I192" s="4"/>
    </row>
    <row r="193" spans="2:9" ht="13.5">
      <c r="B193" s="13" t="str">
        <f>"##SET1 "&amp;D193&amp;REPT(" ",fill_1-LEN(D193))&amp;TEXT(E193,F193)&amp;REPT(" ",fill_2-LEN(TEXT(E193,F193)))&amp;"! ["&amp;G193&amp;"]"</f>
        <v>##SET1 TowerAirFlowRate[]                      ! [m3/s]</v>
      </c>
      <c r="D193" s="66" t="s">
        <v>608</v>
      </c>
      <c r="E193" s="626" t="s">
        <v>1117</v>
      </c>
      <c r="F193" s="68" t="s">
        <v>151</v>
      </c>
      <c r="G193" s="64" t="s">
        <v>107</v>
      </c>
      <c r="I193" s="4"/>
    </row>
    <row r="194" spans="2:9" ht="13.5">
      <c r="B194" s="13" t="str">
        <f>"##SET1 "&amp;D194&amp;REPT(" ",fill_1-LEN(D194))&amp;TEXT(E194,F194)&amp;REPT(" ",fill_2-LEN(TEXT(E194,F194)))&amp;"! ["&amp;G194&amp;"]"</f>
        <v>##SET1 TowerFanPower[]                         ! [W]</v>
      </c>
      <c r="D194" s="611" t="s">
        <v>609</v>
      </c>
      <c r="E194" s="626" t="s">
        <v>1117</v>
      </c>
      <c r="F194" s="68" t="s">
        <v>150</v>
      </c>
      <c r="G194" s="64" t="s">
        <v>232</v>
      </c>
      <c r="I194" s="4"/>
    </row>
    <row r="195" spans="2:9" ht="13.5">
      <c r="B195" s="13" t="str">
        <f>"##SET1 "&amp;D195&amp;REPT(" ",fill_1-LEN(D195))&amp;TEXT(E195,F195)&amp;REPT(" ",fill_2-LEN(TEXT(E195,F195)))&amp;"! ["&amp;G195&amp;"]"</f>
        <v>##SET1 TowerUA[]                               ! [W/K]</v>
      </c>
      <c r="D195" s="66" t="s">
        <v>610</v>
      </c>
      <c r="E195" s="626" t="s">
        <v>1117</v>
      </c>
      <c r="F195" s="68" t="s">
        <v>162</v>
      </c>
      <c r="G195" s="64" t="s">
        <v>611</v>
      </c>
      <c r="I195" s="69"/>
    </row>
    <row r="196" spans="2:9" ht="13.5">
      <c r="B196" s="13" t="str">
        <f>"##SET1 "&amp;D196&amp;REPT(" ",fill_1-LEN(D196))&amp;TEXT(E196,F196)&amp;REPT(" ",fill_2-LEN(TEXT(E196,F196)))&amp;"! ["&amp;G196&amp;"]"</f>
        <v>##SET1 TowerSizingFactor[]           1.00      ! [-]</v>
      </c>
      <c r="D196" s="66" t="s">
        <v>612</v>
      </c>
      <c r="E196" s="627">
        <f>J115</f>
        <v>1</v>
      </c>
      <c r="F196" s="68" t="s">
        <v>150</v>
      </c>
      <c r="G196" s="64" t="s">
        <v>212</v>
      </c>
      <c r="I196" s="69"/>
    </row>
    <row r="197" spans="2:9" ht="13.5">
      <c r="B197" s="13"/>
      <c r="D197" s="66"/>
      <c r="E197" s="69"/>
      <c r="F197" s="68"/>
      <c r="G197" s="64"/>
      <c r="I197" s="4"/>
    </row>
    <row r="198" spans="2:9" ht="13.5">
      <c r="B198" s="13" t="str">
        <f t="shared" ref="B198:B214" si="13">"##SET1 "&amp;D198&amp;REPT(" ",fill_1-LEN(D198))&amp;TEXT(E198,F198)&amp;REPT(" ",fill_2-LEN(TEXT(E198,F198)))&amp;"! ["&amp;G198&amp;"]"</f>
        <v>##SET1 X_First[]                     0.24708   ! [-]</v>
      </c>
      <c r="D198" s="66" t="s">
        <v>614</v>
      </c>
      <c r="E198" s="67">
        <v>0.24707779999999999</v>
      </c>
      <c r="F198" s="68" t="s">
        <v>149</v>
      </c>
      <c r="G198" s="64" t="s">
        <v>212</v>
      </c>
    </row>
    <row r="199" spans="2:9" ht="13.5">
      <c r="B199" s="13" t="str">
        <f t="shared" si="13"/>
        <v>##SET1 X_Second[]                    4.82025   ! [-]</v>
      </c>
      <c r="D199" s="66" t="s">
        <v>615</v>
      </c>
      <c r="E199" s="67">
        <f>E198+Perimeter_Depth</f>
        <v>4.8202485317073167</v>
      </c>
      <c r="F199" s="68" t="s">
        <v>149</v>
      </c>
      <c r="G199" s="64" t="s">
        <v>212</v>
      </c>
    </row>
    <row r="200" spans="2:9" ht="13.5">
      <c r="B200" s="13" t="str">
        <f t="shared" si="13"/>
        <v>##SET1 X_Third[]                     26.64833  ! [-]</v>
      </c>
      <c r="D200" s="66" t="s">
        <v>616</v>
      </c>
      <c r="E200" s="67">
        <f>(E198+E203)/2-Service_Length/2</f>
        <v>26.648328192828608</v>
      </c>
      <c r="F200" s="68" t="s">
        <v>149</v>
      </c>
      <c r="G200" s="64" t="s">
        <v>212</v>
      </c>
    </row>
    <row r="201" spans="2:9" ht="13.5">
      <c r="B201" s="13" t="str">
        <f t="shared" si="13"/>
        <v>##SET1 X_Fourth[]                    26.64833  ! [-]</v>
      </c>
      <c r="D201" s="66" t="s">
        <v>617</v>
      </c>
      <c r="E201" s="67">
        <f>(E198+E203)/2+Service_Length/2</f>
        <v>26.648328192828608</v>
      </c>
      <c r="F201" s="68" t="s">
        <v>149</v>
      </c>
      <c r="G201" s="64" t="s">
        <v>212</v>
      </c>
    </row>
    <row r="202" spans="2:9" ht="13.5">
      <c r="B202" s="13" t="str">
        <f t="shared" si="13"/>
        <v>##SET1 X_Fifth[]                     48.47641  ! [-]</v>
      </c>
      <c r="D202" s="66" t="s">
        <v>618</v>
      </c>
      <c r="E202" s="67">
        <f>E203-Perimeter_Depth</f>
        <v>48.476407853949901</v>
      </c>
      <c r="F202" s="68" t="s">
        <v>149</v>
      </c>
      <c r="G202" s="64" t="s">
        <v>212</v>
      </c>
    </row>
    <row r="203" spans="2:9" ht="13.5">
      <c r="B203" s="13" t="str">
        <f t="shared" si="13"/>
        <v>##SET1 X_Sixth[]                     53.04958  ! [-]</v>
      </c>
      <c r="D203" s="66" t="s">
        <v>619</v>
      </c>
      <c r="E203" s="67">
        <f>E198+Bldg_Length</f>
        <v>53.049578585657216</v>
      </c>
      <c r="F203" s="68" t="s">
        <v>149</v>
      </c>
      <c r="G203" s="64" t="s">
        <v>212</v>
      </c>
    </row>
    <row r="204" spans="2:9" ht="13.5">
      <c r="B204" s="13" t="str">
        <f t="shared" si="13"/>
        <v>##SET1 Y_First[]                     0.25000   ! [-]</v>
      </c>
      <c r="D204" s="66" t="s">
        <v>620</v>
      </c>
      <c r="E204" s="67">
        <v>0.25</v>
      </c>
      <c r="F204" s="68" t="s">
        <v>149</v>
      </c>
      <c r="G204" s="64" t="s">
        <v>212</v>
      </c>
      <c r="I204" s="4"/>
    </row>
    <row r="205" spans="2:9" ht="13.5">
      <c r="B205" s="13" t="str">
        <f t="shared" si="13"/>
        <v>##SET1 Y_Second[]                    4.82317   ! [-]</v>
      </c>
      <c r="D205" s="66" t="s">
        <v>621</v>
      </c>
      <c r="E205" s="67">
        <f>E204+Perimeter_Depth</f>
        <v>4.8231707317073171</v>
      </c>
      <c r="F205" s="68" t="s">
        <v>149</v>
      </c>
      <c r="G205" s="64" t="s">
        <v>212</v>
      </c>
      <c r="I205" s="4"/>
    </row>
    <row r="206" spans="2:9" ht="13.5">
      <c r="B206" s="13" t="str">
        <f t="shared" si="13"/>
        <v>##SET1 Y_Third[]                     17.85083  ! [-]</v>
      </c>
      <c r="D206" s="66" t="s">
        <v>622</v>
      </c>
      <c r="E206" s="67">
        <f>E210-Service_Width/2</f>
        <v>17.850833595219072</v>
      </c>
      <c r="F206" s="68" t="s">
        <v>149</v>
      </c>
      <c r="G206" s="64" t="s">
        <v>212</v>
      </c>
      <c r="I206" s="4"/>
    </row>
    <row r="207" spans="2:9" ht="13.5">
      <c r="B207" s="13" t="str">
        <f t="shared" si="13"/>
        <v>##SET1 Y_Fourth[]                    17.85083  ! [-]</v>
      </c>
      <c r="D207" s="66" t="s">
        <v>623</v>
      </c>
      <c r="E207" s="67">
        <f>E210+Service_Width/2</f>
        <v>17.850833595219072</v>
      </c>
      <c r="F207" s="68" t="s">
        <v>149</v>
      </c>
      <c r="G207" s="64" t="s">
        <v>212</v>
      </c>
      <c r="I207" s="4"/>
    </row>
    <row r="208" spans="2:9" ht="13.5">
      <c r="B208" s="13" t="str">
        <f t="shared" si="13"/>
        <v>##SET1 Y_Fifth[]                     30.87850  ! [-]</v>
      </c>
      <c r="D208" s="66" t="s">
        <v>624</v>
      </c>
      <c r="E208" s="67">
        <f>E209-Perimeter_Depth</f>
        <v>30.878496458730826</v>
      </c>
      <c r="F208" s="68" t="s">
        <v>149</v>
      </c>
      <c r="G208" s="64" t="s">
        <v>212</v>
      </c>
      <c r="I208" s="4"/>
    </row>
    <row r="209" spans="2:9" ht="13.5">
      <c r="B209" s="13" t="str">
        <f t="shared" si="13"/>
        <v>##SET1 Y_Sixth[]                     35.45167  ! [-]</v>
      </c>
      <c r="D209" s="66" t="s">
        <v>625</v>
      </c>
      <c r="E209" s="67">
        <f>E204+Bldg_Width</f>
        <v>35.451667190438144</v>
      </c>
      <c r="F209" s="68" t="s">
        <v>149</v>
      </c>
      <c r="G209" s="64" t="s">
        <v>212</v>
      </c>
      <c r="I209" s="4"/>
    </row>
    <row r="210" spans="2:9" ht="13.5">
      <c r="B210" s="13" t="str">
        <f t="shared" si="13"/>
        <v>##SET1 Y_Half[]                      17.85083  ! [-]</v>
      </c>
      <c r="D210" s="66" t="s">
        <v>626</v>
      </c>
      <c r="E210" s="67">
        <f>(E204+E209)/2</f>
        <v>17.850833595219072</v>
      </c>
      <c r="F210" s="68" t="s">
        <v>149</v>
      </c>
      <c r="G210" s="64" t="s">
        <v>212</v>
      </c>
      <c r="I210" s="4"/>
    </row>
    <row r="211" spans="2:9" ht="13.5">
      <c r="B211" s="13" t="str">
        <f t="shared" si="13"/>
        <v>##SET1 X_Window_Second[]             52.99958  ! [-]</v>
      </c>
      <c r="D211" s="66" t="s">
        <v>638</v>
      </c>
      <c r="E211" s="67">
        <f>E203-0.05</f>
        <v>52.999578585657218</v>
      </c>
      <c r="F211" s="68" t="s">
        <v>149</v>
      </c>
      <c r="G211" s="64" t="s">
        <v>212</v>
      </c>
      <c r="I211" s="4"/>
    </row>
    <row r="212" spans="2:9" ht="13.5">
      <c r="B212" s="13" t="str">
        <f t="shared" si="13"/>
        <v>##SET1 Y_Window_Second[]             35.40167  ! [-]</v>
      </c>
      <c r="D212" s="66" t="s">
        <v>639</v>
      </c>
      <c r="E212" s="67">
        <f>E209-0.05</f>
        <v>35.401667190438147</v>
      </c>
      <c r="F212" s="68" t="s">
        <v>149</v>
      </c>
      <c r="G212" s="64" t="s">
        <v>212</v>
      </c>
      <c r="I212" s="4"/>
    </row>
    <row r="213" spans="2:9" ht="13.5">
      <c r="B213" s="13" t="str">
        <f t="shared" si="13"/>
        <v>##SET1 X_Window_First[]              0.29708   ! [-]</v>
      </c>
      <c r="D213" s="66" t="s">
        <v>640</v>
      </c>
      <c r="E213" s="67">
        <f>E198+0.05</f>
        <v>0.2970778</v>
      </c>
      <c r="F213" s="68" t="s">
        <v>149</v>
      </c>
      <c r="G213" s="64" t="s">
        <v>212</v>
      </c>
      <c r="I213" s="4"/>
    </row>
    <row r="214" spans="2:9" ht="13.5">
      <c r="B214" s="13" t="str">
        <f t="shared" si="13"/>
        <v>##SET1 Y_Window_First[]              0.30000   ! [-]</v>
      </c>
      <c r="D214" s="66" t="s">
        <v>641</v>
      </c>
      <c r="E214" s="67">
        <f>E204+0.05</f>
        <v>0.3</v>
      </c>
      <c r="F214" s="68" t="s">
        <v>149</v>
      </c>
      <c r="G214" s="64" t="s">
        <v>212</v>
      </c>
      <c r="I214" s="4"/>
    </row>
    <row r="215" spans="2:9" ht="13.5">
      <c r="B215" s="13"/>
      <c r="D215" s="66"/>
      <c r="E215" s="67"/>
      <c r="F215" s="68"/>
      <c r="G215" s="64"/>
      <c r="I215" s="4"/>
    </row>
    <row r="216" spans="2:9" ht="13.5">
      <c r="B216" s="13" t="str">
        <f t="shared" ref="B216:B229" si="14">"##SET1 "&amp;D216&amp;REPT(" ",fill_1-LEN(D216))&amp;TEXT(E216,F216)&amp;REPT(" ",fill_2-LEN(TEXT(E216,F216)))&amp;"  ! ["&amp;G216&amp;"]"</f>
        <v>##SET1 Return_System[]               Relief_Fan  ! [-]</v>
      </c>
      <c r="D216" s="66" t="s">
        <v>643</v>
      </c>
      <c r="E216" s="626" t="str">
        <f>J43</f>
        <v>Relief_Fan</v>
      </c>
      <c r="F216" s="68" t="s">
        <v>149</v>
      </c>
      <c r="G216" s="64" t="s">
        <v>212</v>
      </c>
      <c r="I216" s="4"/>
    </row>
    <row r="217" spans="2:9" ht="13.5">
      <c r="B217" s="13" t="str">
        <f t="shared" si="14"/>
        <v>##SET1 Heat_Recovery[]               No          ! [-]</v>
      </c>
      <c r="D217" s="66" t="s">
        <v>644</v>
      </c>
      <c r="E217" s="626" t="str">
        <f>J44</f>
        <v>No</v>
      </c>
      <c r="F217" s="68" t="s">
        <v>149</v>
      </c>
      <c r="G217" s="64" t="s">
        <v>212</v>
      </c>
      <c r="I217" s="4"/>
    </row>
    <row r="218" spans="2:9" ht="13.5">
      <c r="B218" s="13" t="str">
        <f t="shared" si="14"/>
        <v>##SET1 Building_Orientation[]        0.0         ! []</v>
      </c>
      <c r="D218" s="4" t="s">
        <v>658</v>
      </c>
      <c r="E218" s="67">
        <f>J18</f>
        <v>0</v>
      </c>
      <c r="F218" s="68" t="s">
        <v>162</v>
      </c>
      <c r="G218" s="64"/>
      <c r="I218" s="4"/>
    </row>
    <row r="219" spans="2:9" ht="13.5">
      <c r="B219" s="13" t="str">
        <f t="shared" si="14"/>
        <v>##SET1 Cooling_Setback[]             26.6667     ! [C]</v>
      </c>
      <c r="D219" s="581" t="s">
        <v>667</v>
      </c>
      <c r="E219" s="67">
        <f>(J46-32)*5/9</f>
        <v>26.666666666666668</v>
      </c>
      <c r="F219" s="68" t="s">
        <v>152</v>
      </c>
      <c r="G219" s="64" t="s">
        <v>239</v>
      </c>
      <c r="I219" s="4"/>
    </row>
    <row r="220" spans="2:9" ht="13.5">
      <c r="B220" s="13" t="str">
        <f t="shared" si="14"/>
        <v>##SET1 Cooling_Setpoint[]            23.8889     ! [C]</v>
      </c>
      <c r="D220" s="4" t="s">
        <v>668</v>
      </c>
      <c r="E220" s="67">
        <f>(J45-32)*5/9</f>
        <v>23.888888888888889</v>
      </c>
      <c r="F220" s="68" t="s">
        <v>152</v>
      </c>
      <c r="G220" s="64" t="s">
        <v>239</v>
      </c>
      <c r="I220" s="4"/>
    </row>
    <row r="221" spans="2:9" ht="13.5">
      <c r="B221" s="13" t="str">
        <f t="shared" si="14"/>
        <v>##SET1 Heating_Setback[]             18.3333     ! [C]</v>
      </c>
      <c r="D221" s="4" t="s">
        <v>672</v>
      </c>
      <c r="E221" s="67">
        <f>(J48-32)*5/9</f>
        <v>18.333333333333332</v>
      </c>
      <c r="F221" s="68" t="s">
        <v>152</v>
      </c>
      <c r="G221" s="64" t="s">
        <v>239</v>
      </c>
      <c r="I221" s="565"/>
    </row>
    <row r="222" spans="2:9" ht="13.5">
      <c r="B222" s="13" t="str">
        <f t="shared" si="14"/>
        <v>##SET1 Heating_Setpoint[]            21.1111     ! [C]</v>
      </c>
      <c r="D222" s="4" t="s">
        <v>671</v>
      </c>
      <c r="E222" s="67">
        <f>(J47-32)*5/9</f>
        <v>21.111111111111111</v>
      </c>
      <c r="F222" s="68" t="s">
        <v>152</v>
      </c>
      <c r="G222" s="64" t="s">
        <v>239</v>
      </c>
      <c r="I222" s="4"/>
    </row>
    <row r="223" spans="2:9" ht="13.5">
      <c r="B223" s="13" t="str">
        <f t="shared" si="14"/>
        <v>##SET1 SAT_Reset[]                   No          ! [-]</v>
      </c>
      <c r="D223" s="581" t="s">
        <v>676</v>
      </c>
      <c r="E223" s="626" t="str">
        <f>J49</f>
        <v>No</v>
      </c>
      <c r="F223" s="68" t="s">
        <v>152</v>
      </c>
      <c r="G223" s="64" t="s">
        <v>212</v>
      </c>
      <c r="I223" s="4"/>
    </row>
    <row r="224" spans="2:9" ht="13.5">
      <c r="B224" s="13" t="str">
        <f t="shared" si="14"/>
        <v>##SET1 Chiller_Staging[]             No          ! [-]</v>
      </c>
      <c r="D224" s="4" t="s">
        <v>700</v>
      </c>
      <c r="E224" s="626" t="str">
        <f>J51</f>
        <v>No</v>
      </c>
      <c r="F224" s="68" t="s">
        <v>152</v>
      </c>
      <c r="G224" s="64" t="s">
        <v>212</v>
      </c>
      <c r="I224" s="4"/>
    </row>
    <row r="225" spans="2:12" ht="13.5">
      <c r="B225" s="13" t="str">
        <f t="shared" si="14"/>
        <v>##SET1 Boiler_Staging[]              Yes         ! [-]</v>
      </c>
      <c r="D225" s="4" t="s">
        <v>702</v>
      </c>
      <c r="E225" s="626" t="str">
        <f>J52</f>
        <v>Yes</v>
      </c>
      <c r="F225" s="68" t="s">
        <v>152</v>
      </c>
      <c r="G225" s="64" t="s">
        <v>212</v>
      </c>
      <c r="I225" s="4"/>
    </row>
    <row r="226" spans="2:12" ht="13.5">
      <c r="B226" s="13" t="str">
        <f t="shared" si="14"/>
        <v>##SET1 ChW_Reset[]                   Yes         ! [-]</v>
      </c>
      <c r="D226" s="4" t="s">
        <v>703</v>
      </c>
      <c r="E226" s="626" t="str">
        <f>J54</f>
        <v>Yes</v>
      </c>
      <c r="F226" s="68" t="s">
        <v>152</v>
      </c>
      <c r="G226" s="64" t="s">
        <v>212</v>
      </c>
      <c r="I226" s="4"/>
    </row>
    <row r="227" spans="2:12" ht="13.5">
      <c r="B227" s="13" t="str">
        <f t="shared" si="14"/>
        <v>##SET1 AHU_Static_Reset[]            Yes         ! [-]</v>
      </c>
      <c r="D227" s="358" t="s">
        <v>708</v>
      </c>
      <c r="E227" s="626" t="str">
        <f>J41</f>
        <v>Yes</v>
      </c>
      <c r="F227" s="68" t="s">
        <v>152</v>
      </c>
      <c r="G227" s="64" t="s">
        <v>212</v>
      </c>
    </row>
    <row r="228" spans="2:12" ht="13.5">
      <c r="B228" s="13" t="str">
        <f t="shared" si="14"/>
        <v>##SET1 Shutoff_Pressure[]            One_Half    ! [-]</v>
      </c>
      <c r="D228" s="4" t="s">
        <v>709</v>
      </c>
      <c r="E228" s="67" t="str">
        <f>IF(E227="Yes","One_Half",J42)</f>
        <v>One_Half</v>
      </c>
      <c r="F228" s="68" t="s">
        <v>162</v>
      </c>
      <c r="G228" s="64" t="s">
        <v>212</v>
      </c>
      <c r="I228" s="358"/>
    </row>
    <row r="229" spans="2:12" ht="13.5">
      <c r="B229" s="13" t="str">
        <f t="shared" si="14"/>
        <v>##SET1 Slab_Insulation[]             None        ! [-]</v>
      </c>
      <c r="D229" s="4" t="s">
        <v>748</v>
      </c>
      <c r="E229" s="626" t="str">
        <f>J20</f>
        <v>None</v>
      </c>
      <c r="F229" s="68" t="s">
        <v>162</v>
      </c>
      <c r="G229" s="64" t="s">
        <v>212</v>
      </c>
      <c r="I229" s="570"/>
    </row>
    <row r="230" spans="2:12" ht="13.5">
      <c r="B230" s="13" t="str">
        <f>"##SET1 "&amp;D230&amp;REPT(" ",fill_1-LEN(D230))&amp;TEXT(E230,F230)&amp;REPT(" ",20-LEN(TEXT(E230,F230)))&amp;"  ! ["&amp;G230&amp;"]"</f>
        <v>##SET1 OH_VAV_Heating[]              VAV_Heating           ! [-]</v>
      </c>
      <c r="D230" s="4" t="s">
        <v>753</v>
      </c>
      <c r="E230" s="67" t="str">
        <f>J36</f>
        <v>VAV_Heating</v>
      </c>
      <c r="F230" s="68" t="s">
        <v>162</v>
      </c>
      <c r="G230" s="64" t="s">
        <v>212</v>
      </c>
      <c r="I230" s="358"/>
    </row>
    <row r="231" spans="2:12" ht="13.5">
      <c r="B231" s="13" t="str">
        <f>"##SET1 "&amp;D231&amp;REPT(" ",fill_1-LEN(D231))&amp;TEXT(E231,F231)&amp;REPT(" ",fill_2-LEN(TEXT(E231,F231)))&amp;"  ! ["&amp;G231&amp;"]"</f>
        <v>##SET1 HW_Reset[]                    Yes         ! [-]</v>
      </c>
      <c r="D231" s="4" t="s">
        <v>754</v>
      </c>
      <c r="E231" s="626" t="str">
        <f>J55</f>
        <v>Yes</v>
      </c>
      <c r="F231" s="68" t="s">
        <v>162</v>
      </c>
      <c r="G231" s="64" t="s">
        <v>212</v>
      </c>
      <c r="I231" s="358"/>
    </row>
    <row r="232" spans="2:12" ht="13.5">
      <c r="B232" s="13" t="str">
        <f>"##SET1 "&amp;D232&amp;REPT(" ",fill_1-LEN(D232))&amp;TEXT(E232,F232)&amp;REPT(" ",fill_2-LEN(TEXT(E232,F232)))&amp;"  ! ["&amp;G232&amp;"]"</f>
        <v>##SET1 Sizing_Factor[]               1.2         ! [-]</v>
      </c>
      <c r="D232" t="s">
        <v>812</v>
      </c>
      <c r="E232" s="626">
        <f>J56</f>
        <v>1.2</v>
      </c>
      <c r="F232" s="68" t="s">
        <v>162</v>
      </c>
      <c r="G232" s="64" t="s">
        <v>212</v>
      </c>
      <c r="I232" s="358"/>
    </row>
    <row r="233" spans="2:12" ht="13.5">
      <c r="B233" s="13" t="str">
        <f>"##SET1 "&amp;D233&amp;REPT(" ",fill_1-LEN(D233))&amp;TEXT(E233,F233)&amp;REPT(" ",fill_2-LEN(TEXT(E233,F233)))&amp;"  ! ["&amp;G233&amp;"]"</f>
        <v>##SET1 DesignDay_Sim[]               Yes         ! [-]</v>
      </c>
      <c r="D233" t="s">
        <v>840</v>
      </c>
      <c r="E233" s="67" t="str">
        <f>IF(J10="No", "No", "Yes")</f>
        <v>Yes</v>
      </c>
      <c r="F233" s="68" t="s">
        <v>162</v>
      </c>
      <c r="G233" s="64" t="s">
        <v>212</v>
      </c>
    </row>
    <row r="234" spans="2:12" ht="13.5">
      <c r="B234" s="13" t="str">
        <f>"##SET1 "&amp;D234&amp;REPT(" ",fill_1-LEN(D234))&amp;TEXT(E234,F234)&amp;REPT(" ",fill_2-LEN(TEXT(E234,F234)))&amp;"  ! ["&amp;G234&amp;"]"</f>
        <v>##SET1 WeatherFile_Sim[]             No          ! [-]</v>
      </c>
      <c r="D234" t="s">
        <v>841</v>
      </c>
      <c r="E234" s="67" t="str">
        <f>IF(J10="No", "Yes", "No")</f>
        <v>No</v>
      </c>
      <c r="F234" s="68" t="s">
        <v>162</v>
      </c>
      <c r="G234" s="64" t="s">
        <v>212</v>
      </c>
    </row>
    <row r="235" spans="2:12" ht="13.5">
      <c r="B235" s="13" t="str">
        <f>"##SET1 "&amp;D235&amp;REPT(" ",fill_1-LEN(D235))&amp;TEXT(E235,F235)&amp;REPT(" ",fill_2-LEN(TEXT(E235,F235)))&amp;"  ! ["&amp;G235&amp;"]"</f>
        <v>##SET1 UFAD_SysType[]                FCU         ! [-]</v>
      </c>
      <c r="D235" t="s">
        <v>904</v>
      </c>
      <c r="E235" s="626" t="str">
        <f>IF(RunType="OH", "FCU", J57)</f>
        <v>FCU</v>
      </c>
      <c r="F235" s="68" t="s">
        <v>162</v>
      </c>
      <c r="G235" s="64" t="s">
        <v>212</v>
      </c>
    </row>
    <row r="236" spans="2:12" ht="13.5">
      <c r="B236" s="13" t="str">
        <f>"##SET1 "&amp;D236&amp;REPT(" ",fill_1-LEN(D236))&amp;TEXT(E236,F236)&amp;REPT(" ",20-LEN(TEXT(E236,F236)))&amp;"  ! ["&amp;G236&amp;"]"</f>
        <v>##SET1 TowerType[]                   TwoSpeed              ! [-]</v>
      </c>
      <c r="D236" t="s">
        <v>905</v>
      </c>
      <c r="E236" s="626" t="str">
        <f>J58</f>
        <v>TwoSpeed</v>
      </c>
      <c r="F236" s="68" t="s">
        <v>162</v>
      </c>
      <c r="G236" s="64" t="s">
        <v>212</v>
      </c>
    </row>
    <row r="237" spans="2:12" ht="13.5">
      <c r="B237" s="13" t="str">
        <f>"##SET1 "&amp;D237&amp;REPT(" ",fill_1-LEN(D237))&amp;TEXT(E237,F237)&amp;REPT(" ",20-LEN(TEXT(E237,F237)))&amp;"  ! ["&amp;G237&amp;"]"</f>
        <v>##SET1 RadiantTowerCtrlType[]        CoolingLoad           ! [-]</v>
      </c>
      <c r="D237" t="s">
        <v>906</v>
      </c>
      <c r="E237" s="627" t="str">
        <f>J59</f>
        <v>CoolingLoad</v>
      </c>
      <c r="F237" s="68" t="s">
        <v>162</v>
      </c>
      <c r="G237" s="64" t="s">
        <v>212</v>
      </c>
    </row>
    <row r="238" spans="2:12" ht="13.5">
      <c r="B238" s="13" t="str">
        <f>"##SET1 "&amp;D238&amp;REPT(" ",fill_1-LEN(D238))&amp;E238&amp;REPT(" ",20-LEN(TEXT(E238,F238)))&amp;"  ! ["&amp;G238&amp;"]"</f>
        <v>##SET1 WinterHeatingSeasonEndDate[]  3/31               ! [-]</v>
      </c>
      <c r="D238" s="579" t="s">
        <v>1017</v>
      </c>
      <c r="E238" s="627" t="str">
        <f t="shared" ref="E238:E246" si="15">J111</f>
        <v>3/31</v>
      </c>
      <c r="F238" s="568" t="s">
        <v>162</v>
      </c>
      <c r="G238" s="64" t="s">
        <v>212</v>
      </c>
    </row>
    <row r="239" spans="2:12" s="580" customFormat="1" ht="13.5">
      <c r="B239" s="13" t="str">
        <f>"##SET1 "&amp;D239&amp;REPT(" ",fill_1-LEN(D239))&amp;E239&amp;REPT(" ",20-LEN(TEXT(E239,F239)))&amp;"  ! ["&amp;G239&amp;"]"</f>
        <v>##SET1 SpringSwingSeasonEndDate[]    5/31               ! [-]</v>
      </c>
      <c r="C239"/>
      <c r="D239" s="579" t="s">
        <v>1018</v>
      </c>
      <c r="E239" s="627" t="str">
        <f t="shared" si="15"/>
        <v>5/31</v>
      </c>
      <c r="F239" s="568" t="s">
        <v>162</v>
      </c>
      <c r="G239" s="64" t="s">
        <v>212</v>
      </c>
      <c r="I239"/>
      <c r="J239"/>
      <c r="K239"/>
      <c r="L239"/>
    </row>
    <row r="240" spans="2:12" s="580" customFormat="1" ht="13.5">
      <c r="B240" s="13" t="str">
        <f>"##SET1 "&amp;D240&amp;REPT(" ",fill_1-LEN(D240))&amp;E240&amp;REPT(" ",20-LEN(TEXT(E240,F240)))&amp;"  ! ["&amp;G240&amp;"]"</f>
        <v>##SET1 SummerCoolingSeasonEndDate[]  9/30               ! [-]</v>
      </c>
      <c r="C240"/>
      <c r="D240" s="579" t="s">
        <v>1019</v>
      </c>
      <c r="E240" s="627" t="str">
        <f t="shared" si="15"/>
        <v>9/30</v>
      </c>
      <c r="F240" s="568" t="s">
        <v>162</v>
      </c>
      <c r="G240" s="64" t="s">
        <v>212</v>
      </c>
      <c r="I240"/>
      <c r="J240"/>
    </row>
    <row r="241" spans="2:12" ht="13.5">
      <c r="B241" s="13" t="str">
        <f>"##SET1 "&amp;D241&amp;REPT(" ",fill_1-LEN(D241))&amp;E241&amp;REPT(" ",20-LEN(TEXT(E241,F241)))&amp;"  ! ["&amp;G241&amp;"]"</f>
        <v>##SET1 FallSwingSeasonEndDate[]      10/31               ! [-]</v>
      </c>
      <c r="D241" s="579" t="s">
        <v>1020</v>
      </c>
      <c r="E241" s="627" t="str">
        <f t="shared" si="15"/>
        <v>10/31</v>
      </c>
      <c r="F241" s="568" t="s">
        <v>162</v>
      </c>
      <c r="G241" s="64" t="s">
        <v>212</v>
      </c>
      <c r="I241" s="580"/>
      <c r="J241" s="580"/>
      <c r="K241" s="580"/>
      <c r="L241" s="580"/>
    </row>
    <row r="242" spans="2:12" ht="13.5">
      <c r="B242" s="13" t="str">
        <f t="shared" ref="B242:B255" si="16">"##SET1 "&amp;D242&amp;REPT(" ",fill_1-LEN(D242))&amp;TEXT(E242,F242)&amp;REPT(" ",20-LEN(TEXT(E242,F242)))&amp;"  ! ["&amp;G242&amp;"]"</f>
        <v>##SET1 TowerSizingFactor[]           1.0                   ! [C]</v>
      </c>
      <c r="D242" s="579" t="s">
        <v>612</v>
      </c>
      <c r="E242" s="628">
        <f t="shared" si="15"/>
        <v>1</v>
      </c>
      <c r="F242" s="68" t="s">
        <v>162</v>
      </c>
      <c r="G242" s="566" t="s">
        <v>239</v>
      </c>
      <c r="I242" s="580"/>
      <c r="J242" s="580"/>
    </row>
    <row r="243" spans="2:12" ht="13.5">
      <c r="B243" s="13" t="str">
        <f t="shared" si="16"/>
        <v>##SET1 CndW_Radiant_Pump_MaxFlow[]   0.01100               ! [C]</v>
      </c>
      <c r="D243" s="579" t="s">
        <v>997</v>
      </c>
      <c r="E243" s="626">
        <f t="shared" si="15"/>
        <v>1.0999999999999999E-2</v>
      </c>
      <c r="F243" s="568" t="s">
        <v>149</v>
      </c>
      <c r="G243" s="566" t="s">
        <v>239</v>
      </c>
    </row>
    <row r="244" spans="2:12" ht="13.5">
      <c r="B244" s="13" t="str">
        <f t="shared" si="16"/>
        <v>##SET1 CndW_Radiant_Setpoint_Cntrl[] Fixed Temp            ! [C]</v>
      </c>
      <c r="D244" s="579" t="s">
        <v>1022</v>
      </c>
      <c r="E244" s="627" t="str">
        <f t="shared" si="15"/>
        <v>Fixed Temp</v>
      </c>
      <c r="F244" s="68" t="s">
        <v>162</v>
      </c>
      <c r="G244" s="566" t="s">
        <v>239</v>
      </c>
    </row>
    <row r="245" spans="2:12" ht="13.5">
      <c r="B245" s="13" t="str">
        <f t="shared" si="16"/>
        <v>##SET1 CndW_Radiant_ControlVar[]     15.0                  ! [-]</v>
      </c>
      <c r="D245" s="579" t="s">
        <v>1021</v>
      </c>
      <c r="E245" s="628">
        <f t="shared" si="15"/>
        <v>15</v>
      </c>
      <c r="F245" s="68" t="s">
        <v>162</v>
      </c>
      <c r="G245" s="64" t="s">
        <v>212</v>
      </c>
    </row>
    <row r="246" spans="2:12" ht="13.5">
      <c r="B246" s="13" t="str">
        <f t="shared" si="16"/>
        <v>##SET1 RadiantPerim_CoolingSP[]      21.5                  ! [-]</v>
      </c>
      <c r="D246" s="579" t="s">
        <v>1003</v>
      </c>
      <c r="E246" s="625">
        <f t="shared" si="15"/>
        <v>21.5</v>
      </c>
      <c r="F246" s="68" t="s">
        <v>162</v>
      </c>
      <c r="G246" s="64" t="s">
        <v>212</v>
      </c>
    </row>
    <row r="247" spans="2:12" ht="13.5">
      <c r="B247" s="13" t="str">
        <f t="shared" si="16"/>
        <v>##SET1 RadiantPerim_NightCoolingSP[] -50.0                 ! [-]</v>
      </c>
      <c r="D247" s="579" t="s">
        <v>1024</v>
      </c>
      <c r="E247" s="625">
        <f>IF(J120="Off",-50,J120)</f>
        <v>-50</v>
      </c>
      <c r="F247" s="68" t="s">
        <v>162</v>
      </c>
      <c r="G247" s="64" t="s">
        <v>212</v>
      </c>
    </row>
    <row r="248" spans="2:12" ht="13.5">
      <c r="B248" s="13" t="str">
        <f t="shared" si="16"/>
        <v>##SET1 RadiantCore_CoolingSP[]       19.50000              ! [C]</v>
      </c>
      <c r="D248" s="579" t="s">
        <v>1004</v>
      </c>
      <c r="E248" s="625">
        <f>J121</f>
        <v>19.5</v>
      </c>
      <c r="F248" s="568" t="s">
        <v>149</v>
      </c>
      <c r="G248" s="566" t="s">
        <v>239</v>
      </c>
    </row>
    <row r="249" spans="2:12" ht="13.5">
      <c r="B249" s="13" t="str">
        <f t="shared" si="16"/>
        <v>##SET1 RadiantCore_NightCoolingSP[]  -50.00000             ! [C]</v>
      </c>
      <c r="D249" s="579" t="s">
        <v>1005</v>
      </c>
      <c r="E249" s="625">
        <f>IF(J122="Off",-50,J122)</f>
        <v>-50</v>
      </c>
      <c r="F249" s="568" t="s">
        <v>149</v>
      </c>
      <c r="G249" s="566" t="s">
        <v>239</v>
      </c>
    </row>
    <row r="250" spans="2:12" ht="13.5">
      <c r="B250" s="582" t="str">
        <f t="shared" si="16"/>
        <v>##SET1 Swing_Season_Operation[]      Yes                   ! [C]</v>
      </c>
      <c r="C250" s="580"/>
      <c r="D250" s="588" t="s">
        <v>1027</v>
      </c>
      <c r="E250" s="625" t="str">
        <f>J123</f>
        <v>Yes</v>
      </c>
      <c r="F250" s="585" t="s">
        <v>149</v>
      </c>
      <c r="G250" s="584" t="s">
        <v>239</v>
      </c>
    </row>
    <row r="251" spans="2:12" s="580" customFormat="1" ht="13.5">
      <c r="B251" s="582" t="str">
        <f>"##SET1 "&amp;D251&amp;REPT(" ",fill_1-LEN(D251))&amp;TEXT(E251,F251)&amp;REPT(" ",20-LEN(TEXT(E251,F251)))&amp;"  ! ["&amp;G251&amp;"]"</f>
        <v>##SET1 TDV_Evaluation[]              No                    ! [C]</v>
      </c>
      <c r="D251" s="588" t="s">
        <v>1031</v>
      </c>
      <c r="E251" s="625" t="str">
        <f>J125</f>
        <v>No</v>
      </c>
      <c r="F251" s="585" t="s">
        <v>149</v>
      </c>
      <c r="G251" s="584" t="s">
        <v>239</v>
      </c>
      <c r="I251"/>
      <c r="J251"/>
      <c r="K251"/>
      <c r="L251"/>
    </row>
    <row r="252" spans="2:12" s="580" customFormat="1" ht="13.5">
      <c r="B252" s="582" t="str">
        <f t="shared" si="16"/>
        <v>##SET1 SPFloor_Coeff[]               5.00000               ! [C]</v>
      </c>
      <c r="D252" s="588" t="s">
        <v>1061</v>
      </c>
      <c r="E252" s="625">
        <v>5</v>
      </c>
      <c r="F252" s="585" t="s">
        <v>149</v>
      </c>
      <c r="G252" s="584" t="s">
        <v>239</v>
      </c>
      <c r="I252"/>
      <c r="J252"/>
    </row>
    <row r="253" spans="2:12" s="580" customFormat="1" ht="13.5">
      <c r="B253" s="582" t="str">
        <f t="shared" si="16"/>
        <v>##SET1 SPWall_Coeff[]                5.00000               ! [C]</v>
      </c>
      <c r="D253" s="588" t="s">
        <v>1062</v>
      </c>
      <c r="E253" s="625">
        <v>5</v>
      </c>
      <c r="F253" s="585" t="s">
        <v>149</v>
      </c>
      <c r="G253" s="584" t="s">
        <v>239</v>
      </c>
    </row>
    <row r="254" spans="2:12" ht="13.5">
      <c r="B254" s="582" t="str">
        <f t="shared" si="16"/>
        <v>##SET1 SPCeiling_Coeff[]             5.00000               ! [C]</v>
      </c>
      <c r="C254" s="580"/>
      <c r="D254" s="588" t="s">
        <v>1063</v>
      </c>
      <c r="E254" s="625">
        <v>5</v>
      </c>
      <c r="F254" s="585" t="s">
        <v>149</v>
      </c>
      <c r="G254" s="584" t="s">
        <v>239</v>
      </c>
      <c r="I254" s="580"/>
      <c r="J254" s="580"/>
      <c r="K254" s="580"/>
      <c r="L254" s="580"/>
    </row>
    <row r="255" spans="2:12" ht="13.5">
      <c r="B255" s="582" t="str">
        <f t="shared" si="16"/>
        <v>##SET1 Damper_action[]               Reverse               ! []</v>
      </c>
      <c r="C255" s="580"/>
      <c r="D255" s="588" t="s">
        <v>1119</v>
      </c>
      <c r="E255" s="625" t="str">
        <f>J60</f>
        <v>Reverse</v>
      </c>
      <c r="F255" s="585" t="s">
        <v>211</v>
      </c>
      <c r="G255" s="584"/>
      <c r="I255" s="580"/>
      <c r="J255" s="580"/>
    </row>
    <row r="256" spans="2:12" ht="13.5">
      <c r="B256" s="582" t="str">
        <f t="shared" ref="B256:B263" si="17">"##SET1 "&amp;D256&amp;REPT(" ",fill_1-LEN(D256))&amp;TEXT(E256,F256)&amp;REPT(" ",20-LEN(TEXT(E256,F256)))&amp;"  ! ["&amp;G256&amp;"]"</f>
        <v>##SET1 Return_Bypass[]               No                    ! []</v>
      </c>
      <c r="D256" t="s">
        <v>1064</v>
      </c>
      <c r="E256" s="617" t="s">
        <v>489</v>
      </c>
      <c r="F256" s="585" t="s">
        <v>149</v>
      </c>
      <c r="I256" s="580"/>
      <c r="J256" s="580"/>
    </row>
    <row r="257" spans="2:12" s="580" customFormat="1" ht="13.5">
      <c r="B257" s="582" t="str">
        <f t="shared" si="17"/>
        <v>##SET1 Fake_UFAD[]                   No                    ! []</v>
      </c>
      <c r="D257" s="581" t="s">
        <v>1143</v>
      </c>
      <c r="E257" s="617" t="str">
        <f>IF(RunType_Two="OH", J7,"No")</f>
        <v>No</v>
      </c>
      <c r="F257" s="585" t="s">
        <v>149</v>
      </c>
      <c r="G257" s="5"/>
      <c r="K257"/>
      <c r="L257"/>
    </row>
    <row r="258" spans="2:12" s="580" customFormat="1" ht="13.5">
      <c r="B258" s="582" t="str">
        <f t="shared" si="17"/>
        <v>##SET1 People_RoomRatio[]            0.99000               ! []</v>
      </c>
      <c r="D258" s="611" t="s">
        <v>1124</v>
      </c>
      <c r="E258" s="617">
        <v>0.99</v>
      </c>
      <c r="F258" s="585" t="s">
        <v>149</v>
      </c>
      <c r="G258" s="5"/>
    </row>
    <row r="259" spans="2:12" s="580" customFormat="1" ht="13.5">
      <c r="B259" s="582" t="str">
        <f t="shared" si="17"/>
        <v>##SET1 Equipment_RoomRatio[]         0.99000               ! []</v>
      </c>
      <c r="D259" s="611" t="s">
        <v>1125</v>
      </c>
      <c r="E259" s="617">
        <v>0.99</v>
      </c>
      <c r="F259" s="585" t="s">
        <v>149</v>
      </c>
      <c r="G259" s="5"/>
    </row>
    <row r="260" spans="2:12" s="580" customFormat="1" ht="13.5">
      <c r="B260" s="582" t="str">
        <f t="shared" si="17"/>
        <v>##SET1 Lighting_RoomRatio[]          0.99000               ! []</v>
      </c>
      <c r="D260" s="611" t="s">
        <v>1126</v>
      </c>
      <c r="E260" s="617">
        <v>0.99</v>
      </c>
      <c r="F260" s="585" t="s">
        <v>149</v>
      </c>
      <c r="G260" s="5"/>
    </row>
    <row r="261" spans="2:12" s="580" customFormat="1" ht="13.5">
      <c r="B261" s="582" t="str">
        <f t="shared" si="17"/>
        <v>##SET1 Remainder_PeopleRoom[]        0.01000               ! []</v>
      </c>
      <c r="D261" s="611" t="s">
        <v>1127</v>
      </c>
      <c r="E261" s="617">
        <f>1-E258</f>
        <v>1.0000000000000009E-2</v>
      </c>
      <c r="F261" s="585" t="s">
        <v>149</v>
      </c>
      <c r="G261" s="5"/>
    </row>
    <row r="262" spans="2:12" s="580" customFormat="1" ht="13.5">
      <c r="B262" s="582" t="str">
        <f t="shared" si="17"/>
        <v>##SET1 Remainder_EquipmentRoom[]     0.01000               ! []</v>
      </c>
      <c r="D262" s="611" t="s">
        <v>1128</v>
      </c>
      <c r="E262" s="617">
        <f>1-E259</f>
        <v>1.0000000000000009E-2</v>
      </c>
      <c r="F262" s="585" t="s">
        <v>149</v>
      </c>
      <c r="G262" s="5"/>
    </row>
    <row r="263" spans="2:12" s="580" customFormat="1" ht="13.5">
      <c r="B263" s="582" t="str">
        <f t="shared" si="17"/>
        <v>##SET1 Remainder_LightingRoom[]      0.01000               ! []</v>
      </c>
      <c r="D263" s="611" t="s">
        <v>1129</v>
      </c>
      <c r="E263" s="617">
        <f>1-E260</f>
        <v>1.0000000000000009E-2</v>
      </c>
      <c r="F263" s="585" t="s">
        <v>149</v>
      </c>
      <c r="G263" s="5"/>
    </row>
    <row r="264" spans="2:12" s="580" customFormat="1" ht="13.5">
      <c r="B264" s="582" t="str">
        <f t="shared" ref="B264:B273" si="18">"##SET1 "&amp;D264&amp;REPT(" ",fill_1-LEN(D264))&amp;TEXT(E264,F264)&amp;REPT(" ",20-LEN(TEXT(E264,F264)))&amp;"  ! ["&amp;G264&amp;"]"</f>
        <v>##SET1 Window_RoomRatio[]            0.99000               ! []</v>
      </c>
      <c r="D264" s="611" t="s">
        <v>1130</v>
      </c>
      <c r="E264" s="617">
        <v>0.99</v>
      </c>
      <c r="F264" s="585" t="s">
        <v>149</v>
      </c>
      <c r="G264" s="5"/>
    </row>
    <row r="265" spans="2:12" s="580" customFormat="1" ht="13.5">
      <c r="B265" s="582" t="str">
        <f t="shared" si="18"/>
        <v>##SET1 Window_SecondHeight_GF[]      2.90000               ! []</v>
      </c>
      <c r="D265" s="611" t="s">
        <v>1131</v>
      </c>
      <c r="E265" s="15">
        <f>2.9+((3.9624-0)*J19*(1-IF(J7="No",1,E264)))</f>
        <v>2.9</v>
      </c>
      <c r="F265" s="585" t="s">
        <v>149</v>
      </c>
      <c r="G265" s="5"/>
    </row>
    <row r="266" spans="2:12" s="580" customFormat="1" ht="13.5">
      <c r="B266" s="582" t="str">
        <f t="shared" si="18"/>
        <v>##SET1 Window_SecondHeight_MF[]      6.90000               ! []</v>
      </c>
      <c r="D266" s="611" t="s">
        <v>1132</v>
      </c>
      <c r="E266" s="15">
        <f>6.9+((7.9248-3.9624)*J19*(1-IF(J7="No",1,E264)))</f>
        <v>6.9</v>
      </c>
      <c r="F266" s="585" t="s">
        <v>149</v>
      </c>
      <c r="G266" s="5"/>
    </row>
    <row r="267" spans="2:12" s="580" customFormat="1" ht="13.5">
      <c r="B267" s="582" t="str">
        <f t="shared" si="18"/>
        <v>##SET1 Window_SecondHeight_TF[]      10.80000              ! []</v>
      </c>
      <c r="D267" s="611" t="s">
        <v>1133</v>
      </c>
      <c r="E267" s="15">
        <f>10.8+((11.8872-7.9248)*$J$19*(1-IF($J$7="No",1,$E$264)))</f>
        <v>10.8</v>
      </c>
      <c r="F267" s="585" t="s">
        <v>149</v>
      </c>
      <c r="G267" s="5"/>
    </row>
    <row r="268" spans="2:12" s="580" customFormat="1" ht="13.5">
      <c r="B268" s="582" t="str">
        <f t="shared" si="18"/>
        <v>##SET1 WWR_Text[]                    Forty                 ! []</v>
      </c>
      <c r="D268" s="611" t="s">
        <v>1136</v>
      </c>
      <c r="E268" s="15" t="str">
        <f>IF(AND(0.41&gt;WWR_value, WWR_value&gt;0.31), "Forty", IF(AND(0.31&gt;WWR_value, WWR_value&gt;0.21), "Thirty", IF(AND(0.21&gt;WWR_value, WWR_value&gt;0), "Twenty")))</f>
        <v>Forty</v>
      </c>
      <c r="F268" s="585" t="s">
        <v>149</v>
      </c>
      <c r="G268" s="5"/>
    </row>
    <row r="269" spans="2:12" s="580" customFormat="1" ht="13.5">
      <c r="B269" s="582" t="str">
        <f t="shared" si="18"/>
        <v>##SET1 EWPerimeter_Area[]            140.06934             ! []</v>
      </c>
      <c r="D269" s="611" t="s">
        <v>1137</v>
      </c>
      <c r="E269" s="15">
        <f>EW_Area</f>
        <v>140.06934356126902</v>
      </c>
      <c r="F269" s="585" t="s">
        <v>149</v>
      </c>
      <c r="G269" s="5"/>
    </row>
    <row r="270" spans="2:12" s="580" customFormat="1" ht="13.5">
      <c r="B270" s="582" t="str">
        <f t="shared" si="18"/>
        <v>##SET1 SNPerimeter_Area[]            220.56096             ! []</v>
      </c>
      <c r="D270" s="611" t="s">
        <v>1138</v>
      </c>
      <c r="E270" s="15">
        <f>SN_Area</f>
        <v>220.56096061257577</v>
      </c>
      <c r="F270" s="585" t="s">
        <v>149</v>
      </c>
      <c r="G270" s="5"/>
    </row>
    <row r="271" spans="2:12" s="580" customFormat="1" ht="13.5">
      <c r="B271" s="582" t="str">
        <f t="shared" si="18"/>
        <v>##SET1 Core_Area[]                   1137.47545            ! []</v>
      </c>
      <c r="D271" s="611" t="s">
        <v>1139</v>
      </c>
      <c r="E271" s="15">
        <f>Core_Area</f>
        <v>1137.4754511318642</v>
      </c>
      <c r="F271" s="585" t="s">
        <v>149</v>
      </c>
      <c r="G271" s="5"/>
    </row>
    <row r="272" spans="2:12" s="580" customFormat="1" ht="13.5">
      <c r="B272" s="582" t="str">
        <f t="shared" si="18"/>
        <v>##SET1 DetailedReport[]              Yes                   ! []</v>
      </c>
      <c r="D272" s="611" t="s">
        <v>1141</v>
      </c>
      <c r="E272" s="617" t="str">
        <f>Detailed_Report</f>
        <v>Yes</v>
      </c>
      <c r="F272" s="585" t="s">
        <v>211</v>
      </c>
      <c r="G272" s="5"/>
    </row>
    <row r="273" spans="2:10" s="580" customFormat="1" ht="13.5">
      <c r="B273" s="582" t="str">
        <f t="shared" si="18"/>
        <v>##SET1 FirstDualMinFraction[]        0.06                  ! []</v>
      </c>
      <c r="D273" s="611" t="s">
        <v>2568</v>
      </c>
      <c r="E273" s="649">
        <f>FirstMinFrac</f>
        <v>0.06</v>
      </c>
      <c r="F273" s="585" t="s">
        <v>150</v>
      </c>
      <c r="G273" s="5"/>
      <c r="I273"/>
      <c r="J273"/>
    </row>
    <row r="274" spans="2:10" ht="13.5">
      <c r="B274" s="582" t="str">
        <f t="shared" ref="B274" si="19">"##SET1 "&amp;D274&amp;REPT(" ",fill_1-LEN(D274))&amp;TEXT(E274,F274)&amp;REPT(" ",20-LEN(TEXT(E274,F274)))&amp;"  ! ["&amp;G274&amp;"]"</f>
        <v>##SET1 SecondDualMinFraction[]       0.12                  ! []</v>
      </c>
      <c r="C274" s="580"/>
      <c r="D274" s="611" t="s">
        <v>2571</v>
      </c>
      <c r="E274" s="649">
        <f>SecondMinFrac</f>
        <v>0.12</v>
      </c>
      <c r="F274" s="585" t="s">
        <v>150</v>
      </c>
    </row>
    <row r="275" spans="2:10" ht="13.5">
      <c r="B275" s="582"/>
      <c r="C275" s="580"/>
      <c r="D275" s="611"/>
      <c r="E275" s="617"/>
      <c r="F275" s="585"/>
    </row>
    <row r="276" spans="2:10" ht="13.5">
      <c r="B276" s="582" t="s">
        <v>1065</v>
      </c>
    </row>
    <row r="277" spans="2:10" ht="13.5">
      <c r="B277" s="582" t="str">
        <f>"##include Location\"&amp;D277&amp;REPT(" ",LEN(D277))&amp;TEXT(E277,F277)&amp;REPT(" ",20-LEN(TEXT(E277,F277)))</f>
        <v xml:space="preserve">##include Location\CA_sacramento.imf   </v>
      </c>
      <c r="D277" s="581"/>
      <c r="E277" s="15" t="str">
        <f>Weather_location&amp;".imf"</f>
        <v>CA_sacramento.imf</v>
      </c>
    </row>
    <row r="278" spans="2:10">
      <c r="B278" s="9" t="s">
        <v>195</v>
      </c>
    </row>
  </sheetData>
  <phoneticPr fontId="11" type="noConversion"/>
  <dataValidations count="35">
    <dataValidation type="list" allowBlank="1" showInputMessage="1" showErrorMessage="1" sqref="J121">
      <formula1>"19,19.5,20,20.5,21"</formula1>
    </dataValidation>
    <dataValidation type="list" allowBlank="1" showInputMessage="1" showErrorMessage="1" sqref="J122">
      <formula1>"Off,22,22.5,23,23.5,24,24.5,25"</formula1>
    </dataValidation>
    <dataValidation type="list" allowBlank="1" showInputMessage="1" showErrorMessage="1" sqref="J118">
      <formula1>"2,2.5,3,3.5,4,15,16,17,18"</formula1>
    </dataValidation>
    <dataValidation type="list" allowBlank="1" showInputMessage="1" showErrorMessage="1" sqref="J117">
      <formula1>"FixedTemp, AverageWetbulbOffset"</formula1>
    </dataValidation>
    <dataValidation type="list" allowBlank="1" showInputMessage="1" showErrorMessage="1" sqref="J119">
      <formula1>"19.5,20,20.5,21,21.5,22,22.5"</formula1>
    </dataValidation>
    <dataValidation type="list" showInputMessage="1" showErrorMessage="1" sqref="J58">
      <formula1>"SingleSpeed, TwoSpeed, VariableSpeed"</formula1>
    </dataValidation>
    <dataValidation type="list" showInputMessage="1" showErrorMessage="1" sqref="J59">
      <formula1>"CoolingLoad, WetBulbDiff"</formula1>
    </dataValidation>
    <dataValidation showInputMessage="1" showErrorMessage="1" sqref="J56 J77:J82 J71:J73 J95:J100 J45:J48 J15:J19 J89:J91 J50 J67:J69 J85:J87"/>
    <dataValidation type="list" showInputMessage="1" showErrorMessage="1" sqref="J57">
      <formula1>"YORK, FCU"</formula1>
    </dataValidation>
    <dataValidation type="list" allowBlank="1" showInputMessage="1" showErrorMessage="1" sqref="J115">
      <formula1>".75,1,1.25"</formula1>
    </dataValidation>
    <dataValidation type="list" allowBlank="1" showInputMessage="1" showErrorMessage="1" sqref="J103">
      <formula1>"High, Low"</formula1>
    </dataValidation>
    <dataValidation type="list" allowBlank="1" showInputMessage="1" showErrorMessage="1" sqref="J102">
      <formula1>"Series, Paralell, No_Decay, Single_Plenum, DuctedPerimeterSingle, DuctedPerimeterParallel"</formula1>
    </dataValidation>
    <dataValidation type="list" allowBlank="1" showInputMessage="1" showErrorMessage="1" sqref="J108">
      <formula1>"ON, OFF"</formula1>
    </dataValidation>
    <dataValidation type="list" allowBlank="1" showInputMessage="1" showErrorMessage="1" sqref="J106">
      <formula1>AHU_SAT_SPT</formula1>
    </dataValidation>
    <dataValidation type="list" allowBlank="1" showInputMessage="1" showErrorMessage="1" sqref="J125 J123 J31 J7 J10:J13">
      <formula1>"Yes, No"</formula1>
    </dataValidation>
    <dataValidation type="list" allowBlank="1" showInputMessage="1" showErrorMessage="1" sqref="U12">
      <formula1>#REF!</formula1>
    </dataValidation>
    <dataValidation type="list" allowBlank="1" showInputMessage="1" showErrorMessage="1" sqref="J38">
      <formula1>"0.1, 0.2, 0.3, Min_OSA"</formula1>
    </dataValidation>
    <dataValidation type="list" allowBlank="1" showInputMessage="1" showErrorMessage="1" sqref="J35">
      <formula1>"OH, UFAD_ReturnPlen, UFAD_NoReturnPlen, UFAD/Radiant"</formula1>
    </dataValidation>
    <dataValidation type="list" allowBlank="1" showInputMessage="1" showErrorMessage="1" sqref="J30">
      <formula1>"ASHRAE_90.1, LBL"</formula1>
    </dataValidation>
    <dataValidation type="list" showInputMessage="1" showErrorMessage="1" sqref="J20">
      <formula1>"Above, Below, None"</formula1>
    </dataValidation>
    <dataValidation type="list" showInputMessage="1" showErrorMessage="1" sqref="J43">
      <formula1>"Return_Fan, Relief_Fan, None"</formula1>
    </dataValidation>
    <dataValidation type="list" showInputMessage="1" showErrorMessage="1" sqref="J44 J41 J54:J55 J49 J51:J52">
      <formula1>"Yes, No"</formula1>
    </dataValidation>
    <dataValidation type="list" allowBlank="1" showInputMessage="1" showErrorMessage="1" sqref="J42">
      <formula1>"1.0, 1.5"</formula1>
    </dataValidation>
    <dataValidation type="list" allowBlank="1" showInputMessage="1" showErrorMessage="1" sqref="J9">
      <formula1>"albuquerque,atlanta,baltimore,boulder,chicago,duluth,fairbanks,helena,houston,lasvegas,losangeles,miami,minneapolis,phoenix,sanfrancisco,seattle,CA_sanfrancisco,CA_losangeles,CA_sacramento"</formula1>
    </dataValidation>
    <dataValidation type="list" allowBlank="1" showInputMessage="1" showErrorMessage="1" sqref="Q38:Q39">
      <formula1>"yes, no"</formula1>
    </dataValidation>
    <dataValidation type="list" allowBlank="1" showInputMessage="1" showErrorMessage="1" sqref="Q33">
      <formula1>"Autosize, Manual"</formula1>
    </dataValidation>
    <dataValidation type="list" allowBlank="1" showInputMessage="1" showErrorMessage="1" sqref="J37">
      <formula1>"Fix, Autosize"</formula1>
    </dataValidation>
    <dataValidation type="list" allowBlank="1" showInputMessage="1" showErrorMessage="1" sqref="J36">
      <formula1>"Fixed_Min, VAV_Heating"</formula1>
    </dataValidation>
    <dataValidation type="decimal" showInputMessage="1" showErrorMessage="1" sqref="J53">
      <formula1>0.05</formula1>
      <formula2>0.5</formula2>
    </dataValidation>
    <dataValidation type="list" allowBlank="1" showInputMessage="1" showErrorMessage="1" sqref="J116">
      <formula1>".006,.009,.011"</formula1>
    </dataValidation>
    <dataValidation type="list" allowBlank="1" showInputMessage="1" showErrorMessage="1" sqref="J120">
      <formula1>"Off,24,25,26,27,28"</formula1>
    </dataValidation>
    <dataValidation type="list" allowBlank="1" showInputMessage="1" showErrorMessage="1" sqref="J124">
      <formula1>"SourceTemperature, InsideSurfaceTemperature"</formula1>
    </dataValidation>
    <dataValidation type="list" showInputMessage="1" showErrorMessage="1" sqref="J61">
      <formula1>"On, Off"</formula1>
    </dataValidation>
    <dataValidation type="list" showInputMessage="1" showErrorMessage="1" sqref="J60">
      <formula1>"Normal, Reverse"</formula1>
    </dataValidation>
    <dataValidation type="list" allowBlank="1" showInputMessage="1" showErrorMessage="1" sqref="J39">
      <formula1>"55, 56, 57, 58, 59, 60 ,61 ,62, 63, 64, 65, 66, 67"</formula1>
    </dataValidation>
  </dataValidations>
  <pageMargins left="0.75" right="0.75" top="1" bottom="1" header="0.5" footer="0.5"/>
  <pageSetup orientation="portrait" r:id="rId1"/>
  <headerFooter alignWithMargins="0"/>
  <cellWatches>
    <cellWatch r="J9"/>
  </cellWatches>
  <ignoredErrors>
    <ignoredError sqref="J111:J115" twoDigitTextYea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4" r:id="rId4" name="Button 2">
              <controlPr defaultSize="0" print="0" autoFill="0" autoPict="0" macro="[0]!go">
                <anchor moveWithCells="1" sizeWithCells="1">
                  <from>
                    <xdr:col>10</xdr:col>
                    <xdr:colOff>209550</xdr:colOff>
                    <xdr:row>3</xdr:row>
                    <xdr:rowOff>142875</xdr:rowOff>
                  </from>
                  <to>
                    <xdr:col>12</xdr:col>
                    <xdr:colOff>447675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showInputMessage="1" showErrorMessage="1">
          <x14:formula1>
            <xm:f>lists!$B$14:$B$20</xm:f>
          </x14:formula1>
          <xm:sqref>J70 J88</xm:sqref>
        </x14:dataValidation>
        <x14:dataValidation type="list" allowBlank="1" showInputMessage="1" showErrorMessage="1">
          <x14:formula1>
            <xm:f>lists!Q12:Q17</xm:f>
          </x14:formula1>
          <xm:sqref>J111</xm:sqref>
        </x14:dataValidation>
        <x14:dataValidation type="list" allowBlank="1" showInputMessage="1" showErrorMessage="1">
          <x14:formula1>
            <xm:f>lists!R12:R17</xm:f>
          </x14:formula1>
          <xm:sqref>J112</xm:sqref>
        </x14:dataValidation>
        <x14:dataValidation type="list" allowBlank="1" showInputMessage="1" showErrorMessage="1">
          <x14:formula1>
            <xm:f>lists!S12:S17</xm:f>
          </x14:formula1>
          <xm:sqref>J113</xm:sqref>
        </x14:dataValidation>
        <x14:dataValidation type="list" allowBlank="1" showInputMessage="1" showErrorMessage="1">
          <x14:formula1>
            <xm:f>lists!T12:T17</xm:f>
          </x14:formula1>
          <xm:sqref>J114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50"/>
  </sheetPr>
  <dimension ref="A1:AP8762"/>
  <sheetViews>
    <sheetView topLeftCell="A27" zoomScale="85" zoomScaleNormal="85" workbookViewId="0">
      <selection activeCell="C54" sqref="C54"/>
    </sheetView>
  </sheetViews>
  <sheetFormatPr defaultRowHeight="12.75"/>
  <cols>
    <col min="2" max="2" width="52" bestFit="1" customWidth="1"/>
    <col min="3" max="3" width="15.5703125" customWidth="1"/>
    <col min="4" max="4" width="12.42578125" bestFit="1" customWidth="1"/>
    <col min="5" max="5" width="25.28515625" style="30" bestFit="1" customWidth="1"/>
    <col min="6" max="6" width="14.5703125" bestFit="1" customWidth="1"/>
    <col min="7" max="8" width="12.42578125" bestFit="1" customWidth="1"/>
    <col min="11" max="11" width="13.85546875" customWidth="1"/>
    <col min="12" max="12" width="12.5703125" customWidth="1"/>
    <col min="13" max="13" width="13.140625" customWidth="1"/>
    <col min="14" max="14" width="12.42578125" bestFit="1" customWidth="1"/>
    <col min="17" max="17" width="16.7109375" bestFit="1" customWidth="1"/>
    <col min="19" max="19" width="11.140625" customWidth="1"/>
    <col min="28" max="28" width="10.42578125" customWidth="1"/>
    <col min="29" max="29" width="12.85546875" bestFit="1" customWidth="1"/>
    <col min="30" max="30" width="10.85546875" customWidth="1"/>
    <col min="32" max="32" width="11.28515625" customWidth="1"/>
    <col min="33" max="33" width="13.85546875" bestFit="1" customWidth="1"/>
    <col min="34" max="34" width="13.7109375" customWidth="1"/>
  </cols>
  <sheetData>
    <row r="1" spans="1:34">
      <c r="AB1" s="581" t="s">
        <v>1089</v>
      </c>
      <c r="AC1" s="581" t="s">
        <v>1088</v>
      </c>
      <c r="AD1" s="581" t="s">
        <v>1091</v>
      </c>
      <c r="AE1" s="581" t="s">
        <v>1090</v>
      </c>
      <c r="AF1" s="581" t="s">
        <v>1092</v>
      </c>
      <c r="AG1" s="581" t="s">
        <v>1093</v>
      </c>
      <c r="AH1" s="581" t="s">
        <v>1094</v>
      </c>
    </row>
    <row r="2" spans="1:34">
      <c r="M2" s="580">
        <v>745</v>
      </c>
      <c r="N2" s="580">
        <v>1417</v>
      </c>
      <c r="O2" s="30">
        <v>2161</v>
      </c>
      <c r="P2" s="580">
        <v>2881</v>
      </c>
      <c r="Q2" s="580">
        <v>3625</v>
      </c>
      <c r="R2" s="580">
        <v>4345</v>
      </c>
      <c r="S2" s="580">
        <v>5089</v>
      </c>
      <c r="T2" s="580">
        <v>5833</v>
      </c>
      <c r="U2" s="580">
        <v>6553</v>
      </c>
      <c r="V2" s="580">
        <v>7297</v>
      </c>
      <c r="W2" s="580">
        <v>8017</v>
      </c>
      <c r="X2" s="580">
        <v>8761</v>
      </c>
      <c r="AB2" s="580">
        <f>HLOOKUP("*"&amp;'Output annual'!$AC$2&amp;'Output annual'!$AD$2&amp;"*Zone People Number Of Occupants [](Hourly)",'Eplus results'!$1:$1048576,ROW(),FALSE)</f>
        <v>0</v>
      </c>
      <c r="AC2" s="580">
        <f>HLOOKUP("*"&amp;'Output annual'!$AC$2&amp;'Output annual'!$AD$2&amp;"*FangerPMV(Hourly)",'Eplus results'!$1:$1048576,ROW(),FALSE)</f>
        <v>-2.1805300532537801</v>
      </c>
      <c r="AD2">
        <f>100-95*EXP(-0.03353*AC2^4-0.2179*AC2^2)</f>
        <v>84.203266011340787</v>
      </c>
      <c r="AE2" s="580">
        <f>AD2*(1/(1+EXP(-6.3*$AC2)))</f>
        <v>9.1049548776795587E-5</v>
      </c>
      <c r="AF2" s="580">
        <f>(AD2-AE2)</f>
        <v>84.203174961792016</v>
      </c>
      <c r="AG2">
        <f>AE2*AB2</f>
        <v>0</v>
      </c>
      <c r="AH2">
        <f>AF2*AB2</f>
        <v>0</v>
      </c>
    </row>
    <row r="3" spans="1:34">
      <c r="B3" t="s">
        <v>88</v>
      </c>
      <c r="C3">
        <f>'graph data'!D4</f>
        <v>40</v>
      </c>
      <c r="D3" s="149">
        <f>(HLOOKUP("Day",Julian_day,'Output hourly'!D6+1,FALSE)+'Output hourly'!D7-1)*24+1</f>
        <v>25</v>
      </c>
      <c r="L3" s="581" t="s">
        <v>1099</v>
      </c>
      <c r="M3" s="580">
        <f>IFERROR(HLOOKUP($L3,'Eplus results'!$1:$65536,M$2, FALSE),0)</f>
        <v>0</v>
      </c>
      <c r="N3" s="580">
        <f>IFERROR(HLOOKUP($L3,'Eplus results'!$1:$65536,N$2, FALSE),0)</f>
        <v>0</v>
      </c>
      <c r="O3" s="580">
        <f>IFERROR(HLOOKUP($L3,'Eplus results'!$1:$65536,O$2, FALSE),0)</f>
        <v>0</v>
      </c>
      <c r="P3" s="580">
        <f>IFERROR(HLOOKUP($L3,'Eplus results'!$1:$65536,P$2, FALSE),0)</f>
        <v>0</v>
      </c>
      <c r="Q3" s="580">
        <f>IFERROR(HLOOKUP($L3,'Eplus results'!$1:$65536,Q$2, FALSE),0)</f>
        <v>0</v>
      </c>
      <c r="R3" s="580">
        <f>IFERROR(HLOOKUP($L3,'Eplus results'!$1:$65536,R$2, FALSE),0)</f>
        <v>0</v>
      </c>
      <c r="S3" s="580">
        <f>IFERROR(HLOOKUP($L3,'Eplus results'!$1:$65536,S$2, FALSE),0)</f>
        <v>0</v>
      </c>
      <c r="T3" s="580">
        <f>IFERROR(HLOOKUP($L3,'Eplus results'!$1:$65536,T$2, FALSE),0)</f>
        <v>0</v>
      </c>
      <c r="U3" s="580">
        <f>IFERROR(HLOOKUP($L3,'Eplus results'!$1:$65536,U$2, FALSE),0)</f>
        <v>0</v>
      </c>
      <c r="V3" s="580">
        <f>IFERROR(HLOOKUP($L3,'Eplus results'!$1:$65536,V$2, FALSE),0)</f>
        <v>0</v>
      </c>
      <c r="W3" s="580">
        <f>IFERROR(HLOOKUP($L3,'Eplus results'!$1:$65536,W$2, FALSE),0)</f>
        <v>0</v>
      </c>
      <c r="X3" s="580">
        <f>IFERROR(HLOOKUP($L3,'Eplus results'!$1:$65536,X$2, FALSE),0)</f>
        <v>0</v>
      </c>
      <c r="AB3" s="580">
        <f>HLOOKUP("*"&amp;'Output annual'!$AC$2&amp;'Output annual'!$AD$2&amp;"*Zone People Number Of Occupants [](Hourly)",'Eplus results'!$1:$1048576,ROW(),FALSE)</f>
        <v>0</v>
      </c>
      <c r="AC3" s="580">
        <f>HLOOKUP("*"&amp;'Output annual'!$AC$2&amp;'Output annual'!$AD$2&amp;"*FangerPMV(Hourly)",'Eplus results'!$1:$1048576,ROW(),FALSE)</f>
        <v>-2.1819452001459698</v>
      </c>
      <c r="AD3" s="580">
        <f t="shared" ref="AD3:AD66" si="0">100-95*EXP(-0.03353*AC3^4-0.2179*AC3^2)</f>
        <v>84.255544429929344</v>
      </c>
      <c r="AE3" s="580">
        <f t="shared" ref="AE3:AE66" si="1">AD3*(1/(1+EXP(-6.3*$AC3)))</f>
        <v>9.0297439239961073E-5</v>
      </c>
      <c r="AF3" s="580">
        <f t="shared" ref="AF3:AF66" si="2">(AD3-AE3)</f>
        <v>84.255454132490101</v>
      </c>
      <c r="AG3" s="580">
        <f t="shared" ref="AG3:AG66" si="3">AE3*AB3</f>
        <v>0</v>
      </c>
      <c r="AH3" s="580">
        <f t="shared" ref="AH3:AH66" si="4">AF3*AB3</f>
        <v>0</v>
      </c>
    </row>
    <row r="4" spans="1:34">
      <c r="B4" s="358" t="s">
        <v>883</v>
      </c>
      <c r="D4" s="149">
        <f>D3+'Output hourly'!D8</f>
        <v>40</v>
      </c>
      <c r="L4" s="581" t="s">
        <v>1095</v>
      </c>
      <c r="M4" s="580">
        <f>IFERROR(HLOOKUP($L4,'Eplus results'!$1:$65536,M$2, FALSE),0)</f>
        <v>0</v>
      </c>
      <c r="N4" s="580">
        <f>IFERROR(HLOOKUP($L4,'Eplus results'!$1:$65536,N$2, FALSE),0)</f>
        <v>0</v>
      </c>
      <c r="O4" s="580">
        <f>IFERROR(HLOOKUP($L4,'Eplus results'!$1:$65536,O$2, FALSE),0)</f>
        <v>0</v>
      </c>
      <c r="P4" s="580">
        <f>IFERROR(HLOOKUP($L4,'Eplus results'!$1:$65536,P$2, FALSE),0)</f>
        <v>0</v>
      </c>
      <c r="Q4" s="580">
        <f>IFERROR(HLOOKUP($L4,'Eplus results'!$1:$65536,Q$2, FALSE),0)</f>
        <v>0</v>
      </c>
      <c r="R4" s="580">
        <f>IFERROR(HLOOKUP($L4,'Eplus results'!$1:$65536,R$2, FALSE),0)</f>
        <v>0</v>
      </c>
      <c r="S4" s="580">
        <f>IFERROR(HLOOKUP($L4,'Eplus results'!$1:$65536,S$2, FALSE),0)</f>
        <v>0</v>
      </c>
      <c r="T4" s="580">
        <f>IFERROR(HLOOKUP($L4,'Eplus results'!$1:$65536,T$2, FALSE),0)</f>
        <v>0</v>
      </c>
      <c r="U4" s="580">
        <f>IFERROR(HLOOKUP($L4,'Eplus results'!$1:$65536,U$2, FALSE),0)</f>
        <v>0</v>
      </c>
      <c r="V4" s="580">
        <f>IFERROR(HLOOKUP($L4,'Eplus results'!$1:$65536,V$2, FALSE),0)</f>
        <v>0</v>
      </c>
      <c r="W4" s="580">
        <f>IFERROR(HLOOKUP($L4,'Eplus results'!$1:$65536,W$2, FALSE),0)</f>
        <v>0</v>
      </c>
      <c r="X4" s="580">
        <f>IFERROR(HLOOKUP($L4,'Eplus results'!$1:$65536,X$2, FALSE),0)</f>
        <v>0</v>
      </c>
      <c r="AB4" s="580">
        <f>HLOOKUP("*"&amp;'Output annual'!$AC$2&amp;'Output annual'!$AD$2&amp;"*Zone People Number Of Occupants [](Hourly)",'Eplus results'!$1:$1048576,ROW(),FALSE)</f>
        <v>0</v>
      </c>
      <c r="AC4" s="580">
        <f>HLOOKUP("*"&amp;'Output annual'!$AC$2&amp;'Output annual'!$AD$2&amp;"*FangerPMV(Hourly)",'Eplus results'!$1:$1048576,ROW(),FALSE)</f>
        <v>-2.1837215275967301</v>
      </c>
      <c r="AD4" s="580">
        <f t="shared" si="0"/>
        <v>84.321025294632477</v>
      </c>
      <c r="AE4" s="580">
        <f t="shared" si="1"/>
        <v>8.9361962710844624E-5</v>
      </c>
      <c r="AF4" s="580">
        <f t="shared" si="2"/>
        <v>84.320935932669769</v>
      </c>
      <c r="AG4" s="580">
        <f t="shared" si="3"/>
        <v>0</v>
      </c>
      <c r="AH4" s="580">
        <f t="shared" si="4"/>
        <v>0</v>
      </c>
    </row>
    <row r="5" spans="1:34">
      <c r="B5" t="s">
        <v>25</v>
      </c>
      <c r="C5" s="30" t="str">
        <f>HLOOKUP(B5,'Eplus results'!$1:$1048576,$C$3,FALSE)</f>
        <v xml:space="preserve"> 07/21  15:00:00</v>
      </c>
      <c r="E5" s="30" t="s">
        <v>25</v>
      </c>
      <c r="F5" s="30" t="str">
        <f>C5</f>
        <v xml:space="preserve"> 07/21  15:00:00</v>
      </c>
      <c r="L5" s="581" t="s">
        <v>1096</v>
      </c>
      <c r="M5" s="580">
        <f>IFERROR(HLOOKUP($L5,'Eplus results'!$1:$65536,M$2, FALSE),0)</f>
        <v>0</v>
      </c>
      <c r="N5" s="580">
        <f>IFERROR(HLOOKUP($L5,'Eplus results'!$1:$65536,N$2, FALSE),0)</f>
        <v>0</v>
      </c>
      <c r="O5" s="580">
        <f>IFERROR(HLOOKUP($L5,'Eplus results'!$1:$65536,O$2, FALSE),0)</f>
        <v>0</v>
      </c>
      <c r="P5" s="580">
        <f>IFERROR(HLOOKUP($L5,'Eplus results'!$1:$65536,P$2, FALSE),0)</f>
        <v>0</v>
      </c>
      <c r="Q5" s="580">
        <f>IFERROR(HLOOKUP($L5,'Eplus results'!$1:$65536,Q$2, FALSE),0)</f>
        <v>0</v>
      </c>
      <c r="R5" s="580">
        <f>IFERROR(HLOOKUP($L5,'Eplus results'!$1:$65536,R$2, FALSE),0)</f>
        <v>0</v>
      </c>
      <c r="S5" s="580">
        <f>IFERROR(HLOOKUP($L5,'Eplus results'!$1:$65536,S$2, FALSE),0)</f>
        <v>0</v>
      </c>
      <c r="T5" s="580">
        <f>IFERROR(HLOOKUP($L5,'Eplus results'!$1:$65536,T$2, FALSE),0)</f>
        <v>0</v>
      </c>
      <c r="U5" s="580">
        <f>IFERROR(HLOOKUP($L5,'Eplus results'!$1:$65536,U$2, FALSE),0)</f>
        <v>0</v>
      </c>
      <c r="V5" s="580">
        <f>IFERROR(HLOOKUP($L5,'Eplus results'!$1:$65536,V$2, FALSE),0)</f>
        <v>0</v>
      </c>
      <c r="W5" s="580">
        <f>IFERROR(HLOOKUP($L5,'Eplus results'!$1:$65536,W$2, FALSE),0)</f>
        <v>0</v>
      </c>
      <c r="X5" s="580">
        <f>IFERROR(HLOOKUP($L5,'Eplus results'!$1:$65536,X$2, FALSE),0)</f>
        <v>0</v>
      </c>
      <c r="AB5" s="580">
        <f>HLOOKUP("*"&amp;'Output annual'!$AC$2&amp;'Output annual'!$AD$2&amp;"*Zone People Number Of Occupants [](Hourly)",'Eplus results'!$1:$1048576,ROW(),FALSE)</f>
        <v>0</v>
      </c>
      <c r="AC5" s="580">
        <f>HLOOKUP("*"&amp;'Output annual'!$AC$2&amp;'Output annual'!$AD$2&amp;"*FangerPMV(Hourly)",'Eplus results'!$1:$1048576,ROW(),FALSE)</f>
        <v>-2.1857412367903302</v>
      </c>
      <c r="AD5" s="580">
        <f t="shared" si="0"/>
        <v>84.395288013368017</v>
      </c>
      <c r="AE5" s="580">
        <f t="shared" si="1"/>
        <v>8.830981800551422E-5</v>
      </c>
      <c r="AF5" s="580">
        <f t="shared" si="2"/>
        <v>84.395199703550006</v>
      </c>
      <c r="AG5" s="580">
        <f t="shared" si="3"/>
        <v>0</v>
      </c>
      <c r="AH5" s="580">
        <f t="shared" si="4"/>
        <v>0</v>
      </c>
    </row>
    <row r="6" spans="1:34">
      <c r="B6" t="s">
        <v>26</v>
      </c>
      <c r="C6" s="31">
        <f>HLOOKUP(B6,'Eplus results'!$1:$1048576,$C$3,FALSE)</f>
        <v>37.78</v>
      </c>
      <c r="D6" t="s">
        <v>239</v>
      </c>
      <c r="E6" s="30" t="s">
        <v>91</v>
      </c>
      <c r="F6" s="29">
        <f>C6*9/5+32</f>
        <v>100.00399999999999</v>
      </c>
      <c r="G6" t="s">
        <v>89</v>
      </c>
      <c r="L6" s="581" t="s">
        <v>1097</v>
      </c>
      <c r="M6" s="580">
        <f>IFERROR(HLOOKUP($L6,'Eplus results'!$1:$65536,M$2, FALSE),0)</f>
        <v>0</v>
      </c>
      <c r="N6" s="580">
        <f>IFERROR(HLOOKUP($L6,'Eplus results'!$1:$65536,N$2, FALSE),0)</f>
        <v>0</v>
      </c>
      <c r="O6" s="580">
        <f>IFERROR(HLOOKUP($L6,'Eplus results'!$1:$65536,O$2, FALSE),0)</f>
        <v>0</v>
      </c>
      <c r="P6" s="580">
        <f>IFERROR(HLOOKUP($L6,'Eplus results'!$1:$65536,P$2, FALSE),0)</f>
        <v>0</v>
      </c>
      <c r="Q6" s="580">
        <f>IFERROR(HLOOKUP($L6,'Eplus results'!$1:$65536,Q$2, FALSE),0)</f>
        <v>0</v>
      </c>
      <c r="R6" s="580">
        <f>IFERROR(HLOOKUP($L6,'Eplus results'!$1:$65536,R$2, FALSE),0)</f>
        <v>0</v>
      </c>
      <c r="S6" s="580">
        <f>IFERROR(HLOOKUP($L6,'Eplus results'!$1:$65536,S$2, FALSE),0)</f>
        <v>0</v>
      </c>
      <c r="T6" s="580">
        <f>IFERROR(HLOOKUP($L6,'Eplus results'!$1:$65536,T$2, FALSE),0)</f>
        <v>0</v>
      </c>
      <c r="U6" s="580">
        <f>IFERROR(HLOOKUP($L6,'Eplus results'!$1:$65536,U$2, FALSE),0)</f>
        <v>0</v>
      </c>
      <c r="V6" s="580">
        <f>IFERROR(HLOOKUP($L6,'Eplus results'!$1:$65536,V$2, FALSE),0)</f>
        <v>0</v>
      </c>
      <c r="W6" s="580">
        <f>IFERROR(HLOOKUP($L6,'Eplus results'!$1:$65536,W$2, FALSE),0)</f>
        <v>0</v>
      </c>
      <c r="X6" s="580">
        <f>IFERROR(HLOOKUP($L6,'Eplus results'!$1:$65536,X$2, FALSE),0)</f>
        <v>0</v>
      </c>
      <c r="AB6" s="580">
        <f>HLOOKUP("*"&amp;'Output annual'!$AC$2&amp;'Output annual'!$AD$2&amp;"*Zone People Number Of Occupants [](Hourly)",'Eplus results'!$1:$1048576,ROW(),FALSE)</f>
        <v>0</v>
      </c>
      <c r="AC6" s="580">
        <f>HLOOKUP("*"&amp;'Output annual'!$AC$2&amp;'Output annual'!$AD$2&amp;"*FangerPMV(Hourly)",'Eplus results'!$1:$1048576,ROW(),FALSE)</f>
        <v>-2.18788989323135</v>
      </c>
      <c r="AD6" s="580">
        <f t="shared" si="0"/>
        <v>84.474069848198141</v>
      </c>
      <c r="AE6" s="580">
        <f t="shared" si="1"/>
        <v>8.7203792318499843E-5</v>
      </c>
      <c r="AF6" s="580">
        <f t="shared" si="2"/>
        <v>84.473982644405822</v>
      </c>
      <c r="AG6" s="580">
        <f t="shared" si="3"/>
        <v>0</v>
      </c>
      <c r="AH6" s="580">
        <f t="shared" si="4"/>
        <v>0</v>
      </c>
    </row>
    <row r="7" spans="1:34">
      <c r="B7" t="s">
        <v>340</v>
      </c>
      <c r="C7" s="31">
        <f>HLOOKUP(B7,'Eplus results'!$1:$1048576,$C$3,FALSE)</f>
        <v>15.560004361923101</v>
      </c>
      <c r="D7" t="s">
        <v>239</v>
      </c>
      <c r="E7" s="30" t="s">
        <v>97</v>
      </c>
      <c r="F7" s="29">
        <f>C7*9/5+32</f>
        <v>60.008007851461585</v>
      </c>
      <c r="G7" t="s">
        <v>89</v>
      </c>
      <c r="L7" s="581" t="s">
        <v>1098</v>
      </c>
      <c r="M7" s="580">
        <f>IFERROR(HLOOKUP($L7,'Eplus results'!$1:$65536,M$2, FALSE),0)</f>
        <v>0</v>
      </c>
      <c r="N7" s="580">
        <f>IFERROR(HLOOKUP($L7,'Eplus results'!$1:$65536,N$2, FALSE),0)</f>
        <v>0</v>
      </c>
      <c r="O7" s="580">
        <f>IFERROR(HLOOKUP($L7,'Eplus results'!$1:$65536,O$2, FALSE),0)</f>
        <v>0</v>
      </c>
      <c r="P7" s="580">
        <f>IFERROR(HLOOKUP($L7,'Eplus results'!$1:$65536,P$2, FALSE),0)</f>
        <v>0</v>
      </c>
      <c r="Q7" s="580">
        <f>IFERROR(HLOOKUP($L7,'Eplus results'!$1:$65536,Q$2, FALSE),0)</f>
        <v>0</v>
      </c>
      <c r="R7" s="580">
        <f>IFERROR(HLOOKUP($L7,'Eplus results'!$1:$65536,R$2, FALSE),0)</f>
        <v>0</v>
      </c>
      <c r="S7" s="580">
        <f>IFERROR(HLOOKUP($L7,'Eplus results'!$1:$65536,S$2, FALSE),0)</f>
        <v>0</v>
      </c>
      <c r="T7" s="580">
        <f>IFERROR(HLOOKUP($L7,'Eplus results'!$1:$65536,T$2, FALSE),0)</f>
        <v>0</v>
      </c>
      <c r="U7" s="580">
        <f>IFERROR(HLOOKUP($L7,'Eplus results'!$1:$65536,U$2, FALSE),0)</f>
        <v>0</v>
      </c>
      <c r="V7" s="580">
        <f>IFERROR(HLOOKUP($L7,'Eplus results'!$1:$65536,V$2, FALSE),0)</f>
        <v>0</v>
      </c>
      <c r="W7" s="580">
        <f>IFERROR(HLOOKUP($L7,'Eplus results'!$1:$65536,W$2, FALSE),0)</f>
        <v>0</v>
      </c>
      <c r="X7" s="580">
        <f>IFERROR(HLOOKUP($L7,'Eplus results'!$1:$65536,X$2, FALSE),0)</f>
        <v>0</v>
      </c>
      <c r="AB7" s="580">
        <f>HLOOKUP("*"&amp;'Output annual'!$AC$2&amp;'Output annual'!$AD$2&amp;"*Zone People Number Of Occupants [](Hourly)",'Eplus results'!$1:$1048576,ROW(),FALSE)</f>
        <v>0</v>
      </c>
      <c r="AC7" s="580">
        <f>HLOOKUP("*"&amp;'Output annual'!$AC$2&amp;'Output annual'!$AD$2&amp;"*FangerPMV(Hourly)",'Eplus results'!$1:$1048576,ROW(),FALSE)</f>
        <v>-2.1901773534535698</v>
      </c>
      <c r="AD7" s="580">
        <f t="shared" si="0"/>
        <v>84.557689007740166</v>
      </c>
      <c r="AE7" s="580">
        <f t="shared" si="1"/>
        <v>8.6041197757043703E-5</v>
      </c>
      <c r="AF7" s="580">
        <f t="shared" si="2"/>
        <v>84.557602966542404</v>
      </c>
      <c r="AG7" s="580">
        <f t="shared" si="3"/>
        <v>0</v>
      </c>
      <c r="AH7" s="580">
        <f t="shared" si="4"/>
        <v>0</v>
      </c>
    </row>
    <row r="8" spans="1:34">
      <c r="L8" s="581" t="s">
        <v>1100</v>
      </c>
      <c r="M8" s="580">
        <f>IFERROR(HLOOKUP($L8,'Eplus results'!$1:$65536,M$2, FALSE),0)</f>
        <v>0</v>
      </c>
      <c r="N8" s="580">
        <f>IFERROR(HLOOKUP($L8,'Eplus results'!$1:$65536,N$2, FALSE),0)</f>
        <v>0</v>
      </c>
      <c r="O8" s="580">
        <f>IFERROR(HLOOKUP($L8,'Eplus results'!$1:$65536,O$2, FALSE),0)</f>
        <v>0</v>
      </c>
      <c r="P8" s="580">
        <f>IFERROR(HLOOKUP($L8,'Eplus results'!$1:$65536,P$2, FALSE),0)</f>
        <v>0</v>
      </c>
      <c r="Q8" s="580">
        <f>IFERROR(HLOOKUP($L8,'Eplus results'!$1:$65536,Q$2, FALSE),0)</f>
        <v>0</v>
      </c>
      <c r="R8" s="580">
        <f>IFERROR(HLOOKUP($L8,'Eplus results'!$1:$65536,R$2, FALSE),0)</f>
        <v>0</v>
      </c>
      <c r="S8" s="580">
        <f>IFERROR(HLOOKUP($L8,'Eplus results'!$1:$65536,S$2, FALSE),0)</f>
        <v>0</v>
      </c>
      <c r="T8" s="580">
        <f>IFERROR(HLOOKUP($L8,'Eplus results'!$1:$65536,T$2, FALSE),0)</f>
        <v>0</v>
      </c>
      <c r="U8" s="580">
        <f>IFERROR(HLOOKUP($L8,'Eplus results'!$1:$65536,U$2, FALSE),0)</f>
        <v>0</v>
      </c>
      <c r="V8" s="580">
        <f>IFERROR(HLOOKUP($L8,'Eplus results'!$1:$65536,V$2, FALSE),0)</f>
        <v>0</v>
      </c>
      <c r="W8" s="580">
        <f>IFERROR(HLOOKUP($L8,'Eplus results'!$1:$65536,W$2, FALSE),0)</f>
        <v>0</v>
      </c>
      <c r="X8" s="580">
        <f>IFERROR(HLOOKUP($L8,'Eplus results'!$1:$65536,X$2, FALSE),0)</f>
        <v>0</v>
      </c>
      <c r="AB8" s="580">
        <f>HLOOKUP("*"&amp;'Output annual'!$AC$2&amp;'Output annual'!$AD$2&amp;"*Zone People Number Of Occupants [](Hourly)",'Eplus results'!$1:$1048576,ROW(),FALSE)</f>
        <v>0</v>
      </c>
      <c r="AC8" s="580">
        <f>HLOOKUP("*"&amp;'Output annual'!$AC$2&amp;'Output annual'!$AD$2&amp;"*FangerPMV(Hourly)",'Eplus results'!$1:$1048576,ROW(),FALSE)</f>
        <v>-1.85821811460458</v>
      </c>
      <c r="AD8" s="580">
        <f t="shared" si="0"/>
        <v>69.985084922164333</v>
      </c>
      <c r="AE8" s="580">
        <f t="shared" si="1"/>
        <v>5.7652018088573485E-4</v>
      </c>
      <c r="AF8" s="580">
        <f t="shared" si="2"/>
        <v>69.984508401983447</v>
      </c>
      <c r="AG8" s="580">
        <f t="shared" si="3"/>
        <v>0</v>
      </c>
      <c r="AH8" s="580">
        <f t="shared" si="4"/>
        <v>0</v>
      </c>
    </row>
    <row r="9" spans="1:34">
      <c r="B9" s="2" t="s">
        <v>357</v>
      </c>
      <c r="C9" s="40" t="str">
        <f>floor</f>
        <v>MF</v>
      </c>
      <c r="L9" s="581" t="s">
        <v>1101</v>
      </c>
      <c r="M9" s="580">
        <f>IFERROR(HLOOKUP($L9,'Eplus results'!$1:$65536,M$2, FALSE),0)</f>
        <v>0</v>
      </c>
      <c r="N9" s="580">
        <f>IFERROR(HLOOKUP($L9,'Eplus results'!$1:$65536,N$2, FALSE),0)</f>
        <v>0</v>
      </c>
      <c r="O9" s="580">
        <f>IFERROR(HLOOKUP($L9,'Eplus results'!$1:$65536,O$2, FALSE),0)</f>
        <v>0</v>
      </c>
      <c r="P9" s="580">
        <f>IFERROR(HLOOKUP($L9,'Eplus results'!$1:$65536,P$2, FALSE),0)</f>
        <v>0</v>
      </c>
      <c r="Q9" s="580">
        <f>IFERROR(HLOOKUP($L9,'Eplus results'!$1:$65536,Q$2, FALSE),0)</f>
        <v>0</v>
      </c>
      <c r="R9" s="580">
        <f>IFERROR(HLOOKUP($L9,'Eplus results'!$1:$65536,R$2, FALSE),0)</f>
        <v>0</v>
      </c>
      <c r="S9" s="580">
        <f>IFERROR(HLOOKUP($L9,'Eplus results'!$1:$65536,S$2, FALSE),0)</f>
        <v>0</v>
      </c>
      <c r="T9" s="580">
        <f>IFERROR(HLOOKUP($L9,'Eplus results'!$1:$65536,T$2, FALSE),0)</f>
        <v>0</v>
      </c>
      <c r="U9" s="580">
        <f>IFERROR(HLOOKUP($L9,'Eplus results'!$1:$65536,U$2, FALSE),0)</f>
        <v>0</v>
      </c>
      <c r="V9" s="580">
        <f>IFERROR(HLOOKUP($L9,'Eplus results'!$1:$65536,V$2, FALSE),0)</f>
        <v>0</v>
      </c>
      <c r="W9" s="580">
        <f>IFERROR(HLOOKUP($L9,'Eplus results'!$1:$65536,W$2, FALSE),0)</f>
        <v>0</v>
      </c>
      <c r="X9" s="580">
        <f>IFERROR(HLOOKUP($L9,'Eplus results'!$1:$65536,X$2, FALSE),0)</f>
        <v>0</v>
      </c>
      <c r="AB9" s="580">
        <f>HLOOKUP("*"&amp;'Output annual'!$AC$2&amp;'Output annual'!$AD$2&amp;"*Zone People Number Of Occupants [](Hourly)",'Eplus results'!$1:$1048576,ROW(),FALSE)</f>
        <v>0</v>
      </c>
      <c r="AC9" s="580">
        <f>HLOOKUP("*"&amp;'Output annual'!$AC$2&amp;'Output annual'!$AD$2&amp;"*FangerPMV(Hourly)",'Eplus results'!$1:$1048576,ROW(),FALSE)</f>
        <v>-1.9150616638801701</v>
      </c>
      <c r="AD9" s="580">
        <f t="shared" si="0"/>
        <v>72.785511457316005</v>
      </c>
      <c r="AE9" s="580">
        <f t="shared" si="1"/>
        <v>4.1910992414295284E-4</v>
      </c>
      <c r="AF9" s="580">
        <f t="shared" si="2"/>
        <v>72.785092347391867</v>
      </c>
      <c r="AG9" s="580">
        <f t="shared" si="3"/>
        <v>0</v>
      </c>
      <c r="AH9" s="580">
        <f t="shared" si="4"/>
        <v>0</v>
      </c>
    </row>
    <row r="10" spans="1:34">
      <c r="L10" s="581" t="s">
        <v>1102</v>
      </c>
      <c r="M10" s="580">
        <f>IFERROR(HLOOKUP($L10,'Eplus results'!$1:$65536,M$2, FALSE),0)</f>
        <v>0</v>
      </c>
      <c r="N10" s="580">
        <f>IFERROR(HLOOKUP($L10,'Eplus results'!$1:$65536,N$2, FALSE),0)</f>
        <v>0</v>
      </c>
      <c r="O10" s="580">
        <f>IFERROR(HLOOKUP($L10,'Eplus results'!$1:$65536,O$2, FALSE),0)</f>
        <v>0</v>
      </c>
      <c r="P10" s="580">
        <f>IFERROR(HLOOKUP($L10,'Eplus results'!$1:$65536,P$2, FALSE),0)</f>
        <v>0</v>
      </c>
      <c r="Q10" s="580">
        <f>IFERROR(HLOOKUP($L10,'Eplus results'!$1:$65536,Q$2, FALSE),0)</f>
        <v>0</v>
      </c>
      <c r="R10" s="580">
        <f>IFERROR(HLOOKUP($L10,'Eplus results'!$1:$65536,R$2, FALSE),0)</f>
        <v>0</v>
      </c>
      <c r="S10" s="580">
        <f>IFERROR(HLOOKUP($L10,'Eplus results'!$1:$65536,S$2, FALSE),0)</f>
        <v>0</v>
      </c>
      <c r="T10" s="580">
        <f>IFERROR(HLOOKUP($L10,'Eplus results'!$1:$65536,T$2, FALSE),0)</f>
        <v>0</v>
      </c>
      <c r="U10" s="580">
        <f>IFERROR(HLOOKUP($L10,'Eplus results'!$1:$65536,U$2, FALSE),0)</f>
        <v>0</v>
      </c>
      <c r="V10" s="580">
        <f>IFERROR(HLOOKUP($L10,'Eplus results'!$1:$65536,V$2, FALSE),0)</f>
        <v>0</v>
      </c>
      <c r="W10" s="580">
        <f>IFERROR(HLOOKUP($L10,'Eplus results'!$1:$65536,W$2, FALSE),0)</f>
        <v>0</v>
      </c>
      <c r="X10" s="580">
        <f>IFERROR(HLOOKUP($L10,'Eplus results'!$1:$65536,X$2, FALSE),0)</f>
        <v>0</v>
      </c>
      <c r="AB10" s="580">
        <f>HLOOKUP("*"&amp;'Output annual'!$AC$2&amp;'Output annual'!$AD$2&amp;"*Zone People Number Of Occupants [](Hourly)",'Eplus results'!$1:$1048576,ROW(),FALSE)</f>
        <v>0</v>
      </c>
      <c r="AC10" s="580">
        <f>HLOOKUP("*"&amp;'Output annual'!$AC$2&amp;'Output annual'!$AD$2&amp;"*FangerPMV(Hourly)",'Eplus results'!$1:$1048576,ROW(),FALSE)</f>
        <v>-1.8029318872636899</v>
      </c>
      <c r="AD10" s="580">
        <f t="shared" si="0"/>
        <v>67.171543837755962</v>
      </c>
      <c r="AE10" s="580">
        <f t="shared" si="1"/>
        <v>7.8389705247514617E-4</v>
      </c>
      <c r="AF10" s="580">
        <f t="shared" si="2"/>
        <v>67.170759940703491</v>
      </c>
      <c r="AG10" s="580">
        <f t="shared" si="3"/>
        <v>0</v>
      </c>
      <c r="AH10" s="580">
        <f t="shared" si="4"/>
        <v>0</v>
      </c>
    </row>
    <row r="11" spans="1:34">
      <c r="L11" s="581" t="s">
        <v>1103</v>
      </c>
      <c r="M11" s="580">
        <f>IFERROR(HLOOKUP($L11,'Eplus results'!$1:$65536,M$2, FALSE),0)</f>
        <v>0</v>
      </c>
      <c r="N11" s="580">
        <f>IFERROR(HLOOKUP($L11,'Eplus results'!$1:$65536,N$2, FALSE),0)</f>
        <v>0</v>
      </c>
      <c r="O11" s="580">
        <f>IFERROR(HLOOKUP($L11,'Eplus results'!$1:$65536,O$2, FALSE),0)</f>
        <v>0</v>
      </c>
      <c r="P11" s="580">
        <f>IFERROR(HLOOKUP($L11,'Eplus results'!$1:$65536,P$2, FALSE),0)</f>
        <v>0</v>
      </c>
      <c r="Q11" s="580">
        <f>IFERROR(HLOOKUP($L11,'Eplus results'!$1:$65536,Q$2, FALSE),0)</f>
        <v>0</v>
      </c>
      <c r="R11" s="580">
        <f>IFERROR(HLOOKUP($L11,'Eplus results'!$1:$65536,R$2, FALSE),0)</f>
        <v>0</v>
      </c>
      <c r="S11" s="580">
        <f>IFERROR(HLOOKUP($L11,'Eplus results'!$1:$65536,S$2, FALSE),0)</f>
        <v>0</v>
      </c>
      <c r="T11" s="580">
        <f>IFERROR(HLOOKUP($L11,'Eplus results'!$1:$65536,T$2, FALSE),0)</f>
        <v>0</v>
      </c>
      <c r="U11" s="580">
        <f>IFERROR(HLOOKUP($L11,'Eplus results'!$1:$65536,U$2, FALSE),0)</f>
        <v>0</v>
      </c>
      <c r="V11" s="580">
        <f>IFERROR(HLOOKUP($L11,'Eplus results'!$1:$65536,V$2, FALSE),0)</f>
        <v>0</v>
      </c>
      <c r="W11" s="580">
        <f>IFERROR(HLOOKUP($L11,'Eplus results'!$1:$65536,W$2, FALSE),0)</f>
        <v>0</v>
      </c>
      <c r="X11" s="580">
        <f>IFERROR(HLOOKUP($L11,'Eplus results'!$1:$65536,X$2, FALSE),0)</f>
        <v>0</v>
      </c>
      <c r="AB11" s="580">
        <f>HLOOKUP("*"&amp;'Output annual'!$AC$2&amp;'Output annual'!$AD$2&amp;"*Zone People Number Of Occupants [](Hourly)",'Eplus results'!$1:$1048576,ROW(),FALSE)</f>
        <v>0</v>
      </c>
      <c r="AC11" s="580">
        <f>HLOOKUP("*"&amp;'Output annual'!$AC$2&amp;'Output annual'!$AD$2&amp;"*FangerPMV(Hourly)",'Eplus results'!$1:$1048576,ROW(),FALSE)</f>
        <v>-1.7135302089211499</v>
      </c>
      <c r="AD11" s="580">
        <f t="shared" si="0"/>
        <v>62.4747659936952</v>
      </c>
      <c r="AE11" s="580">
        <f t="shared" si="1"/>
        <v>1.280508413701886E-3</v>
      </c>
      <c r="AF11" s="580">
        <f t="shared" si="2"/>
        <v>62.4734854852815</v>
      </c>
      <c r="AG11" s="580">
        <f t="shared" si="3"/>
        <v>0</v>
      </c>
      <c r="AH11" s="580">
        <f t="shared" si="4"/>
        <v>0</v>
      </c>
    </row>
    <row r="12" spans="1:34">
      <c r="B12" s="2" t="s">
        <v>85</v>
      </c>
      <c r="E12" s="31"/>
      <c r="L12" s="581" t="s">
        <v>1104</v>
      </c>
      <c r="M12" s="580">
        <f>IFERROR(HLOOKUP($L12,'Eplus results'!$1:$65536,M$2, FALSE),0)</f>
        <v>0</v>
      </c>
      <c r="N12" s="580">
        <f>IFERROR(HLOOKUP($L12,'Eplus results'!$1:$65536,N$2, FALSE),0)</f>
        <v>0</v>
      </c>
      <c r="O12" s="580">
        <f>IFERROR(HLOOKUP($L12,'Eplus results'!$1:$65536,O$2, FALSE),0)</f>
        <v>0</v>
      </c>
      <c r="P12" s="580">
        <f>IFERROR(HLOOKUP($L12,'Eplus results'!$1:$65536,P$2, FALSE),0)</f>
        <v>0</v>
      </c>
      <c r="Q12" s="580">
        <f>IFERROR(HLOOKUP($L12,'Eplus results'!$1:$65536,Q$2, FALSE),0)</f>
        <v>0</v>
      </c>
      <c r="R12" s="580">
        <f>IFERROR(HLOOKUP($L12,'Eplus results'!$1:$65536,R$2, FALSE),0)</f>
        <v>0</v>
      </c>
      <c r="S12" s="580">
        <f>IFERROR(HLOOKUP($L12,'Eplus results'!$1:$65536,S$2, FALSE),0)</f>
        <v>0</v>
      </c>
      <c r="T12" s="580">
        <f>IFERROR(HLOOKUP($L12,'Eplus results'!$1:$65536,T$2, FALSE),0)</f>
        <v>0</v>
      </c>
      <c r="U12" s="580">
        <f>IFERROR(HLOOKUP($L12,'Eplus results'!$1:$65536,U$2, FALSE),0)</f>
        <v>0</v>
      </c>
      <c r="V12" s="580">
        <f>IFERROR(HLOOKUP($L12,'Eplus results'!$1:$65536,V$2, FALSE),0)</f>
        <v>0</v>
      </c>
      <c r="W12" s="580">
        <f>IFERROR(HLOOKUP($L12,'Eplus results'!$1:$65536,W$2, FALSE),0)</f>
        <v>0</v>
      </c>
      <c r="X12" s="580">
        <f>IFERROR(HLOOKUP($L12,'Eplus results'!$1:$65536,X$2, FALSE),0)</f>
        <v>0</v>
      </c>
      <c r="AB12" s="580">
        <f>HLOOKUP("*"&amp;'Output annual'!$AC$2&amp;'Output annual'!$AD$2&amp;"*Zone People Number Of Occupants [](Hourly)",'Eplus results'!$1:$1048576,ROW(),FALSE)</f>
        <v>0</v>
      </c>
      <c r="AC12" s="580">
        <f>HLOOKUP("*"&amp;'Output annual'!$AC$2&amp;'Output annual'!$AD$2&amp;"*FangerPMV(Hourly)",'Eplus results'!$1:$1048576,ROW(),FALSE)</f>
        <v>-1.6827839258714301</v>
      </c>
      <c r="AD12" s="580">
        <f t="shared" si="0"/>
        <v>60.827963241545625</v>
      </c>
      <c r="AE12" s="580">
        <f t="shared" si="1"/>
        <v>1.5132221833737667E-3</v>
      </c>
      <c r="AF12" s="580">
        <f t="shared" si="2"/>
        <v>60.826450019362248</v>
      </c>
      <c r="AG12" s="580">
        <f t="shared" si="3"/>
        <v>0</v>
      </c>
      <c r="AH12" s="580">
        <f t="shared" si="4"/>
        <v>0</v>
      </c>
    </row>
    <row r="13" spans="1:34">
      <c r="B13" t="s">
        <v>86</v>
      </c>
      <c r="C13" s="40" t="str">
        <f>perim_zone</f>
        <v>West</v>
      </c>
      <c r="E13" s="30" t="s">
        <v>90</v>
      </c>
      <c r="F13" s="30" t="str">
        <f>C13</f>
        <v>West</v>
      </c>
      <c r="L13" s="581" t="s">
        <v>1105</v>
      </c>
      <c r="M13" s="580">
        <f>IFERROR(HLOOKUP($L13,'Eplus results'!$1:$65536,M$2, FALSE),0)</f>
        <v>0</v>
      </c>
      <c r="N13" s="580">
        <f>IFERROR(HLOOKUP($L13,'Eplus results'!$1:$65536,N$2, FALSE),0)</f>
        <v>0</v>
      </c>
      <c r="O13" s="580">
        <f>IFERROR(HLOOKUP($L13,'Eplus results'!$1:$65536,O$2, FALSE),0)</f>
        <v>0</v>
      </c>
      <c r="P13" s="580">
        <f>IFERROR(HLOOKUP($L13,'Eplus results'!$1:$65536,P$2, FALSE),0)</f>
        <v>0</v>
      </c>
      <c r="Q13" s="580">
        <f>IFERROR(HLOOKUP($L13,'Eplus results'!$1:$65536,Q$2, FALSE),0)</f>
        <v>0</v>
      </c>
      <c r="R13" s="580">
        <f>IFERROR(HLOOKUP($L13,'Eplus results'!$1:$65536,R$2, FALSE),0)</f>
        <v>0</v>
      </c>
      <c r="S13" s="580">
        <f>IFERROR(HLOOKUP($L13,'Eplus results'!$1:$65536,S$2, FALSE),0)</f>
        <v>0</v>
      </c>
      <c r="T13" s="580">
        <f>IFERROR(HLOOKUP($L13,'Eplus results'!$1:$65536,T$2, FALSE),0)</f>
        <v>0</v>
      </c>
      <c r="U13" s="580">
        <f>IFERROR(HLOOKUP($L13,'Eplus results'!$1:$65536,U$2, FALSE),0)</f>
        <v>0</v>
      </c>
      <c r="V13" s="580">
        <f>IFERROR(HLOOKUP($L13,'Eplus results'!$1:$65536,V$2, FALSE),0)</f>
        <v>0</v>
      </c>
      <c r="W13" s="580">
        <f>IFERROR(HLOOKUP($L13,'Eplus results'!$1:$65536,W$2, FALSE),0)</f>
        <v>0</v>
      </c>
      <c r="X13" s="580">
        <f>IFERROR(HLOOKUP($L13,'Eplus results'!$1:$65536,X$2, FALSE),0)</f>
        <v>0</v>
      </c>
      <c r="AB13" s="580">
        <f>HLOOKUP("*"&amp;'Output annual'!$AC$2&amp;'Output annual'!$AD$2&amp;"*Zone People Number Of Occupants [](Hourly)",'Eplus results'!$1:$1048576,ROW(),FALSE)</f>
        <v>0</v>
      </c>
      <c r="AC13" s="580">
        <f>HLOOKUP("*"&amp;'Output annual'!$AC$2&amp;'Output annual'!$AD$2&amp;"*FangerPMV(Hourly)",'Eplus results'!$1:$1048576,ROW(),FALSE)</f>
        <v>-1.66729696811618</v>
      </c>
      <c r="AD13" s="580">
        <f t="shared" si="0"/>
        <v>59.993958111507041</v>
      </c>
      <c r="AE13" s="580">
        <f t="shared" si="1"/>
        <v>1.645428459351217E-3</v>
      </c>
      <c r="AF13" s="580">
        <f t="shared" si="2"/>
        <v>59.992312683047693</v>
      </c>
      <c r="AG13" s="580">
        <f t="shared" si="3"/>
        <v>0</v>
      </c>
      <c r="AH13" s="580">
        <f t="shared" si="4"/>
        <v>0</v>
      </c>
    </row>
    <row r="14" spans="1:34">
      <c r="A14" t="s">
        <v>93</v>
      </c>
      <c r="B14" s="4" t="s">
        <v>578</v>
      </c>
      <c r="C14" s="31">
        <f>HLOOKUP(floor&amp;A14&amp;perim_zone&amp;":"&amp;B14,'Eplus results'!$1:$1048576,$C$3, FALSE)</f>
        <v>25.1318076395426</v>
      </c>
      <c r="D14" t="s">
        <v>239</v>
      </c>
      <c r="E14" s="30" t="s">
        <v>96</v>
      </c>
      <c r="F14" s="29">
        <f>C14*9/5+32</f>
        <v>77.237253751176681</v>
      </c>
      <c r="G14" t="s">
        <v>89</v>
      </c>
      <c r="L14" s="581" t="s">
        <v>1106</v>
      </c>
      <c r="M14" s="580">
        <f>IFERROR(HLOOKUP($L14,'Eplus results'!$1:$65536,M$2, FALSE),0)</f>
        <v>0</v>
      </c>
      <c r="N14" s="580">
        <f>IFERROR(HLOOKUP($L14,'Eplus results'!$1:$65536,N$2, FALSE),0)</f>
        <v>0</v>
      </c>
      <c r="O14" s="580">
        <f>IFERROR(HLOOKUP($L14,'Eplus results'!$1:$65536,O$2, FALSE),0)</f>
        <v>0</v>
      </c>
      <c r="P14" s="580">
        <f>IFERROR(HLOOKUP($L14,'Eplus results'!$1:$65536,P$2, FALSE),0)</f>
        <v>0</v>
      </c>
      <c r="Q14" s="580">
        <f>IFERROR(HLOOKUP($L14,'Eplus results'!$1:$65536,Q$2, FALSE),0)</f>
        <v>0</v>
      </c>
      <c r="R14" s="580">
        <f>IFERROR(HLOOKUP($L14,'Eplus results'!$1:$65536,R$2, FALSE),0)</f>
        <v>0</v>
      </c>
      <c r="S14" s="580">
        <f>IFERROR(HLOOKUP($L14,'Eplus results'!$1:$65536,S$2, FALSE),0)</f>
        <v>0</v>
      </c>
      <c r="T14" s="580">
        <f>IFERROR(HLOOKUP($L14,'Eplus results'!$1:$65536,T$2, FALSE),0)</f>
        <v>0</v>
      </c>
      <c r="U14" s="580">
        <f>IFERROR(HLOOKUP($L14,'Eplus results'!$1:$65536,U$2, FALSE),0)</f>
        <v>0</v>
      </c>
      <c r="V14" s="580">
        <f>IFERROR(HLOOKUP($L14,'Eplus results'!$1:$65536,V$2, FALSE),0)</f>
        <v>0</v>
      </c>
      <c r="W14" s="580">
        <f>IFERROR(HLOOKUP($L14,'Eplus results'!$1:$65536,W$2, FALSE),0)</f>
        <v>0</v>
      </c>
      <c r="X14" s="580">
        <f>IFERROR(HLOOKUP($L14,'Eplus results'!$1:$65536,X$2, FALSE),0)</f>
        <v>0</v>
      </c>
      <c r="AB14" s="580">
        <f>HLOOKUP("*"&amp;'Output annual'!$AC$2&amp;'Output annual'!$AD$2&amp;"*Zone People Number Of Occupants [](Hourly)",'Eplus results'!$1:$1048576,ROW(),FALSE)</f>
        <v>0</v>
      </c>
      <c r="AC14" s="580">
        <f>HLOOKUP("*"&amp;'Output annual'!$AC$2&amp;'Output annual'!$AD$2&amp;"*FangerPMV(Hourly)",'Eplus results'!$1:$1048576,ROW(),FALSE)</f>
        <v>-1.67945081218454</v>
      </c>
      <c r="AD14" s="580">
        <f t="shared" si="0"/>
        <v>60.648700174491985</v>
      </c>
      <c r="AE14" s="580">
        <f t="shared" si="1"/>
        <v>1.5407787346986875E-3</v>
      </c>
      <c r="AF14" s="580">
        <f t="shared" si="2"/>
        <v>60.647159395757285</v>
      </c>
      <c r="AG14" s="580">
        <f t="shared" si="3"/>
        <v>0</v>
      </c>
      <c r="AH14" s="580">
        <f t="shared" si="4"/>
        <v>0</v>
      </c>
    </row>
    <row r="15" spans="1:34">
      <c r="B15" s="4" t="s">
        <v>579</v>
      </c>
      <c r="C15" s="31">
        <f>HLOOKUP(floor&amp;A15&amp;perim_zone&amp;":"&amp;B15,'Eplus results'!$1:$1048576,$C$3, FALSE)</f>
        <v>24.913471468069702</v>
      </c>
      <c r="D15" t="s">
        <v>239</v>
      </c>
      <c r="E15" s="30" t="s">
        <v>255</v>
      </c>
      <c r="F15" s="29">
        <f>C15*9/5+32</f>
        <v>76.844248642525457</v>
      </c>
      <c r="G15" t="s">
        <v>89</v>
      </c>
      <c r="L15" s="581" t="s">
        <v>1107</v>
      </c>
      <c r="M15" s="580">
        <f>IFERROR(HLOOKUP($L15,'Eplus results'!$1:$65536,M$2, FALSE),0)</f>
        <v>0</v>
      </c>
      <c r="N15" s="580">
        <f>IFERROR(HLOOKUP($L15,'Eplus results'!$1:$65536,N$2, FALSE),0)</f>
        <v>0</v>
      </c>
      <c r="O15" s="580">
        <f>IFERROR(HLOOKUP($L15,'Eplus results'!$1:$65536,O$2, FALSE),0)</f>
        <v>0</v>
      </c>
      <c r="P15" s="580">
        <f>IFERROR(HLOOKUP($L15,'Eplus results'!$1:$65536,P$2, FALSE),0)</f>
        <v>0</v>
      </c>
      <c r="Q15" s="580">
        <f>IFERROR(HLOOKUP($L15,'Eplus results'!$1:$65536,Q$2, FALSE),0)</f>
        <v>0</v>
      </c>
      <c r="R15" s="580">
        <f>IFERROR(HLOOKUP($L15,'Eplus results'!$1:$65536,R$2, FALSE),0)</f>
        <v>0</v>
      </c>
      <c r="S15" s="580">
        <f>IFERROR(HLOOKUP($L15,'Eplus results'!$1:$65536,S$2, FALSE),0)</f>
        <v>0</v>
      </c>
      <c r="T15" s="580">
        <f>IFERROR(HLOOKUP($L15,'Eplus results'!$1:$65536,T$2, FALSE),0)</f>
        <v>0</v>
      </c>
      <c r="U15" s="580">
        <f>IFERROR(HLOOKUP($L15,'Eplus results'!$1:$65536,U$2, FALSE),0)</f>
        <v>0</v>
      </c>
      <c r="V15" s="580">
        <f>IFERROR(HLOOKUP($L15,'Eplus results'!$1:$65536,V$2, FALSE),0)</f>
        <v>0</v>
      </c>
      <c r="W15" s="580">
        <f>IFERROR(HLOOKUP($L15,'Eplus results'!$1:$65536,W$2, FALSE),0)</f>
        <v>0</v>
      </c>
      <c r="X15" s="580">
        <f>IFERROR(HLOOKUP($L15,'Eplus results'!$1:$65536,X$2, FALSE),0)</f>
        <v>0</v>
      </c>
      <c r="AB15" s="580">
        <f>HLOOKUP("*"&amp;'Output annual'!$AC$2&amp;'Output annual'!$AD$2&amp;"*Zone People Number Of Occupants [](Hourly)",'Eplus results'!$1:$1048576,ROW(),FALSE)</f>
        <v>0</v>
      </c>
      <c r="AC15" s="580">
        <f>HLOOKUP("*"&amp;'Output annual'!$AC$2&amp;'Output annual'!$AD$2&amp;"*FangerPMV(Hourly)",'Eplus results'!$1:$1048576,ROW(),FALSE)</f>
        <v>-1.7214535537997799</v>
      </c>
      <c r="AD15" s="580">
        <f t="shared" si="0"/>
        <v>62.896944299046581</v>
      </c>
      <c r="AE15" s="580">
        <f t="shared" si="1"/>
        <v>1.2263913233468546E-3</v>
      </c>
      <c r="AF15" s="580">
        <f t="shared" si="2"/>
        <v>62.895717907723231</v>
      </c>
      <c r="AG15" s="580">
        <f t="shared" si="3"/>
        <v>0</v>
      </c>
      <c r="AH15" s="580">
        <f t="shared" si="4"/>
        <v>0</v>
      </c>
    </row>
    <row r="16" spans="1:34">
      <c r="B16" s="4" t="s">
        <v>578</v>
      </c>
      <c r="C16" s="31">
        <f>HLOOKUP(floor&amp;A16&amp;perim_zone&amp;":"&amp;B16,'Eplus results'!$1:$1048576,$C$3, FALSE)</f>
        <v>26.667741046252999</v>
      </c>
      <c r="D16" t="s">
        <v>239</v>
      </c>
      <c r="E16" s="30" t="s">
        <v>95</v>
      </c>
      <c r="F16" s="29">
        <f>C16*9/5+32</f>
        <v>80.001933883255404</v>
      </c>
      <c r="G16" t="s">
        <v>89</v>
      </c>
      <c r="L16" s="581" t="s">
        <v>1108</v>
      </c>
      <c r="M16" s="580">
        <f>IFERROR(HLOOKUP($L16,'Eplus results'!$1:$65536,M$2, FALSE),0)</f>
        <v>0</v>
      </c>
      <c r="N16" s="580">
        <f>IFERROR(HLOOKUP($L16,'Eplus results'!$1:$65536,N$2, FALSE),0)</f>
        <v>0</v>
      </c>
      <c r="O16" s="580">
        <f>IFERROR(HLOOKUP($L16,'Eplus results'!$1:$65536,O$2, FALSE),0)</f>
        <v>0</v>
      </c>
      <c r="P16" s="580">
        <f>IFERROR(HLOOKUP($L16,'Eplus results'!$1:$65536,P$2, FALSE),0)</f>
        <v>0</v>
      </c>
      <c r="Q16" s="580">
        <f>IFERROR(HLOOKUP($L16,'Eplus results'!$1:$65536,Q$2, FALSE),0)</f>
        <v>0</v>
      </c>
      <c r="R16" s="580">
        <f>IFERROR(HLOOKUP($L16,'Eplus results'!$1:$65536,R$2, FALSE),0)</f>
        <v>0</v>
      </c>
      <c r="S16" s="580">
        <f>IFERROR(HLOOKUP($L16,'Eplus results'!$1:$65536,S$2, FALSE),0)</f>
        <v>0</v>
      </c>
      <c r="T16" s="580">
        <f>IFERROR(HLOOKUP($L16,'Eplus results'!$1:$65536,T$2, FALSE),0)</f>
        <v>0</v>
      </c>
      <c r="U16" s="580">
        <f>IFERROR(HLOOKUP($L16,'Eplus results'!$1:$65536,U$2, FALSE),0)</f>
        <v>0</v>
      </c>
      <c r="V16" s="580">
        <f>IFERROR(HLOOKUP($L16,'Eplus results'!$1:$65536,V$2, FALSE),0)</f>
        <v>0</v>
      </c>
      <c r="W16" s="580">
        <f>IFERROR(HLOOKUP($L16,'Eplus results'!$1:$65536,W$2, FALSE),0)</f>
        <v>0</v>
      </c>
      <c r="X16" s="580">
        <f>IFERROR(HLOOKUP($L16,'Eplus results'!$1:$65536,X$2, FALSE),0)</f>
        <v>0</v>
      </c>
      <c r="AB16" s="580">
        <f>HLOOKUP("*"&amp;'Output annual'!$AC$2&amp;'Output annual'!$AD$2&amp;"*Zone People Number Of Occupants [](Hourly)",'Eplus results'!$1:$1048576,ROW(),FALSE)</f>
        <v>0</v>
      </c>
      <c r="AC16" s="580">
        <f>HLOOKUP("*"&amp;'Output annual'!$AC$2&amp;'Output annual'!$AD$2&amp;"*FangerPMV(Hourly)",'Eplus results'!$1:$1048576,ROW(),FALSE)</f>
        <v>-1.7481910599534201</v>
      </c>
      <c r="AD16" s="580">
        <f t="shared" si="0"/>
        <v>64.31392558012594</v>
      </c>
      <c r="AE16" s="580">
        <f t="shared" si="1"/>
        <v>1.0596210086477205E-3</v>
      </c>
      <c r="AF16" s="580">
        <f t="shared" si="2"/>
        <v>64.312865959117289</v>
      </c>
      <c r="AG16" s="580">
        <f t="shared" si="3"/>
        <v>0</v>
      </c>
      <c r="AH16" s="580">
        <f t="shared" si="4"/>
        <v>0</v>
      </c>
    </row>
    <row r="17" spans="1:34">
      <c r="B17" s="4" t="s">
        <v>580</v>
      </c>
      <c r="C17" s="31">
        <f>HLOOKUP(floor&amp;A17&amp;perim_zone&amp;":"&amp;B17,'Eplus results'!$1:$1048576,$C$3, FALSE)</f>
        <v>23.561748634127198</v>
      </c>
      <c r="D17" t="s">
        <v>239</v>
      </c>
      <c r="E17" s="30" t="s">
        <v>256</v>
      </c>
      <c r="F17" s="29">
        <f>C17*9/5+32</f>
        <v>74.41114754142896</v>
      </c>
      <c r="G17" t="s">
        <v>89</v>
      </c>
      <c r="L17" s="581" t="s">
        <v>1109</v>
      </c>
      <c r="M17" s="580">
        <f>IFERROR(HLOOKUP($L17,'Eplus results'!$1:$65536,M$2, FALSE),0)</f>
        <v>0</v>
      </c>
      <c r="N17" s="580">
        <f>IFERROR(HLOOKUP($L17,'Eplus results'!$1:$65536,N$2, FALSE),0)</f>
        <v>0</v>
      </c>
      <c r="O17" s="580">
        <f>IFERROR(HLOOKUP($L17,'Eplus results'!$1:$65536,O$2, FALSE),0)</f>
        <v>0</v>
      </c>
      <c r="P17" s="580">
        <f>IFERROR(HLOOKUP($L17,'Eplus results'!$1:$65536,P$2, FALSE),0)</f>
        <v>0</v>
      </c>
      <c r="Q17" s="580">
        <f>IFERROR(HLOOKUP($L17,'Eplus results'!$1:$65536,Q$2, FALSE),0)</f>
        <v>0</v>
      </c>
      <c r="R17" s="580">
        <f>IFERROR(HLOOKUP($L17,'Eplus results'!$1:$65536,R$2, FALSE),0)</f>
        <v>0</v>
      </c>
      <c r="S17" s="580">
        <f>IFERROR(HLOOKUP($L17,'Eplus results'!$1:$65536,S$2, FALSE),0)</f>
        <v>0</v>
      </c>
      <c r="T17" s="580">
        <f>IFERROR(HLOOKUP($L17,'Eplus results'!$1:$65536,T$2, FALSE),0)</f>
        <v>0</v>
      </c>
      <c r="U17" s="580">
        <f>IFERROR(HLOOKUP($L17,'Eplus results'!$1:$65536,U$2, FALSE),0)</f>
        <v>0</v>
      </c>
      <c r="V17" s="580">
        <f>IFERROR(HLOOKUP($L17,'Eplus results'!$1:$65536,V$2, FALSE),0)</f>
        <v>0</v>
      </c>
      <c r="W17" s="580">
        <f>IFERROR(HLOOKUP($L17,'Eplus results'!$1:$65536,W$2, FALSE),0)</f>
        <v>0</v>
      </c>
      <c r="X17" s="580">
        <f>IFERROR(HLOOKUP($L17,'Eplus results'!$1:$65536,X$2, FALSE),0)</f>
        <v>0</v>
      </c>
      <c r="AB17" s="580">
        <f>HLOOKUP("*"&amp;'Output annual'!$AC$2&amp;'Output annual'!$AD$2&amp;"*Zone People Number Of Occupants [](Hourly)",'Eplus results'!$1:$1048576,ROW(),FALSE)</f>
        <v>0</v>
      </c>
      <c r="AC17" s="580">
        <f>HLOOKUP("*"&amp;'Output annual'!$AC$2&amp;'Output annual'!$AD$2&amp;"*FangerPMV(Hourly)",'Eplus results'!$1:$1048576,ROW(),FALSE)</f>
        <v>-1.7657107782161201</v>
      </c>
      <c r="AD17" s="580">
        <f t="shared" si="0"/>
        <v>65.235320243473922</v>
      </c>
      <c r="AE17" s="580">
        <f t="shared" si="1"/>
        <v>9.6248544581832172E-4</v>
      </c>
      <c r="AF17" s="580">
        <f t="shared" si="2"/>
        <v>65.234357758028096</v>
      </c>
      <c r="AG17" s="580">
        <f t="shared" si="3"/>
        <v>0</v>
      </c>
      <c r="AH17" s="580">
        <f t="shared" si="4"/>
        <v>0</v>
      </c>
    </row>
    <row r="18" spans="1:34">
      <c r="A18" t="s">
        <v>92</v>
      </c>
      <c r="B18" s="4" t="s">
        <v>578</v>
      </c>
      <c r="C18" s="31">
        <f>HLOOKUP(floor&amp;A18&amp;perim_zone&amp;":"&amp;B18,'Eplus results'!$1:$1048576,$C$3, FALSE)</f>
        <v>20.024350102413202</v>
      </c>
      <c r="D18" t="s">
        <v>239</v>
      </c>
      <c r="E18" s="30" t="s">
        <v>94</v>
      </c>
      <c r="F18" s="29">
        <f>C18*9/5+32</f>
        <v>68.043830184343761</v>
      </c>
      <c r="G18" t="s">
        <v>89</v>
      </c>
      <c r="L18" s="580" t="s">
        <v>974</v>
      </c>
      <c r="M18" s="580">
        <f>MAX(M3:M17)</f>
        <v>0</v>
      </c>
      <c r="N18" s="580">
        <f t="shared" ref="N18:X18" si="5">MAX(N3:N17)</f>
        <v>0</v>
      </c>
      <c r="O18" s="580">
        <f t="shared" si="5"/>
        <v>0</v>
      </c>
      <c r="P18" s="580">
        <f t="shared" si="5"/>
        <v>0</v>
      </c>
      <c r="Q18" s="580">
        <f t="shared" si="5"/>
        <v>0</v>
      </c>
      <c r="R18" s="580">
        <f t="shared" si="5"/>
        <v>0</v>
      </c>
      <c r="S18" s="580">
        <f t="shared" si="5"/>
        <v>0</v>
      </c>
      <c r="T18" s="580">
        <f t="shared" si="5"/>
        <v>0</v>
      </c>
      <c r="U18" s="580">
        <f t="shared" si="5"/>
        <v>0</v>
      </c>
      <c r="V18" s="580">
        <f t="shared" si="5"/>
        <v>0</v>
      </c>
      <c r="W18" s="580">
        <f t="shared" si="5"/>
        <v>0</v>
      </c>
      <c r="X18" s="580">
        <f t="shared" si="5"/>
        <v>0</v>
      </c>
      <c r="AB18" s="580">
        <f>HLOOKUP("*"&amp;'Output annual'!$AC$2&amp;'Output annual'!$AD$2&amp;"*Zone People Number Of Occupants [](Hourly)",'Eplus results'!$1:$1048576,ROW(),FALSE)</f>
        <v>0</v>
      </c>
      <c r="AC18" s="580">
        <f>HLOOKUP("*"&amp;'Output annual'!$AC$2&amp;'Output annual'!$AD$2&amp;"*FangerPMV(Hourly)",'Eplus results'!$1:$1048576,ROW(),FALSE)</f>
        <v>-1.80324628085842</v>
      </c>
      <c r="AD18" s="580">
        <f t="shared" si="0"/>
        <v>67.187764612763544</v>
      </c>
      <c r="AE18" s="580">
        <f t="shared" si="1"/>
        <v>7.8253488136121381E-4</v>
      </c>
      <c r="AF18" s="580">
        <f t="shared" si="2"/>
        <v>67.186982077882178</v>
      </c>
      <c r="AG18" s="580">
        <f t="shared" si="3"/>
        <v>0</v>
      </c>
      <c r="AH18" s="580">
        <f t="shared" si="4"/>
        <v>0</v>
      </c>
    </row>
    <row r="19" spans="1:34">
      <c r="C19" s="31"/>
      <c r="F19" s="29"/>
      <c r="L19" s="580" t="s">
        <v>175</v>
      </c>
      <c r="M19" s="580">
        <f>AVERAGE(M3:M18)</f>
        <v>0</v>
      </c>
      <c r="N19" s="580">
        <f t="shared" ref="N19:X19" si="6">AVERAGE(N3:N18)</f>
        <v>0</v>
      </c>
      <c r="O19" s="580">
        <f t="shared" si="6"/>
        <v>0</v>
      </c>
      <c r="P19" s="580">
        <f t="shared" si="6"/>
        <v>0</v>
      </c>
      <c r="Q19" s="580">
        <f t="shared" si="6"/>
        <v>0</v>
      </c>
      <c r="R19" s="580">
        <f t="shared" si="6"/>
        <v>0</v>
      </c>
      <c r="S19" s="580">
        <f t="shared" si="6"/>
        <v>0</v>
      </c>
      <c r="T19" s="580">
        <f t="shared" si="6"/>
        <v>0</v>
      </c>
      <c r="U19" s="580">
        <f t="shared" si="6"/>
        <v>0</v>
      </c>
      <c r="V19" s="580">
        <f t="shared" si="6"/>
        <v>0</v>
      </c>
      <c r="W19" s="580">
        <f t="shared" si="6"/>
        <v>0</v>
      </c>
      <c r="X19" s="580">
        <f t="shared" si="6"/>
        <v>0</v>
      </c>
      <c r="AB19" s="580">
        <f>HLOOKUP("*"&amp;'Output annual'!$AC$2&amp;'Output annual'!$AD$2&amp;"*Zone People Number Of Occupants [](Hourly)",'Eplus results'!$1:$1048576,ROW(),FALSE)</f>
        <v>0</v>
      </c>
      <c r="AC19" s="580">
        <f>HLOOKUP("*"&amp;'Output annual'!$AC$2&amp;'Output annual'!$AD$2&amp;"*FangerPMV(Hourly)",'Eplus results'!$1:$1048576,ROW(),FALSE)</f>
        <v>-1.86304247301348</v>
      </c>
      <c r="AD19" s="580">
        <f t="shared" si="0"/>
        <v>70.226621188779689</v>
      </c>
      <c r="AE19" s="580">
        <f t="shared" si="1"/>
        <v>5.6119163645740398E-4</v>
      </c>
      <c r="AF19" s="580">
        <f t="shared" si="2"/>
        <v>70.226059997143224</v>
      </c>
      <c r="AG19" s="580">
        <f t="shared" si="3"/>
        <v>0</v>
      </c>
      <c r="AH19" s="580">
        <f t="shared" si="4"/>
        <v>0</v>
      </c>
    </row>
    <row r="20" spans="1:34">
      <c r="B20" t="s">
        <v>254</v>
      </c>
      <c r="C20" s="31">
        <f>HLOOKUP(floor&amp;perim_zone&amp;":UF Transition Height [m](Hourly)",'Eplus results'!$1:$1048576,$C$3, FALSE)</f>
        <v>1.7</v>
      </c>
      <c r="D20" t="s">
        <v>236</v>
      </c>
      <c r="E20" s="30" t="s">
        <v>257</v>
      </c>
      <c r="F20" s="29">
        <f>CONVERT(C20,D20,G20)</f>
        <v>66.929133858267718</v>
      </c>
      <c r="G20" t="s">
        <v>258</v>
      </c>
      <c r="AB20" s="580">
        <f>HLOOKUP("*"&amp;'Output annual'!$AC$2&amp;'Output annual'!$AD$2&amp;"*Zone People Number Of Occupants [](Hourly)",'Eplus results'!$1:$1048576,ROW(),FALSE)</f>
        <v>0</v>
      </c>
      <c r="AC20" s="580">
        <f>HLOOKUP("*"&amp;'Output annual'!$AC$2&amp;'Output annual'!$AD$2&amp;"*FangerPMV(Hourly)",'Eplus results'!$1:$1048576,ROW(),FALSE)</f>
        <v>-1.79998406494731</v>
      </c>
      <c r="AD20" s="580">
        <f t="shared" si="0"/>
        <v>67.019340045609056</v>
      </c>
      <c r="AE20" s="580">
        <f t="shared" si="1"/>
        <v>7.9678134614443233E-4</v>
      </c>
      <c r="AF20" s="580">
        <f t="shared" si="2"/>
        <v>67.018543264262917</v>
      </c>
      <c r="AG20" s="580">
        <f t="shared" si="3"/>
        <v>0</v>
      </c>
      <c r="AH20" s="580">
        <f t="shared" si="4"/>
        <v>0</v>
      </c>
    </row>
    <row r="21" spans="1:34">
      <c r="AB21" s="580">
        <f>HLOOKUP("*"&amp;'Output annual'!$AC$2&amp;'Output annual'!$AD$2&amp;"*Zone People Number Of Occupants [](Hourly)",'Eplus results'!$1:$1048576,ROW(),FALSE)</f>
        <v>0</v>
      </c>
      <c r="AC21" s="580">
        <f>HLOOKUP("*"&amp;'Output annual'!$AC$2&amp;'Output annual'!$AD$2&amp;"*FangerPMV(Hourly)",'Eplus results'!$1:$1048576,ROW(),FALSE)</f>
        <v>-1.7568966789318501</v>
      </c>
      <c r="AD21" s="580">
        <f t="shared" si="0"/>
        <v>64.772515482184787</v>
      </c>
      <c r="AE21" s="580">
        <f t="shared" si="1"/>
        <v>1.0102238850859561E-3</v>
      </c>
      <c r="AF21" s="580">
        <f t="shared" si="2"/>
        <v>64.771505258299698</v>
      </c>
      <c r="AG21" s="580">
        <f t="shared" si="3"/>
        <v>0</v>
      </c>
      <c r="AH21" s="580">
        <f t="shared" si="4"/>
        <v>0</v>
      </c>
    </row>
    <row r="22" spans="1:34">
      <c r="B22" s="2" t="s">
        <v>98</v>
      </c>
      <c r="AB22" s="580">
        <f>HLOOKUP("*"&amp;'Output annual'!$AC$2&amp;'Output annual'!$AD$2&amp;"*Zone People Number Of Occupants [](Hourly)",'Eplus results'!$1:$1048576,ROW(),FALSE)</f>
        <v>0</v>
      </c>
      <c r="AC22" s="580">
        <f>HLOOKUP("*"&amp;'Output annual'!$AC$2&amp;'Output annual'!$AD$2&amp;"*FangerPMV(Hourly)",'Eplus results'!$1:$1048576,ROW(),FALSE)</f>
        <v>-1.74893121033511</v>
      </c>
      <c r="AD22" s="580">
        <f t="shared" si="0"/>
        <v>64.352970464469195</v>
      </c>
      <c r="AE22" s="580">
        <f t="shared" si="1"/>
        <v>1.0553319359345088E-3</v>
      </c>
      <c r="AF22" s="580">
        <f t="shared" si="2"/>
        <v>64.351915132533264</v>
      </c>
      <c r="AG22" s="580">
        <f t="shared" si="3"/>
        <v>0</v>
      </c>
      <c r="AH22" s="580">
        <f t="shared" si="4"/>
        <v>0</v>
      </c>
    </row>
    <row r="23" spans="1:34">
      <c r="B23" t="s">
        <v>86</v>
      </c>
      <c r="C23" s="40" t="str">
        <f>Int_zone</f>
        <v>Core</v>
      </c>
      <c r="E23" s="30" t="s">
        <v>90</v>
      </c>
      <c r="F23" s="30" t="str">
        <f>C23</f>
        <v>Core</v>
      </c>
      <c r="AB23" s="580">
        <f>HLOOKUP("*"&amp;'Output annual'!$AC$2&amp;'Output annual'!$AD$2&amp;"*Zone People Number Of Occupants [](Hourly)",'Eplus results'!$1:$1048576,ROW(),FALSE)</f>
        <v>0</v>
      </c>
      <c r="AC23" s="580">
        <f>HLOOKUP("*"&amp;'Output annual'!$AC$2&amp;'Output annual'!$AD$2&amp;"*FangerPMV(Hourly)",'Eplus results'!$1:$1048576,ROW(),FALSE)</f>
        <v>-1.74805386370808</v>
      </c>
      <c r="AD23" s="580">
        <f t="shared" si="0"/>
        <v>64.306686997782094</v>
      </c>
      <c r="AE23" s="580">
        <f t="shared" si="1"/>
        <v>1.0604178941190964E-3</v>
      </c>
      <c r="AF23" s="580">
        <f t="shared" si="2"/>
        <v>64.305626579887971</v>
      </c>
      <c r="AG23" s="580">
        <f t="shared" si="3"/>
        <v>0</v>
      </c>
      <c r="AH23" s="580">
        <f t="shared" si="4"/>
        <v>0</v>
      </c>
    </row>
    <row r="24" spans="1:34">
      <c r="A24" t="s">
        <v>93</v>
      </c>
      <c r="B24" s="4" t="s">
        <v>578</v>
      </c>
      <c r="C24" s="31">
        <f>HLOOKUP(floor&amp;A24&amp;Int_zone&amp;":"&amp;B24,'Eplus results'!$1:$1048576,$C$3, FALSE)</f>
        <v>25.204706873125101</v>
      </c>
      <c r="D24" t="s">
        <v>239</v>
      </c>
      <c r="E24" s="30" t="s">
        <v>96</v>
      </c>
      <c r="F24" s="29">
        <f>C24*9/5+32</f>
        <v>77.368472371625188</v>
      </c>
      <c r="G24" t="s">
        <v>89</v>
      </c>
      <c r="AB24" s="580">
        <f>HLOOKUP("*"&amp;'Output annual'!$AC$2&amp;'Output annual'!$AD$2&amp;"*Zone People Number Of Occupants [](Hourly)",'Eplus results'!$1:$1048576,ROW(),FALSE)</f>
        <v>0</v>
      </c>
      <c r="AC24" s="580">
        <f>HLOOKUP("*"&amp;'Output annual'!$AC$2&amp;'Output annual'!$AD$2&amp;"*FangerPMV(Hourly)",'Eplus results'!$1:$1048576,ROW(),FALSE)</f>
        <v>-1.7487831238904099</v>
      </c>
      <c r="AD24" s="580">
        <f t="shared" si="0"/>
        <v>64.345159329875699</v>
      </c>
      <c r="AE24" s="580">
        <f t="shared" si="1"/>
        <v>1.0561887301387049E-3</v>
      </c>
      <c r="AF24" s="580">
        <f t="shared" si="2"/>
        <v>64.344103141145567</v>
      </c>
      <c r="AG24" s="580">
        <f t="shared" si="3"/>
        <v>0</v>
      </c>
      <c r="AH24" s="580">
        <f t="shared" si="4"/>
        <v>0</v>
      </c>
    </row>
    <row r="25" spans="1:34">
      <c r="B25" s="4" t="s">
        <v>579</v>
      </c>
      <c r="C25" s="31">
        <f>HLOOKUP(floor&amp;A25&amp;Int_zone&amp;":"&amp;B25,'Eplus results'!$1:$1048576,$C$3, FALSE)</f>
        <v>25.286474498453899</v>
      </c>
      <c r="D25" t="s">
        <v>239</v>
      </c>
      <c r="E25" s="30" t="s">
        <v>255</v>
      </c>
      <c r="F25" s="29">
        <f>C25*9/5+32</f>
        <v>77.515654097217023</v>
      </c>
      <c r="G25" t="s">
        <v>89</v>
      </c>
      <c r="AB25" s="580">
        <f>HLOOKUP("*"&amp;'Output annual'!$AC$2&amp;'Output annual'!$AD$2&amp;"*Zone People Number Of Occupants [](Hourly)",'Eplus results'!$1:$1048576,ROW(),FALSE)</f>
        <v>0</v>
      </c>
      <c r="AC25" s="580">
        <f>HLOOKUP("*"&amp;'Output annual'!$AC$2&amp;'Output annual'!$AD$2&amp;"*FangerPMV(Hourly)",'Eplus results'!$1:$1048576,ROW(),FALSE)</f>
        <v>-1.7501050717230999</v>
      </c>
      <c r="AD25" s="580">
        <f t="shared" si="0"/>
        <v>64.41487379257579</v>
      </c>
      <c r="AE25" s="580">
        <f t="shared" si="1"/>
        <v>1.0485640058530024E-3</v>
      </c>
      <c r="AF25" s="580">
        <f t="shared" si="2"/>
        <v>64.413825228569934</v>
      </c>
      <c r="AG25" s="580">
        <f t="shared" si="3"/>
        <v>0</v>
      </c>
      <c r="AH25" s="580">
        <f t="shared" si="4"/>
        <v>0</v>
      </c>
    </row>
    <row r="26" spans="1:34">
      <c r="B26" s="4" t="s">
        <v>578</v>
      </c>
      <c r="C26" s="31">
        <f>HLOOKUP(floor&amp;A26&amp;Int_zone&amp;":"&amp;B26,'Eplus results'!$1:$1048576,$C$3, FALSE)</f>
        <v>24.8006400232332</v>
      </c>
      <c r="D26" t="s">
        <v>239</v>
      </c>
      <c r="E26" s="30" t="s">
        <v>95</v>
      </c>
      <c r="F26" s="29">
        <f>C26*9/5+32</f>
        <v>76.641152041819765</v>
      </c>
      <c r="G26" t="s">
        <v>89</v>
      </c>
      <c r="AB26" s="580">
        <f>HLOOKUP("*"&amp;'Output annual'!$AC$2&amp;'Output annual'!$AD$2&amp;"*Zone People Number Of Occupants [](Hourly)",'Eplus results'!$1:$1048576,ROW(),FALSE)</f>
        <v>0</v>
      </c>
      <c r="AC26" s="580">
        <f>HLOOKUP("*"&amp;'Output annual'!$AC$2&amp;'Output annual'!$AD$2&amp;"*FangerPMV(Hourly)",'Eplus results'!$1:$1048576,ROW(),FALSE)</f>
        <v>0.39831550824531298</v>
      </c>
      <c r="AD26" s="580">
        <f t="shared" si="0"/>
        <v>8.3055444999203587</v>
      </c>
      <c r="AE26" s="580">
        <f t="shared" si="1"/>
        <v>7.6809452776698572</v>
      </c>
      <c r="AF26" s="580">
        <f t="shared" si="2"/>
        <v>0.62459922225050146</v>
      </c>
      <c r="AG26" s="580">
        <f t="shared" si="3"/>
        <v>0</v>
      </c>
      <c r="AH26" s="580">
        <f t="shared" si="4"/>
        <v>0</v>
      </c>
    </row>
    <row r="27" spans="1:34">
      <c r="B27" s="4" t="s">
        <v>580</v>
      </c>
      <c r="C27" s="31">
        <f>HLOOKUP(floor&amp;A27&amp;Int_zone&amp;":"&amp;B27,'Eplus results'!$1:$1048576,$C$3, FALSE)</f>
        <v>23.874192095875099</v>
      </c>
      <c r="D27" t="s">
        <v>239</v>
      </c>
      <c r="E27" s="30" t="s">
        <v>256</v>
      </c>
      <c r="F27" s="29">
        <f>C27*9/5+32</f>
        <v>74.973545772575179</v>
      </c>
      <c r="G27" t="s">
        <v>89</v>
      </c>
      <c r="AB27" s="580">
        <f>HLOOKUP("*"&amp;'Output annual'!$AC$2&amp;'Output annual'!$AD$2&amp;"*Zone People Number Of Occupants [](Hourly)",'Eplus results'!$1:$1048576,ROW(),FALSE)</f>
        <v>0</v>
      </c>
      <c r="AC27" s="580">
        <f>HLOOKUP("*"&amp;'Output annual'!$AC$2&amp;'Output annual'!$AD$2&amp;"*FangerPMV(Hourly)",'Eplus results'!$1:$1048576,ROW(),FALSE)</f>
        <v>0.43307013151059698</v>
      </c>
      <c r="AD27" s="580">
        <f t="shared" si="0"/>
        <v>8.9116067943820241</v>
      </c>
      <c r="AE27" s="580">
        <f t="shared" si="1"/>
        <v>8.3651333438811832</v>
      </c>
      <c r="AF27" s="580">
        <f t="shared" si="2"/>
        <v>0.54647345050084084</v>
      </c>
      <c r="AG27" s="580">
        <f t="shared" si="3"/>
        <v>0</v>
      </c>
      <c r="AH27" s="580">
        <f t="shared" si="4"/>
        <v>0</v>
      </c>
    </row>
    <row r="28" spans="1:34">
      <c r="A28" t="s">
        <v>92</v>
      </c>
      <c r="B28" s="4" t="s">
        <v>578</v>
      </c>
      <c r="C28" s="31">
        <f>HLOOKUP(floor&amp;A28&amp;Int_zone&amp;":"&amp;B28,'Eplus results'!$1:$1048576,$C$3, FALSE)</f>
        <v>18.218210403439201</v>
      </c>
      <c r="D28" t="s">
        <v>239</v>
      </c>
      <c r="E28" s="30" t="s">
        <v>94</v>
      </c>
      <c r="F28" s="29">
        <f>C28*9/5+32</f>
        <v>64.792778726190562</v>
      </c>
      <c r="G28" t="s">
        <v>89</v>
      </c>
      <c r="AB28" s="580">
        <f>HLOOKUP("*"&amp;'Output annual'!$AC$2&amp;'Output annual'!$AD$2&amp;"*Zone People Number Of Occupants [](Hourly)",'Eplus results'!$1:$1048576,ROW(),FALSE)</f>
        <v>0</v>
      </c>
      <c r="AC28" s="580">
        <f>HLOOKUP("*"&amp;'Output annual'!$AC$2&amp;'Output annual'!$AD$2&amp;"*FangerPMV(Hourly)",'Eplus results'!$1:$1048576,ROW(),FALSE)</f>
        <v>0.46273977392405802</v>
      </c>
      <c r="AD28" s="580">
        <f t="shared" si="0"/>
        <v>9.4700260066709205</v>
      </c>
      <c r="AE28" s="580">
        <f t="shared" si="1"/>
        <v>8.9832258203656465</v>
      </c>
      <c r="AF28" s="580">
        <f t="shared" si="2"/>
        <v>0.486800186305274</v>
      </c>
      <c r="AG28" s="580">
        <f t="shared" si="3"/>
        <v>0</v>
      </c>
      <c r="AH28" s="580">
        <f t="shared" si="4"/>
        <v>0</v>
      </c>
    </row>
    <row r="29" spans="1:34">
      <c r="C29" s="31"/>
      <c r="F29" s="29"/>
      <c r="AB29" s="580">
        <f>HLOOKUP("*"&amp;'Output annual'!$AC$2&amp;'Output annual'!$AD$2&amp;"*Zone People Number Of Occupants [](Hourly)",'Eplus results'!$1:$1048576,ROW(),FALSE)</f>
        <v>0</v>
      </c>
      <c r="AC29" s="580">
        <f>HLOOKUP("*"&amp;'Output annual'!$AC$2&amp;'Output annual'!$AD$2&amp;"*FangerPMV(Hourly)",'Eplus results'!$1:$1048576,ROW(),FALSE)</f>
        <v>0.48943708630090499</v>
      </c>
      <c r="AD29" s="580">
        <f t="shared" si="0"/>
        <v>10.004905124269911</v>
      </c>
      <c r="AE29" s="580">
        <f t="shared" si="1"/>
        <v>9.5667407124766086</v>
      </c>
      <c r="AF29" s="580">
        <f t="shared" si="2"/>
        <v>0.43816441179330212</v>
      </c>
      <c r="AG29" s="580">
        <f t="shared" si="3"/>
        <v>0</v>
      </c>
      <c r="AH29" s="580">
        <f t="shared" si="4"/>
        <v>0</v>
      </c>
    </row>
    <row r="30" spans="1:34">
      <c r="B30" t="s">
        <v>254</v>
      </c>
      <c r="C30" s="31">
        <f>HLOOKUP(floor&amp;Int_zone&amp;":UF Transition Height [m](Hourly)",'Eplus results'!$1:$1048576,$C$3, FALSE)</f>
        <v>1.7</v>
      </c>
      <c r="D30" t="s">
        <v>236</v>
      </c>
      <c r="E30" s="30" t="s">
        <v>257</v>
      </c>
      <c r="F30" s="29">
        <f>CONVERT(C30,D30,G30)</f>
        <v>66.929133858267718</v>
      </c>
      <c r="G30" t="s">
        <v>258</v>
      </c>
      <c r="AB30" s="580">
        <f>HLOOKUP("*"&amp;'Output annual'!$AC$2&amp;'Output annual'!$AD$2&amp;"*Zone People Number Of Occupants [](Hourly)",'Eplus results'!$1:$1048576,ROW(),FALSE)</f>
        <v>0</v>
      </c>
      <c r="AC30" s="580">
        <f>HLOOKUP("*"&amp;'Output annual'!$AC$2&amp;'Output annual'!$AD$2&amp;"*FangerPMV(Hourly)",'Eplus results'!$1:$1048576,ROW(),FALSE)</f>
        <v>0.51499239963931498</v>
      </c>
      <c r="AD30" s="580">
        <f t="shared" si="0"/>
        <v>10.545728234034684</v>
      </c>
      <c r="AE30" s="580">
        <f t="shared" si="1"/>
        <v>10.149981272243172</v>
      </c>
      <c r="AF30" s="580">
        <f t="shared" si="2"/>
        <v>0.39574696179151125</v>
      </c>
      <c r="AG30" s="580">
        <f t="shared" si="3"/>
        <v>0</v>
      </c>
      <c r="AH30" s="580">
        <f t="shared" si="4"/>
        <v>0</v>
      </c>
    </row>
    <row r="31" spans="1:34">
      <c r="AB31" s="580">
        <f>HLOOKUP("*"&amp;'Output annual'!$AC$2&amp;'Output annual'!$AD$2&amp;"*Zone People Number Of Occupants [](Hourly)",'Eplus results'!$1:$1048576,ROW(),FALSE)</f>
        <v>0</v>
      </c>
      <c r="AC31" s="580">
        <f>HLOOKUP("*"&amp;'Output annual'!$AC$2&amp;'Output annual'!$AD$2&amp;"*FangerPMV(Hourly)",'Eplus results'!$1:$1048576,ROW(),FALSE)</f>
        <v>0.54126073669549901</v>
      </c>
      <c r="AD31" s="580">
        <f t="shared" si="0"/>
        <v>11.131084903697001</v>
      </c>
      <c r="AE31" s="580">
        <f t="shared" si="1"/>
        <v>10.775044091322012</v>
      </c>
      <c r="AF31" s="580">
        <f t="shared" si="2"/>
        <v>0.35604081237498875</v>
      </c>
      <c r="AG31" s="580">
        <f t="shared" si="3"/>
        <v>0</v>
      </c>
      <c r="AH31" s="580">
        <f t="shared" si="4"/>
        <v>0</v>
      </c>
    </row>
    <row r="32" spans="1:34">
      <c r="B32" s="2" t="s">
        <v>310</v>
      </c>
      <c r="H32" t="s">
        <v>316</v>
      </c>
      <c r="AB32" s="580">
        <f>HLOOKUP("*"&amp;'Output annual'!$AC$2&amp;'Output annual'!$AD$2&amp;"*Zone People Number Of Occupants [](Hourly)",'Eplus results'!$1:$1048576,ROW(),FALSE)</f>
        <v>122.309210250839</v>
      </c>
      <c r="AC32" s="580">
        <f>HLOOKUP("*"&amp;'Output annual'!$AC$2&amp;'Output annual'!$AD$2&amp;"*FangerPMV(Hourly)",'Eplus results'!$1:$1048576,ROW(),FALSE)</f>
        <v>0.101028832126448</v>
      </c>
      <c r="AD32" s="580">
        <f t="shared" si="0"/>
        <v>5.2113827054606219</v>
      </c>
      <c r="AE32" s="580">
        <f t="shared" si="1"/>
        <v>3.4080238406309391</v>
      </c>
      <c r="AF32" s="580">
        <f t="shared" si="2"/>
        <v>1.8033588648296828</v>
      </c>
      <c r="AG32" s="580">
        <f t="shared" si="3"/>
        <v>416.83270446360137</v>
      </c>
      <c r="AH32" s="580">
        <f t="shared" si="4"/>
        <v>220.56739855616803</v>
      </c>
    </row>
    <row r="33" spans="1:34">
      <c r="B33" t="s">
        <v>311</v>
      </c>
      <c r="C33">
        <f>HLOOKUP(floor&amp;B33,'Eplus results'!$1:$1048576,$C$3, FALSE)</f>
        <v>20.548654158834601</v>
      </c>
      <c r="D33" t="s">
        <v>239</v>
      </c>
      <c r="E33" s="30" t="s">
        <v>317</v>
      </c>
      <c r="F33">
        <f t="shared" ref="F33:F38" si="7">C33*9/5+32</f>
        <v>68.987577485902278</v>
      </c>
      <c r="G33" t="s">
        <v>89</v>
      </c>
      <c r="H33" s="39">
        <f t="shared" ref="H33:H38" si="8">F33-$F$7</f>
        <v>8.9795696344406934</v>
      </c>
      <c r="AB33" s="580">
        <f>HLOOKUP("*"&amp;'Output annual'!$AC$2&amp;'Output annual'!$AD$2&amp;"*Zone People Number Of Occupants [](Hourly)",'Eplus results'!$1:$1048576,ROW(),FALSE)</f>
        <v>122.309210250839</v>
      </c>
      <c r="AC33" s="580">
        <f>HLOOKUP("*"&amp;'Output annual'!$AC$2&amp;'Output annual'!$AD$2&amp;"*FangerPMV(Hourly)",'Eplus results'!$1:$1048576,ROW(),FALSE)</f>
        <v>-0.29478263468840099</v>
      </c>
      <c r="AD33" s="580">
        <f t="shared" si="0"/>
        <v>6.8054827975211083</v>
      </c>
      <c r="AE33" s="580">
        <f t="shared" si="1"/>
        <v>0.91899779754141497</v>
      </c>
      <c r="AF33" s="580">
        <f t="shared" si="2"/>
        <v>5.8864849999796931</v>
      </c>
      <c r="AG33" s="580">
        <f t="shared" si="3"/>
        <v>112.40189483955089</v>
      </c>
      <c r="AH33" s="580">
        <f t="shared" si="4"/>
        <v>719.97133150092634</v>
      </c>
    </row>
    <row r="34" spans="1:34">
      <c r="B34" t="s">
        <v>312</v>
      </c>
      <c r="C34">
        <f>HLOOKUP(floor&amp;B34,'Eplus results'!$1:$1048576,$C$3, FALSE)</f>
        <v>20.0597996104927</v>
      </c>
      <c r="D34" t="s">
        <v>239</v>
      </c>
      <c r="E34" s="30" t="s">
        <v>318</v>
      </c>
      <c r="F34">
        <f t="shared" si="7"/>
        <v>68.107639298886852</v>
      </c>
      <c r="G34" t="s">
        <v>89</v>
      </c>
      <c r="H34" s="39">
        <f t="shared" si="8"/>
        <v>8.0996314474252671</v>
      </c>
      <c r="AB34" s="580">
        <f>HLOOKUP("*"&amp;'Output annual'!$AC$2&amp;'Output annual'!$AD$2&amp;"*Zone People Number Of Occupants [](Hourly)",'Eplus results'!$1:$1048576,ROW(),FALSE)</f>
        <v>122.309210250839</v>
      </c>
      <c r="AC34" s="580">
        <f>HLOOKUP("*"&amp;'Output annual'!$AC$2&amp;'Output annual'!$AD$2&amp;"*FangerPMV(Hourly)",'Eplus results'!$1:$1048576,ROW(),FALSE)</f>
        <v>-0.44782218471819502</v>
      </c>
      <c r="AD34" s="580">
        <f t="shared" si="0"/>
        <v>9.1845265172166677</v>
      </c>
      <c r="AE34" s="580">
        <f t="shared" si="1"/>
        <v>0.51603291034612342</v>
      </c>
      <c r="AF34" s="580">
        <f t="shared" si="2"/>
        <v>8.6684936068705447</v>
      </c>
      <c r="AG34" s="580">
        <f t="shared" si="3"/>
        <v>63.115577727876364</v>
      </c>
      <c r="AH34" s="580">
        <f t="shared" si="4"/>
        <v>1060.2366071207832</v>
      </c>
    </row>
    <row r="35" spans="1:34">
      <c r="B35" t="s">
        <v>313</v>
      </c>
      <c r="C35">
        <f>HLOOKUP(floor&amp;B35,'Eplus results'!$1:$1048576,$C$3, FALSE)</f>
        <v>20.3558194355412</v>
      </c>
      <c r="D35" t="s">
        <v>239</v>
      </c>
      <c r="E35" s="30" t="s">
        <v>319</v>
      </c>
      <c r="F35">
        <f t="shared" si="7"/>
        <v>68.640474983974158</v>
      </c>
      <c r="G35" t="s">
        <v>89</v>
      </c>
      <c r="H35" s="39">
        <f t="shared" si="8"/>
        <v>8.6324671325125735</v>
      </c>
      <c r="AB35" s="580">
        <f>HLOOKUP("*"&amp;'Output annual'!$AC$2&amp;'Output annual'!$AD$2&amp;"*Zone People Number Of Occupants [](Hourly)",'Eplus results'!$1:$1048576,ROW(),FALSE)</f>
        <v>122.309210250839</v>
      </c>
      <c r="AC35" s="580">
        <f>HLOOKUP("*"&amp;'Output annual'!$AC$2&amp;'Output annual'!$AD$2&amp;"*FangerPMV(Hourly)",'Eplus results'!$1:$1048576,ROW(),FALSE)</f>
        <v>-0.48173844975126501</v>
      </c>
      <c r="AD35" s="580">
        <f t="shared" si="0"/>
        <v>9.8475091658952181</v>
      </c>
      <c r="AE35" s="580">
        <f t="shared" si="1"/>
        <v>0.45172092860108792</v>
      </c>
      <c r="AF35" s="580">
        <f t="shared" si="2"/>
        <v>9.3957882372941306</v>
      </c>
      <c r="AG35" s="580">
        <f t="shared" si="3"/>
        <v>55.249630030974693</v>
      </c>
      <c r="AH35" s="580">
        <f t="shared" si="4"/>
        <v>1149.1914389875678</v>
      </c>
    </row>
    <row r="36" spans="1:34">
      <c r="B36" t="s">
        <v>314</v>
      </c>
      <c r="C36">
        <f>HLOOKUP(floor&amp;B36,'Eplus results'!$1:$1048576,$C$3, FALSE)</f>
        <v>20.5554068356291</v>
      </c>
      <c r="D36" t="s">
        <v>239</v>
      </c>
      <c r="E36" s="30" t="s">
        <v>320</v>
      </c>
      <c r="F36">
        <f t="shared" si="7"/>
        <v>68.99973230413238</v>
      </c>
      <c r="G36" t="s">
        <v>89</v>
      </c>
      <c r="H36" s="39">
        <f t="shared" si="8"/>
        <v>8.9917244526707947</v>
      </c>
      <c r="AB36" s="580">
        <f>HLOOKUP("*"&amp;'Output annual'!$AC$2&amp;'Output annual'!$AD$2&amp;"*Zone People Number Of Occupants [](Hourly)",'Eplus results'!$1:$1048576,ROW(),FALSE)</f>
        <v>122.309210250839</v>
      </c>
      <c r="AC36" s="580">
        <f>HLOOKUP("*"&amp;'Output annual'!$AC$2&amp;'Output annual'!$AD$2&amp;"*FangerPMV(Hourly)",'Eplus results'!$1:$1048576,ROW(),FALSE)</f>
        <v>-0.49107354837742201</v>
      </c>
      <c r="AD36" s="580">
        <f t="shared" si="0"/>
        <v>10.0386917405025</v>
      </c>
      <c r="AE36" s="580">
        <f t="shared" si="1"/>
        <v>0.43533032421212287</v>
      </c>
      <c r="AF36" s="580">
        <f t="shared" si="2"/>
        <v>9.6033614162903778</v>
      </c>
      <c r="AG36" s="580">
        <f t="shared" si="3"/>
        <v>53.244908152626444</v>
      </c>
      <c r="AH36" s="580">
        <f t="shared" si="4"/>
        <v>1174.5795505798549</v>
      </c>
    </row>
    <row r="37" spans="1:34">
      <c r="B37" t="s">
        <v>315</v>
      </c>
      <c r="C37">
        <f>HLOOKUP(floor&amp;B37,'Eplus results'!$1:$1048576,$C$3, FALSE)</f>
        <v>18.222753789174</v>
      </c>
      <c r="D37" t="s">
        <v>239</v>
      </c>
      <c r="E37" s="30" t="s">
        <v>321</v>
      </c>
      <c r="F37">
        <f t="shared" si="7"/>
        <v>64.800956820513193</v>
      </c>
      <c r="G37" t="s">
        <v>89</v>
      </c>
      <c r="H37" s="39">
        <f t="shared" si="8"/>
        <v>4.7929489690516078</v>
      </c>
      <c r="AB37" s="580">
        <f>HLOOKUP("*"&amp;'Output annual'!$AC$2&amp;'Output annual'!$AD$2&amp;"*Zone People Number Of Occupants [](Hourly)",'Eplus results'!$1:$1048576,ROW(),FALSE)</f>
        <v>122.309210250839</v>
      </c>
      <c r="AC37" s="580">
        <f>HLOOKUP("*"&amp;'Output annual'!$AC$2&amp;'Output annual'!$AD$2&amp;"*FangerPMV(Hourly)",'Eplus results'!$1:$1048576,ROW(),FALSE)</f>
        <v>-0.49839122898995297</v>
      </c>
      <c r="AD37" s="580">
        <f t="shared" si="0"/>
        <v>10.191188419269096</v>
      </c>
      <c r="AE37" s="580">
        <f t="shared" si="1"/>
        <v>0.42285786786831259</v>
      </c>
      <c r="AF37" s="580">
        <f t="shared" si="2"/>
        <v>9.7683305514007834</v>
      </c>
      <c r="AG37" s="580">
        <f t="shared" si="3"/>
        <v>51.71941186732694</v>
      </c>
      <c r="AH37" s="580">
        <f t="shared" si="4"/>
        <v>1194.7567952109725</v>
      </c>
    </row>
    <row r="38" spans="1:34">
      <c r="B38" t="s">
        <v>175</v>
      </c>
      <c r="C38">
        <f>(C33+C34+C35+C36+C37)/5</f>
        <v>19.948486765934319</v>
      </c>
      <c r="D38" t="s">
        <v>239</v>
      </c>
      <c r="E38" s="30" t="s">
        <v>175</v>
      </c>
      <c r="F38">
        <f t="shared" si="7"/>
        <v>67.907276178681769</v>
      </c>
      <c r="G38" t="s">
        <v>89</v>
      </c>
      <c r="H38" s="39">
        <f t="shared" si="8"/>
        <v>7.8992683272201845</v>
      </c>
      <c r="AB38" s="580">
        <f>HLOOKUP("*"&amp;'Output annual'!$AC$2&amp;'Output annual'!$AD$2&amp;"*Zone People Number Of Occupants [](Hourly)",'Eplus results'!$1:$1048576,ROW(),FALSE)</f>
        <v>122.309210250839</v>
      </c>
      <c r="AC38" s="580">
        <f>HLOOKUP("*"&amp;'Output annual'!$AC$2&amp;'Output annual'!$AD$2&amp;"*FangerPMV(Hourly)",'Eplus results'!$1:$1048576,ROW(),FALSE)</f>
        <v>-0.50423238456639896</v>
      </c>
      <c r="AD38" s="580">
        <f t="shared" si="0"/>
        <v>10.314575449745718</v>
      </c>
      <c r="AE38" s="580">
        <f t="shared" si="1"/>
        <v>0.41313384461635977</v>
      </c>
      <c r="AF38" s="580">
        <f t="shared" si="2"/>
        <v>9.9014416051293583</v>
      </c>
      <c r="AG38" s="580">
        <f t="shared" si="3"/>
        <v>50.530074262919797</v>
      </c>
      <c r="AH38" s="580">
        <f t="shared" si="4"/>
        <v>1211.0375030681714</v>
      </c>
    </row>
    <row r="39" spans="1:34">
      <c r="H39" s="39"/>
      <c r="AB39" s="580">
        <f>HLOOKUP("*"&amp;'Output annual'!$AC$2&amp;'Output annual'!$AD$2&amp;"*Zone People Number Of Occupants [](Hourly)",'Eplus results'!$1:$1048576,ROW(),FALSE)</f>
        <v>122.309210250839</v>
      </c>
      <c r="AC39" s="580">
        <f>HLOOKUP("*"&amp;'Output annual'!$AC$2&amp;'Output annual'!$AD$2&amp;"*FangerPMV(Hourly)",'Eplus results'!$1:$1048576,ROW(),FALSE)</f>
        <v>-0.51036189881078997</v>
      </c>
      <c r="AD39" s="580">
        <f t="shared" si="0"/>
        <v>10.445639498305283</v>
      </c>
      <c r="AE39" s="580">
        <f t="shared" si="1"/>
        <v>0.40314676629482737</v>
      </c>
      <c r="AF39" s="580">
        <f t="shared" si="2"/>
        <v>10.042492732010455</v>
      </c>
      <c r="AG39" s="580">
        <f t="shared" si="3"/>
        <v>49.308562600699894</v>
      </c>
      <c r="AH39" s="580">
        <f t="shared" si="4"/>
        <v>1228.2893550019894</v>
      </c>
    </row>
    <row r="40" spans="1:34">
      <c r="H40" s="39"/>
      <c r="AB40" s="580">
        <f>HLOOKUP("*"&amp;'Output annual'!$AC$2&amp;'Output annual'!$AD$2&amp;"*Zone People Number Of Occupants [](Hourly)",'Eplus results'!$1:$1048576,ROW(),FALSE)</f>
        <v>122.309210250839</v>
      </c>
      <c r="AC40" s="580">
        <f>HLOOKUP("*"&amp;'Output annual'!$AC$2&amp;'Output annual'!$AD$2&amp;"*FangerPMV(Hourly)",'Eplus results'!$1:$1048576,ROW(),FALSE)</f>
        <v>-0.51471690006399395</v>
      </c>
      <c r="AD40" s="580">
        <f t="shared" si="0"/>
        <v>10.539747335418312</v>
      </c>
      <c r="AE40" s="580">
        <f t="shared" si="1"/>
        <v>0.39618377463978244</v>
      </c>
      <c r="AF40" s="580">
        <f t="shared" si="2"/>
        <v>10.14356356077853</v>
      </c>
      <c r="AG40" s="580">
        <f t="shared" si="3"/>
        <v>48.456924590388169</v>
      </c>
      <c r="AH40" s="580">
        <f t="shared" si="4"/>
        <v>1240.6512482480102</v>
      </c>
    </row>
    <row r="41" spans="1:34">
      <c r="H41" s="39"/>
      <c r="AB41" s="580">
        <f>HLOOKUP("*"&amp;'Output annual'!$AC$2&amp;'Output annual'!$AD$2&amp;"*Zone People Number Of Occupants [](Hourly)",'Eplus results'!$1:$1048576,ROW(),FALSE)</f>
        <v>122.309210250839</v>
      </c>
      <c r="AC41" s="580">
        <f>HLOOKUP("*"&amp;'Output annual'!$AC$2&amp;'Output annual'!$AD$2&amp;"*FangerPMV(Hourly)",'Eplus results'!$1:$1048576,ROW(),FALSE)</f>
        <v>-0.51822838200250199</v>
      </c>
      <c r="AD41" s="580">
        <f t="shared" si="0"/>
        <v>10.616224888117898</v>
      </c>
      <c r="AE41" s="580">
        <f t="shared" si="1"/>
        <v>0.39064863715232262</v>
      </c>
      <c r="AF41" s="580">
        <f t="shared" si="2"/>
        <v>10.225576250965576</v>
      </c>
      <c r="AG41" s="580">
        <f t="shared" si="3"/>
        <v>47.779926295667146</v>
      </c>
      <c r="AH41" s="580">
        <f t="shared" si="4"/>
        <v>1250.6821556153345</v>
      </c>
    </row>
    <row r="42" spans="1:34">
      <c r="AB42" s="580">
        <f>HLOOKUP("*"&amp;'Output annual'!$AC$2&amp;'Output annual'!$AD$2&amp;"*Zone People Number Of Occupants [](Hourly)",'Eplus results'!$1:$1048576,ROW(),FALSE)</f>
        <v>122.309210250839</v>
      </c>
      <c r="AC42" s="580">
        <f>HLOOKUP("*"&amp;'Output annual'!$AC$2&amp;'Output annual'!$AD$2&amp;"*FangerPMV(Hourly)",'Eplus results'!$1:$1048576,ROW(),FALSE)</f>
        <v>-0.52113551675176994</v>
      </c>
      <c r="AD42" s="580">
        <f t="shared" si="0"/>
        <v>10.679943875865305</v>
      </c>
      <c r="AE42" s="580">
        <f t="shared" si="1"/>
        <v>0.38611903727920333</v>
      </c>
      <c r="AF42" s="580">
        <f t="shared" si="2"/>
        <v>10.293824838586103</v>
      </c>
      <c r="AG42" s="580">
        <f t="shared" si="3"/>
        <v>47.225914512433619</v>
      </c>
      <c r="AH42" s="580">
        <f t="shared" si="4"/>
        <v>1259.0295864679365</v>
      </c>
    </row>
    <row r="43" spans="1:34">
      <c r="AB43" s="580">
        <f>HLOOKUP("*"&amp;'Output annual'!$AC$2&amp;'Output annual'!$AD$2&amp;"*Zone People Number Of Occupants [](Hourly)",'Eplus results'!$1:$1048576,ROW(),FALSE)</f>
        <v>122.309210250839</v>
      </c>
      <c r="AC43" s="580">
        <f>HLOOKUP("*"&amp;'Output annual'!$AC$2&amp;'Output annual'!$AD$2&amp;"*FangerPMV(Hourly)",'Eplus results'!$1:$1048576,ROW(),FALSE)</f>
        <v>-0.52374351435770705</v>
      </c>
      <c r="AD43" s="580">
        <f t="shared" si="0"/>
        <v>10.737417565288695</v>
      </c>
      <c r="AE43" s="580">
        <f t="shared" si="1"/>
        <v>0.38209592669366182</v>
      </c>
      <c r="AF43" s="580">
        <f t="shared" si="2"/>
        <v>10.355321638595033</v>
      </c>
      <c r="AG43" s="580">
        <f t="shared" si="3"/>
        <v>46.73385103396425</v>
      </c>
      <c r="AH43" s="580">
        <f t="shared" si="4"/>
        <v>1266.5512115099825</v>
      </c>
    </row>
    <row r="44" spans="1:34">
      <c r="B44" t="s">
        <v>176</v>
      </c>
      <c r="AB44" s="580">
        <f>HLOOKUP("*"&amp;'Output annual'!$AC$2&amp;'Output annual'!$AD$2&amp;"*Zone People Number Of Occupants [](Hourly)",'Eplus results'!$1:$1048576,ROW(),FALSE)</f>
        <v>122.309210250839</v>
      </c>
      <c r="AC44" s="580">
        <f>HLOOKUP("*"&amp;'Output annual'!$AC$2&amp;'Output annual'!$AD$2&amp;"*FangerPMV(Hourly)",'Eplus results'!$1:$1048576,ROW(),FALSE)</f>
        <v>-0.52436256265823999</v>
      </c>
      <c r="AD44" s="580">
        <f t="shared" si="0"/>
        <v>10.751103060774057</v>
      </c>
      <c r="AE44" s="580">
        <f t="shared" si="1"/>
        <v>0.38114655583632129</v>
      </c>
      <c r="AF44" s="580">
        <f t="shared" si="2"/>
        <v>10.369956504937734</v>
      </c>
      <c r="AG44" s="580">
        <f t="shared" si="3"/>
        <v>46.61773423416777</v>
      </c>
      <c r="AH44" s="580">
        <f t="shared" si="4"/>
        <v>1268.3411904544848</v>
      </c>
    </row>
    <row r="45" spans="1:34">
      <c r="A45" t="s">
        <v>105</v>
      </c>
      <c r="B45" s="581" t="s">
        <v>1135</v>
      </c>
      <c r="C45" s="41">
        <f>HLOOKUP(floor&amp;perim_zone&amp;" "&amp;B45,'Eplus results'!$1:$1048576,$C$3, FALSE)</f>
        <v>1.1978781144653401</v>
      </c>
      <c r="D45" t="s">
        <v>107</v>
      </c>
      <c r="E45" s="30" t="s">
        <v>179</v>
      </c>
      <c r="F45" s="42">
        <f>C45</f>
        <v>1.1978781144653401</v>
      </c>
      <c r="G45" t="s">
        <v>107</v>
      </c>
      <c r="AB45" s="580">
        <f>HLOOKUP("*"&amp;'Output annual'!$AC$2&amp;'Output annual'!$AD$2&amp;"*Zone People Number Of Occupants [](Hourly)",'Eplus results'!$1:$1048576,ROW(),FALSE)</f>
        <v>122.309210250839</v>
      </c>
      <c r="AC45" s="580">
        <f>HLOOKUP("*"&amp;'Output annual'!$AC$2&amp;'Output annual'!$AD$2&amp;"*FangerPMV(Hourly)",'Eplus results'!$1:$1048576,ROW(),FALSE)</f>
        <v>-0.52570550352629197</v>
      </c>
      <c r="AD45" s="580">
        <f t="shared" si="0"/>
        <v>10.780848903128771</v>
      </c>
      <c r="AE45" s="580">
        <f t="shared" si="1"/>
        <v>0.37909434525388819</v>
      </c>
      <c r="AF45" s="580">
        <f t="shared" si="2"/>
        <v>10.401754557874883</v>
      </c>
      <c r="AG45" s="580">
        <f t="shared" si="3"/>
        <v>46.366729978561963</v>
      </c>
      <c r="AH45" s="580">
        <f t="shared" si="4"/>
        <v>1272.230385196742</v>
      </c>
    </row>
    <row r="46" spans="1:34">
      <c r="A46" t="s">
        <v>106</v>
      </c>
      <c r="B46" s="581" t="s">
        <v>1135</v>
      </c>
      <c r="C46" s="41">
        <f>HLOOKUP(floor&amp;Int_zone&amp;" "&amp;B46,'Eplus results'!$1:$1048576,$C$3, FALSE)</f>
        <v>2.3866272676119702</v>
      </c>
      <c r="D46" t="s">
        <v>107</v>
      </c>
      <c r="E46" s="30" t="s">
        <v>179</v>
      </c>
      <c r="F46" s="42">
        <f>C46</f>
        <v>2.3866272676119702</v>
      </c>
      <c r="G46" t="s">
        <v>107</v>
      </c>
      <c r="AB46" s="580">
        <f>HLOOKUP("*"&amp;'Output annual'!$AC$2&amp;'Output annual'!$AD$2&amp;"*Zone People Number Of Occupants [](Hourly)",'Eplus results'!$1:$1048576,ROW(),FALSE)</f>
        <v>122.309210250839</v>
      </c>
      <c r="AC46" s="580">
        <f>HLOOKUP("*"&amp;'Output annual'!$AC$2&amp;'Output annual'!$AD$2&amp;"*FangerPMV(Hourly)",'Eplus results'!$1:$1048576,ROW(),FALSE)</f>
        <v>-0.52953048323927299</v>
      </c>
      <c r="AD46" s="580">
        <f t="shared" si="0"/>
        <v>10.865999231864919</v>
      </c>
      <c r="AE46" s="580">
        <f t="shared" si="1"/>
        <v>0.3733038040159436</v>
      </c>
      <c r="AF46" s="580">
        <f t="shared" si="2"/>
        <v>10.492695427848975</v>
      </c>
      <c r="AG46" s="580">
        <f t="shared" si="3"/>
        <v>45.65849345282404</v>
      </c>
      <c r="AH46" s="580">
        <f t="shared" si="4"/>
        <v>1283.3532911827974</v>
      </c>
    </row>
    <row r="47" spans="1:34">
      <c r="C47" s="42"/>
      <c r="F47" s="42"/>
      <c r="AB47" s="580">
        <f>HLOOKUP("*"&amp;'Output annual'!$AC$2&amp;'Output annual'!$AD$2&amp;"*Zone People Number Of Occupants [](Hourly)",'Eplus results'!$1:$1048576,ROW(),FALSE)</f>
        <v>122.309210250839</v>
      </c>
      <c r="AC47" s="580">
        <f>HLOOKUP("*"&amp;'Output annual'!$AC$2&amp;'Output annual'!$AD$2&amp;"*FangerPMV(Hourly)",'Eplus results'!$1:$1048576,ROW(),FALSE)</f>
        <v>-0.53096020635580798</v>
      </c>
      <c r="AD47" s="580">
        <f t="shared" si="0"/>
        <v>10.897989857797853</v>
      </c>
      <c r="AE47" s="580">
        <f t="shared" si="1"/>
        <v>0.37115998750040818</v>
      </c>
      <c r="AF47" s="580">
        <f t="shared" si="2"/>
        <v>10.526829870297444</v>
      </c>
      <c r="AG47" s="580">
        <f t="shared" si="3"/>
        <v>45.396284947886201</v>
      </c>
      <c r="AH47" s="580">
        <f t="shared" si="4"/>
        <v>1287.5282478810223</v>
      </c>
    </row>
    <row r="48" spans="1:34">
      <c r="B48" t="s">
        <v>177</v>
      </c>
      <c r="C48" s="42"/>
      <c r="F48" s="42"/>
      <c r="AB48" s="580">
        <f>HLOOKUP("*"&amp;'Output annual'!$AC$2&amp;'Output annual'!$AD$2&amp;"*Zone People Number Of Occupants [](Hourly)",'Eplus results'!$1:$1048576,ROW(),FALSE)</f>
        <v>6.1154605125419401</v>
      </c>
      <c r="AC48" s="580">
        <f>HLOOKUP("*"&amp;'Output annual'!$AC$2&amp;'Output annual'!$AD$2&amp;"*FangerPMV(Hourly)",'Eplus results'!$1:$1048576,ROW(),FALSE)</f>
        <v>-3.30018662343873E-3</v>
      </c>
      <c r="AD48" s="580">
        <f t="shared" si="0"/>
        <v>5.000225454053151</v>
      </c>
      <c r="AE48" s="580">
        <f t="shared" si="1"/>
        <v>2.4741235216991617</v>
      </c>
      <c r="AF48" s="580">
        <f t="shared" si="2"/>
        <v>2.5261019323539893</v>
      </c>
      <c r="AG48" s="580">
        <f t="shared" si="3"/>
        <v>15.130404700102426</v>
      </c>
      <c r="AH48" s="580">
        <f t="shared" si="4"/>
        <v>15.448276617966712</v>
      </c>
    </row>
    <row r="49" spans="1:34">
      <c r="A49" t="s">
        <v>105</v>
      </c>
      <c r="B49" t="s">
        <v>178</v>
      </c>
      <c r="C49" s="41" t="e">
        <f>HLOOKUP(floor&amp;perim_zone&amp;" "&amp;B49,'Eplus results'!$1:$1048576,$C$3, FALSE)</f>
        <v>#N/A</v>
      </c>
      <c r="D49" t="s">
        <v>239</v>
      </c>
      <c r="E49" s="30" t="s">
        <v>179</v>
      </c>
      <c r="F49" s="42" t="e">
        <f>CONVERT(C49,D49,G49)</f>
        <v>#N/A</v>
      </c>
      <c r="G49" t="s">
        <v>89</v>
      </c>
      <c r="AB49" s="580">
        <f>HLOOKUP("*"&amp;'Output annual'!$AC$2&amp;'Output annual'!$AD$2&amp;"*Zone People Number Of Occupants [](Hourly)",'Eplus results'!$1:$1048576,ROW(),FALSE)</f>
        <v>6.1154605125419401</v>
      </c>
      <c r="AC49" s="580">
        <f>HLOOKUP("*"&amp;'Output annual'!$AC$2&amp;'Output annual'!$AD$2&amp;"*FangerPMV(Hourly)",'Eplus results'!$1:$1048576,ROW(),FALSE)</f>
        <v>0.18352378277829701</v>
      </c>
      <c r="AD49" s="580">
        <f t="shared" si="0"/>
        <v>5.698247893566446</v>
      </c>
      <c r="AE49" s="580">
        <f t="shared" si="1"/>
        <v>4.3343239323710643</v>
      </c>
      <c r="AF49" s="580">
        <f t="shared" si="2"/>
        <v>1.3639239611953817</v>
      </c>
      <c r="AG49" s="580">
        <f t="shared" si="3"/>
        <v>26.506386856980747</v>
      </c>
      <c r="AH49" s="580">
        <f t="shared" si="4"/>
        <v>8.3410231268001418</v>
      </c>
    </row>
    <row r="50" spans="1:34">
      <c r="A50" t="s">
        <v>106</v>
      </c>
      <c r="B50" t="s">
        <v>178</v>
      </c>
      <c r="C50" s="41" t="e">
        <f>HLOOKUP(floor&amp;Int_zone&amp;" "&amp;B50,'Eplus results'!$1:$1048576,$C$3, FALSE)</f>
        <v>#N/A</v>
      </c>
      <c r="D50" t="s">
        <v>239</v>
      </c>
      <c r="E50" s="30" t="s">
        <v>179</v>
      </c>
      <c r="F50" s="42" t="e">
        <f>CONVERT(C50,D50,G50)</f>
        <v>#N/A</v>
      </c>
      <c r="G50" t="s">
        <v>89</v>
      </c>
      <c r="AB50" s="580">
        <f>HLOOKUP("*"&amp;'Output annual'!$AC$2&amp;'Output annual'!$AD$2&amp;"*Zone People Number Of Occupants [](Hourly)",'Eplus results'!$1:$1048576,ROW(),FALSE)</f>
        <v>0</v>
      </c>
      <c r="AC50" s="580">
        <f>HLOOKUP("*"&amp;'Output annual'!$AC$2&amp;'Output annual'!$AD$2&amp;"*FangerPMV(Hourly)",'Eplus results'!$1:$1048576,ROW(),FALSE)</f>
        <v>0</v>
      </c>
      <c r="AD50" s="580">
        <f t="shared" si="0"/>
        <v>5</v>
      </c>
      <c r="AE50" s="580">
        <f t="shared" si="1"/>
        <v>2.5</v>
      </c>
      <c r="AF50" s="580">
        <f t="shared" si="2"/>
        <v>2.5</v>
      </c>
      <c r="AG50" s="580">
        <f t="shared" si="3"/>
        <v>0</v>
      </c>
      <c r="AH50" s="580">
        <f t="shared" si="4"/>
        <v>0</v>
      </c>
    </row>
    <row r="51" spans="1:34">
      <c r="AB51" s="580">
        <f>HLOOKUP("*"&amp;'Output annual'!$AC$2&amp;'Output annual'!$AD$2&amp;"*Zone People Number Of Occupants [](Hourly)",'Eplus results'!$1:$1048576,ROW(),FALSE)</f>
        <v>0</v>
      </c>
      <c r="AC51" s="580">
        <f>HLOOKUP("*"&amp;'Output annual'!$AC$2&amp;'Output annual'!$AD$2&amp;"*FangerPMV(Hourly)",'Eplus results'!$1:$1048576,ROW(),FALSE)</f>
        <v>0</v>
      </c>
      <c r="AD51" s="580">
        <f t="shared" si="0"/>
        <v>5</v>
      </c>
      <c r="AE51" s="580">
        <f t="shared" si="1"/>
        <v>2.5</v>
      </c>
      <c r="AF51" s="580">
        <f t="shared" si="2"/>
        <v>2.5</v>
      </c>
      <c r="AG51" s="580">
        <f t="shared" si="3"/>
        <v>0</v>
      </c>
      <c r="AH51" s="580">
        <f t="shared" si="4"/>
        <v>0</v>
      </c>
    </row>
    <row r="52" spans="1:34">
      <c r="AB52" s="580">
        <f>HLOOKUP("*"&amp;'Output annual'!$AC$2&amp;'Output annual'!$AD$2&amp;"*Zone People Number Of Occupants [](Hourly)",'Eplus results'!$1:$1048576,ROW(),FALSE)</f>
        <v>0</v>
      </c>
      <c r="AC52" s="580">
        <f>HLOOKUP("*"&amp;'Output annual'!$AC$2&amp;'Output annual'!$AD$2&amp;"*FangerPMV(Hourly)",'Eplus results'!$1:$1048576,ROW(),FALSE)</f>
        <v>0</v>
      </c>
      <c r="AD52" s="580">
        <f t="shared" si="0"/>
        <v>5</v>
      </c>
      <c r="AE52" s="580">
        <f t="shared" si="1"/>
        <v>2.5</v>
      </c>
      <c r="AF52" s="580">
        <f t="shared" si="2"/>
        <v>2.5</v>
      </c>
      <c r="AG52" s="580">
        <f t="shared" si="3"/>
        <v>0</v>
      </c>
      <c r="AH52" s="580">
        <f t="shared" si="4"/>
        <v>0</v>
      </c>
    </row>
    <row r="53" spans="1:34">
      <c r="E53"/>
      <c r="AB53" s="580">
        <f>HLOOKUP("*"&amp;'Output annual'!$AC$2&amp;'Output annual'!$AD$2&amp;"*Zone People Number Of Occupants [](Hourly)",'Eplus results'!$1:$1048576,ROW(),FALSE)</f>
        <v>0</v>
      </c>
      <c r="AC53" s="580">
        <f>HLOOKUP("*"&amp;'Output annual'!$AC$2&amp;'Output annual'!$AD$2&amp;"*FangerPMV(Hourly)",'Eplus results'!$1:$1048576,ROW(),FALSE)</f>
        <v>0</v>
      </c>
      <c r="AD53" s="580">
        <f t="shared" si="0"/>
        <v>5</v>
      </c>
      <c r="AE53" s="580">
        <f t="shared" si="1"/>
        <v>2.5</v>
      </c>
      <c r="AF53" s="580">
        <f t="shared" si="2"/>
        <v>2.5</v>
      </c>
      <c r="AG53" s="580">
        <f t="shared" si="3"/>
        <v>0</v>
      </c>
      <c r="AH53" s="580">
        <f t="shared" si="4"/>
        <v>0</v>
      </c>
    </row>
    <row r="54" spans="1:34">
      <c r="A54" s="44" t="s">
        <v>81</v>
      </c>
      <c r="C54">
        <v>8761</v>
      </c>
      <c r="E54"/>
      <c r="F54" s="44" t="s">
        <v>338</v>
      </c>
      <c r="G54" t="s">
        <v>337</v>
      </c>
      <c r="J54" s="44" t="s">
        <v>248</v>
      </c>
      <c r="K54" s="44" t="s">
        <v>339</v>
      </c>
      <c r="N54" t="s">
        <v>337</v>
      </c>
      <c r="AB54" s="580">
        <f>HLOOKUP("*"&amp;'Output annual'!$AC$2&amp;'Output annual'!$AD$2&amp;"*Zone People Number Of Occupants [](Hourly)",'Eplus results'!$1:$1048576,ROW(),FALSE)</f>
        <v>0</v>
      </c>
      <c r="AC54" s="580">
        <f>HLOOKUP("*"&amp;'Output annual'!$AC$2&amp;'Output annual'!$AD$2&amp;"*FangerPMV(Hourly)",'Eplus results'!$1:$1048576,ROW(),FALSE)</f>
        <v>0</v>
      </c>
      <c r="AD54" s="580">
        <f t="shared" si="0"/>
        <v>5</v>
      </c>
      <c r="AE54" s="580">
        <f t="shared" si="1"/>
        <v>2.5</v>
      </c>
      <c r="AF54" s="580">
        <f t="shared" si="2"/>
        <v>2.5</v>
      </c>
      <c r="AG54" s="580">
        <f t="shared" si="3"/>
        <v>0</v>
      </c>
      <c r="AH54" s="580">
        <f t="shared" si="4"/>
        <v>0</v>
      </c>
    </row>
    <row r="55" spans="1:34">
      <c r="B55" t="s">
        <v>174</v>
      </c>
      <c r="C55">
        <f>HLOOKUP(B55,'EPlus Meter Results'!$1:$1048576,$C$54, FALSE)</f>
        <v>0</v>
      </c>
      <c r="D55" t="s">
        <v>139</v>
      </c>
      <c r="E55"/>
      <c r="F55" t="s">
        <v>77</v>
      </c>
      <c r="G55">
        <f>3.41*C70/3600000/(Bldg_Length*Bldg_Width*3*10.76)</f>
        <v>0</v>
      </c>
      <c r="J55" t="s">
        <v>356</v>
      </c>
      <c r="K55" t="s">
        <v>77</v>
      </c>
      <c r="L55">
        <f>C55+C64</f>
        <v>0</v>
      </c>
      <c r="M55" t="s">
        <v>139</v>
      </c>
      <c r="N55">
        <f>3.41*L55/(Bldg_Length*Bldg_Width*3*10.76)/3600000</f>
        <v>0</v>
      </c>
      <c r="AB55" s="580">
        <f>HLOOKUP("*"&amp;'Output annual'!$AC$2&amp;'Output annual'!$AD$2&amp;"*Zone People Number Of Occupants [](Hourly)",'Eplus results'!$1:$1048576,ROW(),FALSE)</f>
        <v>0</v>
      </c>
      <c r="AC55" s="580">
        <f>HLOOKUP("*"&amp;'Output annual'!$AC$2&amp;'Output annual'!$AD$2&amp;"*FangerPMV(Hourly)",'Eplus results'!$1:$1048576,ROW(),FALSE)</f>
        <v>0</v>
      </c>
      <c r="AD55" s="580">
        <f t="shared" si="0"/>
        <v>5</v>
      </c>
      <c r="AE55" s="580">
        <f t="shared" si="1"/>
        <v>2.5</v>
      </c>
      <c r="AF55" s="580">
        <f t="shared" si="2"/>
        <v>2.5</v>
      </c>
      <c r="AG55" s="580">
        <f t="shared" si="3"/>
        <v>0</v>
      </c>
      <c r="AH55" s="580">
        <f t="shared" si="4"/>
        <v>0</v>
      </c>
    </row>
    <row r="56" spans="1:34">
      <c r="B56" t="s">
        <v>322</v>
      </c>
      <c r="C56">
        <f>HLOOKUP(B56,'EPlus Meter Results'!$1:$1048576,$C$54, FALSE)</f>
        <v>0</v>
      </c>
      <c r="D56" t="s">
        <v>139</v>
      </c>
      <c r="E56"/>
      <c r="F56" t="s">
        <v>78</v>
      </c>
      <c r="G56">
        <f>3.41*C71/3600000/(Bldg_Length*Bldg_Width*3*10.76)</f>
        <v>0</v>
      </c>
      <c r="J56" s="43"/>
      <c r="K56" t="s">
        <v>78</v>
      </c>
      <c r="L56">
        <f>C59+C62+C64</f>
        <v>0</v>
      </c>
      <c r="M56" t="s">
        <v>139</v>
      </c>
      <c r="N56">
        <f>3.41*L56/(Bldg_Length*Bldg_Width*3*10.76)/3600000</f>
        <v>0</v>
      </c>
      <c r="AB56" s="580">
        <f>HLOOKUP("*"&amp;'Output annual'!$AC$2&amp;'Output annual'!$AD$2&amp;"*Zone People Number Of Occupants [](Hourly)",'Eplus results'!$1:$1048576,ROW(),FALSE)</f>
        <v>0</v>
      </c>
      <c r="AC56" s="580">
        <f>HLOOKUP("*"&amp;'Output annual'!$AC$2&amp;'Output annual'!$AD$2&amp;"*FangerPMV(Hourly)",'Eplus results'!$1:$1048576,ROW(),FALSE)</f>
        <v>0</v>
      </c>
      <c r="AD56" s="580">
        <f t="shared" si="0"/>
        <v>5</v>
      </c>
      <c r="AE56" s="580">
        <f t="shared" si="1"/>
        <v>2.5</v>
      </c>
      <c r="AF56" s="580">
        <f t="shared" si="2"/>
        <v>2.5</v>
      </c>
      <c r="AG56" s="580">
        <f t="shared" si="3"/>
        <v>0</v>
      </c>
      <c r="AH56" s="580">
        <f t="shared" si="4"/>
        <v>0</v>
      </c>
    </row>
    <row r="57" spans="1:34">
      <c r="B57" t="s">
        <v>325</v>
      </c>
      <c r="C57">
        <f>HLOOKUP(B57,'EPlus Meter Results'!$1:$1048576,$C$54, FALSE)</f>
        <v>0</v>
      </c>
      <c r="D57" t="s">
        <v>139</v>
      </c>
      <c r="E57"/>
      <c r="F57" t="s">
        <v>79</v>
      </c>
      <c r="G57">
        <f>3.41*C72/3600000/(Bldg_Length*Bldg_Width*3*10.76)</f>
        <v>0</v>
      </c>
      <c r="J57" s="43"/>
      <c r="K57" t="s">
        <v>79</v>
      </c>
      <c r="L57">
        <f>C56</f>
        <v>0</v>
      </c>
      <c r="M57" t="s">
        <v>139</v>
      </c>
      <c r="N57">
        <f>3.41*L57/(Bldg_Length*Bldg_Width*3*10.76)/3600000</f>
        <v>0</v>
      </c>
      <c r="AB57" s="580">
        <f>HLOOKUP("*"&amp;'Output annual'!$AC$2&amp;'Output annual'!$AD$2&amp;"*Zone People Number Of Occupants [](Hourly)",'Eplus results'!$1:$1048576,ROW(),FALSE)</f>
        <v>0</v>
      </c>
      <c r="AC57" s="580">
        <f>HLOOKUP("*"&amp;'Output annual'!$AC$2&amp;'Output annual'!$AD$2&amp;"*FangerPMV(Hourly)",'Eplus results'!$1:$1048576,ROW(),FALSE)</f>
        <v>0</v>
      </c>
      <c r="AD57" s="580">
        <f t="shared" si="0"/>
        <v>5</v>
      </c>
      <c r="AE57" s="580">
        <f t="shared" si="1"/>
        <v>2.5</v>
      </c>
      <c r="AF57" s="580">
        <f t="shared" si="2"/>
        <v>2.5</v>
      </c>
      <c r="AG57" s="580">
        <f t="shared" si="3"/>
        <v>0</v>
      </c>
      <c r="AH57" s="580">
        <f t="shared" si="4"/>
        <v>0</v>
      </c>
    </row>
    <row r="58" spans="1:34">
      <c r="B58" t="s">
        <v>326</v>
      </c>
      <c r="C58">
        <f>HLOOKUP(B58,'EPlus Meter Results'!$1:$1048576,$C$54, FALSE)</f>
        <v>0</v>
      </c>
      <c r="D58" t="s">
        <v>139</v>
      </c>
      <c r="E58"/>
      <c r="F58" t="s">
        <v>80</v>
      </c>
      <c r="G58">
        <f>3.41*C73/3600000/(Bldg_Length*Bldg_Width*3*10.76)</f>
        <v>0</v>
      </c>
      <c r="J58" s="43"/>
      <c r="K58" t="s">
        <v>80</v>
      </c>
      <c r="L58">
        <f>C57</f>
        <v>0</v>
      </c>
      <c r="M58" t="s">
        <v>139</v>
      </c>
      <c r="N58">
        <f>3.41*L58/(Bldg_Length*Bldg_Width*3*10.76)/3600000</f>
        <v>0</v>
      </c>
      <c r="AB58" s="580">
        <f>HLOOKUP("*"&amp;'Output annual'!$AC$2&amp;'Output annual'!$AD$2&amp;"*Zone People Number Of Occupants [](Hourly)",'Eplus results'!$1:$1048576,ROW(),FALSE)</f>
        <v>0</v>
      </c>
      <c r="AC58" s="580">
        <f>HLOOKUP("*"&amp;'Output annual'!$AC$2&amp;'Output annual'!$AD$2&amp;"*FangerPMV(Hourly)",'Eplus results'!$1:$1048576,ROW(),FALSE)</f>
        <v>0</v>
      </c>
      <c r="AD58" s="580">
        <f t="shared" si="0"/>
        <v>5</v>
      </c>
      <c r="AE58" s="580">
        <f t="shared" si="1"/>
        <v>2.5</v>
      </c>
      <c r="AF58" s="580">
        <f t="shared" si="2"/>
        <v>2.5</v>
      </c>
      <c r="AG58" s="580">
        <f t="shared" si="3"/>
        <v>0</v>
      </c>
      <c r="AH58" s="580">
        <f t="shared" si="4"/>
        <v>0</v>
      </c>
    </row>
    <row r="59" spans="1:34">
      <c r="B59" t="s">
        <v>327</v>
      </c>
      <c r="C59">
        <f>HLOOKUP(B59,'EPlus Meter Results'!$1:$1048576,$C$54, FALSE)</f>
        <v>0</v>
      </c>
      <c r="D59" t="s">
        <v>139</v>
      </c>
      <c r="E59"/>
      <c r="G59" t="s">
        <v>337</v>
      </c>
      <c r="AB59" s="580">
        <f>HLOOKUP("*"&amp;'Output annual'!$AC$2&amp;'Output annual'!$AD$2&amp;"*Zone People Number Of Occupants [](Hourly)",'Eplus results'!$1:$1048576,ROW(),FALSE)</f>
        <v>0</v>
      </c>
      <c r="AC59" s="580">
        <f>HLOOKUP("*"&amp;'Output annual'!$AC$2&amp;'Output annual'!$AD$2&amp;"*FangerPMV(Hourly)",'Eplus results'!$1:$1048576,ROW(),FALSE)</f>
        <v>0</v>
      </c>
      <c r="AD59" s="580">
        <f t="shared" si="0"/>
        <v>5</v>
      </c>
      <c r="AE59" s="580">
        <f t="shared" si="1"/>
        <v>2.5</v>
      </c>
      <c r="AF59" s="580">
        <f t="shared" si="2"/>
        <v>2.5</v>
      </c>
      <c r="AG59" s="580">
        <f t="shared" si="3"/>
        <v>0</v>
      </c>
      <c r="AH59" s="580">
        <f t="shared" si="4"/>
        <v>0</v>
      </c>
    </row>
    <row r="60" spans="1:34">
      <c r="B60" t="s">
        <v>328</v>
      </c>
      <c r="C60">
        <f>HLOOKUP(B60,'EPlus Meter Results'!$1:$1048576,$C$54, FALSE)</f>
        <v>0</v>
      </c>
      <c r="D60" t="s">
        <v>139</v>
      </c>
      <c r="E60"/>
      <c r="F60" t="s">
        <v>352</v>
      </c>
      <c r="J60" t="s">
        <v>353</v>
      </c>
      <c r="K60" t="s">
        <v>352</v>
      </c>
      <c r="AB60" s="580">
        <f>HLOOKUP("*"&amp;'Output annual'!$AC$2&amp;'Output annual'!$AD$2&amp;"*Zone People Number Of Occupants [](Hourly)",'Eplus results'!$1:$1048576,ROW(),FALSE)</f>
        <v>0</v>
      </c>
      <c r="AC60" s="580">
        <f>HLOOKUP("*"&amp;'Output annual'!$AC$2&amp;'Output annual'!$AD$2&amp;"*FangerPMV(Hourly)",'Eplus results'!$1:$1048576,ROW(),FALSE)</f>
        <v>0</v>
      </c>
      <c r="AD60" s="580">
        <f t="shared" si="0"/>
        <v>5</v>
      </c>
      <c r="AE60" s="580">
        <f t="shared" si="1"/>
        <v>2.5</v>
      </c>
      <c r="AF60" s="580">
        <f t="shared" si="2"/>
        <v>2.5</v>
      </c>
      <c r="AG60" s="580">
        <f t="shared" si="3"/>
        <v>0</v>
      </c>
      <c r="AH60" s="580">
        <f t="shared" si="4"/>
        <v>0</v>
      </c>
    </row>
    <row r="61" spans="1:34">
      <c r="B61" t="s">
        <v>329</v>
      </c>
      <c r="C61">
        <f>HLOOKUP(B61,'EPlus Meter Results'!$1:$1048576,$C$54, FALSE)</f>
        <v>0</v>
      </c>
      <c r="D61" t="s">
        <v>139</v>
      </c>
      <c r="E61"/>
      <c r="F61" t="s">
        <v>348</v>
      </c>
      <c r="G61">
        <f>3.41*C76/3600000/(Bldg_Length*Bldg_Width*3*10.76)</f>
        <v>0</v>
      </c>
      <c r="J61" s="43"/>
      <c r="K61" t="s">
        <v>348</v>
      </c>
      <c r="L61">
        <f>0</f>
        <v>0</v>
      </c>
      <c r="M61" t="s">
        <v>139</v>
      </c>
      <c r="N61">
        <f>3.41*L61/(Bldg_Length*Bldg_Width*3*10.76)/3600000</f>
        <v>0</v>
      </c>
      <c r="AB61" s="580">
        <f>HLOOKUP("*"&amp;'Output annual'!$AC$2&amp;'Output annual'!$AD$2&amp;"*Zone People Number Of Occupants [](Hourly)",'Eplus results'!$1:$1048576,ROW(),FALSE)</f>
        <v>0</v>
      </c>
      <c r="AC61" s="580">
        <f>HLOOKUP("*"&amp;'Output annual'!$AC$2&amp;'Output annual'!$AD$2&amp;"*FangerPMV(Hourly)",'Eplus results'!$1:$1048576,ROW(),FALSE)</f>
        <v>0</v>
      </c>
      <c r="AD61" s="580">
        <f t="shared" si="0"/>
        <v>5</v>
      </c>
      <c r="AE61" s="580">
        <f t="shared" si="1"/>
        <v>2.5</v>
      </c>
      <c r="AF61" s="580">
        <f t="shared" si="2"/>
        <v>2.5</v>
      </c>
      <c r="AG61" s="580">
        <f t="shared" si="3"/>
        <v>0</v>
      </c>
      <c r="AH61" s="580">
        <f t="shared" si="4"/>
        <v>0</v>
      </c>
    </row>
    <row r="62" spans="1:34">
      <c r="B62" t="s">
        <v>331</v>
      </c>
      <c r="C62">
        <f>HLOOKUP(B62,'EPlus Meter Results'!$1:$1048576,$C$54, FALSE)</f>
        <v>0</v>
      </c>
      <c r="D62" t="s">
        <v>139</v>
      </c>
      <c r="F62" t="s">
        <v>349</v>
      </c>
      <c r="G62">
        <f>3.41*C77/3600000/(Bldg_Length*Bldg_Width*3*10.76)</f>
        <v>0</v>
      </c>
      <c r="J62" s="43"/>
      <c r="K62" t="s">
        <v>336</v>
      </c>
      <c r="L62">
        <f>C59</f>
        <v>0</v>
      </c>
      <c r="M62" t="s">
        <v>139</v>
      </c>
      <c r="N62">
        <f>3.41*L62/(Bldg_Length*Bldg_Width*3*10.76)/3600000</f>
        <v>0</v>
      </c>
      <c r="AB62" s="580">
        <f>HLOOKUP("*"&amp;'Output annual'!$AC$2&amp;'Output annual'!$AD$2&amp;"*Zone People Number Of Occupants [](Hourly)",'Eplus results'!$1:$1048576,ROW(),FALSE)</f>
        <v>0</v>
      </c>
      <c r="AC62" s="580">
        <f>HLOOKUP("*"&amp;'Output annual'!$AC$2&amp;'Output annual'!$AD$2&amp;"*FangerPMV(Hourly)",'Eplus results'!$1:$1048576,ROW(),FALSE)</f>
        <v>0</v>
      </c>
      <c r="AD62" s="580">
        <f t="shared" si="0"/>
        <v>5</v>
      </c>
      <c r="AE62" s="580">
        <f t="shared" si="1"/>
        <v>2.5</v>
      </c>
      <c r="AF62" s="580">
        <f t="shared" si="2"/>
        <v>2.5</v>
      </c>
      <c r="AG62" s="580">
        <f t="shared" si="3"/>
        <v>0</v>
      </c>
      <c r="AH62" s="580">
        <f t="shared" si="4"/>
        <v>0</v>
      </c>
    </row>
    <row r="63" spans="1:34">
      <c r="B63" t="s">
        <v>332</v>
      </c>
      <c r="C63">
        <f>HLOOKUP(B63,'EPlus Meter Results'!$1:$1048576,$C$54, FALSE)</f>
        <v>0</v>
      </c>
      <c r="D63" t="s">
        <v>139</v>
      </c>
      <c r="E63"/>
      <c r="F63" t="s">
        <v>350</v>
      </c>
      <c r="G63">
        <f>3.41*C78/3600000/(Bldg_Length*Bldg_Width*3*10.76)</f>
        <v>0</v>
      </c>
      <c r="J63" s="43"/>
      <c r="K63" t="s">
        <v>350</v>
      </c>
      <c r="L63">
        <f>C61+C66+C67+C76-C60</f>
        <v>0</v>
      </c>
      <c r="M63" t="s">
        <v>139</v>
      </c>
      <c r="N63">
        <f>3.41*L63/(Bldg_Length*Bldg_Width*3*10.76)/3600000</f>
        <v>0</v>
      </c>
      <c r="AB63" s="580">
        <f>HLOOKUP("*"&amp;'Output annual'!$AC$2&amp;'Output annual'!$AD$2&amp;"*Zone People Number Of Occupants [](Hourly)",'Eplus results'!$1:$1048576,ROW(),FALSE)</f>
        <v>0</v>
      </c>
      <c r="AC63" s="580">
        <f>HLOOKUP("*"&amp;'Output annual'!$AC$2&amp;'Output annual'!$AD$2&amp;"*FangerPMV(Hourly)",'Eplus results'!$1:$1048576,ROW(),FALSE)</f>
        <v>0</v>
      </c>
      <c r="AD63" s="580">
        <f t="shared" si="0"/>
        <v>5</v>
      </c>
      <c r="AE63" s="580">
        <f t="shared" si="1"/>
        <v>2.5</v>
      </c>
      <c r="AF63" s="580">
        <f t="shared" si="2"/>
        <v>2.5</v>
      </c>
      <c r="AG63" s="580">
        <f t="shared" si="3"/>
        <v>0</v>
      </c>
      <c r="AH63" s="580">
        <f t="shared" si="4"/>
        <v>0</v>
      </c>
    </row>
    <row r="64" spans="1:34">
      <c r="B64" t="s">
        <v>330</v>
      </c>
      <c r="C64">
        <f>HLOOKUP(B64,'EPlus Meter Results'!$1:$1048576,$C$54, FALSE)</f>
        <v>0</v>
      </c>
      <c r="D64" t="s">
        <v>139</v>
      </c>
      <c r="F64" t="s">
        <v>351</v>
      </c>
      <c r="G64">
        <f>3.41*C79/3600000/(Bldg_Length*Bldg_Width*3*10.76)</f>
        <v>0</v>
      </c>
      <c r="J64" s="43"/>
      <c r="K64" t="s">
        <v>351</v>
      </c>
      <c r="L64">
        <f>C64+C65</f>
        <v>0</v>
      </c>
      <c r="M64" t="s">
        <v>139</v>
      </c>
      <c r="N64">
        <f>3.41*L64/(Bldg_Length*Bldg_Width*3*10.76)/3600000</f>
        <v>0</v>
      </c>
      <c r="AB64" s="580">
        <f>HLOOKUP("*"&amp;'Output annual'!$AC$2&amp;'Output annual'!$AD$2&amp;"*Zone People Number Of Occupants [](Hourly)",'Eplus results'!$1:$1048576,ROW(),FALSE)</f>
        <v>0</v>
      </c>
      <c r="AC64" s="580">
        <f>HLOOKUP("*"&amp;'Output annual'!$AC$2&amp;'Output annual'!$AD$2&amp;"*FangerPMV(Hourly)",'Eplus results'!$1:$1048576,ROW(),FALSE)</f>
        <v>0</v>
      </c>
      <c r="AD64" s="580">
        <f t="shared" si="0"/>
        <v>5</v>
      </c>
      <c r="AE64" s="580">
        <f t="shared" si="1"/>
        <v>2.5</v>
      </c>
      <c r="AF64" s="580">
        <f t="shared" si="2"/>
        <v>2.5</v>
      </c>
      <c r="AG64" s="580">
        <f t="shared" si="3"/>
        <v>0</v>
      </c>
      <c r="AH64" s="580">
        <f t="shared" si="4"/>
        <v>0</v>
      </c>
    </row>
    <row r="65" spans="1:34">
      <c r="B65" t="s">
        <v>334</v>
      </c>
      <c r="C65">
        <f>HLOOKUP(B65&amp;"(Monthly)",'Eplus results'!$1:$1048576,745, FALSE)+HLOOKUP(B65&amp;"(Monthly)",'Eplus results'!$1:$1048576,1417, FALSE)+HLOOKUP(B65&amp;"(Monthly)",'Eplus results'!$1:$1048576,2161, FALSE)+HLOOKUP(B65&amp;"(Monthly)",'Eplus results'!$1:$1048576,2881, FALSE)+HLOOKUP(B65&amp;"(Monthly)",'Eplus results'!$1:$1048576,3625, FALSE)+HLOOKUP(B65&amp;"(Monthly)",'Eplus results'!$1:$1048576,4345, FALSE)+HLOOKUP(B65&amp;"(Monthly)",'Eplus results'!$1:$1048576,5089, FALSE)+HLOOKUP(B65&amp;"(Monthly)",'Eplus results'!$1:$1048576,5833, FALSE)+HLOOKUP(B65&amp;"(Monthly)",'Eplus results'!$1:$1048576,6553, FALSE)+HLOOKUP(B65&amp;"(Monthly)",'Eplus results'!$1:$1048576,7297, FALSE)+HLOOKUP(B65&amp;"(Monthly)",'Eplus results'!$1:$1048576,8017, FALSE)+HLOOKUP(B65&amp;"(Monthly)",'Eplus results'!$1:$1048576,8761, FALSE)</f>
        <v>0</v>
      </c>
      <c r="D65" t="s">
        <v>139</v>
      </c>
      <c r="F65" t="s">
        <v>78</v>
      </c>
      <c r="G65">
        <f>3.41*C80/3600000/(Bldg_Length*Bldg_Width*3*10.76)</f>
        <v>0</v>
      </c>
      <c r="J65" s="43"/>
      <c r="K65" t="s">
        <v>78</v>
      </c>
      <c r="L65">
        <f>L61+L62+L63+L64</f>
        <v>0</v>
      </c>
      <c r="M65" t="s">
        <v>139</v>
      </c>
      <c r="N65">
        <f>3.41*L65/(Bldg_Length*Bldg_Width*3*10.76)/3600000</f>
        <v>0</v>
      </c>
      <c r="AB65" s="580">
        <f>HLOOKUP("*"&amp;'Output annual'!$AC$2&amp;'Output annual'!$AD$2&amp;"*Zone People Number Of Occupants [](Hourly)",'Eplus results'!$1:$1048576,ROW(),FALSE)</f>
        <v>0</v>
      </c>
      <c r="AC65" s="580">
        <f>HLOOKUP("*"&amp;'Output annual'!$AC$2&amp;'Output annual'!$AD$2&amp;"*FangerPMV(Hourly)",'Eplus results'!$1:$1048576,ROW(),FALSE)</f>
        <v>0</v>
      </c>
      <c r="AD65" s="580">
        <f t="shared" si="0"/>
        <v>5</v>
      </c>
      <c r="AE65" s="580">
        <f t="shared" si="1"/>
        <v>2.5</v>
      </c>
      <c r="AF65" s="580">
        <f t="shared" si="2"/>
        <v>2.5</v>
      </c>
      <c r="AG65" s="580">
        <f t="shared" si="3"/>
        <v>0</v>
      </c>
      <c r="AH65" s="580">
        <f t="shared" si="4"/>
        <v>0</v>
      </c>
    </row>
    <row r="66" spans="1:34">
      <c r="B66" s="4" t="s">
        <v>695</v>
      </c>
      <c r="C66">
        <f>HLOOKUP(B66&amp;"(Monthly)",'Eplus results'!$1:$1048576,745, FALSE)+HLOOKUP(B66&amp;"(Monthly)",'Eplus results'!$1:$1048576,1417, FALSE)+HLOOKUP(B66&amp;"(Monthly)",'Eplus results'!$1:$1048576,2161, FALSE)+HLOOKUP(B66&amp;"(Monthly)",'Eplus results'!$1:$1048576,2881, FALSE)+HLOOKUP(B66&amp;"(Monthly)",'Eplus results'!$1:$1048576,3625, FALSE)+HLOOKUP(B66&amp;"(Monthly)",'Eplus results'!$1:$1048576,4345, FALSE)+HLOOKUP(B66&amp;"(Monthly)",'Eplus results'!$1:$1048576,5089, FALSE)+HLOOKUP(B66&amp;"(Monthly)",'Eplus results'!$1:$1048576,5833, FALSE)+HLOOKUP(B66&amp;"(Monthly)",'Eplus results'!$1:$1048576,6553, FALSE)+HLOOKUP(B66&amp;"(Monthly)",'Eplus results'!$1:$1048576,7297, FALSE)+HLOOKUP(B66&amp;"(Monthly)",'Eplus results'!$1:$1048576,8017, FALSE)+HLOOKUP(B66&amp;"(Monthly)",'Eplus results'!$1:$1048576,8761, FALSE)</f>
        <v>0</v>
      </c>
      <c r="D66" t="s">
        <v>139</v>
      </c>
      <c r="AB66" s="580">
        <f>HLOOKUP("*"&amp;'Output annual'!$AC$2&amp;'Output annual'!$AD$2&amp;"*Zone People Number Of Occupants [](Hourly)",'Eplus results'!$1:$1048576,ROW(),FALSE)</f>
        <v>0</v>
      </c>
      <c r="AC66" s="580">
        <f>HLOOKUP("*"&amp;'Output annual'!$AC$2&amp;'Output annual'!$AD$2&amp;"*FangerPMV(Hourly)",'Eplus results'!$1:$1048576,ROW(),FALSE)</f>
        <v>0</v>
      </c>
      <c r="AD66" s="580">
        <f t="shared" si="0"/>
        <v>5</v>
      </c>
      <c r="AE66" s="580">
        <f t="shared" si="1"/>
        <v>2.5</v>
      </c>
      <c r="AF66" s="580">
        <f t="shared" si="2"/>
        <v>2.5</v>
      </c>
      <c r="AG66" s="580">
        <f t="shared" si="3"/>
        <v>0</v>
      </c>
      <c r="AH66" s="580">
        <f t="shared" si="4"/>
        <v>0</v>
      </c>
    </row>
    <row r="67" spans="1:34">
      <c r="B67" t="s">
        <v>335</v>
      </c>
      <c r="C67">
        <f>HLOOKUP(B67&amp;"(Monthly)",'Eplus results'!$1:$1048576,745, FALSE)+HLOOKUP(B67&amp;"(Monthly)",'Eplus results'!$1:$1048576,1417, FALSE)+HLOOKUP(B67&amp;"(Monthly)",'Eplus results'!$1:$1048576,2161, FALSE)+HLOOKUP(B67&amp;"(Monthly)",'Eplus results'!$1:$1048576,2881, FALSE)+HLOOKUP(B67&amp;"(Monthly)",'Eplus results'!$1:$1048576,3625, FALSE)+HLOOKUP(B67&amp;"(Monthly)",'Eplus results'!$1:$1048576,4345, FALSE)+HLOOKUP(B67&amp;"(Monthly)",'Eplus results'!$1:$1048576,5089, FALSE)+HLOOKUP(B67&amp;"(Monthly)",'Eplus results'!$1:$1048576,5833, FALSE)+HLOOKUP(B67&amp;"(Monthly)",'Eplus results'!$1:$1048576,6553, FALSE)+HLOOKUP(B67&amp;"(Monthly)",'Eplus results'!$1:$1048576,7297, FALSE)+HLOOKUP(B67&amp;"(Monthly)",'Eplus results'!$1:$1048576,8017, FALSE)+HLOOKUP(B67&amp;"(Monthly)",'Eplus results'!$1:$1048576,8761, FALSE)</f>
        <v>0</v>
      </c>
      <c r="D67" t="s">
        <v>139</v>
      </c>
      <c r="AB67" s="580">
        <f>HLOOKUP("*"&amp;'Output annual'!$AC$2&amp;'Output annual'!$AD$2&amp;"*Zone People Number Of Occupants [](Hourly)",'Eplus results'!$1:$1048576,ROW(),FALSE)</f>
        <v>0</v>
      </c>
      <c r="AC67" s="580">
        <f>HLOOKUP("*"&amp;'Output annual'!$AC$2&amp;'Output annual'!$AD$2&amp;"*FangerPMV(Hourly)",'Eplus results'!$1:$1048576,ROW(),FALSE)</f>
        <v>0</v>
      </c>
      <c r="AD67" s="580">
        <f t="shared" ref="AD67:AD130" si="9">100-95*EXP(-0.03353*AC67^4-0.2179*AC67^2)</f>
        <v>5</v>
      </c>
      <c r="AE67" s="580">
        <f t="shared" ref="AE67:AE130" si="10">AD67*(1/(1+EXP(-6.3*$AC67)))</f>
        <v>2.5</v>
      </c>
      <c r="AF67" s="580">
        <f t="shared" ref="AF67:AF130" si="11">(AD67-AE67)</f>
        <v>2.5</v>
      </c>
      <c r="AG67" s="580">
        <f t="shared" ref="AG67:AG130" si="12">AE67*AB67</f>
        <v>0</v>
      </c>
      <c r="AH67" s="580">
        <f t="shared" ref="AH67:AH130" si="13">AF67*AB67</f>
        <v>0</v>
      </c>
    </row>
    <row r="68" spans="1:34">
      <c r="AB68" s="580">
        <f>HLOOKUP("*"&amp;'Output annual'!$AC$2&amp;'Output annual'!$AD$2&amp;"*Zone People Number Of Occupants [](Hourly)",'Eplus results'!$1:$1048576,ROW(),FALSE)</f>
        <v>0</v>
      </c>
      <c r="AC68" s="580">
        <f>HLOOKUP("*"&amp;'Output annual'!$AC$2&amp;'Output annual'!$AD$2&amp;"*FangerPMV(Hourly)",'Eplus results'!$1:$1048576,ROW(),FALSE)</f>
        <v>0</v>
      </c>
      <c r="AD68" s="580">
        <f t="shared" si="9"/>
        <v>5</v>
      </c>
      <c r="AE68" s="580">
        <f t="shared" si="10"/>
        <v>2.5</v>
      </c>
      <c r="AF68" s="580">
        <f t="shared" si="11"/>
        <v>2.5</v>
      </c>
      <c r="AG68" s="580">
        <f t="shared" si="12"/>
        <v>0</v>
      </c>
      <c r="AH68" s="580">
        <f t="shared" si="13"/>
        <v>0</v>
      </c>
    </row>
    <row r="69" spans="1:34">
      <c r="A69" s="44" t="s">
        <v>338</v>
      </c>
      <c r="B69" s="44" t="s">
        <v>339</v>
      </c>
      <c r="F69" s="44" t="s">
        <v>83</v>
      </c>
      <c r="L69" s="44" t="s">
        <v>248</v>
      </c>
      <c r="M69" s="44" t="s">
        <v>9</v>
      </c>
      <c r="R69" s="44" t="s">
        <v>248</v>
      </c>
      <c r="S69" s="44" t="s">
        <v>175</v>
      </c>
      <c r="AB69" s="580">
        <f>HLOOKUP("*"&amp;'Output annual'!$AC$2&amp;'Output annual'!$AD$2&amp;"*Zone People Number Of Occupants [](Hourly)",'Eplus results'!$1:$1048576,ROW(),FALSE)</f>
        <v>0</v>
      </c>
      <c r="AC69" s="580">
        <f>HLOOKUP("*"&amp;'Output annual'!$AC$2&amp;'Output annual'!$AD$2&amp;"*FangerPMV(Hourly)",'Eplus results'!$1:$1048576,ROW(),FALSE)</f>
        <v>0</v>
      </c>
      <c r="AD69" s="580">
        <f t="shared" si="9"/>
        <v>5</v>
      </c>
      <c r="AE69" s="580">
        <f t="shared" si="10"/>
        <v>2.5</v>
      </c>
      <c r="AF69" s="580">
        <f t="shared" si="11"/>
        <v>2.5</v>
      </c>
      <c r="AG69" s="580">
        <f t="shared" si="12"/>
        <v>0</v>
      </c>
      <c r="AH69" s="580">
        <f t="shared" si="13"/>
        <v>0</v>
      </c>
    </row>
    <row r="70" spans="1:34">
      <c r="A70" t="s">
        <v>356</v>
      </c>
      <c r="B70" t="s">
        <v>77</v>
      </c>
      <c r="C70">
        <f>C55+C64</f>
        <v>0</v>
      </c>
      <c r="D70" t="s">
        <v>139</v>
      </c>
      <c r="F70" t="s">
        <v>356</v>
      </c>
      <c r="G70" t="s">
        <v>77</v>
      </c>
      <c r="H70">
        <f>(Bldg_Length*Bldg_Width*3*10.76)*3600000/3.41*J70</f>
        <v>3806920821114.3696</v>
      </c>
      <c r="I70" t="s">
        <v>139</v>
      </c>
      <c r="J70">
        <f>J71+J72+J73</f>
        <v>60.1</v>
      </c>
      <c r="L70" t="s">
        <v>356</v>
      </c>
      <c r="M70" t="s">
        <v>77</v>
      </c>
      <c r="N70">
        <f>(Bldg_Length*Bldg_Width*3*10.76)*3600000/3.41*P70</f>
        <v>4351038123167.1553</v>
      </c>
      <c r="O70" t="s">
        <v>139</v>
      </c>
      <c r="P70">
        <f>P71+P72+P73</f>
        <v>68.69</v>
      </c>
      <c r="R70" t="s">
        <v>356</v>
      </c>
      <c r="S70" t="s">
        <v>77</v>
      </c>
      <c r="T70">
        <f>58201*3600000/3.41*V70</f>
        <v>4391393458064.5161</v>
      </c>
      <c r="U70" t="s">
        <v>139</v>
      </c>
      <c r="V70">
        <f>V71+V72+V73</f>
        <v>71.47</v>
      </c>
      <c r="AB70" s="580">
        <f>HLOOKUP("*"&amp;'Output annual'!$AC$2&amp;'Output annual'!$AD$2&amp;"*Zone People Number Of Occupants [](Hourly)",'Eplus results'!$1:$1048576,ROW(),FALSE)</f>
        <v>0</v>
      </c>
      <c r="AC70" s="580">
        <f>HLOOKUP("*"&amp;'Output annual'!$AC$2&amp;'Output annual'!$AD$2&amp;"*FangerPMV(Hourly)",'Eplus results'!$1:$1048576,ROW(),FALSE)</f>
        <v>0</v>
      </c>
      <c r="AD70" s="580">
        <f t="shared" si="9"/>
        <v>5</v>
      </c>
      <c r="AE70" s="580">
        <f t="shared" si="10"/>
        <v>2.5</v>
      </c>
      <c r="AF70" s="580">
        <f t="shared" si="11"/>
        <v>2.5</v>
      </c>
      <c r="AG70" s="580">
        <f t="shared" si="12"/>
        <v>0</v>
      </c>
      <c r="AH70" s="580">
        <f t="shared" si="13"/>
        <v>0</v>
      </c>
    </row>
    <row r="71" spans="1:34">
      <c r="A71" s="43"/>
      <c r="B71" t="s">
        <v>78</v>
      </c>
      <c r="C71">
        <f>C62+C59+C64</f>
        <v>0</v>
      </c>
      <c r="D71" t="s">
        <v>139</v>
      </c>
      <c r="E71" s="30" t="s">
        <v>353</v>
      </c>
      <c r="F71" s="43"/>
      <c r="G71" t="s">
        <v>78</v>
      </c>
      <c r="H71">
        <f>(Bldg_Length*Bldg_Width*3*10.76)*3600000/3.41*J71</f>
        <v>1811612903225.8066</v>
      </c>
      <c r="I71" t="s">
        <v>139</v>
      </c>
      <c r="J71">
        <f>J80</f>
        <v>28.6</v>
      </c>
      <c r="L71" s="43"/>
      <c r="M71" t="s">
        <v>78</v>
      </c>
      <c r="N71">
        <f>(Bldg_Length*Bldg_Width*3*10.76)*3600000/3.41*P71</f>
        <v>2642041055718.4746</v>
      </c>
      <c r="O71" t="s">
        <v>139</v>
      </c>
      <c r="P71">
        <f>P80</f>
        <v>41.709999999999994</v>
      </c>
      <c r="R71" s="43"/>
      <c r="S71" t="s">
        <v>78</v>
      </c>
      <c r="T71">
        <f>58201*3600000/3.41*V71</f>
        <v>2578799264516.1289</v>
      </c>
      <c r="U71" t="s">
        <v>139</v>
      </c>
      <c r="V71">
        <f>V80</f>
        <v>41.97</v>
      </c>
      <c r="AB71" s="580">
        <f>HLOOKUP("*"&amp;'Output annual'!$AC$2&amp;'Output annual'!$AD$2&amp;"*Zone People Number Of Occupants [](Hourly)",'Eplus results'!$1:$1048576,ROW(),FALSE)</f>
        <v>0</v>
      </c>
      <c r="AC71" s="580">
        <f>HLOOKUP("*"&amp;'Output annual'!$AC$2&amp;'Output annual'!$AD$2&amp;"*FangerPMV(Hourly)",'Eplus results'!$1:$1048576,ROW(),FALSE)</f>
        <v>0</v>
      </c>
      <c r="AD71" s="580">
        <f t="shared" si="9"/>
        <v>5</v>
      </c>
      <c r="AE71" s="580">
        <f t="shared" si="10"/>
        <v>2.5</v>
      </c>
      <c r="AF71" s="580">
        <f t="shared" si="11"/>
        <v>2.5</v>
      </c>
      <c r="AG71" s="580">
        <f t="shared" si="12"/>
        <v>0</v>
      </c>
      <c r="AH71" s="580">
        <f t="shared" si="13"/>
        <v>0</v>
      </c>
    </row>
    <row r="72" spans="1:34">
      <c r="A72" s="43"/>
      <c r="B72" t="s">
        <v>79</v>
      </c>
      <c r="C72">
        <f>C56</f>
        <v>0</v>
      </c>
      <c r="D72" t="s">
        <v>139</v>
      </c>
      <c r="E72" s="30" t="s">
        <v>354</v>
      </c>
      <c r="F72" s="43"/>
      <c r="G72" t="s">
        <v>79</v>
      </c>
      <c r="H72">
        <f>(Bldg_Length*Bldg_Width*3*10.76)*3600000/3.41*J72</f>
        <v>1178181818181.8184</v>
      </c>
      <c r="I72" t="s">
        <v>139</v>
      </c>
      <c r="J72">
        <v>18.600000000000001</v>
      </c>
      <c r="L72" s="43"/>
      <c r="M72" t="s">
        <v>79</v>
      </c>
      <c r="N72">
        <f>(Bldg_Length*Bldg_Width*3*10.76)*3600000/3.41*P72</f>
        <v>1026791788856.3051</v>
      </c>
      <c r="O72" t="s">
        <v>139</v>
      </c>
      <c r="P72">
        <v>16.21</v>
      </c>
      <c r="R72" s="43"/>
      <c r="S72" t="s">
        <v>79</v>
      </c>
      <c r="T72">
        <f>58201*3600000/3.41*V72</f>
        <v>934561277419.35486</v>
      </c>
      <c r="U72" t="s">
        <v>139</v>
      </c>
      <c r="V72">
        <v>15.21</v>
      </c>
      <c r="AB72" s="580">
        <f>HLOOKUP("*"&amp;'Output annual'!$AC$2&amp;'Output annual'!$AD$2&amp;"*Zone People Number Of Occupants [](Hourly)",'Eplus results'!$1:$1048576,ROW(),FALSE)</f>
        <v>0</v>
      </c>
      <c r="AC72" s="580">
        <f>HLOOKUP("*"&amp;'Output annual'!$AC$2&amp;'Output annual'!$AD$2&amp;"*FangerPMV(Hourly)",'Eplus results'!$1:$1048576,ROW(),FALSE)</f>
        <v>0</v>
      </c>
      <c r="AD72" s="580">
        <f t="shared" si="9"/>
        <v>5</v>
      </c>
      <c r="AE72" s="580">
        <f t="shared" si="10"/>
        <v>2.5</v>
      </c>
      <c r="AF72" s="580">
        <f t="shared" si="11"/>
        <v>2.5</v>
      </c>
      <c r="AG72" s="580">
        <f t="shared" si="12"/>
        <v>0</v>
      </c>
      <c r="AH72" s="580">
        <f t="shared" si="13"/>
        <v>0</v>
      </c>
    </row>
    <row r="73" spans="1:34">
      <c r="A73" s="43"/>
      <c r="B73" t="s">
        <v>80</v>
      </c>
      <c r="C73">
        <f>C57</f>
        <v>0</v>
      </c>
      <c r="D73" t="s">
        <v>139</v>
      </c>
      <c r="E73" s="30" t="s">
        <v>355</v>
      </c>
      <c r="F73" s="43"/>
      <c r="G73" t="s">
        <v>80</v>
      </c>
      <c r="H73">
        <f>(Bldg_Length*Bldg_Width*3*10.76)*3600000/3.41*J73</f>
        <v>817126099706.74487</v>
      </c>
      <c r="I73" t="s">
        <v>139</v>
      </c>
      <c r="J73">
        <v>12.9</v>
      </c>
      <c r="L73" s="43"/>
      <c r="M73" t="s">
        <v>80</v>
      </c>
      <c r="N73">
        <f>(Bldg_Length*Bldg_Width*3*10.76)*3600000/3.41*P73</f>
        <v>682205278592.37537</v>
      </c>
      <c r="O73" t="s">
        <v>139</v>
      </c>
      <c r="P73">
        <v>10.77</v>
      </c>
      <c r="R73" s="43"/>
      <c r="S73" t="s">
        <v>80</v>
      </c>
      <c r="T73">
        <f>58201*3600000/3.41*V73</f>
        <v>878032916129.03223</v>
      </c>
      <c r="U73" t="s">
        <v>139</v>
      </c>
      <c r="V73">
        <v>14.29</v>
      </c>
      <c r="AB73" s="580">
        <f>HLOOKUP("*"&amp;'Output annual'!$AC$2&amp;'Output annual'!$AD$2&amp;"*Zone People Number Of Occupants [](Hourly)",'Eplus results'!$1:$1048576,ROW(),FALSE)</f>
        <v>0</v>
      </c>
      <c r="AC73" s="580">
        <f>HLOOKUP("*"&amp;'Output annual'!$AC$2&amp;'Output annual'!$AD$2&amp;"*FangerPMV(Hourly)",'Eplus results'!$1:$1048576,ROW(),FALSE)</f>
        <v>0</v>
      </c>
      <c r="AD73" s="580">
        <f t="shared" si="9"/>
        <v>5</v>
      </c>
      <c r="AE73" s="580">
        <f t="shared" si="10"/>
        <v>2.5</v>
      </c>
      <c r="AF73" s="580">
        <f t="shared" si="11"/>
        <v>2.5</v>
      </c>
      <c r="AG73" s="580">
        <f t="shared" si="12"/>
        <v>0</v>
      </c>
      <c r="AH73" s="580">
        <f t="shared" si="13"/>
        <v>0</v>
      </c>
    </row>
    <row r="74" spans="1:34">
      <c r="AB74" s="580">
        <f>HLOOKUP("*"&amp;'Output annual'!$AC$2&amp;'Output annual'!$AD$2&amp;"*Zone People Number Of Occupants [](Hourly)",'Eplus results'!$1:$1048576,ROW(),FALSE)</f>
        <v>0</v>
      </c>
      <c r="AC74" s="580">
        <f>HLOOKUP("*"&amp;'Output annual'!$AC$2&amp;'Output annual'!$AD$2&amp;"*FangerPMV(Hourly)",'Eplus results'!$1:$1048576,ROW(),FALSE)</f>
        <v>0</v>
      </c>
      <c r="AD74" s="580">
        <f t="shared" si="9"/>
        <v>5</v>
      </c>
      <c r="AE74" s="580">
        <f t="shared" si="10"/>
        <v>2.5</v>
      </c>
      <c r="AF74" s="580">
        <f t="shared" si="11"/>
        <v>2.5</v>
      </c>
      <c r="AG74" s="580">
        <f t="shared" si="12"/>
        <v>0</v>
      </c>
      <c r="AH74" s="580">
        <f t="shared" si="13"/>
        <v>0</v>
      </c>
    </row>
    <row r="75" spans="1:34">
      <c r="A75" t="s">
        <v>353</v>
      </c>
      <c r="B75" t="s">
        <v>352</v>
      </c>
      <c r="F75" t="s">
        <v>353</v>
      </c>
      <c r="G75" t="s">
        <v>352</v>
      </c>
      <c r="L75" t="s">
        <v>353</v>
      </c>
      <c r="M75" t="s">
        <v>352</v>
      </c>
      <c r="R75" t="s">
        <v>353</v>
      </c>
      <c r="S75" t="s">
        <v>352</v>
      </c>
      <c r="AB75" s="580">
        <f>HLOOKUP("*"&amp;'Output annual'!$AC$2&amp;'Output annual'!$AD$2&amp;"*Zone People Number Of Occupants [](Hourly)",'Eplus results'!$1:$1048576,ROW(),FALSE)</f>
        <v>0</v>
      </c>
      <c r="AC75" s="580">
        <f>HLOOKUP("*"&amp;'Output annual'!$AC$2&amp;'Output annual'!$AD$2&amp;"*FangerPMV(Hourly)",'Eplus results'!$1:$1048576,ROW(),FALSE)</f>
        <v>0</v>
      </c>
      <c r="AD75" s="580">
        <f t="shared" si="9"/>
        <v>5</v>
      </c>
      <c r="AE75" s="580">
        <f t="shared" si="10"/>
        <v>2.5</v>
      </c>
      <c r="AF75" s="580">
        <f t="shared" si="11"/>
        <v>2.5</v>
      </c>
      <c r="AG75" s="580">
        <f t="shared" si="12"/>
        <v>0</v>
      </c>
      <c r="AH75" s="580">
        <f t="shared" si="13"/>
        <v>0</v>
      </c>
    </row>
    <row r="76" spans="1:34">
      <c r="A76" s="43"/>
      <c r="B76" t="s">
        <v>348</v>
      </c>
      <c r="C76">
        <f>C62-C61</f>
        <v>0</v>
      </c>
      <c r="D76" t="s">
        <v>139</v>
      </c>
      <c r="F76" s="43"/>
      <c r="G76" t="s">
        <v>348</v>
      </c>
      <c r="H76">
        <f>(Bldg_Length*Bldg_Width*3*10.76)*3600000/3.41*J76</f>
        <v>0</v>
      </c>
      <c r="I76" t="s">
        <v>139</v>
      </c>
      <c r="J76">
        <v>0</v>
      </c>
      <c r="L76" s="43"/>
      <c r="M76" t="s">
        <v>348</v>
      </c>
      <c r="N76">
        <f>(Bldg_Length*Bldg_Width*3*10.76)*3600000/3.41*P76</f>
        <v>0</v>
      </c>
      <c r="O76" t="s">
        <v>139</v>
      </c>
      <c r="P76">
        <v>0</v>
      </c>
      <c r="R76" s="43"/>
      <c r="S76" t="s">
        <v>348</v>
      </c>
      <c r="T76">
        <f>58201*3600000/3.41*V76</f>
        <v>0</v>
      </c>
      <c r="U76" t="s">
        <v>139</v>
      </c>
      <c r="V76">
        <v>0</v>
      </c>
      <c r="AB76" s="580">
        <f>HLOOKUP("*"&amp;'Output annual'!$AC$2&amp;'Output annual'!$AD$2&amp;"*Zone People Number Of Occupants [](Hourly)",'Eplus results'!$1:$1048576,ROW(),FALSE)</f>
        <v>0</v>
      </c>
      <c r="AC76" s="580">
        <f>HLOOKUP("*"&amp;'Output annual'!$AC$2&amp;'Output annual'!$AD$2&amp;"*FangerPMV(Hourly)",'Eplus results'!$1:$1048576,ROW(),FALSE)</f>
        <v>0</v>
      </c>
      <c r="AD76" s="580">
        <f t="shared" si="9"/>
        <v>5</v>
      </c>
      <c r="AE76" s="580">
        <f t="shared" si="10"/>
        <v>2.5</v>
      </c>
      <c r="AF76" s="580">
        <f t="shared" si="11"/>
        <v>2.5</v>
      </c>
      <c r="AG76" s="580">
        <f t="shared" si="12"/>
        <v>0</v>
      </c>
      <c r="AH76" s="580">
        <f t="shared" si="13"/>
        <v>0</v>
      </c>
    </row>
    <row r="77" spans="1:34">
      <c r="A77" s="43"/>
      <c r="B77" t="s">
        <v>349</v>
      </c>
      <c r="C77">
        <f>C59</f>
        <v>0</v>
      </c>
      <c r="D77" t="s">
        <v>139</v>
      </c>
      <c r="F77" s="43"/>
      <c r="G77" t="s">
        <v>245</v>
      </c>
      <c r="H77">
        <f>(Bldg_Length*Bldg_Width*3*10.76)*3600000/3.41*J77</f>
        <v>684105571847.50732</v>
      </c>
      <c r="I77" t="s">
        <v>139</v>
      </c>
      <c r="J77">
        <v>10.8</v>
      </c>
      <c r="L77" s="43"/>
      <c r="M77" t="s">
        <v>336</v>
      </c>
      <c r="N77">
        <f>(Bldg_Length*Bldg_Width*3*10.76)*3600000/3.41*P77</f>
        <v>688539589442.81519</v>
      </c>
      <c r="O77" t="s">
        <v>139</v>
      </c>
      <c r="P77">
        <v>10.87</v>
      </c>
      <c r="R77" s="43"/>
      <c r="S77" t="s">
        <v>336</v>
      </c>
      <c r="T77">
        <f>58201*3600000/3.41*V77</f>
        <v>640859574193.54834</v>
      </c>
      <c r="U77" t="s">
        <v>139</v>
      </c>
      <c r="V77">
        <v>10.43</v>
      </c>
      <c r="AB77" s="580">
        <f>HLOOKUP("*"&amp;'Output annual'!$AC$2&amp;'Output annual'!$AD$2&amp;"*Zone People Number Of Occupants [](Hourly)",'Eplus results'!$1:$1048576,ROW(),FALSE)</f>
        <v>0</v>
      </c>
      <c r="AC77" s="580">
        <f>HLOOKUP("*"&amp;'Output annual'!$AC$2&amp;'Output annual'!$AD$2&amp;"*FangerPMV(Hourly)",'Eplus results'!$1:$1048576,ROW(),FALSE)</f>
        <v>0</v>
      </c>
      <c r="AD77" s="580">
        <f t="shared" si="9"/>
        <v>5</v>
      </c>
      <c r="AE77" s="580">
        <f t="shared" si="10"/>
        <v>2.5</v>
      </c>
      <c r="AF77" s="580">
        <f t="shared" si="11"/>
        <v>2.5</v>
      </c>
      <c r="AG77" s="580">
        <f t="shared" si="12"/>
        <v>0</v>
      </c>
      <c r="AH77" s="580">
        <f t="shared" si="13"/>
        <v>0</v>
      </c>
    </row>
    <row r="78" spans="1:34">
      <c r="A78" s="43"/>
      <c r="B78" t="s">
        <v>350</v>
      </c>
      <c r="C78">
        <f>C61</f>
        <v>0</v>
      </c>
      <c r="D78" t="s">
        <v>139</v>
      </c>
      <c r="F78" s="43"/>
      <c r="G78" t="s">
        <v>350</v>
      </c>
      <c r="H78">
        <f>(Bldg_Length*Bldg_Width*3*10.76)*3600000/3.41*J78</f>
        <v>658768328445.7478</v>
      </c>
      <c r="I78" t="s">
        <v>139</v>
      </c>
      <c r="J78">
        <v>10.4</v>
      </c>
      <c r="L78" s="43"/>
      <c r="M78" t="s">
        <v>350</v>
      </c>
      <c r="N78">
        <f>(Bldg_Length*Bldg_Width*3*10.76)*3600000/3.41*P78</f>
        <v>725912023460.41064</v>
      </c>
      <c r="O78" t="s">
        <v>139</v>
      </c>
      <c r="P78">
        <v>11.46</v>
      </c>
      <c r="R78" s="43"/>
      <c r="S78" t="s">
        <v>350</v>
      </c>
      <c r="T78">
        <f>58201*3600000/3.41*V78</f>
        <v>778493845161.29028</v>
      </c>
      <c r="U78" t="s">
        <v>139</v>
      </c>
      <c r="V78">
        <v>12.67</v>
      </c>
      <c r="AB78" s="580">
        <f>HLOOKUP("*"&amp;'Output annual'!$AC$2&amp;'Output annual'!$AD$2&amp;"*Zone People Number Of Occupants [](Hourly)",'Eplus results'!$1:$1048576,ROW(),FALSE)</f>
        <v>0</v>
      </c>
      <c r="AC78" s="580">
        <f>HLOOKUP("*"&amp;'Output annual'!$AC$2&amp;'Output annual'!$AD$2&amp;"*FangerPMV(Hourly)",'Eplus results'!$1:$1048576,ROW(),FALSE)</f>
        <v>0</v>
      </c>
      <c r="AD78" s="580">
        <f t="shared" si="9"/>
        <v>5</v>
      </c>
      <c r="AE78" s="580">
        <f t="shared" si="10"/>
        <v>2.5</v>
      </c>
      <c r="AF78" s="580">
        <f t="shared" si="11"/>
        <v>2.5</v>
      </c>
      <c r="AG78" s="580">
        <f t="shared" si="12"/>
        <v>0</v>
      </c>
      <c r="AH78" s="580">
        <f t="shared" si="13"/>
        <v>0</v>
      </c>
    </row>
    <row r="79" spans="1:34">
      <c r="A79" s="43"/>
      <c r="B79" t="s">
        <v>351</v>
      </c>
      <c r="C79">
        <f>C64</f>
        <v>0</v>
      </c>
      <c r="D79" t="s">
        <v>139</v>
      </c>
      <c r="F79" s="43"/>
      <c r="G79" t="s">
        <v>351</v>
      </c>
      <c r="H79">
        <f>(Bldg_Length*Bldg_Width*3*10.76)*3600000/3.41*J79</f>
        <v>468739002932.55133</v>
      </c>
      <c r="I79" t="s">
        <v>139</v>
      </c>
      <c r="J79">
        <v>7.4</v>
      </c>
      <c r="L79" s="43"/>
      <c r="M79" t="s">
        <v>351</v>
      </c>
      <c r="N79">
        <f>(Bldg_Length*Bldg_Width*3*10.76)*3600000/3.41*P79</f>
        <v>1227589442815.2493</v>
      </c>
      <c r="O79" t="s">
        <v>139</v>
      </c>
      <c r="P79">
        <v>19.38</v>
      </c>
      <c r="R79" s="43"/>
      <c r="S79" t="s">
        <v>351</v>
      </c>
      <c r="T79">
        <f>58201*3600000/3.41*V79</f>
        <v>1159445845161.2903</v>
      </c>
      <c r="U79" t="s">
        <v>139</v>
      </c>
      <c r="V79">
        <v>18.87</v>
      </c>
      <c r="AB79" s="580">
        <f>HLOOKUP("*"&amp;'Output annual'!$AC$2&amp;'Output annual'!$AD$2&amp;"*Zone People Number Of Occupants [](Hourly)",'Eplus results'!$1:$1048576,ROW(),FALSE)</f>
        <v>0</v>
      </c>
      <c r="AC79" s="580">
        <f>HLOOKUP("*"&amp;'Output annual'!$AC$2&amp;'Output annual'!$AD$2&amp;"*FangerPMV(Hourly)",'Eplus results'!$1:$1048576,ROW(),FALSE)</f>
        <v>0</v>
      </c>
      <c r="AD79" s="580">
        <f t="shared" si="9"/>
        <v>5</v>
      </c>
      <c r="AE79" s="580">
        <f t="shared" si="10"/>
        <v>2.5</v>
      </c>
      <c r="AF79" s="580">
        <f t="shared" si="11"/>
        <v>2.5</v>
      </c>
      <c r="AG79" s="580">
        <f t="shared" si="12"/>
        <v>0</v>
      </c>
      <c r="AH79" s="580">
        <f t="shared" si="13"/>
        <v>0</v>
      </c>
    </row>
    <row r="80" spans="1:34">
      <c r="A80" s="43"/>
      <c r="B80" t="s">
        <v>78</v>
      </c>
      <c r="C80">
        <f>C76+C77+C78+C79</f>
        <v>0</v>
      </c>
      <c r="D80" t="s">
        <v>139</v>
      </c>
      <c r="F80" s="43"/>
      <c r="G80" t="s">
        <v>78</v>
      </c>
      <c r="H80">
        <f>(Bldg_Length*Bldg_Width*3*10.76)*3600000/3.41*J80</f>
        <v>1811612903225.8066</v>
      </c>
      <c r="I80" t="s">
        <v>139</v>
      </c>
      <c r="J80">
        <f>SUM(J76:J79)</f>
        <v>28.6</v>
      </c>
      <c r="L80" s="43"/>
      <c r="M80" t="s">
        <v>78</v>
      </c>
      <c r="N80">
        <f>(Bldg_Length*Bldg_Width*3*10.76)*3600000/3.41*P80</f>
        <v>2642041055718.4746</v>
      </c>
      <c r="O80" t="s">
        <v>139</v>
      </c>
      <c r="P80">
        <f>SUM(P76:P79)</f>
        <v>41.709999999999994</v>
      </c>
      <c r="R80" s="43"/>
      <c r="S80" t="s">
        <v>78</v>
      </c>
      <c r="T80">
        <f>58201*3600000/3.41*V80</f>
        <v>2578799264516.1289</v>
      </c>
      <c r="U80" t="s">
        <v>139</v>
      </c>
      <c r="V80">
        <f>SUM(V76:V79)</f>
        <v>41.97</v>
      </c>
      <c r="AB80" s="580">
        <f>HLOOKUP("*"&amp;'Output annual'!$AC$2&amp;'Output annual'!$AD$2&amp;"*Zone People Number Of Occupants [](Hourly)",'Eplus results'!$1:$1048576,ROW(),FALSE)</f>
        <v>0</v>
      </c>
      <c r="AC80" s="580">
        <f>HLOOKUP("*"&amp;'Output annual'!$AC$2&amp;'Output annual'!$AD$2&amp;"*FangerPMV(Hourly)",'Eplus results'!$1:$1048576,ROW(),FALSE)</f>
        <v>0</v>
      </c>
      <c r="AD80" s="580">
        <f t="shared" si="9"/>
        <v>5</v>
      </c>
      <c r="AE80" s="580">
        <f t="shared" si="10"/>
        <v>2.5</v>
      </c>
      <c r="AF80" s="580">
        <f t="shared" si="11"/>
        <v>2.5</v>
      </c>
      <c r="AG80" s="580">
        <f t="shared" si="12"/>
        <v>0</v>
      </c>
      <c r="AH80" s="580">
        <f t="shared" si="13"/>
        <v>0</v>
      </c>
    </row>
    <row r="81" spans="1:34">
      <c r="AB81" s="580">
        <f>HLOOKUP("*"&amp;'Output annual'!$AC$2&amp;'Output annual'!$AD$2&amp;"*Zone People Number Of Occupants [](Hourly)",'Eplus results'!$1:$1048576,ROW(),FALSE)</f>
        <v>0</v>
      </c>
      <c r="AC81" s="580">
        <f>HLOOKUP("*"&amp;'Output annual'!$AC$2&amp;'Output annual'!$AD$2&amp;"*FangerPMV(Hourly)",'Eplus results'!$1:$1048576,ROW(),FALSE)</f>
        <v>0</v>
      </c>
      <c r="AD81" s="580">
        <f t="shared" si="9"/>
        <v>5</v>
      </c>
      <c r="AE81" s="580">
        <f t="shared" si="10"/>
        <v>2.5</v>
      </c>
      <c r="AF81" s="580">
        <f t="shared" si="11"/>
        <v>2.5</v>
      </c>
      <c r="AG81" s="580">
        <f t="shared" si="12"/>
        <v>0</v>
      </c>
      <c r="AH81" s="580">
        <f t="shared" si="13"/>
        <v>0</v>
      </c>
    </row>
    <row r="82" spans="1:34">
      <c r="A82" s="44" t="s">
        <v>82</v>
      </c>
      <c r="C82">
        <v>1</v>
      </c>
      <c r="D82">
        <v>2</v>
      </c>
      <c r="E82" s="30">
        <v>3</v>
      </c>
      <c r="F82">
        <v>4</v>
      </c>
      <c r="G82">
        <v>5</v>
      </c>
      <c r="H82">
        <v>6</v>
      </c>
      <c r="I82">
        <v>7</v>
      </c>
      <c r="J82">
        <v>8</v>
      </c>
      <c r="K82">
        <v>9</v>
      </c>
      <c r="L82">
        <v>10</v>
      </c>
      <c r="M82">
        <v>11</v>
      </c>
      <c r="N82">
        <v>12</v>
      </c>
      <c r="AB82" s="580">
        <f>HLOOKUP("*"&amp;'Output annual'!$AC$2&amp;'Output annual'!$AD$2&amp;"*Zone People Number Of Occupants [](Hourly)",'Eplus results'!$1:$1048576,ROW(),FALSE)</f>
        <v>0</v>
      </c>
      <c r="AC82" s="580">
        <f>HLOOKUP("*"&amp;'Output annual'!$AC$2&amp;'Output annual'!$AD$2&amp;"*FangerPMV(Hourly)",'Eplus results'!$1:$1048576,ROW(),FALSE)</f>
        <v>0</v>
      </c>
      <c r="AD82" s="580">
        <f t="shared" si="9"/>
        <v>5</v>
      </c>
      <c r="AE82" s="580">
        <f t="shared" si="10"/>
        <v>2.5</v>
      </c>
      <c r="AF82" s="580">
        <f t="shared" si="11"/>
        <v>2.5</v>
      </c>
      <c r="AG82" s="580">
        <f t="shared" si="12"/>
        <v>0</v>
      </c>
      <c r="AH82" s="580">
        <f t="shared" si="13"/>
        <v>0</v>
      </c>
    </row>
    <row r="83" spans="1:34">
      <c r="A83" s="44" t="s">
        <v>82</v>
      </c>
      <c r="C83">
        <v>745</v>
      </c>
      <c r="D83">
        <v>1417</v>
      </c>
      <c r="E83" s="30">
        <v>2161</v>
      </c>
      <c r="F83">
        <v>2881</v>
      </c>
      <c r="G83">
        <v>3625</v>
      </c>
      <c r="H83">
        <v>4345</v>
      </c>
      <c r="I83">
        <v>5089</v>
      </c>
      <c r="J83">
        <v>5833</v>
      </c>
      <c r="K83">
        <v>6553</v>
      </c>
      <c r="L83">
        <v>7297</v>
      </c>
      <c r="M83">
        <v>8017</v>
      </c>
      <c r="N83">
        <v>8761</v>
      </c>
      <c r="AB83" s="580">
        <f>HLOOKUP("*"&amp;'Output annual'!$AC$2&amp;'Output annual'!$AD$2&amp;"*Zone People Number Of Occupants [](Hourly)",'Eplus results'!$1:$1048576,ROW(),FALSE)</f>
        <v>0</v>
      </c>
      <c r="AC83" s="580">
        <f>HLOOKUP("*"&amp;'Output annual'!$AC$2&amp;'Output annual'!$AD$2&amp;"*FangerPMV(Hourly)",'Eplus results'!$1:$1048576,ROW(),FALSE)</f>
        <v>0</v>
      </c>
      <c r="AD83" s="580">
        <f t="shared" si="9"/>
        <v>5</v>
      </c>
      <c r="AE83" s="580">
        <f t="shared" si="10"/>
        <v>2.5</v>
      </c>
      <c r="AF83" s="580">
        <f t="shared" si="11"/>
        <v>2.5</v>
      </c>
      <c r="AG83" s="580">
        <f t="shared" si="12"/>
        <v>0</v>
      </c>
      <c r="AH83" s="580">
        <f t="shared" si="13"/>
        <v>0</v>
      </c>
    </row>
    <row r="84" spans="1:34">
      <c r="B84" t="s">
        <v>324</v>
      </c>
      <c r="C84">
        <f>HLOOKUP($B$84,'EPlus Meter Results'!$1:$1048576,C83, FALSE)</f>
        <v>0</v>
      </c>
      <c r="D84">
        <f>HLOOKUP($B$84,'EPlus Meter Results'!$1:$1048576,D83, FALSE)</f>
        <v>0</v>
      </c>
      <c r="E84">
        <f>HLOOKUP($B$84,'EPlus Meter Results'!$1:$1048576,E83, FALSE)</f>
        <v>0</v>
      </c>
      <c r="F84">
        <f>HLOOKUP($B$84,'EPlus Meter Results'!$1:$1048576,F83, FALSE)</f>
        <v>0</v>
      </c>
      <c r="G84">
        <f>HLOOKUP($B$84,'EPlus Meter Results'!$1:$1048576,G83, FALSE)</f>
        <v>0</v>
      </c>
      <c r="H84">
        <f>HLOOKUP($B$84,'EPlus Meter Results'!$1:$1048576,H83, FALSE)</f>
        <v>0</v>
      </c>
      <c r="I84">
        <f>HLOOKUP($B$84,'EPlus Meter Results'!$1:$1048576,I83, FALSE)</f>
        <v>0</v>
      </c>
      <c r="J84">
        <f>HLOOKUP($B$84,'EPlus Meter Results'!$1:$1048576,J83, FALSE)</f>
        <v>0</v>
      </c>
      <c r="K84">
        <f>HLOOKUP($B$84,'EPlus Meter Results'!$1:$1048576,K83, FALSE)</f>
        <v>0</v>
      </c>
      <c r="L84">
        <f>HLOOKUP($B$84,'EPlus Meter Results'!$1:$1048576,L83, FALSE)</f>
        <v>0</v>
      </c>
      <c r="M84">
        <f>HLOOKUP($B$84,'EPlus Meter Results'!$1:$1048576,M83, FALSE)</f>
        <v>0</v>
      </c>
      <c r="N84">
        <f>HLOOKUP($B$84,'EPlus Meter Results'!$1:$1048576,N83, FALSE)</f>
        <v>0</v>
      </c>
      <c r="AB84" s="580">
        <f>HLOOKUP("*"&amp;'Output annual'!$AC$2&amp;'Output annual'!$AD$2&amp;"*Zone People Number Of Occupants [](Hourly)",'Eplus results'!$1:$1048576,ROW(),FALSE)</f>
        <v>0</v>
      </c>
      <c r="AC84" s="580">
        <f>HLOOKUP("*"&amp;'Output annual'!$AC$2&amp;'Output annual'!$AD$2&amp;"*FangerPMV(Hourly)",'Eplus results'!$1:$1048576,ROW(),FALSE)</f>
        <v>0</v>
      </c>
      <c r="AD84" s="580">
        <f t="shared" si="9"/>
        <v>5</v>
      </c>
      <c r="AE84" s="580">
        <f t="shared" si="10"/>
        <v>2.5</v>
      </c>
      <c r="AF84" s="580">
        <f t="shared" si="11"/>
        <v>2.5</v>
      </c>
      <c r="AG84" s="580">
        <f t="shared" si="12"/>
        <v>0</v>
      </c>
      <c r="AH84" s="580">
        <f t="shared" si="13"/>
        <v>0</v>
      </c>
    </row>
    <row r="85" spans="1:34">
      <c r="B85" t="s">
        <v>131</v>
      </c>
      <c r="C85">
        <f>HLOOKUP($B$85,'EPlus Meter Results'!$1:$1048576,C83, FALSE)</f>
        <v>0</v>
      </c>
      <c r="D85">
        <f>HLOOKUP($B$85,'EPlus Meter Results'!$1:$1048576,D83, FALSE)</f>
        <v>0</v>
      </c>
      <c r="E85">
        <f>HLOOKUP($B$85,'EPlus Meter Results'!$1:$1048576,E83, FALSE)</f>
        <v>0</v>
      </c>
      <c r="F85">
        <f>HLOOKUP($B$85,'EPlus Meter Results'!$1:$1048576,F83, FALSE)</f>
        <v>0</v>
      </c>
      <c r="G85">
        <f>HLOOKUP($B$85,'EPlus Meter Results'!$1:$1048576,G83, FALSE)</f>
        <v>0</v>
      </c>
      <c r="H85">
        <f>HLOOKUP($B$85,'EPlus Meter Results'!$1:$1048576,H83, FALSE)</f>
        <v>0</v>
      </c>
      <c r="I85">
        <f>HLOOKUP($B$85,'EPlus Meter Results'!$1:$1048576,I83, FALSE)</f>
        <v>0</v>
      </c>
      <c r="J85">
        <f>HLOOKUP($B$85,'EPlus Meter Results'!$1:$1048576,J83, FALSE)</f>
        <v>0</v>
      </c>
      <c r="K85">
        <f>HLOOKUP($B$85,'EPlus Meter Results'!$1:$1048576,K83, FALSE)</f>
        <v>0</v>
      </c>
      <c r="L85">
        <f>HLOOKUP($B$85,'EPlus Meter Results'!$1:$1048576,L83, FALSE)</f>
        <v>0</v>
      </c>
      <c r="M85">
        <f>HLOOKUP($B$85,'EPlus Meter Results'!$1:$1048576,M83, FALSE)</f>
        <v>0</v>
      </c>
      <c r="N85">
        <f>HLOOKUP($B$85,'EPlus Meter Results'!$1:$1048576,N83, FALSE)</f>
        <v>0</v>
      </c>
      <c r="AB85" s="580">
        <f>HLOOKUP("*"&amp;'Output annual'!$AC$2&amp;'Output annual'!$AD$2&amp;"*Zone People Number Of Occupants [](Hourly)",'Eplus results'!$1:$1048576,ROW(),FALSE)</f>
        <v>0</v>
      </c>
      <c r="AC85" s="580">
        <f>HLOOKUP("*"&amp;'Output annual'!$AC$2&amp;'Output annual'!$AD$2&amp;"*FangerPMV(Hourly)",'Eplus results'!$1:$1048576,ROW(),FALSE)</f>
        <v>0</v>
      </c>
      <c r="AD85" s="580">
        <f t="shared" si="9"/>
        <v>5</v>
      </c>
      <c r="AE85" s="580">
        <f t="shared" si="10"/>
        <v>2.5</v>
      </c>
      <c r="AF85" s="580">
        <f t="shared" si="11"/>
        <v>2.5</v>
      </c>
      <c r="AG85" s="580">
        <f t="shared" si="12"/>
        <v>0</v>
      </c>
      <c r="AH85" s="580">
        <f t="shared" si="13"/>
        <v>0</v>
      </c>
    </row>
    <row r="86" spans="1:34">
      <c r="B86" t="s">
        <v>132</v>
      </c>
      <c r="C86">
        <f>HLOOKUP($B$86,'EPlus Meter Results'!$1:$1048576,C83, FALSE)</f>
        <v>0</v>
      </c>
      <c r="D86">
        <f>HLOOKUP($B$86,'EPlus Meter Results'!$1:$1048576,D83, FALSE)</f>
        <v>0</v>
      </c>
      <c r="E86">
        <f>HLOOKUP($B$86,'EPlus Meter Results'!$1:$1048576,E83, FALSE)</f>
        <v>0</v>
      </c>
      <c r="F86">
        <f>HLOOKUP($B$86,'EPlus Meter Results'!$1:$1048576,F83, FALSE)</f>
        <v>0</v>
      </c>
      <c r="G86">
        <f>HLOOKUP($B$86,'EPlus Meter Results'!$1:$1048576,G83, FALSE)</f>
        <v>0</v>
      </c>
      <c r="H86">
        <f>HLOOKUP($B$86,'EPlus Meter Results'!$1:$1048576,H83, FALSE)</f>
        <v>0</v>
      </c>
      <c r="I86">
        <f>HLOOKUP($B$86,'EPlus Meter Results'!$1:$1048576,I83, FALSE)</f>
        <v>0</v>
      </c>
      <c r="J86">
        <f>HLOOKUP($B$86,'EPlus Meter Results'!$1:$1048576,J83, FALSE)</f>
        <v>0</v>
      </c>
      <c r="K86">
        <f>HLOOKUP($B$86,'EPlus Meter Results'!$1:$1048576,K83, FALSE)</f>
        <v>0</v>
      </c>
      <c r="L86">
        <f>HLOOKUP($B$86,'EPlus Meter Results'!$1:$1048576,L83, FALSE)</f>
        <v>0</v>
      </c>
      <c r="M86">
        <f>HLOOKUP($B$86,'EPlus Meter Results'!$1:$1048576,M83, FALSE)</f>
        <v>0</v>
      </c>
      <c r="N86">
        <f>HLOOKUP($B$86,'EPlus Meter Results'!$1:$1048576,N83, FALSE)</f>
        <v>0</v>
      </c>
      <c r="AB86" s="580">
        <f>HLOOKUP("*"&amp;'Output annual'!$AC$2&amp;'Output annual'!$AD$2&amp;"*Zone People Number Of Occupants [](Hourly)",'Eplus results'!$1:$1048576,ROW(),FALSE)</f>
        <v>0</v>
      </c>
      <c r="AC86" s="580">
        <f>HLOOKUP("*"&amp;'Output annual'!$AC$2&amp;'Output annual'!$AD$2&amp;"*FangerPMV(Hourly)",'Eplus results'!$1:$1048576,ROW(),FALSE)</f>
        <v>0</v>
      </c>
      <c r="AD86" s="580">
        <f t="shared" si="9"/>
        <v>5</v>
      </c>
      <c r="AE86" s="580">
        <f t="shared" si="10"/>
        <v>2.5</v>
      </c>
      <c r="AF86" s="580">
        <f t="shared" si="11"/>
        <v>2.5</v>
      </c>
      <c r="AG86" s="580">
        <f t="shared" si="12"/>
        <v>0</v>
      </c>
      <c r="AH86" s="580">
        <f t="shared" si="13"/>
        <v>0</v>
      </c>
    </row>
    <row r="87" spans="1:34">
      <c r="B87" t="s">
        <v>133</v>
      </c>
      <c r="C87">
        <f>HLOOKUP($B$87,'EPlus Meter Results'!$1:$1048576,C83, FALSE)</f>
        <v>0</v>
      </c>
      <c r="D87">
        <f>HLOOKUP($B$87,'EPlus Meter Results'!$1:$1048576,D83, FALSE)</f>
        <v>0</v>
      </c>
      <c r="E87">
        <f>HLOOKUP($B$87,'EPlus Meter Results'!$1:$1048576,E83, FALSE)</f>
        <v>0</v>
      </c>
      <c r="F87">
        <f>HLOOKUP($B$87,'EPlus Meter Results'!$1:$1048576,F83, FALSE)</f>
        <v>0</v>
      </c>
      <c r="G87">
        <f>HLOOKUP($B$87,'EPlus Meter Results'!$1:$1048576,G83, FALSE)</f>
        <v>0</v>
      </c>
      <c r="H87">
        <f>HLOOKUP($B$87,'EPlus Meter Results'!$1:$1048576,H83, FALSE)</f>
        <v>0</v>
      </c>
      <c r="I87">
        <f>HLOOKUP($B$87,'EPlus Meter Results'!$1:$1048576,I83, FALSE)</f>
        <v>0</v>
      </c>
      <c r="J87">
        <f>HLOOKUP($B$87,'EPlus Meter Results'!$1:$1048576,J83, FALSE)</f>
        <v>0</v>
      </c>
      <c r="K87">
        <f>HLOOKUP($B$87,'EPlus Meter Results'!$1:$1048576,K83, FALSE)</f>
        <v>0</v>
      </c>
      <c r="L87">
        <f>HLOOKUP($B$87,'EPlus Meter Results'!$1:$1048576,L83, FALSE)</f>
        <v>0</v>
      </c>
      <c r="M87">
        <f>HLOOKUP($B$87,'EPlus Meter Results'!$1:$1048576,M83, FALSE)</f>
        <v>0</v>
      </c>
      <c r="N87">
        <f>HLOOKUP($B$87,'EPlus Meter Results'!$1:$1048576,N83, FALSE)</f>
        <v>0</v>
      </c>
      <c r="AB87" s="580">
        <f>HLOOKUP("*"&amp;'Output annual'!$AC$2&amp;'Output annual'!$AD$2&amp;"*Zone People Number Of Occupants [](Hourly)",'Eplus results'!$1:$1048576,ROW(),FALSE)</f>
        <v>0</v>
      </c>
      <c r="AC87" s="580">
        <f>HLOOKUP("*"&amp;'Output annual'!$AC$2&amp;'Output annual'!$AD$2&amp;"*FangerPMV(Hourly)",'Eplus results'!$1:$1048576,ROW(),FALSE)</f>
        <v>0</v>
      </c>
      <c r="AD87" s="580">
        <f t="shared" si="9"/>
        <v>5</v>
      </c>
      <c r="AE87" s="580">
        <f t="shared" si="10"/>
        <v>2.5</v>
      </c>
      <c r="AF87" s="580">
        <f t="shared" si="11"/>
        <v>2.5</v>
      </c>
      <c r="AG87" s="580">
        <f t="shared" si="12"/>
        <v>0</v>
      </c>
      <c r="AH87" s="580">
        <f t="shared" si="13"/>
        <v>0</v>
      </c>
    </row>
    <row r="88" spans="1:34">
      <c r="B88" t="s">
        <v>134</v>
      </c>
      <c r="C88">
        <f>HLOOKUP($B$88,'EPlus Meter Results'!$1:$1048576,C83, FALSE)</f>
        <v>0</v>
      </c>
      <c r="D88">
        <f>HLOOKUP($B$88,'EPlus Meter Results'!$1:$1048576,D83, FALSE)</f>
        <v>0</v>
      </c>
      <c r="E88">
        <f>HLOOKUP($B$88,'EPlus Meter Results'!$1:$1048576,E83, FALSE)</f>
        <v>0</v>
      </c>
      <c r="F88">
        <f>HLOOKUP($B$88,'EPlus Meter Results'!$1:$1048576,F83, FALSE)</f>
        <v>0</v>
      </c>
      <c r="G88">
        <f>HLOOKUP($B$88,'EPlus Meter Results'!$1:$1048576,G83, FALSE)</f>
        <v>0</v>
      </c>
      <c r="H88">
        <f>HLOOKUP($B$88,'EPlus Meter Results'!$1:$1048576,H83, FALSE)</f>
        <v>0</v>
      </c>
      <c r="I88">
        <f>HLOOKUP($B$88,'EPlus Meter Results'!$1:$1048576,I83, FALSE)</f>
        <v>0</v>
      </c>
      <c r="J88">
        <f>HLOOKUP($B$88,'EPlus Meter Results'!$1:$1048576,J83, FALSE)</f>
        <v>0</v>
      </c>
      <c r="K88">
        <f>HLOOKUP($B$88,'EPlus Meter Results'!$1:$1048576,K83, FALSE)</f>
        <v>0</v>
      </c>
      <c r="L88">
        <f>HLOOKUP($B$88,'EPlus Meter Results'!$1:$1048576,L83, FALSE)</f>
        <v>0</v>
      </c>
      <c r="M88">
        <f>HLOOKUP($B$88,'EPlus Meter Results'!$1:$1048576,M83, FALSE)</f>
        <v>0</v>
      </c>
      <c r="N88">
        <f>HLOOKUP($B$88,'EPlus Meter Results'!$1:$1048576,N83, FALSE)</f>
        <v>0</v>
      </c>
      <c r="AB88" s="580">
        <f>HLOOKUP("*"&amp;'Output annual'!$AC$2&amp;'Output annual'!$AD$2&amp;"*Zone People Number Of Occupants [](Hourly)",'Eplus results'!$1:$1048576,ROW(),FALSE)</f>
        <v>0</v>
      </c>
      <c r="AC88" s="580">
        <f>HLOOKUP("*"&amp;'Output annual'!$AC$2&amp;'Output annual'!$AD$2&amp;"*FangerPMV(Hourly)",'Eplus results'!$1:$1048576,ROW(),FALSE)</f>
        <v>0</v>
      </c>
      <c r="AD88" s="580">
        <f t="shared" si="9"/>
        <v>5</v>
      </c>
      <c r="AE88" s="580">
        <f t="shared" si="10"/>
        <v>2.5</v>
      </c>
      <c r="AF88" s="580">
        <f t="shared" si="11"/>
        <v>2.5</v>
      </c>
      <c r="AG88" s="580">
        <f t="shared" si="12"/>
        <v>0</v>
      </c>
      <c r="AH88" s="580">
        <f t="shared" si="13"/>
        <v>0</v>
      </c>
    </row>
    <row r="89" spans="1:34">
      <c r="B89" t="s">
        <v>135</v>
      </c>
      <c r="C89">
        <f>HLOOKUP($B$89,'EPlus Meter Results'!$1:$1048576,C83, FALSE)</f>
        <v>0</v>
      </c>
      <c r="D89">
        <f>HLOOKUP($B$89,'EPlus Meter Results'!$1:$1048576,D83, FALSE)</f>
        <v>0</v>
      </c>
      <c r="E89">
        <f>HLOOKUP($B$89,'EPlus Meter Results'!$1:$1048576,E83, FALSE)</f>
        <v>0</v>
      </c>
      <c r="F89">
        <f>HLOOKUP($B$89,'EPlus Meter Results'!$1:$1048576,F83, FALSE)</f>
        <v>0</v>
      </c>
      <c r="G89">
        <f>HLOOKUP($B$89,'EPlus Meter Results'!$1:$1048576,G83, FALSE)</f>
        <v>0</v>
      </c>
      <c r="H89">
        <f>HLOOKUP($B$89,'EPlus Meter Results'!$1:$1048576,H83, FALSE)</f>
        <v>0</v>
      </c>
      <c r="I89">
        <f>HLOOKUP($B$89,'EPlus Meter Results'!$1:$1048576,I83, FALSE)</f>
        <v>0</v>
      </c>
      <c r="J89">
        <f>HLOOKUP($B$89,'EPlus Meter Results'!$1:$1048576,J83, FALSE)</f>
        <v>0</v>
      </c>
      <c r="K89">
        <f>HLOOKUP($B$89,'EPlus Meter Results'!$1:$1048576,K83, FALSE)</f>
        <v>0</v>
      </c>
      <c r="L89">
        <f>HLOOKUP($B$89,'EPlus Meter Results'!$1:$1048576,L83, FALSE)</f>
        <v>0</v>
      </c>
      <c r="M89">
        <f>HLOOKUP($B$89,'EPlus Meter Results'!$1:$1048576,M83, FALSE)</f>
        <v>0</v>
      </c>
      <c r="N89">
        <f>HLOOKUP($B$89,'EPlus Meter Results'!$1:$1048576,N83, FALSE)</f>
        <v>0</v>
      </c>
      <c r="AB89" s="580">
        <f>HLOOKUP("*"&amp;'Output annual'!$AC$2&amp;'Output annual'!$AD$2&amp;"*Zone People Number Of Occupants [](Hourly)",'Eplus results'!$1:$1048576,ROW(),FALSE)</f>
        <v>0</v>
      </c>
      <c r="AC89" s="580">
        <f>HLOOKUP("*"&amp;'Output annual'!$AC$2&amp;'Output annual'!$AD$2&amp;"*FangerPMV(Hourly)",'Eplus results'!$1:$1048576,ROW(),FALSE)</f>
        <v>0</v>
      </c>
      <c r="AD89" s="580">
        <f t="shared" si="9"/>
        <v>5</v>
      </c>
      <c r="AE89" s="580">
        <f t="shared" si="10"/>
        <v>2.5</v>
      </c>
      <c r="AF89" s="580">
        <f t="shared" si="11"/>
        <v>2.5</v>
      </c>
      <c r="AG89" s="580">
        <f t="shared" si="12"/>
        <v>0</v>
      </c>
      <c r="AH89" s="580">
        <f t="shared" si="13"/>
        <v>0</v>
      </c>
    </row>
    <row r="90" spans="1:34">
      <c r="B90" t="s">
        <v>136</v>
      </c>
      <c r="C90">
        <f>HLOOKUP($B$90,'EPlus Meter Results'!$1:$1048576,C83, FALSE)</f>
        <v>0</v>
      </c>
      <c r="D90">
        <f>HLOOKUP($B$90,'EPlus Meter Results'!$1:$1048576,D83, FALSE)</f>
        <v>0</v>
      </c>
      <c r="E90">
        <f>HLOOKUP($B$90,'EPlus Meter Results'!$1:$1048576,E83, FALSE)</f>
        <v>0</v>
      </c>
      <c r="F90">
        <f>HLOOKUP($B$90,'EPlus Meter Results'!$1:$1048576,F83, FALSE)</f>
        <v>0</v>
      </c>
      <c r="G90">
        <f>HLOOKUP($B$90,'EPlus Meter Results'!$1:$1048576,G83, FALSE)</f>
        <v>0</v>
      </c>
      <c r="H90">
        <f>HLOOKUP($B$90,'EPlus Meter Results'!$1:$1048576,H83, FALSE)</f>
        <v>0</v>
      </c>
      <c r="I90">
        <f>HLOOKUP($B$90,'EPlus Meter Results'!$1:$1048576,I83, FALSE)</f>
        <v>0</v>
      </c>
      <c r="J90">
        <f>HLOOKUP($B$90,'EPlus Meter Results'!$1:$1048576,J83, FALSE)</f>
        <v>0</v>
      </c>
      <c r="K90">
        <f>HLOOKUP($B$90,'EPlus Meter Results'!$1:$1048576,K83, FALSE)</f>
        <v>0</v>
      </c>
      <c r="L90">
        <f>HLOOKUP($B$90,'EPlus Meter Results'!$1:$1048576,L83, FALSE)</f>
        <v>0</v>
      </c>
      <c r="M90">
        <f>HLOOKUP($B$90,'EPlus Meter Results'!$1:$1048576,M83, FALSE)</f>
        <v>0</v>
      </c>
      <c r="N90">
        <f>HLOOKUP($B$90,'EPlus Meter Results'!$1:$1048576,N83, FALSE)</f>
        <v>0</v>
      </c>
      <c r="AB90" s="580">
        <f>HLOOKUP("*"&amp;'Output annual'!$AC$2&amp;'Output annual'!$AD$2&amp;"*Zone People Number Of Occupants [](Hourly)",'Eplus results'!$1:$1048576,ROW(),FALSE)</f>
        <v>0</v>
      </c>
      <c r="AC90" s="580">
        <f>HLOOKUP("*"&amp;'Output annual'!$AC$2&amp;'Output annual'!$AD$2&amp;"*FangerPMV(Hourly)",'Eplus results'!$1:$1048576,ROW(),FALSE)</f>
        <v>0</v>
      </c>
      <c r="AD90" s="580">
        <f t="shared" si="9"/>
        <v>5</v>
      </c>
      <c r="AE90" s="580">
        <f t="shared" si="10"/>
        <v>2.5</v>
      </c>
      <c r="AF90" s="580">
        <f t="shared" si="11"/>
        <v>2.5</v>
      </c>
      <c r="AG90" s="580">
        <f t="shared" si="12"/>
        <v>0</v>
      </c>
      <c r="AH90" s="580">
        <f t="shared" si="13"/>
        <v>0</v>
      </c>
    </row>
    <row r="91" spans="1:34">
      <c r="B91" t="s">
        <v>138</v>
      </c>
      <c r="C91">
        <f>HLOOKUP($B$91,'EPlus Meter Results'!$1:$1048576,C83, FALSE)</f>
        <v>0</v>
      </c>
      <c r="D91">
        <f>HLOOKUP($B$91,'EPlus Meter Results'!$1:$1048576,D83, FALSE)</f>
        <v>0</v>
      </c>
      <c r="E91">
        <f>HLOOKUP($B$91,'EPlus Meter Results'!$1:$1048576,E83, FALSE)</f>
        <v>0</v>
      </c>
      <c r="F91">
        <f>HLOOKUP($B$91,'EPlus Meter Results'!$1:$1048576,F83, FALSE)</f>
        <v>0</v>
      </c>
      <c r="G91">
        <f>HLOOKUP($B$91,'EPlus Meter Results'!$1:$1048576,G83, FALSE)</f>
        <v>0</v>
      </c>
      <c r="H91">
        <f>HLOOKUP($B$91,'EPlus Meter Results'!$1:$1048576,H83, FALSE)</f>
        <v>0</v>
      </c>
      <c r="I91">
        <f>HLOOKUP($B$91,'EPlus Meter Results'!$1:$1048576,I83, FALSE)</f>
        <v>0</v>
      </c>
      <c r="J91">
        <f>HLOOKUP($B$91,'EPlus Meter Results'!$1:$1048576,J83, FALSE)</f>
        <v>0</v>
      </c>
      <c r="K91">
        <f>HLOOKUP($B$91,'EPlus Meter Results'!$1:$1048576,K83, FALSE)</f>
        <v>0</v>
      </c>
      <c r="L91">
        <f>HLOOKUP($B$91,'EPlus Meter Results'!$1:$1048576,L83, FALSE)</f>
        <v>0</v>
      </c>
      <c r="M91">
        <f>HLOOKUP($B$91,'EPlus Meter Results'!$1:$1048576,M83, FALSE)</f>
        <v>0</v>
      </c>
      <c r="N91">
        <f>HLOOKUP($B$91,'EPlus Meter Results'!$1:$1048576,N83, FALSE)</f>
        <v>0</v>
      </c>
      <c r="AB91" s="580">
        <f>HLOOKUP("*"&amp;'Output annual'!$AC$2&amp;'Output annual'!$AD$2&amp;"*Zone People Number Of Occupants [](Hourly)",'Eplus results'!$1:$1048576,ROW(),FALSE)</f>
        <v>0</v>
      </c>
      <c r="AC91" s="580">
        <f>HLOOKUP("*"&amp;'Output annual'!$AC$2&amp;'Output annual'!$AD$2&amp;"*FangerPMV(Hourly)",'Eplus results'!$1:$1048576,ROW(),FALSE)</f>
        <v>0</v>
      </c>
      <c r="AD91" s="580">
        <f t="shared" si="9"/>
        <v>5</v>
      </c>
      <c r="AE91" s="580">
        <f t="shared" si="10"/>
        <v>2.5</v>
      </c>
      <c r="AF91" s="580">
        <f t="shared" si="11"/>
        <v>2.5</v>
      </c>
      <c r="AG91" s="580">
        <f t="shared" si="12"/>
        <v>0</v>
      </c>
      <c r="AH91" s="580">
        <f t="shared" si="13"/>
        <v>0</v>
      </c>
    </row>
    <row r="92" spans="1:34">
      <c r="B92" s="4" t="s">
        <v>347</v>
      </c>
      <c r="C92">
        <f>HLOOKUP($B$92,'EPlus Meter Results'!$1:$1048576,C83, FALSE)</f>
        <v>0</v>
      </c>
      <c r="D92">
        <f>HLOOKUP($B$92,'EPlus Meter Results'!$1:$1048576,D83, FALSE)</f>
        <v>0</v>
      </c>
      <c r="E92">
        <f>HLOOKUP($B$92,'EPlus Meter Results'!$1:$1048576,E83, FALSE)</f>
        <v>0</v>
      </c>
      <c r="F92">
        <f>HLOOKUP($B$92,'EPlus Meter Results'!$1:$1048576,F83, FALSE)</f>
        <v>0</v>
      </c>
      <c r="G92">
        <f>HLOOKUP($B$92,'EPlus Meter Results'!$1:$1048576,G83, FALSE)</f>
        <v>0</v>
      </c>
      <c r="H92">
        <f>HLOOKUP($B$92,'EPlus Meter Results'!$1:$1048576,H83, FALSE)</f>
        <v>0</v>
      </c>
      <c r="I92">
        <f>HLOOKUP($B$92,'EPlus Meter Results'!$1:$1048576,I83, FALSE)</f>
        <v>0</v>
      </c>
      <c r="J92">
        <f>HLOOKUP($B$92,'EPlus Meter Results'!$1:$1048576,J83, FALSE)</f>
        <v>0</v>
      </c>
      <c r="K92">
        <f>HLOOKUP($B$92,'EPlus Meter Results'!$1:$1048576,K83, FALSE)</f>
        <v>0</v>
      </c>
      <c r="L92">
        <f>HLOOKUP($B$92,'EPlus Meter Results'!$1:$1048576,L83, FALSE)</f>
        <v>0</v>
      </c>
      <c r="M92">
        <f>HLOOKUP($B$92,'EPlus Meter Results'!$1:$1048576,M83, FALSE)</f>
        <v>0</v>
      </c>
      <c r="N92">
        <f>HLOOKUP($B$92,'EPlus Meter Results'!$1:$1048576,N83, FALSE)</f>
        <v>0</v>
      </c>
      <c r="AB92" s="580">
        <f>HLOOKUP("*"&amp;'Output annual'!$AC$2&amp;'Output annual'!$AD$2&amp;"*Zone People Number Of Occupants [](Hourly)",'Eplus results'!$1:$1048576,ROW(),FALSE)</f>
        <v>0</v>
      </c>
      <c r="AC92" s="580">
        <f>HLOOKUP("*"&amp;'Output annual'!$AC$2&amp;'Output annual'!$AD$2&amp;"*FangerPMV(Hourly)",'Eplus results'!$1:$1048576,ROW(),FALSE)</f>
        <v>0</v>
      </c>
      <c r="AD92" s="580">
        <f t="shared" si="9"/>
        <v>5</v>
      </c>
      <c r="AE92" s="580">
        <f t="shared" si="10"/>
        <v>2.5</v>
      </c>
      <c r="AF92" s="580">
        <f t="shared" si="11"/>
        <v>2.5</v>
      </c>
      <c r="AG92" s="580">
        <f t="shared" si="12"/>
        <v>0</v>
      </c>
      <c r="AH92" s="580">
        <f t="shared" si="13"/>
        <v>0</v>
      </c>
    </row>
    <row r="93" spans="1:34">
      <c r="B93" t="s">
        <v>137</v>
      </c>
      <c r="C93">
        <f>HLOOKUP($B$93,'EPlus Meter Results'!$1:$1048576,C83, FALSE)</f>
        <v>0</v>
      </c>
      <c r="D93">
        <f>HLOOKUP($B$93,'EPlus Meter Results'!$1:$1048576,D83, FALSE)</f>
        <v>0</v>
      </c>
      <c r="E93">
        <f>HLOOKUP($B$93,'EPlus Meter Results'!$1:$1048576,E83, FALSE)</f>
        <v>0</v>
      </c>
      <c r="F93">
        <f>HLOOKUP($B$93,'EPlus Meter Results'!$1:$1048576,F83, FALSE)</f>
        <v>0</v>
      </c>
      <c r="G93">
        <f>HLOOKUP($B$93,'EPlus Meter Results'!$1:$1048576,G83, FALSE)</f>
        <v>0</v>
      </c>
      <c r="H93">
        <f>HLOOKUP($B$93,'EPlus Meter Results'!$1:$1048576,H83, FALSE)</f>
        <v>0</v>
      </c>
      <c r="I93">
        <f>HLOOKUP($B$93,'EPlus Meter Results'!$1:$1048576,I83, FALSE)</f>
        <v>0</v>
      </c>
      <c r="J93">
        <f>HLOOKUP($B$93,'EPlus Meter Results'!$1:$1048576,J83, FALSE)</f>
        <v>0</v>
      </c>
      <c r="K93">
        <f>HLOOKUP($B$93,'EPlus Meter Results'!$1:$1048576,K83, FALSE)</f>
        <v>0</v>
      </c>
      <c r="L93">
        <f>HLOOKUP($B$93,'EPlus Meter Results'!$1:$1048576,L83, FALSE)</f>
        <v>0</v>
      </c>
      <c r="M93">
        <f>HLOOKUP($B$93,'EPlus Meter Results'!$1:$1048576,M83, FALSE)</f>
        <v>0</v>
      </c>
      <c r="N93">
        <f>HLOOKUP($B$93,'EPlus Meter Results'!$1:$1048576,N83, FALSE)</f>
        <v>0</v>
      </c>
      <c r="AB93" s="580">
        <f>HLOOKUP("*"&amp;'Output annual'!$AC$2&amp;'Output annual'!$AD$2&amp;"*Zone People Number Of Occupants [](Hourly)",'Eplus results'!$1:$1048576,ROW(),FALSE)</f>
        <v>0</v>
      </c>
      <c r="AC93" s="580">
        <f>HLOOKUP("*"&amp;'Output annual'!$AC$2&amp;'Output annual'!$AD$2&amp;"*FangerPMV(Hourly)",'Eplus results'!$1:$1048576,ROW(),FALSE)</f>
        <v>0</v>
      </c>
      <c r="AD93" s="580">
        <f t="shared" si="9"/>
        <v>5</v>
      </c>
      <c r="AE93" s="580">
        <f t="shared" si="10"/>
        <v>2.5</v>
      </c>
      <c r="AF93" s="580">
        <f t="shared" si="11"/>
        <v>2.5</v>
      </c>
      <c r="AG93" s="580">
        <f t="shared" si="12"/>
        <v>0</v>
      </c>
      <c r="AH93" s="580">
        <f t="shared" si="13"/>
        <v>0</v>
      </c>
    </row>
    <row r="94" spans="1:34">
      <c r="AB94" s="580">
        <f>HLOOKUP("*"&amp;'Output annual'!$AC$2&amp;'Output annual'!$AD$2&amp;"*Zone People Number Of Occupants [](Hourly)",'Eplus results'!$1:$1048576,ROW(),FALSE)</f>
        <v>0</v>
      </c>
      <c r="AC94" s="580">
        <f>HLOOKUP("*"&amp;'Output annual'!$AC$2&amp;'Output annual'!$AD$2&amp;"*FangerPMV(Hourly)",'Eplus results'!$1:$1048576,ROW(),FALSE)</f>
        <v>0</v>
      </c>
      <c r="AD94" s="580">
        <f t="shared" si="9"/>
        <v>5</v>
      </c>
      <c r="AE94" s="580">
        <f t="shared" si="10"/>
        <v>2.5</v>
      </c>
      <c r="AF94" s="580">
        <f t="shared" si="11"/>
        <v>2.5</v>
      </c>
      <c r="AG94" s="580">
        <f t="shared" si="12"/>
        <v>0</v>
      </c>
      <c r="AH94" s="580">
        <f t="shared" si="13"/>
        <v>0</v>
      </c>
    </row>
    <row r="95" spans="1:34">
      <c r="A95" t="s">
        <v>356</v>
      </c>
      <c r="B95" t="s">
        <v>140</v>
      </c>
      <c r="C95">
        <f>C84+C93</f>
        <v>0</v>
      </c>
      <c r="D95">
        <f t="shared" ref="D95:N95" si="14">D84+D93</f>
        <v>0</v>
      </c>
      <c r="E95">
        <f t="shared" si="14"/>
        <v>0</v>
      </c>
      <c r="F95">
        <f t="shared" si="14"/>
        <v>0</v>
      </c>
      <c r="G95">
        <f t="shared" si="14"/>
        <v>0</v>
      </c>
      <c r="H95">
        <f t="shared" si="14"/>
        <v>0</v>
      </c>
      <c r="I95">
        <f t="shared" si="14"/>
        <v>0</v>
      </c>
      <c r="J95">
        <f t="shared" si="14"/>
        <v>0</v>
      </c>
      <c r="K95">
        <f t="shared" si="14"/>
        <v>0</v>
      </c>
      <c r="L95">
        <f t="shared" si="14"/>
        <v>0</v>
      </c>
      <c r="M95">
        <f t="shared" si="14"/>
        <v>0</v>
      </c>
      <c r="N95">
        <f t="shared" si="14"/>
        <v>0</v>
      </c>
      <c r="AB95" s="580">
        <f>HLOOKUP("*"&amp;'Output annual'!$AC$2&amp;'Output annual'!$AD$2&amp;"*Zone People Number Of Occupants [](Hourly)",'Eplus results'!$1:$1048576,ROW(),FALSE)</f>
        <v>0</v>
      </c>
      <c r="AC95" s="580">
        <f>HLOOKUP("*"&amp;'Output annual'!$AC$2&amp;'Output annual'!$AD$2&amp;"*FangerPMV(Hourly)",'Eplus results'!$1:$1048576,ROW(),FALSE)</f>
        <v>0</v>
      </c>
      <c r="AD95" s="580">
        <f t="shared" si="9"/>
        <v>5</v>
      </c>
      <c r="AE95" s="580">
        <f t="shared" si="10"/>
        <v>2.5</v>
      </c>
      <c r="AF95" s="580">
        <f t="shared" si="11"/>
        <v>2.5</v>
      </c>
      <c r="AG95" s="580">
        <f t="shared" si="12"/>
        <v>0</v>
      </c>
      <c r="AH95" s="580">
        <f t="shared" si="13"/>
        <v>0</v>
      </c>
    </row>
    <row r="96" spans="1:34">
      <c r="A96" s="43"/>
      <c r="B96" t="s">
        <v>141</v>
      </c>
      <c r="C96">
        <f>C91+C88+C93</f>
        <v>0</v>
      </c>
      <c r="D96">
        <f t="shared" ref="D96:N96" si="15">D91+D88+D93</f>
        <v>0</v>
      </c>
      <c r="E96">
        <f t="shared" si="15"/>
        <v>0</v>
      </c>
      <c r="F96">
        <f t="shared" si="15"/>
        <v>0</v>
      </c>
      <c r="G96">
        <f t="shared" si="15"/>
        <v>0</v>
      </c>
      <c r="H96">
        <f t="shared" si="15"/>
        <v>0</v>
      </c>
      <c r="I96">
        <f t="shared" si="15"/>
        <v>0</v>
      </c>
      <c r="J96">
        <f t="shared" si="15"/>
        <v>0</v>
      </c>
      <c r="K96">
        <f t="shared" si="15"/>
        <v>0</v>
      </c>
      <c r="L96">
        <f t="shared" si="15"/>
        <v>0</v>
      </c>
      <c r="M96">
        <f t="shared" si="15"/>
        <v>0</v>
      </c>
      <c r="N96">
        <f t="shared" si="15"/>
        <v>0</v>
      </c>
      <c r="AB96" s="580">
        <f>HLOOKUP("*"&amp;'Output annual'!$AC$2&amp;'Output annual'!$AD$2&amp;"*Zone People Number Of Occupants [](Hourly)",'Eplus results'!$1:$1048576,ROW(),FALSE)</f>
        <v>0</v>
      </c>
      <c r="AC96" s="580">
        <f>HLOOKUP("*"&amp;'Output annual'!$AC$2&amp;'Output annual'!$AD$2&amp;"*FangerPMV(Hourly)",'Eplus results'!$1:$1048576,ROW(),FALSE)</f>
        <v>0</v>
      </c>
      <c r="AD96" s="580">
        <f t="shared" si="9"/>
        <v>5</v>
      </c>
      <c r="AE96" s="580">
        <f t="shared" si="10"/>
        <v>2.5</v>
      </c>
      <c r="AF96" s="580">
        <f t="shared" si="11"/>
        <v>2.5</v>
      </c>
      <c r="AG96" s="580">
        <f t="shared" si="12"/>
        <v>0</v>
      </c>
      <c r="AH96" s="580">
        <f t="shared" si="13"/>
        <v>0</v>
      </c>
    </row>
    <row r="97" spans="1:34">
      <c r="A97" s="43"/>
      <c r="B97" t="s">
        <v>142</v>
      </c>
      <c r="C97">
        <f>C85</f>
        <v>0</v>
      </c>
      <c r="D97">
        <f t="shared" ref="D97:N97" si="16">D85</f>
        <v>0</v>
      </c>
      <c r="E97">
        <f t="shared" si="16"/>
        <v>0</v>
      </c>
      <c r="F97">
        <f t="shared" si="16"/>
        <v>0</v>
      </c>
      <c r="G97">
        <f t="shared" si="16"/>
        <v>0</v>
      </c>
      <c r="H97">
        <f t="shared" si="16"/>
        <v>0</v>
      </c>
      <c r="I97">
        <f t="shared" si="16"/>
        <v>0</v>
      </c>
      <c r="J97">
        <f t="shared" si="16"/>
        <v>0</v>
      </c>
      <c r="K97">
        <f t="shared" si="16"/>
        <v>0</v>
      </c>
      <c r="L97">
        <f t="shared" si="16"/>
        <v>0</v>
      </c>
      <c r="M97">
        <f t="shared" si="16"/>
        <v>0</v>
      </c>
      <c r="N97">
        <f t="shared" si="16"/>
        <v>0</v>
      </c>
      <c r="AB97" s="580">
        <f>HLOOKUP("*"&amp;'Output annual'!$AC$2&amp;'Output annual'!$AD$2&amp;"*Zone People Number Of Occupants [](Hourly)",'Eplus results'!$1:$1048576,ROW(),FALSE)</f>
        <v>0</v>
      </c>
      <c r="AC97" s="580">
        <f>HLOOKUP("*"&amp;'Output annual'!$AC$2&amp;'Output annual'!$AD$2&amp;"*FangerPMV(Hourly)",'Eplus results'!$1:$1048576,ROW(),FALSE)</f>
        <v>0</v>
      </c>
      <c r="AD97" s="580">
        <f t="shared" si="9"/>
        <v>5</v>
      </c>
      <c r="AE97" s="580">
        <f t="shared" si="10"/>
        <v>2.5</v>
      </c>
      <c r="AF97" s="580">
        <f t="shared" si="11"/>
        <v>2.5</v>
      </c>
      <c r="AG97" s="580">
        <f t="shared" si="12"/>
        <v>0</v>
      </c>
      <c r="AH97" s="580">
        <f t="shared" si="13"/>
        <v>0</v>
      </c>
    </row>
    <row r="98" spans="1:34">
      <c r="A98" s="43"/>
      <c r="B98" t="s">
        <v>143</v>
      </c>
      <c r="C98">
        <f>C86</f>
        <v>0</v>
      </c>
      <c r="D98">
        <f t="shared" ref="D98:N98" si="17">D86</f>
        <v>0</v>
      </c>
      <c r="E98">
        <f t="shared" si="17"/>
        <v>0</v>
      </c>
      <c r="F98">
        <f t="shared" si="17"/>
        <v>0</v>
      </c>
      <c r="G98">
        <f t="shared" si="17"/>
        <v>0</v>
      </c>
      <c r="H98">
        <f t="shared" si="17"/>
        <v>0</v>
      </c>
      <c r="I98">
        <f t="shared" si="17"/>
        <v>0</v>
      </c>
      <c r="J98">
        <f t="shared" si="17"/>
        <v>0</v>
      </c>
      <c r="K98">
        <f t="shared" si="17"/>
        <v>0</v>
      </c>
      <c r="L98">
        <f t="shared" si="17"/>
        <v>0</v>
      </c>
      <c r="M98">
        <f t="shared" si="17"/>
        <v>0</v>
      </c>
      <c r="N98">
        <f t="shared" si="17"/>
        <v>0</v>
      </c>
      <c r="AB98" s="580">
        <f>HLOOKUP("*"&amp;'Output annual'!$AC$2&amp;'Output annual'!$AD$2&amp;"*Zone People Number Of Occupants [](Hourly)",'Eplus results'!$1:$1048576,ROW(),FALSE)</f>
        <v>0</v>
      </c>
      <c r="AC98" s="580">
        <f>HLOOKUP("*"&amp;'Output annual'!$AC$2&amp;'Output annual'!$AD$2&amp;"*FangerPMV(Hourly)",'Eplus results'!$1:$1048576,ROW(),FALSE)</f>
        <v>0</v>
      </c>
      <c r="AD98" s="580">
        <f t="shared" si="9"/>
        <v>5</v>
      </c>
      <c r="AE98" s="580">
        <f t="shared" si="10"/>
        <v>2.5</v>
      </c>
      <c r="AF98" s="580">
        <f t="shared" si="11"/>
        <v>2.5</v>
      </c>
      <c r="AG98" s="580">
        <f t="shared" si="12"/>
        <v>0</v>
      </c>
      <c r="AH98" s="580">
        <f t="shared" si="13"/>
        <v>0</v>
      </c>
    </row>
    <row r="99" spans="1:34">
      <c r="AB99" s="580">
        <f>HLOOKUP("*"&amp;'Output annual'!$AC$2&amp;'Output annual'!$AD$2&amp;"*Zone People Number Of Occupants [](Hourly)",'Eplus results'!$1:$1048576,ROW(),FALSE)</f>
        <v>0</v>
      </c>
      <c r="AC99" s="580">
        <f>HLOOKUP("*"&amp;'Output annual'!$AC$2&amp;'Output annual'!$AD$2&amp;"*FangerPMV(Hourly)",'Eplus results'!$1:$1048576,ROW(),FALSE)</f>
        <v>0</v>
      </c>
      <c r="AD99" s="580">
        <f t="shared" si="9"/>
        <v>5</v>
      </c>
      <c r="AE99" s="580">
        <f t="shared" si="10"/>
        <v>2.5</v>
      </c>
      <c r="AF99" s="580">
        <f t="shared" si="11"/>
        <v>2.5</v>
      </c>
      <c r="AG99" s="580">
        <f t="shared" si="12"/>
        <v>0</v>
      </c>
      <c r="AH99" s="580">
        <f t="shared" si="13"/>
        <v>0</v>
      </c>
    </row>
    <row r="100" spans="1:34">
      <c r="A100" t="s">
        <v>353</v>
      </c>
      <c r="B100" t="s">
        <v>352</v>
      </c>
      <c r="AB100" s="580">
        <f>HLOOKUP("*"&amp;'Output annual'!$AC$2&amp;'Output annual'!$AD$2&amp;"*Zone People Number Of Occupants [](Hourly)",'Eplus results'!$1:$1048576,ROW(),FALSE)</f>
        <v>0</v>
      </c>
      <c r="AC100" s="580">
        <f>HLOOKUP("*"&amp;'Output annual'!$AC$2&amp;'Output annual'!$AD$2&amp;"*FangerPMV(Hourly)",'Eplus results'!$1:$1048576,ROW(),FALSE)</f>
        <v>0</v>
      </c>
      <c r="AD100" s="580">
        <f t="shared" si="9"/>
        <v>5</v>
      </c>
      <c r="AE100" s="580">
        <f t="shared" si="10"/>
        <v>2.5</v>
      </c>
      <c r="AF100" s="580">
        <f t="shared" si="11"/>
        <v>2.5</v>
      </c>
      <c r="AG100" s="580">
        <f t="shared" si="12"/>
        <v>0</v>
      </c>
      <c r="AH100" s="580">
        <f t="shared" si="13"/>
        <v>0</v>
      </c>
    </row>
    <row r="101" spans="1:34">
      <c r="A101" s="43"/>
      <c r="B101" t="s">
        <v>348</v>
      </c>
      <c r="C101">
        <f>C91-C90</f>
        <v>0</v>
      </c>
      <c r="D101">
        <f t="shared" ref="D101:N101" si="18">D91-D90</f>
        <v>0</v>
      </c>
      <c r="E101">
        <f t="shared" si="18"/>
        <v>0</v>
      </c>
      <c r="F101">
        <f t="shared" si="18"/>
        <v>0</v>
      </c>
      <c r="G101">
        <f t="shared" si="18"/>
        <v>0</v>
      </c>
      <c r="H101">
        <f t="shared" si="18"/>
        <v>0</v>
      </c>
      <c r="I101">
        <f t="shared" si="18"/>
        <v>0</v>
      </c>
      <c r="J101">
        <f t="shared" si="18"/>
        <v>0</v>
      </c>
      <c r="K101">
        <f t="shared" si="18"/>
        <v>0</v>
      </c>
      <c r="L101">
        <f t="shared" si="18"/>
        <v>0</v>
      </c>
      <c r="M101">
        <f t="shared" si="18"/>
        <v>0</v>
      </c>
      <c r="N101">
        <f t="shared" si="18"/>
        <v>0</v>
      </c>
      <c r="AB101" s="580">
        <f>HLOOKUP("*"&amp;'Output annual'!$AC$2&amp;'Output annual'!$AD$2&amp;"*Zone People Number Of Occupants [](Hourly)",'Eplus results'!$1:$1048576,ROW(),FALSE)</f>
        <v>0</v>
      </c>
      <c r="AC101" s="580">
        <f>HLOOKUP("*"&amp;'Output annual'!$AC$2&amp;'Output annual'!$AD$2&amp;"*FangerPMV(Hourly)",'Eplus results'!$1:$1048576,ROW(),FALSE)</f>
        <v>0</v>
      </c>
      <c r="AD101" s="580">
        <f t="shared" si="9"/>
        <v>5</v>
      </c>
      <c r="AE101" s="580">
        <f t="shared" si="10"/>
        <v>2.5</v>
      </c>
      <c r="AF101" s="580">
        <f t="shared" si="11"/>
        <v>2.5</v>
      </c>
      <c r="AG101" s="580">
        <f t="shared" si="12"/>
        <v>0</v>
      </c>
      <c r="AH101" s="580">
        <f t="shared" si="13"/>
        <v>0</v>
      </c>
    </row>
    <row r="102" spans="1:34">
      <c r="A102" s="43"/>
      <c r="B102" t="s">
        <v>349</v>
      </c>
      <c r="C102">
        <f>C88</f>
        <v>0</v>
      </c>
      <c r="D102">
        <f t="shared" ref="D102:N102" si="19">D88</f>
        <v>0</v>
      </c>
      <c r="E102">
        <f t="shared" si="19"/>
        <v>0</v>
      </c>
      <c r="F102">
        <f t="shared" si="19"/>
        <v>0</v>
      </c>
      <c r="G102">
        <f t="shared" si="19"/>
        <v>0</v>
      </c>
      <c r="H102">
        <f t="shared" si="19"/>
        <v>0</v>
      </c>
      <c r="I102">
        <f t="shared" si="19"/>
        <v>0</v>
      </c>
      <c r="J102">
        <f t="shared" si="19"/>
        <v>0</v>
      </c>
      <c r="K102">
        <f t="shared" si="19"/>
        <v>0</v>
      </c>
      <c r="L102">
        <f t="shared" si="19"/>
        <v>0</v>
      </c>
      <c r="M102">
        <f t="shared" si="19"/>
        <v>0</v>
      </c>
      <c r="N102">
        <f t="shared" si="19"/>
        <v>0</v>
      </c>
      <c r="AB102" s="580">
        <f>HLOOKUP("*"&amp;'Output annual'!$AC$2&amp;'Output annual'!$AD$2&amp;"*Zone People Number Of Occupants [](Hourly)",'Eplus results'!$1:$1048576,ROW(),FALSE)</f>
        <v>0</v>
      </c>
      <c r="AC102" s="580">
        <f>HLOOKUP("*"&amp;'Output annual'!$AC$2&amp;'Output annual'!$AD$2&amp;"*FangerPMV(Hourly)",'Eplus results'!$1:$1048576,ROW(),FALSE)</f>
        <v>0</v>
      </c>
      <c r="AD102" s="580">
        <f t="shared" si="9"/>
        <v>5</v>
      </c>
      <c r="AE102" s="580">
        <f t="shared" si="10"/>
        <v>2.5</v>
      </c>
      <c r="AF102" s="580">
        <f t="shared" si="11"/>
        <v>2.5</v>
      </c>
      <c r="AG102" s="580">
        <f t="shared" si="12"/>
        <v>0</v>
      </c>
      <c r="AH102" s="580">
        <f t="shared" si="13"/>
        <v>0</v>
      </c>
    </row>
    <row r="103" spans="1:34">
      <c r="A103" s="43"/>
      <c r="B103" t="s">
        <v>350</v>
      </c>
      <c r="C103">
        <f>C90</f>
        <v>0</v>
      </c>
      <c r="D103">
        <f t="shared" ref="D103:N103" si="20">D90</f>
        <v>0</v>
      </c>
      <c r="E103">
        <f t="shared" si="20"/>
        <v>0</v>
      </c>
      <c r="F103">
        <f t="shared" si="20"/>
        <v>0</v>
      </c>
      <c r="G103">
        <f t="shared" si="20"/>
        <v>0</v>
      </c>
      <c r="H103">
        <f t="shared" si="20"/>
        <v>0</v>
      </c>
      <c r="I103">
        <f t="shared" si="20"/>
        <v>0</v>
      </c>
      <c r="J103">
        <f t="shared" si="20"/>
        <v>0</v>
      </c>
      <c r="K103">
        <f t="shared" si="20"/>
        <v>0</v>
      </c>
      <c r="L103">
        <f t="shared" si="20"/>
        <v>0</v>
      </c>
      <c r="M103">
        <f t="shared" si="20"/>
        <v>0</v>
      </c>
      <c r="N103">
        <f t="shared" si="20"/>
        <v>0</v>
      </c>
      <c r="AB103" s="580">
        <f>HLOOKUP("*"&amp;'Output annual'!$AC$2&amp;'Output annual'!$AD$2&amp;"*Zone People Number Of Occupants [](Hourly)",'Eplus results'!$1:$1048576,ROW(),FALSE)</f>
        <v>0</v>
      </c>
      <c r="AC103" s="580">
        <f>HLOOKUP("*"&amp;'Output annual'!$AC$2&amp;'Output annual'!$AD$2&amp;"*FangerPMV(Hourly)",'Eplus results'!$1:$1048576,ROW(),FALSE)</f>
        <v>0</v>
      </c>
      <c r="AD103" s="580">
        <f t="shared" si="9"/>
        <v>5</v>
      </c>
      <c r="AE103" s="580">
        <f t="shared" si="10"/>
        <v>2.5</v>
      </c>
      <c r="AF103" s="580">
        <f t="shared" si="11"/>
        <v>2.5</v>
      </c>
      <c r="AG103" s="580">
        <f t="shared" si="12"/>
        <v>0</v>
      </c>
      <c r="AH103" s="580">
        <f t="shared" si="13"/>
        <v>0</v>
      </c>
    </row>
    <row r="104" spans="1:34">
      <c r="A104" s="43"/>
      <c r="B104" t="s">
        <v>351</v>
      </c>
      <c r="C104">
        <f>C93</f>
        <v>0</v>
      </c>
      <c r="D104">
        <f t="shared" ref="D104:N104" si="21">D93</f>
        <v>0</v>
      </c>
      <c r="E104">
        <f t="shared" si="21"/>
        <v>0</v>
      </c>
      <c r="F104">
        <f t="shared" si="21"/>
        <v>0</v>
      </c>
      <c r="G104">
        <f t="shared" si="21"/>
        <v>0</v>
      </c>
      <c r="H104">
        <f t="shared" si="21"/>
        <v>0</v>
      </c>
      <c r="I104">
        <f t="shared" si="21"/>
        <v>0</v>
      </c>
      <c r="J104">
        <f t="shared" si="21"/>
        <v>0</v>
      </c>
      <c r="K104">
        <f t="shared" si="21"/>
        <v>0</v>
      </c>
      <c r="L104">
        <f t="shared" si="21"/>
        <v>0</v>
      </c>
      <c r="M104">
        <f t="shared" si="21"/>
        <v>0</v>
      </c>
      <c r="N104">
        <f t="shared" si="21"/>
        <v>0</v>
      </c>
      <c r="AB104" s="580">
        <f>HLOOKUP("*"&amp;'Output annual'!$AC$2&amp;'Output annual'!$AD$2&amp;"*Zone People Number Of Occupants [](Hourly)",'Eplus results'!$1:$1048576,ROW(),FALSE)</f>
        <v>0</v>
      </c>
      <c r="AC104" s="580">
        <f>HLOOKUP("*"&amp;'Output annual'!$AC$2&amp;'Output annual'!$AD$2&amp;"*FangerPMV(Hourly)",'Eplus results'!$1:$1048576,ROW(),FALSE)</f>
        <v>0</v>
      </c>
      <c r="AD104" s="580">
        <f t="shared" si="9"/>
        <v>5</v>
      </c>
      <c r="AE104" s="580">
        <f t="shared" si="10"/>
        <v>2.5</v>
      </c>
      <c r="AF104" s="580">
        <f t="shared" si="11"/>
        <v>2.5</v>
      </c>
      <c r="AG104" s="580">
        <f t="shared" si="12"/>
        <v>0</v>
      </c>
      <c r="AH104" s="580">
        <f t="shared" si="13"/>
        <v>0</v>
      </c>
    </row>
    <row r="105" spans="1:34">
      <c r="A105" s="43"/>
      <c r="B105" t="s">
        <v>78</v>
      </c>
      <c r="C105">
        <f>C101+C102+C103+C104</f>
        <v>0</v>
      </c>
      <c r="D105">
        <f t="shared" ref="D105:N105" si="22">D101+D102+D103+D104</f>
        <v>0</v>
      </c>
      <c r="E105">
        <f t="shared" si="22"/>
        <v>0</v>
      </c>
      <c r="F105">
        <f t="shared" si="22"/>
        <v>0</v>
      </c>
      <c r="G105">
        <f t="shared" si="22"/>
        <v>0</v>
      </c>
      <c r="H105">
        <f t="shared" si="22"/>
        <v>0</v>
      </c>
      <c r="I105">
        <f t="shared" si="22"/>
        <v>0</v>
      </c>
      <c r="J105">
        <f t="shared" si="22"/>
        <v>0</v>
      </c>
      <c r="K105">
        <f t="shared" si="22"/>
        <v>0</v>
      </c>
      <c r="L105">
        <f t="shared" si="22"/>
        <v>0</v>
      </c>
      <c r="M105">
        <f t="shared" si="22"/>
        <v>0</v>
      </c>
      <c r="N105">
        <f t="shared" si="22"/>
        <v>0</v>
      </c>
      <c r="AB105" s="580">
        <f>HLOOKUP("*"&amp;'Output annual'!$AC$2&amp;'Output annual'!$AD$2&amp;"*Zone People Number Of Occupants [](Hourly)",'Eplus results'!$1:$1048576,ROW(),FALSE)</f>
        <v>0</v>
      </c>
      <c r="AC105" s="580">
        <f>HLOOKUP("*"&amp;'Output annual'!$AC$2&amp;'Output annual'!$AD$2&amp;"*FangerPMV(Hourly)",'Eplus results'!$1:$1048576,ROW(),FALSE)</f>
        <v>0</v>
      </c>
      <c r="AD105" s="580">
        <f t="shared" si="9"/>
        <v>5</v>
      </c>
      <c r="AE105" s="580">
        <f t="shared" si="10"/>
        <v>2.5</v>
      </c>
      <c r="AF105" s="580">
        <f t="shared" si="11"/>
        <v>2.5</v>
      </c>
      <c r="AG105" s="580">
        <f t="shared" si="12"/>
        <v>0</v>
      </c>
      <c r="AH105" s="580">
        <f t="shared" si="13"/>
        <v>0</v>
      </c>
    </row>
    <row r="106" spans="1:34">
      <c r="AB106" s="580">
        <f>HLOOKUP("*"&amp;'Output annual'!$AC$2&amp;'Output annual'!$AD$2&amp;"*Zone People Number Of Occupants [](Hourly)",'Eplus results'!$1:$1048576,ROW(),FALSE)</f>
        <v>0</v>
      </c>
      <c r="AC106" s="580">
        <f>HLOOKUP("*"&amp;'Output annual'!$AC$2&amp;'Output annual'!$AD$2&amp;"*FangerPMV(Hourly)",'Eplus results'!$1:$1048576,ROW(),FALSE)</f>
        <v>0</v>
      </c>
      <c r="AD106" s="580">
        <f t="shared" si="9"/>
        <v>5</v>
      </c>
      <c r="AE106" s="580">
        <f t="shared" si="10"/>
        <v>2.5</v>
      </c>
      <c r="AF106" s="580">
        <f t="shared" si="11"/>
        <v>2.5</v>
      </c>
      <c r="AG106" s="580">
        <f t="shared" si="12"/>
        <v>0</v>
      </c>
      <c r="AH106" s="580">
        <f t="shared" si="13"/>
        <v>0</v>
      </c>
    </row>
    <row r="107" spans="1:34">
      <c r="AB107" s="580">
        <f>HLOOKUP("*"&amp;'Output annual'!$AC$2&amp;'Output annual'!$AD$2&amp;"*Zone People Number Of Occupants [](Hourly)",'Eplus results'!$1:$1048576,ROW(),FALSE)</f>
        <v>0</v>
      </c>
      <c r="AC107" s="580">
        <f>HLOOKUP("*"&amp;'Output annual'!$AC$2&amp;'Output annual'!$AD$2&amp;"*FangerPMV(Hourly)",'Eplus results'!$1:$1048576,ROW(),FALSE)</f>
        <v>0</v>
      </c>
      <c r="AD107" s="580">
        <f t="shared" si="9"/>
        <v>5</v>
      </c>
      <c r="AE107" s="580">
        <f t="shared" si="10"/>
        <v>2.5</v>
      </c>
      <c r="AF107" s="580">
        <f t="shared" si="11"/>
        <v>2.5</v>
      </c>
      <c r="AG107" s="580">
        <f t="shared" si="12"/>
        <v>0</v>
      </c>
      <c r="AH107" s="580">
        <f t="shared" si="13"/>
        <v>0</v>
      </c>
    </row>
    <row r="108" spans="1:34">
      <c r="A108" s="44" t="s">
        <v>82</v>
      </c>
      <c r="C108">
        <v>1</v>
      </c>
      <c r="D108">
        <v>2</v>
      </c>
      <c r="E108" s="30">
        <v>3</v>
      </c>
      <c r="F108">
        <v>4</v>
      </c>
      <c r="G108">
        <v>5</v>
      </c>
      <c r="H108">
        <v>6</v>
      </c>
      <c r="I108">
        <v>7</v>
      </c>
      <c r="J108">
        <v>8</v>
      </c>
      <c r="K108">
        <v>9</v>
      </c>
      <c r="L108">
        <v>10</v>
      </c>
      <c r="M108">
        <v>11</v>
      </c>
      <c r="N108">
        <v>12</v>
      </c>
      <c r="AB108" s="580">
        <f>HLOOKUP("*"&amp;'Output annual'!$AC$2&amp;'Output annual'!$AD$2&amp;"*Zone People Number Of Occupants [](Hourly)",'Eplus results'!$1:$1048576,ROW(),FALSE)</f>
        <v>0</v>
      </c>
      <c r="AC108" s="580">
        <f>HLOOKUP("*"&amp;'Output annual'!$AC$2&amp;'Output annual'!$AD$2&amp;"*FangerPMV(Hourly)",'Eplus results'!$1:$1048576,ROW(),FALSE)</f>
        <v>0</v>
      </c>
      <c r="AD108" s="580">
        <f t="shared" si="9"/>
        <v>5</v>
      </c>
      <c r="AE108" s="580">
        <f t="shared" si="10"/>
        <v>2.5</v>
      </c>
      <c r="AF108" s="580">
        <f t="shared" si="11"/>
        <v>2.5</v>
      </c>
      <c r="AG108" s="580">
        <f t="shared" si="12"/>
        <v>0</v>
      </c>
      <c r="AH108" s="580">
        <f t="shared" si="13"/>
        <v>0</v>
      </c>
    </row>
    <row r="109" spans="1:34">
      <c r="A109" s="44" t="s">
        <v>82</v>
      </c>
      <c r="C109">
        <v>32</v>
      </c>
      <c r="D109">
        <v>60</v>
      </c>
      <c r="E109" s="30">
        <v>91</v>
      </c>
      <c r="F109">
        <v>121</v>
      </c>
      <c r="G109">
        <v>152</v>
      </c>
      <c r="H109">
        <v>182</v>
      </c>
      <c r="I109">
        <v>213</v>
      </c>
      <c r="J109">
        <v>244</v>
      </c>
      <c r="K109">
        <v>274</v>
      </c>
      <c r="L109">
        <v>305</v>
      </c>
      <c r="M109">
        <v>335</v>
      </c>
      <c r="N109">
        <v>366</v>
      </c>
      <c r="AB109" s="580">
        <f>HLOOKUP("*"&amp;'Output annual'!$AC$2&amp;'Output annual'!$AD$2&amp;"*Zone People Number Of Occupants [](Hourly)",'Eplus results'!$1:$1048576,ROW(),FALSE)</f>
        <v>0</v>
      </c>
      <c r="AC109" s="580">
        <f>HLOOKUP("*"&amp;'Output annual'!$AC$2&amp;'Output annual'!$AD$2&amp;"*FangerPMV(Hourly)",'Eplus results'!$1:$1048576,ROW(),FALSE)</f>
        <v>0</v>
      </c>
      <c r="AD109" s="580">
        <f t="shared" si="9"/>
        <v>5</v>
      </c>
      <c r="AE109" s="580">
        <f t="shared" si="10"/>
        <v>2.5</v>
      </c>
      <c r="AF109" s="580">
        <f t="shared" si="11"/>
        <v>2.5</v>
      </c>
      <c r="AG109" s="580">
        <f t="shared" si="12"/>
        <v>0</v>
      </c>
      <c r="AH109" s="580">
        <f t="shared" si="13"/>
        <v>0</v>
      </c>
    </row>
    <row r="110" spans="1:34">
      <c r="B110" t="s">
        <v>180</v>
      </c>
      <c r="C110">
        <f t="shared" ref="C110:N110" si="23">ROUND(3.41*C84/3600000/(Bldg_Length*Bldg_Width*3*10.76),3)</f>
        <v>0</v>
      </c>
      <c r="D110">
        <f t="shared" si="23"/>
        <v>0</v>
      </c>
      <c r="E110">
        <f t="shared" si="23"/>
        <v>0</v>
      </c>
      <c r="F110">
        <f t="shared" si="23"/>
        <v>0</v>
      </c>
      <c r="G110">
        <f t="shared" si="23"/>
        <v>0</v>
      </c>
      <c r="H110">
        <f t="shared" si="23"/>
        <v>0</v>
      </c>
      <c r="I110">
        <f t="shared" si="23"/>
        <v>0</v>
      </c>
      <c r="J110">
        <f t="shared" si="23"/>
        <v>0</v>
      </c>
      <c r="K110">
        <f t="shared" si="23"/>
        <v>0</v>
      </c>
      <c r="L110">
        <f t="shared" si="23"/>
        <v>0</v>
      </c>
      <c r="M110">
        <f t="shared" si="23"/>
        <v>0</v>
      </c>
      <c r="N110">
        <f t="shared" si="23"/>
        <v>0</v>
      </c>
      <c r="AB110" s="580">
        <f>HLOOKUP("*"&amp;'Output annual'!$AC$2&amp;'Output annual'!$AD$2&amp;"*Zone People Number Of Occupants [](Hourly)",'Eplus results'!$1:$1048576,ROW(),FALSE)</f>
        <v>0</v>
      </c>
      <c r="AC110" s="580">
        <f>HLOOKUP("*"&amp;'Output annual'!$AC$2&amp;'Output annual'!$AD$2&amp;"*FangerPMV(Hourly)",'Eplus results'!$1:$1048576,ROW(),FALSE)</f>
        <v>0</v>
      </c>
      <c r="AD110" s="580">
        <f t="shared" si="9"/>
        <v>5</v>
      </c>
      <c r="AE110" s="580">
        <f t="shared" si="10"/>
        <v>2.5</v>
      </c>
      <c r="AF110" s="580">
        <f t="shared" si="11"/>
        <v>2.5</v>
      </c>
      <c r="AG110" s="580">
        <f t="shared" si="12"/>
        <v>0</v>
      </c>
      <c r="AH110" s="580">
        <f t="shared" si="13"/>
        <v>0</v>
      </c>
    </row>
    <row r="111" spans="1:34">
      <c r="B111" t="s">
        <v>181</v>
      </c>
      <c r="C111">
        <f t="shared" ref="C111:N111" si="24">ROUND(3.41*C85/3600000/(Bldg_Length*Bldg_Width*3*10.76),3)</f>
        <v>0</v>
      </c>
      <c r="D111">
        <f t="shared" si="24"/>
        <v>0</v>
      </c>
      <c r="E111">
        <f t="shared" si="24"/>
        <v>0</v>
      </c>
      <c r="F111">
        <f t="shared" si="24"/>
        <v>0</v>
      </c>
      <c r="G111">
        <f t="shared" si="24"/>
        <v>0</v>
      </c>
      <c r="H111">
        <f t="shared" si="24"/>
        <v>0</v>
      </c>
      <c r="I111">
        <f t="shared" si="24"/>
        <v>0</v>
      </c>
      <c r="J111">
        <f t="shared" si="24"/>
        <v>0</v>
      </c>
      <c r="K111">
        <f t="shared" si="24"/>
        <v>0</v>
      </c>
      <c r="L111">
        <f t="shared" si="24"/>
        <v>0</v>
      </c>
      <c r="M111">
        <f t="shared" si="24"/>
        <v>0</v>
      </c>
      <c r="N111">
        <f t="shared" si="24"/>
        <v>0</v>
      </c>
      <c r="AB111" s="580">
        <f>HLOOKUP("*"&amp;'Output annual'!$AC$2&amp;'Output annual'!$AD$2&amp;"*Zone People Number Of Occupants [](Hourly)",'Eplus results'!$1:$1048576,ROW(),FALSE)</f>
        <v>0</v>
      </c>
      <c r="AC111" s="580">
        <f>HLOOKUP("*"&amp;'Output annual'!$AC$2&amp;'Output annual'!$AD$2&amp;"*FangerPMV(Hourly)",'Eplus results'!$1:$1048576,ROW(),FALSE)</f>
        <v>0</v>
      </c>
      <c r="AD111" s="580">
        <f t="shared" si="9"/>
        <v>5</v>
      </c>
      <c r="AE111" s="580">
        <f t="shared" si="10"/>
        <v>2.5</v>
      </c>
      <c r="AF111" s="580">
        <f t="shared" si="11"/>
        <v>2.5</v>
      </c>
      <c r="AG111" s="580">
        <f t="shared" si="12"/>
        <v>0</v>
      </c>
      <c r="AH111" s="580">
        <f t="shared" si="13"/>
        <v>0</v>
      </c>
    </row>
    <row r="112" spans="1:34">
      <c r="B112" t="s">
        <v>182</v>
      </c>
      <c r="C112">
        <f t="shared" ref="C112:N112" si="25">ROUND(3.41*C86/3600000/(Bldg_Length*Bldg_Width*3*10.76),3)</f>
        <v>0</v>
      </c>
      <c r="D112">
        <f t="shared" si="25"/>
        <v>0</v>
      </c>
      <c r="E112">
        <f t="shared" si="25"/>
        <v>0</v>
      </c>
      <c r="F112">
        <f t="shared" si="25"/>
        <v>0</v>
      </c>
      <c r="G112">
        <f t="shared" si="25"/>
        <v>0</v>
      </c>
      <c r="H112">
        <f t="shared" si="25"/>
        <v>0</v>
      </c>
      <c r="I112">
        <f t="shared" si="25"/>
        <v>0</v>
      </c>
      <c r="J112">
        <f t="shared" si="25"/>
        <v>0</v>
      </c>
      <c r="K112">
        <f t="shared" si="25"/>
        <v>0</v>
      </c>
      <c r="L112">
        <f t="shared" si="25"/>
        <v>0</v>
      </c>
      <c r="M112">
        <f t="shared" si="25"/>
        <v>0</v>
      </c>
      <c r="N112">
        <f t="shared" si="25"/>
        <v>0</v>
      </c>
      <c r="AB112" s="580">
        <f>HLOOKUP("*"&amp;'Output annual'!$AC$2&amp;'Output annual'!$AD$2&amp;"*Zone People Number Of Occupants [](Hourly)",'Eplus results'!$1:$1048576,ROW(),FALSE)</f>
        <v>0</v>
      </c>
      <c r="AC112" s="580">
        <f>HLOOKUP("*"&amp;'Output annual'!$AC$2&amp;'Output annual'!$AD$2&amp;"*FangerPMV(Hourly)",'Eplus results'!$1:$1048576,ROW(),FALSE)</f>
        <v>0</v>
      </c>
      <c r="AD112" s="580">
        <f t="shared" si="9"/>
        <v>5</v>
      </c>
      <c r="AE112" s="580">
        <f t="shared" si="10"/>
        <v>2.5</v>
      </c>
      <c r="AF112" s="580">
        <f t="shared" si="11"/>
        <v>2.5</v>
      </c>
      <c r="AG112" s="580">
        <f t="shared" si="12"/>
        <v>0</v>
      </c>
      <c r="AH112" s="580">
        <f t="shared" si="13"/>
        <v>0</v>
      </c>
    </row>
    <row r="113" spans="1:34">
      <c r="B113" t="s">
        <v>183</v>
      </c>
      <c r="C113">
        <f t="shared" ref="C113:N113" si="26">ROUND(3.41*C87/3600000/(Bldg_Length*Bldg_Width*3*10.76),3)</f>
        <v>0</v>
      </c>
      <c r="D113">
        <f t="shared" si="26"/>
        <v>0</v>
      </c>
      <c r="E113">
        <f t="shared" si="26"/>
        <v>0</v>
      </c>
      <c r="F113">
        <f t="shared" si="26"/>
        <v>0</v>
      </c>
      <c r="G113">
        <f t="shared" si="26"/>
        <v>0</v>
      </c>
      <c r="H113">
        <f t="shared" si="26"/>
        <v>0</v>
      </c>
      <c r="I113">
        <f t="shared" si="26"/>
        <v>0</v>
      </c>
      <c r="J113">
        <f t="shared" si="26"/>
        <v>0</v>
      </c>
      <c r="K113">
        <f t="shared" si="26"/>
        <v>0</v>
      </c>
      <c r="L113">
        <f t="shared" si="26"/>
        <v>0</v>
      </c>
      <c r="M113">
        <f t="shared" si="26"/>
        <v>0</v>
      </c>
      <c r="N113">
        <f t="shared" si="26"/>
        <v>0</v>
      </c>
      <c r="AB113" s="580">
        <f>HLOOKUP("*"&amp;'Output annual'!$AC$2&amp;'Output annual'!$AD$2&amp;"*Zone People Number Of Occupants [](Hourly)",'Eplus results'!$1:$1048576,ROW(),FALSE)</f>
        <v>0</v>
      </c>
      <c r="AC113" s="580">
        <f>HLOOKUP("*"&amp;'Output annual'!$AC$2&amp;'Output annual'!$AD$2&amp;"*FangerPMV(Hourly)",'Eplus results'!$1:$1048576,ROW(),FALSE)</f>
        <v>0</v>
      </c>
      <c r="AD113" s="580">
        <f t="shared" si="9"/>
        <v>5</v>
      </c>
      <c r="AE113" s="580">
        <f t="shared" si="10"/>
        <v>2.5</v>
      </c>
      <c r="AF113" s="580">
        <f t="shared" si="11"/>
        <v>2.5</v>
      </c>
      <c r="AG113" s="580">
        <f t="shared" si="12"/>
        <v>0</v>
      </c>
      <c r="AH113" s="580">
        <f t="shared" si="13"/>
        <v>0</v>
      </c>
    </row>
    <row r="114" spans="1:34">
      <c r="B114" t="s">
        <v>184</v>
      </c>
      <c r="C114">
        <f t="shared" ref="C114:N114" si="27">ROUND(3.41*C88/3600000/(Bldg_Length*Bldg_Width*3*10.76),3)</f>
        <v>0</v>
      </c>
      <c r="D114">
        <f t="shared" si="27"/>
        <v>0</v>
      </c>
      <c r="E114">
        <f t="shared" si="27"/>
        <v>0</v>
      </c>
      <c r="F114">
        <f t="shared" si="27"/>
        <v>0</v>
      </c>
      <c r="G114">
        <f t="shared" si="27"/>
        <v>0</v>
      </c>
      <c r="H114">
        <f t="shared" si="27"/>
        <v>0</v>
      </c>
      <c r="I114">
        <f t="shared" si="27"/>
        <v>0</v>
      </c>
      <c r="J114">
        <f t="shared" si="27"/>
        <v>0</v>
      </c>
      <c r="K114">
        <f t="shared" si="27"/>
        <v>0</v>
      </c>
      <c r="L114">
        <f t="shared" si="27"/>
        <v>0</v>
      </c>
      <c r="M114">
        <f t="shared" si="27"/>
        <v>0</v>
      </c>
      <c r="N114">
        <f t="shared" si="27"/>
        <v>0</v>
      </c>
      <c r="AB114" s="580">
        <f>HLOOKUP("*"&amp;'Output annual'!$AC$2&amp;'Output annual'!$AD$2&amp;"*Zone People Number Of Occupants [](Hourly)",'Eplus results'!$1:$1048576,ROW(),FALSE)</f>
        <v>0</v>
      </c>
      <c r="AC114" s="580">
        <f>HLOOKUP("*"&amp;'Output annual'!$AC$2&amp;'Output annual'!$AD$2&amp;"*FangerPMV(Hourly)",'Eplus results'!$1:$1048576,ROW(),FALSE)</f>
        <v>0</v>
      </c>
      <c r="AD114" s="580">
        <f t="shared" si="9"/>
        <v>5</v>
      </c>
      <c r="AE114" s="580">
        <f t="shared" si="10"/>
        <v>2.5</v>
      </c>
      <c r="AF114" s="580">
        <f t="shared" si="11"/>
        <v>2.5</v>
      </c>
      <c r="AG114" s="580">
        <f t="shared" si="12"/>
        <v>0</v>
      </c>
      <c r="AH114" s="580">
        <f t="shared" si="13"/>
        <v>0</v>
      </c>
    </row>
    <row r="115" spans="1:34">
      <c r="B115" t="s">
        <v>185</v>
      </c>
      <c r="C115">
        <f t="shared" ref="C115:N115" si="28">ROUND(3.41*C89/3600000/(Bldg_Length*Bldg_Width*3*10.76),3)</f>
        <v>0</v>
      </c>
      <c r="D115">
        <f t="shared" si="28"/>
        <v>0</v>
      </c>
      <c r="E115">
        <f t="shared" si="28"/>
        <v>0</v>
      </c>
      <c r="F115">
        <f t="shared" si="28"/>
        <v>0</v>
      </c>
      <c r="G115">
        <f t="shared" si="28"/>
        <v>0</v>
      </c>
      <c r="H115">
        <f t="shared" si="28"/>
        <v>0</v>
      </c>
      <c r="I115">
        <f t="shared" si="28"/>
        <v>0</v>
      </c>
      <c r="J115">
        <f t="shared" si="28"/>
        <v>0</v>
      </c>
      <c r="K115">
        <f t="shared" si="28"/>
        <v>0</v>
      </c>
      <c r="L115">
        <f t="shared" si="28"/>
        <v>0</v>
      </c>
      <c r="M115">
        <f t="shared" si="28"/>
        <v>0</v>
      </c>
      <c r="N115">
        <f t="shared" si="28"/>
        <v>0</v>
      </c>
      <c r="AB115" s="580">
        <f>HLOOKUP("*"&amp;'Output annual'!$AC$2&amp;'Output annual'!$AD$2&amp;"*Zone People Number Of Occupants [](Hourly)",'Eplus results'!$1:$1048576,ROW(),FALSE)</f>
        <v>0</v>
      </c>
      <c r="AC115" s="580">
        <f>HLOOKUP("*"&amp;'Output annual'!$AC$2&amp;'Output annual'!$AD$2&amp;"*FangerPMV(Hourly)",'Eplus results'!$1:$1048576,ROW(),FALSE)</f>
        <v>0</v>
      </c>
      <c r="AD115" s="580">
        <f t="shared" si="9"/>
        <v>5</v>
      </c>
      <c r="AE115" s="580">
        <f t="shared" si="10"/>
        <v>2.5</v>
      </c>
      <c r="AF115" s="580">
        <f t="shared" si="11"/>
        <v>2.5</v>
      </c>
      <c r="AG115" s="580">
        <f t="shared" si="12"/>
        <v>0</v>
      </c>
      <c r="AH115" s="580">
        <f t="shared" si="13"/>
        <v>0</v>
      </c>
    </row>
    <row r="116" spans="1:34">
      <c r="B116" t="s">
        <v>186</v>
      </c>
      <c r="C116">
        <f t="shared" ref="C116:N116" si="29">ROUND(3.41*C90/3600000/(Bldg_Length*Bldg_Width*3*10.76),3)</f>
        <v>0</v>
      </c>
      <c r="D116">
        <f t="shared" si="29"/>
        <v>0</v>
      </c>
      <c r="E116">
        <f t="shared" si="29"/>
        <v>0</v>
      </c>
      <c r="F116">
        <f t="shared" si="29"/>
        <v>0</v>
      </c>
      <c r="G116">
        <f t="shared" si="29"/>
        <v>0</v>
      </c>
      <c r="H116">
        <f t="shared" si="29"/>
        <v>0</v>
      </c>
      <c r="I116">
        <f t="shared" si="29"/>
        <v>0</v>
      </c>
      <c r="J116">
        <f t="shared" si="29"/>
        <v>0</v>
      </c>
      <c r="K116">
        <f t="shared" si="29"/>
        <v>0</v>
      </c>
      <c r="L116">
        <f t="shared" si="29"/>
        <v>0</v>
      </c>
      <c r="M116">
        <f t="shared" si="29"/>
        <v>0</v>
      </c>
      <c r="N116">
        <f t="shared" si="29"/>
        <v>0</v>
      </c>
      <c r="AB116" s="580">
        <f>HLOOKUP("*"&amp;'Output annual'!$AC$2&amp;'Output annual'!$AD$2&amp;"*Zone People Number Of Occupants [](Hourly)",'Eplus results'!$1:$1048576,ROW(),FALSE)</f>
        <v>0</v>
      </c>
      <c r="AC116" s="580">
        <f>HLOOKUP("*"&amp;'Output annual'!$AC$2&amp;'Output annual'!$AD$2&amp;"*FangerPMV(Hourly)",'Eplus results'!$1:$1048576,ROW(),FALSE)</f>
        <v>0</v>
      </c>
      <c r="AD116" s="580">
        <f t="shared" si="9"/>
        <v>5</v>
      </c>
      <c r="AE116" s="580">
        <f t="shared" si="10"/>
        <v>2.5</v>
      </c>
      <c r="AF116" s="580">
        <f t="shared" si="11"/>
        <v>2.5</v>
      </c>
      <c r="AG116" s="580">
        <f t="shared" si="12"/>
        <v>0</v>
      </c>
      <c r="AH116" s="580">
        <f t="shared" si="13"/>
        <v>0</v>
      </c>
    </row>
    <row r="117" spans="1:34">
      <c r="B117" t="s">
        <v>187</v>
      </c>
      <c r="C117">
        <f t="shared" ref="C117:N117" si="30">ROUND(3.41*C91/3600000/(Bldg_Length*Bldg_Width*3*10.76),3)</f>
        <v>0</v>
      </c>
      <c r="D117">
        <f t="shared" si="30"/>
        <v>0</v>
      </c>
      <c r="E117">
        <f t="shared" si="30"/>
        <v>0</v>
      </c>
      <c r="F117">
        <f t="shared" si="30"/>
        <v>0</v>
      </c>
      <c r="G117">
        <f t="shared" si="30"/>
        <v>0</v>
      </c>
      <c r="H117">
        <f t="shared" si="30"/>
        <v>0</v>
      </c>
      <c r="I117">
        <f t="shared" si="30"/>
        <v>0</v>
      </c>
      <c r="J117">
        <f t="shared" si="30"/>
        <v>0</v>
      </c>
      <c r="K117">
        <f t="shared" si="30"/>
        <v>0</v>
      </c>
      <c r="L117">
        <f t="shared" si="30"/>
        <v>0</v>
      </c>
      <c r="M117">
        <f t="shared" si="30"/>
        <v>0</v>
      </c>
      <c r="N117">
        <f t="shared" si="30"/>
        <v>0</v>
      </c>
      <c r="AB117" s="580">
        <f>HLOOKUP("*"&amp;'Output annual'!$AC$2&amp;'Output annual'!$AD$2&amp;"*Zone People Number Of Occupants [](Hourly)",'Eplus results'!$1:$1048576,ROW(),FALSE)</f>
        <v>0</v>
      </c>
      <c r="AC117" s="580">
        <f>HLOOKUP("*"&amp;'Output annual'!$AC$2&amp;'Output annual'!$AD$2&amp;"*FangerPMV(Hourly)",'Eplus results'!$1:$1048576,ROW(),FALSE)</f>
        <v>0</v>
      </c>
      <c r="AD117" s="580">
        <f t="shared" si="9"/>
        <v>5</v>
      </c>
      <c r="AE117" s="580">
        <f t="shared" si="10"/>
        <v>2.5</v>
      </c>
      <c r="AF117" s="580">
        <f t="shared" si="11"/>
        <v>2.5</v>
      </c>
      <c r="AG117" s="580">
        <f t="shared" si="12"/>
        <v>0</v>
      </c>
      <c r="AH117" s="580">
        <f t="shared" si="13"/>
        <v>0</v>
      </c>
    </row>
    <row r="118" spans="1:34">
      <c r="B118" t="s">
        <v>188</v>
      </c>
      <c r="C118">
        <f t="shared" ref="C118:N118" si="31">ROUND(3.41*C92/3600000/(Bldg_Length*Bldg_Width*3*10.76),3)</f>
        <v>0</v>
      </c>
      <c r="D118">
        <f t="shared" si="31"/>
        <v>0</v>
      </c>
      <c r="E118">
        <f t="shared" si="31"/>
        <v>0</v>
      </c>
      <c r="F118">
        <f t="shared" si="31"/>
        <v>0</v>
      </c>
      <c r="G118">
        <f t="shared" si="31"/>
        <v>0</v>
      </c>
      <c r="H118">
        <f t="shared" si="31"/>
        <v>0</v>
      </c>
      <c r="I118">
        <f t="shared" si="31"/>
        <v>0</v>
      </c>
      <c r="J118">
        <f t="shared" si="31"/>
        <v>0</v>
      </c>
      <c r="K118">
        <f t="shared" si="31"/>
        <v>0</v>
      </c>
      <c r="L118">
        <f t="shared" si="31"/>
        <v>0</v>
      </c>
      <c r="M118">
        <f t="shared" si="31"/>
        <v>0</v>
      </c>
      <c r="N118">
        <f t="shared" si="31"/>
        <v>0</v>
      </c>
      <c r="AB118" s="580">
        <f>HLOOKUP("*"&amp;'Output annual'!$AC$2&amp;'Output annual'!$AD$2&amp;"*Zone People Number Of Occupants [](Hourly)",'Eplus results'!$1:$1048576,ROW(),FALSE)</f>
        <v>0</v>
      </c>
      <c r="AC118" s="580">
        <f>HLOOKUP("*"&amp;'Output annual'!$AC$2&amp;'Output annual'!$AD$2&amp;"*FangerPMV(Hourly)",'Eplus results'!$1:$1048576,ROW(),FALSE)</f>
        <v>0</v>
      </c>
      <c r="AD118" s="580">
        <f t="shared" si="9"/>
        <v>5</v>
      </c>
      <c r="AE118" s="580">
        <f t="shared" si="10"/>
        <v>2.5</v>
      </c>
      <c r="AF118" s="580">
        <f t="shared" si="11"/>
        <v>2.5</v>
      </c>
      <c r="AG118" s="580">
        <f t="shared" si="12"/>
        <v>0</v>
      </c>
      <c r="AH118" s="580">
        <f t="shared" si="13"/>
        <v>0</v>
      </c>
    </row>
    <row r="119" spans="1:34">
      <c r="B119" t="s">
        <v>189</v>
      </c>
      <c r="C119">
        <f t="shared" ref="C119:N119" si="32">ROUND(3.41*C93/3600000/(Bldg_Length*Bldg_Width*3*10.76),3)</f>
        <v>0</v>
      </c>
      <c r="D119">
        <f t="shared" si="32"/>
        <v>0</v>
      </c>
      <c r="E119">
        <f t="shared" si="32"/>
        <v>0</v>
      </c>
      <c r="F119">
        <f t="shared" si="32"/>
        <v>0</v>
      </c>
      <c r="G119">
        <f t="shared" si="32"/>
        <v>0</v>
      </c>
      <c r="H119">
        <f t="shared" si="32"/>
        <v>0</v>
      </c>
      <c r="I119">
        <f t="shared" si="32"/>
        <v>0</v>
      </c>
      <c r="J119">
        <f t="shared" si="32"/>
        <v>0</v>
      </c>
      <c r="K119">
        <f t="shared" si="32"/>
        <v>0</v>
      </c>
      <c r="L119">
        <f t="shared" si="32"/>
        <v>0</v>
      </c>
      <c r="M119">
        <f t="shared" si="32"/>
        <v>0</v>
      </c>
      <c r="N119">
        <f t="shared" si="32"/>
        <v>0</v>
      </c>
      <c r="AB119" s="580">
        <f>HLOOKUP("*"&amp;'Output annual'!$AC$2&amp;'Output annual'!$AD$2&amp;"*Zone People Number Of Occupants [](Hourly)",'Eplus results'!$1:$1048576,ROW(),FALSE)</f>
        <v>0</v>
      </c>
      <c r="AC119" s="580">
        <f>HLOOKUP("*"&amp;'Output annual'!$AC$2&amp;'Output annual'!$AD$2&amp;"*FangerPMV(Hourly)",'Eplus results'!$1:$1048576,ROW(),FALSE)</f>
        <v>0</v>
      </c>
      <c r="AD119" s="580">
        <f t="shared" si="9"/>
        <v>5</v>
      </c>
      <c r="AE119" s="580">
        <f t="shared" si="10"/>
        <v>2.5</v>
      </c>
      <c r="AF119" s="580">
        <f t="shared" si="11"/>
        <v>2.5</v>
      </c>
      <c r="AG119" s="580">
        <f t="shared" si="12"/>
        <v>0</v>
      </c>
      <c r="AH119" s="580">
        <f t="shared" si="13"/>
        <v>0</v>
      </c>
    </row>
    <row r="120" spans="1:34">
      <c r="E120"/>
      <c r="N120">
        <f t="shared" ref="N120:N131" si="33">ROUND(3.41*N94/3600000/(Bldg_Length*Bldg_Width*3*10.76),3)</f>
        <v>0</v>
      </c>
      <c r="AB120" s="580">
        <f>HLOOKUP("*"&amp;'Output annual'!$AC$2&amp;'Output annual'!$AD$2&amp;"*Zone People Number Of Occupants [](Hourly)",'Eplus results'!$1:$1048576,ROW(),FALSE)</f>
        <v>0</v>
      </c>
      <c r="AC120" s="580">
        <f>HLOOKUP("*"&amp;'Output annual'!$AC$2&amp;'Output annual'!$AD$2&amp;"*FangerPMV(Hourly)",'Eplus results'!$1:$1048576,ROW(),FALSE)</f>
        <v>0</v>
      </c>
      <c r="AD120" s="580">
        <f t="shared" si="9"/>
        <v>5</v>
      </c>
      <c r="AE120" s="580">
        <f t="shared" si="10"/>
        <v>2.5</v>
      </c>
      <c r="AF120" s="580">
        <f t="shared" si="11"/>
        <v>2.5</v>
      </c>
      <c r="AG120" s="580">
        <f t="shared" si="12"/>
        <v>0</v>
      </c>
      <c r="AH120" s="580">
        <f t="shared" si="13"/>
        <v>0</v>
      </c>
    </row>
    <row r="121" spans="1:34">
      <c r="A121" t="s">
        <v>356</v>
      </c>
      <c r="B121" t="s">
        <v>190</v>
      </c>
      <c r="C121">
        <f t="shared" ref="C121:M121" si="34">ROUND(3.41*C95/3600000/(Bldg_Length*Bldg_Width*3*10.76),3)</f>
        <v>0</v>
      </c>
      <c r="D121">
        <f t="shared" si="34"/>
        <v>0</v>
      </c>
      <c r="E121">
        <f t="shared" si="34"/>
        <v>0</v>
      </c>
      <c r="F121">
        <f t="shared" si="34"/>
        <v>0</v>
      </c>
      <c r="G121">
        <f t="shared" si="34"/>
        <v>0</v>
      </c>
      <c r="H121">
        <f t="shared" si="34"/>
        <v>0</v>
      </c>
      <c r="I121">
        <f t="shared" si="34"/>
        <v>0</v>
      </c>
      <c r="J121">
        <f t="shared" si="34"/>
        <v>0</v>
      </c>
      <c r="K121">
        <f t="shared" si="34"/>
        <v>0</v>
      </c>
      <c r="L121">
        <f t="shared" si="34"/>
        <v>0</v>
      </c>
      <c r="M121">
        <f t="shared" si="34"/>
        <v>0</v>
      </c>
      <c r="N121">
        <f t="shared" si="33"/>
        <v>0</v>
      </c>
      <c r="AB121" s="580">
        <f>HLOOKUP("*"&amp;'Output annual'!$AC$2&amp;'Output annual'!$AD$2&amp;"*Zone People Number Of Occupants [](Hourly)",'Eplus results'!$1:$1048576,ROW(),FALSE)</f>
        <v>0</v>
      </c>
      <c r="AC121" s="580">
        <f>HLOOKUP("*"&amp;'Output annual'!$AC$2&amp;'Output annual'!$AD$2&amp;"*FangerPMV(Hourly)",'Eplus results'!$1:$1048576,ROW(),FALSE)</f>
        <v>0</v>
      </c>
      <c r="AD121" s="580">
        <f t="shared" si="9"/>
        <v>5</v>
      </c>
      <c r="AE121" s="580">
        <f t="shared" si="10"/>
        <v>2.5</v>
      </c>
      <c r="AF121" s="580">
        <f t="shared" si="11"/>
        <v>2.5</v>
      </c>
      <c r="AG121" s="580">
        <f t="shared" si="12"/>
        <v>0</v>
      </c>
      <c r="AH121" s="580">
        <f t="shared" si="13"/>
        <v>0</v>
      </c>
    </row>
    <row r="122" spans="1:34">
      <c r="A122" s="43"/>
      <c r="B122" t="s">
        <v>443</v>
      </c>
      <c r="C122">
        <f t="shared" ref="C122:M122" si="35">ROUND(3.41*C96/3600000/(Bldg_Length*Bldg_Width*3*10.76),3)</f>
        <v>0</v>
      </c>
      <c r="D122">
        <f t="shared" si="35"/>
        <v>0</v>
      </c>
      <c r="E122">
        <f t="shared" si="35"/>
        <v>0</v>
      </c>
      <c r="F122">
        <f t="shared" si="35"/>
        <v>0</v>
      </c>
      <c r="G122">
        <f t="shared" si="35"/>
        <v>0</v>
      </c>
      <c r="H122">
        <f t="shared" si="35"/>
        <v>0</v>
      </c>
      <c r="I122">
        <f t="shared" si="35"/>
        <v>0</v>
      </c>
      <c r="J122">
        <f t="shared" si="35"/>
        <v>0</v>
      </c>
      <c r="K122">
        <f t="shared" si="35"/>
        <v>0</v>
      </c>
      <c r="L122">
        <f t="shared" si="35"/>
        <v>0</v>
      </c>
      <c r="M122">
        <f t="shared" si="35"/>
        <v>0</v>
      </c>
      <c r="N122">
        <f t="shared" si="33"/>
        <v>0</v>
      </c>
      <c r="AB122" s="580">
        <f>HLOOKUP("*"&amp;'Output annual'!$AC$2&amp;'Output annual'!$AD$2&amp;"*Zone People Number Of Occupants [](Hourly)",'Eplus results'!$1:$1048576,ROW(),FALSE)</f>
        <v>0</v>
      </c>
      <c r="AC122" s="580">
        <f>HLOOKUP("*"&amp;'Output annual'!$AC$2&amp;'Output annual'!$AD$2&amp;"*FangerPMV(Hourly)",'Eplus results'!$1:$1048576,ROW(),FALSE)</f>
        <v>0</v>
      </c>
      <c r="AD122" s="580">
        <f t="shared" si="9"/>
        <v>5</v>
      </c>
      <c r="AE122" s="580">
        <f t="shared" si="10"/>
        <v>2.5</v>
      </c>
      <c r="AF122" s="580">
        <f t="shared" si="11"/>
        <v>2.5</v>
      </c>
      <c r="AG122" s="580">
        <f t="shared" si="12"/>
        <v>0</v>
      </c>
      <c r="AH122" s="580">
        <f t="shared" si="13"/>
        <v>0</v>
      </c>
    </row>
    <row r="123" spans="1:34">
      <c r="A123" s="43"/>
      <c r="B123" t="s">
        <v>444</v>
      </c>
      <c r="C123">
        <f t="shared" ref="C123:M123" si="36">ROUND(3.41*C97/3600000/(Bldg_Length*Bldg_Width*3*10.76),3)</f>
        <v>0</v>
      </c>
      <c r="D123">
        <f t="shared" si="36"/>
        <v>0</v>
      </c>
      <c r="E123">
        <f t="shared" si="36"/>
        <v>0</v>
      </c>
      <c r="F123">
        <f t="shared" si="36"/>
        <v>0</v>
      </c>
      <c r="G123">
        <f t="shared" si="36"/>
        <v>0</v>
      </c>
      <c r="H123">
        <f t="shared" si="36"/>
        <v>0</v>
      </c>
      <c r="I123">
        <f t="shared" si="36"/>
        <v>0</v>
      </c>
      <c r="J123">
        <f t="shared" si="36"/>
        <v>0</v>
      </c>
      <c r="K123">
        <f t="shared" si="36"/>
        <v>0</v>
      </c>
      <c r="L123">
        <f t="shared" si="36"/>
        <v>0</v>
      </c>
      <c r="M123">
        <f t="shared" si="36"/>
        <v>0</v>
      </c>
      <c r="N123">
        <f t="shared" si="33"/>
        <v>0</v>
      </c>
      <c r="AB123" s="580">
        <f>HLOOKUP("*"&amp;'Output annual'!$AC$2&amp;'Output annual'!$AD$2&amp;"*Zone People Number Of Occupants [](Hourly)",'Eplus results'!$1:$1048576,ROW(),FALSE)</f>
        <v>0</v>
      </c>
      <c r="AC123" s="580">
        <f>HLOOKUP("*"&amp;'Output annual'!$AC$2&amp;'Output annual'!$AD$2&amp;"*FangerPMV(Hourly)",'Eplus results'!$1:$1048576,ROW(),FALSE)</f>
        <v>0</v>
      </c>
      <c r="AD123" s="580">
        <f t="shared" si="9"/>
        <v>5</v>
      </c>
      <c r="AE123" s="580">
        <f t="shared" si="10"/>
        <v>2.5</v>
      </c>
      <c r="AF123" s="580">
        <f t="shared" si="11"/>
        <v>2.5</v>
      </c>
      <c r="AG123" s="580">
        <f t="shared" si="12"/>
        <v>0</v>
      </c>
      <c r="AH123" s="580">
        <f t="shared" si="13"/>
        <v>0</v>
      </c>
    </row>
    <row r="124" spans="1:34">
      <c r="A124" s="43"/>
      <c r="B124" t="s">
        <v>445</v>
      </c>
      <c r="C124">
        <f t="shared" ref="C124:M124" si="37">ROUND(3.41*C98/3600000/(Bldg_Length*Bldg_Width*3*10.76),3)</f>
        <v>0</v>
      </c>
      <c r="D124">
        <f t="shared" si="37"/>
        <v>0</v>
      </c>
      <c r="E124">
        <f t="shared" si="37"/>
        <v>0</v>
      </c>
      <c r="F124">
        <f t="shared" si="37"/>
        <v>0</v>
      </c>
      <c r="G124">
        <f t="shared" si="37"/>
        <v>0</v>
      </c>
      <c r="H124">
        <f t="shared" si="37"/>
        <v>0</v>
      </c>
      <c r="I124">
        <f t="shared" si="37"/>
        <v>0</v>
      </c>
      <c r="J124">
        <f t="shared" si="37"/>
        <v>0</v>
      </c>
      <c r="K124">
        <f t="shared" si="37"/>
        <v>0</v>
      </c>
      <c r="L124">
        <f t="shared" si="37"/>
        <v>0</v>
      </c>
      <c r="M124">
        <f t="shared" si="37"/>
        <v>0</v>
      </c>
      <c r="N124">
        <f t="shared" si="33"/>
        <v>0</v>
      </c>
      <c r="AB124" s="580">
        <f>HLOOKUP("*"&amp;'Output annual'!$AC$2&amp;'Output annual'!$AD$2&amp;"*Zone People Number Of Occupants [](Hourly)",'Eplus results'!$1:$1048576,ROW(),FALSE)</f>
        <v>0</v>
      </c>
      <c r="AC124" s="580">
        <f>HLOOKUP("*"&amp;'Output annual'!$AC$2&amp;'Output annual'!$AD$2&amp;"*FangerPMV(Hourly)",'Eplus results'!$1:$1048576,ROW(),FALSE)</f>
        <v>0</v>
      </c>
      <c r="AD124" s="580">
        <f t="shared" si="9"/>
        <v>5</v>
      </c>
      <c r="AE124" s="580">
        <f t="shared" si="10"/>
        <v>2.5</v>
      </c>
      <c r="AF124" s="580">
        <f t="shared" si="11"/>
        <v>2.5</v>
      </c>
      <c r="AG124" s="580">
        <f t="shared" si="12"/>
        <v>0</v>
      </c>
      <c r="AH124" s="580">
        <f t="shared" si="13"/>
        <v>0</v>
      </c>
    </row>
    <row r="125" spans="1:34">
      <c r="E125"/>
      <c r="N125">
        <f t="shared" si="33"/>
        <v>0</v>
      </c>
      <c r="AB125" s="580">
        <f>HLOOKUP("*"&amp;'Output annual'!$AC$2&amp;'Output annual'!$AD$2&amp;"*Zone People Number Of Occupants [](Hourly)",'Eplus results'!$1:$1048576,ROW(),FALSE)</f>
        <v>0</v>
      </c>
      <c r="AC125" s="580">
        <f>HLOOKUP("*"&amp;'Output annual'!$AC$2&amp;'Output annual'!$AD$2&amp;"*FangerPMV(Hourly)",'Eplus results'!$1:$1048576,ROW(),FALSE)</f>
        <v>0</v>
      </c>
      <c r="AD125" s="580">
        <f t="shared" si="9"/>
        <v>5</v>
      </c>
      <c r="AE125" s="580">
        <f t="shared" si="10"/>
        <v>2.5</v>
      </c>
      <c r="AF125" s="580">
        <f t="shared" si="11"/>
        <v>2.5</v>
      </c>
      <c r="AG125" s="580">
        <f t="shared" si="12"/>
        <v>0</v>
      </c>
      <c r="AH125" s="580">
        <f t="shared" si="13"/>
        <v>0</v>
      </c>
    </row>
    <row r="126" spans="1:34">
      <c r="A126" t="s">
        <v>353</v>
      </c>
      <c r="B126" t="s">
        <v>352</v>
      </c>
      <c r="E126"/>
      <c r="N126">
        <f t="shared" si="33"/>
        <v>0</v>
      </c>
      <c r="AB126" s="580">
        <f>HLOOKUP("*"&amp;'Output annual'!$AC$2&amp;'Output annual'!$AD$2&amp;"*Zone People Number Of Occupants [](Hourly)",'Eplus results'!$1:$1048576,ROW(),FALSE)</f>
        <v>0</v>
      </c>
      <c r="AC126" s="580">
        <f>HLOOKUP("*"&amp;'Output annual'!$AC$2&amp;'Output annual'!$AD$2&amp;"*FangerPMV(Hourly)",'Eplus results'!$1:$1048576,ROW(),FALSE)</f>
        <v>0</v>
      </c>
      <c r="AD126" s="580">
        <f t="shared" si="9"/>
        <v>5</v>
      </c>
      <c r="AE126" s="580">
        <f t="shared" si="10"/>
        <v>2.5</v>
      </c>
      <c r="AF126" s="580">
        <f t="shared" si="11"/>
        <v>2.5</v>
      </c>
      <c r="AG126" s="580">
        <f t="shared" si="12"/>
        <v>0</v>
      </c>
      <c r="AH126" s="580">
        <f t="shared" si="13"/>
        <v>0</v>
      </c>
    </row>
    <row r="127" spans="1:34">
      <c r="A127" s="43"/>
      <c r="B127" t="s">
        <v>348</v>
      </c>
      <c r="C127">
        <f t="shared" ref="C127:M127" si="38">ROUND(3.41*C101/3600000/(Bldg_Length*Bldg_Width*3*10.76),3)</f>
        <v>0</v>
      </c>
      <c r="D127">
        <f t="shared" si="38"/>
        <v>0</v>
      </c>
      <c r="E127">
        <f t="shared" si="38"/>
        <v>0</v>
      </c>
      <c r="F127">
        <f t="shared" si="38"/>
        <v>0</v>
      </c>
      <c r="G127">
        <f t="shared" si="38"/>
        <v>0</v>
      </c>
      <c r="H127">
        <f t="shared" si="38"/>
        <v>0</v>
      </c>
      <c r="I127">
        <f t="shared" si="38"/>
        <v>0</v>
      </c>
      <c r="J127">
        <f t="shared" si="38"/>
        <v>0</v>
      </c>
      <c r="K127">
        <f t="shared" si="38"/>
        <v>0</v>
      </c>
      <c r="L127">
        <f t="shared" si="38"/>
        <v>0</v>
      </c>
      <c r="M127">
        <f t="shared" si="38"/>
        <v>0</v>
      </c>
      <c r="N127">
        <f t="shared" si="33"/>
        <v>0</v>
      </c>
      <c r="AB127" s="580">
        <f>HLOOKUP("*"&amp;'Output annual'!$AC$2&amp;'Output annual'!$AD$2&amp;"*Zone People Number Of Occupants [](Hourly)",'Eplus results'!$1:$1048576,ROW(),FALSE)</f>
        <v>0</v>
      </c>
      <c r="AC127" s="580">
        <f>HLOOKUP("*"&amp;'Output annual'!$AC$2&amp;'Output annual'!$AD$2&amp;"*FangerPMV(Hourly)",'Eplus results'!$1:$1048576,ROW(),FALSE)</f>
        <v>0</v>
      </c>
      <c r="AD127" s="580">
        <f t="shared" si="9"/>
        <v>5</v>
      </c>
      <c r="AE127" s="580">
        <f t="shared" si="10"/>
        <v>2.5</v>
      </c>
      <c r="AF127" s="580">
        <f t="shared" si="11"/>
        <v>2.5</v>
      </c>
      <c r="AG127" s="580">
        <f t="shared" si="12"/>
        <v>0</v>
      </c>
      <c r="AH127" s="580">
        <f t="shared" si="13"/>
        <v>0</v>
      </c>
    </row>
    <row r="128" spans="1:34">
      <c r="A128" s="43"/>
      <c r="B128" t="s">
        <v>349</v>
      </c>
      <c r="C128">
        <f t="shared" ref="C128:M128" si="39">ROUND(3.41*C102/3600000/(Bldg_Length*Bldg_Width*3*10.76),3)</f>
        <v>0</v>
      </c>
      <c r="D128">
        <f t="shared" si="39"/>
        <v>0</v>
      </c>
      <c r="E128">
        <f t="shared" si="39"/>
        <v>0</v>
      </c>
      <c r="F128">
        <f t="shared" si="39"/>
        <v>0</v>
      </c>
      <c r="G128">
        <f t="shared" si="39"/>
        <v>0</v>
      </c>
      <c r="H128">
        <f t="shared" si="39"/>
        <v>0</v>
      </c>
      <c r="I128">
        <f t="shared" si="39"/>
        <v>0</v>
      </c>
      <c r="J128">
        <f t="shared" si="39"/>
        <v>0</v>
      </c>
      <c r="K128">
        <f t="shared" si="39"/>
        <v>0</v>
      </c>
      <c r="L128">
        <f t="shared" si="39"/>
        <v>0</v>
      </c>
      <c r="M128">
        <f t="shared" si="39"/>
        <v>0</v>
      </c>
      <c r="N128">
        <f t="shared" si="33"/>
        <v>0</v>
      </c>
      <c r="AB128" s="580">
        <f>HLOOKUP("*"&amp;'Output annual'!$AC$2&amp;'Output annual'!$AD$2&amp;"*Zone People Number Of Occupants [](Hourly)",'Eplus results'!$1:$1048576,ROW(),FALSE)</f>
        <v>0</v>
      </c>
      <c r="AC128" s="580">
        <f>HLOOKUP("*"&amp;'Output annual'!$AC$2&amp;'Output annual'!$AD$2&amp;"*FangerPMV(Hourly)",'Eplus results'!$1:$1048576,ROW(),FALSE)</f>
        <v>0</v>
      </c>
      <c r="AD128" s="580">
        <f t="shared" si="9"/>
        <v>5</v>
      </c>
      <c r="AE128" s="580">
        <f t="shared" si="10"/>
        <v>2.5</v>
      </c>
      <c r="AF128" s="580">
        <f t="shared" si="11"/>
        <v>2.5</v>
      </c>
      <c r="AG128" s="580">
        <f t="shared" si="12"/>
        <v>0</v>
      </c>
      <c r="AH128" s="580">
        <f t="shared" si="13"/>
        <v>0</v>
      </c>
    </row>
    <row r="129" spans="1:34">
      <c r="A129" s="43"/>
      <c r="B129" t="s">
        <v>350</v>
      </c>
      <c r="C129">
        <f t="shared" ref="C129:M129" si="40">ROUND(3.41*C103/3600000/(Bldg_Length*Bldg_Width*3*10.76),3)</f>
        <v>0</v>
      </c>
      <c r="D129">
        <f t="shared" si="40"/>
        <v>0</v>
      </c>
      <c r="E129">
        <f t="shared" si="40"/>
        <v>0</v>
      </c>
      <c r="F129">
        <f t="shared" si="40"/>
        <v>0</v>
      </c>
      <c r="G129">
        <f t="shared" si="40"/>
        <v>0</v>
      </c>
      <c r="H129">
        <f t="shared" si="40"/>
        <v>0</v>
      </c>
      <c r="I129">
        <f t="shared" si="40"/>
        <v>0</v>
      </c>
      <c r="J129">
        <f t="shared" si="40"/>
        <v>0</v>
      </c>
      <c r="K129">
        <f t="shared" si="40"/>
        <v>0</v>
      </c>
      <c r="L129">
        <f t="shared" si="40"/>
        <v>0</v>
      </c>
      <c r="M129">
        <f t="shared" si="40"/>
        <v>0</v>
      </c>
      <c r="N129">
        <f t="shared" si="33"/>
        <v>0</v>
      </c>
      <c r="AB129" s="580">
        <f>HLOOKUP("*"&amp;'Output annual'!$AC$2&amp;'Output annual'!$AD$2&amp;"*Zone People Number Of Occupants [](Hourly)",'Eplus results'!$1:$1048576,ROW(),FALSE)</f>
        <v>0</v>
      </c>
      <c r="AC129" s="580">
        <f>HLOOKUP("*"&amp;'Output annual'!$AC$2&amp;'Output annual'!$AD$2&amp;"*FangerPMV(Hourly)",'Eplus results'!$1:$1048576,ROW(),FALSE)</f>
        <v>0</v>
      </c>
      <c r="AD129" s="580">
        <f t="shared" si="9"/>
        <v>5</v>
      </c>
      <c r="AE129" s="580">
        <f t="shared" si="10"/>
        <v>2.5</v>
      </c>
      <c r="AF129" s="580">
        <f t="shared" si="11"/>
        <v>2.5</v>
      </c>
      <c r="AG129" s="580">
        <f t="shared" si="12"/>
        <v>0</v>
      </c>
      <c r="AH129" s="580">
        <f t="shared" si="13"/>
        <v>0</v>
      </c>
    </row>
    <row r="130" spans="1:34">
      <c r="A130" s="43"/>
      <c r="B130" t="s">
        <v>351</v>
      </c>
      <c r="C130">
        <f t="shared" ref="C130:M130" si="41">ROUND(3.41*C104/3600000/(Bldg_Length*Bldg_Width*3*10.76),3)</f>
        <v>0</v>
      </c>
      <c r="D130">
        <f t="shared" si="41"/>
        <v>0</v>
      </c>
      <c r="E130">
        <f t="shared" si="41"/>
        <v>0</v>
      </c>
      <c r="F130">
        <f t="shared" si="41"/>
        <v>0</v>
      </c>
      <c r="G130">
        <f t="shared" si="41"/>
        <v>0</v>
      </c>
      <c r="H130">
        <f t="shared" si="41"/>
        <v>0</v>
      </c>
      <c r="I130">
        <f t="shared" si="41"/>
        <v>0</v>
      </c>
      <c r="J130">
        <f t="shared" si="41"/>
        <v>0</v>
      </c>
      <c r="K130">
        <f t="shared" si="41"/>
        <v>0</v>
      </c>
      <c r="L130">
        <f t="shared" si="41"/>
        <v>0</v>
      </c>
      <c r="M130">
        <f t="shared" si="41"/>
        <v>0</v>
      </c>
      <c r="N130">
        <f t="shared" si="33"/>
        <v>0</v>
      </c>
      <c r="AB130" s="580">
        <f>HLOOKUP("*"&amp;'Output annual'!$AC$2&amp;'Output annual'!$AD$2&amp;"*Zone People Number Of Occupants [](Hourly)",'Eplus results'!$1:$1048576,ROW(),FALSE)</f>
        <v>0</v>
      </c>
      <c r="AC130" s="580">
        <f>HLOOKUP("*"&amp;'Output annual'!$AC$2&amp;'Output annual'!$AD$2&amp;"*FangerPMV(Hourly)",'Eplus results'!$1:$1048576,ROW(),FALSE)</f>
        <v>0</v>
      </c>
      <c r="AD130" s="580">
        <f t="shared" si="9"/>
        <v>5</v>
      </c>
      <c r="AE130" s="580">
        <f t="shared" si="10"/>
        <v>2.5</v>
      </c>
      <c r="AF130" s="580">
        <f t="shared" si="11"/>
        <v>2.5</v>
      </c>
      <c r="AG130" s="580">
        <f t="shared" si="12"/>
        <v>0</v>
      </c>
      <c r="AH130" s="580">
        <f t="shared" si="13"/>
        <v>0</v>
      </c>
    </row>
    <row r="131" spans="1:34">
      <c r="A131" s="43"/>
      <c r="B131" t="s">
        <v>446</v>
      </c>
      <c r="C131">
        <f t="shared" ref="C131:M131" si="42">ROUND(3.41*C105/3600000/(Bldg_Length*Bldg_Width*3*10.76),3)</f>
        <v>0</v>
      </c>
      <c r="D131">
        <f t="shared" si="42"/>
        <v>0</v>
      </c>
      <c r="E131">
        <f t="shared" si="42"/>
        <v>0</v>
      </c>
      <c r="F131">
        <f t="shared" si="42"/>
        <v>0</v>
      </c>
      <c r="G131">
        <f t="shared" si="42"/>
        <v>0</v>
      </c>
      <c r="H131">
        <f t="shared" si="42"/>
        <v>0</v>
      </c>
      <c r="I131">
        <f t="shared" si="42"/>
        <v>0</v>
      </c>
      <c r="J131">
        <f t="shared" si="42"/>
        <v>0</v>
      </c>
      <c r="K131">
        <f t="shared" si="42"/>
        <v>0</v>
      </c>
      <c r="L131">
        <f t="shared" si="42"/>
        <v>0</v>
      </c>
      <c r="M131">
        <f t="shared" si="42"/>
        <v>0</v>
      </c>
      <c r="N131">
        <f t="shared" si="33"/>
        <v>0</v>
      </c>
      <c r="AB131" s="580">
        <f>HLOOKUP("*"&amp;'Output annual'!$AC$2&amp;'Output annual'!$AD$2&amp;"*Zone People Number Of Occupants [](Hourly)",'Eplus results'!$1:$1048576,ROW(),FALSE)</f>
        <v>0</v>
      </c>
      <c r="AC131" s="580">
        <f>HLOOKUP("*"&amp;'Output annual'!$AC$2&amp;'Output annual'!$AD$2&amp;"*FangerPMV(Hourly)",'Eplus results'!$1:$1048576,ROW(),FALSE)</f>
        <v>0</v>
      </c>
      <c r="AD131" s="580">
        <f t="shared" ref="AD131:AD194" si="43">100-95*EXP(-0.03353*AC131^4-0.2179*AC131^2)</f>
        <v>5</v>
      </c>
      <c r="AE131" s="580">
        <f t="shared" ref="AE131:AE194" si="44">AD131*(1/(1+EXP(-6.3*$AC131)))</f>
        <v>2.5</v>
      </c>
      <c r="AF131" s="580">
        <f t="shared" ref="AF131:AF194" si="45">(AD131-AE131)</f>
        <v>2.5</v>
      </c>
      <c r="AG131" s="580">
        <f t="shared" ref="AG131:AG194" si="46">AE131*AB131</f>
        <v>0</v>
      </c>
      <c r="AH131" s="580">
        <f t="shared" ref="AH131:AH194" si="47">AF131*AB131</f>
        <v>0</v>
      </c>
    </row>
    <row r="132" spans="1:34">
      <c r="AB132" s="580">
        <f>HLOOKUP("*"&amp;'Output annual'!$AC$2&amp;'Output annual'!$AD$2&amp;"*Zone People Number Of Occupants [](Hourly)",'Eplus results'!$1:$1048576,ROW(),FALSE)</f>
        <v>0</v>
      </c>
      <c r="AC132" s="580">
        <f>HLOOKUP("*"&amp;'Output annual'!$AC$2&amp;'Output annual'!$AD$2&amp;"*FangerPMV(Hourly)",'Eplus results'!$1:$1048576,ROW(),FALSE)</f>
        <v>0</v>
      </c>
      <c r="AD132" s="580">
        <f t="shared" si="43"/>
        <v>5</v>
      </c>
      <c r="AE132" s="580">
        <f t="shared" si="44"/>
        <v>2.5</v>
      </c>
      <c r="AF132" s="580">
        <f t="shared" si="45"/>
        <v>2.5</v>
      </c>
      <c r="AG132" s="580">
        <f t="shared" si="46"/>
        <v>0</v>
      </c>
      <c r="AH132" s="580">
        <f t="shared" si="47"/>
        <v>0</v>
      </c>
    </row>
    <row r="133" spans="1:34">
      <c r="AB133" s="580">
        <f>HLOOKUP("*"&amp;'Output annual'!$AC$2&amp;'Output annual'!$AD$2&amp;"*Zone People Number Of Occupants [](Hourly)",'Eplus results'!$1:$1048576,ROW(),FALSE)</f>
        <v>0</v>
      </c>
      <c r="AC133" s="580">
        <f>HLOOKUP("*"&amp;'Output annual'!$AC$2&amp;'Output annual'!$AD$2&amp;"*FangerPMV(Hourly)",'Eplus results'!$1:$1048576,ROW(),FALSE)</f>
        <v>0</v>
      </c>
      <c r="AD133" s="580">
        <f t="shared" si="43"/>
        <v>5</v>
      </c>
      <c r="AE133" s="580">
        <f t="shared" si="44"/>
        <v>2.5</v>
      </c>
      <c r="AF133" s="580">
        <f t="shared" si="45"/>
        <v>2.5</v>
      </c>
      <c r="AG133" s="580">
        <f t="shared" si="46"/>
        <v>0</v>
      </c>
      <c r="AH133" s="580">
        <f t="shared" si="47"/>
        <v>0</v>
      </c>
    </row>
    <row r="134" spans="1:34" ht="15">
      <c r="B134" s="204"/>
      <c r="C134" s="205"/>
      <c r="D134" s="206" t="s">
        <v>232</v>
      </c>
      <c r="AB134" s="580">
        <f>HLOOKUP("*"&amp;'Output annual'!$AC$2&amp;'Output annual'!$AD$2&amp;"*Zone People Number Of Occupants [](Hourly)",'Eplus results'!$1:$1048576,ROW(),FALSE)</f>
        <v>0</v>
      </c>
      <c r="AC134" s="580">
        <f>HLOOKUP("*"&amp;'Output annual'!$AC$2&amp;'Output annual'!$AD$2&amp;"*FangerPMV(Hourly)",'Eplus results'!$1:$1048576,ROW(),FALSE)</f>
        <v>0</v>
      </c>
      <c r="AD134" s="580">
        <f t="shared" si="43"/>
        <v>5</v>
      </c>
      <c r="AE134" s="580">
        <f t="shared" si="44"/>
        <v>2.5</v>
      </c>
      <c r="AF134" s="580">
        <f t="shared" si="45"/>
        <v>2.5</v>
      </c>
      <c r="AG134" s="580">
        <f t="shared" si="46"/>
        <v>0</v>
      </c>
      <c r="AH134" s="580">
        <f t="shared" si="47"/>
        <v>0</v>
      </c>
    </row>
    <row r="135" spans="1:34" ht="15">
      <c r="B135" s="207"/>
      <c r="C135" s="208" t="str">
        <f>floor&amp;perim_zone</f>
        <v>MFWest</v>
      </c>
      <c r="D135" s="209" t="s">
        <v>487</v>
      </c>
      <c r="AB135" s="580">
        <f>HLOOKUP("*"&amp;'Output annual'!$AC$2&amp;'Output annual'!$AD$2&amp;"*Zone People Number Of Occupants [](Hourly)",'Eplus results'!$1:$1048576,ROW(),FALSE)</f>
        <v>0</v>
      </c>
      <c r="AC135" s="580">
        <f>HLOOKUP("*"&amp;'Output annual'!$AC$2&amp;'Output annual'!$AD$2&amp;"*FangerPMV(Hourly)",'Eplus results'!$1:$1048576,ROW(),FALSE)</f>
        <v>0</v>
      </c>
      <c r="AD135" s="580">
        <f t="shared" si="43"/>
        <v>5</v>
      </c>
      <c r="AE135" s="580">
        <f t="shared" si="44"/>
        <v>2.5</v>
      </c>
      <c r="AF135" s="580">
        <f t="shared" si="45"/>
        <v>2.5</v>
      </c>
      <c r="AG135" s="580">
        <f t="shared" si="46"/>
        <v>0</v>
      </c>
      <c r="AH135" s="580">
        <f t="shared" si="47"/>
        <v>0</v>
      </c>
    </row>
    <row r="136" spans="1:34" ht="15">
      <c r="B136" s="210" t="s">
        <v>469</v>
      </c>
      <c r="C136" s="211" t="s">
        <v>467</v>
      </c>
      <c r="D136" s="212">
        <f>HLOOKUP(floor&amp;"SP"&amp;perim_zone&amp;"_WALL_"&amp;LEFT(perim_zone, 1)&amp;":Surface Int Convection Heat Rate [W](Hourly)",'Eplus results'!1:65536,'graph data'!D4,FALSE)</f>
        <v>110.68919696761</v>
      </c>
      <c r="AB136" s="580">
        <f>HLOOKUP("*"&amp;'Output annual'!$AC$2&amp;'Output annual'!$AD$2&amp;"*Zone People Number Of Occupants [](Hourly)",'Eplus results'!$1:$1048576,ROW(),FALSE)</f>
        <v>0</v>
      </c>
      <c r="AC136" s="580">
        <f>HLOOKUP("*"&amp;'Output annual'!$AC$2&amp;'Output annual'!$AD$2&amp;"*FangerPMV(Hourly)",'Eplus results'!$1:$1048576,ROW(),FALSE)</f>
        <v>0</v>
      </c>
      <c r="AD136" s="580">
        <f t="shared" si="43"/>
        <v>5</v>
      </c>
      <c r="AE136" s="580">
        <f t="shared" si="44"/>
        <v>2.5</v>
      </c>
      <c r="AF136" s="580">
        <f t="shared" si="45"/>
        <v>2.5</v>
      </c>
      <c r="AG136" s="580">
        <f t="shared" si="46"/>
        <v>0</v>
      </c>
      <c r="AH136" s="580">
        <f t="shared" si="47"/>
        <v>0</v>
      </c>
    </row>
    <row r="137" spans="1:34" ht="45">
      <c r="B137" s="210" t="s">
        <v>470</v>
      </c>
      <c r="C137" s="211" t="s">
        <v>474</v>
      </c>
      <c r="D137" s="213">
        <f>HLOOKUP(floor&amp;"SP"&amp;perim_zone&amp;"_Ceiling:Surface Int Convection Heat Rate [W](Hourly)",'Eplus results'!1:65536,'graph data'!D4,FALSE)</f>
        <v>1251.2101074710899</v>
      </c>
      <c r="AB137" s="580">
        <f>HLOOKUP("*"&amp;'Output annual'!$AC$2&amp;'Output annual'!$AD$2&amp;"*Zone People Number Of Occupants [](Hourly)",'Eplus results'!$1:$1048576,ROW(),FALSE)</f>
        <v>0</v>
      </c>
      <c r="AC137" s="580">
        <f>HLOOKUP("*"&amp;'Output annual'!$AC$2&amp;'Output annual'!$AD$2&amp;"*FangerPMV(Hourly)",'Eplus results'!$1:$1048576,ROW(),FALSE)</f>
        <v>0</v>
      </c>
      <c r="AD137" s="580">
        <f t="shared" si="43"/>
        <v>5</v>
      </c>
      <c r="AE137" s="580">
        <f t="shared" si="44"/>
        <v>2.5</v>
      </c>
      <c r="AF137" s="580">
        <f t="shared" si="45"/>
        <v>2.5</v>
      </c>
      <c r="AG137" s="580">
        <f t="shared" si="46"/>
        <v>0</v>
      </c>
      <c r="AH137" s="580">
        <f t="shared" si="47"/>
        <v>0</v>
      </c>
    </row>
    <row r="138" spans="1:34" ht="45">
      <c r="B138" s="214"/>
      <c r="C138" s="211" t="s">
        <v>468</v>
      </c>
      <c r="D138" s="212">
        <f>HLOOKUP(floor&amp;"SP"&amp;perim_zone&amp;"_Floor:Surface Int Convection Heat Rate [W](Hourly)",'Eplus results'!1:65536,'graph data'!D4,FALSE)</f>
        <v>1185.5142868308401</v>
      </c>
      <c r="AB138" s="580">
        <f>HLOOKUP("*"&amp;'Output annual'!$AC$2&amp;'Output annual'!$AD$2&amp;"*Zone People Number Of Occupants [](Hourly)",'Eplus results'!$1:$1048576,ROW(),FALSE)</f>
        <v>0</v>
      </c>
      <c r="AC138" s="580">
        <f>HLOOKUP("*"&amp;'Output annual'!$AC$2&amp;'Output annual'!$AD$2&amp;"*FangerPMV(Hourly)",'Eplus results'!$1:$1048576,ROW(),FALSE)</f>
        <v>0</v>
      </c>
      <c r="AD138" s="580">
        <f t="shared" si="43"/>
        <v>5</v>
      </c>
      <c r="AE138" s="580">
        <f t="shared" si="44"/>
        <v>2.5</v>
      </c>
      <c r="AF138" s="580">
        <f t="shared" si="45"/>
        <v>2.5</v>
      </c>
      <c r="AG138" s="580">
        <f t="shared" si="46"/>
        <v>0</v>
      </c>
      <c r="AH138" s="580">
        <f t="shared" si="47"/>
        <v>0</v>
      </c>
    </row>
    <row r="139" spans="1:34" ht="15">
      <c r="B139" s="210" t="s">
        <v>471</v>
      </c>
      <c r="C139" s="211" t="s">
        <v>467</v>
      </c>
      <c r="D139" s="212">
        <f>HLOOKUP(floor&amp;"RP"&amp;perim_zone&amp;"_WALL_"&amp;LEFT(perim_zone, 1)&amp;":Surface Int Convection Heat Rate [W](Hourly)",'Eplus results'!1:65536,'graph data'!D4,FALSE)</f>
        <v>86.181221080521695</v>
      </c>
      <c r="AB139" s="580">
        <f>HLOOKUP("*"&amp;'Output annual'!$AC$2&amp;'Output annual'!$AD$2&amp;"*Zone People Number Of Occupants [](Hourly)",'Eplus results'!$1:$1048576,ROW(),FALSE)</f>
        <v>0</v>
      </c>
      <c r="AC139" s="580">
        <f>HLOOKUP("*"&amp;'Output annual'!$AC$2&amp;'Output annual'!$AD$2&amp;"*FangerPMV(Hourly)",'Eplus results'!$1:$1048576,ROW(),FALSE)</f>
        <v>0</v>
      </c>
      <c r="AD139" s="580">
        <f t="shared" si="43"/>
        <v>5</v>
      </c>
      <c r="AE139" s="580">
        <f t="shared" si="44"/>
        <v>2.5</v>
      </c>
      <c r="AF139" s="580">
        <f t="shared" si="45"/>
        <v>2.5</v>
      </c>
      <c r="AG139" s="580">
        <f t="shared" si="46"/>
        <v>0</v>
      </c>
      <c r="AH139" s="580">
        <f t="shared" si="47"/>
        <v>0</v>
      </c>
    </row>
    <row r="140" spans="1:34" ht="45">
      <c r="B140" s="210" t="s">
        <v>470</v>
      </c>
      <c r="C140" s="211" t="s">
        <v>472</v>
      </c>
      <c r="D140" s="212">
        <f>HLOOKUP(floor&amp;"RP"&amp;perim_zone&amp;"_Ceiling:Surface Int Convection Heat Rate [W](Hourly)",'Eplus results'!1:65536,'graph data'!D4,FALSE)</f>
        <v>16.664220069170199</v>
      </c>
      <c r="AB140" s="580">
        <f>HLOOKUP("*"&amp;'Output annual'!$AC$2&amp;'Output annual'!$AD$2&amp;"*Zone People Number Of Occupants [](Hourly)",'Eplus results'!$1:$1048576,ROW(),FALSE)</f>
        <v>0</v>
      </c>
      <c r="AC140" s="580">
        <f>HLOOKUP("*"&amp;'Output annual'!$AC$2&amp;'Output annual'!$AD$2&amp;"*FangerPMV(Hourly)",'Eplus results'!$1:$1048576,ROW(),FALSE)</f>
        <v>0</v>
      </c>
      <c r="AD140" s="580">
        <f t="shared" si="43"/>
        <v>5</v>
      </c>
      <c r="AE140" s="580">
        <f t="shared" si="44"/>
        <v>2.5</v>
      </c>
      <c r="AF140" s="580">
        <f t="shared" si="45"/>
        <v>2.5</v>
      </c>
      <c r="AG140" s="580">
        <f t="shared" si="46"/>
        <v>0</v>
      </c>
      <c r="AH140" s="580">
        <f t="shared" si="47"/>
        <v>0</v>
      </c>
    </row>
    <row r="141" spans="1:34" ht="30">
      <c r="B141" s="214"/>
      <c r="C141" s="211" t="s">
        <v>473</v>
      </c>
      <c r="D141" s="212">
        <f>HLOOKUP(floor&amp;"RP"&amp;perim_zone&amp;"_Floor:Surface Int Convection Heat Rate [W](Hourly)",'Eplus results'!1:65536,'graph data'!D4,FALSE)</f>
        <v>220.83131891926999</v>
      </c>
      <c r="AB141" s="580">
        <f>HLOOKUP("*"&amp;'Output annual'!$AC$2&amp;'Output annual'!$AD$2&amp;"*Zone People Number Of Occupants [](Hourly)",'Eplus results'!$1:$1048576,ROW(),FALSE)</f>
        <v>0</v>
      </c>
      <c r="AC141" s="580">
        <f>HLOOKUP("*"&amp;'Output annual'!$AC$2&amp;'Output annual'!$AD$2&amp;"*FangerPMV(Hourly)",'Eplus results'!$1:$1048576,ROW(),FALSE)</f>
        <v>0</v>
      </c>
      <c r="AD141" s="580">
        <f t="shared" si="43"/>
        <v>5</v>
      </c>
      <c r="AE141" s="580">
        <f t="shared" si="44"/>
        <v>2.5</v>
      </c>
      <c r="AF141" s="580">
        <f t="shared" si="45"/>
        <v>2.5</v>
      </c>
      <c r="AG141" s="580">
        <f t="shared" si="46"/>
        <v>0</v>
      </c>
      <c r="AH141" s="580">
        <f t="shared" si="47"/>
        <v>0</v>
      </c>
    </row>
    <row r="142" spans="1:34" ht="15">
      <c r="B142" s="207"/>
      <c r="C142" s="208" t="str">
        <f>floor&amp;Int_zone</f>
        <v>MFCore</v>
      </c>
      <c r="D142" s="209" t="s">
        <v>487</v>
      </c>
      <c r="AB142" s="580">
        <f>HLOOKUP("*"&amp;'Output annual'!$AC$2&amp;'Output annual'!$AD$2&amp;"*Zone People Number Of Occupants [](Hourly)",'Eplus results'!$1:$1048576,ROW(),FALSE)</f>
        <v>0</v>
      </c>
      <c r="AC142" s="580">
        <f>HLOOKUP("*"&amp;'Output annual'!$AC$2&amp;'Output annual'!$AD$2&amp;"*FangerPMV(Hourly)",'Eplus results'!$1:$1048576,ROW(),FALSE)</f>
        <v>0</v>
      </c>
      <c r="AD142" s="580">
        <f t="shared" si="43"/>
        <v>5</v>
      </c>
      <c r="AE142" s="580">
        <f t="shared" si="44"/>
        <v>2.5</v>
      </c>
      <c r="AF142" s="580">
        <f t="shared" si="45"/>
        <v>2.5</v>
      </c>
      <c r="AG142" s="580">
        <f t="shared" si="46"/>
        <v>0</v>
      </c>
      <c r="AH142" s="580">
        <f t="shared" si="47"/>
        <v>0</v>
      </c>
    </row>
    <row r="143" spans="1:34" ht="45">
      <c r="B143" s="210" t="s">
        <v>469</v>
      </c>
      <c r="C143" s="211" t="s">
        <v>474</v>
      </c>
      <c r="D143" s="213" t="e">
        <f>HLOOKUP(floor&amp;"SP"&amp;Int_zone&amp;"_Ceiling1:Surface Int Convection Heat Rate [W](Hourly)",'Eplus results'!1:65536,'graph data'!D4,FALSE)*2</f>
        <v>#N/A</v>
      </c>
      <c r="AB143" s="580">
        <f>HLOOKUP("*"&amp;'Output annual'!$AC$2&amp;'Output annual'!$AD$2&amp;"*Zone People Number Of Occupants [](Hourly)",'Eplus results'!$1:$1048576,ROW(),FALSE)</f>
        <v>0</v>
      </c>
      <c r="AC143" s="580">
        <f>HLOOKUP("*"&amp;'Output annual'!$AC$2&amp;'Output annual'!$AD$2&amp;"*FangerPMV(Hourly)",'Eplus results'!$1:$1048576,ROW(),FALSE)</f>
        <v>0</v>
      </c>
      <c r="AD143" s="580">
        <f t="shared" si="43"/>
        <v>5</v>
      </c>
      <c r="AE143" s="580">
        <f t="shared" si="44"/>
        <v>2.5</v>
      </c>
      <c r="AF143" s="580">
        <f t="shared" si="45"/>
        <v>2.5</v>
      </c>
      <c r="AG143" s="580">
        <f t="shared" si="46"/>
        <v>0</v>
      </c>
      <c r="AH143" s="580">
        <f t="shared" si="47"/>
        <v>0</v>
      </c>
    </row>
    <row r="144" spans="1:34" ht="45">
      <c r="B144" s="210" t="s">
        <v>470</v>
      </c>
      <c r="C144" s="211" t="s">
        <v>468</v>
      </c>
      <c r="D144" s="212" t="e">
        <f>HLOOKUP(floor&amp;"SP"&amp;Int_zone&amp;"_Floor1:Surface Int Convection Heat Rate [W](Hourly)",'Eplus results'!1:65536,'graph data'!D4,FALSE)*2</f>
        <v>#N/A</v>
      </c>
      <c r="AB144" s="580">
        <f>HLOOKUP("*"&amp;'Output annual'!$AC$2&amp;'Output annual'!$AD$2&amp;"*Zone People Number Of Occupants [](Hourly)",'Eplus results'!$1:$1048576,ROW(),FALSE)</f>
        <v>0</v>
      </c>
      <c r="AC144" s="580">
        <f>HLOOKUP("*"&amp;'Output annual'!$AC$2&amp;'Output annual'!$AD$2&amp;"*FangerPMV(Hourly)",'Eplus results'!$1:$1048576,ROW(),FALSE)</f>
        <v>0</v>
      </c>
      <c r="AD144" s="580">
        <f t="shared" si="43"/>
        <v>5</v>
      </c>
      <c r="AE144" s="580">
        <f t="shared" si="44"/>
        <v>2.5</v>
      </c>
      <c r="AF144" s="580">
        <f t="shared" si="45"/>
        <v>2.5</v>
      </c>
      <c r="AG144" s="580">
        <f t="shared" si="46"/>
        <v>0</v>
      </c>
      <c r="AH144" s="580">
        <f t="shared" si="47"/>
        <v>0</v>
      </c>
    </row>
    <row r="145" spans="1:34" ht="45">
      <c r="B145" s="210" t="s">
        <v>471</v>
      </c>
      <c r="C145" s="211" t="s">
        <v>472</v>
      </c>
      <c r="D145" s="212" t="e">
        <f>HLOOKUP(floor&amp;"RP"&amp;Int_zone&amp;"_Ceiling1:Surface Int Convection Heat Rate [W](Hourly)",'Eplus results'!1:65536,'graph data'!D4,FALSE)*2</f>
        <v>#N/A</v>
      </c>
      <c r="AB145" s="580">
        <f>HLOOKUP("*"&amp;'Output annual'!$AC$2&amp;'Output annual'!$AD$2&amp;"*Zone People Number Of Occupants [](Hourly)",'Eplus results'!$1:$1048576,ROW(),FALSE)</f>
        <v>0</v>
      </c>
      <c r="AC145" s="580">
        <f>HLOOKUP("*"&amp;'Output annual'!$AC$2&amp;'Output annual'!$AD$2&amp;"*FangerPMV(Hourly)",'Eplus results'!$1:$1048576,ROW(),FALSE)</f>
        <v>0</v>
      </c>
      <c r="AD145" s="580">
        <f t="shared" si="43"/>
        <v>5</v>
      </c>
      <c r="AE145" s="580">
        <f t="shared" si="44"/>
        <v>2.5</v>
      </c>
      <c r="AF145" s="580">
        <f t="shared" si="45"/>
        <v>2.5</v>
      </c>
      <c r="AG145" s="580">
        <f t="shared" si="46"/>
        <v>0</v>
      </c>
      <c r="AH145" s="580">
        <f t="shared" si="47"/>
        <v>0</v>
      </c>
    </row>
    <row r="146" spans="1:34" ht="30">
      <c r="B146" s="215" t="s">
        <v>470</v>
      </c>
      <c r="C146" s="216" t="s">
        <v>473</v>
      </c>
      <c r="D146" s="217" t="e">
        <f>HLOOKUP(floor&amp;"RP"&amp;Int_zone&amp;"_Floor1:Surface Int Convection Heat Rate [W](Hourly)",'Eplus results'!1:65536,'graph data'!D4,FALSE)*2</f>
        <v>#N/A</v>
      </c>
      <c r="AB146" s="580">
        <f>HLOOKUP("*"&amp;'Output annual'!$AC$2&amp;'Output annual'!$AD$2&amp;"*Zone People Number Of Occupants [](Hourly)",'Eplus results'!$1:$1048576,ROW(),FALSE)</f>
        <v>0</v>
      </c>
      <c r="AC146" s="580">
        <f>HLOOKUP("*"&amp;'Output annual'!$AC$2&amp;'Output annual'!$AD$2&amp;"*FangerPMV(Hourly)",'Eplus results'!$1:$1048576,ROW(),FALSE)</f>
        <v>0</v>
      </c>
      <c r="AD146" s="580">
        <f t="shared" si="43"/>
        <v>5</v>
      </c>
      <c r="AE146" s="580">
        <f t="shared" si="44"/>
        <v>2.5</v>
      </c>
      <c r="AF146" s="580">
        <f t="shared" si="45"/>
        <v>2.5</v>
      </c>
      <c r="AG146" s="580">
        <f t="shared" si="46"/>
        <v>0</v>
      </c>
      <c r="AH146" s="580">
        <f t="shared" si="47"/>
        <v>0</v>
      </c>
    </row>
    <row r="147" spans="1:34">
      <c r="AB147" s="580">
        <f>HLOOKUP("*"&amp;'Output annual'!$AC$2&amp;'Output annual'!$AD$2&amp;"*Zone People Number Of Occupants [](Hourly)",'Eplus results'!$1:$1048576,ROW(),FALSE)</f>
        <v>0</v>
      </c>
      <c r="AC147" s="580">
        <f>HLOOKUP("*"&amp;'Output annual'!$AC$2&amp;'Output annual'!$AD$2&amp;"*FangerPMV(Hourly)",'Eplus results'!$1:$1048576,ROW(),FALSE)</f>
        <v>0</v>
      </c>
      <c r="AD147" s="580">
        <f t="shared" si="43"/>
        <v>5</v>
      </c>
      <c r="AE147" s="580">
        <f t="shared" si="44"/>
        <v>2.5</v>
      </c>
      <c r="AF147" s="580">
        <f t="shared" si="45"/>
        <v>2.5</v>
      </c>
      <c r="AG147" s="580">
        <f t="shared" si="46"/>
        <v>0</v>
      </c>
      <c r="AH147" s="580">
        <f t="shared" si="47"/>
        <v>0</v>
      </c>
    </row>
    <row r="148" spans="1:34" ht="13.5" thickBot="1">
      <c r="A148" s="159" t="s">
        <v>852</v>
      </c>
      <c r="B148" s="158">
        <f>HLOOKUP("Environment:DayType Index [](Hourly)",'Eplus results'!$1:$1048576,'graph data'!D4, FALSE)</f>
        <v>9</v>
      </c>
      <c r="AB148" s="580">
        <f>HLOOKUP("*"&amp;'Output annual'!$AC$2&amp;'Output annual'!$AD$2&amp;"*Zone People Number Of Occupants [](Hourly)",'Eplus results'!$1:$1048576,ROW(),FALSE)</f>
        <v>0</v>
      </c>
      <c r="AC148" s="580">
        <f>HLOOKUP("*"&amp;'Output annual'!$AC$2&amp;'Output annual'!$AD$2&amp;"*FangerPMV(Hourly)",'Eplus results'!$1:$1048576,ROW(),FALSE)</f>
        <v>0</v>
      </c>
      <c r="AD148" s="580">
        <f t="shared" si="43"/>
        <v>5</v>
      </c>
      <c r="AE148" s="580">
        <f t="shared" si="44"/>
        <v>2.5</v>
      </c>
      <c r="AF148" s="580">
        <f t="shared" si="45"/>
        <v>2.5</v>
      </c>
      <c r="AG148" s="580">
        <f t="shared" si="46"/>
        <v>0</v>
      </c>
      <c r="AH148" s="580">
        <f t="shared" si="47"/>
        <v>0</v>
      </c>
    </row>
    <row r="149" spans="1:34" ht="13.5" thickBot="1">
      <c r="A149" s="182" t="s">
        <v>368</v>
      </c>
      <c r="B149" s="184">
        <f>'graph data'!F7</f>
        <v>60.008007851461585</v>
      </c>
      <c r="AB149" s="580">
        <f>HLOOKUP("*"&amp;'Output annual'!$AC$2&amp;'Output annual'!$AD$2&amp;"*Zone People Number Of Occupants [](Hourly)",'Eplus results'!$1:$1048576,ROW(),FALSE)</f>
        <v>0</v>
      </c>
      <c r="AC149" s="580">
        <f>HLOOKUP("*"&amp;'Output annual'!$AC$2&amp;'Output annual'!$AD$2&amp;"*FangerPMV(Hourly)",'Eplus results'!$1:$1048576,ROW(),FALSE)</f>
        <v>0</v>
      </c>
      <c r="AD149" s="580">
        <f t="shared" si="43"/>
        <v>5</v>
      </c>
      <c r="AE149" s="580">
        <f t="shared" si="44"/>
        <v>2.5</v>
      </c>
      <c r="AF149" s="580">
        <f t="shared" si="45"/>
        <v>2.5</v>
      </c>
      <c r="AG149" s="580">
        <f t="shared" si="46"/>
        <v>0</v>
      </c>
      <c r="AH149" s="580">
        <f t="shared" si="47"/>
        <v>0</v>
      </c>
    </row>
    <row r="150" spans="1:34">
      <c r="AB150" s="580">
        <f>HLOOKUP("*"&amp;'Output annual'!$AC$2&amp;'Output annual'!$AD$2&amp;"*Zone People Number Of Occupants [](Hourly)",'Eplus results'!$1:$1048576,ROW(),FALSE)</f>
        <v>0</v>
      </c>
      <c r="AC150" s="580">
        <f>HLOOKUP("*"&amp;'Output annual'!$AC$2&amp;'Output annual'!$AD$2&amp;"*FangerPMV(Hourly)",'Eplus results'!$1:$1048576,ROW(),FALSE)</f>
        <v>0</v>
      </c>
      <c r="AD150" s="580">
        <f t="shared" si="43"/>
        <v>5</v>
      </c>
      <c r="AE150" s="580">
        <f t="shared" si="44"/>
        <v>2.5</v>
      </c>
      <c r="AF150" s="580">
        <f t="shared" si="45"/>
        <v>2.5</v>
      </c>
      <c r="AG150" s="580">
        <f t="shared" si="46"/>
        <v>0</v>
      </c>
      <c r="AH150" s="580">
        <f t="shared" si="47"/>
        <v>0</v>
      </c>
    </row>
    <row r="151" spans="1:34">
      <c r="B151" s="228" t="s">
        <v>863</v>
      </c>
      <c r="C151" s="219" t="s">
        <v>259</v>
      </c>
      <c r="D151" s="220" t="s">
        <v>261</v>
      </c>
      <c r="AB151" s="580">
        <f>HLOOKUP("*"&amp;'Output annual'!$AC$2&amp;'Output annual'!$AD$2&amp;"*Zone People Number Of Occupants [](Hourly)",'Eplus results'!$1:$1048576,ROW(),FALSE)</f>
        <v>0</v>
      </c>
      <c r="AC151" s="580">
        <f>HLOOKUP("*"&amp;'Output annual'!$AC$2&amp;'Output annual'!$AD$2&amp;"*FangerPMV(Hourly)",'Eplus results'!$1:$1048576,ROW(),FALSE)</f>
        <v>0</v>
      </c>
      <c r="AD151" s="580">
        <f t="shared" si="43"/>
        <v>5</v>
      </c>
      <c r="AE151" s="580">
        <f t="shared" si="44"/>
        <v>2.5</v>
      </c>
      <c r="AF151" s="580">
        <f t="shared" si="45"/>
        <v>2.5</v>
      </c>
      <c r="AG151" s="580">
        <f t="shared" si="46"/>
        <v>0</v>
      </c>
      <c r="AH151" s="580">
        <f t="shared" si="47"/>
        <v>0</v>
      </c>
    </row>
    <row r="152" spans="1:34">
      <c r="B152" s="221"/>
      <c r="C152" s="179" t="s">
        <v>260</v>
      </c>
      <c r="D152" s="222" t="s">
        <v>262</v>
      </c>
      <c r="AB152" s="580">
        <f>HLOOKUP("*"&amp;'Output annual'!$AC$2&amp;'Output annual'!$AD$2&amp;"*Zone People Number Of Occupants [](Hourly)",'Eplus results'!$1:$1048576,ROW(),FALSE)</f>
        <v>0</v>
      </c>
      <c r="AC152" s="580">
        <f>HLOOKUP("*"&amp;'Output annual'!$AC$2&amp;'Output annual'!$AD$2&amp;"*FangerPMV(Hourly)",'Eplus results'!$1:$1048576,ROW(),FALSE)</f>
        <v>0</v>
      </c>
      <c r="AD152" s="580">
        <f t="shared" si="43"/>
        <v>5</v>
      </c>
      <c r="AE152" s="580">
        <f t="shared" si="44"/>
        <v>2.5</v>
      </c>
      <c r="AF152" s="580">
        <f t="shared" si="45"/>
        <v>2.5</v>
      </c>
      <c r="AG152" s="580">
        <f t="shared" si="46"/>
        <v>0</v>
      </c>
      <c r="AH152" s="580">
        <f t="shared" si="47"/>
        <v>0</v>
      </c>
    </row>
    <row r="153" spans="1:34">
      <c r="B153" s="221" t="s">
        <v>101</v>
      </c>
      <c r="C153" s="223">
        <f>C154</f>
        <v>77.237253751176681</v>
      </c>
      <c r="D153" s="222">
        <v>179</v>
      </c>
      <c r="AB153" s="580">
        <f>HLOOKUP("*"&amp;'Output annual'!$AC$2&amp;'Output annual'!$AD$2&amp;"*Zone People Number Of Occupants [](Hourly)",'Eplus results'!$1:$1048576,ROW(),FALSE)</f>
        <v>0</v>
      </c>
      <c r="AC153" s="580">
        <f>HLOOKUP("*"&amp;'Output annual'!$AC$2&amp;'Output annual'!$AD$2&amp;"*FangerPMV(Hourly)",'Eplus results'!$1:$1048576,ROW(),FALSE)</f>
        <v>0</v>
      </c>
      <c r="AD153" s="580">
        <f t="shared" si="43"/>
        <v>5</v>
      </c>
      <c r="AE153" s="580">
        <f t="shared" si="44"/>
        <v>2.5</v>
      </c>
      <c r="AF153" s="580">
        <f t="shared" si="45"/>
        <v>2.5</v>
      </c>
      <c r="AG153" s="580">
        <f t="shared" si="46"/>
        <v>0</v>
      </c>
      <c r="AH153" s="580">
        <f t="shared" si="47"/>
        <v>0</v>
      </c>
    </row>
    <row r="154" spans="1:34">
      <c r="B154" s="221" t="s">
        <v>102</v>
      </c>
      <c r="C154" s="168">
        <f>'graph data'!F14</f>
        <v>77.237253751176681</v>
      </c>
      <c r="D154" s="222">
        <v>138</v>
      </c>
      <c r="AB154" s="580">
        <f>HLOOKUP("*"&amp;'Output annual'!$AC$2&amp;'Output annual'!$AD$2&amp;"*Zone People Number Of Occupants [](Hourly)",'Eplus results'!$1:$1048576,ROW(),FALSE)</f>
        <v>0</v>
      </c>
      <c r="AC154" s="580">
        <f>HLOOKUP("*"&amp;'Output annual'!$AC$2&amp;'Output annual'!$AD$2&amp;"*FangerPMV(Hourly)",'Eplus results'!$1:$1048576,ROW(),FALSE)</f>
        <v>0</v>
      </c>
      <c r="AD154" s="580">
        <f t="shared" si="43"/>
        <v>5</v>
      </c>
      <c r="AE154" s="580">
        <f t="shared" si="44"/>
        <v>2.5</v>
      </c>
      <c r="AF154" s="580">
        <f t="shared" si="45"/>
        <v>2.5</v>
      </c>
      <c r="AG154" s="580">
        <f t="shared" si="46"/>
        <v>0</v>
      </c>
      <c r="AH154" s="580">
        <f t="shared" si="47"/>
        <v>0</v>
      </c>
    </row>
    <row r="155" spans="1:34">
      <c r="B155" s="221" t="s">
        <v>103</v>
      </c>
      <c r="C155" s="223">
        <f>C157</f>
        <v>76.844248642525457</v>
      </c>
      <c r="D155" s="222">
        <v>126</v>
      </c>
      <c r="AB155" s="580">
        <f>HLOOKUP("*"&amp;'Output annual'!$AC$2&amp;'Output annual'!$AD$2&amp;"*Zone People Number Of Occupants [](Hourly)",'Eplus results'!$1:$1048576,ROW(),FALSE)</f>
        <v>0</v>
      </c>
      <c r="AC155" s="580">
        <f>HLOOKUP("*"&amp;'Output annual'!$AC$2&amp;'Output annual'!$AD$2&amp;"*FangerPMV(Hourly)",'Eplus results'!$1:$1048576,ROW(),FALSE)</f>
        <v>0</v>
      </c>
      <c r="AD155" s="580">
        <f t="shared" si="43"/>
        <v>5</v>
      </c>
      <c r="AE155" s="580">
        <f t="shared" si="44"/>
        <v>2.5</v>
      </c>
      <c r="AF155" s="580">
        <f t="shared" si="45"/>
        <v>2.5</v>
      </c>
      <c r="AG155" s="580">
        <f t="shared" si="46"/>
        <v>0</v>
      </c>
      <c r="AH155" s="580">
        <f t="shared" si="47"/>
        <v>0</v>
      </c>
    </row>
    <row r="156" spans="1:34">
      <c r="B156" s="225" t="s">
        <v>100</v>
      </c>
      <c r="C156" s="180">
        <f>C157</f>
        <v>76.844248642525457</v>
      </c>
      <c r="D156" s="226">
        <v>126</v>
      </c>
      <c r="AB156" s="580">
        <f>HLOOKUP("*"&amp;'Output annual'!$AC$2&amp;'Output annual'!$AD$2&amp;"*Zone People Number Of Occupants [](Hourly)",'Eplus results'!$1:$1048576,ROW(),FALSE)</f>
        <v>0</v>
      </c>
      <c r="AC156" s="580">
        <f>HLOOKUP("*"&amp;'Output annual'!$AC$2&amp;'Output annual'!$AD$2&amp;"*FangerPMV(Hourly)",'Eplus results'!$1:$1048576,ROW(),FALSE)</f>
        <v>0</v>
      </c>
      <c r="AD156" s="580">
        <f t="shared" si="43"/>
        <v>5</v>
      </c>
      <c r="AE156" s="580">
        <f t="shared" si="44"/>
        <v>2.5</v>
      </c>
      <c r="AF156" s="580">
        <f t="shared" si="45"/>
        <v>2.5</v>
      </c>
      <c r="AG156" s="580">
        <f t="shared" si="46"/>
        <v>0</v>
      </c>
      <c r="AH156" s="580">
        <f t="shared" si="47"/>
        <v>0</v>
      </c>
    </row>
    <row r="157" spans="1:34">
      <c r="B157" s="221" t="s">
        <v>155</v>
      </c>
      <c r="C157" s="168">
        <f>IF(RunType="OH",'graph data'!F16,'graph data'!F15)</f>
        <v>76.844248642525457</v>
      </c>
      <c r="D157" s="224">
        <f>(D156-D158)/2+D158</f>
        <v>105.46456692913387</v>
      </c>
      <c r="AB157" s="580">
        <f>HLOOKUP("*"&amp;'Output annual'!$AC$2&amp;'Output annual'!$AD$2&amp;"*Zone People Number Of Occupants [](Hourly)",'Eplus results'!$1:$1048576,ROW(),FALSE)</f>
        <v>0</v>
      </c>
      <c r="AC157" s="580">
        <f>HLOOKUP("*"&amp;'Output annual'!$AC$2&amp;'Output annual'!$AD$2&amp;"*FangerPMV(Hourly)",'Eplus results'!$1:$1048576,ROW(),FALSE)</f>
        <v>0</v>
      </c>
      <c r="AD157" s="580">
        <f t="shared" si="43"/>
        <v>5</v>
      </c>
      <c r="AE157" s="580">
        <f t="shared" si="44"/>
        <v>2.5</v>
      </c>
      <c r="AF157" s="580">
        <f t="shared" si="45"/>
        <v>2.5</v>
      </c>
      <c r="AG157" s="580">
        <f t="shared" si="46"/>
        <v>0</v>
      </c>
      <c r="AH157" s="580">
        <f t="shared" si="47"/>
        <v>0</v>
      </c>
    </row>
    <row r="158" spans="1:34">
      <c r="B158" s="225" t="s">
        <v>100</v>
      </c>
      <c r="C158" s="180">
        <f>C157</f>
        <v>76.844248642525457</v>
      </c>
      <c r="D158" s="226">
        <f>D159</f>
        <v>84.929133858267718</v>
      </c>
      <c r="AB158" s="580">
        <f>HLOOKUP("*"&amp;'Output annual'!$AC$2&amp;'Output annual'!$AD$2&amp;"*Zone People Number Of Occupants [](Hourly)",'Eplus results'!$1:$1048576,ROW(),FALSE)</f>
        <v>0</v>
      </c>
      <c r="AC158" s="580">
        <f>HLOOKUP("*"&amp;'Output annual'!$AC$2&amp;'Output annual'!$AD$2&amp;"*FangerPMV(Hourly)",'Eplus results'!$1:$1048576,ROW(),FALSE)</f>
        <v>0</v>
      </c>
      <c r="AD158" s="580">
        <f t="shared" si="43"/>
        <v>5</v>
      </c>
      <c r="AE158" s="580">
        <f t="shared" si="44"/>
        <v>2.5</v>
      </c>
      <c r="AF158" s="580">
        <f t="shared" si="45"/>
        <v>2.5</v>
      </c>
      <c r="AG158" s="580">
        <f t="shared" si="46"/>
        <v>0</v>
      </c>
      <c r="AH158" s="580">
        <f t="shared" si="47"/>
        <v>0</v>
      </c>
    </row>
    <row r="159" spans="1:34">
      <c r="B159" s="225" t="s">
        <v>100</v>
      </c>
      <c r="C159" s="180">
        <f>C160</f>
        <v>74.41114754142896</v>
      </c>
      <c r="D159" s="227">
        <f>IF(RunType="OH",84.9,'graph data'!F20+18)</f>
        <v>84.929133858267718</v>
      </c>
      <c r="AB159" s="580">
        <f>HLOOKUP("*"&amp;'Output annual'!$AC$2&amp;'Output annual'!$AD$2&amp;"*Zone People Number Of Occupants [](Hourly)",'Eplus results'!$1:$1048576,ROW(),FALSE)</f>
        <v>0</v>
      </c>
      <c r="AC159" s="580">
        <f>HLOOKUP("*"&amp;'Output annual'!$AC$2&amp;'Output annual'!$AD$2&amp;"*FangerPMV(Hourly)",'Eplus results'!$1:$1048576,ROW(),FALSE)</f>
        <v>0</v>
      </c>
      <c r="AD159" s="580">
        <f t="shared" si="43"/>
        <v>5</v>
      </c>
      <c r="AE159" s="580">
        <f t="shared" si="44"/>
        <v>2.5</v>
      </c>
      <c r="AF159" s="580">
        <f t="shared" si="45"/>
        <v>2.5</v>
      </c>
      <c r="AG159" s="580">
        <f t="shared" si="46"/>
        <v>0</v>
      </c>
      <c r="AH159" s="580">
        <f t="shared" si="47"/>
        <v>0</v>
      </c>
    </row>
    <row r="160" spans="1:34">
      <c r="B160" s="221" t="s">
        <v>249</v>
      </c>
      <c r="C160" s="168">
        <f>IF(RunType="OH",'graph data'!F16,'graph data'!F17)</f>
        <v>74.41114754142896</v>
      </c>
      <c r="D160" s="224">
        <f>(D159-D161)/2+D161</f>
        <v>51.464566929133859</v>
      </c>
      <c r="AB160" s="580">
        <f>HLOOKUP("*"&amp;'Output annual'!$AC$2&amp;'Output annual'!$AD$2&amp;"*Zone People Number Of Occupants [](Hourly)",'Eplus results'!$1:$1048576,ROW(),FALSE)</f>
        <v>0</v>
      </c>
      <c r="AC160" s="580">
        <f>HLOOKUP("*"&amp;'Output annual'!$AC$2&amp;'Output annual'!$AD$2&amp;"*FangerPMV(Hourly)",'Eplus results'!$1:$1048576,ROW(),FALSE)</f>
        <v>0</v>
      </c>
      <c r="AD160" s="580">
        <f t="shared" si="43"/>
        <v>5</v>
      </c>
      <c r="AE160" s="580">
        <f t="shared" si="44"/>
        <v>2.5</v>
      </c>
      <c r="AF160" s="580">
        <f t="shared" si="45"/>
        <v>2.5</v>
      </c>
      <c r="AG160" s="580">
        <f t="shared" si="46"/>
        <v>0</v>
      </c>
      <c r="AH160" s="580">
        <f t="shared" si="47"/>
        <v>0</v>
      </c>
    </row>
    <row r="161" spans="2:34">
      <c r="B161" s="225" t="s">
        <v>100</v>
      </c>
      <c r="C161" s="180">
        <f>C160</f>
        <v>74.41114754142896</v>
      </c>
      <c r="D161" s="226">
        <f>D162</f>
        <v>18</v>
      </c>
      <c r="AB161" s="580">
        <f>HLOOKUP("*"&amp;'Output annual'!$AC$2&amp;'Output annual'!$AD$2&amp;"*Zone People Number Of Occupants [](Hourly)",'Eplus results'!$1:$1048576,ROW(),FALSE)</f>
        <v>0</v>
      </c>
      <c r="AC161" s="580">
        <f>HLOOKUP("*"&amp;'Output annual'!$AC$2&amp;'Output annual'!$AD$2&amp;"*FangerPMV(Hourly)",'Eplus results'!$1:$1048576,ROW(),FALSE)</f>
        <v>0</v>
      </c>
      <c r="AD161" s="580">
        <f t="shared" si="43"/>
        <v>5</v>
      </c>
      <c r="AE161" s="580">
        <f t="shared" si="44"/>
        <v>2.5</v>
      </c>
      <c r="AF161" s="580">
        <f t="shared" si="45"/>
        <v>2.5</v>
      </c>
      <c r="AG161" s="580">
        <f t="shared" si="46"/>
        <v>0</v>
      </c>
      <c r="AH161" s="580">
        <f t="shared" si="47"/>
        <v>0</v>
      </c>
    </row>
    <row r="162" spans="2:34">
      <c r="B162" s="221" t="s">
        <v>250</v>
      </c>
      <c r="C162" s="223">
        <f>C163</f>
        <v>68.560690278639925</v>
      </c>
      <c r="D162" s="224">
        <f>CeilingHeight</f>
        <v>18</v>
      </c>
      <c r="AB162" s="580">
        <f>HLOOKUP("*"&amp;'Output annual'!$AC$2&amp;'Output annual'!$AD$2&amp;"*Zone People Number Of Occupants [](Hourly)",'Eplus results'!$1:$1048576,ROW(),FALSE)</f>
        <v>0</v>
      </c>
      <c r="AC162" s="580">
        <f>HLOOKUP("*"&amp;'Output annual'!$AC$2&amp;'Output annual'!$AD$2&amp;"*FangerPMV(Hourly)",'Eplus results'!$1:$1048576,ROW(),FALSE)</f>
        <v>0</v>
      </c>
      <c r="AD162" s="580">
        <f t="shared" si="43"/>
        <v>5</v>
      </c>
      <c r="AE162" s="580">
        <f t="shared" si="44"/>
        <v>2.5</v>
      </c>
      <c r="AF162" s="580">
        <f t="shared" si="45"/>
        <v>2.5</v>
      </c>
      <c r="AG162" s="580">
        <f t="shared" si="46"/>
        <v>0</v>
      </c>
      <c r="AH162" s="580">
        <f t="shared" si="47"/>
        <v>0</v>
      </c>
    </row>
    <row r="163" spans="2:34">
      <c r="B163" s="221" t="s">
        <v>251</v>
      </c>
      <c r="C163" s="223">
        <f>HLOOKUP(floor&amp;perim_zone&amp;" ATU OUTLET NODE:System Node Temp[C](Hourly)",'Eplus results'!1:1048576,'graph data'!D4,FALSE)*9/5+32</f>
        <v>68.560690278639925</v>
      </c>
      <c r="D163" s="222">
        <v>18</v>
      </c>
      <c r="AB163" s="580">
        <f>HLOOKUP("*"&amp;'Output annual'!$AC$2&amp;'Output annual'!$AD$2&amp;"*Zone People Number Of Occupants [](Hourly)",'Eplus results'!$1:$1048576,ROW(),FALSE)</f>
        <v>0</v>
      </c>
      <c r="AC163" s="580">
        <f>HLOOKUP("*"&amp;'Output annual'!$AC$2&amp;'Output annual'!$AD$2&amp;"*FangerPMV(Hourly)",'Eplus results'!$1:$1048576,ROW(),FALSE)</f>
        <v>0</v>
      </c>
      <c r="AD163" s="580">
        <f t="shared" si="43"/>
        <v>5</v>
      </c>
      <c r="AE163" s="580">
        <f t="shared" si="44"/>
        <v>2.5</v>
      </c>
      <c r="AF163" s="580">
        <f t="shared" si="45"/>
        <v>2.5</v>
      </c>
      <c r="AG163" s="580">
        <f t="shared" si="46"/>
        <v>0</v>
      </c>
      <c r="AH163" s="580">
        <f t="shared" si="47"/>
        <v>0</v>
      </c>
    </row>
    <row r="164" spans="2:34">
      <c r="B164" s="221" t="s">
        <v>252</v>
      </c>
      <c r="C164" s="168">
        <f>IF(Supply_Plenum="No_Decay",'Output hourly'!D22,'graph data'!F18)</f>
        <v>68.043830184343761</v>
      </c>
      <c r="D164" s="222">
        <v>12</v>
      </c>
      <c r="AB164" s="580">
        <f>HLOOKUP("*"&amp;'Output annual'!$AC$2&amp;'Output annual'!$AD$2&amp;"*Zone People Number Of Occupants [](Hourly)",'Eplus results'!$1:$1048576,ROW(),FALSE)</f>
        <v>0</v>
      </c>
      <c r="AC164" s="580">
        <f>HLOOKUP("*"&amp;'Output annual'!$AC$2&amp;'Output annual'!$AD$2&amp;"*FangerPMV(Hourly)",'Eplus results'!$1:$1048576,ROW(),FALSE)</f>
        <v>0</v>
      </c>
      <c r="AD164" s="580">
        <f t="shared" si="43"/>
        <v>5</v>
      </c>
      <c r="AE164" s="580">
        <f t="shared" si="44"/>
        <v>2.5</v>
      </c>
      <c r="AF164" s="580">
        <f t="shared" si="45"/>
        <v>2.5</v>
      </c>
      <c r="AG164" s="580">
        <f t="shared" si="46"/>
        <v>0</v>
      </c>
      <c r="AH164" s="580">
        <f t="shared" si="47"/>
        <v>0</v>
      </c>
    </row>
    <row r="165" spans="2:34">
      <c r="B165" s="221" t="s">
        <v>253</v>
      </c>
      <c r="C165" s="168">
        <f>IF(AND(RunType="UFAD_C", Supply_Plenum="Series"),'graph data'!F28, 'Output hourly'!D22)</f>
        <v>60.008007851461585</v>
      </c>
      <c r="D165" s="222">
        <v>10</v>
      </c>
      <c r="AB165" s="580">
        <f>HLOOKUP("*"&amp;'Output annual'!$AC$2&amp;'Output annual'!$AD$2&amp;"*Zone People Number Of Occupants [](Hourly)",'Eplus results'!$1:$1048576,ROW(),FALSE)</f>
        <v>0</v>
      </c>
      <c r="AC165" s="580">
        <f>HLOOKUP("*"&amp;'Output annual'!$AC$2&amp;'Output annual'!$AD$2&amp;"*FangerPMV(Hourly)",'Eplus results'!$1:$1048576,ROW(),FALSE)</f>
        <v>0</v>
      </c>
      <c r="AD165" s="580">
        <f t="shared" si="43"/>
        <v>5</v>
      </c>
      <c r="AE165" s="580">
        <f t="shared" si="44"/>
        <v>2.5</v>
      </c>
      <c r="AF165" s="580">
        <f t="shared" si="45"/>
        <v>2.5</v>
      </c>
      <c r="AG165" s="580">
        <f t="shared" si="46"/>
        <v>0</v>
      </c>
      <c r="AH165" s="580">
        <f t="shared" si="47"/>
        <v>0</v>
      </c>
    </row>
    <row r="166" spans="2:34">
      <c r="B166" s="51" t="s">
        <v>263</v>
      </c>
      <c r="C166" s="232">
        <v>50</v>
      </c>
      <c r="D166" s="233">
        <f>'graph data'!$F$20+18</f>
        <v>84.929133858267718</v>
      </c>
      <c r="AB166" s="580">
        <f>HLOOKUP("*"&amp;'Output annual'!$AC$2&amp;'Output annual'!$AD$2&amp;"*Zone People Number Of Occupants [](Hourly)",'Eplus results'!$1:$1048576,ROW(),FALSE)</f>
        <v>0</v>
      </c>
      <c r="AC166" s="580">
        <f>HLOOKUP("*"&amp;'Output annual'!$AC$2&amp;'Output annual'!$AD$2&amp;"*FangerPMV(Hourly)",'Eplus results'!$1:$1048576,ROW(),FALSE)</f>
        <v>0</v>
      </c>
      <c r="AD166" s="580">
        <f t="shared" si="43"/>
        <v>5</v>
      </c>
      <c r="AE166" s="580">
        <f t="shared" si="44"/>
        <v>2.5</v>
      </c>
      <c r="AF166" s="580">
        <f t="shared" si="45"/>
        <v>2.5</v>
      </c>
      <c r="AG166" s="580">
        <f t="shared" si="46"/>
        <v>0</v>
      </c>
      <c r="AH166" s="580">
        <f t="shared" si="47"/>
        <v>0</v>
      </c>
    </row>
    <row r="167" spans="2:34">
      <c r="B167" s="56"/>
      <c r="C167" s="230">
        <v>100</v>
      </c>
      <c r="D167" s="231">
        <f>'graph data'!$F$20+18</f>
        <v>84.929133858267718</v>
      </c>
      <c r="AB167" s="580">
        <f>HLOOKUP("*"&amp;'Output annual'!$AC$2&amp;'Output annual'!$AD$2&amp;"*Zone People Number Of Occupants [](Hourly)",'Eplus results'!$1:$1048576,ROW(),FALSE)</f>
        <v>0</v>
      </c>
      <c r="AC167" s="580">
        <f>HLOOKUP("*"&amp;'Output annual'!$AC$2&amp;'Output annual'!$AD$2&amp;"*FangerPMV(Hourly)",'Eplus results'!$1:$1048576,ROW(),FALSE)</f>
        <v>0</v>
      </c>
      <c r="AD167" s="580">
        <f t="shared" si="43"/>
        <v>5</v>
      </c>
      <c r="AE167" s="580">
        <f t="shared" si="44"/>
        <v>2.5</v>
      </c>
      <c r="AF167" s="580">
        <f t="shared" si="45"/>
        <v>2.5</v>
      </c>
      <c r="AG167" s="580">
        <f t="shared" si="46"/>
        <v>0</v>
      </c>
      <c r="AH167" s="580">
        <f t="shared" si="47"/>
        <v>0</v>
      </c>
    </row>
    <row r="168" spans="2:34">
      <c r="B168" s="234" t="s">
        <v>864</v>
      </c>
      <c r="C168" s="179" t="s">
        <v>259</v>
      </c>
      <c r="D168" s="222" t="s">
        <v>261</v>
      </c>
      <c r="AB168" s="580">
        <f>HLOOKUP("*"&amp;'Output annual'!$AC$2&amp;'Output annual'!$AD$2&amp;"*Zone People Number Of Occupants [](Hourly)",'Eplus results'!$1:$1048576,ROW(),FALSE)</f>
        <v>0</v>
      </c>
      <c r="AC168" s="580">
        <f>HLOOKUP("*"&amp;'Output annual'!$AC$2&amp;'Output annual'!$AD$2&amp;"*FangerPMV(Hourly)",'Eplus results'!$1:$1048576,ROW(),FALSE)</f>
        <v>0</v>
      </c>
      <c r="AD168" s="580">
        <f t="shared" si="43"/>
        <v>5</v>
      </c>
      <c r="AE168" s="580">
        <f t="shared" si="44"/>
        <v>2.5</v>
      </c>
      <c r="AF168" s="580">
        <f t="shared" si="45"/>
        <v>2.5</v>
      </c>
      <c r="AG168" s="580">
        <f t="shared" si="46"/>
        <v>0</v>
      </c>
      <c r="AH168" s="580">
        <f t="shared" si="47"/>
        <v>0</v>
      </c>
    </row>
    <row r="169" spans="2:34">
      <c r="B169" s="221"/>
      <c r="C169" s="179" t="s">
        <v>260</v>
      </c>
      <c r="D169" s="222" t="s">
        <v>262</v>
      </c>
      <c r="AB169" s="580">
        <f>HLOOKUP("*"&amp;'Output annual'!$AC$2&amp;'Output annual'!$AD$2&amp;"*Zone People Number Of Occupants [](Hourly)",'Eplus results'!$1:$1048576,ROW(),FALSE)</f>
        <v>0</v>
      </c>
      <c r="AC169" s="580">
        <f>HLOOKUP("*"&amp;'Output annual'!$AC$2&amp;'Output annual'!$AD$2&amp;"*FangerPMV(Hourly)",'Eplus results'!$1:$1048576,ROW(),FALSE)</f>
        <v>0</v>
      </c>
      <c r="AD169" s="580">
        <f t="shared" si="43"/>
        <v>5</v>
      </c>
      <c r="AE169" s="580">
        <f t="shared" si="44"/>
        <v>2.5</v>
      </c>
      <c r="AF169" s="580">
        <f t="shared" si="45"/>
        <v>2.5</v>
      </c>
      <c r="AG169" s="580">
        <f t="shared" si="46"/>
        <v>0</v>
      </c>
      <c r="AH169" s="580">
        <f t="shared" si="47"/>
        <v>0</v>
      </c>
    </row>
    <row r="170" spans="2:34">
      <c r="B170" s="221" t="s">
        <v>101</v>
      </c>
      <c r="C170" s="223">
        <f>C171</f>
        <v>77.368472371625188</v>
      </c>
      <c r="D170" s="222">
        <v>179</v>
      </c>
      <c r="AB170" s="580">
        <f>HLOOKUP("*"&amp;'Output annual'!$AC$2&amp;'Output annual'!$AD$2&amp;"*Zone People Number Of Occupants [](Hourly)",'Eplus results'!$1:$1048576,ROW(),FALSE)</f>
        <v>0</v>
      </c>
      <c r="AC170" s="580">
        <f>HLOOKUP("*"&amp;'Output annual'!$AC$2&amp;'Output annual'!$AD$2&amp;"*FangerPMV(Hourly)",'Eplus results'!$1:$1048576,ROW(),FALSE)</f>
        <v>0</v>
      </c>
      <c r="AD170" s="580">
        <f t="shared" si="43"/>
        <v>5</v>
      </c>
      <c r="AE170" s="580">
        <f t="shared" si="44"/>
        <v>2.5</v>
      </c>
      <c r="AF170" s="580">
        <f t="shared" si="45"/>
        <v>2.5</v>
      </c>
      <c r="AG170" s="580">
        <f t="shared" si="46"/>
        <v>0</v>
      </c>
      <c r="AH170" s="580">
        <f t="shared" si="47"/>
        <v>0</v>
      </c>
    </row>
    <row r="171" spans="2:34">
      <c r="B171" s="221" t="s">
        <v>102</v>
      </c>
      <c r="C171" s="168">
        <f>'graph data'!F24</f>
        <v>77.368472371625188</v>
      </c>
      <c r="D171" s="222">
        <v>138</v>
      </c>
      <c r="AB171" s="580">
        <f>HLOOKUP("*"&amp;'Output annual'!$AC$2&amp;'Output annual'!$AD$2&amp;"*Zone People Number Of Occupants [](Hourly)",'Eplus results'!$1:$1048576,ROW(),FALSE)</f>
        <v>0</v>
      </c>
      <c r="AC171" s="580">
        <f>HLOOKUP("*"&amp;'Output annual'!$AC$2&amp;'Output annual'!$AD$2&amp;"*FangerPMV(Hourly)",'Eplus results'!$1:$1048576,ROW(),FALSE)</f>
        <v>0</v>
      </c>
      <c r="AD171" s="580">
        <f t="shared" si="43"/>
        <v>5</v>
      </c>
      <c r="AE171" s="580">
        <f t="shared" si="44"/>
        <v>2.5</v>
      </c>
      <c r="AF171" s="580">
        <f t="shared" si="45"/>
        <v>2.5</v>
      </c>
      <c r="AG171" s="580">
        <f t="shared" si="46"/>
        <v>0</v>
      </c>
      <c r="AH171" s="580">
        <f t="shared" si="47"/>
        <v>0</v>
      </c>
    </row>
    <row r="172" spans="2:34">
      <c r="B172" s="221" t="s">
        <v>103</v>
      </c>
      <c r="C172" s="223">
        <f>C174</f>
        <v>77.515654097217023</v>
      </c>
      <c r="D172" s="222">
        <v>126</v>
      </c>
      <c r="AB172" s="580">
        <f>HLOOKUP("*"&amp;'Output annual'!$AC$2&amp;'Output annual'!$AD$2&amp;"*Zone People Number Of Occupants [](Hourly)",'Eplus results'!$1:$1048576,ROW(),FALSE)</f>
        <v>0</v>
      </c>
      <c r="AC172" s="580">
        <f>HLOOKUP("*"&amp;'Output annual'!$AC$2&amp;'Output annual'!$AD$2&amp;"*FangerPMV(Hourly)",'Eplus results'!$1:$1048576,ROW(),FALSE)</f>
        <v>0</v>
      </c>
      <c r="AD172" s="580">
        <f t="shared" si="43"/>
        <v>5</v>
      </c>
      <c r="AE172" s="580">
        <f t="shared" si="44"/>
        <v>2.5</v>
      </c>
      <c r="AF172" s="580">
        <f t="shared" si="45"/>
        <v>2.5</v>
      </c>
      <c r="AG172" s="580">
        <f t="shared" si="46"/>
        <v>0</v>
      </c>
      <c r="AH172" s="580">
        <f t="shared" si="47"/>
        <v>0</v>
      </c>
    </row>
    <row r="173" spans="2:34">
      <c r="B173" s="225" t="s">
        <v>100</v>
      </c>
      <c r="C173" s="180">
        <f>C174</f>
        <v>77.515654097217023</v>
      </c>
      <c r="D173" s="226">
        <v>126</v>
      </c>
      <c r="AB173" s="580">
        <f>HLOOKUP("*"&amp;'Output annual'!$AC$2&amp;'Output annual'!$AD$2&amp;"*Zone People Number Of Occupants [](Hourly)",'Eplus results'!$1:$1048576,ROW(),FALSE)</f>
        <v>0</v>
      </c>
      <c r="AC173" s="580">
        <f>HLOOKUP("*"&amp;'Output annual'!$AC$2&amp;'Output annual'!$AD$2&amp;"*FangerPMV(Hourly)",'Eplus results'!$1:$1048576,ROW(),FALSE)</f>
        <v>0</v>
      </c>
      <c r="AD173" s="580">
        <f t="shared" si="43"/>
        <v>5</v>
      </c>
      <c r="AE173" s="580">
        <f t="shared" si="44"/>
        <v>2.5</v>
      </c>
      <c r="AF173" s="580">
        <f t="shared" si="45"/>
        <v>2.5</v>
      </c>
      <c r="AG173" s="580">
        <f t="shared" si="46"/>
        <v>0</v>
      </c>
      <c r="AH173" s="580">
        <f t="shared" si="47"/>
        <v>0</v>
      </c>
    </row>
    <row r="174" spans="2:34">
      <c r="B174" s="221" t="s">
        <v>155</v>
      </c>
      <c r="C174" s="168">
        <f>IF(RunType="OH",'graph data'!F26,'graph data'!F25)</f>
        <v>77.515654097217023</v>
      </c>
      <c r="D174" s="224">
        <f>(D173-D175)/2+D175</f>
        <v>105.46456692913387</v>
      </c>
      <c r="AB174" s="580">
        <f>HLOOKUP("*"&amp;'Output annual'!$AC$2&amp;'Output annual'!$AD$2&amp;"*Zone People Number Of Occupants [](Hourly)",'Eplus results'!$1:$1048576,ROW(),FALSE)</f>
        <v>0</v>
      </c>
      <c r="AC174" s="580">
        <f>HLOOKUP("*"&amp;'Output annual'!$AC$2&amp;'Output annual'!$AD$2&amp;"*FangerPMV(Hourly)",'Eplus results'!$1:$1048576,ROW(),FALSE)</f>
        <v>0</v>
      </c>
      <c r="AD174" s="580">
        <f t="shared" si="43"/>
        <v>5</v>
      </c>
      <c r="AE174" s="580">
        <f t="shared" si="44"/>
        <v>2.5</v>
      </c>
      <c r="AF174" s="580">
        <f t="shared" si="45"/>
        <v>2.5</v>
      </c>
      <c r="AG174" s="580">
        <f t="shared" si="46"/>
        <v>0</v>
      </c>
      <c r="AH174" s="580">
        <f t="shared" si="47"/>
        <v>0</v>
      </c>
    </row>
    <row r="175" spans="2:34">
      <c r="B175" s="225" t="s">
        <v>100</v>
      </c>
      <c r="C175" s="180">
        <f>C174</f>
        <v>77.515654097217023</v>
      </c>
      <c r="D175" s="226">
        <f>D176</f>
        <v>84.929133858267718</v>
      </c>
      <c r="AB175" s="580">
        <f>HLOOKUP("*"&amp;'Output annual'!$AC$2&amp;'Output annual'!$AD$2&amp;"*Zone People Number Of Occupants [](Hourly)",'Eplus results'!$1:$1048576,ROW(),FALSE)</f>
        <v>0</v>
      </c>
      <c r="AC175" s="580">
        <f>HLOOKUP("*"&amp;'Output annual'!$AC$2&amp;'Output annual'!$AD$2&amp;"*FangerPMV(Hourly)",'Eplus results'!$1:$1048576,ROW(),FALSE)</f>
        <v>0</v>
      </c>
      <c r="AD175" s="580">
        <f t="shared" si="43"/>
        <v>5</v>
      </c>
      <c r="AE175" s="580">
        <f t="shared" si="44"/>
        <v>2.5</v>
      </c>
      <c r="AF175" s="580">
        <f t="shared" si="45"/>
        <v>2.5</v>
      </c>
      <c r="AG175" s="580">
        <f t="shared" si="46"/>
        <v>0</v>
      </c>
      <c r="AH175" s="580">
        <f t="shared" si="47"/>
        <v>0</v>
      </c>
    </row>
    <row r="176" spans="2:34">
      <c r="B176" s="225" t="s">
        <v>100</v>
      </c>
      <c r="C176" s="180">
        <f>C177</f>
        <v>74.973545772575179</v>
      </c>
      <c r="D176" s="227">
        <f>IF(RunType="OH",84.9,'graph data'!F30+18)</f>
        <v>84.929133858267718</v>
      </c>
      <c r="AB176" s="580">
        <f>HLOOKUP("*"&amp;'Output annual'!$AC$2&amp;'Output annual'!$AD$2&amp;"*Zone People Number Of Occupants [](Hourly)",'Eplus results'!$1:$1048576,ROW(),FALSE)</f>
        <v>0</v>
      </c>
      <c r="AC176" s="580">
        <f>HLOOKUP("*"&amp;'Output annual'!$AC$2&amp;'Output annual'!$AD$2&amp;"*FangerPMV(Hourly)",'Eplus results'!$1:$1048576,ROW(),FALSE)</f>
        <v>0</v>
      </c>
      <c r="AD176" s="580">
        <f t="shared" si="43"/>
        <v>5</v>
      </c>
      <c r="AE176" s="580">
        <f t="shared" si="44"/>
        <v>2.5</v>
      </c>
      <c r="AF176" s="580">
        <f t="shared" si="45"/>
        <v>2.5</v>
      </c>
      <c r="AG176" s="580">
        <f t="shared" si="46"/>
        <v>0</v>
      </c>
      <c r="AH176" s="580">
        <f t="shared" si="47"/>
        <v>0</v>
      </c>
    </row>
    <row r="177" spans="2:34">
      <c r="B177" s="221" t="s">
        <v>249</v>
      </c>
      <c r="C177" s="168">
        <f>IF(RunType="OH",'graph data'!F26,'graph data'!F27)</f>
        <v>74.973545772575179</v>
      </c>
      <c r="D177" s="224">
        <f>(D176-D178)/2+D178</f>
        <v>51.464566929133859</v>
      </c>
      <c r="AB177" s="580">
        <f>HLOOKUP("*"&amp;'Output annual'!$AC$2&amp;'Output annual'!$AD$2&amp;"*Zone People Number Of Occupants [](Hourly)",'Eplus results'!$1:$1048576,ROW(),FALSE)</f>
        <v>0</v>
      </c>
      <c r="AC177" s="580">
        <f>HLOOKUP("*"&amp;'Output annual'!$AC$2&amp;'Output annual'!$AD$2&amp;"*FangerPMV(Hourly)",'Eplus results'!$1:$1048576,ROW(),FALSE)</f>
        <v>0</v>
      </c>
      <c r="AD177" s="580">
        <f t="shared" si="43"/>
        <v>5</v>
      </c>
      <c r="AE177" s="580">
        <f t="shared" si="44"/>
        <v>2.5</v>
      </c>
      <c r="AF177" s="580">
        <f t="shared" si="45"/>
        <v>2.5</v>
      </c>
      <c r="AG177" s="580">
        <f t="shared" si="46"/>
        <v>0</v>
      </c>
      <c r="AH177" s="580">
        <f t="shared" si="47"/>
        <v>0</v>
      </c>
    </row>
    <row r="178" spans="2:34">
      <c r="B178" s="225" t="s">
        <v>100</v>
      </c>
      <c r="C178" s="180">
        <f>C177</f>
        <v>74.973545772575179</v>
      </c>
      <c r="D178" s="226">
        <f>D179</f>
        <v>18</v>
      </c>
      <c r="AB178" s="580">
        <f>HLOOKUP("*"&amp;'Output annual'!$AC$2&amp;'Output annual'!$AD$2&amp;"*Zone People Number Of Occupants [](Hourly)",'Eplus results'!$1:$1048576,ROW(),FALSE)</f>
        <v>0</v>
      </c>
      <c r="AC178" s="580">
        <f>HLOOKUP("*"&amp;'Output annual'!$AC$2&amp;'Output annual'!$AD$2&amp;"*FangerPMV(Hourly)",'Eplus results'!$1:$1048576,ROW(),FALSE)</f>
        <v>0</v>
      </c>
      <c r="AD178" s="580">
        <f t="shared" si="43"/>
        <v>5</v>
      </c>
      <c r="AE178" s="580">
        <f t="shared" si="44"/>
        <v>2.5</v>
      </c>
      <c r="AF178" s="580">
        <f t="shared" si="45"/>
        <v>2.5</v>
      </c>
      <c r="AG178" s="580">
        <f t="shared" si="46"/>
        <v>0</v>
      </c>
      <c r="AH178" s="580">
        <f t="shared" si="47"/>
        <v>0</v>
      </c>
    </row>
    <row r="179" spans="2:34">
      <c r="B179" s="221" t="s">
        <v>250</v>
      </c>
      <c r="C179" s="223">
        <f>C180</f>
        <v>64.800956820513193</v>
      </c>
      <c r="D179" s="224">
        <f>CeilingHeight</f>
        <v>18</v>
      </c>
      <c r="AB179" s="580">
        <f>HLOOKUP("*"&amp;'Output annual'!$AC$2&amp;'Output annual'!$AD$2&amp;"*Zone People Number Of Occupants [](Hourly)",'Eplus results'!$1:$1048576,ROW(),FALSE)</f>
        <v>0</v>
      </c>
      <c r="AC179" s="580">
        <f>HLOOKUP("*"&amp;'Output annual'!$AC$2&amp;'Output annual'!$AD$2&amp;"*FangerPMV(Hourly)",'Eplus results'!$1:$1048576,ROW(),FALSE)</f>
        <v>0</v>
      </c>
      <c r="AD179" s="580">
        <f t="shared" si="43"/>
        <v>5</v>
      </c>
      <c r="AE179" s="580">
        <f t="shared" si="44"/>
        <v>2.5</v>
      </c>
      <c r="AF179" s="580">
        <f t="shared" si="45"/>
        <v>2.5</v>
      </c>
      <c r="AG179" s="580">
        <f t="shared" si="46"/>
        <v>0</v>
      </c>
      <c r="AH179" s="580">
        <f t="shared" si="47"/>
        <v>0</v>
      </c>
    </row>
    <row r="180" spans="2:34">
      <c r="B180" s="221" t="s">
        <v>251</v>
      </c>
      <c r="C180" s="223">
        <f>HLOOKUP(floor&amp;Int_zone&amp;" ATU OUTLET NODE:System Node Temp[C](Hourly)",'Eplus results'!1:1048576,'graph data'!D4,FALSE)*9/5+32</f>
        <v>64.800956820513193</v>
      </c>
      <c r="D180" s="222">
        <v>18</v>
      </c>
      <c r="AB180" s="580">
        <f>HLOOKUP("*"&amp;'Output annual'!$AC$2&amp;'Output annual'!$AD$2&amp;"*Zone People Number Of Occupants [](Hourly)",'Eplus results'!$1:$1048576,ROW(),FALSE)</f>
        <v>0</v>
      </c>
      <c r="AC180" s="580">
        <f>HLOOKUP("*"&amp;'Output annual'!$AC$2&amp;'Output annual'!$AD$2&amp;"*FangerPMV(Hourly)",'Eplus results'!$1:$1048576,ROW(),FALSE)</f>
        <v>0</v>
      </c>
      <c r="AD180" s="580">
        <f t="shared" si="43"/>
        <v>5</v>
      </c>
      <c r="AE180" s="580">
        <f t="shared" si="44"/>
        <v>2.5</v>
      </c>
      <c r="AF180" s="580">
        <f t="shared" si="45"/>
        <v>2.5</v>
      </c>
      <c r="AG180" s="580">
        <f t="shared" si="46"/>
        <v>0</v>
      </c>
      <c r="AH180" s="580">
        <f t="shared" si="47"/>
        <v>0</v>
      </c>
    </row>
    <row r="181" spans="2:34">
      <c r="B181" s="221" t="s">
        <v>252</v>
      </c>
      <c r="C181" s="168">
        <f>IF(Supply_Plenum="No_Decay",'Output hourly'!D22,'graph data'!F28)</f>
        <v>64.792778726190562</v>
      </c>
      <c r="D181" s="222">
        <v>12</v>
      </c>
      <c r="AB181" s="580">
        <f>HLOOKUP("*"&amp;'Output annual'!$AC$2&amp;'Output annual'!$AD$2&amp;"*Zone People Number Of Occupants [](Hourly)",'Eplus results'!$1:$1048576,ROW(),FALSE)</f>
        <v>0</v>
      </c>
      <c r="AC181" s="580">
        <f>HLOOKUP("*"&amp;'Output annual'!$AC$2&amp;'Output annual'!$AD$2&amp;"*FangerPMV(Hourly)",'Eplus results'!$1:$1048576,ROW(),FALSE)</f>
        <v>0</v>
      </c>
      <c r="AD181" s="580">
        <f t="shared" si="43"/>
        <v>5</v>
      </c>
      <c r="AE181" s="580">
        <f t="shared" si="44"/>
        <v>2.5</v>
      </c>
      <c r="AF181" s="580">
        <f t="shared" si="45"/>
        <v>2.5</v>
      </c>
      <c r="AG181" s="580">
        <f t="shared" si="46"/>
        <v>0</v>
      </c>
      <c r="AH181" s="580">
        <f t="shared" si="47"/>
        <v>0</v>
      </c>
    </row>
    <row r="182" spans="2:34">
      <c r="B182" s="221" t="s">
        <v>253</v>
      </c>
      <c r="C182" s="168">
        <f>'graph data'!B149</f>
        <v>60.008007851461585</v>
      </c>
      <c r="D182" s="222">
        <v>10</v>
      </c>
      <c r="AB182" s="580">
        <f>HLOOKUP("*"&amp;'Output annual'!$AC$2&amp;'Output annual'!$AD$2&amp;"*Zone People Number Of Occupants [](Hourly)",'Eplus results'!$1:$1048576,ROW(),FALSE)</f>
        <v>0</v>
      </c>
      <c r="AC182" s="580">
        <f>HLOOKUP("*"&amp;'Output annual'!$AC$2&amp;'Output annual'!$AD$2&amp;"*FangerPMV(Hourly)",'Eplus results'!$1:$1048576,ROW(),FALSE)</f>
        <v>0</v>
      </c>
      <c r="AD182" s="580">
        <f t="shared" si="43"/>
        <v>5</v>
      </c>
      <c r="AE182" s="580">
        <f t="shared" si="44"/>
        <v>2.5</v>
      </c>
      <c r="AF182" s="580">
        <f t="shared" si="45"/>
        <v>2.5</v>
      </c>
      <c r="AG182" s="580">
        <f t="shared" si="46"/>
        <v>0</v>
      </c>
      <c r="AH182" s="580">
        <f t="shared" si="47"/>
        <v>0</v>
      </c>
    </row>
    <row r="183" spans="2:34">
      <c r="B183" s="51" t="s">
        <v>263</v>
      </c>
      <c r="C183" s="232">
        <v>50</v>
      </c>
      <c r="D183" s="233">
        <f>'graph data'!$F$30+18</f>
        <v>84.929133858267718</v>
      </c>
      <c r="AB183" s="580">
        <f>HLOOKUP("*"&amp;'Output annual'!$AC$2&amp;'Output annual'!$AD$2&amp;"*Zone People Number Of Occupants [](Hourly)",'Eplus results'!$1:$1048576,ROW(),FALSE)</f>
        <v>0</v>
      </c>
      <c r="AC183" s="580">
        <f>HLOOKUP("*"&amp;'Output annual'!$AC$2&amp;'Output annual'!$AD$2&amp;"*FangerPMV(Hourly)",'Eplus results'!$1:$1048576,ROW(),FALSE)</f>
        <v>0</v>
      </c>
      <c r="AD183" s="580">
        <f t="shared" si="43"/>
        <v>5</v>
      </c>
      <c r="AE183" s="580">
        <f t="shared" si="44"/>
        <v>2.5</v>
      </c>
      <c r="AF183" s="580">
        <f t="shared" si="45"/>
        <v>2.5</v>
      </c>
      <c r="AG183" s="580">
        <f t="shared" si="46"/>
        <v>0</v>
      </c>
      <c r="AH183" s="580">
        <f t="shared" si="47"/>
        <v>0</v>
      </c>
    </row>
    <row r="184" spans="2:34">
      <c r="B184" s="56"/>
      <c r="C184" s="230">
        <v>100</v>
      </c>
      <c r="D184" s="231">
        <f>'graph data'!$F$30+18</f>
        <v>84.929133858267718</v>
      </c>
      <c r="AB184" s="580">
        <f>HLOOKUP("*"&amp;'Output annual'!$AC$2&amp;'Output annual'!$AD$2&amp;"*Zone People Number Of Occupants [](Hourly)",'Eplus results'!$1:$1048576,ROW(),FALSE)</f>
        <v>0</v>
      </c>
      <c r="AC184" s="580">
        <f>HLOOKUP("*"&amp;'Output annual'!$AC$2&amp;'Output annual'!$AD$2&amp;"*FangerPMV(Hourly)",'Eplus results'!$1:$1048576,ROW(),FALSE)</f>
        <v>0</v>
      </c>
      <c r="AD184" s="580">
        <f t="shared" si="43"/>
        <v>5</v>
      </c>
      <c r="AE184" s="580">
        <f t="shared" si="44"/>
        <v>2.5</v>
      </c>
      <c r="AF184" s="580">
        <f t="shared" si="45"/>
        <v>2.5</v>
      </c>
      <c r="AG184" s="580">
        <f t="shared" si="46"/>
        <v>0</v>
      </c>
      <c r="AH184" s="580">
        <f t="shared" si="47"/>
        <v>0</v>
      </c>
    </row>
    <row r="185" spans="2:34">
      <c r="AB185" s="580">
        <f>HLOOKUP("*"&amp;'Output annual'!$AC$2&amp;'Output annual'!$AD$2&amp;"*Zone People Number Of Occupants [](Hourly)",'Eplus results'!$1:$1048576,ROW(),FALSE)</f>
        <v>0</v>
      </c>
      <c r="AC185" s="580">
        <f>HLOOKUP("*"&amp;'Output annual'!$AC$2&amp;'Output annual'!$AD$2&amp;"*FangerPMV(Hourly)",'Eplus results'!$1:$1048576,ROW(),FALSE)</f>
        <v>0</v>
      </c>
      <c r="AD185" s="580">
        <f t="shared" si="43"/>
        <v>5</v>
      </c>
      <c r="AE185" s="580">
        <f t="shared" si="44"/>
        <v>2.5</v>
      </c>
      <c r="AF185" s="580">
        <f t="shared" si="45"/>
        <v>2.5</v>
      </c>
      <c r="AG185" s="580">
        <f t="shared" si="46"/>
        <v>0</v>
      </c>
      <c r="AH185" s="580">
        <f t="shared" si="47"/>
        <v>0</v>
      </c>
    </row>
    <row r="186" spans="2:34">
      <c r="AB186" s="580">
        <f>HLOOKUP("*"&amp;'Output annual'!$AC$2&amp;'Output annual'!$AD$2&amp;"*Zone People Number Of Occupants [](Hourly)",'Eplus results'!$1:$1048576,ROW(),FALSE)</f>
        <v>0</v>
      </c>
      <c r="AC186" s="580">
        <f>HLOOKUP("*"&amp;'Output annual'!$AC$2&amp;'Output annual'!$AD$2&amp;"*FangerPMV(Hourly)",'Eplus results'!$1:$1048576,ROW(),FALSE)</f>
        <v>0</v>
      </c>
      <c r="AD186" s="580">
        <f t="shared" si="43"/>
        <v>5</v>
      </c>
      <c r="AE186" s="580">
        <f t="shared" si="44"/>
        <v>2.5</v>
      </c>
      <c r="AF186" s="580">
        <f t="shared" si="45"/>
        <v>2.5</v>
      </c>
      <c r="AG186" s="580">
        <f t="shared" si="46"/>
        <v>0</v>
      </c>
      <c r="AH186" s="580">
        <f t="shared" si="47"/>
        <v>0</v>
      </c>
    </row>
    <row r="187" spans="2:34">
      <c r="AB187" s="580">
        <f>HLOOKUP("*"&amp;'Output annual'!$AC$2&amp;'Output annual'!$AD$2&amp;"*Zone People Number Of Occupants [](Hourly)",'Eplus results'!$1:$1048576,ROW(),FALSE)</f>
        <v>0</v>
      </c>
      <c r="AC187" s="580">
        <f>HLOOKUP("*"&amp;'Output annual'!$AC$2&amp;'Output annual'!$AD$2&amp;"*FangerPMV(Hourly)",'Eplus results'!$1:$1048576,ROW(),FALSE)</f>
        <v>0</v>
      </c>
      <c r="AD187" s="580">
        <f t="shared" si="43"/>
        <v>5</v>
      </c>
      <c r="AE187" s="580">
        <f t="shared" si="44"/>
        <v>2.5</v>
      </c>
      <c r="AF187" s="580">
        <f t="shared" si="45"/>
        <v>2.5</v>
      </c>
      <c r="AG187" s="580">
        <f t="shared" si="46"/>
        <v>0</v>
      </c>
      <c r="AH187" s="580">
        <f t="shared" si="47"/>
        <v>0</v>
      </c>
    </row>
    <row r="188" spans="2:34">
      <c r="AB188" s="580">
        <f>HLOOKUP("*"&amp;'Output annual'!$AC$2&amp;'Output annual'!$AD$2&amp;"*Zone People Number Of Occupants [](Hourly)",'Eplus results'!$1:$1048576,ROW(),FALSE)</f>
        <v>0</v>
      </c>
      <c r="AC188" s="580">
        <f>HLOOKUP("*"&amp;'Output annual'!$AC$2&amp;'Output annual'!$AD$2&amp;"*FangerPMV(Hourly)",'Eplus results'!$1:$1048576,ROW(),FALSE)</f>
        <v>0</v>
      </c>
      <c r="AD188" s="580">
        <f t="shared" si="43"/>
        <v>5</v>
      </c>
      <c r="AE188" s="580">
        <f t="shared" si="44"/>
        <v>2.5</v>
      </c>
      <c r="AF188" s="580">
        <f t="shared" si="45"/>
        <v>2.5</v>
      </c>
      <c r="AG188" s="580">
        <f t="shared" si="46"/>
        <v>0</v>
      </c>
      <c r="AH188" s="580">
        <f t="shared" si="47"/>
        <v>0</v>
      </c>
    </row>
    <row r="189" spans="2:34">
      <c r="B189" s="235"/>
      <c r="C189" s="235"/>
      <c r="D189" s="235"/>
      <c r="E189" s="235"/>
      <c r="F189" s="235"/>
      <c r="G189" s="235"/>
      <c r="H189" s="235"/>
      <c r="I189" s="235"/>
      <c r="J189" s="235"/>
      <c r="K189" s="235"/>
      <c r="L189" s="235"/>
      <c r="M189" s="235"/>
      <c r="N189" s="235"/>
      <c r="O189" s="235"/>
      <c r="P189" s="235"/>
      <c r="Q189" s="235"/>
      <c r="R189" s="235"/>
      <c r="AB189" s="580">
        <f>HLOOKUP("*"&amp;'Output annual'!$AC$2&amp;'Output annual'!$AD$2&amp;"*Zone People Number Of Occupants [](Hourly)",'Eplus results'!$1:$1048576,ROW(),FALSE)</f>
        <v>0</v>
      </c>
      <c r="AC189" s="580">
        <f>HLOOKUP("*"&amp;'Output annual'!$AC$2&amp;'Output annual'!$AD$2&amp;"*FangerPMV(Hourly)",'Eplus results'!$1:$1048576,ROW(),FALSE)</f>
        <v>0</v>
      </c>
      <c r="AD189" s="580">
        <f t="shared" si="43"/>
        <v>5</v>
      </c>
      <c r="AE189" s="580">
        <f t="shared" si="44"/>
        <v>2.5</v>
      </c>
      <c r="AF189" s="580">
        <f t="shared" si="45"/>
        <v>2.5</v>
      </c>
      <c r="AG189" s="580">
        <f t="shared" si="46"/>
        <v>0</v>
      </c>
      <c r="AH189" s="580">
        <f t="shared" si="47"/>
        <v>0</v>
      </c>
    </row>
    <row r="190" spans="2:34">
      <c r="B190" s="235"/>
      <c r="C190" s="236"/>
      <c r="D190" s="237"/>
      <c r="E190" s="237"/>
      <c r="F190" s="237"/>
      <c r="G190" s="238" t="s">
        <v>485</v>
      </c>
      <c r="H190" s="239" t="e">
        <f>HLOOKUP("TFRPCore_CEILING1:Surface Outside Temperature[C](Hourly)",'Eplus results'!1:65536,'graph data'!D4,FALSE)</f>
        <v>#N/A</v>
      </c>
      <c r="I190" s="237"/>
      <c r="J190" s="237"/>
      <c r="K190" s="237"/>
      <c r="L190" s="238"/>
      <c r="M190" s="240"/>
      <c r="N190" s="235"/>
      <c r="O190" s="235"/>
      <c r="P190" s="235"/>
      <c r="Q190" s="235"/>
      <c r="R190" s="235"/>
      <c r="AB190" s="580">
        <f>HLOOKUP("*"&amp;'Output annual'!$AC$2&amp;'Output annual'!$AD$2&amp;"*Zone People Number Of Occupants [](Hourly)",'Eplus results'!$1:$1048576,ROW(),FALSE)</f>
        <v>0</v>
      </c>
      <c r="AC190" s="580">
        <f>HLOOKUP("*"&amp;'Output annual'!$AC$2&amp;'Output annual'!$AD$2&amp;"*FangerPMV(Hourly)",'Eplus results'!$1:$1048576,ROW(),FALSE)</f>
        <v>0</v>
      </c>
      <c r="AD190" s="580">
        <f t="shared" si="43"/>
        <v>5</v>
      </c>
      <c r="AE190" s="580">
        <f t="shared" si="44"/>
        <v>2.5</v>
      </c>
      <c r="AF190" s="580">
        <f t="shared" si="45"/>
        <v>2.5</v>
      </c>
      <c r="AG190" s="580">
        <f t="shared" si="46"/>
        <v>0</v>
      </c>
      <c r="AH190" s="580">
        <f t="shared" si="47"/>
        <v>0</v>
      </c>
    </row>
    <row r="191" spans="2:34">
      <c r="B191" s="235"/>
      <c r="C191" s="235" t="s">
        <v>516</v>
      </c>
      <c r="D191" s="241"/>
      <c r="E191" s="241"/>
      <c r="F191" s="241"/>
      <c r="G191" s="241"/>
      <c r="H191" s="242"/>
      <c r="I191" s="241"/>
      <c r="J191" s="241"/>
      <c r="K191" s="241"/>
      <c r="L191" s="243"/>
      <c r="M191" s="244"/>
      <c r="N191" s="235"/>
      <c r="O191" s="235"/>
      <c r="P191" s="235"/>
      <c r="Q191" s="235"/>
      <c r="R191" s="235"/>
      <c r="AB191" s="580">
        <f>HLOOKUP("*"&amp;'Output annual'!$AC$2&amp;'Output annual'!$AD$2&amp;"*Zone People Number Of Occupants [](Hourly)",'Eplus results'!$1:$1048576,ROW(),FALSE)</f>
        <v>0</v>
      </c>
      <c r="AC191" s="580">
        <f>HLOOKUP("*"&amp;'Output annual'!$AC$2&amp;'Output annual'!$AD$2&amp;"*FangerPMV(Hourly)",'Eplus results'!$1:$1048576,ROW(),FALSE)</f>
        <v>0</v>
      </c>
      <c r="AD191" s="580">
        <f t="shared" si="43"/>
        <v>5</v>
      </c>
      <c r="AE191" s="580">
        <f t="shared" si="44"/>
        <v>2.5</v>
      </c>
      <c r="AF191" s="580">
        <f t="shared" si="45"/>
        <v>2.5</v>
      </c>
      <c r="AG191" s="580">
        <f t="shared" si="46"/>
        <v>0</v>
      </c>
      <c r="AH191" s="580">
        <f t="shared" si="47"/>
        <v>0</v>
      </c>
    </row>
    <row r="192" spans="2:34" ht="13.5" thickBot="1">
      <c r="B192" s="235"/>
      <c r="C192" s="245"/>
      <c r="D192" s="246"/>
      <c r="E192" s="241"/>
      <c r="F192" s="241"/>
      <c r="G192" s="247" t="s">
        <v>485</v>
      </c>
      <c r="H192" s="242" t="e">
        <f>HLOOKUP("TFRPCore_CEILING1:Surface Inside Temperature[C](Hourly)",'Eplus results'!1:65536,'graph data'!D4,FALSE)</f>
        <v>#N/A</v>
      </c>
      <c r="I192" s="241"/>
      <c r="J192" s="241"/>
      <c r="K192" s="241" t="s">
        <v>530</v>
      </c>
      <c r="L192" s="248" t="e">
        <f>HLOOKUP("TFRPCore_CEILING1:Opaque Surface Inside Face Conduction[W](Hourly)",'Eplus results'!1:65536,'graph data'!D4,FALSE)*2</f>
        <v>#N/A</v>
      </c>
      <c r="M192" s="249"/>
      <c r="N192" s="235"/>
      <c r="O192" s="235"/>
      <c r="P192" s="235"/>
      <c r="Q192" s="235"/>
      <c r="R192" s="235"/>
      <c r="AB192" s="580">
        <f>HLOOKUP("*"&amp;'Output annual'!$AC$2&amp;'Output annual'!$AD$2&amp;"*Zone People Number Of Occupants [](Hourly)",'Eplus results'!$1:$1048576,ROW(),FALSE)</f>
        <v>0</v>
      </c>
      <c r="AC192" s="580">
        <f>HLOOKUP("*"&amp;'Output annual'!$AC$2&amp;'Output annual'!$AD$2&amp;"*FangerPMV(Hourly)",'Eplus results'!$1:$1048576,ROW(),FALSE)</f>
        <v>0</v>
      </c>
      <c r="AD192" s="580">
        <f t="shared" si="43"/>
        <v>5</v>
      </c>
      <c r="AE192" s="580">
        <f t="shared" si="44"/>
        <v>2.5</v>
      </c>
      <c r="AF192" s="580">
        <f t="shared" si="45"/>
        <v>2.5</v>
      </c>
      <c r="AG192" s="580">
        <f t="shared" si="46"/>
        <v>0</v>
      </c>
      <c r="AH192" s="580">
        <f t="shared" si="47"/>
        <v>0</v>
      </c>
    </row>
    <row r="193" spans="2:34">
      <c r="B193" s="235"/>
      <c r="C193" s="694" t="s">
        <v>524</v>
      </c>
      <c r="D193" s="235"/>
      <c r="E193" s="250"/>
      <c r="F193" s="251"/>
      <c r="G193" s="251"/>
      <c r="H193" s="252"/>
      <c r="I193" s="251"/>
      <c r="J193" s="251"/>
      <c r="K193" s="253" t="s">
        <v>487</v>
      </c>
      <c r="L193" s="254" t="e">
        <f>HLOOKUP("TFRPCore_Ceiling1:Surface Int Convection Heat Rate [W](Hourly)",'Eplus results'!1:65536,'graph data'!D4,FALSE)*2</f>
        <v>#N/A</v>
      </c>
      <c r="M193" s="255"/>
      <c r="N193" s="235"/>
      <c r="O193" s="235"/>
      <c r="P193" s="256" t="s">
        <v>458</v>
      </c>
      <c r="Q193" s="235"/>
      <c r="R193" s="235"/>
      <c r="AB193" s="580">
        <f>HLOOKUP("*"&amp;'Output annual'!$AC$2&amp;'Output annual'!$AD$2&amp;"*Zone People Number Of Occupants [](Hourly)",'Eplus results'!$1:$1048576,ROW(),FALSE)</f>
        <v>0</v>
      </c>
      <c r="AC193" s="580">
        <f>HLOOKUP("*"&amp;'Output annual'!$AC$2&amp;'Output annual'!$AD$2&amp;"*FangerPMV(Hourly)",'Eplus results'!$1:$1048576,ROW(),FALSE)</f>
        <v>0</v>
      </c>
      <c r="AD193" s="580">
        <f t="shared" si="43"/>
        <v>5</v>
      </c>
      <c r="AE193" s="580">
        <f t="shared" si="44"/>
        <v>2.5</v>
      </c>
      <c r="AF193" s="580">
        <f t="shared" si="45"/>
        <v>2.5</v>
      </c>
      <c r="AG193" s="580">
        <f t="shared" si="46"/>
        <v>0</v>
      </c>
      <c r="AH193" s="580">
        <f t="shared" si="47"/>
        <v>0</v>
      </c>
    </row>
    <row r="194" spans="2:34">
      <c r="B194" s="235"/>
      <c r="C194" s="695"/>
      <c r="D194" s="257"/>
      <c r="E194" s="258" t="s">
        <v>512</v>
      </c>
      <c r="F194" s="241"/>
      <c r="G194" s="247" t="s">
        <v>486</v>
      </c>
      <c r="H194" s="242" t="e">
        <f>HLOOKUP("TFRPCore:Zone/Sys Air Temperature[C](Hourly)",'Eplus results'!$1:$1048576,'graph data'!D4, FALSE)</f>
        <v>#N/A</v>
      </c>
      <c r="I194" s="241"/>
      <c r="J194" s="241"/>
      <c r="K194" s="259"/>
      <c r="L194" s="254"/>
      <c r="M194" s="255" t="s">
        <v>518</v>
      </c>
      <c r="N194" s="255" t="e">
        <f>HLOOKUP("TFRPCore:Zone/Sys Sensible Cooling Rate[W](Hourly)",'Eplus results'!1:65536,'graph data'!D4,FALSE)</f>
        <v>#N/A</v>
      </c>
      <c r="O194" s="260" t="s">
        <v>158</v>
      </c>
      <c r="P194" s="256" t="e">
        <f>N194/(L193+L195)</f>
        <v>#N/A</v>
      </c>
      <c r="Q194" s="235"/>
      <c r="R194" s="235"/>
      <c r="AB194" s="580">
        <f>HLOOKUP("*"&amp;'Output annual'!$AC$2&amp;'Output annual'!$AD$2&amp;"*Zone People Number Of Occupants [](Hourly)",'Eplus results'!$1:$1048576,ROW(),FALSE)</f>
        <v>0</v>
      </c>
      <c r="AC194" s="580">
        <f>HLOOKUP("*"&amp;'Output annual'!$AC$2&amp;'Output annual'!$AD$2&amp;"*FangerPMV(Hourly)",'Eplus results'!$1:$1048576,ROW(),FALSE)</f>
        <v>0</v>
      </c>
      <c r="AD194" s="580">
        <f t="shared" si="43"/>
        <v>5</v>
      </c>
      <c r="AE194" s="580">
        <f t="shared" si="44"/>
        <v>2.5</v>
      </c>
      <c r="AF194" s="580">
        <f t="shared" si="45"/>
        <v>2.5</v>
      </c>
      <c r="AG194" s="580">
        <f t="shared" si="46"/>
        <v>0</v>
      </c>
      <c r="AH194" s="580">
        <f t="shared" si="47"/>
        <v>0</v>
      </c>
    </row>
    <row r="195" spans="2:34">
      <c r="B195" s="235"/>
      <c r="C195" s="695"/>
      <c r="D195" s="257"/>
      <c r="E195" s="258"/>
      <c r="F195" s="241"/>
      <c r="G195" s="241"/>
      <c r="H195" s="242"/>
      <c r="I195" s="241"/>
      <c r="J195" s="241"/>
      <c r="K195" s="259" t="s">
        <v>487</v>
      </c>
      <c r="L195" s="254" t="e">
        <f>HLOOKUP("TFRPCore_Floor1:Surface Int Convection Heat Rate [W](Hourly)",'Eplus results'!1:65536,'graph data'!D4,FALSE)*2</f>
        <v>#N/A</v>
      </c>
      <c r="M195" s="255"/>
      <c r="N195" s="255"/>
      <c r="O195" s="260"/>
      <c r="P195" s="256"/>
      <c r="Q195" s="235"/>
      <c r="R195" s="235"/>
      <c r="AB195" s="580">
        <f>HLOOKUP("*"&amp;'Output annual'!$AC$2&amp;'Output annual'!$AD$2&amp;"*Zone People Number Of Occupants [](Hourly)",'Eplus results'!$1:$1048576,ROW(),FALSE)</f>
        <v>0</v>
      </c>
      <c r="AC195" s="580">
        <f>HLOOKUP("*"&amp;'Output annual'!$AC$2&amp;'Output annual'!$AD$2&amp;"*FangerPMV(Hourly)",'Eplus results'!$1:$1048576,ROW(),FALSE)</f>
        <v>0</v>
      </c>
      <c r="AD195" s="580">
        <f t="shared" ref="AD195:AD258" si="48">100-95*EXP(-0.03353*AC195^4-0.2179*AC195^2)</f>
        <v>5</v>
      </c>
      <c r="AE195" s="580">
        <f t="shared" ref="AE195:AE258" si="49">AD195*(1/(1+EXP(-6.3*$AC195)))</f>
        <v>2.5</v>
      </c>
      <c r="AF195" s="580">
        <f t="shared" ref="AF195:AF258" si="50">(AD195-AE195)</f>
        <v>2.5</v>
      </c>
      <c r="AG195" s="580">
        <f t="shared" ref="AG195:AG258" si="51">AE195*AB195</f>
        <v>0</v>
      </c>
      <c r="AH195" s="580">
        <f t="shared" ref="AH195:AH258" si="52">AF195*AB195</f>
        <v>0</v>
      </c>
    </row>
    <row r="196" spans="2:34">
      <c r="B196" s="235"/>
      <c r="C196" s="695"/>
      <c r="D196" s="697" t="s">
        <v>521</v>
      </c>
      <c r="E196" s="258"/>
      <c r="F196" s="241"/>
      <c r="G196" s="247" t="s">
        <v>485</v>
      </c>
      <c r="H196" s="242" t="e">
        <f>HLOOKUP("TFRPCore_FLOOR1:Surface Inside Temperature[C](Hourly)",'Eplus results'!1:65536,'graph data'!D4,FALSE)</f>
        <v>#N/A</v>
      </c>
      <c r="I196" s="241"/>
      <c r="J196" s="241"/>
      <c r="K196" s="259"/>
      <c r="L196" s="254"/>
      <c r="M196" s="255"/>
      <c r="N196" s="255"/>
      <c r="O196" s="260"/>
      <c r="P196" s="256"/>
      <c r="Q196" s="235"/>
      <c r="R196" s="235"/>
      <c r="AB196" s="580">
        <f>HLOOKUP("*"&amp;'Output annual'!$AC$2&amp;'Output annual'!$AD$2&amp;"*Zone People Number Of Occupants [](Hourly)",'Eplus results'!$1:$1048576,ROW(),FALSE)</f>
        <v>0</v>
      </c>
      <c r="AC196" s="580">
        <f>HLOOKUP("*"&amp;'Output annual'!$AC$2&amp;'Output annual'!$AD$2&amp;"*FangerPMV(Hourly)",'Eplus results'!$1:$1048576,ROW(),FALSE)</f>
        <v>0</v>
      </c>
      <c r="AD196" s="580">
        <f t="shared" si="48"/>
        <v>5</v>
      </c>
      <c r="AE196" s="580">
        <f t="shared" si="49"/>
        <v>2.5</v>
      </c>
      <c r="AF196" s="580">
        <f t="shared" si="50"/>
        <v>2.5</v>
      </c>
      <c r="AG196" s="580">
        <f t="shared" si="51"/>
        <v>0</v>
      </c>
      <c r="AH196" s="580">
        <f t="shared" si="52"/>
        <v>0</v>
      </c>
    </row>
    <row r="197" spans="2:34">
      <c r="B197" s="235"/>
      <c r="C197" s="695"/>
      <c r="D197" s="697"/>
      <c r="E197" s="258"/>
      <c r="F197" s="241"/>
      <c r="G197" s="247" t="s">
        <v>485</v>
      </c>
      <c r="H197" s="242" t="e">
        <f>HLOOKUP("TFRPCore_FLOOR1:Surface Outside Temperature[C](Hourly)",'Eplus results'!1:65536,'graph data'!D4,FALSE)</f>
        <v>#N/A</v>
      </c>
      <c r="I197" s="241"/>
      <c r="J197" s="241"/>
      <c r="K197" s="259"/>
      <c r="L197" s="254"/>
      <c r="M197" s="255"/>
      <c r="N197" s="255"/>
      <c r="O197" s="260"/>
      <c r="P197" s="256"/>
      <c r="Q197" s="235"/>
      <c r="R197" s="235"/>
      <c r="AB197" s="580">
        <f>HLOOKUP("*"&amp;'Output annual'!$AC$2&amp;'Output annual'!$AD$2&amp;"*Zone People Number Of Occupants [](Hourly)",'Eplus results'!$1:$1048576,ROW(),FALSE)</f>
        <v>0</v>
      </c>
      <c r="AC197" s="580">
        <f>HLOOKUP("*"&amp;'Output annual'!$AC$2&amp;'Output annual'!$AD$2&amp;"*FangerPMV(Hourly)",'Eplus results'!$1:$1048576,ROW(),FALSE)</f>
        <v>0</v>
      </c>
      <c r="AD197" s="580">
        <f t="shared" si="48"/>
        <v>5</v>
      </c>
      <c r="AE197" s="580">
        <f t="shared" si="49"/>
        <v>2.5</v>
      </c>
      <c r="AF197" s="580">
        <f t="shared" si="50"/>
        <v>2.5</v>
      </c>
      <c r="AG197" s="580">
        <f t="shared" si="51"/>
        <v>0</v>
      </c>
      <c r="AH197" s="580">
        <f t="shared" si="52"/>
        <v>0</v>
      </c>
    </row>
    <row r="198" spans="2:34">
      <c r="B198" s="235"/>
      <c r="C198" s="695"/>
      <c r="D198" s="698" t="s">
        <v>522</v>
      </c>
      <c r="E198" s="258"/>
      <c r="F198" s="241"/>
      <c r="G198" s="241"/>
      <c r="H198" s="242"/>
      <c r="I198" s="241"/>
      <c r="J198" s="241"/>
      <c r="K198" s="259" t="s">
        <v>487</v>
      </c>
      <c r="L198" s="254" t="e">
        <f>HLOOKUP("TFCore_Ceiling1:Surface Int Convection Heat Rate [W](Hourly)",'Eplus results'!1:65536,'graph data'!D4,FALSE)*2</f>
        <v>#N/A</v>
      </c>
      <c r="M198" s="255"/>
      <c r="N198" s="255"/>
      <c r="O198" s="260"/>
      <c r="P198" s="256"/>
      <c r="Q198" s="235"/>
      <c r="R198" s="235"/>
      <c r="AB198" s="580">
        <f>HLOOKUP("*"&amp;'Output annual'!$AC$2&amp;'Output annual'!$AD$2&amp;"*Zone People Number Of Occupants [](Hourly)",'Eplus results'!$1:$1048576,ROW(),FALSE)</f>
        <v>0</v>
      </c>
      <c r="AC198" s="580">
        <f>HLOOKUP("*"&amp;'Output annual'!$AC$2&amp;'Output annual'!$AD$2&amp;"*FangerPMV(Hourly)",'Eplus results'!$1:$1048576,ROW(),FALSE)</f>
        <v>0</v>
      </c>
      <c r="AD198" s="580">
        <f t="shared" si="48"/>
        <v>5</v>
      </c>
      <c r="AE198" s="580">
        <f t="shared" si="49"/>
        <v>2.5</v>
      </c>
      <c r="AF198" s="580">
        <f t="shared" si="50"/>
        <v>2.5</v>
      </c>
      <c r="AG198" s="580">
        <f t="shared" si="51"/>
        <v>0</v>
      </c>
      <c r="AH198" s="580">
        <f t="shared" si="52"/>
        <v>0</v>
      </c>
    </row>
    <row r="199" spans="2:34">
      <c r="B199" s="235"/>
      <c r="C199" s="695"/>
      <c r="D199" s="698"/>
      <c r="E199" s="258" t="s">
        <v>511</v>
      </c>
      <c r="F199" s="241"/>
      <c r="G199" s="247" t="s">
        <v>486</v>
      </c>
      <c r="H199" s="242" t="e">
        <f>HLOOKUP("TFCore:UF Mixed Subzone Temperature[C](Hourly)",'Eplus results'!$1:$1048576,'graph data'!D4, FALSE)</f>
        <v>#N/A</v>
      </c>
      <c r="I199" s="241"/>
      <c r="J199" s="241"/>
      <c r="K199" s="259"/>
      <c r="L199" s="254"/>
      <c r="M199" s="255"/>
      <c r="N199" s="255"/>
      <c r="O199" s="260"/>
      <c r="P199" s="256"/>
      <c r="Q199" s="235"/>
      <c r="R199" s="235"/>
      <c r="AB199" s="580">
        <f>HLOOKUP("*"&amp;'Output annual'!$AC$2&amp;'Output annual'!$AD$2&amp;"*Zone People Number Of Occupants [](Hourly)",'Eplus results'!$1:$1048576,ROW(),FALSE)</f>
        <v>0</v>
      </c>
      <c r="AC199" s="580">
        <f>HLOOKUP("*"&amp;'Output annual'!$AC$2&amp;'Output annual'!$AD$2&amp;"*FangerPMV(Hourly)",'Eplus results'!$1:$1048576,ROW(),FALSE)</f>
        <v>0</v>
      </c>
      <c r="AD199" s="580">
        <f t="shared" si="48"/>
        <v>5</v>
      </c>
      <c r="AE199" s="580">
        <f t="shared" si="49"/>
        <v>2.5</v>
      </c>
      <c r="AF199" s="580">
        <f t="shared" si="50"/>
        <v>2.5</v>
      </c>
      <c r="AG199" s="580">
        <f t="shared" si="51"/>
        <v>0</v>
      </c>
      <c r="AH199" s="580">
        <f t="shared" si="52"/>
        <v>0</v>
      </c>
    </row>
    <row r="200" spans="2:34">
      <c r="B200" s="235"/>
      <c r="C200" s="695"/>
      <c r="D200" s="698"/>
      <c r="E200" s="258"/>
      <c r="F200" s="241"/>
      <c r="G200" s="241"/>
      <c r="H200" s="242"/>
      <c r="I200" s="241"/>
      <c r="J200" s="241"/>
      <c r="K200" s="259"/>
      <c r="L200" s="254"/>
      <c r="M200" s="255"/>
      <c r="N200" s="255"/>
      <c r="O200" s="260"/>
      <c r="P200" s="256" t="s">
        <v>458</v>
      </c>
      <c r="Q200" s="235"/>
      <c r="R200" s="235"/>
      <c r="AB200" s="580">
        <f>HLOOKUP("*"&amp;'Output annual'!$AC$2&amp;'Output annual'!$AD$2&amp;"*Zone People Number Of Occupants [](Hourly)",'Eplus results'!$1:$1048576,ROW(),FALSE)</f>
        <v>0</v>
      </c>
      <c r="AC200" s="580">
        <f>HLOOKUP("*"&amp;'Output annual'!$AC$2&amp;'Output annual'!$AD$2&amp;"*FangerPMV(Hourly)",'Eplus results'!$1:$1048576,ROW(),FALSE)</f>
        <v>0</v>
      </c>
      <c r="AD200" s="580">
        <f t="shared" si="48"/>
        <v>5</v>
      </c>
      <c r="AE200" s="580">
        <f t="shared" si="49"/>
        <v>2.5</v>
      </c>
      <c r="AF200" s="580">
        <f t="shared" si="50"/>
        <v>2.5</v>
      </c>
      <c r="AG200" s="580">
        <f t="shared" si="51"/>
        <v>0</v>
      </c>
      <c r="AH200" s="580">
        <f t="shared" si="52"/>
        <v>0</v>
      </c>
    </row>
    <row r="201" spans="2:34">
      <c r="B201" s="235"/>
      <c r="C201" s="695"/>
      <c r="D201" s="698"/>
      <c r="E201" s="258"/>
      <c r="F201" s="241"/>
      <c r="G201" s="241"/>
      <c r="H201" s="242"/>
      <c r="I201" s="241"/>
      <c r="J201" s="241"/>
      <c r="K201" s="259"/>
      <c r="L201" s="254"/>
      <c r="M201" s="255" t="s">
        <v>519</v>
      </c>
      <c r="N201" s="255" t="e">
        <f>HLOOKUP("TFCore:Zone/Sys Sensible Cooling Rate[W](Hourly)",'Eplus results'!1:65536,'graph data'!D4,FALSE)</f>
        <v>#N/A</v>
      </c>
      <c r="O201" s="260" t="s">
        <v>158</v>
      </c>
      <c r="P201" s="256" t="e">
        <f>N201/(N203+N204)</f>
        <v>#N/A</v>
      </c>
      <c r="Q201" s="235"/>
      <c r="R201" s="235"/>
      <c r="AB201" s="580">
        <f>HLOOKUP("*"&amp;'Output annual'!$AC$2&amp;'Output annual'!$AD$2&amp;"*Zone People Number Of Occupants [](Hourly)",'Eplus results'!$1:$1048576,ROW(),FALSE)</f>
        <v>0</v>
      </c>
      <c r="AC201" s="580">
        <f>HLOOKUP("*"&amp;'Output annual'!$AC$2&amp;'Output annual'!$AD$2&amp;"*FangerPMV(Hourly)",'Eplus results'!$1:$1048576,ROW(),FALSE)</f>
        <v>0</v>
      </c>
      <c r="AD201" s="580">
        <f t="shared" si="48"/>
        <v>5</v>
      </c>
      <c r="AE201" s="580">
        <f t="shared" si="49"/>
        <v>2.5</v>
      </c>
      <c r="AF201" s="580">
        <f t="shared" si="50"/>
        <v>2.5</v>
      </c>
      <c r="AG201" s="580">
        <f t="shared" si="51"/>
        <v>0</v>
      </c>
      <c r="AH201" s="580">
        <f t="shared" si="52"/>
        <v>0</v>
      </c>
    </row>
    <row r="202" spans="2:34">
      <c r="B202" s="235"/>
      <c r="C202" s="695"/>
      <c r="D202" s="698"/>
      <c r="E202" s="258"/>
      <c r="F202" s="241"/>
      <c r="G202" s="241"/>
      <c r="H202" s="242"/>
      <c r="I202" s="241"/>
      <c r="J202" s="241"/>
      <c r="K202" s="259"/>
      <c r="L202" s="254"/>
      <c r="M202" s="255"/>
      <c r="N202" s="255"/>
      <c r="O202" s="260"/>
      <c r="P202" s="256"/>
      <c r="Q202" s="235"/>
      <c r="R202" s="235"/>
      <c r="AB202" s="580">
        <f>HLOOKUP("*"&amp;'Output annual'!$AC$2&amp;'Output annual'!$AD$2&amp;"*Zone People Number Of Occupants [](Hourly)",'Eplus results'!$1:$1048576,ROW(),FALSE)</f>
        <v>0</v>
      </c>
      <c r="AC202" s="580">
        <f>HLOOKUP("*"&amp;'Output annual'!$AC$2&amp;'Output annual'!$AD$2&amp;"*FangerPMV(Hourly)",'Eplus results'!$1:$1048576,ROW(),FALSE)</f>
        <v>0</v>
      </c>
      <c r="AD202" s="580">
        <f t="shared" si="48"/>
        <v>5</v>
      </c>
      <c r="AE202" s="580">
        <f t="shared" si="49"/>
        <v>2.5</v>
      </c>
      <c r="AF202" s="580">
        <f t="shared" si="50"/>
        <v>2.5</v>
      </c>
      <c r="AG202" s="580">
        <f t="shared" si="51"/>
        <v>0</v>
      </c>
      <c r="AH202" s="580">
        <f t="shared" si="52"/>
        <v>0</v>
      </c>
    </row>
    <row r="203" spans="2:34">
      <c r="B203" s="235"/>
      <c r="C203" s="695"/>
      <c r="D203" s="698"/>
      <c r="E203" s="258" t="s">
        <v>510</v>
      </c>
      <c r="F203" s="241"/>
      <c r="G203" s="247" t="s">
        <v>486</v>
      </c>
      <c r="H203" s="242" t="e">
        <f>IF(RunType="OH",HLOOKUP("TFCore:Zone/Sys Air Temperature[C](Hourly)",'Eplus results'!$1:$1048576,'graph data'!D4, FALSE), HLOOKUP("TFCore:UF Occupied Subzone Temperature[C](Hourly)",'Eplus results'!$1:$1048576,'graph data'!D4, FALSE))</f>
        <v>#N/A</v>
      </c>
      <c r="I203" s="241"/>
      <c r="J203" s="241"/>
      <c r="K203" s="259"/>
      <c r="L203" s="254"/>
      <c r="M203" s="255" t="s">
        <v>459</v>
      </c>
      <c r="N203" s="255">
        <f>(HLOOKUP("TFCore:Zone Total Internal Convective Heat Gain [J](Hourly)",'Eplus results'!1:1048576,'graph data'!D4,FALSE)/3600)</f>
        <v>15679.331360738055</v>
      </c>
      <c r="O203" s="260"/>
      <c r="P203" s="256"/>
      <c r="Q203" s="235"/>
      <c r="R203" s="235"/>
      <c r="AB203" s="580">
        <f>HLOOKUP("*"&amp;'Output annual'!$AC$2&amp;'Output annual'!$AD$2&amp;"*Zone People Number Of Occupants [](Hourly)",'Eplus results'!$1:$1048576,ROW(),FALSE)</f>
        <v>0</v>
      </c>
      <c r="AC203" s="580">
        <f>HLOOKUP("*"&amp;'Output annual'!$AC$2&amp;'Output annual'!$AD$2&amp;"*FangerPMV(Hourly)",'Eplus results'!$1:$1048576,ROW(),FALSE)</f>
        <v>0</v>
      </c>
      <c r="AD203" s="580">
        <f t="shared" si="48"/>
        <v>5</v>
      </c>
      <c r="AE203" s="580">
        <f t="shared" si="49"/>
        <v>2.5</v>
      </c>
      <c r="AF203" s="580">
        <f t="shared" si="50"/>
        <v>2.5</v>
      </c>
      <c r="AG203" s="580">
        <f t="shared" si="51"/>
        <v>0</v>
      </c>
      <c r="AH203" s="580">
        <f t="shared" si="52"/>
        <v>0</v>
      </c>
    </row>
    <row r="204" spans="2:34">
      <c r="B204" s="235"/>
      <c r="C204" s="695"/>
      <c r="D204" s="698"/>
      <c r="E204" s="258"/>
      <c r="F204" s="241"/>
      <c r="G204" s="241"/>
      <c r="H204" s="242"/>
      <c r="I204" s="241"/>
      <c r="J204" s="241"/>
      <c r="K204" s="259"/>
      <c r="L204" s="254"/>
      <c r="M204" s="255" t="s">
        <v>460</v>
      </c>
      <c r="N204" s="255">
        <f>HLOOKUP("TFCore:Zone Window Heat Gain[W](Hourly)",'Eplus results'!1:1048576,'graph data'!D4,FALSE)</f>
        <v>0</v>
      </c>
      <c r="O204" s="260"/>
      <c r="P204" s="256"/>
      <c r="Q204" s="235"/>
      <c r="R204" s="235"/>
      <c r="AB204" s="580">
        <f>HLOOKUP("*"&amp;'Output annual'!$AC$2&amp;'Output annual'!$AD$2&amp;"*Zone People Number Of Occupants [](Hourly)",'Eplus results'!$1:$1048576,ROW(),FALSE)</f>
        <v>0</v>
      </c>
      <c r="AC204" s="580">
        <f>HLOOKUP("*"&amp;'Output annual'!$AC$2&amp;'Output annual'!$AD$2&amp;"*FangerPMV(Hourly)",'Eplus results'!$1:$1048576,ROW(),FALSE)</f>
        <v>0</v>
      </c>
      <c r="AD204" s="580">
        <f t="shared" si="48"/>
        <v>5</v>
      </c>
      <c r="AE204" s="580">
        <f t="shared" si="49"/>
        <v>2.5</v>
      </c>
      <c r="AF204" s="580">
        <f t="shared" si="50"/>
        <v>2.5</v>
      </c>
      <c r="AG204" s="580">
        <f t="shared" si="51"/>
        <v>0</v>
      </c>
      <c r="AH204" s="580">
        <f t="shared" si="52"/>
        <v>0</v>
      </c>
    </row>
    <row r="205" spans="2:34">
      <c r="B205" s="235"/>
      <c r="C205" s="695"/>
      <c r="D205" s="698"/>
      <c r="E205" s="258"/>
      <c r="F205" s="241"/>
      <c r="G205" s="241"/>
      <c r="H205" s="242"/>
      <c r="I205" s="241"/>
      <c r="J205" s="241"/>
      <c r="K205" s="259" t="s">
        <v>487</v>
      </c>
      <c r="L205" s="254" t="e">
        <f>HLOOKUP("TFCore_Floor1:Surface Int Convection Heat Rate [W](Hourly)",'Eplus results'!1:65536,'graph data'!D4,FALSE)*2</f>
        <v>#N/A</v>
      </c>
      <c r="M205" s="255"/>
      <c r="N205" s="255"/>
      <c r="O205" s="260"/>
      <c r="P205" s="256"/>
      <c r="Q205" s="235"/>
      <c r="R205" s="235"/>
      <c r="AB205" s="580">
        <f>HLOOKUP("*"&amp;'Output annual'!$AC$2&amp;'Output annual'!$AD$2&amp;"*Zone People Number Of Occupants [](Hourly)",'Eplus results'!$1:$1048576,ROW(),FALSE)</f>
        <v>0</v>
      </c>
      <c r="AC205" s="580">
        <f>HLOOKUP("*"&amp;'Output annual'!$AC$2&amp;'Output annual'!$AD$2&amp;"*FangerPMV(Hourly)",'Eplus results'!$1:$1048576,ROW(),FALSE)</f>
        <v>0</v>
      </c>
      <c r="AD205" s="580">
        <f t="shared" si="48"/>
        <v>5</v>
      </c>
      <c r="AE205" s="580">
        <f t="shared" si="49"/>
        <v>2.5</v>
      </c>
      <c r="AF205" s="580">
        <f t="shared" si="50"/>
        <v>2.5</v>
      </c>
      <c r="AG205" s="580">
        <f t="shared" si="51"/>
        <v>0</v>
      </c>
      <c r="AH205" s="580">
        <f t="shared" si="52"/>
        <v>0</v>
      </c>
    </row>
    <row r="206" spans="2:34">
      <c r="B206" s="235"/>
      <c r="C206" s="695"/>
      <c r="D206" s="697" t="s">
        <v>523</v>
      </c>
      <c r="E206" s="258"/>
      <c r="F206" s="241"/>
      <c r="G206" s="247" t="s">
        <v>485</v>
      </c>
      <c r="H206" s="242" t="e">
        <f>HLOOKUP("TFSPCore_CEILING1:Surface Outside Temperature[C](Hourly)",'Eplus results'!1:65536,'graph data'!D4,FALSE)</f>
        <v>#N/A</v>
      </c>
      <c r="I206" s="241"/>
      <c r="J206" s="241"/>
      <c r="K206" s="259"/>
      <c r="L206" s="254"/>
      <c r="M206" s="255"/>
      <c r="N206" s="255"/>
      <c r="O206" s="260"/>
      <c r="P206" s="256"/>
      <c r="Q206" s="235"/>
      <c r="R206" s="235"/>
      <c r="AB206" s="580">
        <f>HLOOKUP("*"&amp;'Output annual'!$AC$2&amp;'Output annual'!$AD$2&amp;"*Zone People Number Of Occupants [](Hourly)",'Eplus results'!$1:$1048576,ROW(),FALSE)</f>
        <v>0</v>
      </c>
      <c r="AC206" s="580">
        <f>HLOOKUP("*"&amp;'Output annual'!$AC$2&amp;'Output annual'!$AD$2&amp;"*FangerPMV(Hourly)",'Eplus results'!$1:$1048576,ROW(),FALSE)</f>
        <v>0</v>
      </c>
      <c r="AD206" s="580">
        <f t="shared" si="48"/>
        <v>5</v>
      </c>
      <c r="AE206" s="580">
        <f t="shared" si="49"/>
        <v>2.5</v>
      </c>
      <c r="AF206" s="580">
        <f t="shared" si="50"/>
        <v>2.5</v>
      </c>
      <c r="AG206" s="580">
        <f t="shared" si="51"/>
        <v>0</v>
      </c>
      <c r="AH206" s="580">
        <f t="shared" si="52"/>
        <v>0</v>
      </c>
    </row>
    <row r="207" spans="2:34">
      <c r="B207" s="235"/>
      <c r="C207" s="695"/>
      <c r="D207" s="697"/>
      <c r="E207" s="258"/>
      <c r="F207" s="241"/>
      <c r="G207" s="247" t="s">
        <v>485</v>
      </c>
      <c r="H207" s="242" t="e">
        <f>HLOOKUP("TFSPCore_CEILING1:Surface Inside Temperature[C](Hourly)",'Eplus results'!1:65536,'graph data'!D4,FALSE)</f>
        <v>#N/A</v>
      </c>
      <c r="I207" s="241"/>
      <c r="J207" s="241"/>
      <c r="K207" s="259"/>
      <c r="L207" s="254"/>
      <c r="M207" s="255"/>
      <c r="N207" s="255"/>
      <c r="O207" s="260"/>
      <c r="P207" s="256"/>
      <c r="Q207" s="235"/>
      <c r="R207" s="235"/>
      <c r="AB207" s="580">
        <f>HLOOKUP("*"&amp;'Output annual'!$AC$2&amp;'Output annual'!$AD$2&amp;"*Zone People Number Of Occupants [](Hourly)",'Eplus results'!$1:$1048576,ROW(),FALSE)</f>
        <v>0</v>
      </c>
      <c r="AC207" s="580">
        <f>HLOOKUP("*"&amp;'Output annual'!$AC$2&amp;'Output annual'!$AD$2&amp;"*FangerPMV(Hourly)",'Eplus results'!$1:$1048576,ROW(),FALSE)</f>
        <v>0</v>
      </c>
      <c r="AD207" s="580">
        <f t="shared" si="48"/>
        <v>5</v>
      </c>
      <c r="AE207" s="580">
        <f t="shared" si="49"/>
        <v>2.5</v>
      </c>
      <c r="AF207" s="580">
        <f t="shared" si="50"/>
        <v>2.5</v>
      </c>
      <c r="AG207" s="580">
        <f t="shared" si="51"/>
        <v>0</v>
      </c>
      <c r="AH207" s="580">
        <f t="shared" si="52"/>
        <v>0</v>
      </c>
    </row>
    <row r="208" spans="2:34">
      <c r="B208" s="235"/>
      <c r="C208" s="695"/>
      <c r="D208" s="235"/>
      <c r="E208" s="258"/>
      <c r="F208" s="241"/>
      <c r="G208" s="241"/>
      <c r="H208" s="242"/>
      <c r="I208" s="241"/>
      <c r="J208" s="241"/>
      <c r="K208" s="259" t="s">
        <v>487</v>
      </c>
      <c r="L208" s="254" t="e">
        <f>HLOOKUP("TFSPCore_Ceiling1:Surface Int Convection Heat Rate [W](Hourly)",'Eplus results'!1:65536,'graph data'!D4,FALSE)*2</f>
        <v>#N/A</v>
      </c>
      <c r="M208" s="255"/>
      <c r="N208" s="255"/>
      <c r="O208" s="260"/>
      <c r="P208" s="256" t="s">
        <v>458</v>
      </c>
      <c r="Q208" s="235"/>
      <c r="R208" s="235"/>
      <c r="AB208" s="580">
        <f>HLOOKUP("*"&amp;'Output annual'!$AC$2&amp;'Output annual'!$AD$2&amp;"*Zone People Number Of Occupants [](Hourly)",'Eplus results'!$1:$1048576,ROW(),FALSE)</f>
        <v>0</v>
      </c>
      <c r="AC208" s="580">
        <f>HLOOKUP("*"&amp;'Output annual'!$AC$2&amp;'Output annual'!$AD$2&amp;"*FangerPMV(Hourly)",'Eplus results'!$1:$1048576,ROW(),FALSE)</f>
        <v>0</v>
      </c>
      <c r="AD208" s="580">
        <f t="shared" si="48"/>
        <v>5</v>
      </c>
      <c r="AE208" s="580">
        <f t="shared" si="49"/>
        <v>2.5</v>
      </c>
      <c r="AF208" s="580">
        <f t="shared" si="50"/>
        <v>2.5</v>
      </c>
      <c r="AG208" s="580">
        <f t="shared" si="51"/>
        <v>0</v>
      </c>
      <c r="AH208" s="580">
        <f t="shared" si="52"/>
        <v>0</v>
      </c>
    </row>
    <row r="209" spans="2:34">
      <c r="B209" s="235"/>
      <c r="C209" s="695"/>
      <c r="D209" s="257"/>
      <c r="E209" s="258" t="s">
        <v>3</v>
      </c>
      <c r="F209" s="241"/>
      <c r="G209" s="247" t="s">
        <v>486</v>
      </c>
      <c r="H209" s="242" t="e">
        <f>HLOOKUP("TFSPCore:Zone/Sys Air Temperature[C](Hourly)",'Eplus results'!$1:$1048576,'graph data'!D4, FALSE)</f>
        <v>#N/A</v>
      </c>
      <c r="I209" s="241"/>
      <c r="J209" s="241"/>
      <c r="K209" s="259"/>
      <c r="L209" s="254"/>
      <c r="M209" s="255" t="s">
        <v>520</v>
      </c>
      <c r="N209" s="255" t="e">
        <f>HLOOKUP("TFSPCore:Zone/Sys Sensible Cooling Rate[W](Hourly)",'Eplus results'!1:65536,'graph data'!D4,FALSE)</f>
        <v>#N/A</v>
      </c>
      <c r="O209" s="260" t="s">
        <v>158</v>
      </c>
      <c r="P209" s="256" t="e">
        <f>N209/(L208+L210)</f>
        <v>#N/A</v>
      </c>
      <c r="Q209" s="235"/>
      <c r="R209" s="235"/>
      <c r="AB209" s="580">
        <f>HLOOKUP("*"&amp;'Output annual'!$AC$2&amp;'Output annual'!$AD$2&amp;"*Zone People Number Of Occupants [](Hourly)",'Eplus results'!$1:$1048576,ROW(),FALSE)</f>
        <v>0</v>
      </c>
      <c r="AC209" s="580">
        <f>HLOOKUP("*"&amp;'Output annual'!$AC$2&amp;'Output annual'!$AD$2&amp;"*FangerPMV(Hourly)",'Eplus results'!$1:$1048576,ROW(),FALSE)</f>
        <v>0</v>
      </c>
      <c r="AD209" s="580">
        <f t="shared" si="48"/>
        <v>5</v>
      </c>
      <c r="AE209" s="580">
        <f t="shared" si="49"/>
        <v>2.5</v>
      </c>
      <c r="AF209" s="580">
        <f t="shared" si="50"/>
        <v>2.5</v>
      </c>
      <c r="AG209" s="580">
        <f t="shared" si="51"/>
        <v>0</v>
      </c>
      <c r="AH209" s="580">
        <f t="shared" si="52"/>
        <v>0</v>
      </c>
    </row>
    <row r="210" spans="2:34" ht="13.5" thickBot="1">
      <c r="B210" s="235"/>
      <c r="C210" s="696"/>
      <c r="D210" s="261"/>
      <c r="E210" s="262"/>
      <c r="F210" s="263"/>
      <c r="G210" s="263"/>
      <c r="H210" s="264"/>
      <c r="I210" s="263"/>
      <c r="J210" s="263"/>
      <c r="K210" s="265" t="s">
        <v>487</v>
      </c>
      <c r="L210" s="254" t="e">
        <f>IF(RunType="OH",HLOOKUP("TFCore_FLOOR1:Surface Int Convection Heat Rate [W](Hourly)",'Eplus results'!$1:$1048576,'graph data'!D4, FALSE)*2, HLOOKUP("TFSPCore_Floor1:Surface Int Convection Heat Rate [W](Hourly)",'Eplus results'!1:65536,'graph data'!D4,FALSE)*2)</f>
        <v>#N/A</v>
      </c>
      <c r="M210" s="255"/>
      <c r="N210" s="255"/>
      <c r="O210" s="235"/>
      <c r="P210" s="256"/>
      <c r="Q210" s="235"/>
      <c r="R210" s="235"/>
      <c r="AB210" s="580">
        <f>HLOOKUP("*"&amp;'Output annual'!$AC$2&amp;'Output annual'!$AD$2&amp;"*Zone People Number Of Occupants [](Hourly)",'Eplus results'!$1:$1048576,ROW(),FALSE)</f>
        <v>0</v>
      </c>
      <c r="AC210" s="580">
        <f>HLOOKUP("*"&amp;'Output annual'!$AC$2&amp;'Output annual'!$AD$2&amp;"*FangerPMV(Hourly)",'Eplus results'!$1:$1048576,ROW(),FALSE)</f>
        <v>0</v>
      </c>
      <c r="AD210" s="580">
        <f t="shared" si="48"/>
        <v>5</v>
      </c>
      <c r="AE210" s="580">
        <f t="shared" si="49"/>
        <v>2.5</v>
      </c>
      <c r="AF210" s="580">
        <f t="shared" si="50"/>
        <v>2.5</v>
      </c>
      <c r="AG210" s="580">
        <f t="shared" si="51"/>
        <v>0</v>
      </c>
      <c r="AH210" s="580">
        <f t="shared" si="52"/>
        <v>0</v>
      </c>
    </row>
    <row r="211" spans="2:34">
      <c r="B211" s="235"/>
      <c r="C211" s="266"/>
      <c r="D211" s="267"/>
      <c r="E211" s="268"/>
      <c r="F211" s="241"/>
      <c r="G211" s="247" t="s">
        <v>485</v>
      </c>
      <c r="H211" s="242" t="e">
        <f>IF(RunType="OH",HLOOKUP("TFCore_FLOOR1:Surface Inside Temperature[C](Hourly)",'Eplus results'!$1:$1048576,'graph data'!D4, FALSE), HLOOKUP("TFSPCore_FLOOR1:Surface Inside Temperature[C](Hourly)",'Eplus results'!1:65536,'graph data'!D4,FALSE))</f>
        <v>#N/A</v>
      </c>
      <c r="I211" s="241"/>
      <c r="J211" s="241"/>
      <c r="K211" s="247" t="s">
        <v>530</v>
      </c>
      <c r="L211" s="269" t="e">
        <f>IF(RunType="OH",HLOOKUP("TFCore_FLOOR1:Opaque Surface Inside Face Conduction[W](Hourly)",'Eplus results'!$1:$1048576,'graph data'!D4, FALSE)*2, HLOOKUP("TFSPCore_Floor1:Opaque Surface Inside Face Conduction[W](Hourly)",'Eplus results'!1:65536,'graph data'!D4,FALSE)*2)</f>
        <v>#N/A</v>
      </c>
      <c r="M211" s="270"/>
      <c r="N211" s="255"/>
      <c r="O211" s="235"/>
      <c r="P211" s="256"/>
      <c r="Q211" s="235"/>
      <c r="R211" s="235"/>
      <c r="AB211" s="580">
        <f>HLOOKUP("*"&amp;'Output annual'!$AC$2&amp;'Output annual'!$AD$2&amp;"*Zone People Number Of Occupants [](Hourly)",'Eplus results'!$1:$1048576,ROW(),FALSE)</f>
        <v>0</v>
      </c>
      <c r="AC211" s="580">
        <f>HLOOKUP("*"&amp;'Output annual'!$AC$2&amp;'Output annual'!$AD$2&amp;"*FangerPMV(Hourly)",'Eplus results'!$1:$1048576,ROW(),FALSE)</f>
        <v>0</v>
      </c>
      <c r="AD211" s="580">
        <f t="shared" si="48"/>
        <v>5</v>
      </c>
      <c r="AE211" s="580">
        <f t="shared" si="49"/>
        <v>2.5</v>
      </c>
      <c r="AF211" s="580">
        <f t="shared" si="50"/>
        <v>2.5</v>
      </c>
      <c r="AG211" s="580">
        <f t="shared" si="51"/>
        <v>0</v>
      </c>
      <c r="AH211" s="580">
        <f t="shared" si="52"/>
        <v>0</v>
      </c>
    </row>
    <row r="212" spans="2:34">
      <c r="B212" s="235"/>
      <c r="C212" s="235" t="s">
        <v>515</v>
      </c>
      <c r="D212" s="247"/>
      <c r="E212" s="268"/>
      <c r="F212" s="241"/>
      <c r="G212" s="241"/>
      <c r="H212" s="242"/>
      <c r="I212" s="241"/>
      <c r="J212" s="241"/>
      <c r="K212" s="247"/>
      <c r="L212" s="243"/>
      <c r="M212" s="244"/>
      <c r="N212" s="255"/>
      <c r="O212" s="235"/>
      <c r="P212" s="256"/>
      <c r="Q212" s="235"/>
      <c r="R212" s="235"/>
      <c r="AB212" s="580">
        <f>HLOOKUP("*"&amp;'Output annual'!$AC$2&amp;'Output annual'!$AD$2&amp;"*Zone People Number Of Occupants [](Hourly)",'Eplus results'!$1:$1048576,ROW(),FALSE)</f>
        <v>0</v>
      </c>
      <c r="AC212" s="580">
        <f>HLOOKUP("*"&amp;'Output annual'!$AC$2&amp;'Output annual'!$AD$2&amp;"*FangerPMV(Hourly)",'Eplus results'!$1:$1048576,ROW(),FALSE)</f>
        <v>0</v>
      </c>
      <c r="AD212" s="580">
        <f t="shared" si="48"/>
        <v>5</v>
      </c>
      <c r="AE212" s="580">
        <f t="shared" si="49"/>
        <v>2.5</v>
      </c>
      <c r="AF212" s="580">
        <f t="shared" si="50"/>
        <v>2.5</v>
      </c>
      <c r="AG212" s="580">
        <f t="shared" si="51"/>
        <v>0</v>
      </c>
      <c r="AH212" s="580">
        <f t="shared" si="52"/>
        <v>0</v>
      </c>
    </row>
    <row r="213" spans="2:34" ht="13.5" thickBot="1">
      <c r="B213" s="235"/>
      <c r="C213" s="245"/>
      <c r="D213" s="271"/>
      <c r="E213" s="268"/>
      <c r="F213" s="241"/>
      <c r="G213" s="247" t="s">
        <v>485</v>
      </c>
      <c r="H213" s="242" t="e">
        <f>IF(RunType="OH",HLOOKUP("TFCore_FLOOR1:Surface Outside Temperature[C](Hourly)",'Eplus results'!$1:$1048576,'graph data'!D4, FALSE), HLOOKUP("TFSPCore_FLOOR1:Surface Outside Temperature[C](Hourly)",'Eplus results'!1:65536,'graph data'!D4,FALSE))</f>
        <v>#N/A</v>
      </c>
      <c r="I213" s="241"/>
      <c r="J213" s="241"/>
      <c r="K213" s="247" t="s">
        <v>530</v>
      </c>
      <c r="L213" s="248" t="e">
        <f>HLOOKUP("MFRPCore_CEILING1:Opaque Surface Inside Face Conduction[W](Hourly)",'Eplus results'!1:65536,'graph data'!D4,FALSE)*2</f>
        <v>#N/A</v>
      </c>
      <c r="M213" s="249"/>
      <c r="N213" s="255"/>
      <c r="O213" s="235"/>
      <c r="P213" s="256"/>
      <c r="Q213" s="235"/>
      <c r="R213" s="235"/>
      <c r="AB213" s="580">
        <f>HLOOKUP("*"&amp;'Output annual'!$AC$2&amp;'Output annual'!$AD$2&amp;"*Zone People Number Of Occupants [](Hourly)",'Eplus results'!$1:$1048576,ROW(),FALSE)</f>
        <v>0</v>
      </c>
      <c r="AC213" s="580">
        <f>HLOOKUP("*"&amp;'Output annual'!$AC$2&amp;'Output annual'!$AD$2&amp;"*FangerPMV(Hourly)",'Eplus results'!$1:$1048576,ROW(),FALSE)</f>
        <v>0</v>
      </c>
      <c r="AD213" s="580">
        <f t="shared" si="48"/>
        <v>5</v>
      </c>
      <c r="AE213" s="580">
        <f t="shared" si="49"/>
        <v>2.5</v>
      </c>
      <c r="AF213" s="580">
        <f t="shared" si="50"/>
        <v>2.5</v>
      </c>
      <c r="AG213" s="580">
        <f t="shared" si="51"/>
        <v>0</v>
      </c>
      <c r="AH213" s="580">
        <f t="shared" si="52"/>
        <v>0</v>
      </c>
    </row>
    <row r="214" spans="2:34">
      <c r="B214" s="699" t="s">
        <v>528</v>
      </c>
      <c r="C214" s="694" t="s">
        <v>526</v>
      </c>
      <c r="D214" s="235"/>
      <c r="E214" s="272"/>
      <c r="F214" s="251"/>
      <c r="G214" s="251"/>
      <c r="H214" s="252"/>
      <c r="I214" s="251"/>
      <c r="J214" s="251"/>
      <c r="K214" s="253" t="s">
        <v>487</v>
      </c>
      <c r="L214" s="254" t="e">
        <f>HLOOKUP("MFRPCore_Ceiling1:Surface Int Convection Heat Rate [W](Hourly)",'Eplus results'!1:65536,'graph data'!D4,FALSE)*2</f>
        <v>#N/A</v>
      </c>
      <c r="M214" s="255"/>
      <c r="N214" s="255"/>
      <c r="O214" s="235"/>
      <c r="P214" s="256" t="s">
        <v>458</v>
      </c>
      <c r="Q214" s="235"/>
      <c r="R214" s="235"/>
      <c r="AB214" s="580">
        <f>HLOOKUP("*"&amp;'Output annual'!$AC$2&amp;'Output annual'!$AD$2&amp;"*Zone People Number Of Occupants [](Hourly)",'Eplus results'!$1:$1048576,ROW(),FALSE)</f>
        <v>0</v>
      </c>
      <c r="AC214" s="580">
        <f>HLOOKUP("*"&amp;'Output annual'!$AC$2&amp;'Output annual'!$AD$2&amp;"*FangerPMV(Hourly)",'Eplus results'!$1:$1048576,ROW(),FALSE)</f>
        <v>0</v>
      </c>
      <c r="AD214" s="580">
        <f t="shared" si="48"/>
        <v>5</v>
      </c>
      <c r="AE214" s="580">
        <f t="shared" si="49"/>
        <v>2.5</v>
      </c>
      <c r="AF214" s="580">
        <f t="shared" si="50"/>
        <v>2.5</v>
      </c>
      <c r="AG214" s="580">
        <f t="shared" si="51"/>
        <v>0</v>
      </c>
      <c r="AH214" s="580">
        <f t="shared" si="52"/>
        <v>0</v>
      </c>
    </row>
    <row r="215" spans="2:34">
      <c r="B215" s="699"/>
      <c r="C215" s="695"/>
      <c r="D215" s="257"/>
      <c r="E215" s="258" t="s">
        <v>512</v>
      </c>
      <c r="F215" s="241"/>
      <c r="G215" s="247" t="s">
        <v>486</v>
      </c>
      <c r="H215" s="242" t="e">
        <f>HLOOKUP("MFRPCore:Zone/Sys Air Temperature[C](Hourly)",'Eplus results'!$1:$1048576,'graph data'!D4, FALSE)</f>
        <v>#N/A</v>
      </c>
      <c r="I215" s="241"/>
      <c r="J215" s="241"/>
      <c r="K215" s="259"/>
      <c r="L215" s="273" t="e">
        <f>HLOOKUP("MFRPCore_Wall_E:Surface Int Convection Heat Rate [W](Hourly)",'Eplus results'!1:65536,'graph data'!D4,FALSE)+HLOOKUP("MFRPCore_Wall_W:Surface Int Convection Heat Rate [W](Hourly)",'Eplus results'!1:65536,'graph data'!D4,FALSE)+HLOOKUP("MFRPCore_Wall_S:Surface Int Convection Heat Rate [W](Hourly)",'Eplus results'!1:65536,'graph data'!D4,FALSE)+HLOOKUP("MFRPCore_Wall_N:Surface Int Convection Heat Rate [W](Hourly)",'Eplus results'!1:65536,'graph data'!D4,FALSE)</f>
        <v>#N/A</v>
      </c>
      <c r="M215" s="255" t="s">
        <v>518</v>
      </c>
      <c r="N215" s="255" t="e">
        <f>HLOOKUP("MFRPCore:Zone/Sys Sensible Cooling Rate[W](Hourly)",'Eplus results'!1:65536,'graph data'!D4,FALSE)</f>
        <v>#N/A</v>
      </c>
      <c r="O215" s="260" t="s">
        <v>158</v>
      </c>
      <c r="P215" s="256" t="e">
        <f>N215/(L214+L216)</f>
        <v>#N/A</v>
      </c>
      <c r="Q215" s="235"/>
      <c r="R215" s="235"/>
      <c r="AB215" s="580">
        <f>HLOOKUP("*"&amp;'Output annual'!$AC$2&amp;'Output annual'!$AD$2&amp;"*Zone People Number Of Occupants [](Hourly)",'Eplus results'!$1:$1048576,ROW(),FALSE)</f>
        <v>0</v>
      </c>
      <c r="AC215" s="580">
        <f>HLOOKUP("*"&amp;'Output annual'!$AC$2&amp;'Output annual'!$AD$2&amp;"*FangerPMV(Hourly)",'Eplus results'!$1:$1048576,ROW(),FALSE)</f>
        <v>0</v>
      </c>
      <c r="AD215" s="580">
        <f t="shared" si="48"/>
        <v>5</v>
      </c>
      <c r="AE215" s="580">
        <f t="shared" si="49"/>
        <v>2.5</v>
      </c>
      <c r="AF215" s="580">
        <f t="shared" si="50"/>
        <v>2.5</v>
      </c>
      <c r="AG215" s="580">
        <f t="shared" si="51"/>
        <v>0</v>
      </c>
      <c r="AH215" s="580">
        <f t="shared" si="52"/>
        <v>0</v>
      </c>
    </row>
    <row r="216" spans="2:34">
      <c r="B216" s="699"/>
      <c r="C216" s="695"/>
      <c r="D216" s="257"/>
      <c r="E216" s="258"/>
      <c r="F216" s="241"/>
      <c r="G216" s="241"/>
      <c r="H216" s="242"/>
      <c r="I216" s="241"/>
      <c r="J216" s="241"/>
      <c r="K216" s="259" t="s">
        <v>487</v>
      </c>
      <c r="L216" s="254" t="e">
        <f>HLOOKUP("MFRPCore_Floor1:Surface Int Convection Heat Rate [W](Hourly)",'Eplus results'!1:65536,'graph data'!D4,FALSE)*2</f>
        <v>#N/A</v>
      </c>
      <c r="M216" s="255"/>
      <c r="N216" s="255"/>
      <c r="O216" s="260"/>
      <c r="P216" s="256"/>
      <c r="Q216" s="235"/>
      <c r="R216" s="235"/>
      <c r="AB216" s="580">
        <f>HLOOKUP("*"&amp;'Output annual'!$AC$2&amp;'Output annual'!$AD$2&amp;"*Zone People Number Of Occupants [](Hourly)",'Eplus results'!$1:$1048576,ROW(),FALSE)</f>
        <v>0</v>
      </c>
      <c r="AC216" s="580">
        <f>HLOOKUP("*"&amp;'Output annual'!$AC$2&amp;'Output annual'!$AD$2&amp;"*FangerPMV(Hourly)",'Eplus results'!$1:$1048576,ROW(),FALSE)</f>
        <v>0</v>
      </c>
      <c r="AD216" s="580">
        <f t="shared" si="48"/>
        <v>5</v>
      </c>
      <c r="AE216" s="580">
        <f t="shared" si="49"/>
        <v>2.5</v>
      </c>
      <c r="AF216" s="580">
        <f t="shared" si="50"/>
        <v>2.5</v>
      </c>
      <c r="AG216" s="580">
        <f t="shared" si="51"/>
        <v>0</v>
      </c>
      <c r="AH216" s="580">
        <f t="shared" si="52"/>
        <v>0</v>
      </c>
    </row>
    <row r="217" spans="2:34">
      <c r="B217" s="699"/>
      <c r="C217" s="695"/>
      <c r="D217" s="697" t="s">
        <v>521</v>
      </c>
      <c r="E217" s="258"/>
      <c r="F217" s="241"/>
      <c r="G217" s="247" t="s">
        <v>485</v>
      </c>
      <c r="H217" s="242" t="e">
        <f>HLOOKUP("MFRPCore_FLOOR1:Surface Inside Temperature[C](Hourly)",'Eplus results'!1:65536,'graph data'!D4,FALSE)</f>
        <v>#N/A</v>
      </c>
      <c r="I217" s="241"/>
      <c r="J217" s="241"/>
      <c r="K217" s="259"/>
      <c r="L217" s="254"/>
      <c r="M217" s="274" t="e">
        <f>HLOOKUP("MFRPCore:Zone Infiltration Sensible Heat Gain [J](Hourly)",'Eplus results'!1:1048576,'graph data'!D4,FALSE)/3600</f>
        <v>#N/A</v>
      </c>
      <c r="N217" s="255"/>
      <c r="O217" s="260"/>
      <c r="P217" s="256"/>
      <c r="Q217" s="235"/>
      <c r="R217" s="235"/>
      <c r="AB217" s="580">
        <f>HLOOKUP("*"&amp;'Output annual'!$AC$2&amp;'Output annual'!$AD$2&amp;"*Zone People Number Of Occupants [](Hourly)",'Eplus results'!$1:$1048576,ROW(),FALSE)</f>
        <v>0</v>
      </c>
      <c r="AC217" s="580">
        <f>HLOOKUP("*"&amp;'Output annual'!$AC$2&amp;'Output annual'!$AD$2&amp;"*FangerPMV(Hourly)",'Eplus results'!$1:$1048576,ROW(),FALSE)</f>
        <v>0</v>
      </c>
      <c r="AD217" s="580">
        <f t="shared" si="48"/>
        <v>5</v>
      </c>
      <c r="AE217" s="580">
        <f t="shared" si="49"/>
        <v>2.5</v>
      </c>
      <c r="AF217" s="580">
        <f t="shared" si="50"/>
        <v>2.5</v>
      </c>
      <c r="AG217" s="580">
        <f t="shared" si="51"/>
        <v>0</v>
      </c>
      <c r="AH217" s="580">
        <f t="shared" si="52"/>
        <v>0</v>
      </c>
    </row>
    <row r="218" spans="2:34">
      <c r="B218" s="699"/>
      <c r="C218" s="695"/>
      <c r="D218" s="697"/>
      <c r="E218" s="258"/>
      <c r="F218" s="241"/>
      <c r="G218" s="247" t="s">
        <v>485</v>
      </c>
      <c r="H218" s="242" t="e">
        <f>HLOOKUP("MFRPCore_FLOOR1:Surface Outside Temperature[C](Hourly)",'Eplus results'!1:65536,'graph data'!D4,FALSE)</f>
        <v>#N/A</v>
      </c>
      <c r="I218" s="241"/>
      <c r="J218" s="241"/>
      <c r="K218" s="259"/>
      <c r="L218" s="254"/>
      <c r="M218" s="274"/>
      <c r="N218" s="255"/>
      <c r="O218" s="275"/>
      <c r="P218" s="256"/>
      <c r="Q218" s="235"/>
      <c r="R218" s="235"/>
      <c r="AB218" s="580">
        <f>HLOOKUP("*"&amp;'Output annual'!$AC$2&amp;'Output annual'!$AD$2&amp;"*Zone People Number Of Occupants [](Hourly)",'Eplus results'!$1:$1048576,ROW(),FALSE)</f>
        <v>0</v>
      </c>
      <c r="AC218" s="580">
        <f>HLOOKUP("*"&amp;'Output annual'!$AC$2&amp;'Output annual'!$AD$2&amp;"*FangerPMV(Hourly)",'Eplus results'!$1:$1048576,ROW(),FALSE)</f>
        <v>0</v>
      </c>
      <c r="AD218" s="580">
        <f t="shared" si="48"/>
        <v>5</v>
      </c>
      <c r="AE218" s="580">
        <f t="shared" si="49"/>
        <v>2.5</v>
      </c>
      <c r="AF218" s="580">
        <f t="shared" si="50"/>
        <v>2.5</v>
      </c>
      <c r="AG218" s="580">
        <f t="shared" si="51"/>
        <v>0</v>
      </c>
      <c r="AH218" s="580">
        <f t="shared" si="52"/>
        <v>0</v>
      </c>
    </row>
    <row r="219" spans="2:34">
      <c r="B219" s="699"/>
      <c r="C219" s="695"/>
      <c r="D219" s="698" t="s">
        <v>522</v>
      </c>
      <c r="E219" s="258"/>
      <c r="F219" s="241"/>
      <c r="G219" s="241"/>
      <c r="H219" s="242"/>
      <c r="I219" s="241"/>
      <c r="J219" s="241"/>
      <c r="K219" s="259" t="s">
        <v>487</v>
      </c>
      <c r="L219" s="254" t="e">
        <f>HLOOKUP("MFCore_Ceiling1:Surface Int Convection Heat Rate [W](Hourly)",'Eplus results'!1:65536,'graph data'!D4,FALSE)*2</f>
        <v>#N/A</v>
      </c>
      <c r="M219" s="274" t="e">
        <f>HLOOKUP("MFCore:Zone Infiltration Sensible Heat Gain [J](Hourly)",'Eplus results'!1:1048576,'graph data'!D4,FALSE)/3600</f>
        <v>#N/A</v>
      </c>
      <c r="N219" s="255"/>
      <c r="O219" s="260"/>
      <c r="P219" s="256"/>
      <c r="Q219" s="235"/>
      <c r="R219" s="235"/>
      <c r="AB219" s="580">
        <f>HLOOKUP("*"&amp;'Output annual'!$AC$2&amp;'Output annual'!$AD$2&amp;"*Zone People Number Of Occupants [](Hourly)",'Eplus results'!$1:$1048576,ROW(),FALSE)</f>
        <v>0</v>
      </c>
      <c r="AC219" s="580">
        <f>HLOOKUP("*"&amp;'Output annual'!$AC$2&amp;'Output annual'!$AD$2&amp;"*FangerPMV(Hourly)",'Eplus results'!$1:$1048576,ROW(),FALSE)</f>
        <v>0</v>
      </c>
      <c r="AD219" s="580">
        <f t="shared" si="48"/>
        <v>5</v>
      </c>
      <c r="AE219" s="580">
        <f t="shared" si="49"/>
        <v>2.5</v>
      </c>
      <c r="AF219" s="580">
        <f t="shared" si="50"/>
        <v>2.5</v>
      </c>
      <c r="AG219" s="580">
        <f t="shared" si="51"/>
        <v>0</v>
      </c>
      <c r="AH219" s="580">
        <f t="shared" si="52"/>
        <v>0</v>
      </c>
    </row>
    <row r="220" spans="2:34">
      <c r="B220" s="699"/>
      <c r="C220" s="695"/>
      <c r="D220" s="698"/>
      <c r="E220" s="258" t="s">
        <v>511</v>
      </c>
      <c r="F220" s="241"/>
      <c r="G220" s="247" t="s">
        <v>486</v>
      </c>
      <c r="H220" s="242" t="e">
        <f>HLOOKUP("MFCore:UF Mixed Subzone Temperature[C](Hourly)",'Eplus results'!$1:$1048576,'graph data'!D4, FALSE)</f>
        <v>#N/A</v>
      </c>
      <c r="I220" s="241"/>
      <c r="J220" s="241"/>
      <c r="K220" s="259"/>
      <c r="L220" s="254"/>
      <c r="M220" s="255"/>
      <c r="N220" s="255"/>
      <c r="O220" s="260"/>
      <c r="P220" s="256"/>
      <c r="Q220" s="235"/>
      <c r="R220" s="235"/>
      <c r="AB220" s="580">
        <f>HLOOKUP("*"&amp;'Output annual'!$AC$2&amp;'Output annual'!$AD$2&amp;"*Zone People Number Of Occupants [](Hourly)",'Eplus results'!$1:$1048576,ROW(),FALSE)</f>
        <v>0</v>
      </c>
      <c r="AC220" s="580">
        <f>HLOOKUP("*"&amp;'Output annual'!$AC$2&amp;'Output annual'!$AD$2&amp;"*FangerPMV(Hourly)",'Eplus results'!$1:$1048576,ROW(),FALSE)</f>
        <v>0</v>
      </c>
      <c r="AD220" s="580">
        <f t="shared" si="48"/>
        <v>5</v>
      </c>
      <c r="AE220" s="580">
        <f t="shared" si="49"/>
        <v>2.5</v>
      </c>
      <c r="AF220" s="580">
        <f t="shared" si="50"/>
        <v>2.5</v>
      </c>
      <c r="AG220" s="580">
        <f t="shared" si="51"/>
        <v>0</v>
      </c>
      <c r="AH220" s="580">
        <f t="shared" si="52"/>
        <v>0</v>
      </c>
    </row>
    <row r="221" spans="2:34">
      <c r="B221" s="699"/>
      <c r="C221" s="695"/>
      <c r="D221" s="698"/>
      <c r="E221" s="258"/>
      <c r="F221" s="241"/>
      <c r="G221" s="241"/>
      <c r="H221" s="242"/>
      <c r="I221" s="241"/>
      <c r="J221" s="241"/>
      <c r="K221" s="259"/>
      <c r="L221" s="254"/>
      <c r="M221" s="255"/>
      <c r="N221" s="255"/>
      <c r="O221" s="260"/>
      <c r="P221" s="256" t="s">
        <v>458</v>
      </c>
      <c r="Q221" s="235"/>
      <c r="R221" s="235"/>
      <c r="AB221" s="580">
        <f>HLOOKUP("*"&amp;'Output annual'!$AC$2&amp;'Output annual'!$AD$2&amp;"*Zone People Number Of Occupants [](Hourly)",'Eplus results'!$1:$1048576,ROW(),FALSE)</f>
        <v>0</v>
      </c>
      <c r="AC221" s="580">
        <f>HLOOKUP("*"&amp;'Output annual'!$AC$2&amp;'Output annual'!$AD$2&amp;"*FangerPMV(Hourly)",'Eplus results'!$1:$1048576,ROW(),FALSE)</f>
        <v>0</v>
      </c>
      <c r="AD221" s="580">
        <f t="shared" si="48"/>
        <v>5</v>
      </c>
      <c r="AE221" s="580">
        <f t="shared" si="49"/>
        <v>2.5</v>
      </c>
      <c r="AF221" s="580">
        <f t="shared" si="50"/>
        <v>2.5</v>
      </c>
      <c r="AG221" s="580">
        <f t="shared" si="51"/>
        <v>0</v>
      </c>
      <c r="AH221" s="580">
        <f t="shared" si="52"/>
        <v>0</v>
      </c>
    </row>
    <row r="222" spans="2:34">
      <c r="B222" s="699"/>
      <c r="C222" s="695"/>
      <c r="D222" s="698"/>
      <c r="E222" s="258"/>
      <c r="F222" s="241"/>
      <c r="G222" s="241"/>
      <c r="H222" s="242"/>
      <c r="I222" s="241"/>
      <c r="J222" s="241"/>
      <c r="K222" s="259"/>
      <c r="L222" s="254"/>
      <c r="M222" s="255" t="s">
        <v>519</v>
      </c>
      <c r="N222" s="608">
        <f>HLOOKUP("MFCore:Zone/Sys Sensible Cooling Rate [W](Hourly)",'Eplus results'!1:65536,'graph data'!D4,FALSE)</f>
        <v>20751.909302021399</v>
      </c>
      <c r="O222" s="260" t="s">
        <v>158</v>
      </c>
      <c r="P222" s="256">
        <f>N222/(N224+N225)</f>
        <v>1.3235200420590236</v>
      </c>
      <c r="Q222" s="235"/>
      <c r="R222" s="235"/>
      <c r="AB222" s="580">
        <f>HLOOKUP("*"&amp;'Output annual'!$AC$2&amp;'Output annual'!$AD$2&amp;"*Zone People Number Of Occupants [](Hourly)",'Eplus results'!$1:$1048576,ROW(),FALSE)</f>
        <v>0</v>
      </c>
      <c r="AC222" s="580">
        <f>HLOOKUP("*"&amp;'Output annual'!$AC$2&amp;'Output annual'!$AD$2&amp;"*FangerPMV(Hourly)",'Eplus results'!$1:$1048576,ROW(),FALSE)</f>
        <v>0</v>
      </c>
      <c r="AD222" s="580">
        <f t="shared" si="48"/>
        <v>5</v>
      </c>
      <c r="AE222" s="580">
        <f t="shared" si="49"/>
        <v>2.5</v>
      </c>
      <c r="AF222" s="580">
        <f t="shared" si="50"/>
        <v>2.5</v>
      </c>
      <c r="AG222" s="580">
        <f t="shared" si="51"/>
        <v>0</v>
      </c>
      <c r="AH222" s="580">
        <f t="shared" si="52"/>
        <v>0</v>
      </c>
    </row>
    <row r="223" spans="2:34">
      <c r="B223" s="699"/>
      <c r="C223" s="695"/>
      <c r="D223" s="698"/>
      <c r="E223" s="258"/>
      <c r="F223" s="241"/>
      <c r="G223" s="241"/>
      <c r="H223" s="242"/>
      <c r="I223" s="241"/>
      <c r="J223" s="241"/>
      <c r="K223" s="259"/>
      <c r="L223" s="273">
        <f>HLOOKUP("MFCore_Wall_E:Surface Int Convection Heat Rate [W](Hourly)",'Eplus results'!1:65536,'graph data'!D4,FALSE)+HLOOKUP("MFCore_Wall_W:Surface Int Convection Heat Rate [W](Hourly)",'Eplus results'!1:65536,'graph data'!D4,FALSE)+HLOOKUP("MFCore_Wall_S:Surface Int Convection Heat Rate [W](Hourly)",'Eplus results'!1:65536,'graph data'!D4,FALSE)+HLOOKUP("MFCore_Wall_N:Surface Int Convection Heat Rate [W](Hourly)",'Eplus results'!1:65536,'graph data'!D4,FALSE)</f>
        <v>946.58267357474915</v>
      </c>
      <c r="M223" s="255"/>
      <c r="N223" s="255"/>
      <c r="O223" s="260"/>
      <c r="P223" s="256"/>
      <c r="Q223" s="609" t="e">
        <f>L219+L226+N224</f>
        <v>#N/A</v>
      </c>
      <c r="R223" s="235"/>
      <c r="AB223" s="580">
        <f>HLOOKUP("*"&amp;'Output annual'!$AC$2&amp;'Output annual'!$AD$2&amp;"*Zone People Number Of Occupants [](Hourly)",'Eplus results'!$1:$1048576,ROW(),FALSE)</f>
        <v>0</v>
      </c>
      <c r="AC223" s="580">
        <f>HLOOKUP("*"&amp;'Output annual'!$AC$2&amp;'Output annual'!$AD$2&amp;"*FangerPMV(Hourly)",'Eplus results'!$1:$1048576,ROW(),FALSE)</f>
        <v>0</v>
      </c>
      <c r="AD223" s="580">
        <f t="shared" si="48"/>
        <v>5</v>
      </c>
      <c r="AE223" s="580">
        <f t="shared" si="49"/>
        <v>2.5</v>
      </c>
      <c r="AF223" s="580">
        <f t="shared" si="50"/>
        <v>2.5</v>
      </c>
      <c r="AG223" s="580">
        <f t="shared" si="51"/>
        <v>0</v>
      </c>
      <c r="AH223" s="580">
        <f t="shared" si="52"/>
        <v>0</v>
      </c>
    </row>
    <row r="224" spans="2:34">
      <c r="B224" s="699"/>
      <c r="C224" s="695"/>
      <c r="D224" s="698"/>
      <c r="E224" s="258" t="s">
        <v>510</v>
      </c>
      <c r="F224" s="241"/>
      <c r="G224" s="247" t="s">
        <v>486</v>
      </c>
      <c r="H224" s="242" t="e">
        <f>IF(RunType="OH",HLOOKUP("MFCore:Zone/Sys Air Temperature[C](Hourly)",'Eplus results'!$1:$1048576,'graph data'!D4, FALSE), HLOOKUP("MFCore:UF Occupied Subzone Temperature[C](Hourly)",'Eplus results'!$1:$1048576,'graph data'!D4, FALSE))</f>
        <v>#N/A</v>
      </c>
      <c r="I224" s="241"/>
      <c r="J224" s="241"/>
      <c r="K224" s="259"/>
      <c r="L224" s="254"/>
      <c r="M224" s="255" t="s">
        <v>459</v>
      </c>
      <c r="N224" s="255">
        <f>(HLOOKUP("MFCore:Zone Total Internal Convective Heat Gain [J](Hourly)",'Eplus results'!1:1048576,'graph data'!D4,FALSE)/3600)</f>
        <v>15679.331360738055</v>
      </c>
      <c r="O224" s="276"/>
      <c r="P224" s="256"/>
      <c r="Q224" s="235"/>
      <c r="R224" s="235"/>
      <c r="AB224" s="580">
        <f>HLOOKUP("*"&amp;'Output annual'!$AC$2&amp;'Output annual'!$AD$2&amp;"*Zone People Number Of Occupants [](Hourly)",'Eplus results'!$1:$1048576,ROW(),FALSE)</f>
        <v>0</v>
      </c>
      <c r="AC224" s="580">
        <f>HLOOKUP("*"&amp;'Output annual'!$AC$2&amp;'Output annual'!$AD$2&amp;"*FangerPMV(Hourly)",'Eplus results'!$1:$1048576,ROW(),FALSE)</f>
        <v>0</v>
      </c>
      <c r="AD224" s="580">
        <f t="shared" si="48"/>
        <v>5</v>
      </c>
      <c r="AE224" s="580">
        <f t="shared" si="49"/>
        <v>2.5</v>
      </c>
      <c r="AF224" s="580">
        <f t="shared" si="50"/>
        <v>2.5</v>
      </c>
      <c r="AG224" s="580">
        <f t="shared" si="51"/>
        <v>0</v>
      </c>
      <c r="AH224" s="580">
        <f t="shared" si="52"/>
        <v>0</v>
      </c>
    </row>
    <row r="225" spans="2:34">
      <c r="B225" s="699"/>
      <c r="C225" s="695"/>
      <c r="D225" s="698"/>
      <c r="E225" s="258"/>
      <c r="F225" s="241"/>
      <c r="G225" s="241"/>
      <c r="H225" s="242"/>
      <c r="I225" s="241"/>
      <c r="J225" s="241"/>
      <c r="K225" s="259"/>
      <c r="L225" s="254"/>
      <c r="M225" s="255" t="s">
        <v>460</v>
      </c>
      <c r="N225" s="255">
        <f>HLOOKUP("MFCore:Zone Window Heat Gain[W](Hourly)",'Eplus results'!1:1048576,'graph data'!D4,FALSE)</f>
        <v>0</v>
      </c>
      <c r="O225" s="260"/>
      <c r="P225" s="256"/>
      <c r="Q225" s="235"/>
      <c r="R225" s="235"/>
      <c r="AB225" s="580">
        <f>HLOOKUP("*"&amp;'Output annual'!$AC$2&amp;'Output annual'!$AD$2&amp;"*Zone People Number Of Occupants [](Hourly)",'Eplus results'!$1:$1048576,ROW(),FALSE)</f>
        <v>0</v>
      </c>
      <c r="AC225" s="580">
        <f>HLOOKUP("*"&amp;'Output annual'!$AC$2&amp;'Output annual'!$AD$2&amp;"*FangerPMV(Hourly)",'Eplus results'!$1:$1048576,ROW(),FALSE)</f>
        <v>0</v>
      </c>
      <c r="AD225" s="580">
        <f t="shared" si="48"/>
        <v>5</v>
      </c>
      <c r="AE225" s="580">
        <f t="shared" si="49"/>
        <v>2.5</v>
      </c>
      <c r="AF225" s="580">
        <f t="shared" si="50"/>
        <v>2.5</v>
      </c>
      <c r="AG225" s="580">
        <f t="shared" si="51"/>
        <v>0</v>
      </c>
      <c r="AH225" s="580">
        <f t="shared" si="52"/>
        <v>0</v>
      </c>
    </row>
    <row r="226" spans="2:34">
      <c r="B226" s="699"/>
      <c r="C226" s="695"/>
      <c r="D226" s="698"/>
      <c r="E226" s="258"/>
      <c r="F226" s="241"/>
      <c r="G226" s="241"/>
      <c r="H226" s="242"/>
      <c r="I226" s="241"/>
      <c r="J226" s="241"/>
      <c r="K226" s="259" t="s">
        <v>487</v>
      </c>
      <c r="L226" s="254" t="e">
        <f>HLOOKUP("MFCore_Floor1:Surface Int Convection Heat Rate [W](Hourly)",'Eplus results'!$1:$1048576,'graph data'!D4,FALSE)*2</f>
        <v>#N/A</v>
      </c>
      <c r="M226" s="255"/>
      <c r="N226" s="255"/>
      <c r="O226" s="260"/>
      <c r="P226" s="256"/>
      <c r="Q226" s="274" t="e">
        <f>L231+L214+N224+L215+L223+L230+M217+M219+L216+L219+L226+L229</f>
        <v>#N/A</v>
      </c>
      <c r="R226" s="274" t="e">
        <f>N215+N222+N230</f>
        <v>#N/A</v>
      </c>
      <c r="AB226" s="580">
        <f>HLOOKUP("*"&amp;'Output annual'!$AC$2&amp;'Output annual'!$AD$2&amp;"*Zone People Number Of Occupants [](Hourly)",'Eplus results'!$1:$1048576,ROW(),FALSE)</f>
        <v>0</v>
      </c>
      <c r="AC226" s="580">
        <f>HLOOKUP("*"&amp;'Output annual'!$AC$2&amp;'Output annual'!$AD$2&amp;"*FangerPMV(Hourly)",'Eplus results'!$1:$1048576,ROW(),FALSE)</f>
        <v>0</v>
      </c>
      <c r="AD226" s="580">
        <f t="shared" si="48"/>
        <v>5</v>
      </c>
      <c r="AE226" s="580">
        <f t="shared" si="49"/>
        <v>2.5</v>
      </c>
      <c r="AF226" s="580">
        <f t="shared" si="50"/>
        <v>2.5</v>
      </c>
      <c r="AG226" s="580">
        <f t="shared" si="51"/>
        <v>0</v>
      </c>
      <c r="AH226" s="580">
        <f t="shared" si="52"/>
        <v>0</v>
      </c>
    </row>
    <row r="227" spans="2:34">
      <c r="B227" s="699"/>
      <c r="C227" s="695"/>
      <c r="D227" s="697" t="s">
        <v>523</v>
      </c>
      <c r="E227" s="258"/>
      <c r="F227" s="241"/>
      <c r="G227" s="247" t="s">
        <v>485</v>
      </c>
      <c r="H227" s="242" t="e">
        <f>HLOOKUP("MFSPCore_CEILING1:Surface Outside Temperature[C](Hourly)",'Eplus results'!1:65536,'graph data'!D4,FALSE)</f>
        <v>#N/A</v>
      </c>
      <c r="I227" s="241"/>
      <c r="J227" s="241"/>
      <c r="K227" s="259"/>
      <c r="L227" s="254"/>
      <c r="M227" s="255"/>
      <c r="N227" s="255"/>
      <c r="O227" s="260"/>
      <c r="P227" s="256"/>
      <c r="Q227" s="274"/>
      <c r="R227" s="235"/>
      <c r="AB227" s="580">
        <f>HLOOKUP("*"&amp;'Output annual'!$AC$2&amp;'Output annual'!$AD$2&amp;"*Zone People Number Of Occupants [](Hourly)",'Eplus results'!$1:$1048576,ROW(),FALSE)</f>
        <v>0</v>
      </c>
      <c r="AC227" s="580">
        <f>HLOOKUP("*"&amp;'Output annual'!$AC$2&amp;'Output annual'!$AD$2&amp;"*FangerPMV(Hourly)",'Eplus results'!$1:$1048576,ROW(),FALSE)</f>
        <v>0</v>
      </c>
      <c r="AD227" s="580">
        <f t="shared" si="48"/>
        <v>5</v>
      </c>
      <c r="AE227" s="580">
        <f t="shared" si="49"/>
        <v>2.5</v>
      </c>
      <c r="AF227" s="580">
        <f t="shared" si="50"/>
        <v>2.5</v>
      </c>
      <c r="AG227" s="580">
        <f t="shared" si="51"/>
        <v>0</v>
      </c>
      <c r="AH227" s="580">
        <f t="shared" si="52"/>
        <v>0</v>
      </c>
    </row>
    <row r="228" spans="2:34">
      <c r="B228" s="699"/>
      <c r="C228" s="695"/>
      <c r="D228" s="697"/>
      <c r="E228" s="258"/>
      <c r="F228" s="241"/>
      <c r="G228" s="247" t="s">
        <v>485</v>
      </c>
      <c r="H228" s="242" t="e">
        <f>HLOOKUP("MFSPCore_CEILING1:Surface Inside Temperature[C](Hourly)",'Eplus results'!1:65536,'graph data'!D4,FALSE)</f>
        <v>#N/A</v>
      </c>
      <c r="I228" s="241"/>
      <c r="J228" s="241"/>
      <c r="K228" s="259"/>
      <c r="L228" s="254"/>
      <c r="M228" s="255"/>
      <c r="N228" s="274"/>
      <c r="O228" s="260"/>
      <c r="P228" s="256"/>
      <c r="Q228" s="235"/>
      <c r="R228" s="235"/>
      <c r="AB228" s="580">
        <f>HLOOKUP("*"&amp;'Output annual'!$AC$2&amp;'Output annual'!$AD$2&amp;"*Zone People Number Of Occupants [](Hourly)",'Eplus results'!$1:$1048576,ROW(),FALSE)</f>
        <v>0</v>
      </c>
      <c r="AC228" s="580">
        <f>HLOOKUP("*"&amp;'Output annual'!$AC$2&amp;'Output annual'!$AD$2&amp;"*FangerPMV(Hourly)",'Eplus results'!$1:$1048576,ROW(),FALSE)</f>
        <v>0</v>
      </c>
      <c r="AD228" s="580">
        <f t="shared" si="48"/>
        <v>5</v>
      </c>
      <c r="AE228" s="580">
        <f t="shared" si="49"/>
        <v>2.5</v>
      </c>
      <c r="AF228" s="580">
        <f t="shared" si="50"/>
        <v>2.5</v>
      </c>
      <c r="AG228" s="580">
        <f t="shared" si="51"/>
        <v>0</v>
      </c>
      <c r="AH228" s="580">
        <f t="shared" si="52"/>
        <v>0</v>
      </c>
    </row>
    <row r="229" spans="2:34">
      <c r="B229" s="699"/>
      <c r="C229" s="695"/>
      <c r="D229" s="235"/>
      <c r="E229" s="258"/>
      <c r="F229" s="241"/>
      <c r="G229" s="241"/>
      <c r="H229" s="242"/>
      <c r="I229" s="241"/>
      <c r="J229" s="277"/>
      <c r="K229" s="259" t="s">
        <v>487</v>
      </c>
      <c r="L229" s="254" t="e">
        <f>HLOOKUP("MFSPCore_Ceiling1:Surface Int Convection Heat Rate [W](Hourly)",'Eplus results'!1:65536,'graph data'!D4,FALSE)*2</f>
        <v>#N/A</v>
      </c>
      <c r="M229" s="255"/>
      <c r="N229" s="255"/>
      <c r="O229" s="260"/>
      <c r="P229" s="256" t="s">
        <v>458</v>
      </c>
      <c r="Q229" s="235"/>
      <c r="R229" s="235"/>
      <c r="AB229" s="580">
        <f>HLOOKUP("*"&amp;'Output annual'!$AC$2&amp;'Output annual'!$AD$2&amp;"*Zone People Number Of Occupants [](Hourly)",'Eplus results'!$1:$1048576,ROW(),FALSE)</f>
        <v>0</v>
      </c>
      <c r="AC229" s="580">
        <f>HLOOKUP("*"&amp;'Output annual'!$AC$2&amp;'Output annual'!$AD$2&amp;"*FangerPMV(Hourly)",'Eplus results'!$1:$1048576,ROW(),FALSE)</f>
        <v>0</v>
      </c>
      <c r="AD229" s="580">
        <f t="shared" si="48"/>
        <v>5</v>
      </c>
      <c r="AE229" s="580">
        <f t="shared" si="49"/>
        <v>2.5</v>
      </c>
      <c r="AF229" s="580">
        <f t="shared" si="50"/>
        <v>2.5</v>
      </c>
      <c r="AG229" s="580">
        <f t="shared" si="51"/>
        <v>0</v>
      </c>
      <c r="AH229" s="580">
        <f t="shared" si="52"/>
        <v>0</v>
      </c>
    </row>
    <row r="230" spans="2:34">
      <c r="B230" s="699"/>
      <c r="C230" s="695"/>
      <c r="D230" s="257"/>
      <c r="E230" s="258" t="s">
        <v>3</v>
      </c>
      <c r="F230" s="241"/>
      <c r="G230" s="247" t="s">
        <v>486</v>
      </c>
      <c r="H230" s="242" t="e">
        <f>HLOOKUP("MFSPCore:Zone/Sys Air Temperature[C](Hourly)",'Eplus results'!$1:$1048576,'graph data'!D4, FALSE)</f>
        <v>#N/A</v>
      </c>
      <c r="I230" s="241"/>
      <c r="J230" s="241"/>
      <c r="K230" s="259"/>
      <c r="L230" s="273" t="e">
        <f>HLOOKUP("MFSPCore_Wall_E:Surface Int Convection Heat Rate [W](Hourly)",'Eplus results'!1:65536,'graph data'!D4,FALSE)+HLOOKUP("MFSPCore_Wall_W:Surface Int Convection Heat Rate [W](Hourly)",'Eplus results'!1:65536,'graph data'!D4,FALSE)+HLOOKUP("MFSPCore_Wall_S:Surface Int Convection Heat Rate [W](Hourly)",'Eplus results'!1:65536,'graph data'!D4,FALSE)+HLOOKUP("MFSPCore_Wall_N:Surface Int Convection Heat Rate [W](Hourly)",'Eplus results'!1:65536,'graph data'!D4,FALSE)</f>
        <v>#N/A</v>
      </c>
      <c r="M230" s="255" t="s">
        <v>520</v>
      </c>
      <c r="N230" s="255" t="e">
        <f>HLOOKUP("MFSPCore:Zone/Sys Sensible Cooling Rate[W](Hourly)",'Eplus results'!1:65536,'graph data'!D4,FALSE)</f>
        <v>#N/A</v>
      </c>
      <c r="O230" s="260" t="s">
        <v>158</v>
      </c>
      <c r="P230" s="256" t="e">
        <f>N230/(L229+L231)</f>
        <v>#N/A</v>
      </c>
      <c r="Q230" s="235"/>
      <c r="R230" s="235"/>
      <c r="AB230" s="580">
        <f>HLOOKUP("*"&amp;'Output annual'!$AC$2&amp;'Output annual'!$AD$2&amp;"*Zone People Number Of Occupants [](Hourly)",'Eplus results'!$1:$1048576,ROW(),FALSE)</f>
        <v>0</v>
      </c>
      <c r="AC230" s="580">
        <f>HLOOKUP("*"&amp;'Output annual'!$AC$2&amp;'Output annual'!$AD$2&amp;"*FangerPMV(Hourly)",'Eplus results'!$1:$1048576,ROW(),FALSE)</f>
        <v>0</v>
      </c>
      <c r="AD230" s="580">
        <f t="shared" si="48"/>
        <v>5</v>
      </c>
      <c r="AE230" s="580">
        <f t="shared" si="49"/>
        <v>2.5</v>
      </c>
      <c r="AF230" s="580">
        <f t="shared" si="50"/>
        <v>2.5</v>
      </c>
      <c r="AG230" s="580">
        <f t="shared" si="51"/>
        <v>0</v>
      </c>
      <c r="AH230" s="580">
        <f t="shared" si="52"/>
        <v>0</v>
      </c>
    </row>
    <row r="231" spans="2:34" ht="13.5" thickBot="1">
      <c r="B231" s="699"/>
      <c r="C231" s="696"/>
      <c r="D231" s="261"/>
      <c r="E231" s="262"/>
      <c r="F231" s="263"/>
      <c r="G231" s="263"/>
      <c r="H231" s="264"/>
      <c r="I231" s="263"/>
      <c r="J231" s="278"/>
      <c r="K231" s="265" t="s">
        <v>487</v>
      </c>
      <c r="L231" s="254" t="e">
        <f>IF(RunType="OH",HLOOKUP("MFCore_FLOOR1:Surface Int Convection Heat Rate [W](Hourly)",'Eplus results'!$1:$1048576,'graph data'!D4, FALSE)*2, HLOOKUP("MFSPCore_Floor1:Surface Int Convection Heat Rate [W](Hourly)",'Eplus results'!1:65536,'graph data'!D4,FALSE)*2)</f>
        <v>#N/A</v>
      </c>
      <c r="M231" s="255"/>
      <c r="N231" s="255"/>
      <c r="O231" s="235"/>
      <c r="P231" s="256"/>
      <c r="Q231" s="235"/>
      <c r="R231" s="235"/>
      <c r="AB231" s="580">
        <f>HLOOKUP("*"&amp;'Output annual'!$AC$2&amp;'Output annual'!$AD$2&amp;"*Zone People Number Of Occupants [](Hourly)",'Eplus results'!$1:$1048576,ROW(),FALSE)</f>
        <v>0</v>
      </c>
      <c r="AC231" s="580">
        <f>HLOOKUP("*"&amp;'Output annual'!$AC$2&amp;'Output annual'!$AD$2&amp;"*FangerPMV(Hourly)",'Eplus results'!$1:$1048576,ROW(),FALSE)</f>
        <v>0</v>
      </c>
      <c r="AD231" s="580">
        <f t="shared" si="48"/>
        <v>5</v>
      </c>
      <c r="AE231" s="580">
        <f t="shared" si="49"/>
        <v>2.5</v>
      </c>
      <c r="AF231" s="580">
        <f t="shared" si="50"/>
        <v>2.5</v>
      </c>
      <c r="AG231" s="580">
        <f t="shared" si="51"/>
        <v>0</v>
      </c>
      <c r="AH231" s="580">
        <f t="shared" si="52"/>
        <v>0</v>
      </c>
    </row>
    <row r="232" spans="2:34">
      <c r="B232" s="235"/>
      <c r="C232" s="236"/>
      <c r="D232" s="238"/>
      <c r="E232" s="268"/>
      <c r="F232" s="241"/>
      <c r="G232" s="247" t="s">
        <v>485</v>
      </c>
      <c r="H232" s="242" t="e">
        <f>IF(RunType="OH",HLOOKUP("MFCore_FLOOR1:Surface Inside Temperature[C](Hourly)",'Eplus results'!$1:$1048576,'graph data'!D4, FALSE), HLOOKUP("MFSPCore_FLOOR1:Surface Inside Temperature[C](Hourly)",'Eplus results'!1:65536,'graph data'!D4,FALSE))</f>
        <v>#N/A</v>
      </c>
      <c r="I232" s="241"/>
      <c r="J232" s="241"/>
      <c r="K232" s="247" t="s">
        <v>530</v>
      </c>
      <c r="L232" s="269" t="e">
        <f>IF(RunType="OH",HLOOKUP("MFCore_FLOOR1:Opaque Surface Inside Face Conduction[W](Hourly)",'Eplus results'!$1:$1048576,'graph data'!D4, FALSE)*2, HLOOKUP("MFSPCore_Floor1:Opaque Surface Inside Face Conduction[W](Hourly)",'Eplus results'!1:65536,'graph data'!D4,FALSE)*2)</f>
        <v>#N/A</v>
      </c>
      <c r="M232" s="270"/>
      <c r="N232" s="255"/>
      <c r="O232" s="235"/>
      <c r="P232" s="256"/>
      <c r="Q232" s="235"/>
      <c r="R232" s="235"/>
      <c r="AB232" s="580">
        <f>HLOOKUP("*"&amp;'Output annual'!$AC$2&amp;'Output annual'!$AD$2&amp;"*Zone People Number Of Occupants [](Hourly)",'Eplus results'!$1:$1048576,ROW(),FALSE)</f>
        <v>0</v>
      </c>
      <c r="AC232" s="580">
        <f>HLOOKUP("*"&amp;'Output annual'!$AC$2&amp;'Output annual'!$AD$2&amp;"*FangerPMV(Hourly)",'Eplus results'!$1:$1048576,ROW(),FALSE)</f>
        <v>0</v>
      </c>
      <c r="AD232" s="580">
        <f t="shared" si="48"/>
        <v>5</v>
      </c>
      <c r="AE232" s="580">
        <f t="shared" si="49"/>
        <v>2.5</v>
      </c>
      <c r="AF232" s="580">
        <f t="shared" si="50"/>
        <v>2.5</v>
      </c>
      <c r="AG232" s="580">
        <f t="shared" si="51"/>
        <v>0</v>
      </c>
      <c r="AH232" s="580">
        <f t="shared" si="52"/>
        <v>0</v>
      </c>
    </row>
    <row r="233" spans="2:34">
      <c r="B233" s="235"/>
      <c r="C233" s="235" t="s">
        <v>514</v>
      </c>
      <c r="D233" s="247"/>
      <c r="E233" s="268"/>
      <c r="F233" s="241"/>
      <c r="G233" s="241"/>
      <c r="H233" s="242"/>
      <c r="I233" s="241"/>
      <c r="J233" s="241"/>
      <c r="K233" s="241"/>
      <c r="L233" s="243"/>
      <c r="M233" s="244"/>
      <c r="N233" s="255"/>
      <c r="O233" s="235"/>
      <c r="P233" s="256"/>
      <c r="Q233" s="235"/>
      <c r="R233" s="235"/>
      <c r="AB233" s="580">
        <f>HLOOKUP("*"&amp;'Output annual'!$AC$2&amp;'Output annual'!$AD$2&amp;"*Zone People Number Of Occupants [](Hourly)",'Eplus results'!$1:$1048576,ROW(),FALSE)</f>
        <v>0</v>
      </c>
      <c r="AC233" s="580">
        <f>HLOOKUP("*"&amp;'Output annual'!$AC$2&amp;'Output annual'!$AD$2&amp;"*FangerPMV(Hourly)",'Eplus results'!$1:$1048576,ROW(),FALSE)</f>
        <v>0</v>
      </c>
      <c r="AD233" s="580">
        <f t="shared" si="48"/>
        <v>5</v>
      </c>
      <c r="AE233" s="580">
        <f t="shared" si="49"/>
        <v>2.5</v>
      </c>
      <c r="AF233" s="580">
        <f t="shared" si="50"/>
        <v>2.5</v>
      </c>
      <c r="AG233" s="580">
        <f t="shared" si="51"/>
        <v>0</v>
      </c>
      <c r="AH233" s="580">
        <f t="shared" si="52"/>
        <v>0</v>
      </c>
    </row>
    <row r="234" spans="2:34" ht="13.5" thickBot="1">
      <c r="B234" s="235"/>
      <c r="C234" s="245"/>
      <c r="D234" s="271"/>
      <c r="E234" s="268"/>
      <c r="F234" s="241"/>
      <c r="G234" s="247" t="s">
        <v>485</v>
      </c>
      <c r="H234" s="242" t="e">
        <f>IF(RunType="OH",HLOOKUP("MFCore_FLOOR1:Surface Outside Temperature[C](Hourly)",'Eplus results'!$1:$1048576,'graph data'!D4, FALSE), HLOOKUP("MFSPCore_FLOOR1:Surface Outside Temperature[C](Hourly)",'Eplus results'!1:65536,'graph data'!D4,FALSE))</f>
        <v>#N/A</v>
      </c>
      <c r="I234" s="241"/>
      <c r="J234" s="241"/>
      <c r="K234" s="247" t="s">
        <v>530</v>
      </c>
      <c r="L234" s="248" t="e">
        <f>HLOOKUP("GFRPCore_CEILING1:Opaque Surface Inside Face Conduction[W](Hourly)",'Eplus results'!1:65536,'graph data'!D4,FALSE)*2</f>
        <v>#N/A</v>
      </c>
      <c r="M234" s="249"/>
      <c r="N234" s="255"/>
      <c r="O234" s="235"/>
      <c r="P234" s="256"/>
      <c r="Q234" s="235"/>
      <c r="R234" s="235"/>
      <c r="AB234" s="580">
        <f>HLOOKUP("*"&amp;'Output annual'!$AC$2&amp;'Output annual'!$AD$2&amp;"*Zone People Number Of Occupants [](Hourly)",'Eplus results'!$1:$1048576,ROW(),FALSE)</f>
        <v>0</v>
      </c>
      <c r="AC234" s="580">
        <f>HLOOKUP("*"&amp;'Output annual'!$AC$2&amp;'Output annual'!$AD$2&amp;"*FangerPMV(Hourly)",'Eplus results'!$1:$1048576,ROW(),FALSE)</f>
        <v>0</v>
      </c>
      <c r="AD234" s="580">
        <f t="shared" si="48"/>
        <v>5</v>
      </c>
      <c r="AE234" s="580">
        <f t="shared" si="49"/>
        <v>2.5</v>
      </c>
      <c r="AF234" s="580">
        <f t="shared" si="50"/>
        <v>2.5</v>
      </c>
      <c r="AG234" s="580">
        <f t="shared" si="51"/>
        <v>0</v>
      </c>
      <c r="AH234" s="580">
        <f t="shared" si="52"/>
        <v>0</v>
      </c>
    </row>
    <row r="235" spans="2:34">
      <c r="B235" s="235"/>
      <c r="C235" s="694" t="s">
        <v>527</v>
      </c>
      <c r="D235" s="235"/>
      <c r="E235" s="272"/>
      <c r="F235" s="251"/>
      <c r="G235" s="251"/>
      <c r="H235" s="252"/>
      <c r="I235" s="251"/>
      <c r="J235" s="251"/>
      <c r="K235" s="253" t="s">
        <v>487</v>
      </c>
      <c r="L235" s="254" t="e">
        <f>HLOOKUP("GFRPCore_Ceiling1:Surface Int Convection Heat Rate [W](Hourly)",'Eplus results'!1:65536,'graph data'!D4,FALSE)*2</f>
        <v>#N/A</v>
      </c>
      <c r="M235" s="255"/>
      <c r="N235" s="255"/>
      <c r="O235" s="235"/>
      <c r="P235" s="256" t="s">
        <v>458</v>
      </c>
      <c r="Q235" s="235"/>
      <c r="R235" s="235"/>
      <c r="AB235" s="580">
        <f>HLOOKUP("*"&amp;'Output annual'!$AC$2&amp;'Output annual'!$AD$2&amp;"*Zone People Number Of Occupants [](Hourly)",'Eplus results'!$1:$1048576,ROW(),FALSE)</f>
        <v>0</v>
      </c>
      <c r="AC235" s="580">
        <f>HLOOKUP("*"&amp;'Output annual'!$AC$2&amp;'Output annual'!$AD$2&amp;"*FangerPMV(Hourly)",'Eplus results'!$1:$1048576,ROW(),FALSE)</f>
        <v>0</v>
      </c>
      <c r="AD235" s="580">
        <f t="shared" si="48"/>
        <v>5</v>
      </c>
      <c r="AE235" s="580">
        <f t="shared" si="49"/>
        <v>2.5</v>
      </c>
      <c r="AF235" s="580">
        <f t="shared" si="50"/>
        <v>2.5</v>
      </c>
      <c r="AG235" s="580">
        <f t="shared" si="51"/>
        <v>0</v>
      </c>
      <c r="AH235" s="580">
        <f t="shared" si="52"/>
        <v>0</v>
      </c>
    </row>
    <row r="236" spans="2:34">
      <c r="B236" s="235"/>
      <c r="C236" s="695"/>
      <c r="D236" s="257"/>
      <c r="E236" s="258" t="s">
        <v>512</v>
      </c>
      <c r="F236" s="241"/>
      <c r="G236" s="247" t="s">
        <v>486</v>
      </c>
      <c r="H236" s="242" t="e">
        <f>HLOOKUP("GFRPCore:Zone/Sys Air Temperature[C](Hourly)",'Eplus results'!$1:$1048576,'graph data'!D4, FALSE)</f>
        <v>#N/A</v>
      </c>
      <c r="I236" s="241"/>
      <c r="J236" s="241"/>
      <c r="K236" s="259"/>
      <c r="L236" s="254"/>
      <c r="M236" s="255" t="s">
        <v>518</v>
      </c>
      <c r="N236" s="255" t="e">
        <f>HLOOKUP("GFRPCore:Zone/Sys Sensible Cooling Rate[W](Hourly)",'Eplus results'!1:65536,'graph data'!D4,FALSE)</f>
        <v>#N/A</v>
      </c>
      <c r="O236" s="260" t="s">
        <v>158</v>
      </c>
      <c r="P236" s="256" t="e">
        <f>N236/(L235+L237)</f>
        <v>#N/A</v>
      </c>
      <c r="Q236" s="235"/>
      <c r="R236" s="235"/>
      <c r="AB236" s="580">
        <f>HLOOKUP("*"&amp;'Output annual'!$AC$2&amp;'Output annual'!$AD$2&amp;"*Zone People Number Of Occupants [](Hourly)",'Eplus results'!$1:$1048576,ROW(),FALSE)</f>
        <v>0</v>
      </c>
      <c r="AC236" s="580">
        <f>HLOOKUP("*"&amp;'Output annual'!$AC$2&amp;'Output annual'!$AD$2&amp;"*FangerPMV(Hourly)",'Eplus results'!$1:$1048576,ROW(),FALSE)</f>
        <v>0</v>
      </c>
      <c r="AD236" s="580">
        <f t="shared" si="48"/>
        <v>5</v>
      </c>
      <c r="AE236" s="580">
        <f t="shared" si="49"/>
        <v>2.5</v>
      </c>
      <c r="AF236" s="580">
        <f t="shared" si="50"/>
        <v>2.5</v>
      </c>
      <c r="AG236" s="580">
        <f t="shared" si="51"/>
        <v>0</v>
      </c>
      <c r="AH236" s="580">
        <f t="shared" si="52"/>
        <v>0</v>
      </c>
    </row>
    <row r="237" spans="2:34">
      <c r="B237" s="235"/>
      <c r="C237" s="695"/>
      <c r="D237" s="257"/>
      <c r="E237" s="258"/>
      <c r="F237" s="241"/>
      <c r="G237" s="241"/>
      <c r="H237" s="242"/>
      <c r="I237" s="241"/>
      <c r="J237" s="241"/>
      <c r="K237" s="259" t="s">
        <v>487</v>
      </c>
      <c r="L237" s="254" t="e">
        <f>HLOOKUP("GFRPCore_Floor1:Surface Int Convection Heat Rate [W](Hourly)",'Eplus results'!1:65536,'graph data'!D4,FALSE)*2</f>
        <v>#N/A</v>
      </c>
      <c r="M237" s="255"/>
      <c r="N237" s="255"/>
      <c r="O237" s="260"/>
      <c r="P237" s="256"/>
      <c r="Q237" s="235"/>
      <c r="R237" s="235"/>
      <c r="AB237" s="580">
        <f>HLOOKUP("*"&amp;'Output annual'!$AC$2&amp;'Output annual'!$AD$2&amp;"*Zone People Number Of Occupants [](Hourly)",'Eplus results'!$1:$1048576,ROW(),FALSE)</f>
        <v>0</v>
      </c>
      <c r="AC237" s="580">
        <f>HLOOKUP("*"&amp;'Output annual'!$AC$2&amp;'Output annual'!$AD$2&amp;"*FangerPMV(Hourly)",'Eplus results'!$1:$1048576,ROW(),FALSE)</f>
        <v>0</v>
      </c>
      <c r="AD237" s="580">
        <f t="shared" si="48"/>
        <v>5</v>
      </c>
      <c r="AE237" s="580">
        <f t="shared" si="49"/>
        <v>2.5</v>
      </c>
      <c r="AF237" s="580">
        <f t="shared" si="50"/>
        <v>2.5</v>
      </c>
      <c r="AG237" s="580">
        <f t="shared" si="51"/>
        <v>0</v>
      </c>
      <c r="AH237" s="580">
        <f t="shared" si="52"/>
        <v>0</v>
      </c>
    </row>
    <row r="238" spans="2:34">
      <c r="B238" s="235"/>
      <c r="C238" s="695"/>
      <c r="D238" s="697" t="s">
        <v>521</v>
      </c>
      <c r="E238" s="258"/>
      <c r="F238" s="241"/>
      <c r="G238" s="247" t="s">
        <v>485</v>
      </c>
      <c r="H238" s="242" t="e">
        <f>HLOOKUP("GFRPCore_FLOOR1:Surface Inside Temperature[C](Hourly)",'Eplus results'!1:65536,'graph data'!D4,FALSE)</f>
        <v>#N/A</v>
      </c>
      <c r="I238" s="241"/>
      <c r="J238" s="241"/>
      <c r="K238" s="259"/>
      <c r="L238" s="254"/>
      <c r="M238" s="255"/>
      <c r="N238" s="255"/>
      <c r="O238" s="260"/>
      <c r="P238" s="256"/>
      <c r="Q238" s="235"/>
      <c r="R238" s="235"/>
      <c r="AB238" s="580">
        <f>HLOOKUP("*"&amp;'Output annual'!$AC$2&amp;'Output annual'!$AD$2&amp;"*Zone People Number Of Occupants [](Hourly)",'Eplus results'!$1:$1048576,ROW(),FALSE)</f>
        <v>0</v>
      </c>
      <c r="AC238" s="580">
        <f>HLOOKUP("*"&amp;'Output annual'!$AC$2&amp;'Output annual'!$AD$2&amp;"*FangerPMV(Hourly)",'Eplus results'!$1:$1048576,ROW(),FALSE)</f>
        <v>0</v>
      </c>
      <c r="AD238" s="580">
        <f t="shared" si="48"/>
        <v>5</v>
      </c>
      <c r="AE238" s="580">
        <f t="shared" si="49"/>
        <v>2.5</v>
      </c>
      <c r="AF238" s="580">
        <f t="shared" si="50"/>
        <v>2.5</v>
      </c>
      <c r="AG238" s="580">
        <f t="shared" si="51"/>
        <v>0</v>
      </c>
      <c r="AH238" s="580">
        <f t="shared" si="52"/>
        <v>0</v>
      </c>
    </row>
    <row r="239" spans="2:34">
      <c r="B239" s="235"/>
      <c r="C239" s="695"/>
      <c r="D239" s="697"/>
      <c r="E239" s="258"/>
      <c r="F239" s="241"/>
      <c r="G239" s="247" t="s">
        <v>485</v>
      </c>
      <c r="H239" s="242" t="e">
        <f>HLOOKUP("GFRPCore_FLOOR1:Surface Outside Temperature[C](Hourly)",'Eplus results'!1:65536,'graph data'!D4,FALSE)</f>
        <v>#N/A</v>
      </c>
      <c r="I239" s="241"/>
      <c r="J239" s="241"/>
      <c r="K239" s="259"/>
      <c r="L239" s="254"/>
      <c r="M239" s="255"/>
      <c r="N239" s="255"/>
      <c r="O239" s="260"/>
      <c r="P239" s="256"/>
      <c r="Q239" s="235"/>
      <c r="R239" s="235"/>
      <c r="AB239" s="580">
        <f>HLOOKUP("*"&amp;'Output annual'!$AC$2&amp;'Output annual'!$AD$2&amp;"*Zone People Number Of Occupants [](Hourly)",'Eplus results'!$1:$1048576,ROW(),FALSE)</f>
        <v>0</v>
      </c>
      <c r="AC239" s="580">
        <f>HLOOKUP("*"&amp;'Output annual'!$AC$2&amp;'Output annual'!$AD$2&amp;"*FangerPMV(Hourly)",'Eplus results'!$1:$1048576,ROW(),FALSE)</f>
        <v>0</v>
      </c>
      <c r="AD239" s="580">
        <f t="shared" si="48"/>
        <v>5</v>
      </c>
      <c r="AE239" s="580">
        <f t="shared" si="49"/>
        <v>2.5</v>
      </c>
      <c r="AF239" s="580">
        <f t="shared" si="50"/>
        <v>2.5</v>
      </c>
      <c r="AG239" s="580">
        <f t="shared" si="51"/>
        <v>0</v>
      </c>
      <c r="AH239" s="580">
        <f t="shared" si="52"/>
        <v>0</v>
      </c>
    </row>
    <row r="240" spans="2:34">
      <c r="B240" s="235"/>
      <c r="C240" s="695"/>
      <c r="D240" s="698" t="s">
        <v>522</v>
      </c>
      <c r="E240" s="258"/>
      <c r="F240" s="241"/>
      <c r="G240" s="241"/>
      <c r="H240" s="242"/>
      <c r="I240" s="241"/>
      <c r="J240" s="241"/>
      <c r="K240" s="259" t="s">
        <v>487</v>
      </c>
      <c r="L240" s="254" t="e">
        <f>HLOOKUP("GFCore_Ceiling1:Surface Int Convection Heat Rate [W](Hourly)",'Eplus results'!1:65536,'graph data'!D4,FALSE)*2</f>
        <v>#N/A</v>
      </c>
      <c r="M240" s="255"/>
      <c r="N240" s="255"/>
      <c r="O240" s="260"/>
      <c r="P240" s="256"/>
      <c r="Q240" s="235"/>
      <c r="R240" s="235"/>
      <c r="AB240" s="580">
        <f>HLOOKUP("*"&amp;'Output annual'!$AC$2&amp;'Output annual'!$AD$2&amp;"*Zone People Number Of Occupants [](Hourly)",'Eplus results'!$1:$1048576,ROW(),FALSE)</f>
        <v>0</v>
      </c>
      <c r="AC240" s="580">
        <f>HLOOKUP("*"&amp;'Output annual'!$AC$2&amp;'Output annual'!$AD$2&amp;"*FangerPMV(Hourly)",'Eplus results'!$1:$1048576,ROW(),FALSE)</f>
        <v>0</v>
      </c>
      <c r="AD240" s="580">
        <f t="shared" si="48"/>
        <v>5</v>
      </c>
      <c r="AE240" s="580">
        <f t="shared" si="49"/>
        <v>2.5</v>
      </c>
      <c r="AF240" s="580">
        <f t="shared" si="50"/>
        <v>2.5</v>
      </c>
      <c r="AG240" s="580">
        <f t="shared" si="51"/>
        <v>0</v>
      </c>
      <c r="AH240" s="580">
        <f t="shared" si="52"/>
        <v>0</v>
      </c>
    </row>
    <row r="241" spans="2:34">
      <c r="B241" s="235"/>
      <c r="C241" s="695"/>
      <c r="D241" s="698"/>
      <c r="E241" s="258" t="s">
        <v>511</v>
      </c>
      <c r="F241" s="241"/>
      <c r="G241" s="247" t="s">
        <v>486</v>
      </c>
      <c r="H241" s="242" t="e">
        <f>HLOOKUP("GFCore:UF Mixed Subzone Temperature[C](Hourly)",'Eplus results'!$1:$1048576,'graph data'!D4, FALSE)</f>
        <v>#N/A</v>
      </c>
      <c r="I241" s="241"/>
      <c r="J241" s="241"/>
      <c r="K241" s="259"/>
      <c r="L241" s="254"/>
      <c r="M241" s="255"/>
      <c r="N241" s="255"/>
      <c r="O241" s="260"/>
      <c r="P241" s="256"/>
      <c r="Q241" s="235"/>
      <c r="R241" s="235"/>
      <c r="AB241" s="580">
        <f>HLOOKUP("*"&amp;'Output annual'!$AC$2&amp;'Output annual'!$AD$2&amp;"*Zone People Number Of Occupants [](Hourly)",'Eplus results'!$1:$1048576,ROW(),FALSE)</f>
        <v>0</v>
      </c>
      <c r="AC241" s="580">
        <f>HLOOKUP("*"&amp;'Output annual'!$AC$2&amp;'Output annual'!$AD$2&amp;"*FangerPMV(Hourly)",'Eplus results'!$1:$1048576,ROW(),FALSE)</f>
        <v>0</v>
      </c>
      <c r="AD241" s="580">
        <f t="shared" si="48"/>
        <v>5</v>
      </c>
      <c r="AE241" s="580">
        <f t="shared" si="49"/>
        <v>2.5</v>
      </c>
      <c r="AF241" s="580">
        <f t="shared" si="50"/>
        <v>2.5</v>
      </c>
      <c r="AG241" s="580">
        <f t="shared" si="51"/>
        <v>0</v>
      </c>
      <c r="AH241" s="580">
        <f t="shared" si="52"/>
        <v>0</v>
      </c>
    </row>
    <row r="242" spans="2:34">
      <c r="B242" s="235"/>
      <c r="C242" s="695"/>
      <c r="D242" s="698"/>
      <c r="E242" s="258"/>
      <c r="F242" s="241"/>
      <c r="G242" s="241"/>
      <c r="H242" s="242"/>
      <c r="I242" s="241"/>
      <c r="J242" s="241"/>
      <c r="K242" s="259"/>
      <c r="L242" s="254"/>
      <c r="M242" s="255"/>
      <c r="N242" s="255"/>
      <c r="O242" s="260"/>
      <c r="P242" s="256" t="s">
        <v>458</v>
      </c>
      <c r="Q242" s="235"/>
      <c r="R242" s="235"/>
      <c r="AB242" s="580">
        <f>HLOOKUP("*"&amp;'Output annual'!$AC$2&amp;'Output annual'!$AD$2&amp;"*Zone People Number Of Occupants [](Hourly)",'Eplus results'!$1:$1048576,ROW(),FALSE)</f>
        <v>0</v>
      </c>
      <c r="AC242" s="580">
        <f>HLOOKUP("*"&amp;'Output annual'!$AC$2&amp;'Output annual'!$AD$2&amp;"*FangerPMV(Hourly)",'Eplus results'!$1:$1048576,ROW(),FALSE)</f>
        <v>0</v>
      </c>
      <c r="AD242" s="580">
        <f t="shared" si="48"/>
        <v>5</v>
      </c>
      <c r="AE242" s="580">
        <f t="shared" si="49"/>
        <v>2.5</v>
      </c>
      <c r="AF242" s="580">
        <f t="shared" si="50"/>
        <v>2.5</v>
      </c>
      <c r="AG242" s="580">
        <f t="shared" si="51"/>
        <v>0</v>
      </c>
      <c r="AH242" s="580">
        <f t="shared" si="52"/>
        <v>0</v>
      </c>
    </row>
    <row r="243" spans="2:34">
      <c r="B243" s="235"/>
      <c r="C243" s="695"/>
      <c r="D243" s="698"/>
      <c r="E243" s="258"/>
      <c r="F243" s="241"/>
      <c r="G243" s="241"/>
      <c r="H243" s="242"/>
      <c r="I243" s="241"/>
      <c r="J243" s="241"/>
      <c r="K243" s="259"/>
      <c r="L243" s="254"/>
      <c r="M243" s="255" t="s">
        <v>519</v>
      </c>
      <c r="N243" s="255" t="e">
        <f>HLOOKUP("GFCore:Zone/Sys Sensible Cooling Rate[W](Hourly)",'Eplus results'!1:65536,'graph data'!D4,FALSE)</f>
        <v>#N/A</v>
      </c>
      <c r="O243" s="260" t="s">
        <v>158</v>
      </c>
      <c r="P243" s="256" t="e">
        <f>N243/(N245+N246)</f>
        <v>#N/A</v>
      </c>
      <c r="Q243" s="235"/>
      <c r="R243" s="235"/>
      <c r="AB243" s="580">
        <f>HLOOKUP("*"&amp;'Output annual'!$AC$2&amp;'Output annual'!$AD$2&amp;"*Zone People Number Of Occupants [](Hourly)",'Eplus results'!$1:$1048576,ROW(),FALSE)</f>
        <v>0</v>
      </c>
      <c r="AC243" s="580">
        <f>HLOOKUP("*"&amp;'Output annual'!$AC$2&amp;'Output annual'!$AD$2&amp;"*FangerPMV(Hourly)",'Eplus results'!$1:$1048576,ROW(),FALSE)</f>
        <v>0</v>
      </c>
      <c r="AD243" s="580">
        <f t="shared" si="48"/>
        <v>5</v>
      </c>
      <c r="AE243" s="580">
        <f t="shared" si="49"/>
        <v>2.5</v>
      </c>
      <c r="AF243" s="580">
        <f t="shared" si="50"/>
        <v>2.5</v>
      </c>
      <c r="AG243" s="580">
        <f t="shared" si="51"/>
        <v>0</v>
      </c>
      <c r="AH243" s="580">
        <f t="shared" si="52"/>
        <v>0</v>
      </c>
    </row>
    <row r="244" spans="2:34">
      <c r="B244" s="235"/>
      <c r="C244" s="695"/>
      <c r="D244" s="698"/>
      <c r="E244" s="258"/>
      <c r="F244" s="241"/>
      <c r="G244" s="241"/>
      <c r="H244" s="242"/>
      <c r="I244" s="241"/>
      <c r="J244" s="241"/>
      <c r="K244" s="259"/>
      <c r="L244" s="254"/>
      <c r="M244" s="255"/>
      <c r="N244" s="255"/>
      <c r="O244" s="260"/>
      <c r="P244" s="256"/>
      <c r="Q244" s="235"/>
      <c r="R244" s="235"/>
      <c r="AB244" s="580">
        <f>HLOOKUP("*"&amp;'Output annual'!$AC$2&amp;'Output annual'!$AD$2&amp;"*Zone People Number Of Occupants [](Hourly)",'Eplus results'!$1:$1048576,ROW(),FALSE)</f>
        <v>0</v>
      </c>
      <c r="AC244" s="580">
        <f>HLOOKUP("*"&amp;'Output annual'!$AC$2&amp;'Output annual'!$AD$2&amp;"*FangerPMV(Hourly)",'Eplus results'!$1:$1048576,ROW(),FALSE)</f>
        <v>0</v>
      </c>
      <c r="AD244" s="580">
        <f t="shared" si="48"/>
        <v>5</v>
      </c>
      <c r="AE244" s="580">
        <f t="shared" si="49"/>
        <v>2.5</v>
      </c>
      <c r="AF244" s="580">
        <f t="shared" si="50"/>
        <v>2.5</v>
      </c>
      <c r="AG244" s="580">
        <f t="shared" si="51"/>
        <v>0</v>
      </c>
      <c r="AH244" s="580">
        <f t="shared" si="52"/>
        <v>0</v>
      </c>
    </row>
    <row r="245" spans="2:34">
      <c r="B245" s="235"/>
      <c r="C245" s="695"/>
      <c r="D245" s="698"/>
      <c r="E245" s="258" t="s">
        <v>510</v>
      </c>
      <c r="F245" s="241"/>
      <c r="G245" s="247" t="s">
        <v>486</v>
      </c>
      <c r="H245" s="242" t="e">
        <f>IF(RunType="OH",HLOOKUP("GFCore:Zone/Sys Air Temperature[C](Hourly)",'Eplus results'!$1:$1048576,'graph data'!D4, FALSE), HLOOKUP("GFCore:UF Occupied Subzone Temperature[C](Hourly)",'Eplus results'!$1:$1048576,'graph data'!D4, FALSE))</f>
        <v>#N/A</v>
      </c>
      <c r="I245" s="241"/>
      <c r="J245" s="241"/>
      <c r="K245" s="259"/>
      <c r="L245" s="254"/>
      <c r="M245" s="255" t="s">
        <v>459</v>
      </c>
      <c r="N245" s="255">
        <f>(HLOOKUP("GFCore:Zone Total Internal Convective Heat Gain [J](Hourly)",'Eplus results'!1:1048576,'graph data'!D4,FALSE)/3600)</f>
        <v>15679.331360738055</v>
      </c>
      <c r="O245" s="276"/>
      <c r="P245" s="256"/>
      <c r="Q245" s="235"/>
      <c r="R245" s="235"/>
      <c r="AB245" s="580">
        <f>HLOOKUP("*"&amp;'Output annual'!$AC$2&amp;'Output annual'!$AD$2&amp;"*Zone People Number Of Occupants [](Hourly)",'Eplus results'!$1:$1048576,ROW(),FALSE)</f>
        <v>0</v>
      </c>
      <c r="AC245" s="580">
        <f>HLOOKUP("*"&amp;'Output annual'!$AC$2&amp;'Output annual'!$AD$2&amp;"*FangerPMV(Hourly)",'Eplus results'!$1:$1048576,ROW(),FALSE)</f>
        <v>0</v>
      </c>
      <c r="AD245" s="580">
        <f t="shared" si="48"/>
        <v>5</v>
      </c>
      <c r="AE245" s="580">
        <f t="shared" si="49"/>
        <v>2.5</v>
      </c>
      <c r="AF245" s="580">
        <f t="shared" si="50"/>
        <v>2.5</v>
      </c>
      <c r="AG245" s="580">
        <f t="shared" si="51"/>
        <v>0</v>
      </c>
      <c r="AH245" s="580">
        <f t="shared" si="52"/>
        <v>0</v>
      </c>
    </row>
    <row r="246" spans="2:34">
      <c r="B246" s="235"/>
      <c r="C246" s="695"/>
      <c r="D246" s="698"/>
      <c r="E246" s="258"/>
      <c r="F246" s="241"/>
      <c r="G246" s="241"/>
      <c r="H246" s="242"/>
      <c r="I246" s="241"/>
      <c r="J246" s="241"/>
      <c r="K246" s="259"/>
      <c r="L246" s="254"/>
      <c r="M246" s="255" t="s">
        <v>460</v>
      </c>
      <c r="N246" s="255">
        <f>HLOOKUP("GFCore:Zone Window Heat Gain[W](Hourly)",'Eplus results'!1:1048576,'graph data'!D4,FALSE)</f>
        <v>0</v>
      </c>
      <c r="O246" s="260"/>
      <c r="P246" s="256"/>
      <c r="Q246" s="235"/>
      <c r="R246" s="235"/>
      <c r="AB246" s="580">
        <f>HLOOKUP("*"&amp;'Output annual'!$AC$2&amp;'Output annual'!$AD$2&amp;"*Zone People Number Of Occupants [](Hourly)",'Eplus results'!$1:$1048576,ROW(),FALSE)</f>
        <v>0</v>
      </c>
      <c r="AC246" s="580">
        <f>HLOOKUP("*"&amp;'Output annual'!$AC$2&amp;'Output annual'!$AD$2&amp;"*FangerPMV(Hourly)",'Eplus results'!$1:$1048576,ROW(),FALSE)</f>
        <v>0</v>
      </c>
      <c r="AD246" s="580">
        <f t="shared" si="48"/>
        <v>5</v>
      </c>
      <c r="AE246" s="580">
        <f t="shared" si="49"/>
        <v>2.5</v>
      </c>
      <c r="AF246" s="580">
        <f t="shared" si="50"/>
        <v>2.5</v>
      </c>
      <c r="AG246" s="580">
        <f t="shared" si="51"/>
        <v>0</v>
      </c>
      <c r="AH246" s="580">
        <f t="shared" si="52"/>
        <v>0</v>
      </c>
    </row>
    <row r="247" spans="2:34">
      <c r="B247" s="235"/>
      <c r="C247" s="695"/>
      <c r="D247" s="698"/>
      <c r="E247" s="258"/>
      <c r="F247" s="241"/>
      <c r="G247" s="241"/>
      <c r="H247" s="242"/>
      <c r="I247" s="241"/>
      <c r="J247" s="241"/>
      <c r="K247" s="259" t="s">
        <v>487</v>
      </c>
      <c r="L247" s="254" t="e">
        <f>HLOOKUP("GFCore_Floor1:Surface Int Convection Heat Rate [W](Hourly)",'Eplus results'!1:65536,'graph data'!D4,FALSE)*2</f>
        <v>#N/A</v>
      </c>
      <c r="M247" s="255"/>
      <c r="N247" s="255"/>
      <c r="O247" s="260"/>
      <c r="P247" s="256"/>
      <c r="Q247" s="235"/>
      <c r="R247" s="235"/>
      <c r="AB247" s="580">
        <f>HLOOKUP("*"&amp;'Output annual'!$AC$2&amp;'Output annual'!$AD$2&amp;"*Zone People Number Of Occupants [](Hourly)",'Eplus results'!$1:$1048576,ROW(),FALSE)</f>
        <v>0</v>
      </c>
      <c r="AC247" s="580">
        <f>HLOOKUP("*"&amp;'Output annual'!$AC$2&amp;'Output annual'!$AD$2&amp;"*FangerPMV(Hourly)",'Eplus results'!$1:$1048576,ROW(),FALSE)</f>
        <v>0</v>
      </c>
      <c r="AD247" s="580">
        <f t="shared" si="48"/>
        <v>5</v>
      </c>
      <c r="AE247" s="580">
        <f t="shared" si="49"/>
        <v>2.5</v>
      </c>
      <c r="AF247" s="580">
        <f t="shared" si="50"/>
        <v>2.5</v>
      </c>
      <c r="AG247" s="580">
        <f t="shared" si="51"/>
        <v>0</v>
      </c>
      <c r="AH247" s="580">
        <f t="shared" si="52"/>
        <v>0</v>
      </c>
    </row>
    <row r="248" spans="2:34">
      <c r="B248" s="235"/>
      <c r="C248" s="695"/>
      <c r="D248" s="697" t="s">
        <v>523</v>
      </c>
      <c r="E248" s="258"/>
      <c r="F248" s="241"/>
      <c r="G248" s="247" t="s">
        <v>485</v>
      </c>
      <c r="H248" s="242" t="e">
        <f>HLOOKUP("GFSPCore_CEILING1:Surface Outside Temperature[C](Hourly)",'Eplus results'!1:65536,'graph data'!D4,FALSE)</f>
        <v>#N/A</v>
      </c>
      <c r="I248" s="241"/>
      <c r="J248" s="241"/>
      <c r="K248" s="259"/>
      <c r="L248" s="254"/>
      <c r="M248" s="255"/>
      <c r="N248" s="255"/>
      <c r="O248" s="260"/>
      <c r="P248" s="256"/>
      <c r="Q248" s="235"/>
      <c r="R248" s="235"/>
      <c r="AB248" s="580">
        <f>HLOOKUP("*"&amp;'Output annual'!$AC$2&amp;'Output annual'!$AD$2&amp;"*Zone People Number Of Occupants [](Hourly)",'Eplus results'!$1:$1048576,ROW(),FALSE)</f>
        <v>0</v>
      </c>
      <c r="AC248" s="580">
        <f>HLOOKUP("*"&amp;'Output annual'!$AC$2&amp;'Output annual'!$AD$2&amp;"*FangerPMV(Hourly)",'Eplus results'!$1:$1048576,ROW(),FALSE)</f>
        <v>0</v>
      </c>
      <c r="AD248" s="580">
        <f t="shared" si="48"/>
        <v>5</v>
      </c>
      <c r="AE248" s="580">
        <f t="shared" si="49"/>
        <v>2.5</v>
      </c>
      <c r="AF248" s="580">
        <f t="shared" si="50"/>
        <v>2.5</v>
      </c>
      <c r="AG248" s="580">
        <f t="shared" si="51"/>
        <v>0</v>
      </c>
      <c r="AH248" s="580">
        <f t="shared" si="52"/>
        <v>0</v>
      </c>
    </row>
    <row r="249" spans="2:34">
      <c r="B249" s="235"/>
      <c r="C249" s="695"/>
      <c r="D249" s="697"/>
      <c r="E249" s="258"/>
      <c r="F249" s="241"/>
      <c r="G249" s="247" t="s">
        <v>485</v>
      </c>
      <c r="H249" s="242" t="e">
        <f>HLOOKUP("GFSPCore_CEILING1:Surface Inside Temperature[C](Hourly)",'Eplus results'!1:65536,'graph data'!D4,FALSE)</f>
        <v>#N/A</v>
      </c>
      <c r="I249" s="241"/>
      <c r="J249" s="241"/>
      <c r="K249" s="259"/>
      <c r="L249" s="254"/>
      <c r="M249" s="255"/>
      <c r="N249" s="255"/>
      <c r="O249" s="260"/>
      <c r="P249" s="256"/>
      <c r="Q249" s="235"/>
      <c r="R249" s="235"/>
      <c r="AB249" s="580">
        <f>HLOOKUP("*"&amp;'Output annual'!$AC$2&amp;'Output annual'!$AD$2&amp;"*Zone People Number Of Occupants [](Hourly)",'Eplus results'!$1:$1048576,ROW(),FALSE)</f>
        <v>0</v>
      </c>
      <c r="AC249" s="580">
        <f>HLOOKUP("*"&amp;'Output annual'!$AC$2&amp;'Output annual'!$AD$2&amp;"*FangerPMV(Hourly)",'Eplus results'!$1:$1048576,ROW(),FALSE)</f>
        <v>0</v>
      </c>
      <c r="AD249" s="580">
        <f t="shared" si="48"/>
        <v>5</v>
      </c>
      <c r="AE249" s="580">
        <f t="shared" si="49"/>
        <v>2.5</v>
      </c>
      <c r="AF249" s="580">
        <f t="shared" si="50"/>
        <v>2.5</v>
      </c>
      <c r="AG249" s="580">
        <f t="shared" si="51"/>
        <v>0</v>
      </c>
      <c r="AH249" s="580">
        <f t="shared" si="52"/>
        <v>0</v>
      </c>
    </row>
    <row r="250" spans="2:34">
      <c r="B250" s="235"/>
      <c r="C250" s="695"/>
      <c r="D250" s="235"/>
      <c r="E250" s="258"/>
      <c r="F250" s="241"/>
      <c r="G250" s="241"/>
      <c r="H250" s="242"/>
      <c r="I250" s="241"/>
      <c r="J250" s="241"/>
      <c r="K250" s="259" t="s">
        <v>487</v>
      </c>
      <c r="L250" s="254" t="e">
        <f>HLOOKUP("GFSPCore_Ceiling1:Surface Int Convection Heat Rate [W](Hourly)",'Eplus results'!1:65536,'graph data'!D4,FALSE)*2</f>
        <v>#N/A</v>
      </c>
      <c r="M250" s="255"/>
      <c r="N250" s="255"/>
      <c r="O250" s="260"/>
      <c r="P250" s="256" t="s">
        <v>458</v>
      </c>
      <c r="Q250" s="235"/>
      <c r="R250" s="235"/>
      <c r="AB250" s="580">
        <f>HLOOKUP("*"&amp;'Output annual'!$AC$2&amp;'Output annual'!$AD$2&amp;"*Zone People Number Of Occupants [](Hourly)",'Eplus results'!$1:$1048576,ROW(),FALSE)</f>
        <v>0</v>
      </c>
      <c r="AC250" s="580">
        <f>HLOOKUP("*"&amp;'Output annual'!$AC$2&amp;'Output annual'!$AD$2&amp;"*FangerPMV(Hourly)",'Eplus results'!$1:$1048576,ROW(),FALSE)</f>
        <v>0</v>
      </c>
      <c r="AD250" s="580">
        <f t="shared" si="48"/>
        <v>5</v>
      </c>
      <c r="AE250" s="580">
        <f t="shared" si="49"/>
        <v>2.5</v>
      </c>
      <c r="AF250" s="580">
        <f t="shared" si="50"/>
        <v>2.5</v>
      </c>
      <c r="AG250" s="580">
        <f t="shared" si="51"/>
        <v>0</v>
      </c>
      <c r="AH250" s="580">
        <f t="shared" si="52"/>
        <v>0</v>
      </c>
    </row>
    <row r="251" spans="2:34">
      <c r="B251" s="235"/>
      <c r="C251" s="695"/>
      <c r="D251" s="257"/>
      <c r="E251" s="258" t="s">
        <v>3</v>
      </c>
      <c r="F251" s="241"/>
      <c r="G251" s="247" t="s">
        <v>486</v>
      </c>
      <c r="H251" s="242" t="e">
        <f>HLOOKUP("GFSPCore:Zone/Sys Air Temperature[C](Hourly)",'Eplus results'!$1:$1048576,'graph data'!D4, FALSE)</f>
        <v>#N/A</v>
      </c>
      <c r="I251" s="241"/>
      <c r="J251" s="241"/>
      <c r="K251" s="259"/>
      <c r="L251" s="254"/>
      <c r="M251" s="255" t="s">
        <v>520</v>
      </c>
      <c r="N251" s="255" t="e">
        <f>HLOOKUP("GFSPCore:Zone/Sys Sensible Cooling Rate[W](Hourly)",'Eplus results'!1:65536,'graph data'!D4,FALSE)</f>
        <v>#N/A</v>
      </c>
      <c r="O251" s="260" t="s">
        <v>158</v>
      </c>
      <c r="P251" s="256" t="e">
        <f>N251/(L250+L252)</f>
        <v>#N/A</v>
      </c>
      <c r="Q251" s="235"/>
      <c r="R251" s="235"/>
      <c r="AB251" s="580">
        <f>HLOOKUP("*"&amp;'Output annual'!$AC$2&amp;'Output annual'!$AD$2&amp;"*Zone People Number Of Occupants [](Hourly)",'Eplus results'!$1:$1048576,ROW(),FALSE)</f>
        <v>0</v>
      </c>
      <c r="AC251" s="580">
        <f>HLOOKUP("*"&amp;'Output annual'!$AC$2&amp;'Output annual'!$AD$2&amp;"*FangerPMV(Hourly)",'Eplus results'!$1:$1048576,ROW(),FALSE)</f>
        <v>0</v>
      </c>
      <c r="AD251" s="580">
        <f t="shared" si="48"/>
        <v>5</v>
      </c>
      <c r="AE251" s="580">
        <f t="shared" si="49"/>
        <v>2.5</v>
      </c>
      <c r="AF251" s="580">
        <f t="shared" si="50"/>
        <v>2.5</v>
      </c>
      <c r="AG251" s="580">
        <f t="shared" si="51"/>
        <v>0</v>
      </c>
      <c r="AH251" s="580">
        <f t="shared" si="52"/>
        <v>0</v>
      </c>
    </row>
    <row r="252" spans="2:34" ht="13.5" thickBot="1">
      <c r="B252" s="235"/>
      <c r="C252" s="696"/>
      <c r="D252" s="261"/>
      <c r="E252" s="279"/>
      <c r="F252" s="263"/>
      <c r="G252" s="263"/>
      <c r="H252" s="264"/>
      <c r="I252" s="263"/>
      <c r="J252" s="263"/>
      <c r="K252" s="265" t="s">
        <v>487</v>
      </c>
      <c r="L252" s="254" t="e">
        <f>IF(RunType="OH",HLOOKUP("GFCore_FLOOR1:Surface Int Convection Heat Rate [W](Hourly)",'Eplus results'!$1:$1048576,'graph data'!D4, FALSE)*2, HLOOKUP("GFSPCore_Floor1:Surface Int Convection Heat Rate [W](Hourly)",'Eplus results'!1:65536,'graph data'!D4,FALSE)*2)</f>
        <v>#N/A</v>
      </c>
      <c r="M252" s="255"/>
      <c r="N252" s="235"/>
      <c r="O252" s="235"/>
      <c r="P252" s="256"/>
      <c r="Q252" s="235"/>
      <c r="R252" s="235"/>
      <c r="AB252" s="580">
        <f>HLOOKUP("*"&amp;'Output annual'!$AC$2&amp;'Output annual'!$AD$2&amp;"*Zone People Number Of Occupants [](Hourly)",'Eplus results'!$1:$1048576,ROW(),FALSE)</f>
        <v>0</v>
      </c>
      <c r="AC252" s="580">
        <f>HLOOKUP("*"&amp;'Output annual'!$AC$2&amp;'Output annual'!$AD$2&amp;"*FangerPMV(Hourly)",'Eplus results'!$1:$1048576,ROW(),FALSE)</f>
        <v>0</v>
      </c>
      <c r="AD252" s="580">
        <f t="shared" si="48"/>
        <v>5</v>
      </c>
      <c r="AE252" s="580">
        <f t="shared" si="49"/>
        <v>2.5</v>
      </c>
      <c r="AF252" s="580">
        <f t="shared" si="50"/>
        <v>2.5</v>
      </c>
      <c r="AG252" s="580">
        <f t="shared" si="51"/>
        <v>0</v>
      </c>
      <c r="AH252" s="580">
        <f t="shared" si="52"/>
        <v>0</v>
      </c>
    </row>
    <row r="253" spans="2:34">
      <c r="B253" s="235"/>
      <c r="C253" s="236"/>
      <c r="D253" s="238"/>
      <c r="E253" s="241"/>
      <c r="F253" s="241"/>
      <c r="G253" s="247" t="s">
        <v>485</v>
      </c>
      <c r="H253" s="242" t="e">
        <f>IF(RunType="OH",HLOOKUP("GFCore_FLOOR1:Surface Inside Temperature[C](Hourly)",'Eplus results'!$1:$1048576,'graph data'!D4, FALSE), HLOOKUP("GFSPCore_FLOOR1:Surface Inside Temperature[C](Hourly)",'Eplus results'!1:65536,'graph data'!D4,FALSE))</f>
        <v>#N/A</v>
      </c>
      <c r="I253" s="241"/>
      <c r="J253" s="241"/>
      <c r="K253" s="241" t="s">
        <v>530</v>
      </c>
      <c r="L253" s="269" t="e">
        <f>IF(RunType="OH",HLOOKUP("GFCore_FLOOR1:Opaque Surface Inside Face Conduction[W](Hourly)",'Eplus results'!1:65536,'graph data'!D4,FALSE)*2, HLOOKUP("GFSPCore_FLOOR1:Opaque Surface Inside Face Conduction[W](Hourly)",'Eplus results'!1:65536,'graph data'!D4,FALSE)*2)</f>
        <v>#N/A</v>
      </c>
      <c r="M253" s="270"/>
      <c r="N253" s="235"/>
      <c r="O253" s="235"/>
      <c r="P253" s="256"/>
      <c r="Q253" s="235"/>
      <c r="R253" s="235"/>
      <c r="AB253" s="580">
        <f>HLOOKUP("*"&amp;'Output annual'!$AC$2&amp;'Output annual'!$AD$2&amp;"*Zone People Number Of Occupants [](Hourly)",'Eplus results'!$1:$1048576,ROW(),FALSE)</f>
        <v>0</v>
      </c>
      <c r="AC253" s="580">
        <f>HLOOKUP("*"&amp;'Output annual'!$AC$2&amp;'Output annual'!$AD$2&amp;"*FangerPMV(Hourly)",'Eplus results'!$1:$1048576,ROW(),FALSE)</f>
        <v>0</v>
      </c>
      <c r="AD253" s="580">
        <f t="shared" si="48"/>
        <v>5</v>
      </c>
      <c r="AE253" s="580">
        <f t="shared" si="49"/>
        <v>2.5</v>
      </c>
      <c r="AF253" s="580">
        <f t="shared" si="50"/>
        <v>2.5</v>
      </c>
      <c r="AG253" s="580">
        <f t="shared" si="51"/>
        <v>0</v>
      </c>
      <c r="AH253" s="580">
        <f t="shared" si="52"/>
        <v>0</v>
      </c>
    </row>
    <row r="254" spans="2:34">
      <c r="B254" s="235"/>
      <c r="C254" s="235" t="s">
        <v>513</v>
      </c>
      <c r="D254" s="247"/>
      <c r="E254" s="241"/>
      <c r="F254" s="241"/>
      <c r="G254" s="241"/>
      <c r="H254" s="242"/>
      <c r="I254" s="241"/>
      <c r="J254" s="241"/>
      <c r="K254" s="241"/>
      <c r="L254" s="243"/>
      <c r="M254" s="244"/>
      <c r="N254" s="235"/>
      <c r="O254" s="235"/>
      <c r="P254" s="256"/>
      <c r="Q254" s="235"/>
      <c r="R254" s="235"/>
      <c r="AB254" s="580">
        <f>HLOOKUP("*"&amp;'Output annual'!$AC$2&amp;'Output annual'!$AD$2&amp;"*Zone People Number Of Occupants [](Hourly)",'Eplus results'!$1:$1048576,ROW(),FALSE)</f>
        <v>0</v>
      </c>
      <c r="AC254" s="580">
        <f>HLOOKUP("*"&amp;'Output annual'!$AC$2&amp;'Output annual'!$AD$2&amp;"*FangerPMV(Hourly)",'Eplus results'!$1:$1048576,ROW(),FALSE)</f>
        <v>0</v>
      </c>
      <c r="AD254" s="580">
        <f t="shared" si="48"/>
        <v>5</v>
      </c>
      <c r="AE254" s="580">
        <f t="shared" si="49"/>
        <v>2.5</v>
      </c>
      <c r="AF254" s="580">
        <f t="shared" si="50"/>
        <v>2.5</v>
      </c>
      <c r="AG254" s="580">
        <f t="shared" si="51"/>
        <v>0</v>
      </c>
      <c r="AH254" s="580">
        <f t="shared" si="52"/>
        <v>0</v>
      </c>
    </row>
    <row r="255" spans="2:34">
      <c r="B255" s="235"/>
      <c r="C255" s="245"/>
      <c r="D255" s="271"/>
      <c r="E255" s="246"/>
      <c r="F255" s="246"/>
      <c r="G255" s="271" t="s">
        <v>485</v>
      </c>
      <c r="H255" s="280" t="e">
        <f>IF(RunType="OH",HLOOKUP("GFCore_FLOOR1:Surface Outside Temperature[C](Hourly)",'Eplus results'!$1:$1048576,'graph data'!D4, FALSE), HLOOKUP("GFSPCore_FLOOR1:Surface Outside Temperature[C](Hourly)",'Eplus results'!1:65536,'graph data'!D4,FALSE))</f>
        <v>#N/A</v>
      </c>
      <c r="I255" s="246"/>
      <c r="J255" s="246"/>
      <c r="K255" s="246" t="s">
        <v>530</v>
      </c>
      <c r="L255" s="248"/>
      <c r="M255" s="249"/>
      <c r="N255" s="235"/>
      <c r="O255" s="235"/>
      <c r="P255" s="256"/>
      <c r="Q255" s="235"/>
      <c r="R255" s="235"/>
      <c r="AB255" s="580">
        <f>HLOOKUP("*"&amp;'Output annual'!$AC$2&amp;'Output annual'!$AD$2&amp;"*Zone People Number Of Occupants [](Hourly)",'Eplus results'!$1:$1048576,ROW(),FALSE)</f>
        <v>0</v>
      </c>
      <c r="AC255" s="580">
        <f>HLOOKUP("*"&amp;'Output annual'!$AC$2&amp;'Output annual'!$AD$2&amp;"*FangerPMV(Hourly)",'Eplus results'!$1:$1048576,ROW(),FALSE)</f>
        <v>0</v>
      </c>
      <c r="AD255" s="580">
        <f t="shared" si="48"/>
        <v>5</v>
      </c>
      <c r="AE255" s="580">
        <f t="shared" si="49"/>
        <v>2.5</v>
      </c>
      <c r="AF255" s="580">
        <f t="shared" si="50"/>
        <v>2.5</v>
      </c>
      <c r="AG255" s="580">
        <f t="shared" si="51"/>
        <v>0</v>
      </c>
      <c r="AH255" s="580">
        <f t="shared" si="52"/>
        <v>0</v>
      </c>
    </row>
    <row r="256" spans="2:34">
      <c r="B256" s="235"/>
      <c r="C256" s="235"/>
      <c r="D256" s="235"/>
      <c r="E256" s="235"/>
      <c r="F256" s="235"/>
      <c r="G256" s="235"/>
      <c r="H256" s="235"/>
      <c r="I256" s="235"/>
      <c r="J256" s="235"/>
      <c r="K256" s="235"/>
      <c r="L256" s="254"/>
      <c r="M256" s="255"/>
      <c r="N256" s="235"/>
      <c r="O256" s="235"/>
      <c r="P256" s="256"/>
      <c r="Q256" s="235"/>
      <c r="R256" s="235"/>
      <c r="AB256" s="580">
        <f>HLOOKUP("*"&amp;'Output annual'!$AC$2&amp;'Output annual'!$AD$2&amp;"*Zone People Number Of Occupants [](Hourly)",'Eplus results'!$1:$1048576,ROW(),FALSE)</f>
        <v>0</v>
      </c>
      <c r="AC256" s="580">
        <f>HLOOKUP("*"&amp;'Output annual'!$AC$2&amp;'Output annual'!$AD$2&amp;"*FangerPMV(Hourly)",'Eplus results'!$1:$1048576,ROW(),FALSE)</f>
        <v>0</v>
      </c>
      <c r="AD256" s="580">
        <f t="shared" si="48"/>
        <v>5</v>
      </c>
      <c r="AE256" s="580">
        <f t="shared" si="49"/>
        <v>2.5</v>
      </c>
      <c r="AF256" s="580">
        <f t="shared" si="50"/>
        <v>2.5</v>
      </c>
      <c r="AG256" s="580">
        <f t="shared" si="51"/>
        <v>0</v>
      </c>
      <c r="AH256" s="580">
        <f t="shared" si="52"/>
        <v>0</v>
      </c>
    </row>
    <row r="257" spans="2:34">
      <c r="B257" s="257"/>
      <c r="C257" s="235"/>
      <c r="D257" s="235"/>
      <c r="E257" s="235"/>
      <c r="F257" s="235"/>
      <c r="G257" s="235"/>
      <c r="H257" s="235"/>
      <c r="I257" s="235"/>
      <c r="J257" s="235"/>
      <c r="K257" s="235"/>
      <c r="L257" s="254"/>
      <c r="M257" s="255"/>
      <c r="N257" s="235"/>
      <c r="O257" s="235"/>
      <c r="P257" s="256"/>
      <c r="Q257" s="235"/>
      <c r="R257" s="235"/>
      <c r="AB257" s="580">
        <f>HLOOKUP("*"&amp;'Output annual'!$AC$2&amp;'Output annual'!$AD$2&amp;"*Zone People Number Of Occupants [](Hourly)",'Eplus results'!$1:$1048576,ROW(),FALSE)</f>
        <v>0</v>
      </c>
      <c r="AC257" s="580">
        <f>HLOOKUP("*"&amp;'Output annual'!$AC$2&amp;'Output annual'!$AD$2&amp;"*FangerPMV(Hourly)",'Eplus results'!$1:$1048576,ROW(),FALSE)</f>
        <v>0</v>
      </c>
      <c r="AD257" s="580">
        <f t="shared" si="48"/>
        <v>5</v>
      </c>
      <c r="AE257" s="580">
        <f t="shared" si="49"/>
        <v>2.5</v>
      </c>
      <c r="AF257" s="580">
        <f t="shared" si="50"/>
        <v>2.5</v>
      </c>
      <c r="AG257" s="580">
        <f t="shared" si="51"/>
        <v>0</v>
      </c>
      <c r="AH257" s="580">
        <f t="shared" si="52"/>
        <v>0</v>
      </c>
    </row>
    <row r="258" spans="2:34">
      <c r="B258" s="257"/>
      <c r="C258" s="235"/>
      <c r="D258" s="235"/>
      <c r="E258" s="235"/>
      <c r="F258" s="235"/>
      <c r="G258" s="235"/>
      <c r="H258" s="235"/>
      <c r="I258" s="235"/>
      <c r="J258" s="235"/>
      <c r="K258" s="235"/>
      <c r="L258" s="254"/>
      <c r="M258" s="255"/>
      <c r="N258" s="235"/>
      <c r="O258" s="235"/>
      <c r="P258" s="256"/>
      <c r="Q258" s="235"/>
      <c r="R258" s="235"/>
      <c r="AB258" s="580">
        <f>HLOOKUP("*"&amp;'Output annual'!$AC$2&amp;'Output annual'!$AD$2&amp;"*Zone People Number Of Occupants [](Hourly)",'Eplus results'!$1:$1048576,ROW(),FALSE)</f>
        <v>0</v>
      </c>
      <c r="AC258" s="580">
        <f>HLOOKUP("*"&amp;'Output annual'!$AC$2&amp;'Output annual'!$AD$2&amp;"*FangerPMV(Hourly)",'Eplus results'!$1:$1048576,ROW(),FALSE)</f>
        <v>0</v>
      </c>
      <c r="AD258" s="580">
        <f t="shared" si="48"/>
        <v>5</v>
      </c>
      <c r="AE258" s="580">
        <f t="shared" si="49"/>
        <v>2.5</v>
      </c>
      <c r="AF258" s="580">
        <f t="shared" si="50"/>
        <v>2.5</v>
      </c>
      <c r="AG258" s="580">
        <f t="shared" si="51"/>
        <v>0</v>
      </c>
      <c r="AH258" s="580">
        <f t="shared" si="52"/>
        <v>0</v>
      </c>
    </row>
    <row r="259" spans="2:34">
      <c r="B259" s="257"/>
      <c r="C259" s="235"/>
      <c r="D259" s="235"/>
      <c r="E259" s="235"/>
      <c r="F259" s="235"/>
      <c r="G259" s="235"/>
      <c r="H259" s="235"/>
      <c r="I259" s="235"/>
      <c r="J259" s="235"/>
      <c r="K259" s="235"/>
      <c r="L259" s="254"/>
      <c r="M259" s="255"/>
      <c r="N259" s="235"/>
      <c r="O259" s="235"/>
      <c r="P259" s="256"/>
      <c r="Q259" s="235"/>
      <c r="R259" s="235"/>
      <c r="AB259" s="580">
        <f>HLOOKUP("*"&amp;'Output annual'!$AC$2&amp;'Output annual'!$AD$2&amp;"*Zone People Number Of Occupants [](Hourly)",'Eplus results'!$1:$1048576,ROW(),FALSE)</f>
        <v>0</v>
      </c>
      <c r="AC259" s="580">
        <f>HLOOKUP("*"&amp;'Output annual'!$AC$2&amp;'Output annual'!$AD$2&amp;"*FangerPMV(Hourly)",'Eplus results'!$1:$1048576,ROW(),FALSE)</f>
        <v>0</v>
      </c>
      <c r="AD259" s="580">
        <f t="shared" ref="AD259:AD322" si="53">100-95*EXP(-0.03353*AC259^4-0.2179*AC259^2)</f>
        <v>5</v>
      </c>
      <c r="AE259" s="580">
        <f t="shared" ref="AE259:AE322" si="54">AD259*(1/(1+EXP(-6.3*$AC259)))</f>
        <v>2.5</v>
      </c>
      <c r="AF259" s="580">
        <f t="shared" ref="AF259:AF322" si="55">(AD259-AE259)</f>
        <v>2.5</v>
      </c>
      <c r="AG259" s="580">
        <f t="shared" ref="AG259:AG322" si="56">AE259*AB259</f>
        <v>0</v>
      </c>
      <c r="AH259" s="580">
        <f t="shared" ref="AH259:AH322" si="57">AF259*AB259</f>
        <v>0</v>
      </c>
    </row>
    <row r="260" spans="2:34">
      <c r="B260" s="235"/>
      <c r="C260" s="236"/>
      <c r="D260" s="237"/>
      <c r="E260" s="237"/>
      <c r="F260" s="237"/>
      <c r="G260" s="238" t="s">
        <v>485</v>
      </c>
      <c r="H260" s="239" t="e">
        <f>HLOOKUP("TFRP"&amp;perim_zone&amp;"_CEILING:Surface Outside Temperature[C](Hourly)",'Eplus results'!1:65536,'graph data'!D4,FALSE)</f>
        <v>#N/A</v>
      </c>
      <c r="I260" s="237"/>
      <c r="J260" s="237"/>
      <c r="K260" s="237"/>
      <c r="L260" s="269"/>
      <c r="M260" s="270"/>
      <c r="N260" s="235"/>
      <c r="O260" s="235"/>
      <c r="P260" s="256"/>
      <c r="Q260" s="235"/>
      <c r="R260" s="235"/>
      <c r="AB260" s="580">
        <f>HLOOKUP("*"&amp;'Output annual'!$AC$2&amp;'Output annual'!$AD$2&amp;"*Zone People Number Of Occupants [](Hourly)",'Eplus results'!$1:$1048576,ROW(),FALSE)</f>
        <v>0</v>
      </c>
      <c r="AC260" s="580">
        <f>HLOOKUP("*"&amp;'Output annual'!$AC$2&amp;'Output annual'!$AD$2&amp;"*FangerPMV(Hourly)",'Eplus results'!$1:$1048576,ROW(),FALSE)</f>
        <v>0</v>
      </c>
      <c r="AD260" s="580">
        <f t="shared" si="53"/>
        <v>5</v>
      </c>
      <c r="AE260" s="580">
        <f t="shared" si="54"/>
        <v>2.5</v>
      </c>
      <c r="AF260" s="580">
        <f t="shared" si="55"/>
        <v>2.5</v>
      </c>
      <c r="AG260" s="580">
        <f t="shared" si="56"/>
        <v>0</v>
      </c>
      <c r="AH260" s="580">
        <f t="shared" si="57"/>
        <v>0</v>
      </c>
    </row>
    <row r="261" spans="2:34">
      <c r="B261" s="235"/>
      <c r="C261" s="235" t="s">
        <v>516</v>
      </c>
      <c r="D261" s="241"/>
      <c r="E261" s="241"/>
      <c r="F261" s="241"/>
      <c r="G261" s="241"/>
      <c r="H261" s="242"/>
      <c r="I261" s="241"/>
      <c r="J261" s="241"/>
      <c r="K261" s="241"/>
      <c r="L261" s="243"/>
      <c r="M261" s="244"/>
      <c r="N261" s="235"/>
      <c r="O261" s="235"/>
      <c r="P261" s="256"/>
      <c r="Q261" s="235"/>
      <c r="R261" s="235"/>
      <c r="AB261" s="580">
        <f>HLOOKUP("*"&amp;'Output annual'!$AC$2&amp;'Output annual'!$AD$2&amp;"*Zone People Number Of Occupants [](Hourly)",'Eplus results'!$1:$1048576,ROW(),FALSE)</f>
        <v>0</v>
      </c>
      <c r="AC261" s="580">
        <f>HLOOKUP("*"&amp;'Output annual'!$AC$2&amp;'Output annual'!$AD$2&amp;"*FangerPMV(Hourly)",'Eplus results'!$1:$1048576,ROW(),FALSE)</f>
        <v>0</v>
      </c>
      <c r="AD261" s="580">
        <f t="shared" si="53"/>
        <v>5</v>
      </c>
      <c r="AE261" s="580">
        <f t="shared" si="54"/>
        <v>2.5</v>
      </c>
      <c r="AF261" s="580">
        <f t="shared" si="55"/>
        <v>2.5</v>
      </c>
      <c r="AG261" s="580">
        <f t="shared" si="56"/>
        <v>0</v>
      </c>
      <c r="AH261" s="580">
        <f t="shared" si="57"/>
        <v>0</v>
      </c>
    </row>
    <row r="262" spans="2:34" ht="13.5" thickBot="1">
      <c r="B262" s="235"/>
      <c r="C262" s="245"/>
      <c r="D262" s="246"/>
      <c r="E262" s="241"/>
      <c r="F262" s="241"/>
      <c r="G262" s="247" t="s">
        <v>485</v>
      </c>
      <c r="H262" s="242" t="e">
        <f>HLOOKUP("TFRP"&amp;perim_zone&amp;"_CEILING:Surface Inside Temperature[C](Hourly)",'Eplus results'!1:65536,'graph data'!D4,FALSE)</f>
        <v>#N/A</v>
      </c>
      <c r="I262" s="241"/>
      <c r="J262" s="241"/>
      <c r="K262" s="241" t="s">
        <v>530</v>
      </c>
      <c r="L262" s="248" t="e">
        <f>HLOOKUP("TFRP"&amp;perim_zone&amp;"_CEILING:Opaque Surface Inside Face Conduction[W](Hourly)",'Eplus results'!1:65536,'graph data'!D4,FALSE)</f>
        <v>#N/A</v>
      </c>
      <c r="M262" s="249"/>
      <c r="N262" s="235"/>
      <c r="O262" s="235"/>
      <c r="P262" s="256"/>
      <c r="Q262" s="235"/>
      <c r="R262" s="235"/>
      <c r="AB262" s="580">
        <f>HLOOKUP("*"&amp;'Output annual'!$AC$2&amp;'Output annual'!$AD$2&amp;"*Zone People Number Of Occupants [](Hourly)",'Eplus results'!$1:$1048576,ROW(),FALSE)</f>
        <v>0</v>
      </c>
      <c r="AC262" s="580">
        <f>HLOOKUP("*"&amp;'Output annual'!$AC$2&amp;'Output annual'!$AD$2&amp;"*FangerPMV(Hourly)",'Eplus results'!$1:$1048576,ROW(),FALSE)</f>
        <v>0</v>
      </c>
      <c r="AD262" s="580">
        <f t="shared" si="53"/>
        <v>5</v>
      </c>
      <c r="AE262" s="580">
        <f t="shared" si="54"/>
        <v>2.5</v>
      </c>
      <c r="AF262" s="580">
        <f t="shared" si="55"/>
        <v>2.5</v>
      </c>
      <c r="AG262" s="580">
        <f t="shared" si="56"/>
        <v>0</v>
      </c>
      <c r="AH262" s="580">
        <f t="shared" si="57"/>
        <v>0</v>
      </c>
    </row>
    <row r="263" spans="2:34">
      <c r="B263" s="235"/>
      <c r="C263" s="694" t="s">
        <v>524</v>
      </c>
      <c r="D263" s="235"/>
      <c r="E263" s="250"/>
      <c r="F263" s="251"/>
      <c r="G263" s="251"/>
      <c r="H263" s="252"/>
      <c r="I263" s="251"/>
      <c r="J263" s="251"/>
      <c r="K263" s="253" t="s">
        <v>487</v>
      </c>
      <c r="L263" s="254">
        <f>HLOOKUP("TFRP"&amp;perim_zone&amp;"_Ceiling:Surface Int Convection Heat Rate [W](Hourly)",'Eplus results'!1:65536,'graph data'!D4,FALSE)</f>
        <v>605.68557538435095</v>
      </c>
      <c r="M263" s="255"/>
      <c r="N263" s="235"/>
      <c r="O263" s="235"/>
      <c r="P263" s="256" t="s">
        <v>458</v>
      </c>
      <c r="Q263" s="235"/>
      <c r="R263" s="235"/>
      <c r="AB263" s="580">
        <f>HLOOKUP("*"&amp;'Output annual'!$AC$2&amp;'Output annual'!$AD$2&amp;"*Zone People Number Of Occupants [](Hourly)",'Eplus results'!$1:$1048576,ROW(),FALSE)</f>
        <v>0</v>
      </c>
      <c r="AC263" s="580">
        <f>HLOOKUP("*"&amp;'Output annual'!$AC$2&amp;'Output annual'!$AD$2&amp;"*FangerPMV(Hourly)",'Eplus results'!$1:$1048576,ROW(),FALSE)</f>
        <v>0</v>
      </c>
      <c r="AD263" s="580">
        <f t="shared" si="53"/>
        <v>5</v>
      </c>
      <c r="AE263" s="580">
        <f t="shared" si="54"/>
        <v>2.5</v>
      </c>
      <c r="AF263" s="580">
        <f t="shared" si="55"/>
        <v>2.5</v>
      </c>
      <c r="AG263" s="580">
        <f t="shared" si="56"/>
        <v>0</v>
      </c>
      <c r="AH263" s="580">
        <f t="shared" si="57"/>
        <v>0</v>
      </c>
    </row>
    <row r="264" spans="2:34">
      <c r="B264" s="235"/>
      <c r="C264" s="695"/>
      <c r="D264" s="257"/>
      <c r="E264" s="258" t="s">
        <v>512</v>
      </c>
      <c r="F264" s="241"/>
      <c r="G264" s="247" t="s">
        <v>486</v>
      </c>
      <c r="H264" s="242" t="e">
        <f>HLOOKUP("TFRP"&amp;perim_zone&amp;":Zone/Sys Air Temperature[C](Hourly)",'Eplus results'!1:65536,'graph data'!D4, FALSE)</f>
        <v>#N/A</v>
      </c>
      <c r="I264" s="241"/>
      <c r="J264" s="241"/>
      <c r="K264" s="281" t="s">
        <v>529</v>
      </c>
      <c r="L264" s="254">
        <f>HLOOKUP("TFRP"&amp;perim_zone&amp;"_WALL_"&amp;LEFT(perim_zone, 1)&amp;":Surface Int Convection Heat Rate [W](Hourly)",'Eplus results'!1:65536,'graph data'!D4,FALSE)</f>
        <v>189.08751393865899</v>
      </c>
      <c r="M264" s="255" t="s">
        <v>518</v>
      </c>
      <c r="N264" s="255" t="e">
        <f>HLOOKUP("TFRP"&amp;perim_zone&amp;":Zone/Sys Sensible Cooling Rate[W](Hourly)",'Eplus results'!1:65536,'graph data'!D4,FALSE)</f>
        <v>#N/A</v>
      </c>
      <c r="O264" s="260" t="s">
        <v>158</v>
      </c>
      <c r="P264" s="256" t="e">
        <f>N264/(L263+L265+L264)</f>
        <v>#N/A</v>
      </c>
      <c r="Q264" s="235"/>
      <c r="R264" s="235"/>
      <c r="AB264" s="580">
        <f>HLOOKUP("*"&amp;'Output annual'!$AC$2&amp;'Output annual'!$AD$2&amp;"*Zone People Number Of Occupants [](Hourly)",'Eplus results'!$1:$1048576,ROW(),FALSE)</f>
        <v>0</v>
      </c>
      <c r="AC264" s="580">
        <f>HLOOKUP("*"&amp;'Output annual'!$AC$2&amp;'Output annual'!$AD$2&amp;"*FangerPMV(Hourly)",'Eplus results'!$1:$1048576,ROW(),FALSE)</f>
        <v>0</v>
      </c>
      <c r="AD264" s="580">
        <f t="shared" si="53"/>
        <v>5</v>
      </c>
      <c r="AE264" s="580">
        <f t="shared" si="54"/>
        <v>2.5</v>
      </c>
      <c r="AF264" s="580">
        <f t="shared" si="55"/>
        <v>2.5</v>
      </c>
      <c r="AG264" s="580">
        <f t="shared" si="56"/>
        <v>0</v>
      </c>
      <c r="AH264" s="580">
        <f t="shared" si="57"/>
        <v>0</v>
      </c>
    </row>
    <row r="265" spans="2:34">
      <c r="B265" s="235"/>
      <c r="C265" s="695"/>
      <c r="D265" s="257"/>
      <c r="E265" s="258"/>
      <c r="F265" s="241"/>
      <c r="G265" s="241"/>
      <c r="H265" s="242"/>
      <c r="I265" s="241"/>
      <c r="J265" s="241"/>
      <c r="K265" s="259" t="s">
        <v>487</v>
      </c>
      <c r="L265" s="254">
        <f>HLOOKUP("TFRP"&amp;perim_zone&amp;"_Floor:Surface Int Convection Heat Rate [W](Hourly)",'Eplus results'!1:65536,'graph data'!D4,FALSE)</f>
        <v>680.579321176902</v>
      </c>
      <c r="M265" s="255"/>
      <c r="N265" s="255"/>
      <c r="O265" s="260"/>
      <c r="P265" s="256"/>
      <c r="Q265" s="235"/>
      <c r="R265" s="235"/>
      <c r="AB265" s="580">
        <f>HLOOKUP("*"&amp;'Output annual'!$AC$2&amp;'Output annual'!$AD$2&amp;"*Zone People Number Of Occupants [](Hourly)",'Eplus results'!$1:$1048576,ROW(),FALSE)</f>
        <v>0</v>
      </c>
      <c r="AC265" s="580">
        <f>HLOOKUP("*"&amp;'Output annual'!$AC$2&amp;'Output annual'!$AD$2&amp;"*FangerPMV(Hourly)",'Eplus results'!$1:$1048576,ROW(),FALSE)</f>
        <v>0</v>
      </c>
      <c r="AD265" s="580">
        <f t="shared" si="53"/>
        <v>5</v>
      </c>
      <c r="AE265" s="580">
        <f t="shared" si="54"/>
        <v>2.5</v>
      </c>
      <c r="AF265" s="580">
        <f t="shared" si="55"/>
        <v>2.5</v>
      </c>
      <c r="AG265" s="580">
        <f t="shared" si="56"/>
        <v>0</v>
      </c>
      <c r="AH265" s="580">
        <f t="shared" si="57"/>
        <v>0</v>
      </c>
    </row>
    <row r="266" spans="2:34">
      <c r="B266" s="235"/>
      <c r="C266" s="695"/>
      <c r="D266" s="697" t="s">
        <v>521</v>
      </c>
      <c r="E266" s="258"/>
      <c r="F266" s="241"/>
      <c r="G266" s="247" t="s">
        <v>485</v>
      </c>
      <c r="H266" s="242" t="e">
        <f>HLOOKUP("TFRP"&amp;perim_zone&amp;"_FLOOR:Surface Inside Temperature[C](Hourly)",'Eplus results'!1:65536,'graph data'!D4,FALSE)</f>
        <v>#N/A</v>
      </c>
      <c r="I266" s="241"/>
      <c r="J266" s="241"/>
      <c r="K266" s="259"/>
      <c r="L266" s="254"/>
      <c r="M266" s="255"/>
      <c r="N266" s="255"/>
      <c r="O266" s="260"/>
      <c r="P266" s="256"/>
      <c r="Q266" s="235"/>
      <c r="R266" s="235"/>
      <c r="AB266" s="580">
        <f>HLOOKUP("*"&amp;'Output annual'!$AC$2&amp;'Output annual'!$AD$2&amp;"*Zone People Number Of Occupants [](Hourly)",'Eplus results'!$1:$1048576,ROW(),FALSE)</f>
        <v>0</v>
      </c>
      <c r="AC266" s="580">
        <f>HLOOKUP("*"&amp;'Output annual'!$AC$2&amp;'Output annual'!$AD$2&amp;"*FangerPMV(Hourly)",'Eplus results'!$1:$1048576,ROW(),FALSE)</f>
        <v>0</v>
      </c>
      <c r="AD266" s="580">
        <f t="shared" si="53"/>
        <v>5</v>
      </c>
      <c r="AE266" s="580">
        <f t="shared" si="54"/>
        <v>2.5</v>
      </c>
      <c r="AF266" s="580">
        <f t="shared" si="55"/>
        <v>2.5</v>
      </c>
      <c r="AG266" s="580">
        <f t="shared" si="56"/>
        <v>0</v>
      </c>
      <c r="AH266" s="580">
        <f t="shared" si="57"/>
        <v>0</v>
      </c>
    </row>
    <row r="267" spans="2:34">
      <c r="B267" s="235"/>
      <c r="C267" s="695"/>
      <c r="D267" s="697"/>
      <c r="E267" s="258"/>
      <c r="F267" s="241"/>
      <c r="G267" s="247" t="s">
        <v>485</v>
      </c>
      <c r="H267" s="242" t="e">
        <f>HLOOKUP("TFRP"&amp;perim_zone&amp;"_FLOOR:Surface Outside Temperature[C](Hourly)",'Eplus results'!1:65536,'graph data'!D4,FALSE)</f>
        <v>#N/A</v>
      </c>
      <c r="I267" s="241"/>
      <c r="J267" s="241"/>
      <c r="K267" s="259"/>
      <c r="L267" s="254"/>
      <c r="M267" s="255"/>
      <c r="N267" s="255"/>
      <c r="O267" s="260"/>
      <c r="P267" s="256"/>
      <c r="Q267" s="235"/>
      <c r="R267" s="235"/>
      <c r="AB267" s="580">
        <f>HLOOKUP("*"&amp;'Output annual'!$AC$2&amp;'Output annual'!$AD$2&amp;"*Zone People Number Of Occupants [](Hourly)",'Eplus results'!$1:$1048576,ROW(),FALSE)</f>
        <v>0</v>
      </c>
      <c r="AC267" s="580">
        <f>HLOOKUP("*"&amp;'Output annual'!$AC$2&amp;'Output annual'!$AD$2&amp;"*FangerPMV(Hourly)",'Eplus results'!$1:$1048576,ROW(),FALSE)</f>
        <v>0</v>
      </c>
      <c r="AD267" s="580">
        <f t="shared" si="53"/>
        <v>5</v>
      </c>
      <c r="AE267" s="580">
        <f t="shared" si="54"/>
        <v>2.5</v>
      </c>
      <c r="AF267" s="580">
        <f t="shared" si="55"/>
        <v>2.5</v>
      </c>
      <c r="AG267" s="580">
        <f t="shared" si="56"/>
        <v>0</v>
      </c>
      <c r="AH267" s="580">
        <f t="shared" si="57"/>
        <v>0</v>
      </c>
    </row>
    <row r="268" spans="2:34">
      <c r="B268" s="235"/>
      <c r="C268" s="695"/>
      <c r="D268" s="698" t="s">
        <v>522</v>
      </c>
      <c r="E268" s="258"/>
      <c r="F268" s="241"/>
      <c r="G268" s="241"/>
      <c r="H268" s="242"/>
      <c r="I268" s="241"/>
      <c r="J268" s="241"/>
      <c r="K268" s="259" t="s">
        <v>487</v>
      </c>
      <c r="L268" s="254">
        <f>HLOOKUP("TF"&amp;perim_zone&amp;"_Ceiling:Surface Int Convection Heat Rate [W](Hourly)",'Eplus results'!1:65536,'graph data'!D4,FALSE)</f>
        <v>424.016257541578</v>
      </c>
      <c r="M268" s="255"/>
      <c r="N268" s="255"/>
      <c r="O268" s="260"/>
      <c r="P268" s="256"/>
      <c r="Q268" s="235"/>
      <c r="R268" s="235"/>
      <c r="AB268" s="580">
        <f>HLOOKUP("*"&amp;'Output annual'!$AC$2&amp;'Output annual'!$AD$2&amp;"*Zone People Number Of Occupants [](Hourly)",'Eplus results'!$1:$1048576,ROW(),FALSE)</f>
        <v>0</v>
      </c>
      <c r="AC268" s="580">
        <f>HLOOKUP("*"&amp;'Output annual'!$AC$2&amp;'Output annual'!$AD$2&amp;"*FangerPMV(Hourly)",'Eplus results'!$1:$1048576,ROW(),FALSE)</f>
        <v>0</v>
      </c>
      <c r="AD268" s="580">
        <f t="shared" si="53"/>
        <v>5</v>
      </c>
      <c r="AE268" s="580">
        <f t="shared" si="54"/>
        <v>2.5</v>
      </c>
      <c r="AF268" s="580">
        <f t="shared" si="55"/>
        <v>2.5</v>
      </c>
      <c r="AG268" s="580">
        <f t="shared" si="56"/>
        <v>0</v>
      </c>
      <c r="AH268" s="580">
        <f t="shared" si="57"/>
        <v>0</v>
      </c>
    </row>
    <row r="269" spans="2:34">
      <c r="B269" s="235"/>
      <c r="C269" s="695"/>
      <c r="D269" s="698"/>
      <c r="E269" s="258" t="s">
        <v>511</v>
      </c>
      <c r="F269" s="241"/>
      <c r="G269" s="247" t="s">
        <v>486</v>
      </c>
      <c r="H269" s="242" t="e">
        <f>HLOOKUP("TF"&amp;perim_zone&amp;":UF Mixed Subzone Temperature[C](Hourly)",'Eplus results'!1:65536,'graph data'!D4, FALSE)</f>
        <v>#N/A</v>
      </c>
      <c r="I269" s="241"/>
      <c r="J269" s="241"/>
      <c r="K269" s="259"/>
      <c r="L269" s="254"/>
      <c r="M269" s="255"/>
      <c r="N269" s="255"/>
      <c r="O269" s="260"/>
      <c r="P269" s="256"/>
      <c r="Q269" s="235"/>
      <c r="R269" s="235"/>
      <c r="AB269" s="580">
        <f>HLOOKUP("*"&amp;'Output annual'!$AC$2&amp;'Output annual'!$AD$2&amp;"*Zone People Number Of Occupants [](Hourly)",'Eplus results'!$1:$1048576,ROW(),FALSE)</f>
        <v>0</v>
      </c>
      <c r="AC269" s="580">
        <f>HLOOKUP("*"&amp;'Output annual'!$AC$2&amp;'Output annual'!$AD$2&amp;"*FangerPMV(Hourly)",'Eplus results'!$1:$1048576,ROW(),FALSE)</f>
        <v>0</v>
      </c>
      <c r="AD269" s="580">
        <f t="shared" si="53"/>
        <v>5</v>
      </c>
      <c r="AE269" s="580">
        <f t="shared" si="54"/>
        <v>2.5</v>
      </c>
      <c r="AF269" s="580">
        <f t="shared" si="55"/>
        <v>2.5</v>
      </c>
      <c r="AG269" s="580">
        <f t="shared" si="56"/>
        <v>0</v>
      </c>
      <c r="AH269" s="580">
        <f t="shared" si="57"/>
        <v>0</v>
      </c>
    </row>
    <row r="270" spans="2:34">
      <c r="B270" s="235"/>
      <c r="C270" s="695"/>
      <c r="D270" s="698"/>
      <c r="E270" s="258"/>
      <c r="F270" s="241"/>
      <c r="G270" s="241"/>
      <c r="H270" s="242"/>
      <c r="I270" s="241"/>
      <c r="J270" s="241"/>
      <c r="K270" s="259"/>
      <c r="L270" s="254"/>
      <c r="M270" s="255"/>
      <c r="N270" s="255"/>
      <c r="O270" s="260"/>
      <c r="P270" s="256" t="s">
        <v>458</v>
      </c>
      <c r="Q270" s="235"/>
      <c r="R270" s="235"/>
      <c r="AB270" s="580">
        <f>HLOOKUP("*"&amp;'Output annual'!$AC$2&amp;'Output annual'!$AD$2&amp;"*Zone People Number Of Occupants [](Hourly)",'Eplus results'!$1:$1048576,ROW(),FALSE)</f>
        <v>0</v>
      </c>
      <c r="AC270" s="580">
        <f>HLOOKUP("*"&amp;'Output annual'!$AC$2&amp;'Output annual'!$AD$2&amp;"*FangerPMV(Hourly)",'Eplus results'!$1:$1048576,ROW(),FALSE)</f>
        <v>0</v>
      </c>
      <c r="AD270" s="580">
        <f t="shared" si="53"/>
        <v>5</v>
      </c>
      <c r="AE270" s="580">
        <f t="shared" si="54"/>
        <v>2.5</v>
      </c>
      <c r="AF270" s="580">
        <f t="shared" si="55"/>
        <v>2.5</v>
      </c>
      <c r="AG270" s="580">
        <f t="shared" si="56"/>
        <v>0</v>
      </c>
      <c r="AH270" s="580">
        <f t="shared" si="57"/>
        <v>0</v>
      </c>
    </row>
    <row r="271" spans="2:34">
      <c r="B271" s="235"/>
      <c r="C271" s="695"/>
      <c r="D271" s="698"/>
      <c r="E271" s="258"/>
      <c r="F271" s="241"/>
      <c r="G271" s="241"/>
      <c r="H271" s="242"/>
      <c r="I271" s="241"/>
      <c r="J271" s="241"/>
      <c r="K271" s="259"/>
      <c r="L271" s="254"/>
      <c r="M271" s="255" t="s">
        <v>519</v>
      </c>
      <c r="N271" s="255" t="e">
        <f>HLOOKUP("TF"&amp;perim_zone&amp;":Zone/Sys Sensible Cooling Rate[W](Hourly)",'Eplus results'!1:65536,'graph data'!D4,FALSE)</f>
        <v>#N/A</v>
      </c>
      <c r="O271" s="260" t="s">
        <v>158</v>
      </c>
      <c r="P271" s="256" t="e">
        <f>N271/(N273+N274+L273)</f>
        <v>#N/A</v>
      </c>
      <c r="Q271" s="235"/>
      <c r="R271" s="235"/>
      <c r="AB271" s="580">
        <f>HLOOKUP("*"&amp;'Output annual'!$AC$2&amp;'Output annual'!$AD$2&amp;"*Zone People Number Of Occupants [](Hourly)",'Eplus results'!$1:$1048576,ROW(),FALSE)</f>
        <v>0</v>
      </c>
      <c r="AC271" s="580">
        <f>HLOOKUP("*"&amp;'Output annual'!$AC$2&amp;'Output annual'!$AD$2&amp;"*FangerPMV(Hourly)",'Eplus results'!$1:$1048576,ROW(),FALSE)</f>
        <v>0</v>
      </c>
      <c r="AD271" s="580">
        <f t="shared" si="53"/>
        <v>5</v>
      </c>
      <c r="AE271" s="580">
        <f t="shared" si="54"/>
        <v>2.5</v>
      </c>
      <c r="AF271" s="580">
        <f t="shared" si="55"/>
        <v>2.5</v>
      </c>
      <c r="AG271" s="580">
        <f t="shared" si="56"/>
        <v>0</v>
      </c>
      <c r="AH271" s="580">
        <f t="shared" si="57"/>
        <v>0</v>
      </c>
    </row>
    <row r="272" spans="2:34">
      <c r="B272" s="235"/>
      <c r="C272" s="695"/>
      <c r="D272" s="698"/>
      <c r="E272" s="258"/>
      <c r="F272" s="241"/>
      <c r="G272" s="241"/>
      <c r="H272" s="242"/>
      <c r="I272" s="241"/>
      <c r="J272" s="241"/>
      <c r="K272" s="259"/>
      <c r="L272" s="254"/>
      <c r="M272" s="255"/>
      <c r="N272" s="255"/>
      <c r="O272" s="260"/>
      <c r="P272" s="256"/>
      <c r="Q272" s="235"/>
      <c r="R272" s="235"/>
      <c r="AB272" s="580">
        <f>HLOOKUP("*"&amp;'Output annual'!$AC$2&amp;'Output annual'!$AD$2&amp;"*Zone People Number Of Occupants [](Hourly)",'Eplus results'!$1:$1048576,ROW(),FALSE)</f>
        <v>0</v>
      </c>
      <c r="AC272" s="580">
        <f>HLOOKUP("*"&amp;'Output annual'!$AC$2&amp;'Output annual'!$AD$2&amp;"*FangerPMV(Hourly)",'Eplus results'!$1:$1048576,ROW(),FALSE)</f>
        <v>0</v>
      </c>
      <c r="AD272" s="580">
        <f t="shared" si="53"/>
        <v>5</v>
      </c>
      <c r="AE272" s="580">
        <f t="shared" si="54"/>
        <v>2.5</v>
      </c>
      <c r="AF272" s="580">
        <f t="shared" si="55"/>
        <v>2.5</v>
      </c>
      <c r="AG272" s="580">
        <f t="shared" si="56"/>
        <v>0</v>
      </c>
      <c r="AH272" s="580">
        <f t="shared" si="57"/>
        <v>0</v>
      </c>
    </row>
    <row r="273" spans="2:34">
      <c r="B273" s="235"/>
      <c r="C273" s="695"/>
      <c r="D273" s="698"/>
      <c r="E273" s="258" t="s">
        <v>510</v>
      </c>
      <c r="F273" s="241"/>
      <c r="G273" s="247" t="s">
        <v>486</v>
      </c>
      <c r="H273" s="242" t="e">
        <f>IF(RunType="OH",HLOOKUP("TF"&amp;perim_zone&amp;":Zone/Sys Air Temperature[C](Hourly)",'Eplus results'!1:65536,'graph data'!D4, FALSE), HLOOKUP("TF"&amp;perim_zone&amp;":UF Occupied Subzone Temperature[C](Hourly)",'Eplus results'!1:65536,'graph data'!D4, FALSE))</f>
        <v>#N/A</v>
      </c>
      <c r="I273" s="241"/>
      <c r="J273" s="241"/>
      <c r="K273" s="281" t="s">
        <v>529</v>
      </c>
      <c r="L273" s="282">
        <f>HLOOKUP("TF"&amp;perim_zone&amp;"_WALL_"&amp;LEFT(perim_zone, 1)&amp;":Surface Int Convection Heat Rate [W](Hourly)",'Eplus results'!1:65536,'graph data'!D4,FALSE)</f>
        <v>340.81116084368102</v>
      </c>
      <c r="M273" s="255" t="s">
        <v>459</v>
      </c>
      <c r="N273" s="255">
        <f>(HLOOKUP("TF"&amp;perim_zone&amp;":Zone Total Internal Convective Heat Gain [J](Hourly)",'Eplus results'!1:65536,'graph data'!D4,FALSE)/3600)</f>
        <v>1930.7609296206861</v>
      </c>
      <c r="O273" s="260"/>
      <c r="P273" s="256"/>
      <c r="Q273" s="235"/>
      <c r="R273" s="235"/>
      <c r="AB273" s="580">
        <f>HLOOKUP("*"&amp;'Output annual'!$AC$2&amp;'Output annual'!$AD$2&amp;"*Zone People Number Of Occupants [](Hourly)",'Eplus results'!$1:$1048576,ROW(),FALSE)</f>
        <v>0</v>
      </c>
      <c r="AC273" s="580">
        <f>HLOOKUP("*"&amp;'Output annual'!$AC$2&amp;'Output annual'!$AD$2&amp;"*FangerPMV(Hourly)",'Eplus results'!$1:$1048576,ROW(),FALSE)</f>
        <v>0</v>
      </c>
      <c r="AD273" s="580">
        <f t="shared" si="53"/>
        <v>5</v>
      </c>
      <c r="AE273" s="580">
        <f t="shared" si="54"/>
        <v>2.5</v>
      </c>
      <c r="AF273" s="580">
        <f t="shared" si="55"/>
        <v>2.5</v>
      </c>
      <c r="AG273" s="580">
        <f t="shared" si="56"/>
        <v>0</v>
      </c>
      <c r="AH273" s="580">
        <f t="shared" si="57"/>
        <v>0</v>
      </c>
    </row>
    <row r="274" spans="2:34">
      <c r="B274" s="235"/>
      <c r="C274" s="695"/>
      <c r="D274" s="698"/>
      <c r="E274" s="258"/>
      <c r="F274" s="241"/>
      <c r="G274" s="241"/>
      <c r="H274" s="242"/>
      <c r="I274" s="241"/>
      <c r="J274" s="241"/>
      <c r="K274" s="259"/>
      <c r="L274" s="254"/>
      <c r="M274" s="255" t="s">
        <v>460</v>
      </c>
      <c r="N274" s="255">
        <f>HLOOKUP("TF"&amp;perim_zone&amp;":Zone Window Heat Gain[W](Hourly)",'Eplus results'!1:65536,'graph data'!D4,FALSE)</f>
        <v>8217.0771178430896</v>
      </c>
      <c r="O274" s="260"/>
      <c r="P274" s="256"/>
      <c r="Q274" s="235"/>
      <c r="R274" s="235"/>
      <c r="AB274" s="580">
        <f>HLOOKUP("*"&amp;'Output annual'!$AC$2&amp;'Output annual'!$AD$2&amp;"*Zone People Number Of Occupants [](Hourly)",'Eplus results'!$1:$1048576,ROW(),FALSE)</f>
        <v>0</v>
      </c>
      <c r="AC274" s="580">
        <f>HLOOKUP("*"&amp;'Output annual'!$AC$2&amp;'Output annual'!$AD$2&amp;"*FangerPMV(Hourly)",'Eplus results'!$1:$1048576,ROW(),FALSE)</f>
        <v>0</v>
      </c>
      <c r="AD274" s="580">
        <f t="shared" si="53"/>
        <v>5</v>
      </c>
      <c r="AE274" s="580">
        <f t="shared" si="54"/>
        <v>2.5</v>
      </c>
      <c r="AF274" s="580">
        <f t="shared" si="55"/>
        <v>2.5</v>
      </c>
      <c r="AG274" s="580">
        <f t="shared" si="56"/>
        <v>0</v>
      </c>
      <c r="AH274" s="580">
        <f t="shared" si="57"/>
        <v>0</v>
      </c>
    </row>
    <row r="275" spans="2:34">
      <c r="B275" s="235"/>
      <c r="C275" s="695"/>
      <c r="D275" s="698"/>
      <c r="E275" s="258"/>
      <c r="F275" s="241"/>
      <c r="G275" s="241"/>
      <c r="H275" s="242"/>
      <c r="I275" s="241"/>
      <c r="J275" s="241"/>
      <c r="K275" s="259" t="s">
        <v>487</v>
      </c>
      <c r="L275" s="254">
        <f>HLOOKUP("TF"&amp;perim_zone&amp;"_Floor:Surface Int Convection Heat Rate [W](Hourly)",'Eplus results'!1:65536,'graph data'!D4,FALSE)</f>
        <v>266.55848778679899</v>
      </c>
      <c r="M275" s="255"/>
      <c r="N275" s="255"/>
      <c r="O275" s="260"/>
      <c r="P275" s="256"/>
      <c r="Q275" s="235"/>
      <c r="R275" s="235"/>
      <c r="AB275" s="580">
        <f>HLOOKUP("*"&amp;'Output annual'!$AC$2&amp;'Output annual'!$AD$2&amp;"*Zone People Number Of Occupants [](Hourly)",'Eplus results'!$1:$1048576,ROW(),FALSE)</f>
        <v>0</v>
      </c>
      <c r="AC275" s="580">
        <f>HLOOKUP("*"&amp;'Output annual'!$AC$2&amp;'Output annual'!$AD$2&amp;"*FangerPMV(Hourly)",'Eplus results'!$1:$1048576,ROW(),FALSE)</f>
        <v>0</v>
      </c>
      <c r="AD275" s="580">
        <f t="shared" si="53"/>
        <v>5</v>
      </c>
      <c r="AE275" s="580">
        <f t="shared" si="54"/>
        <v>2.5</v>
      </c>
      <c r="AF275" s="580">
        <f t="shared" si="55"/>
        <v>2.5</v>
      </c>
      <c r="AG275" s="580">
        <f t="shared" si="56"/>
        <v>0</v>
      </c>
      <c r="AH275" s="580">
        <f t="shared" si="57"/>
        <v>0</v>
      </c>
    </row>
    <row r="276" spans="2:34">
      <c r="B276" s="235"/>
      <c r="C276" s="695"/>
      <c r="D276" s="697" t="s">
        <v>523</v>
      </c>
      <c r="E276" s="258"/>
      <c r="F276" s="241"/>
      <c r="G276" s="247" t="s">
        <v>485</v>
      </c>
      <c r="H276" s="242" t="e">
        <f>HLOOKUP("TFSP"&amp;perim_zone&amp;"_CEILING:Surface Outside Temperature[C](Hourly)",'Eplus results'!1:65536,'graph data'!D4,FALSE)</f>
        <v>#N/A</v>
      </c>
      <c r="I276" s="241"/>
      <c r="J276" s="241"/>
      <c r="K276" s="259"/>
      <c r="L276" s="254"/>
      <c r="M276" s="255"/>
      <c r="N276" s="255"/>
      <c r="O276" s="260"/>
      <c r="P276" s="256"/>
      <c r="Q276" s="235"/>
      <c r="R276" s="235"/>
      <c r="AB276" s="580">
        <f>HLOOKUP("*"&amp;'Output annual'!$AC$2&amp;'Output annual'!$AD$2&amp;"*Zone People Number Of Occupants [](Hourly)",'Eplus results'!$1:$1048576,ROW(),FALSE)</f>
        <v>0</v>
      </c>
      <c r="AC276" s="580">
        <f>HLOOKUP("*"&amp;'Output annual'!$AC$2&amp;'Output annual'!$AD$2&amp;"*FangerPMV(Hourly)",'Eplus results'!$1:$1048576,ROW(),FALSE)</f>
        <v>0</v>
      </c>
      <c r="AD276" s="580">
        <f t="shared" si="53"/>
        <v>5</v>
      </c>
      <c r="AE276" s="580">
        <f t="shared" si="54"/>
        <v>2.5</v>
      </c>
      <c r="AF276" s="580">
        <f t="shared" si="55"/>
        <v>2.5</v>
      </c>
      <c r="AG276" s="580">
        <f t="shared" si="56"/>
        <v>0</v>
      </c>
      <c r="AH276" s="580">
        <f t="shared" si="57"/>
        <v>0</v>
      </c>
    </row>
    <row r="277" spans="2:34">
      <c r="B277" s="235"/>
      <c r="C277" s="695"/>
      <c r="D277" s="697"/>
      <c r="E277" s="258"/>
      <c r="F277" s="241"/>
      <c r="G277" s="247" t="s">
        <v>485</v>
      </c>
      <c r="H277" s="242" t="e">
        <f>HLOOKUP("TFSP"&amp;perim_zone&amp;"_CEILING:Surface Inside Temperature[C](Hourly)",'Eplus results'!1:65536,'graph data'!D4,FALSE)</f>
        <v>#N/A</v>
      </c>
      <c r="I277" s="241"/>
      <c r="J277" s="241"/>
      <c r="K277" s="259"/>
      <c r="L277" s="254"/>
      <c r="M277" s="255"/>
      <c r="N277" s="255"/>
      <c r="O277" s="260"/>
      <c r="P277" s="256"/>
      <c r="Q277" s="235"/>
      <c r="R277" s="235"/>
      <c r="AB277" s="580">
        <f>HLOOKUP("*"&amp;'Output annual'!$AC$2&amp;'Output annual'!$AD$2&amp;"*Zone People Number Of Occupants [](Hourly)",'Eplus results'!$1:$1048576,ROW(),FALSE)</f>
        <v>0</v>
      </c>
      <c r="AC277" s="580">
        <f>HLOOKUP("*"&amp;'Output annual'!$AC$2&amp;'Output annual'!$AD$2&amp;"*FangerPMV(Hourly)",'Eplus results'!$1:$1048576,ROW(),FALSE)</f>
        <v>0</v>
      </c>
      <c r="AD277" s="580">
        <f t="shared" si="53"/>
        <v>5</v>
      </c>
      <c r="AE277" s="580">
        <f t="shared" si="54"/>
        <v>2.5</v>
      </c>
      <c r="AF277" s="580">
        <f t="shared" si="55"/>
        <v>2.5</v>
      </c>
      <c r="AG277" s="580">
        <f t="shared" si="56"/>
        <v>0</v>
      </c>
      <c r="AH277" s="580">
        <f t="shared" si="57"/>
        <v>0</v>
      </c>
    </row>
    <row r="278" spans="2:34">
      <c r="B278" s="235"/>
      <c r="C278" s="695"/>
      <c r="D278" s="235"/>
      <c r="E278" s="258"/>
      <c r="F278" s="241"/>
      <c r="G278" s="241"/>
      <c r="H278" s="242"/>
      <c r="I278" s="241"/>
      <c r="J278" s="241"/>
      <c r="K278" s="259" t="s">
        <v>487</v>
      </c>
      <c r="L278" s="254">
        <f>HLOOKUP("TFSP"&amp;perim_zone&amp;"_Ceiling:Surface Int Convection Heat Rate [W](Hourly)",'Eplus results'!1:65536,'graph data'!D4,FALSE)</f>
        <v>1422.9539079106301</v>
      </c>
      <c r="M278" s="255"/>
      <c r="N278" s="255"/>
      <c r="O278" s="260"/>
      <c r="P278" s="256" t="s">
        <v>458</v>
      </c>
      <c r="Q278" s="235"/>
      <c r="R278" s="235"/>
      <c r="AB278" s="580">
        <f>HLOOKUP("*"&amp;'Output annual'!$AC$2&amp;'Output annual'!$AD$2&amp;"*Zone People Number Of Occupants [](Hourly)",'Eplus results'!$1:$1048576,ROW(),FALSE)</f>
        <v>0</v>
      </c>
      <c r="AC278" s="580">
        <f>HLOOKUP("*"&amp;'Output annual'!$AC$2&amp;'Output annual'!$AD$2&amp;"*FangerPMV(Hourly)",'Eplus results'!$1:$1048576,ROW(),FALSE)</f>
        <v>0</v>
      </c>
      <c r="AD278" s="580">
        <f t="shared" si="53"/>
        <v>5</v>
      </c>
      <c r="AE278" s="580">
        <f t="shared" si="54"/>
        <v>2.5</v>
      </c>
      <c r="AF278" s="580">
        <f t="shared" si="55"/>
        <v>2.5</v>
      </c>
      <c r="AG278" s="580">
        <f t="shared" si="56"/>
        <v>0</v>
      </c>
      <c r="AH278" s="580">
        <f t="shared" si="57"/>
        <v>0</v>
      </c>
    </row>
    <row r="279" spans="2:34">
      <c r="B279" s="235"/>
      <c r="C279" s="695"/>
      <c r="D279" s="257"/>
      <c r="E279" s="258" t="s">
        <v>3</v>
      </c>
      <c r="F279" s="241"/>
      <c r="G279" s="247" t="s">
        <v>486</v>
      </c>
      <c r="H279" s="242" t="e">
        <f>HLOOKUP("TFSP"&amp;perim_zone&amp;":Zone/Sys Air Temperature[C](Hourly)",'Eplus results'!1:65536,'graph data'!D4, FALSE)</f>
        <v>#N/A</v>
      </c>
      <c r="I279" s="241"/>
      <c r="J279" s="241"/>
      <c r="K279" s="281" t="s">
        <v>529</v>
      </c>
      <c r="L279" s="254">
        <f>HLOOKUP("TFSP"&amp;perim_zone&amp;"_WALL_"&amp;LEFT(perim_zone, 1)&amp;":Surface Int Convection Heat Rate [W](Hourly)",'Eplus results'!1:65536,'graph data'!D4,FALSE)</f>
        <v>107.620466629183</v>
      </c>
      <c r="M279" s="255" t="s">
        <v>520</v>
      </c>
      <c r="N279" s="255" t="e">
        <f>HLOOKUP("TFSP"&amp;perim_zone&amp;":Zone/Sys Sensible Cooling Rate[W](Hourly)",'Eplus results'!1:65536,'graph data'!D4,FALSE)</f>
        <v>#N/A</v>
      </c>
      <c r="O279" s="260" t="s">
        <v>158</v>
      </c>
      <c r="P279" s="256" t="e">
        <f>N279/(L278+L280+L279)</f>
        <v>#N/A</v>
      </c>
      <c r="Q279" s="235"/>
      <c r="R279" s="235"/>
      <c r="AB279" s="580">
        <f>HLOOKUP("*"&amp;'Output annual'!$AC$2&amp;'Output annual'!$AD$2&amp;"*Zone People Number Of Occupants [](Hourly)",'Eplus results'!$1:$1048576,ROW(),FALSE)</f>
        <v>0</v>
      </c>
      <c r="AC279" s="580">
        <f>HLOOKUP("*"&amp;'Output annual'!$AC$2&amp;'Output annual'!$AD$2&amp;"*FangerPMV(Hourly)",'Eplus results'!$1:$1048576,ROW(),FALSE)</f>
        <v>0</v>
      </c>
      <c r="AD279" s="580">
        <f t="shared" si="53"/>
        <v>5</v>
      </c>
      <c r="AE279" s="580">
        <f t="shared" si="54"/>
        <v>2.5</v>
      </c>
      <c r="AF279" s="580">
        <f t="shared" si="55"/>
        <v>2.5</v>
      </c>
      <c r="AG279" s="580">
        <f t="shared" si="56"/>
        <v>0</v>
      </c>
      <c r="AH279" s="580">
        <f t="shared" si="57"/>
        <v>0</v>
      </c>
    </row>
    <row r="280" spans="2:34" ht="13.5" thickBot="1">
      <c r="B280" s="235"/>
      <c r="C280" s="696"/>
      <c r="D280" s="261"/>
      <c r="E280" s="262"/>
      <c r="F280" s="263"/>
      <c r="G280" s="263"/>
      <c r="H280" s="264"/>
      <c r="I280" s="263"/>
      <c r="J280" s="263"/>
      <c r="K280" s="265" t="s">
        <v>487</v>
      </c>
      <c r="L280" s="254">
        <f>IF(RunType="OH",HLOOKUP("TF"&amp;perim_zone&amp;"_FLOOR:Surface Int Convection Heat Rate [W](Hourly)",'Eplus results'!1:65536,'graph data'!D4, FALSE), HLOOKUP("TFSP"&amp;perim_zone&amp;"_Floor:Surface Int Convection Heat Rate [W](Hourly)",'Eplus results'!1:65536,'graph data'!D4,FALSE))</f>
        <v>1295.3737187537099</v>
      </c>
      <c r="M280" s="255"/>
      <c r="N280" s="255"/>
      <c r="O280" s="235"/>
      <c r="P280" s="256"/>
      <c r="Q280" s="235"/>
      <c r="R280" s="235"/>
      <c r="AB280" s="580">
        <f>HLOOKUP("*"&amp;'Output annual'!$AC$2&amp;'Output annual'!$AD$2&amp;"*Zone People Number Of Occupants [](Hourly)",'Eplus results'!$1:$1048576,ROW(),FALSE)</f>
        <v>0</v>
      </c>
      <c r="AC280" s="580">
        <f>HLOOKUP("*"&amp;'Output annual'!$AC$2&amp;'Output annual'!$AD$2&amp;"*FangerPMV(Hourly)",'Eplus results'!$1:$1048576,ROW(),FALSE)</f>
        <v>0</v>
      </c>
      <c r="AD280" s="580">
        <f t="shared" si="53"/>
        <v>5</v>
      </c>
      <c r="AE280" s="580">
        <f t="shared" si="54"/>
        <v>2.5</v>
      </c>
      <c r="AF280" s="580">
        <f t="shared" si="55"/>
        <v>2.5</v>
      </c>
      <c r="AG280" s="580">
        <f t="shared" si="56"/>
        <v>0</v>
      </c>
      <c r="AH280" s="580">
        <f t="shared" si="57"/>
        <v>0</v>
      </c>
    </row>
    <row r="281" spans="2:34">
      <c r="B281" s="235"/>
      <c r="C281" s="266"/>
      <c r="D281" s="267"/>
      <c r="E281" s="268"/>
      <c r="F281" s="241"/>
      <c r="G281" s="247" t="s">
        <v>485</v>
      </c>
      <c r="H281" s="242" t="e">
        <f>IF(RunType="OH",HLOOKUP("TF"&amp;perim_zone&amp;"_FLOOR:Surface Inside Temperature[C](Hourly)",'Eplus results'!1:65536,'graph data'!D4, FALSE), HLOOKUP("TFSP"&amp;perim_zone&amp;"_FLOOR:Surface Inside Temperature[C](Hourly)",'Eplus results'!1:65536,'graph data'!D4,FALSE))</f>
        <v>#N/A</v>
      </c>
      <c r="I281" s="241"/>
      <c r="J281" s="241"/>
      <c r="K281" s="241" t="s">
        <v>530</v>
      </c>
      <c r="L281" s="269" t="e">
        <f>IF(RunType="OH",HLOOKUP("TF"&amp;perim_zone&amp;"_FLOOR:Opaque Surface Inside Face Conduction[W](Hourly)",'Eplus results'!$1:$1048576,'graph data'!D4, FALSE)*2, HLOOKUP("TFSP"&amp;perim_zone&amp;"_Floor:Opaque Surface Inside Face Conduction[W](Hourly)",'Eplus results'!1:65536,'graph data'!D4,FALSE)*2)</f>
        <v>#N/A</v>
      </c>
      <c r="M281" s="270"/>
      <c r="N281" s="255"/>
      <c r="O281" s="235"/>
      <c r="P281" s="256"/>
      <c r="Q281" s="235"/>
      <c r="R281" s="235"/>
      <c r="AB281" s="580">
        <f>HLOOKUP("*"&amp;'Output annual'!$AC$2&amp;'Output annual'!$AD$2&amp;"*Zone People Number Of Occupants [](Hourly)",'Eplus results'!$1:$1048576,ROW(),FALSE)</f>
        <v>0</v>
      </c>
      <c r="AC281" s="580">
        <f>HLOOKUP("*"&amp;'Output annual'!$AC$2&amp;'Output annual'!$AD$2&amp;"*FangerPMV(Hourly)",'Eplus results'!$1:$1048576,ROW(),FALSE)</f>
        <v>0</v>
      </c>
      <c r="AD281" s="580">
        <f t="shared" si="53"/>
        <v>5</v>
      </c>
      <c r="AE281" s="580">
        <f t="shared" si="54"/>
        <v>2.5</v>
      </c>
      <c r="AF281" s="580">
        <f t="shared" si="55"/>
        <v>2.5</v>
      </c>
      <c r="AG281" s="580">
        <f t="shared" si="56"/>
        <v>0</v>
      </c>
      <c r="AH281" s="580">
        <f t="shared" si="57"/>
        <v>0</v>
      </c>
    </row>
    <row r="282" spans="2:34">
      <c r="B282" s="235"/>
      <c r="C282" s="235" t="s">
        <v>515</v>
      </c>
      <c r="D282" s="247"/>
      <c r="E282" s="268"/>
      <c r="F282" s="241"/>
      <c r="G282" s="241"/>
      <c r="H282" s="242"/>
      <c r="I282" s="241"/>
      <c r="J282" s="241"/>
      <c r="K282" s="241"/>
      <c r="L282" s="243"/>
      <c r="M282" s="244"/>
      <c r="N282" s="255"/>
      <c r="O282" s="235"/>
      <c r="P282" s="256"/>
      <c r="Q282" s="235"/>
      <c r="R282" s="235"/>
      <c r="AB282" s="580">
        <f>HLOOKUP("*"&amp;'Output annual'!$AC$2&amp;'Output annual'!$AD$2&amp;"*Zone People Number Of Occupants [](Hourly)",'Eplus results'!$1:$1048576,ROW(),FALSE)</f>
        <v>0</v>
      </c>
      <c r="AC282" s="580">
        <f>HLOOKUP("*"&amp;'Output annual'!$AC$2&amp;'Output annual'!$AD$2&amp;"*FangerPMV(Hourly)",'Eplus results'!$1:$1048576,ROW(),FALSE)</f>
        <v>0</v>
      </c>
      <c r="AD282" s="580">
        <f t="shared" si="53"/>
        <v>5</v>
      </c>
      <c r="AE282" s="580">
        <f t="shared" si="54"/>
        <v>2.5</v>
      </c>
      <c r="AF282" s="580">
        <f t="shared" si="55"/>
        <v>2.5</v>
      </c>
      <c r="AG282" s="580">
        <f t="shared" si="56"/>
        <v>0</v>
      </c>
      <c r="AH282" s="580">
        <f t="shared" si="57"/>
        <v>0</v>
      </c>
    </row>
    <row r="283" spans="2:34" ht="13.5" thickBot="1">
      <c r="B283" s="235"/>
      <c r="C283" s="245"/>
      <c r="D283" s="271"/>
      <c r="E283" s="268"/>
      <c r="F283" s="241"/>
      <c r="G283" s="247" t="s">
        <v>485</v>
      </c>
      <c r="H283" s="242" t="e">
        <f>IF(RunType="OH",HLOOKUP("TF"&amp;perim_zone&amp;"_FLOOR:Surface Outside Temperature[C](Hourly)",'Eplus results'!1:65536,'graph data'!D4, FALSE), HLOOKUP("TFSP"&amp;perim_zone&amp;"_FLOOR:Surface Outside Temperature[C](Hourly)",'Eplus results'!1:65536,'graph data'!D4,FALSE))</f>
        <v>#N/A</v>
      </c>
      <c r="I283" s="241"/>
      <c r="J283" s="241"/>
      <c r="K283" s="241" t="s">
        <v>530</v>
      </c>
      <c r="L283" s="248" t="e">
        <f>HLOOKUP("MFRP"&amp;perim_zone&amp;"_CEILING:Opaque Surface Inside Face Conduction[W](Hourly)",'Eplus results'!1:65536,'graph data'!D4,FALSE)</f>
        <v>#N/A</v>
      </c>
      <c r="M283" s="249"/>
      <c r="N283" s="255"/>
      <c r="O283" s="235"/>
      <c r="P283" s="256"/>
      <c r="Q283" s="235"/>
      <c r="R283" s="235"/>
      <c r="AB283" s="580">
        <f>HLOOKUP("*"&amp;'Output annual'!$AC$2&amp;'Output annual'!$AD$2&amp;"*Zone People Number Of Occupants [](Hourly)",'Eplus results'!$1:$1048576,ROW(),FALSE)</f>
        <v>0</v>
      </c>
      <c r="AC283" s="580">
        <f>HLOOKUP("*"&amp;'Output annual'!$AC$2&amp;'Output annual'!$AD$2&amp;"*FangerPMV(Hourly)",'Eplus results'!$1:$1048576,ROW(),FALSE)</f>
        <v>0</v>
      </c>
      <c r="AD283" s="580">
        <f t="shared" si="53"/>
        <v>5</v>
      </c>
      <c r="AE283" s="580">
        <f t="shared" si="54"/>
        <v>2.5</v>
      </c>
      <c r="AF283" s="580">
        <f t="shared" si="55"/>
        <v>2.5</v>
      </c>
      <c r="AG283" s="580">
        <f t="shared" si="56"/>
        <v>0</v>
      </c>
      <c r="AH283" s="580">
        <f t="shared" si="57"/>
        <v>0</v>
      </c>
    </row>
    <row r="284" spans="2:34">
      <c r="B284" s="699" t="str">
        <f>perim_zone&amp;" (Exterior)"</f>
        <v>West (Exterior)</v>
      </c>
      <c r="C284" s="694" t="s">
        <v>526</v>
      </c>
      <c r="D284" s="235"/>
      <c r="E284" s="272"/>
      <c r="F284" s="251"/>
      <c r="G284" s="251"/>
      <c r="H284" s="252"/>
      <c r="I284" s="251"/>
      <c r="J284" s="251"/>
      <c r="K284" s="253" t="s">
        <v>487</v>
      </c>
      <c r="L284" s="254">
        <f>HLOOKUP("MFRP"&amp;perim_zone&amp;"_Ceiling:Surface Int Convection Heat Rate [W](Hourly)",'Eplus results'!1:65536,'graph data'!D4,FALSE)</f>
        <v>16.664220069170199</v>
      </c>
      <c r="M284" s="255"/>
      <c r="N284" s="255"/>
      <c r="O284" s="235"/>
      <c r="P284" s="256" t="s">
        <v>458</v>
      </c>
      <c r="Q284" s="235"/>
      <c r="R284" s="235"/>
      <c r="AB284" s="580">
        <f>HLOOKUP("*"&amp;'Output annual'!$AC$2&amp;'Output annual'!$AD$2&amp;"*Zone People Number Of Occupants [](Hourly)",'Eplus results'!$1:$1048576,ROW(),FALSE)</f>
        <v>0</v>
      </c>
      <c r="AC284" s="580">
        <f>HLOOKUP("*"&amp;'Output annual'!$AC$2&amp;'Output annual'!$AD$2&amp;"*FangerPMV(Hourly)",'Eplus results'!$1:$1048576,ROW(),FALSE)</f>
        <v>0</v>
      </c>
      <c r="AD284" s="580">
        <f t="shared" si="53"/>
        <v>5</v>
      </c>
      <c r="AE284" s="580">
        <f t="shared" si="54"/>
        <v>2.5</v>
      </c>
      <c r="AF284" s="580">
        <f t="shared" si="55"/>
        <v>2.5</v>
      </c>
      <c r="AG284" s="580">
        <f t="shared" si="56"/>
        <v>0</v>
      </c>
      <c r="AH284" s="580">
        <f t="shared" si="57"/>
        <v>0</v>
      </c>
    </row>
    <row r="285" spans="2:34">
      <c r="B285" s="699"/>
      <c r="C285" s="695"/>
      <c r="D285" s="257"/>
      <c r="E285" s="258" t="s">
        <v>512</v>
      </c>
      <c r="F285" s="241"/>
      <c r="G285" s="247" t="s">
        <v>486</v>
      </c>
      <c r="H285" s="242" t="e">
        <f>HLOOKUP("MFRP"&amp;perim_zone&amp;":Zone/Sys Air Temperature[C](Hourly)",'Eplus results'!1:65536,'graph data'!D4, FALSE)</f>
        <v>#N/A</v>
      </c>
      <c r="I285" s="241"/>
      <c r="J285" s="241"/>
      <c r="K285" s="281" t="s">
        <v>529</v>
      </c>
      <c r="L285" s="254">
        <f>HLOOKUP("MFRP"&amp;perim_zone&amp;"_WALL_"&amp;LEFT(perim_zone, 1)&amp;":Surface Int Convection Heat Rate [W](Hourly)",'Eplus results'!1:65536,'graph data'!D4,FALSE)</f>
        <v>86.181221080521695</v>
      </c>
      <c r="M285" s="255" t="s">
        <v>518</v>
      </c>
      <c r="N285" s="255" t="e">
        <f>HLOOKUP("MFRP"&amp;perim_zone&amp;":Zone/Sys Sensible Cooling Rate[W](Hourly)",'Eplus results'!1:65536,'graph data'!D4,FALSE)</f>
        <v>#N/A</v>
      </c>
      <c r="O285" s="260" t="s">
        <v>158</v>
      </c>
      <c r="P285" s="256" t="e">
        <f>N285/(L284+L286+L285)</f>
        <v>#N/A</v>
      </c>
      <c r="Q285" s="235"/>
      <c r="R285" s="235"/>
      <c r="AB285" s="580">
        <f>HLOOKUP("*"&amp;'Output annual'!$AC$2&amp;'Output annual'!$AD$2&amp;"*Zone People Number Of Occupants [](Hourly)",'Eplus results'!$1:$1048576,ROW(),FALSE)</f>
        <v>0</v>
      </c>
      <c r="AC285" s="580">
        <f>HLOOKUP("*"&amp;'Output annual'!$AC$2&amp;'Output annual'!$AD$2&amp;"*FangerPMV(Hourly)",'Eplus results'!$1:$1048576,ROW(),FALSE)</f>
        <v>0</v>
      </c>
      <c r="AD285" s="580">
        <f t="shared" si="53"/>
        <v>5</v>
      </c>
      <c r="AE285" s="580">
        <f t="shared" si="54"/>
        <v>2.5</v>
      </c>
      <c r="AF285" s="580">
        <f t="shared" si="55"/>
        <v>2.5</v>
      </c>
      <c r="AG285" s="580">
        <f t="shared" si="56"/>
        <v>0</v>
      </c>
      <c r="AH285" s="580">
        <f t="shared" si="57"/>
        <v>0</v>
      </c>
    </row>
    <row r="286" spans="2:34">
      <c r="B286" s="699"/>
      <c r="C286" s="695"/>
      <c r="D286" s="257"/>
      <c r="E286" s="258"/>
      <c r="F286" s="241"/>
      <c r="G286" s="241"/>
      <c r="H286" s="242"/>
      <c r="I286" s="241"/>
      <c r="J286" s="241"/>
      <c r="K286" s="259" t="s">
        <v>487</v>
      </c>
      <c r="L286" s="254">
        <f>HLOOKUP("MFRP"&amp;perim_zone&amp;"_Floor:Surface Int Convection Heat Rate [W](Hourly)",'Eplus results'!1:65536,'graph data'!D4,FALSE)</f>
        <v>220.83131891926999</v>
      </c>
      <c r="M286" s="255"/>
      <c r="N286" s="255"/>
      <c r="O286" s="260"/>
      <c r="P286" s="256"/>
      <c r="Q286" s="235"/>
      <c r="R286" s="235"/>
      <c r="AB286" s="580">
        <f>HLOOKUP("*"&amp;'Output annual'!$AC$2&amp;'Output annual'!$AD$2&amp;"*Zone People Number Of Occupants [](Hourly)",'Eplus results'!$1:$1048576,ROW(),FALSE)</f>
        <v>0</v>
      </c>
      <c r="AC286" s="580">
        <f>HLOOKUP("*"&amp;'Output annual'!$AC$2&amp;'Output annual'!$AD$2&amp;"*FangerPMV(Hourly)",'Eplus results'!$1:$1048576,ROW(),FALSE)</f>
        <v>0</v>
      </c>
      <c r="AD286" s="580">
        <f t="shared" si="53"/>
        <v>5</v>
      </c>
      <c r="AE286" s="580">
        <f t="shared" si="54"/>
        <v>2.5</v>
      </c>
      <c r="AF286" s="580">
        <f t="shared" si="55"/>
        <v>2.5</v>
      </c>
      <c r="AG286" s="580">
        <f t="shared" si="56"/>
        <v>0</v>
      </c>
      <c r="AH286" s="580">
        <f t="shared" si="57"/>
        <v>0</v>
      </c>
    </row>
    <row r="287" spans="2:34">
      <c r="B287" s="699"/>
      <c r="C287" s="695"/>
      <c r="D287" s="697" t="s">
        <v>521</v>
      </c>
      <c r="E287" s="258"/>
      <c r="F287" s="241"/>
      <c r="G287" s="247" t="s">
        <v>485</v>
      </c>
      <c r="H287" s="242" t="e">
        <f>HLOOKUP("MFRP"&amp;perim_zone&amp;"_FLOOR:Surface Inside Temperature[C](Hourly)",'Eplus results'!1:65536,'graph data'!D4,FALSE)</f>
        <v>#N/A</v>
      </c>
      <c r="I287" s="241"/>
      <c r="J287" s="241"/>
      <c r="K287" s="259"/>
      <c r="L287" s="254"/>
      <c r="M287" s="274" t="e">
        <f>HLOOKUP("MFrpeast:Zone Infiltration Sensible Heat Gain [J](Hourly)",'Eplus results'!1:1048576,'graph data'!D4,FALSE)/3600</f>
        <v>#N/A</v>
      </c>
      <c r="N287" s="255"/>
      <c r="O287" s="260"/>
      <c r="P287" s="256"/>
      <c r="Q287" s="235"/>
      <c r="R287" s="235"/>
      <c r="AB287" s="580">
        <f>HLOOKUP("*"&amp;'Output annual'!$AC$2&amp;'Output annual'!$AD$2&amp;"*Zone People Number Of Occupants [](Hourly)",'Eplus results'!$1:$1048576,ROW(),FALSE)</f>
        <v>0</v>
      </c>
      <c r="AC287" s="580">
        <f>HLOOKUP("*"&amp;'Output annual'!$AC$2&amp;'Output annual'!$AD$2&amp;"*FangerPMV(Hourly)",'Eplus results'!$1:$1048576,ROW(),FALSE)</f>
        <v>0</v>
      </c>
      <c r="AD287" s="580">
        <f t="shared" si="53"/>
        <v>5</v>
      </c>
      <c r="AE287" s="580">
        <f t="shared" si="54"/>
        <v>2.5</v>
      </c>
      <c r="AF287" s="580">
        <f t="shared" si="55"/>
        <v>2.5</v>
      </c>
      <c r="AG287" s="580">
        <f t="shared" si="56"/>
        <v>0</v>
      </c>
      <c r="AH287" s="580">
        <f t="shared" si="57"/>
        <v>0</v>
      </c>
    </row>
    <row r="288" spans="2:34">
      <c r="B288" s="699"/>
      <c r="C288" s="695"/>
      <c r="D288" s="697"/>
      <c r="E288" s="258"/>
      <c r="F288" s="241"/>
      <c r="G288" s="247" t="s">
        <v>485</v>
      </c>
      <c r="H288" s="242" t="e">
        <f>HLOOKUP("MFRP"&amp;perim_zone&amp;"_FLOOR:Surface Outside Temperature[C](Hourly)",'Eplus results'!1:65536,'graph data'!D4,FALSE)</f>
        <v>#N/A</v>
      </c>
      <c r="I288" s="241"/>
      <c r="J288" s="241"/>
      <c r="K288" s="259"/>
      <c r="L288" s="254"/>
      <c r="M288" s="274"/>
      <c r="N288" s="255"/>
      <c r="O288" s="260"/>
      <c r="P288" s="256"/>
      <c r="Q288" s="235"/>
      <c r="R288" s="283"/>
      <c r="AB288" s="580">
        <f>HLOOKUP("*"&amp;'Output annual'!$AC$2&amp;'Output annual'!$AD$2&amp;"*Zone People Number Of Occupants [](Hourly)",'Eplus results'!$1:$1048576,ROW(),FALSE)</f>
        <v>0</v>
      </c>
      <c r="AC288" s="580">
        <f>HLOOKUP("*"&amp;'Output annual'!$AC$2&amp;'Output annual'!$AD$2&amp;"*FangerPMV(Hourly)",'Eplus results'!$1:$1048576,ROW(),FALSE)</f>
        <v>0</v>
      </c>
      <c r="AD288" s="580">
        <f t="shared" si="53"/>
        <v>5</v>
      </c>
      <c r="AE288" s="580">
        <f t="shared" si="54"/>
        <v>2.5</v>
      </c>
      <c r="AF288" s="580">
        <f t="shared" si="55"/>
        <v>2.5</v>
      </c>
      <c r="AG288" s="580">
        <f t="shared" si="56"/>
        <v>0</v>
      </c>
      <c r="AH288" s="580">
        <f t="shared" si="57"/>
        <v>0</v>
      </c>
    </row>
    <row r="289" spans="2:34">
      <c r="B289" s="699"/>
      <c r="C289" s="695"/>
      <c r="D289" s="698" t="s">
        <v>522</v>
      </c>
      <c r="E289" s="258"/>
      <c r="F289" s="241"/>
      <c r="G289" s="241"/>
      <c r="H289" s="242"/>
      <c r="I289" s="241"/>
      <c r="J289" s="241"/>
      <c r="K289" s="259" t="s">
        <v>487</v>
      </c>
      <c r="L289" s="254">
        <f>HLOOKUP("MF"&amp;perim_zone&amp;"_Ceiling:Surface Int Convection Heat Rate [W](Hourly)",'Eplus results'!1:65536,'graph data'!D4,FALSE)</f>
        <v>211.89021588447699</v>
      </c>
      <c r="M289" s="274" t="e">
        <f>HLOOKUP("MFeast:Zone Infiltration Sensible Heat Gain [J](Hourly)",'Eplus results'!1:1048576,'graph data'!D4,FALSE)/3600</f>
        <v>#N/A</v>
      </c>
      <c r="N289" s="255"/>
      <c r="O289" s="260"/>
      <c r="P289" s="256"/>
      <c r="Q289" s="235"/>
      <c r="R289" s="283"/>
      <c r="AB289" s="580">
        <f>HLOOKUP("*"&amp;'Output annual'!$AC$2&amp;'Output annual'!$AD$2&amp;"*Zone People Number Of Occupants [](Hourly)",'Eplus results'!$1:$1048576,ROW(),FALSE)</f>
        <v>0</v>
      </c>
      <c r="AC289" s="580">
        <f>HLOOKUP("*"&amp;'Output annual'!$AC$2&amp;'Output annual'!$AD$2&amp;"*FangerPMV(Hourly)",'Eplus results'!$1:$1048576,ROW(),FALSE)</f>
        <v>0</v>
      </c>
      <c r="AD289" s="580">
        <f t="shared" si="53"/>
        <v>5</v>
      </c>
      <c r="AE289" s="580">
        <f t="shared" si="54"/>
        <v>2.5</v>
      </c>
      <c r="AF289" s="580">
        <f t="shared" si="55"/>
        <v>2.5</v>
      </c>
      <c r="AG289" s="580">
        <f t="shared" si="56"/>
        <v>0</v>
      </c>
      <c r="AH289" s="580">
        <f t="shared" si="57"/>
        <v>0</v>
      </c>
    </row>
    <row r="290" spans="2:34">
      <c r="B290" s="699"/>
      <c r="C290" s="695"/>
      <c r="D290" s="698"/>
      <c r="E290" s="258" t="s">
        <v>511</v>
      </c>
      <c r="F290" s="241"/>
      <c r="G290" s="247" t="s">
        <v>486</v>
      </c>
      <c r="H290" s="242" t="e">
        <f>HLOOKUP("MF"&amp;perim_zone&amp;":UF Mixed Subzone Temperature[C](Hourly)",'Eplus results'!1:65536,'graph data'!D4, FALSE)</f>
        <v>#N/A</v>
      </c>
      <c r="I290" s="241"/>
      <c r="J290" s="241"/>
      <c r="K290" s="259"/>
      <c r="L290" s="254"/>
      <c r="M290" s="255"/>
      <c r="N290" s="255"/>
      <c r="O290" s="260"/>
      <c r="P290" s="256"/>
      <c r="Q290" s="235"/>
      <c r="R290" s="283"/>
      <c r="AB290" s="580">
        <f>HLOOKUP("*"&amp;'Output annual'!$AC$2&amp;'Output annual'!$AD$2&amp;"*Zone People Number Of Occupants [](Hourly)",'Eplus results'!$1:$1048576,ROW(),FALSE)</f>
        <v>0</v>
      </c>
      <c r="AC290" s="580">
        <f>HLOOKUP("*"&amp;'Output annual'!$AC$2&amp;'Output annual'!$AD$2&amp;"*FangerPMV(Hourly)",'Eplus results'!$1:$1048576,ROW(),FALSE)</f>
        <v>0</v>
      </c>
      <c r="AD290" s="580">
        <f t="shared" si="53"/>
        <v>5</v>
      </c>
      <c r="AE290" s="580">
        <f t="shared" si="54"/>
        <v>2.5</v>
      </c>
      <c r="AF290" s="580">
        <f t="shared" si="55"/>
        <v>2.5</v>
      </c>
      <c r="AG290" s="580">
        <f t="shared" si="56"/>
        <v>0</v>
      </c>
      <c r="AH290" s="580">
        <f t="shared" si="57"/>
        <v>0</v>
      </c>
    </row>
    <row r="291" spans="2:34">
      <c r="B291" s="699"/>
      <c r="C291" s="695"/>
      <c r="D291" s="698"/>
      <c r="E291" s="258"/>
      <c r="F291" s="241"/>
      <c r="G291" s="241"/>
      <c r="H291" s="242"/>
      <c r="I291" s="241"/>
      <c r="J291" s="241"/>
      <c r="K291" s="259"/>
      <c r="L291" s="254"/>
      <c r="M291" s="255"/>
      <c r="N291" s="255"/>
      <c r="O291" s="260"/>
      <c r="P291" s="256" t="s">
        <v>458</v>
      </c>
      <c r="Q291" s="235"/>
      <c r="R291" s="256"/>
      <c r="AB291" s="580">
        <f>HLOOKUP("*"&amp;'Output annual'!$AC$2&amp;'Output annual'!$AD$2&amp;"*Zone People Number Of Occupants [](Hourly)",'Eplus results'!$1:$1048576,ROW(),FALSE)</f>
        <v>0</v>
      </c>
      <c r="AC291" s="580">
        <f>HLOOKUP("*"&amp;'Output annual'!$AC$2&amp;'Output annual'!$AD$2&amp;"*FangerPMV(Hourly)",'Eplus results'!$1:$1048576,ROW(),FALSE)</f>
        <v>0</v>
      </c>
      <c r="AD291" s="580">
        <f t="shared" si="53"/>
        <v>5</v>
      </c>
      <c r="AE291" s="580">
        <f t="shared" si="54"/>
        <v>2.5</v>
      </c>
      <c r="AF291" s="580">
        <f t="shared" si="55"/>
        <v>2.5</v>
      </c>
      <c r="AG291" s="580">
        <f t="shared" si="56"/>
        <v>0</v>
      </c>
      <c r="AH291" s="580">
        <f t="shared" si="57"/>
        <v>0</v>
      </c>
    </row>
    <row r="292" spans="2:34">
      <c r="B292" s="699"/>
      <c r="C292" s="695"/>
      <c r="D292" s="698"/>
      <c r="E292" s="258"/>
      <c r="F292" s="241"/>
      <c r="G292" s="241"/>
      <c r="H292" s="242"/>
      <c r="I292" s="241"/>
      <c r="J292" s="241"/>
      <c r="K292" s="259"/>
      <c r="L292" s="254"/>
      <c r="M292" s="255" t="s">
        <v>519</v>
      </c>
      <c r="N292" s="255" t="e">
        <f>HLOOKUP("MF"&amp;perim_zone&amp;":Zone/Sys Sensible Cooling Rate[W](Hourly)",'Eplus results'!1:65536,'graph data'!D4,FALSE)</f>
        <v>#N/A</v>
      </c>
      <c r="O292" s="260" t="s">
        <v>158</v>
      </c>
      <c r="P292" s="256" t="e">
        <f>N292/(N294+N295+L294)</f>
        <v>#N/A</v>
      </c>
      <c r="Q292" s="235"/>
      <c r="R292" s="235"/>
      <c r="AB292" s="580">
        <f>HLOOKUP("*"&amp;'Output annual'!$AC$2&amp;'Output annual'!$AD$2&amp;"*Zone People Number Of Occupants [](Hourly)",'Eplus results'!$1:$1048576,ROW(),FALSE)</f>
        <v>0</v>
      </c>
      <c r="AC292" s="580">
        <f>HLOOKUP("*"&amp;'Output annual'!$AC$2&amp;'Output annual'!$AD$2&amp;"*FangerPMV(Hourly)",'Eplus results'!$1:$1048576,ROW(),FALSE)</f>
        <v>0</v>
      </c>
      <c r="AD292" s="580">
        <f t="shared" si="53"/>
        <v>5</v>
      </c>
      <c r="AE292" s="580">
        <f t="shared" si="54"/>
        <v>2.5</v>
      </c>
      <c r="AF292" s="580">
        <f t="shared" si="55"/>
        <v>2.5</v>
      </c>
      <c r="AG292" s="580">
        <f t="shared" si="56"/>
        <v>0</v>
      </c>
      <c r="AH292" s="580">
        <f t="shared" si="57"/>
        <v>0</v>
      </c>
    </row>
    <row r="293" spans="2:34">
      <c r="B293" s="699"/>
      <c r="C293" s="695"/>
      <c r="D293" s="698"/>
      <c r="E293" s="258"/>
      <c r="F293" s="241"/>
      <c r="G293" s="241"/>
      <c r="H293" s="242"/>
      <c r="I293" s="241"/>
      <c r="J293" s="241"/>
      <c r="K293" s="259"/>
      <c r="L293" s="254"/>
      <c r="M293" s="255"/>
      <c r="N293" s="255"/>
      <c r="O293" s="260"/>
      <c r="P293" s="256"/>
      <c r="Q293" s="235"/>
      <c r="R293" s="235"/>
      <c r="AB293" s="580">
        <f>HLOOKUP("*"&amp;'Output annual'!$AC$2&amp;'Output annual'!$AD$2&amp;"*Zone People Number Of Occupants [](Hourly)",'Eplus results'!$1:$1048576,ROW(),FALSE)</f>
        <v>0</v>
      </c>
      <c r="AC293" s="580">
        <f>HLOOKUP("*"&amp;'Output annual'!$AC$2&amp;'Output annual'!$AD$2&amp;"*FangerPMV(Hourly)",'Eplus results'!$1:$1048576,ROW(),FALSE)</f>
        <v>0</v>
      </c>
      <c r="AD293" s="580">
        <f t="shared" si="53"/>
        <v>5</v>
      </c>
      <c r="AE293" s="580">
        <f t="shared" si="54"/>
        <v>2.5</v>
      </c>
      <c r="AF293" s="580">
        <f t="shared" si="55"/>
        <v>2.5</v>
      </c>
      <c r="AG293" s="580">
        <f t="shared" si="56"/>
        <v>0</v>
      </c>
      <c r="AH293" s="580">
        <f t="shared" si="57"/>
        <v>0</v>
      </c>
    </row>
    <row r="294" spans="2:34">
      <c r="B294" s="699"/>
      <c r="C294" s="695"/>
      <c r="D294" s="698"/>
      <c r="E294" s="258" t="s">
        <v>510</v>
      </c>
      <c r="F294" s="241"/>
      <c r="G294" s="247" t="s">
        <v>486</v>
      </c>
      <c r="H294" s="242" t="e">
        <f>IF(RunType="OH",HLOOKUP("MF"&amp;perim_zone&amp;":Zone/Sys Air Temperature[C](Hourly)",'Eplus results'!1:65536,'graph data'!D4, FALSE), HLOOKUP("MF"&amp;perim_zone&amp;":UF Occupied Subzone Temperature[C](Hourly)",'Eplus results'!1:65536,'graph data'!D4, FALSE))</f>
        <v>#N/A</v>
      </c>
      <c r="I294" s="241"/>
      <c r="J294" s="241"/>
      <c r="K294" s="281" t="s">
        <v>529</v>
      </c>
      <c r="L294" s="254">
        <f>HLOOKUP("MF"&amp;perim_zone&amp;"_WALL_"&amp;LEFT(perim_zone, 1)&amp;":Surface Int Convection Heat Rate [W](Hourly)",'Eplus results'!1:65536,'graph data'!D4,FALSE)</f>
        <v>298.82339057615297</v>
      </c>
      <c r="M294" s="255" t="s">
        <v>459</v>
      </c>
      <c r="N294" s="255">
        <f>(HLOOKUP("MF"&amp;perim_zone&amp;":Zone Total Internal Convective Heat Gain [J](Hourly)",'Eplus results'!1:65536,'graph data'!D4,FALSE)/3600)</f>
        <v>1930.7609296206861</v>
      </c>
      <c r="O294" s="260"/>
      <c r="P294" s="256"/>
      <c r="Q294" s="235"/>
      <c r="R294" s="235"/>
      <c r="AB294" s="580">
        <f>HLOOKUP("*"&amp;'Output annual'!$AC$2&amp;'Output annual'!$AD$2&amp;"*Zone People Number Of Occupants [](Hourly)",'Eplus results'!$1:$1048576,ROW(),FALSE)</f>
        <v>0</v>
      </c>
      <c r="AC294" s="580">
        <f>HLOOKUP("*"&amp;'Output annual'!$AC$2&amp;'Output annual'!$AD$2&amp;"*FangerPMV(Hourly)",'Eplus results'!$1:$1048576,ROW(),FALSE)</f>
        <v>0</v>
      </c>
      <c r="AD294" s="580">
        <f t="shared" si="53"/>
        <v>5</v>
      </c>
      <c r="AE294" s="580">
        <f t="shared" si="54"/>
        <v>2.5</v>
      </c>
      <c r="AF294" s="580">
        <f t="shared" si="55"/>
        <v>2.5</v>
      </c>
      <c r="AG294" s="580">
        <f t="shared" si="56"/>
        <v>0</v>
      </c>
      <c r="AH294" s="580">
        <f t="shared" si="57"/>
        <v>0</v>
      </c>
    </row>
    <row r="295" spans="2:34">
      <c r="B295" s="699"/>
      <c r="C295" s="695"/>
      <c r="D295" s="698"/>
      <c r="E295" s="258"/>
      <c r="F295" s="241"/>
      <c r="G295" s="241"/>
      <c r="H295" s="242"/>
      <c r="I295" s="241"/>
      <c r="J295" s="241"/>
      <c r="K295" s="259"/>
      <c r="L295" s="254"/>
      <c r="M295" s="255" t="s">
        <v>460</v>
      </c>
      <c r="N295" s="255">
        <f>HLOOKUP("MF"&amp;perim_zone&amp;":Zone Window Heat Gain[W](Hourly)",'Eplus results'!1:65536,'graph data'!D4,FALSE)</f>
        <v>8277.1476946265793</v>
      </c>
      <c r="O295" s="260"/>
      <c r="P295" s="256"/>
      <c r="Q295" s="235"/>
      <c r="R295" s="235"/>
      <c r="AB295" s="580">
        <f>HLOOKUP("*"&amp;'Output annual'!$AC$2&amp;'Output annual'!$AD$2&amp;"*Zone People Number Of Occupants [](Hourly)",'Eplus results'!$1:$1048576,ROW(),FALSE)</f>
        <v>0</v>
      </c>
      <c r="AC295" s="580">
        <f>HLOOKUP("*"&amp;'Output annual'!$AC$2&amp;'Output annual'!$AD$2&amp;"*FangerPMV(Hourly)",'Eplus results'!$1:$1048576,ROW(),FALSE)</f>
        <v>0</v>
      </c>
      <c r="AD295" s="580">
        <f t="shared" si="53"/>
        <v>5</v>
      </c>
      <c r="AE295" s="580">
        <f t="shared" si="54"/>
        <v>2.5</v>
      </c>
      <c r="AF295" s="580">
        <f t="shared" si="55"/>
        <v>2.5</v>
      </c>
      <c r="AG295" s="580">
        <f t="shared" si="56"/>
        <v>0</v>
      </c>
      <c r="AH295" s="580">
        <f t="shared" si="57"/>
        <v>0</v>
      </c>
    </row>
    <row r="296" spans="2:34">
      <c r="B296" s="699"/>
      <c r="C296" s="695"/>
      <c r="D296" s="698"/>
      <c r="E296" s="258"/>
      <c r="F296" s="241"/>
      <c r="G296" s="241"/>
      <c r="H296" s="242"/>
      <c r="I296" s="241"/>
      <c r="J296" s="241"/>
      <c r="K296" s="259" t="s">
        <v>487</v>
      </c>
      <c r="L296" s="254">
        <f>HLOOKUP("MF"&amp;perim_zone&amp;"_Floor:Surface Int Convection Heat Rate [W](Hourly)",'Eplus results'!1:65536,'graph data'!D4,FALSE)</f>
        <v>170.232227036658</v>
      </c>
      <c r="M296" s="255"/>
      <c r="N296" s="255"/>
      <c r="O296" s="260"/>
      <c r="P296" s="256"/>
      <c r="Q296" s="274"/>
      <c r="R296" s="274"/>
      <c r="AB296" s="580">
        <f>HLOOKUP("*"&amp;'Output annual'!$AC$2&amp;'Output annual'!$AD$2&amp;"*Zone People Number Of Occupants [](Hourly)",'Eplus results'!$1:$1048576,ROW(),FALSE)</f>
        <v>0</v>
      </c>
      <c r="AC296" s="580">
        <f>HLOOKUP("*"&amp;'Output annual'!$AC$2&amp;'Output annual'!$AD$2&amp;"*FangerPMV(Hourly)",'Eplus results'!$1:$1048576,ROW(),FALSE)</f>
        <v>0</v>
      </c>
      <c r="AD296" s="580">
        <f t="shared" si="53"/>
        <v>5</v>
      </c>
      <c r="AE296" s="580">
        <f t="shared" si="54"/>
        <v>2.5</v>
      </c>
      <c r="AF296" s="580">
        <f t="shared" si="55"/>
        <v>2.5</v>
      </c>
      <c r="AG296" s="580">
        <f t="shared" si="56"/>
        <v>0</v>
      </c>
      <c r="AH296" s="580">
        <f t="shared" si="57"/>
        <v>0</v>
      </c>
    </row>
    <row r="297" spans="2:34">
      <c r="B297" s="699"/>
      <c r="C297" s="695"/>
      <c r="D297" s="697" t="s">
        <v>523</v>
      </c>
      <c r="E297" s="258"/>
      <c r="F297" s="241"/>
      <c r="G297" s="247" t="s">
        <v>485</v>
      </c>
      <c r="H297" s="242" t="e">
        <f>HLOOKUP("MFSP"&amp;perim_zone&amp;"_CEILING:Surface Outside Temperature[C](Hourly)",'Eplus results'!1:65536,'graph data'!D4,FALSE)</f>
        <v>#N/A</v>
      </c>
      <c r="I297" s="241"/>
      <c r="J297" s="241"/>
      <c r="K297" s="259"/>
      <c r="L297" s="254"/>
      <c r="M297" s="255"/>
      <c r="N297" s="255"/>
      <c r="O297" s="260"/>
      <c r="P297" s="256"/>
      <c r="Q297" s="235"/>
      <c r="R297" s="235"/>
      <c r="AB297" s="580">
        <f>HLOOKUP("*"&amp;'Output annual'!$AC$2&amp;'Output annual'!$AD$2&amp;"*Zone People Number Of Occupants [](Hourly)",'Eplus results'!$1:$1048576,ROW(),FALSE)</f>
        <v>0</v>
      </c>
      <c r="AC297" s="580">
        <f>HLOOKUP("*"&amp;'Output annual'!$AC$2&amp;'Output annual'!$AD$2&amp;"*FangerPMV(Hourly)",'Eplus results'!$1:$1048576,ROW(),FALSE)</f>
        <v>0</v>
      </c>
      <c r="AD297" s="580">
        <f t="shared" si="53"/>
        <v>5</v>
      </c>
      <c r="AE297" s="580">
        <f t="shared" si="54"/>
        <v>2.5</v>
      </c>
      <c r="AF297" s="580">
        <f t="shared" si="55"/>
        <v>2.5</v>
      </c>
      <c r="AG297" s="580">
        <f t="shared" si="56"/>
        <v>0</v>
      </c>
      <c r="AH297" s="580">
        <f t="shared" si="57"/>
        <v>0</v>
      </c>
    </row>
    <row r="298" spans="2:34">
      <c r="B298" s="699"/>
      <c r="C298" s="695"/>
      <c r="D298" s="697"/>
      <c r="E298" s="258"/>
      <c r="F298" s="241"/>
      <c r="G298" s="247" t="s">
        <v>485</v>
      </c>
      <c r="H298" s="242" t="e">
        <f>HLOOKUP("MFSP"&amp;perim_zone&amp;"_CEILING:Surface Inside Temperature[C](Hourly)",'Eplus results'!1:65536,'graph data'!D4,FALSE)</f>
        <v>#N/A</v>
      </c>
      <c r="I298" s="241"/>
      <c r="J298" s="241"/>
      <c r="K298" s="259"/>
      <c r="L298" s="254"/>
      <c r="M298" s="255"/>
      <c r="N298" s="255"/>
      <c r="O298" s="260"/>
      <c r="P298" s="256"/>
      <c r="Q298" s="235"/>
      <c r="R298" s="235"/>
      <c r="AB298" s="580">
        <f>HLOOKUP("*"&amp;'Output annual'!$AC$2&amp;'Output annual'!$AD$2&amp;"*Zone People Number Of Occupants [](Hourly)",'Eplus results'!$1:$1048576,ROW(),FALSE)</f>
        <v>0</v>
      </c>
      <c r="AC298" s="580">
        <f>HLOOKUP("*"&amp;'Output annual'!$AC$2&amp;'Output annual'!$AD$2&amp;"*FangerPMV(Hourly)",'Eplus results'!$1:$1048576,ROW(),FALSE)</f>
        <v>0</v>
      </c>
      <c r="AD298" s="580">
        <f t="shared" si="53"/>
        <v>5</v>
      </c>
      <c r="AE298" s="580">
        <f t="shared" si="54"/>
        <v>2.5</v>
      </c>
      <c r="AF298" s="580">
        <f t="shared" si="55"/>
        <v>2.5</v>
      </c>
      <c r="AG298" s="580">
        <f t="shared" si="56"/>
        <v>0</v>
      </c>
      <c r="AH298" s="580">
        <f t="shared" si="57"/>
        <v>0</v>
      </c>
    </row>
    <row r="299" spans="2:34">
      <c r="B299" s="699"/>
      <c r="C299" s="695"/>
      <c r="D299" s="235"/>
      <c r="E299" s="258"/>
      <c r="F299" s="241"/>
      <c r="G299" s="241"/>
      <c r="H299" s="242"/>
      <c r="I299" s="241"/>
      <c r="J299" s="241"/>
      <c r="K299" s="259" t="s">
        <v>487</v>
      </c>
      <c r="L299" s="254">
        <f>HLOOKUP("MFSP"&amp;perim_zone&amp;"_Ceiling:Surface Int Convection Heat Rate [W](Hourly)",'Eplus results'!1:65536,'graph data'!D4,FALSE)</f>
        <v>1251.2101074710899</v>
      </c>
      <c r="M299" s="255"/>
      <c r="N299" s="255"/>
      <c r="O299" s="260"/>
      <c r="P299" s="256" t="s">
        <v>458</v>
      </c>
      <c r="Q299" s="235"/>
      <c r="R299" s="235"/>
      <c r="AB299" s="580">
        <f>HLOOKUP("*"&amp;'Output annual'!$AC$2&amp;'Output annual'!$AD$2&amp;"*Zone People Number Of Occupants [](Hourly)",'Eplus results'!$1:$1048576,ROW(),FALSE)</f>
        <v>0</v>
      </c>
      <c r="AC299" s="580">
        <f>HLOOKUP("*"&amp;'Output annual'!$AC$2&amp;'Output annual'!$AD$2&amp;"*FangerPMV(Hourly)",'Eplus results'!$1:$1048576,ROW(),FALSE)</f>
        <v>0</v>
      </c>
      <c r="AD299" s="580">
        <f t="shared" si="53"/>
        <v>5</v>
      </c>
      <c r="AE299" s="580">
        <f t="shared" si="54"/>
        <v>2.5</v>
      </c>
      <c r="AF299" s="580">
        <f t="shared" si="55"/>
        <v>2.5</v>
      </c>
      <c r="AG299" s="580">
        <f t="shared" si="56"/>
        <v>0</v>
      </c>
      <c r="AH299" s="580">
        <f t="shared" si="57"/>
        <v>0</v>
      </c>
    </row>
    <row r="300" spans="2:34">
      <c r="B300" s="699"/>
      <c r="C300" s="695"/>
      <c r="D300" s="257"/>
      <c r="E300" s="258" t="s">
        <v>3</v>
      </c>
      <c r="F300" s="241"/>
      <c r="G300" s="247" t="s">
        <v>486</v>
      </c>
      <c r="H300" s="242" t="e">
        <f>HLOOKUP("MFSP"&amp;perim_zone&amp;":Zone/Sys Air Temperature[C](Hourly)",'Eplus results'!1:65536,'graph data'!D4, FALSE)</f>
        <v>#N/A</v>
      </c>
      <c r="I300" s="241"/>
      <c r="J300" s="241"/>
      <c r="K300" s="281" t="s">
        <v>529</v>
      </c>
      <c r="L300" s="254">
        <f>HLOOKUP("MFSP"&amp;perim_zone&amp;"_WALL_"&amp;LEFT(perim_zone, 1)&amp;":Surface Int Convection Heat Rate [W](Hourly)",'Eplus results'!1:65536,'graph data'!D4,FALSE)</f>
        <v>110.68919696761</v>
      </c>
      <c r="M300" s="255" t="s">
        <v>520</v>
      </c>
      <c r="N300" s="255" t="e">
        <f>HLOOKUP("MFSP"&amp;perim_zone&amp;":Zone/Sys Sensible Cooling Rate[W](Hourly)",'Eplus results'!1:65536,'graph data'!D4,FALSE)</f>
        <v>#N/A</v>
      </c>
      <c r="O300" s="260" t="s">
        <v>158</v>
      </c>
      <c r="P300" s="256" t="e">
        <f>N300/(L299+L301+L300)</f>
        <v>#N/A</v>
      </c>
      <c r="Q300" s="235"/>
      <c r="R300" s="235"/>
      <c r="AB300" s="580">
        <f>HLOOKUP("*"&amp;'Output annual'!$AC$2&amp;'Output annual'!$AD$2&amp;"*Zone People Number Of Occupants [](Hourly)",'Eplus results'!$1:$1048576,ROW(),FALSE)</f>
        <v>0</v>
      </c>
      <c r="AC300" s="580">
        <f>HLOOKUP("*"&amp;'Output annual'!$AC$2&amp;'Output annual'!$AD$2&amp;"*FangerPMV(Hourly)",'Eplus results'!$1:$1048576,ROW(),FALSE)</f>
        <v>0</v>
      </c>
      <c r="AD300" s="580">
        <f t="shared" si="53"/>
        <v>5</v>
      </c>
      <c r="AE300" s="580">
        <f t="shared" si="54"/>
        <v>2.5</v>
      </c>
      <c r="AF300" s="580">
        <f t="shared" si="55"/>
        <v>2.5</v>
      </c>
      <c r="AG300" s="580">
        <f t="shared" si="56"/>
        <v>0</v>
      </c>
      <c r="AH300" s="580">
        <f t="shared" si="57"/>
        <v>0</v>
      </c>
    </row>
    <row r="301" spans="2:34" ht="13.5" thickBot="1">
      <c r="B301" s="699"/>
      <c r="C301" s="696"/>
      <c r="D301" s="261"/>
      <c r="E301" s="262"/>
      <c r="F301" s="263"/>
      <c r="G301" s="263"/>
      <c r="H301" s="264"/>
      <c r="I301" s="263"/>
      <c r="J301" s="263"/>
      <c r="K301" s="265" t="s">
        <v>487</v>
      </c>
      <c r="L301" s="254">
        <f>IF(RunType="OH",HLOOKUP("MF"&amp;perim_zone&amp;"_FLOOR:Surface Int Convection Heat Rate [W](Hourly)",'Eplus results'!1:65536,'graph data'!D4, FALSE), HLOOKUP("MFSP"&amp;perim_zone&amp;"_Floor:Surface Int Convection Heat Rate [W](Hourly)",'Eplus results'!1:65536,'graph data'!D4,FALSE))</f>
        <v>1185.5142868308401</v>
      </c>
      <c r="M301" s="255"/>
      <c r="N301" s="255"/>
      <c r="O301" s="235"/>
      <c r="P301" s="256"/>
      <c r="Q301" s="235"/>
      <c r="R301" s="235"/>
      <c r="AB301" s="580">
        <f>HLOOKUP("*"&amp;'Output annual'!$AC$2&amp;'Output annual'!$AD$2&amp;"*Zone People Number Of Occupants [](Hourly)",'Eplus results'!$1:$1048576,ROW(),FALSE)</f>
        <v>0</v>
      </c>
      <c r="AC301" s="580">
        <f>HLOOKUP("*"&amp;'Output annual'!$AC$2&amp;'Output annual'!$AD$2&amp;"*FangerPMV(Hourly)",'Eplus results'!$1:$1048576,ROW(),FALSE)</f>
        <v>0</v>
      </c>
      <c r="AD301" s="580">
        <f t="shared" si="53"/>
        <v>5</v>
      </c>
      <c r="AE301" s="580">
        <f t="shared" si="54"/>
        <v>2.5</v>
      </c>
      <c r="AF301" s="580">
        <f t="shared" si="55"/>
        <v>2.5</v>
      </c>
      <c r="AG301" s="580">
        <f t="shared" si="56"/>
        <v>0</v>
      </c>
      <c r="AH301" s="580">
        <f t="shared" si="57"/>
        <v>0</v>
      </c>
    </row>
    <row r="302" spans="2:34">
      <c r="B302" s="235"/>
      <c r="C302" s="236"/>
      <c r="D302" s="238"/>
      <c r="E302" s="268"/>
      <c r="F302" s="241"/>
      <c r="G302" s="247" t="s">
        <v>485</v>
      </c>
      <c r="H302" s="242" t="e">
        <f>IF(RunType="OH",HLOOKUP("MF"&amp;perim_zone&amp;"_FLOOR:Surface Inside Temperature[C](Hourly)",'Eplus results'!1:65536,'graph data'!D4, FALSE), HLOOKUP("MFSP"&amp;perim_zone&amp;"_FLOOR:Surface Inside Temperature[C](Hourly)",'Eplus results'!1:65536,'graph data'!D4,FALSE))</f>
        <v>#N/A</v>
      </c>
      <c r="I302" s="241"/>
      <c r="J302" s="241"/>
      <c r="K302" s="241" t="s">
        <v>530</v>
      </c>
      <c r="L302" s="269" t="e">
        <f>IF(RunType="OH",HLOOKUP("MF"&amp;perim_zone&amp;"_FLOOR:Opaque Surface Inside Face Conduction[W](Hourly)",'Eplus results'!$1:$1048576,'graph data'!D4, FALSE)*2, HLOOKUP("MFSP"&amp;perim_zone&amp;"_Floor:Opaque Surface Inside Face Conduction[W](Hourly)",'Eplus results'!1:65536,'graph data'!D4,FALSE)*2)</f>
        <v>#N/A</v>
      </c>
      <c r="M302" s="270"/>
      <c r="N302" s="255"/>
      <c r="O302" s="235"/>
      <c r="P302" s="256"/>
      <c r="Q302" s="235"/>
      <c r="R302" s="235"/>
      <c r="AB302" s="580">
        <f>HLOOKUP("*"&amp;'Output annual'!$AC$2&amp;'Output annual'!$AD$2&amp;"*Zone People Number Of Occupants [](Hourly)",'Eplus results'!$1:$1048576,ROW(),FALSE)</f>
        <v>0</v>
      </c>
      <c r="AC302" s="580">
        <f>HLOOKUP("*"&amp;'Output annual'!$AC$2&amp;'Output annual'!$AD$2&amp;"*FangerPMV(Hourly)",'Eplus results'!$1:$1048576,ROW(),FALSE)</f>
        <v>0</v>
      </c>
      <c r="AD302" s="580">
        <f t="shared" si="53"/>
        <v>5</v>
      </c>
      <c r="AE302" s="580">
        <f t="shared" si="54"/>
        <v>2.5</v>
      </c>
      <c r="AF302" s="580">
        <f t="shared" si="55"/>
        <v>2.5</v>
      </c>
      <c r="AG302" s="580">
        <f t="shared" si="56"/>
        <v>0</v>
      </c>
      <c r="AH302" s="580">
        <f t="shared" si="57"/>
        <v>0</v>
      </c>
    </row>
    <row r="303" spans="2:34">
      <c r="B303" s="235"/>
      <c r="C303" s="235" t="s">
        <v>514</v>
      </c>
      <c r="D303" s="247"/>
      <c r="E303" s="268"/>
      <c r="F303" s="241"/>
      <c r="G303" s="241"/>
      <c r="H303" s="242"/>
      <c r="I303" s="241"/>
      <c r="J303" s="241"/>
      <c r="K303" s="241"/>
      <c r="L303" s="243"/>
      <c r="M303" s="244"/>
      <c r="N303" s="255"/>
      <c r="O303" s="235"/>
      <c r="P303" s="256"/>
      <c r="Q303" s="235"/>
      <c r="R303" s="235"/>
      <c r="AB303" s="580">
        <f>HLOOKUP("*"&amp;'Output annual'!$AC$2&amp;'Output annual'!$AD$2&amp;"*Zone People Number Of Occupants [](Hourly)",'Eplus results'!$1:$1048576,ROW(),FALSE)</f>
        <v>0</v>
      </c>
      <c r="AC303" s="580">
        <f>HLOOKUP("*"&amp;'Output annual'!$AC$2&amp;'Output annual'!$AD$2&amp;"*FangerPMV(Hourly)",'Eplus results'!$1:$1048576,ROW(),FALSE)</f>
        <v>0</v>
      </c>
      <c r="AD303" s="580">
        <f t="shared" si="53"/>
        <v>5</v>
      </c>
      <c r="AE303" s="580">
        <f t="shared" si="54"/>
        <v>2.5</v>
      </c>
      <c r="AF303" s="580">
        <f t="shared" si="55"/>
        <v>2.5</v>
      </c>
      <c r="AG303" s="580">
        <f t="shared" si="56"/>
        <v>0</v>
      </c>
      <c r="AH303" s="580">
        <f t="shared" si="57"/>
        <v>0</v>
      </c>
    </row>
    <row r="304" spans="2:34" ht="13.5" thickBot="1">
      <c r="B304" s="235"/>
      <c r="C304" s="245"/>
      <c r="D304" s="271"/>
      <c r="E304" s="268"/>
      <c r="F304" s="241"/>
      <c r="G304" s="247" t="s">
        <v>485</v>
      </c>
      <c r="H304" s="242" t="e">
        <f>IF(RunType="OH",HLOOKUP("MF"&amp;perim_zone&amp;"_FLOOR:Surface Outside Temperature[C](Hourly)",'Eplus results'!1:65536,'graph data'!D4, FALSE), HLOOKUP("MFSP"&amp;perim_zone&amp;"_FLOOR:Surface Outside Temperature[C](Hourly)",'Eplus results'!1:65536,'graph data'!D4,FALSE))</f>
        <v>#N/A</v>
      </c>
      <c r="I304" s="241"/>
      <c r="J304" s="241"/>
      <c r="K304" s="241" t="s">
        <v>530</v>
      </c>
      <c r="L304" s="248" t="e">
        <f>HLOOKUP("GFRP"&amp;perim_zone&amp;"_CEILING:Opaque Surface Inside Face Conduction[W](Hourly)",'Eplus results'!1:65536,'graph data'!D4,FALSE)</f>
        <v>#N/A</v>
      </c>
      <c r="M304" s="249"/>
      <c r="N304" s="255"/>
      <c r="O304" s="235"/>
      <c r="P304" s="256"/>
      <c r="Q304" s="235"/>
      <c r="R304" s="235"/>
      <c r="AB304" s="580">
        <f>HLOOKUP("*"&amp;'Output annual'!$AC$2&amp;'Output annual'!$AD$2&amp;"*Zone People Number Of Occupants [](Hourly)",'Eplus results'!$1:$1048576,ROW(),FALSE)</f>
        <v>0</v>
      </c>
      <c r="AC304" s="580">
        <f>HLOOKUP("*"&amp;'Output annual'!$AC$2&amp;'Output annual'!$AD$2&amp;"*FangerPMV(Hourly)",'Eplus results'!$1:$1048576,ROW(),FALSE)</f>
        <v>0</v>
      </c>
      <c r="AD304" s="580">
        <f t="shared" si="53"/>
        <v>5</v>
      </c>
      <c r="AE304" s="580">
        <f t="shared" si="54"/>
        <v>2.5</v>
      </c>
      <c r="AF304" s="580">
        <f t="shared" si="55"/>
        <v>2.5</v>
      </c>
      <c r="AG304" s="580">
        <f t="shared" si="56"/>
        <v>0</v>
      </c>
      <c r="AH304" s="580">
        <f t="shared" si="57"/>
        <v>0</v>
      </c>
    </row>
    <row r="305" spans="2:34">
      <c r="B305" s="235"/>
      <c r="C305" s="694" t="s">
        <v>527</v>
      </c>
      <c r="D305" s="235"/>
      <c r="E305" s="272"/>
      <c r="F305" s="251"/>
      <c r="G305" s="251"/>
      <c r="H305" s="252"/>
      <c r="I305" s="251"/>
      <c r="J305" s="251"/>
      <c r="K305" s="253" t="s">
        <v>487</v>
      </c>
      <c r="L305" s="254">
        <f>HLOOKUP("GFRP"&amp;perim_zone&amp;"_Ceiling:Surface Int Convection Heat Rate [W](Hourly)",'Eplus results'!1:65536,'graph data'!D4,FALSE)</f>
        <v>-2.6864342313730201</v>
      </c>
      <c r="M305" s="255"/>
      <c r="N305" s="255"/>
      <c r="O305" s="235"/>
      <c r="P305" s="256" t="s">
        <v>458</v>
      </c>
      <c r="Q305" s="235"/>
      <c r="R305" s="235"/>
      <c r="AB305" s="580">
        <f>HLOOKUP("*"&amp;'Output annual'!$AC$2&amp;'Output annual'!$AD$2&amp;"*Zone People Number Of Occupants [](Hourly)",'Eplus results'!$1:$1048576,ROW(),FALSE)</f>
        <v>0</v>
      </c>
      <c r="AC305" s="580">
        <f>HLOOKUP("*"&amp;'Output annual'!$AC$2&amp;'Output annual'!$AD$2&amp;"*FangerPMV(Hourly)",'Eplus results'!$1:$1048576,ROW(),FALSE)</f>
        <v>0</v>
      </c>
      <c r="AD305" s="580">
        <f t="shared" si="53"/>
        <v>5</v>
      </c>
      <c r="AE305" s="580">
        <f t="shared" si="54"/>
        <v>2.5</v>
      </c>
      <c r="AF305" s="580">
        <f t="shared" si="55"/>
        <v>2.5</v>
      </c>
      <c r="AG305" s="580">
        <f t="shared" si="56"/>
        <v>0</v>
      </c>
      <c r="AH305" s="580">
        <f t="shared" si="57"/>
        <v>0</v>
      </c>
    </row>
    <row r="306" spans="2:34">
      <c r="B306" s="235"/>
      <c r="C306" s="695"/>
      <c r="D306" s="257"/>
      <c r="E306" s="258" t="s">
        <v>512</v>
      </c>
      <c r="F306" s="241"/>
      <c r="G306" s="247" t="s">
        <v>486</v>
      </c>
      <c r="H306" s="242" t="e">
        <f>HLOOKUP("GFRP"&amp;perim_zone&amp;":Zone/Sys Air Temperature[C](Hourly)",'Eplus results'!1:65536,'graph data'!D4, FALSE)</f>
        <v>#N/A</v>
      </c>
      <c r="I306" s="241"/>
      <c r="J306" s="241"/>
      <c r="K306" s="281" t="s">
        <v>529</v>
      </c>
      <c r="L306" s="254">
        <f>HLOOKUP("GFRP"&amp;perim_zone&amp;"_WALL_"&amp;LEFT(perim_zone, 1)&amp;":Surface Int Convection Heat Rate [W](Hourly)",'Eplus results'!1:65536,'graph data'!D4,FALSE)</f>
        <v>74.503943191870107</v>
      </c>
      <c r="M306" s="255" t="s">
        <v>518</v>
      </c>
      <c r="N306" s="255" t="e">
        <f>HLOOKUP("GFRP"&amp;perim_zone&amp;":Zone/Sys Sensible Cooling Rate[W](Hourly)",'Eplus results'!1:65536,'graph data'!D4,FALSE)</f>
        <v>#N/A</v>
      </c>
      <c r="O306" s="260" t="s">
        <v>158</v>
      </c>
      <c r="P306" s="256" t="e">
        <f>N306/(L305+L307+L306)</f>
        <v>#N/A</v>
      </c>
      <c r="Q306" s="235"/>
      <c r="R306" s="235"/>
      <c r="AB306" s="580">
        <f>HLOOKUP("*"&amp;'Output annual'!$AC$2&amp;'Output annual'!$AD$2&amp;"*Zone People Number Of Occupants [](Hourly)",'Eplus results'!$1:$1048576,ROW(),FALSE)</f>
        <v>0</v>
      </c>
      <c r="AC306" s="580">
        <f>HLOOKUP("*"&amp;'Output annual'!$AC$2&amp;'Output annual'!$AD$2&amp;"*FangerPMV(Hourly)",'Eplus results'!$1:$1048576,ROW(),FALSE)</f>
        <v>0</v>
      </c>
      <c r="AD306" s="580">
        <f t="shared" si="53"/>
        <v>5</v>
      </c>
      <c r="AE306" s="580">
        <f t="shared" si="54"/>
        <v>2.5</v>
      </c>
      <c r="AF306" s="580">
        <f t="shared" si="55"/>
        <v>2.5</v>
      </c>
      <c r="AG306" s="580">
        <f t="shared" si="56"/>
        <v>0</v>
      </c>
      <c r="AH306" s="580">
        <f t="shared" si="57"/>
        <v>0</v>
      </c>
    </row>
    <row r="307" spans="2:34">
      <c r="B307" s="235"/>
      <c r="C307" s="695"/>
      <c r="D307" s="257"/>
      <c r="E307" s="258"/>
      <c r="F307" s="241"/>
      <c r="G307" s="241"/>
      <c r="H307" s="242"/>
      <c r="I307" s="241"/>
      <c r="J307" s="241"/>
      <c r="K307" s="259" t="s">
        <v>487</v>
      </c>
      <c r="L307" s="254">
        <f>HLOOKUP("GFRP"&amp;perim_zone&amp;"_Floor:Surface Int Convection Heat Rate [W](Hourly)",'Eplus results'!1:65536,'graph data'!D4,FALSE)</f>
        <v>105.557997340394</v>
      </c>
      <c r="M307" s="255"/>
      <c r="N307" s="255"/>
      <c r="O307" s="260"/>
      <c r="P307" s="256"/>
      <c r="Q307" s="235"/>
      <c r="R307" s="235"/>
      <c r="AB307" s="580">
        <f>HLOOKUP("*"&amp;'Output annual'!$AC$2&amp;'Output annual'!$AD$2&amp;"*Zone People Number Of Occupants [](Hourly)",'Eplus results'!$1:$1048576,ROW(),FALSE)</f>
        <v>0</v>
      </c>
      <c r="AC307" s="580">
        <f>HLOOKUP("*"&amp;'Output annual'!$AC$2&amp;'Output annual'!$AD$2&amp;"*FangerPMV(Hourly)",'Eplus results'!$1:$1048576,ROW(),FALSE)</f>
        <v>0</v>
      </c>
      <c r="AD307" s="580">
        <f t="shared" si="53"/>
        <v>5</v>
      </c>
      <c r="AE307" s="580">
        <f t="shared" si="54"/>
        <v>2.5</v>
      </c>
      <c r="AF307" s="580">
        <f t="shared" si="55"/>
        <v>2.5</v>
      </c>
      <c r="AG307" s="580">
        <f t="shared" si="56"/>
        <v>0</v>
      </c>
      <c r="AH307" s="580">
        <f t="shared" si="57"/>
        <v>0</v>
      </c>
    </row>
    <row r="308" spans="2:34">
      <c r="B308" s="235"/>
      <c r="C308" s="695"/>
      <c r="D308" s="697" t="s">
        <v>521</v>
      </c>
      <c r="E308" s="258"/>
      <c r="F308" s="241"/>
      <c r="G308" s="247" t="s">
        <v>485</v>
      </c>
      <c r="H308" s="242" t="e">
        <f>HLOOKUP("GFRP"&amp;perim_zone&amp;"_FLOOR:Surface Inside Temperature[C](Hourly)",'Eplus results'!1:65536,'graph data'!D4,FALSE)</f>
        <v>#N/A</v>
      </c>
      <c r="I308" s="241"/>
      <c r="J308" s="241"/>
      <c r="K308" s="259"/>
      <c r="L308" s="254"/>
      <c r="M308" s="255"/>
      <c r="N308" s="255"/>
      <c r="O308" s="260"/>
      <c r="P308" s="256"/>
      <c r="Q308" s="235"/>
      <c r="R308" s="235"/>
      <c r="AB308" s="580">
        <f>HLOOKUP("*"&amp;'Output annual'!$AC$2&amp;'Output annual'!$AD$2&amp;"*Zone People Number Of Occupants [](Hourly)",'Eplus results'!$1:$1048576,ROW(),FALSE)</f>
        <v>0</v>
      </c>
      <c r="AC308" s="580">
        <f>HLOOKUP("*"&amp;'Output annual'!$AC$2&amp;'Output annual'!$AD$2&amp;"*FangerPMV(Hourly)",'Eplus results'!$1:$1048576,ROW(),FALSE)</f>
        <v>0</v>
      </c>
      <c r="AD308" s="580">
        <f t="shared" si="53"/>
        <v>5</v>
      </c>
      <c r="AE308" s="580">
        <f t="shared" si="54"/>
        <v>2.5</v>
      </c>
      <c r="AF308" s="580">
        <f t="shared" si="55"/>
        <v>2.5</v>
      </c>
      <c r="AG308" s="580">
        <f t="shared" si="56"/>
        <v>0</v>
      </c>
      <c r="AH308" s="580">
        <f t="shared" si="57"/>
        <v>0</v>
      </c>
    </row>
    <row r="309" spans="2:34">
      <c r="B309" s="235"/>
      <c r="C309" s="695"/>
      <c r="D309" s="697"/>
      <c r="E309" s="258"/>
      <c r="F309" s="241"/>
      <c r="G309" s="247" t="s">
        <v>485</v>
      </c>
      <c r="H309" s="242" t="e">
        <f>HLOOKUP("GFRP"&amp;perim_zone&amp;"_FLOOR:Surface Outside Temperature[C](Hourly)",'Eplus results'!1:65536,'graph data'!D4,FALSE)</f>
        <v>#N/A</v>
      </c>
      <c r="I309" s="241"/>
      <c r="J309" s="241"/>
      <c r="K309" s="259"/>
      <c r="L309" s="254"/>
      <c r="M309" s="255"/>
      <c r="N309" s="255"/>
      <c r="O309" s="260"/>
      <c r="P309" s="256"/>
      <c r="Q309" s="235"/>
      <c r="R309" s="235"/>
      <c r="AB309" s="580">
        <f>HLOOKUP("*"&amp;'Output annual'!$AC$2&amp;'Output annual'!$AD$2&amp;"*Zone People Number Of Occupants [](Hourly)",'Eplus results'!$1:$1048576,ROW(),FALSE)</f>
        <v>0</v>
      </c>
      <c r="AC309" s="580">
        <f>HLOOKUP("*"&amp;'Output annual'!$AC$2&amp;'Output annual'!$AD$2&amp;"*FangerPMV(Hourly)",'Eplus results'!$1:$1048576,ROW(),FALSE)</f>
        <v>0</v>
      </c>
      <c r="AD309" s="580">
        <f t="shared" si="53"/>
        <v>5</v>
      </c>
      <c r="AE309" s="580">
        <f t="shared" si="54"/>
        <v>2.5</v>
      </c>
      <c r="AF309" s="580">
        <f t="shared" si="55"/>
        <v>2.5</v>
      </c>
      <c r="AG309" s="580">
        <f t="shared" si="56"/>
        <v>0</v>
      </c>
      <c r="AH309" s="580">
        <f t="shared" si="57"/>
        <v>0</v>
      </c>
    </row>
    <row r="310" spans="2:34">
      <c r="B310" s="235"/>
      <c r="C310" s="695"/>
      <c r="D310" s="698" t="s">
        <v>522</v>
      </c>
      <c r="E310" s="258"/>
      <c r="F310" s="241"/>
      <c r="G310" s="241"/>
      <c r="H310" s="242"/>
      <c r="I310" s="241"/>
      <c r="J310" s="241"/>
      <c r="K310" s="259" t="s">
        <v>487</v>
      </c>
      <c r="L310" s="254">
        <f>HLOOKUP("GF"&amp;perim_zone&amp;"_Ceiling:Surface Int Convection Heat Rate [W](Hourly)",'Eplus results'!1:65536,'graph data'!D4,FALSE)</f>
        <v>373.941510897699</v>
      </c>
      <c r="M310" s="255"/>
      <c r="N310" s="255"/>
      <c r="O310" s="260"/>
      <c r="P310" s="256"/>
      <c r="Q310" s="235"/>
      <c r="R310" s="235"/>
      <c r="AB310" s="580">
        <f>HLOOKUP("*"&amp;'Output annual'!$AC$2&amp;'Output annual'!$AD$2&amp;"*Zone People Number Of Occupants [](Hourly)",'Eplus results'!$1:$1048576,ROW(),FALSE)</f>
        <v>0</v>
      </c>
      <c r="AC310" s="580">
        <f>HLOOKUP("*"&amp;'Output annual'!$AC$2&amp;'Output annual'!$AD$2&amp;"*FangerPMV(Hourly)",'Eplus results'!$1:$1048576,ROW(),FALSE)</f>
        <v>0</v>
      </c>
      <c r="AD310" s="580">
        <f t="shared" si="53"/>
        <v>5</v>
      </c>
      <c r="AE310" s="580">
        <f t="shared" si="54"/>
        <v>2.5</v>
      </c>
      <c r="AF310" s="580">
        <f t="shared" si="55"/>
        <v>2.5</v>
      </c>
      <c r="AG310" s="580">
        <f t="shared" si="56"/>
        <v>0</v>
      </c>
      <c r="AH310" s="580">
        <f t="shared" si="57"/>
        <v>0</v>
      </c>
    </row>
    <row r="311" spans="2:34">
      <c r="B311" s="235"/>
      <c r="C311" s="695"/>
      <c r="D311" s="698"/>
      <c r="E311" s="258" t="s">
        <v>511</v>
      </c>
      <c r="F311" s="241"/>
      <c r="G311" s="247" t="s">
        <v>486</v>
      </c>
      <c r="H311" s="242" t="e">
        <f>HLOOKUP("GF"&amp;perim_zone&amp;":UF Mixed Subzone Temperature[C](Hourly)",'Eplus results'!1:65536,'graph data'!D4, FALSE)</f>
        <v>#N/A</v>
      </c>
      <c r="I311" s="241"/>
      <c r="J311" s="241"/>
      <c r="K311" s="259"/>
      <c r="L311" s="254"/>
      <c r="M311" s="255"/>
      <c r="N311" s="255"/>
      <c r="O311" s="260"/>
      <c r="P311" s="256"/>
      <c r="Q311" s="235"/>
      <c r="R311" s="235"/>
      <c r="AB311" s="580">
        <f>HLOOKUP("*"&amp;'Output annual'!$AC$2&amp;'Output annual'!$AD$2&amp;"*Zone People Number Of Occupants [](Hourly)",'Eplus results'!$1:$1048576,ROW(),FALSE)</f>
        <v>0</v>
      </c>
      <c r="AC311" s="580">
        <f>HLOOKUP("*"&amp;'Output annual'!$AC$2&amp;'Output annual'!$AD$2&amp;"*FangerPMV(Hourly)",'Eplus results'!$1:$1048576,ROW(),FALSE)</f>
        <v>0</v>
      </c>
      <c r="AD311" s="580">
        <f t="shared" si="53"/>
        <v>5</v>
      </c>
      <c r="AE311" s="580">
        <f t="shared" si="54"/>
        <v>2.5</v>
      </c>
      <c r="AF311" s="580">
        <f t="shared" si="55"/>
        <v>2.5</v>
      </c>
      <c r="AG311" s="580">
        <f t="shared" si="56"/>
        <v>0</v>
      </c>
      <c r="AH311" s="580">
        <f t="shared" si="57"/>
        <v>0</v>
      </c>
    </row>
    <row r="312" spans="2:34">
      <c r="B312" s="235"/>
      <c r="C312" s="695"/>
      <c r="D312" s="698"/>
      <c r="E312" s="258"/>
      <c r="F312" s="241"/>
      <c r="G312" s="241"/>
      <c r="H312" s="242"/>
      <c r="I312" s="241"/>
      <c r="J312" s="241"/>
      <c r="K312" s="259"/>
      <c r="L312" s="254"/>
      <c r="M312" s="255"/>
      <c r="N312" s="255"/>
      <c r="O312" s="260"/>
      <c r="P312" s="256" t="s">
        <v>458</v>
      </c>
      <c r="Q312" s="235"/>
      <c r="R312" s="235"/>
      <c r="AB312" s="580">
        <f>HLOOKUP("*"&amp;'Output annual'!$AC$2&amp;'Output annual'!$AD$2&amp;"*Zone People Number Of Occupants [](Hourly)",'Eplus results'!$1:$1048576,ROW(),FALSE)</f>
        <v>0</v>
      </c>
      <c r="AC312" s="580">
        <f>HLOOKUP("*"&amp;'Output annual'!$AC$2&amp;'Output annual'!$AD$2&amp;"*FangerPMV(Hourly)",'Eplus results'!$1:$1048576,ROW(),FALSE)</f>
        <v>0</v>
      </c>
      <c r="AD312" s="580">
        <f t="shared" si="53"/>
        <v>5</v>
      </c>
      <c r="AE312" s="580">
        <f t="shared" si="54"/>
        <v>2.5</v>
      </c>
      <c r="AF312" s="580">
        <f t="shared" si="55"/>
        <v>2.5</v>
      </c>
      <c r="AG312" s="580">
        <f t="shared" si="56"/>
        <v>0</v>
      </c>
      <c r="AH312" s="580">
        <f t="shared" si="57"/>
        <v>0</v>
      </c>
    </row>
    <row r="313" spans="2:34">
      <c r="B313" s="235"/>
      <c r="C313" s="695"/>
      <c r="D313" s="698"/>
      <c r="E313" s="258"/>
      <c r="F313" s="241"/>
      <c r="G313" s="241"/>
      <c r="H313" s="242"/>
      <c r="I313" s="241"/>
      <c r="J313" s="241"/>
      <c r="K313" s="259"/>
      <c r="L313" s="254"/>
      <c r="M313" s="255" t="s">
        <v>519</v>
      </c>
      <c r="N313" s="255" t="e">
        <f>HLOOKUP("GF"&amp;perim_zone&amp;":Zone/Sys Sensible Cooling Rate[W](Hourly)",'Eplus results'!1:65536,'graph data'!D4,FALSE)</f>
        <v>#N/A</v>
      </c>
      <c r="O313" s="260" t="s">
        <v>158</v>
      </c>
      <c r="P313" s="256" t="e">
        <f>N313/(N315+N316+L315)</f>
        <v>#N/A</v>
      </c>
      <c r="Q313" s="235"/>
      <c r="R313" s="235"/>
      <c r="AB313" s="580">
        <f>HLOOKUP("*"&amp;'Output annual'!$AC$2&amp;'Output annual'!$AD$2&amp;"*Zone People Number Of Occupants [](Hourly)",'Eplus results'!$1:$1048576,ROW(),FALSE)</f>
        <v>0</v>
      </c>
      <c r="AC313" s="580">
        <f>HLOOKUP("*"&amp;'Output annual'!$AC$2&amp;'Output annual'!$AD$2&amp;"*FangerPMV(Hourly)",'Eplus results'!$1:$1048576,ROW(),FALSE)</f>
        <v>0</v>
      </c>
      <c r="AD313" s="580">
        <f t="shared" si="53"/>
        <v>5</v>
      </c>
      <c r="AE313" s="580">
        <f t="shared" si="54"/>
        <v>2.5</v>
      </c>
      <c r="AF313" s="580">
        <f t="shared" si="55"/>
        <v>2.5</v>
      </c>
      <c r="AG313" s="580">
        <f t="shared" si="56"/>
        <v>0</v>
      </c>
      <c r="AH313" s="580">
        <f t="shared" si="57"/>
        <v>0</v>
      </c>
    </row>
    <row r="314" spans="2:34">
      <c r="B314" s="235"/>
      <c r="C314" s="695"/>
      <c r="D314" s="698"/>
      <c r="E314" s="258"/>
      <c r="F314" s="241"/>
      <c r="G314" s="241"/>
      <c r="H314" s="242"/>
      <c r="I314" s="241"/>
      <c r="J314" s="241"/>
      <c r="K314" s="259"/>
      <c r="L314" s="254"/>
      <c r="M314" s="255"/>
      <c r="N314" s="255"/>
      <c r="O314" s="260"/>
      <c r="P314" s="256"/>
      <c r="Q314" s="235"/>
      <c r="R314" s="235"/>
      <c r="AB314" s="580">
        <f>HLOOKUP("*"&amp;'Output annual'!$AC$2&amp;'Output annual'!$AD$2&amp;"*Zone People Number Of Occupants [](Hourly)",'Eplus results'!$1:$1048576,ROW(),FALSE)</f>
        <v>0</v>
      </c>
      <c r="AC314" s="580">
        <f>HLOOKUP("*"&amp;'Output annual'!$AC$2&amp;'Output annual'!$AD$2&amp;"*FangerPMV(Hourly)",'Eplus results'!$1:$1048576,ROW(),FALSE)</f>
        <v>0</v>
      </c>
      <c r="AD314" s="580">
        <f t="shared" si="53"/>
        <v>5</v>
      </c>
      <c r="AE314" s="580">
        <f t="shared" si="54"/>
        <v>2.5</v>
      </c>
      <c r="AF314" s="580">
        <f t="shared" si="55"/>
        <v>2.5</v>
      </c>
      <c r="AG314" s="580">
        <f t="shared" si="56"/>
        <v>0</v>
      </c>
      <c r="AH314" s="580">
        <f t="shared" si="57"/>
        <v>0</v>
      </c>
    </row>
    <row r="315" spans="2:34">
      <c r="B315" s="235"/>
      <c r="C315" s="695"/>
      <c r="D315" s="698"/>
      <c r="E315" s="258" t="s">
        <v>510</v>
      </c>
      <c r="F315" s="241"/>
      <c r="G315" s="247" t="s">
        <v>486</v>
      </c>
      <c r="H315" s="242" t="e">
        <f>IF(RunType="OH",HLOOKUP("GF"&amp;perim_zone&amp;":Zone/Sys Air Temperature[C](Hourly)",'Eplus results'!1:65536,'graph data'!D4, FALSE), HLOOKUP("GF"&amp;perim_zone&amp;":UF Occupied Subzone Temperature[C](Hourly)",'Eplus results'!1:65536,'graph data'!D4, FALSE))</f>
        <v>#N/A</v>
      </c>
      <c r="I315" s="241"/>
      <c r="J315" s="241"/>
      <c r="K315" s="281" t="s">
        <v>529</v>
      </c>
      <c r="L315" s="254">
        <f>HLOOKUP("GF"&amp;perim_zone&amp;"_WALL_"&amp;LEFT(perim_zone, 1)&amp;":Surface Int Convection Heat Rate [W](Hourly)",'Eplus results'!1:65536,'graph data'!D4,FALSE)</f>
        <v>180.046876376092</v>
      </c>
      <c r="M315" s="255" t="s">
        <v>459</v>
      </c>
      <c r="N315" s="255">
        <f>(HLOOKUP("GF"&amp;perim_zone&amp;":Zone Total Internal Convective Heat Gain [J](Hourly)",'Eplus results'!1:65536,'graph data'!D4,FALSE)/3600)</f>
        <v>1930.7609296206861</v>
      </c>
      <c r="O315" s="260"/>
      <c r="P315" s="256"/>
      <c r="Q315" s="235"/>
      <c r="R315" s="235"/>
      <c r="AB315" s="580">
        <f>HLOOKUP("*"&amp;'Output annual'!$AC$2&amp;'Output annual'!$AD$2&amp;"*Zone People Number Of Occupants [](Hourly)",'Eplus results'!$1:$1048576,ROW(),FALSE)</f>
        <v>0</v>
      </c>
      <c r="AC315" s="580">
        <f>HLOOKUP("*"&amp;'Output annual'!$AC$2&amp;'Output annual'!$AD$2&amp;"*FangerPMV(Hourly)",'Eplus results'!$1:$1048576,ROW(),FALSE)</f>
        <v>0</v>
      </c>
      <c r="AD315" s="580">
        <f t="shared" si="53"/>
        <v>5</v>
      </c>
      <c r="AE315" s="580">
        <f t="shared" si="54"/>
        <v>2.5</v>
      </c>
      <c r="AF315" s="580">
        <f t="shared" si="55"/>
        <v>2.5</v>
      </c>
      <c r="AG315" s="580">
        <f t="shared" si="56"/>
        <v>0</v>
      </c>
      <c r="AH315" s="580">
        <f t="shared" si="57"/>
        <v>0</v>
      </c>
    </row>
    <row r="316" spans="2:34">
      <c r="B316" s="235"/>
      <c r="C316" s="695"/>
      <c r="D316" s="698"/>
      <c r="E316" s="258"/>
      <c r="F316" s="241"/>
      <c r="G316" s="241"/>
      <c r="H316" s="242"/>
      <c r="I316" s="241"/>
      <c r="J316" s="241"/>
      <c r="K316" s="259"/>
      <c r="L316" s="254"/>
      <c r="M316" s="255" t="s">
        <v>460</v>
      </c>
      <c r="N316" s="255">
        <f>HLOOKUP("GF"&amp;perim_zone&amp;":Zone Window Heat Gain[W](Hourly)",'Eplus results'!1:65536,'graph data'!D4,FALSE)</f>
        <v>7766.4565826090902</v>
      </c>
      <c r="O316" s="260"/>
      <c r="P316" s="256"/>
      <c r="Q316" s="255">
        <f>N315+L315+L307+L306+L305</f>
        <v>2288.1833122976691</v>
      </c>
      <c r="R316" s="235"/>
      <c r="AB316" s="580">
        <f>HLOOKUP("*"&amp;'Output annual'!$AC$2&amp;'Output annual'!$AD$2&amp;"*Zone People Number Of Occupants [](Hourly)",'Eplus results'!$1:$1048576,ROW(),FALSE)</f>
        <v>0</v>
      </c>
      <c r="AC316" s="580">
        <f>HLOOKUP("*"&amp;'Output annual'!$AC$2&amp;'Output annual'!$AD$2&amp;"*FangerPMV(Hourly)",'Eplus results'!$1:$1048576,ROW(),FALSE)</f>
        <v>0</v>
      </c>
      <c r="AD316" s="580">
        <f t="shared" si="53"/>
        <v>5</v>
      </c>
      <c r="AE316" s="580">
        <f t="shared" si="54"/>
        <v>2.5</v>
      </c>
      <c r="AF316" s="580">
        <f t="shared" si="55"/>
        <v>2.5</v>
      </c>
      <c r="AG316" s="580">
        <f t="shared" si="56"/>
        <v>0</v>
      </c>
      <c r="AH316" s="580">
        <f t="shared" si="57"/>
        <v>0</v>
      </c>
    </row>
    <row r="317" spans="2:34">
      <c r="B317" s="235"/>
      <c r="C317" s="695"/>
      <c r="D317" s="698"/>
      <c r="E317" s="258"/>
      <c r="F317" s="241"/>
      <c r="G317" s="241"/>
      <c r="H317" s="242"/>
      <c r="I317" s="241"/>
      <c r="J317" s="241"/>
      <c r="K317" s="259" t="s">
        <v>487</v>
      </c>
      <c r="L317" s="254">
        <f>HLOOKUP("GF"&amp;perim_zone&amp;"_Floor:Surface Int Convection Heat Rate [W](Hourly)",'Eplus results'!1:65536,'graph data'!D4,FALSE)</f>
        <v>309.18018483429</v>
      </c>
      <c r="M317" s="255"/>
      <c r="N317" s="255"/>
      <c r="O317" s="260"/>
      <c r="P317" s="256"/>
      <c r="Q317" s="235"/>
      <c r="R317" s="235"/>
      <c r="AB317" s="580">
        <f>HLOOKUP("*"&amp;'Output annual'!$AC$2&amp;'Output annual'!$AD$2&amp;"*Zone People Number Of Occupants [](Hourly)",'Eplus results'!$1:$1048576,ROW(),FALSE)</f>
        <v>0</v>
      </c>
      <c r="AC317" s="580">
        <f>HLOOKUP("*"&amp;'Output annual'!$AC$2&amp;'Output annual'!$AD$2&amp;"*FangerPMV(Hourly)",'Eplus results'!$1:$1048576,ROW(),FALSE)</f>
        <v>0</v>
      </c>
      <c r="AD317" s="580">
        <f t="shared" si="53"/>
        <v>5</v>
      </c>
      <c r="AE317" s="580">
        <f t="shared" si="54"/>
        <v>2.5</v>
      </c>
      <c r="AF317" s="580">
        <f t="shared" si="55"/>
        <v>2.5</v>
      </c>
      <c r="AG317" s="580">
        <f t="shared" si="56"/>
        <v>0</v>
      </c>
      <c r="AH317" s="580">
        <f t="shared" si="57"/>
        <v>0</v>
      </c>
    </row>
    <row r="318" spans="2:34">
      <c r="B318" s="235"/>
      <c r="C318" s="695"/>
      <c r="D318" s="697" t="s">
        <v>523</v>
      </c>
      <c r="E318" s="258"/>
      <c r="F318" s="241"/>
      <c r="G318" s="247" t="s">
        <v>485</v>
      </c>
      <c r="H318" s="242" t="e">
        <f>HLOOKUP("GFSP"&amp;perim_zone&amp;"_CEILING:Surface Outside Temperature[C](Hourly)",'Eplus results'!1:65536,'graph data'!D4,FALSE)</f>
        <v>#N/A</v>
      </c>
      <c r="I318" s="241"/>
      <c r="J318" s="241"/>
      <c r="K318" s="259"/>
      <c r="L318" s="254"/>
      <c r="M318" s="235"/>
      <c r="N318" s="255"/>
      <c r="O318" s="260"/>
      <c r="P318" s="256"/>
      <c r="Q318" s="235"/>
      <c r="R318" s="235"/>
      <c r="AB318" s="580">
        <f>HLOOKUP("*"&amp;'Output annual'!$AC$2&amp;'Output annual'!$AD$2&amp;"*Zone People Number Of Occupants [](Hourly)",'Eplus results'!$1:$1048576,ROW(),FALSE)</f>
        <v>0</v>
      </c>
      <c r="AC318" s="580">
        <f>HLOOKUP("*"&amp;'Output annual'!$AC$2&amp;'Output annual'!$AD$2&amp;"*FangerPMV(Hourly)",'Eplus results'!$1:$1048576,ROW(),FALSE)</f>
        <v>0</v>
      </c>
      <c r="AD318" s="580">
        <f t="shared" si="53"/>
        <v>5</v>
      </c>
      <c r="AE318" s="580">
        <f t="shared" si="54"/>
        <v>2.5</v>
      </c>
      <c r="AF318" s="580">
        <f t="shared" si="55"/>
        <v>2.5</v>
      </c>
      <c r="AG318" s="580">
        <f t="shared" si="56"/>
        <v>0</v>
      </c>
      <c r="AH318" s="580">
        <f t="shared" si="57"/>
        <v>0</v>
      </c>
    </row>
    <row r="319" spans="2:34">
      <c r="B319" s="235"/>
      <c r="C319" s="695"/>
      <c r="D319" s="697"/>
      <c r="E319" s="258"/>
      <c r="F319" s="241"/>
      <c r="G319" s="247" t="s">
        <v>485</v>
      </c>
      <c r="H319" s="242" t="e">
        <f>HLOOKUP("GFSP"&amp;perim_zone&amp;"_CEILING:Surface Inside Temperature[C](Hourly)",'Eplus results'!1:65536,'graph data'!D4,FALSE)</f>
        <v>#N/A</v>
      </c>
      <c r="I319" s="241"/>
      <c r="J319" s="241"/>
      <c r="K319" s="259"/>
      <c r="L319" s="284"/>
      <c r="M319" s="255"/>
      <c r="N319" s="255"/>
      <c r="O319" s="260"/>
      <c r="P319" s="256"/>
      <c r="Q319" s="235"/>
      <c r="R319" s="235"/>
      <c r="AB319" s="580">
        <f>HLOOKUP("*"&amp;'Output annual'!$AC$2&amp;'Output annual'!$AD$2&amp;"*Zone People Number Of Occupants [](Hourly)",'Eplus results'!$1:$1048576,ROW(),FALSE)</f>
        <v>0</v>
      </c>
      <c r="AC319" s="580">
        <f>HLOOKUP("*"&amp;'Output annual'!$AC$2&amp;'Output annual'!$AD$2&amp;"*FangerPMV(Hourly)",'Eplus results'!$1:$1048576,ROW(),FALSE)</f>
        <v>0</v>
      </c>
      <c r="AD319" s="580">
        <f t="shared" si="53"/>
        <v>5</v>
      </c>
      <c r="AE319" s="580">
        <f t="shared" si="54"/>
        <v>2.5</v>
      </c>
      <c r="AF319" s="580">
        <f t="shared" si="55"/>
        <v>2.5</v>
      </c>
      <c r="AG319" s="580">
        <f t="shared" si="56"/>
        <v>0</v>
      </c>
      <c r="AH319" s="580">
        <f t="shared" si="57"/>
        <v>0</v>
      </c>
    </row>
    <row r="320" spans="2:34">
      <c r="B320" s="235"/>
      <c r="C320" s="695"/>
      <c r="D320" s="235"/>
      <c r="E320" s="258"/>
      <c r="F320" s="241"/>
      <c r="G320" s="241"/>
      <c r="H320" s="242"/>
      <c r="I320" s="241"/>
      <c r="J320" s="241"/>
      <c r="K320" s="259" t="s">
        <v>487</v>
      </c>
      <c r="L320" s="254">
        <f>HLOOKUP("GFSP"&amp;perim_zone&amp;"_Ceiling:Surface Int Convection Heat Rate [W](Hourly)",'Eplus results'!1:65536,'graph data'!D4,FALSE)</f>
        <v>678.78234062988099</v>
      </c>
      <c r="M320" s="255"/>
      <c r="N320" s="255"/>
      <c r="O320" s="260"/>
      <c r="P320" s="256" t="s">
        <v>458</v>
      </c>
      <c r="Q320" s="235"/>
      <c r="R320" s="235"/>
      <c r="AB320" s="580">
        <f>HLOOKUP("*"&amp;'Output annual'!$AC$2&amp;'Output annual'!$AD$2&amp;"*Zone People Number Of Occupants [](Hourly)",'Eplus results'!$1:$1048576,ROW(),FALSE)</f>
        <v>0</v>
      </c>
      <c r="AC320" s="580">
        <f>HLOOKUP("*"&amp;'Output annual'!$AC$2&amp;'Output annual'!$AD$2&amp;"*FangerPMV(Hourly)",'Eplus results'!$1:$1048576,ROW(),FALSE)</f>
        <v>0</v>
      </c>
      <c r="AD320" s="580">
        <f t="shared" si="53"/>
        <v>5</v>
      </c>
      <c r="AE320" s="580">
        <f t="shared" si="54"/>
        <v>2.5</v>
      </c>
      <c r="AF320" s="580">
        <f t="shared" si="55"/>
        <v>2.5</v>
      </c>
      <c r="AG320" s="580">
        <f t="shared" si="56"/>
        <v>0</v>
      </c>
      <c r="AH320" s="580">
        <f t="shared" si="57"/>
        <v>0</v>
      </c>
    </row>
    <row r="321" spans="2:34">
      <c r="B321" s="235"/>
      <c r="C321" s="695"/>
      <c r="D321" s="257"/>
      <c r="E321" s="258" t="s">
        <v>3</v>
      </c>
      <c r="F321" s="241"/>
      <c r="G321" s="247" t="s">
        <v>486</v>
      </c>
      <c r="H321" s="242" t="e">
        <f>HLOOKUP("GFSP"&amp;perim_zone&amp;":Zone/Sys Air Temperature[C](Hourly)",'Eplus results'!1:65536,'graph data'!D4, FALSE)</f>
        <v>#N/A</v>
      </c>
      <c r="I321" s="241"/>
      <c r="J321" s="241"/>
      <c r="K321" s="281" t="s">
        <v>529</v>
      </c>
      <c r="L321" s="254">
        <f>HLOOKUP("GFSP"&amp;perim_zone&amp;"_WALL_"&amp;LEFT(perim_zone, 1)&amp;":Surface Int Convection Heat Rate [W](Hourly)",'Eplus results'!1:65536,'graph data'!D4,FALSE)</f>
        <v>89.551892226220005</v>
      </c>
      <c r="M321" s="255" t="s">
        <v>520</v>
      </c>
      <c r="N321" s="255" t="e">
        <f>HLOOKUP("GFSP"&amp;perim_zone&amp;":Zone/Sys Sensible Cooling Rate[W](Hourly)",'Eplus results'!1:65536,'graph data'!D4,FALSE)</f>
        <v>#N/A</v>
      </c>
      <c r="O321" s="260" t="s">
        <v>158</v>
      </c>
      <c r="P321" s="256" t="e">
        <f>N321/(L320+L322+L321)</f>
        <v>#N/A</v>
      </c>
      <c r="Q321" s="235"/>
      <c r="R321" s="235"/>
      <c r="AB321" s="580">
        <f>HLOOKUP("*"&amp;'Output annual'!$AC$2&amp;'Output annual'!$AD$2&amp;"*Zone People Number Of Occupants [](Hourly)",'Eplus results'!$1:$1048576,ROW(),FALSE)</f>
        <v>0</v>
      </c>
      <c r="AC321" s="580">
        <f>HLOOKUP("*"&amp;'Output annual'!$AC$2&amp;'Output annual'!$AD$2&amp;"*FangerPMV(Hourly)",'Eplus results'!$1:$1048576,ROW(),FALSE)</f>
        <v>0</v>
      </c>
      <c r="AD321" s="580">
        <f t="shared" si="53"/>
        <v>5</v>
      </c>
      <c r="AE321" s="580">
        <f t="shared" si="54"/>
        <v>2.5</v>
      </c>
      <c r="AF321" s="580">
        <f t="shared" si="55"/>
        <v>2.5</v>
      </c>
      <c r="AG321" s="580">
        <f t="shared" si="56"/>
        <v>0</v>
      </c>
      <c r="AH321" s="580">
        <f t="shared" si="57"/>
        <v>0</v>
      </c>
    </row>
    <row r="322" spans="2:34" ht="13.5" thickBot="1">
      <c r="B322" s="235"/>
      <c r="C322" s="696"/>
      <c r="D322" s="261"/>
      <c r="E322" s="279"/>
      <c r="F322" s="263"/>
      <c r="G322" s="263"/>
      <c r="H322" s="264"/>
      <c r="I322" s="263"/>
      <c r="J322" s="263"/>
      <c r="K322" s="265" t="s">
        <v>487</v>
      </c>
      <c r="L322" s="254">
        <f>IF(RunType="OH",HLOOKUP("GF"&amp;perim_zone&amp;"_FLOOR:Surface Int Convection Heat Rate [W](Hourly)",'Eplus results'!1:65536,'graph data'!D4, FALSE), HLOOKUP("GFSP"&amp;perim_zone&amp;"_Floor:Surface Int Convection Heat Rate [W](Hourly)",'Eplus results'!1:65536,'graph data'!D4,FALSE))</f>
        <v>349.04579150390498</v>
      </c>
      <c r="M322" s="255"/>
      <c r="N322" s="235"/>
      <c r="O322" s="235"/>
      <c r="P322" s="235"/>
      <c r="Q322" s="235"/>
      <c r="R322" s="235"/>
      <c r="AB322" s="580">
        <f>HLOOKUP("*"&amp;'Output annual'!$AC$2&amp;'Output annual'!$AD$2&amp;"*Zone People Number Of Occupants [](Hourly)",'Eplus results'!$1:$1048576,ROW(),FALSE)</f>
        <v>0</v>
      </c>
      <c r="AC322" s="580">
        <f>HLOOKUP("*"&amp;'Output annual'!$AC$2&amp;'Output annual'!$AD$2&amp;"*FangerPMV(Hourly)",'Eplus results'!$1:$1048576,ROW(),FALSE)</f>
        <v>0</v>
      </c>
      <c r="AD322" s="580">
        <f t="shared" si="53"/>
        <v>5</v>
      </c>
      <c r="AE322" s="580">
        <f t="shared" si="54"/>
        <v>2.5</v>
      </c>
      <c r="AF322" s="580">
        <f t="shared" si="55"/>
        <v>2.5</v>
      </c>
      <c r="AG322" s="580">
        <f t="shared" si="56"/>
        <v>0</v>
      </c>
      <c r="AH322" s="580">
        <f t="shared" si="57"/>
        <v>0</v>
      </c>
    </row>
    <row r="323" spans="2:34">
      <c r="B323" s="235"/>
      <c r="C323" s="236"/>
      <c r="D323" s="238"/>
      <c r="E323" s="241"/>
      <c r="F323" s="241"/>
      <c r="G323" s="247" t="s">
        <v>485</v>
      </c>
      <c r="H323" s="242" t="e">
        <f>IF(RunType="OH",HLOOKUP("GF"&amp;perim_zone&amp;"_FLOOR:Surface Inside Temperature[C](Hourly)",'Eplus results'!1:65536,'graph data'!D4, FALSE), HLOOKUP("GFSP"&amp;perim_zone&amp;"_FLOOR:Surface Inside Temperature[C](Hourly)",'Eplus results'!1:65536,'graph data'!D4,FALSE))</f>
        <v>#N/A</v>
      </c>
      <c r="I323" s="241"/>
      <c r="J323" s="241"/>
      <c r="K323" s="241" t="s">
        <v>530</v>
      </c>
      <c r="L323" s="269" t="e">
        <f>IF(RunType="OH",HLOOKUP("GF"&amp;perim_zone&amp;"_FLOOR:Opaque Surface Inside Face Conduction[W](Hourly)",'Eplus results'!1:65536,'graph data'!D4,FALSE), HLOOKUP("GFSP"&amp;perim_zone&amp;"_FLOOR:Opaque Surface Inside Face Conduction[W](Hourly)",'Eplus results'!1:65536,'graph data'!D4,FALSE))</f>
        <v>#N/A</v>
      </c>
      <c r="M323" s="270"/>
      <c r="N323" s="235"/>
      <c r="O323" s="235"/>
      <c r="P323" s="235"/>
      <c r="Q323" s="235"/>
      <c r="R323" s="235"/>
      <c r="AB323" s="580">
        <f>HLOOKUP("*"&amp;'Output annual'!$AC$2&amp;'Output annual'!$AD$2&amp;"*Zone People Number Of Occupants [](Hourly)",'Eplus results'!$1:$1048576,ROW(),FALSE)</f>
        <v>0</v>
      </c>
      <c r="AC323" s="580">
        <f>HLOOKUP("*"&amp;'Output annual'!$AC$2&amp;'Output annual'!$AD$2&amp;"*FangerPMV(Hourly)",'Eplus results'!$1:$1048576,ROW(),FALSE)</f>
        <v>0</v>
      </c>
      <c r="AD323" s="580">
        <f t="shared" ref="AD323:AD386" si="58">100-95*EXP(-0.03353*AC323^4-0.2179*AC323^2)</f>
        <v>5</v>
      </c>
      <c r="AE323" s="580">
        <f t="shared" ref="AE323:AE386" si="59">AD323*(1/(1+EXP(-6.3*$AC323)))</f>
        <v>2.5</v>
      </c>
      <c r="AF323" s="580">
        <f t="shared" ref="AF323:AF386" si="60">(AD323-AE323)</f>
        <v>2.5</v>
      </c>
      <c r="AG323" s="580">
        <f t="shared" ref="AG323:AG386" si="61">AE323*AB323</f>
        <v>0</v>
      </c>
      <c r="AH323" s="580">
        <f t="shared" ref="AH323:AH386" si="62">AF323*AB323</f>
        <v>0</v>
      </c>
    </row>
    <row r="324" spans="2:34">
      <c r="B324" s="235"/>
      <c r="C324" s="235" t="s">
        <v>513</v>
      </c>
      <c r="D324" s="247"/>
      <c r="E324" s="241"/>
      <c r="F324" s="241"/>
      <c r="G324" s="241"/>
      <c r="H324" s="242"/>
      <c r="I324" s="241"/>
      <c r="J324" s="241"/>
      <c r="K324" s="241"/>
      <c r="L324" s="243"/>
      <c r="M324" s="244"/>
      <c r="N324" s="235"/>
      <c r="O324" s="235"/>
      <c r="P324" s="235"/>
      <c r="Q324" s="235"/>
      <c r="R324" s="235"/>
      <c r="AB324" s="580">
        <f>HLOOKUP("*"&amp;'Output annual'!$AC$2&amp;'Output annual'!$AD$2&amp;"*Zone People Number Of Occupants [](Hourly)",'Eplus results'!$1:$1048576,ROW(),FALSE)</f>
        <v>0</v>
      </c>
      <c r="AC324" s="580">
        <f>HLOOKUP("*"&amp;'Output annual'!$AC$2&amp;'Output annual'!$AD$2&amp;"*FangerPMV(Hourly)",'Eplus results'!$1:$1048576,ROW(),FALSE)</f>
        <v>0</v>
      </c>
      <c r="AD324" s="580">
        <f t="shared" si="58"/>
        <v>5</v>
      </c>
      <c r="AE324" s="580">
        <f t="shared" si="59"/>
        <v>2.5</v>
      </c>
      <c r="AF324" s="580">
        <f t="shared" si="60"/>
        <v>2.5</v>
      </c>
      <c r="AG324" s="580">
        <f t="shared" si="61"/>
        <v>0</v>
      </c>
      <c r="AH324" s="580">
        <f t="shared" si="62"/>
        <v>0</v>
      </c>
    </row>
    <row r="325" spans="2:34">
      <c r="B325" s="235"/>
      <c r="C325" s="245"/>
      <c r="D325" s="271"/>
      <c r="E325" s="246"/>
      <c r="F325" s="246"/>
      <c r="G325" s="271" t="s">
        <v>485</v>
      </c>
      <c r="H325" s="280" t="e">
        <f>IF(RunType="OH",HLOOKUP("GF"&amp;perim_zone&amp;"_FLOOR:Surface Outside Temperature[C](Hourly)",'Eplus results'!1:65536,'graph data'!D4, FALSE), HLOOKUP("GFSP"&amp;perim_zone&amp;"_FLOOR:Surface Outside Temperature[C](Hourly)",'Eplus results'!1:65536,'graph data'!D4,FALSE))</f>
        <v>#N/A</v>
      </c>
      <c r="I325" s="246"/>
      <c r="J325" s="246"/>
      <c r="K325" s="285"/>
      <c r="L325" s="248"/>
      <c r="M325" s="286"/>
      <c r="N325" s="235"/>
      <c r="O325" s="235"/>
      <c r="P325" s="235"/>
      <c r="Q325" s="235"/>
      <c r="R325" s="235"/>
      <c r="AB325" s="580">
        <f>HLOOKUP("*"&amp;'Output annual'!$AC$2&amp;'Output annual'!$AD$2&amp;"*Zone People Number Of Occupants [](Hourly)",'Eplus results'!$1:$1048576,ROW(),FALSE)</f>
        <v>0</v>
      </c>
      <c r="AC325" s="580">
        <f>HLOOKUP("*"&amp;'Output annual'!$AC$2&amp;'Output annual'!$AD$2&amp;"*FangerPMV(Hourly)",'Eplus results'!$1:$1048576,ROW(),FALSE)</f>
        <v>0</v>
      </c>
      <c r="AD325" s="580">
        <f t="shared" si="58"/>
        <v>5</v>
      </c>
      <c r="AE325" s="580">
        <f t="shared" si="59"/>
        <v>2.5</v>
      </c>
      <c r="AF325" s="580">
        <f t="shared" si="60"/>
        <v>2.5</v>
      </c>
      <c r="AG325" s="580">
        <f t="shared" si="61"/>
        <v>0</v>
      </c>
      <c r="AH325" s="580">
        <f t="shared" si="62"/>
        <v>0</v>
      </c>
    </row>
    <row r="326" spans="2:34">
      <c r="AB326" s="580">
        <f>HLOOKUP("*"&amp;'Output annual'!$AC$2&amp;'Output annual'!$AD$2&amp;"*Zone People Number Of Occupants [](Hourly)",'Eplus results'!$1:$1048576,ROW(),FALSE)</f>
        <v>0</v>
      </c>
      <c r="AC326" s="580">
        <f>HLOOKUP("*"&amp;'Output annual'!$AC$2&amp;'Output annual'!$AD$2&amp;"*FangerPMV(Hourly)",'Eplus results'!$1:$1048576,ROW(),FALSE)</f>
        <v>0</v>
      </c>
      <c r="AD326" s="580">
        <f t="shared" si="58"/>
        <v>5</v>
      </c>
      <c r="AE326" s="580">
        <f t="shared" si="59"/>
        <v>2.5</v>
      </c>
      <c r="AF326" s="580">
        <f t="shared" si="60"/>
        <v>2.5</v>
      </c>
      <c r="AG326" s="580">
        <f t="shared" si="61"/>
        <v>0</v>
      </c>
      <c r="AH326" s="580">
        <f t="shared" si="62"/>
        <v>0</v>
      </c>
    </row>
    <row r="327" spans="2:34">
      <c r="AB327" s="580">
        <f>HLOOKUP("*"&amp;'Output annual'!$AC$2&amp;'Output annual'!$AD$2&amp;"*Zone People Number Of Occupants [](Hourly)",'Eplus results'!$1:$1048576,ROW(),FALSE)</f>
        <v>0</v>
      </c>
      <c r="AC327" s="580">
        <f>HLOOKUP("*"&amp;'Output annual'!$AC$2&amp;'Output annual'!$AD$2&amp;"*FangerPMV(Hourly)",'Eplus results'!$1:$1048576,ROW(),FALSE)</f>
        <v>0</v>
      </c>
      <c r="AD327" s="580">
        <f t="shared" si="58"/>
        <v>5</v>
      </c>
      <c r="AE327" s="580">
        <f t="shared" si="59"/>
        <v>2.5</v>
      </c>
      <c r="AF327" s="580">
        <f t="shared" si="60"/>
        <v>2.5</v>
      </c>
      <c r="AG327" s="580">
        <f t="shared" si="61"/>
        <v>0</v>
      </c>
      <c r="AH327" s="580">
        <f t="shared" si="62"/>
        <v>0</v>
      </c>
    </row>
    <row r="328" spans="2:34">
      <c r="AB328" s="580">
        <f>HLOOKUP("*"&amp;'Output annual'!$AC$2&amp;'Output annual'!$AD$2&amp;"*Zone People Number Of Occupants [](Hourly)",'Eplus results'!$1:$1048576,ROW(),FALSE)</f>
        <v>0</v>
      </c>
      <c r="AC328" s="580">
        <f>HLOOKUP("*"&amp;'Output annual'!$AC$2&amp;'Output annual'!$AD$2&amp;"*FangerPMV(Hourly)",'Eplus results'!$1:$1048576,ROW(),FALSE)</f>
        <v>0</v>
      </c>
      <c r="AD328" s="580">
        <f t="shared" si="58"/>
        <v>5</v>
      </c>
      <c r="AE328" s="580">
        <f t="shared" si="59"/>
        <v>2.5</v>
      </c>
      <c r="AF328" s="580">
        <f t="shared" si="60"/>
        <v>2.5</v>
      </c>
      <c r="AG328" s="580">
        <f t="shared" si="61"/>
        <v>0</v>
      </c>
      <c r="AH328" s="580">
        <f t="shared" si="62"/>
        <v>0</v>
      </c>
    </row>
    <row r="329" spans="2:34">
      <c r="AB329" s="580">
        <f>HLOOKUP("*"&amp;'Output annual'!$AC$2&amp;'Output annual'!$AD$2&amp;"*Zone People Number Of Occupants [](Hourly)",'Eplus results'!$1:$1048576,ROW(),FALSE)</f>
        <v>0</v>
      </c>
      <c r="AC329" s="580">
        <f>HLOOKUP("*"&amp;'Output annual'!$AC$2&amp;'Output annual'!$AD$2&amp;"*FangerPMV(Hourly)",'Eplus results'!$1:$1048576,ROW(),FALSE)</f>
        <v>0</v>
      </c>
      <c r="AD329" s="580">
        <f t="shared" si="58"/>
        <v>5</v>
      </c>
      <c r="AE329" s="580">
        <f t="shared" si="59"/>
        <v>2.5</v>
      </c>
      <c r="AF329" s="580">
        <f t="shared" si="60"/>
        <v>2.5</v>
      </c>
      <c r="AG329" s="580">
        <f t="shared" si="61"/>
        <v>0</v>
      </c>
      <c r="AH329" s="580">
        <f t="shared" si="62"/>
        <v>0</v>
      </c>
    </row>
    <row r="330" spans="2:34">
      <c r="B330" s="149" t="str">
        <f>"Thermal Decay for "&amp;floor</f>
        <v>Thermal Decay for MF</v>
      </c>
      <c r="C330" s="149"/>
      <c r="AB330" s="580">
        <f>HLOOKUP("*"&amp;'Output annual'!$AC$2&amp;'Output annual'!$AD$2&amp;"*Zone People Number Of Occupants [](Hourly)",'Eplus results'!$1:$1048576,ROW(),FALSE)</f>
        <v>0</v>
      </c>
      <c r="AC330" s="580">
        <f>HLOOKUP("*"&amp;'Output annual'!$AC$2&amp;'Output annual'!$AD$2&amp;"*FangerPMV(Hourly)",'Eplus results'!$1:$1048576,ROW(),FALSE)</f>
        <v>0</v>
      </c>
      <c r="AD330" s="580">
        <f t="shared" si="58"/>
        <v>5</v>
      </c>
      <c r="AE330" s="580">
        <f t="shared" si="59"/>
        <v>2.5</v>
      </c>
      <c r="AF330" s="580">
        <f t="shared" si="60"/>
        <v>2.5</v>
      </c>
      <c r="AG330" s="580">
        <f t="shared" si="61"/>
        <v>0</v>
      </c>
      <c r="AH330" s="580">
        <f t="shared" si="62"/>
        <v>0</v>
      </c>
    </row>
    <row r="331" spans="2:34">
      <c r="B331" s="149" t="s">
        <v>364</v>
      </c>
      <c r="C331" s="152">
        <f>'graph data'!H33</f>
        <v>8.9795696344406934</v>
      </c>
      <c r="AB331" s="580">
        <f>HLOOKUP("*"&amp;'Output annual'!$AC$2&amp;'Output annual'!$AD$2&amp;"*Zone People Number Of Occupants [](Hourly)",'Eplus results'!$1:$1048576,ROW(),FALSE)</f>
        <v>0</v>
      </c>
      <c r="AC331" s="580">
        <f>HLOOKUP("*"&amp;'Output annual'!$AC$2&amp;'Output annual'!$AD$2&amp;"*FangerPMV(Hourly)",'Eplus results'!$1:$1048576,ROW(),FALSE)</f>
        <v>0</v>
      </c>
      <c r="AD331" s="580">
        <f t="shared" si="58"/>
        <v>5</v>
      </c>
      <c r="AE331" s="580">
        <f t="shared" si="59"/>
        <v>2.5</v>
      </c>
      <c r="AF331" s="580">
        <f t="shared" si="60"/>
        <v>2.5</v>
      </c>
      <c r="AG331" s="580">
        <f t="shared" si="61"/>
        <v>0</v>
      </c>
      <c r="AH331" s="580">
        <f t="shared" si="62"/>
        <v>0</v>
      </c>
    </row>
    <row r="332" spans="2:34">
      <c r="B332" s="149" t="s">
        <v>365</v>
      </c>
      <c r="C332" s="152">
        <f>'graph data'!H34</f>
        <v>8.0996314474252671</v>
      </c>
      <c r="AB332" s="580">
        <f>HLOOKUP("*"&amp;'Output annual'!$AC$2&amp;'Output annual'!$AD$2&amp;"*Zone People Number Of Occupants [](Hourly)",'Eplus results'!$1:$1048576,ROW(),FALSE)</f>
        <v>0</v>
      </c>
      <c r="AC332" s="580">
        <f>HLOOKUP("*"&amp;'Output annual'!$AC$2&amp;'Output annual'!$AD$2&amp;"*FangerPMV(Hourly)",'Eplus results'!$1:$1048576,ROW(),FALSE)</f>
        <v>0</v>
      </c>
      <c r="AD332" s="580">
        <f t="shared" si="58"/>
        <v>5</v>
      </c>
      <c r="AE332" s="580">
        <f t="shared" si="59"/>
        <v>2.5</v>
      </c>
      <c r="AF332" s="580">
        <f t="shared" si="60"/>
        <v>2.5</v>
      </c>
      <c r="AG332" s="580">
        <f t="shared" si="61"/>
        <v>0</v>
      </c>
      <c r="AH332" s="580">
        <f t="shared" si="62"/>
        <v>0</v>
      </c>
    </row>
    <row r="333" spans="2:34">
      <c r="B333" s="149" t="s">
        <v>363</v>
      </c>
      <c r="C333" s="152">
        <f>'graph data'!H35</f>
        <v>8.6324671325125735</v>
      </c>
      <c r="AB333" s="580">
        <f>HLOOKUP("*"&amp;'Output annual'!$AC$2&amp;'Output annual'!$AD$2&amp;"*Zone People Number Of Occupants [](Hourly)",'Eplus results'!$1:$1048576,ROW(),FALSE)</f>
        <v>0</v>
      </c>
      <c r="AC333" s="580">
        <f>HLOOKUP("*"&amp;'Output annual'!$AC$2&amp;'Output annual'!$AD$2&amp;"*FangerPMV(Hourly)",'Eplus results'!$1:$1048576,ROW(),FALSE)</f>
        <v>0</v>
      </c>
      <c r="AD333" s="580">
        <f t="shared" si="58"/>
        <v>5</v>
      </c>
      <c r="AE333" s="580">
        <f t="shared" si="59"/>
        <v>2.5</v>
      </c>
      <c r="AF333" s="580">
        <f t="shared" si="60"/>
        <v>2.5</v>
      </c>
      <c r="AG333" s="580">
        <f t="shared" si="61"/>
        <v>0</v>
      </c>
      <c r="AH333" s="580">
        <f t="shared" si="62"/>
        <v>0</v>
      </c>
    </row>
    <row r="334" spans="2:34">
      <c r="B334" s="149" t="s">
        <v>362</v>
      </c>
      <c r="C334" s="152">
        <f>'graph data'!H36</f>
        <v>8.9917244526707947</v>
      </c>
      <c r="AB334" s="580">
        <f>HLOOKUP("*"&amp;'Output annual'!$AC$2&amp;'Output annual'!$AD$2&amp;"*Zone People Number Of Occupants [](Hourly)",'Eplus results'!$1:$1048576,ROW(),FALSE)</f>
        <v>0</v>
      </c>
      <c r="AC334" s="580">
        <f>HLOOKUP("*"&amp;'Output annual'!$AC$2&amp;'Output annual'!$AD$2&amp;"*FangerPMV(Hourly)",'Eplus results'!$1:$1048576,ROW(),FALSE)</f>
        <v>0</v>
      </c>
      <c r="AD334" s="580">
        <f t="shared" si="58"/>
        <v>5</v>
      </c>
      <c r="AE334" s="580">
        <f t="shared" si="59"/>
        <v>2.5</v>
      </c>
      <c r="AF334" s="580">
        <f t="shared" si="60"/>
        <v>2.5</v>
      </c>
      <c r="AG334" s="580">
        <f t="shared" si="61"/>
        <v>0</v>
      </c>
      <c r="AH334" s="580">
        <f t="shared" si="62"/>
        <v>0</v>
      </c>
    </row>
    <row r="335" spans="2:34">
      <c r="B335" s="149" t="s">
        <v>366</v>
      </c>
      <c r="C335" s="152">
        <f>'graph data'!H37</f>
        <v>4.7929489690516078</v>
      </c>
      <c r="AB335" s="580">
        <f>HLOOKUP("*"&amp;'Output annual'!$AC$2&amp;'Output annual'!$AD$2&amp;"*Zone People Number Of Occupants [](Hourly)",'Eplus results'!$1:$1048576,ROW(),FALSE)</f>
        <v>0</v>
      </c>
      <c r="AC335" s="580">
        <f>HLOOKUP("*"&amp;'Output annual'!$AC$2&amp;'Output annual'!$AD$2&amp;"*FangerPMV(Hourly)",'Eplus results'!$1:$1048576,ROW(),FALSE)</f>
        <v>0</v>
      </c>
      <c r="AD335" s="580">
        <f t="shared" si="58"/>
        <v>5</v>
      </c>
      <c r="AE335" s="580">
        <f t="shared" si="59"/>
        <v>2.5</v>
      </c>
      <c r="AF335" s="580">
        <f t="shared" si="60"/>
        <v>2.5</v>
      </c>
      <c r="AG335" s="580">
        <f t="shared" si="61"/>
        <v>0</v>
      </c>
      <c r="AH335" s="580">
        <f t="shared" si="62"/>
        <v>0</v>
      </c>
    </row>
    <row r="336" spans="2:34">
      <c r="B336" s="149" t="s">
        <v>175</v>
      </c>
      <c r="C336" s="152">
        <f>'graph data'!H38</f>
        <v>7.8992683272201845</v>
      </c>
      <c r="AB336" s="580">
        <f>HLOOKUP("*"&amp;'Output annual'!$AC$2&amp;'Output annual'!$AD$2&amp;"*Zone People Number Of Occupants [](Hourly)",'Eplus results'!$1:$1048576,ROW(),FALSE)</f>
        <v>0</v>
      </c>
      <c r="AC336" s="580">
        <f>HLOOKUP("*"&amp;'Output annual'!$AC$2&amp;'Output annual'!$AD$2&amp;"*FangerPMV(Hourly)",'Eplus results'!$1:$1048576,ROW(),FALSE)</f>
        <v>0</v>
      </c>
      <c r="AD336" s="580">
        <f t="shared" si="58"/>
        <v>5</v>
      </c>
      <c r="AE336" s="580">
        <f t="shared" si="59"/>
        <v>2.5</v>
      </c>
      <c r="AF336" s="580">
        <f t="shared" si="60"/>
        <v>2.5</v>
      </c>
      <c r="AG336" s="580">
        <f t="shared" si="61"/>
        <v>0</v>
      </c>
      <c r="AH336" s="580">
        <f t="shared" si="62"/>
        <v>0</v>
      </c>
    </row>
    <row r="337" spans="2:34">
      <c r="AB337" s="580">
        <f>HLOOKUP("*"&amp;'Output annual'!$AC$2&amp;'Output annual'!$AD$2&amp;"*Zone People Number Of Occupants [](Hourly)",'Eplus results'!$1:$1048576,ROW(),FALSE)</f>
        <v>0</v>
      </c>
      <c r="AC337" s="580">
        <f>HLOOKUP("*"&amp;'Output annual'!$AC$2&amp;'Output annual'!$AD$2&amp;"*FangerPMV(Hourly)",'Eplus results'!$1:$1048576,ROW(),FALSE)</f>
        <v>0</v>
      </c>
      <c r="AD337" s="580">
        <f t="shared" si="58"/>
        <v>5</v>
      </c>
      <c r="AE337" s="580">
        <f t="shared" si="59"/>
        <v>2.5</v>
      </c>
      <c r="AF337" s="580">
        <f t="shared" si="60"/>
        <v>2.5</v>
      </c>
      <c r="AG337" s="580">
        <f t="shared" si="61"/>
        <v>0</v>
      </c>
      <c r="AH337" s="580">
        <f t="shared" si="62"/>
        <v>0</v>
      </c>
    </row>
    <row r="338" spans="2:34">
      <c r="B338" s="51"/>
      <c r="C338" s="52"/>
      <c r="D338" s="287"/>
      <c r="E338" s="233"/>
      <c r="AB338" s="580">
        <f>HLOOKUP("*"&amp;'Output annual'!$AC$2&amp;'Output annual'!$AD$2&amp;"*Zone People Number Of Occupants [](Hourly)",'Eplus results'!$1:$1048576,ROW(),FALSE)</f>
        <v>0</v>
      </c>
      <c r="AC338" s="580">
        <f>HLOOKUP("*"&amp;'Output annual'!$AC$2&amp;'Output annual'!$AD$2&amp;"*FangerPMV(Hourly)",'Eplus results'!$1:$1048576,ROW(),FALSE)</f>
        <v>0</v>
      </c>
      <c r="AD338" s="580">
        <f t="shared" si="58"/>
        <v>5</v>
      </c>
      <c r="AE338" s="580">
        <f t="shared" si="59"/>
        <v>2.5</v>
      </c>
      <c r="AF338" s="580">
        <f t="shared" si="60"/>
        <v>2.5</v>
      </c>
      <c r="AG338" s="580">
        <f t="shared" si="61"/>
        <v>0</v>
      </c>
      <c r="AH338" s="580">
        <f t="shared" si="62"/>
        <v>0</v>
      </c>
    </row>
    <row r="339" spans="2:34" ht="15">
      <c r="B339" s="221"/>
      <c r="C339" s="54"/>
      <c r="D339" s="54"/>
      <c r="E339" s="288" t="s">
        <v>475</v>
      </c>
      <c r="AB339" s="580">
        <f>HLOOKUP("*"&amp;'Output annual'!$AC$2&amp;'Output annual'!$AD$2&amp;"*Zone People Number Of Occupants [](Hourly)",'Eplus results'!$1:$1048576,ROW(),FALSE)</f>
        <v>0</v>
      </c>
      <c r="AC339" s="580">
        <f>HLOOKUP("*"&amp;'Output annual'!$AC$2&amp;'Output annual'!$AD$2&amp;"*FangerPMV(Hourly)",'Eplus results'!$1:$1048576,ROW(),FALSE)</f>
        <v>0</v>
      </c>
      <c r="AD339" s="580">
        <f t="shared" si="58"/>
        <v>5</v>
      </c>
      <c r="AE339" s="580">
        <f t="shared" si="59"/>
        <v>2.5</v>
      </c>
      <c r="AF339" s="580">
        <f t="shared" si="60"/>
        <v>2.5</v>
      </c>
      <c r="AG339" s="580">
        <f t="shared" si="61"/>
        <v>0</v>
      </c>
      <c r="AH339" s="580">
        <f t="shared" si="62"/>
        <v>0</v>
      </c>
    </row>
    <row r="340" spans="2:34" ht="15">
      <c r="B340" s="289" t="s">
        <v>350</v>
      </c>
      <c r="C340" s="290" t="e">
        <f>HLOOKUP(floor&amp;Int_zone&amp;":Zone/Sys Sensible Cooling Rate[W](Hourly)",'Eplus results'!1:1048576,'graph data'!D4,FALSE)</f>
        <v>#N/A</v>
      </c>
      <c r="D340" s="291" t="s">
        <v>232</v>
      </c>
      <c r="E340" s="292" t="e">
        <f>C340/'Output hourly'!$D$11</f>
        <v>#N/A</v>
      </c>
      <c r="AB340" s="580">
        <f>HLOOKUP("*"&amp;'Output annual'!$AC$2&amp;'Output annual'!$AD$2&amp;"*Zone People Number Of Occupants [](Hourly)",'Eplus results'!$1:$1048576,ROW(),FALSE)</f>
        <v>0</v>
      </c>
      <c r="AC340" s="580">
        <f>HLOOKUP("*"&amp;'Output annual'!$AC$2&amp;'Output annual'!$AD$2&amp;"*FangerPMV(Hourly)",'Eplus results'!$1:$1048576,ROW(),FALSE)</f>
        <v>0</v>
      </c>
      <c r="AD340" s="580">
        <f t="shared" si="58"/>
        <v>5</v>
      </c>
      <c r="AE340" s="580">
        <f t="shared" si="59"/>
        <v>2.5</v>
      </c>
      <c r="AF340" s="580">
        <f t="shared" si="60"/>
        <v>2.5</v>
      </c>
      <c r="AG340" s="580">
        <f t="shared" si="61"/>
        <v>0</v>
      </c>
      <c r="AH340" s="580">
        <f t="shared" si="62"/>
        <v>0</v>
      </c>
    </row>
    <row r="341" spans="2:34" ht="15">
      <c r="B341" s="293" t="s">
        <v>459</v>
      </c>
      <c r="C341" s="62">
        <f>(HLOOKUP(floor&amp;Int_zone&amp;":Zone Total Internal Total Heat Gain [J](Hourly)",'Eplus results'!1:1048576,'graph data'!D4,FALSE)/3600)</f>
        <v>36175.395115890555</v>
      </c>
      <c r="D341" s="60" t="s">
        <v>232</v>
      </c>
      <c r="E341" s="292">
        <f>C341/'Output hourly'!$D$11</f>
        <v>2.9556906613200971</v>
      </c>
      <c r="AB341" s="580">
        <f>HLOOKUP("*"&amp;'Output annual'!$AC$2&amp;'Output annual'!$AD$2&amp;"*Zone People Number Of Occupants [](Hourly)",'Eplus results'!$1:$1048576,ROW(),FALSE)</f>
        <v>0</v>
      </c>
      <c r="AC341" s="580">
        <f>HLOOKUP("*"&amp;'Output annual'!$AC$2&amp;'Output annual'!$AD$2&amp;"*FangerPMV(Hourly)",'Eplus results'!$1:$1048576,ROW(),FALSE)</f>
        <v>0</v>
      </c>
      <c r="AD341" s="580">
        <f t="shared" si="58"/>
        <v>5</v>
      </c>
      <c r="AE341" s="580">
        <f t="shared" si="59"/>
        <v>2.5</v>
      </c>
      <c r="AF341" s="580">
        <f t="shared" si="60"/>
        <v>2.5</v>
      </c>
      <c r="AG341" s="580">
        <f t="shared" si="61"/>
        <v>0</v>
      </c>
      <c r="AH341" s="580">
        <f t="shared" si="62"/>
        <v>0</v>
      </c>
    </row>
    <row r="342" spans="2:34" ht="15.75">
      <c r="B342" s="293" t="s">
        <v>460</v>
      </c>
      <c r="C342" s="62">
        <f>HLOOKUP(floor&amp;Int_zone&amp;":Zone Window Heat Gain[W](Hourly)",'Eplus results'!1:1048576,'graph data'!D4,FALSE)</f>
        <v>0</v>
      </c>
      <c r="D342" s="60" t="s">
        <v>232</v>
      </c>
      <c r="E342" s="294">
        <f>-1.1*'Output hourly'!H53*('graph data'!C165-'graph data'!C155)/3.41</f>
        <v>2.2439857499879796</v>
      </c>
      <c r="AB342" s="580">
        <f>HLOOKUP("*"&amp;'Output annual'!$AC$2&amp;'Output annual'!$AD$2&amp;"*Zone People Number Of Occupants [](Hourly)",'Eplus results'!$1:$1048576,ROW(),FALSE)</f>
        <v>0</v>
      </c>
      <c r="AC342" s="580">
        <f>HLOOKUP("*"&amp;'Output annual'!$AC$2&amp;'Output annual'!$AD$2&amp;"*FangerPMV(Hourly)",'Eplus results'!$1:$1048576,ROW(),FALSE)</f>
        <v>0</v>
      </c>
      <c r="AD342" s="580">
        <f t="shared" si="58"/>
        <v>5</v>
      </c>
      <c r="AE342" s="580">
        <f t="shared" si="59"/>
        <v>2.5</v>
      </c>
      <c r="AF342" s="580">
        <f t="shared" si="60"/>
        <v>2.5</v>
      </c>
      <c r="AG342" s="580">
        <f t="shared" si="61"/>
        <v>0</v>
      </c>
      <c r="AH342" s="580">
        <f t="shared" si="62"/>
        <v>0</v>
      </c>
    </row>
    <row r="343" spans="2:34" ht="15">
      <c r="B343" s="295" t="s">
        <v>458</v>
      </c>
      <c r="C343" s="296" t="e">
        <f>E340/E341</f>
        <v>#N/A</v>
      </c>
      <c r="D343" s="60"/>
      <c r="E343" s="297"/>
      <c r="AB343" s="580">
        <f>HLOOKUP("*"&amp;'Output annual'!$AC$2&amp;'Output annual'!$AD$2&amp;"*Zone People Number Of Occupants [](Hourly)",'Eplus results'!$1:$1048576,ROW(),FALSE)</f>
        <v>0</v>
      </c>
      <c r="AC343" s="580">
        <f>HLOOKUP("*"&amp;'Output annual'!$AC$2&amp;'Output annual'!$AD$2&amp;"*FangerPMV(Hourly)",'Eplus results'!$1:$1048576,ROW(),FALSE)</f>
        <v>0</v>
      </c>
      <c r="AD343" s="580">
        <f t="shared" si="58"/>
        <v>5</v>
      </c>
      <c r="AE343" s="580">
        <f t="shared" si="59"/>
        <v>2.5</v>
      </c>
      <c r="AF343" s="580">
        <f t="shared" si="60"/>
        <v>2.5</v>
      </c>
      <c r="AG343" s="580">
        <f t="shared" si="61"/>
        <v>0</v>
      </c>
      <c r="AH343" s="580">
        <f t="shared" si="62"/>
        <v>0</v>
      </c>
    </row>
    <row r="344" spans="2:34">
      <c r="B344" s="221"/>
      <c r="C344" s="54"/>
      <c r="D344" s="54"/>
      <c r="E344" s="297"/>
      <c r="AB344" s="580">
        <f>HLOOKUP("*"&amp;'Output annual'!$AC$2&amp;'Output annual'!$AD$2&amp;"*Zone People Number Of Occupants [](Hourly)",'Eplus results'!$1:$1048576,ROW(),FALSE)</f>
        <v>0</v>
      </c>
      <c r="AC344" s="580">
        <f>HLOOKUP("*"&amp;'Output annual'!$AC$2&amp;'Output annual'!$AD$2&amp;"*FangerPMV(Hourly)",'Eplus results'!$1:$1048576,ROW(),FALSE)</f>
        <v>0</v>
      </c>
      <c r="AD344" s="580">
        <f t="shared" si="58"/>
        <v>5</v>
      </c>
      <c r="AE344" s="580">
        <f t="shared" si="59"/>
        <v>2.5</v>
      </c>
      <c r="AF344" s="580">
        <f t="shared" si="60"/>
        <v>2.5</v>
      </c>
      <c r="AG344" s="580">
        <f t="shared" si="61"/>
        <v>0</v>
      </c>
      <c r="AH344" s="580">
        <f t="shared" si="62"/>
        <v>0</v>
      </c>
    </row>
    <row r="345" spans="2:34" ht="15">
      <c r="B345" s="298"/>
      <c r="C345" s="299"/>
      <c r="D345" s="61"/>
      <c r="E345" s="288" t="s">
        <v>475</v>
      </c>
      <c r="AB345" s="580">
        <f>HLOOKUP("*"&amp;'Output annual'!$AC$2&amp;'Output annual'!$AD$2&amp;"*Zone People Number Of Occupants [](Hourly)",'Eplus results'!$1:$1048576,ROW(),FALSE)</f>
        <v>0</v>
      </c>
      <c r="AC345" s="580">
        <f>HLOOKUP("*"&amp;'Output annual'!$AC$2&amp;'Output annual'!$AD$2&amp;"*FangerPMV(Hourly)",'Eplus results'!$1:$1048576,ROW(),FALSE)</f>
        <v>0</v>
      </c>
      <c r="AD345" s="580">
        <f t="shared" si="58"/>
        <v>5</v>
      </c>
      <c r="AE345" s="580">
        <f t="shared" si="59"/>
        <v>2.5</v>
      </c>
      <c r="AF345" s="580">
        <f t="shared" si="60"/>
        <v>2.5</v>
      </c>
      <c r="AG345" s="580">
        <f t="shared" si="61"/>
        <v>0</v>
      </c>
      <c r="AH345" s="580">
        <f t="shared" si="62"/>
        <v>0</v>
      </c>
    </row>
    <row r="346" spans="2:34" ht="15.75">
      <c r="B346" s="289" t="s">
        <v>350</v>
      </c>
      <c r="C346" s="62" t="e">
        <f>HLOOKUP(floor&amp;perim_zone&amp;":Zone/Sys Sensible Cooling Rate[W](Hourly)",'Eplus results'!1:1048576,'graph data'!D4,FALSE)</f>
        <v>#N/A</v>
      </c>
      <c r="D346" s="300" t="s">
        <v>232</v>
      </c>
      <c r="E346" s="294" t="e">
        <f>C346/'Output hourly'!$D$12</f>
        <v>#N/A</v>
      </c>
      <c r="AB346" s="580">
        <f>HLOOKUP("*"&amp;'Output annual'!$AC$2&amp;'Output annual'!$AD$2&amp;"*Zone People Number Of Occupants [](Hourly)",'Eplus results'!$1:$1048576,ROW(),FALSE)</f>
        <v>0</v>
      </c>
      <c r="AC346" s="580">
        <f>HLOOKUP("*"&amp;'Output annual'!$AC$2&amp;'Output annual'!$AD$2&amp;"*FangerPMV(Hourly)",'Eplus results'!$1:$1048576,ROW(),FALSE)</f>
        <v>0</v>
      </c>
      <c r="AD346" s="580">
        <f t="shared" si="58"/>
        <v>5</v>
      </c>
      <c r="AE346" s="580">
        <f t="shared" si="59"/>
        <v>2.5</v>
      </c>
      <c r="AF346" s="580">
        <f t="shared" si="60"/>
        <v>2.5</v>
      </c>
      <c r="AG346" s="580">
        <f t="shared" si="61"/>
        <v>0</v>
      </c>
      <c r="AH346" s="580">
        <f t="shared" si="62"/>
        <v>0</v>
      </c>
    </row>
    <row r="347" spans="2:34" ht="15.75">
      <c r="B347" s="293" t="s">
        <v>459</v>
      </c>
      <c r="C347" s="62">
        <f>HLOOKUP(floor&amp;perim_zone&amp;":Zone Total Internal Total Heat Gain [J](Hourly)",'Eplus results'!1:1048576,'graph data'!D4,FALSE)/3600</f>
        <v>4454.6567641430838</v>
      </c>
      <c r="D347" s="300" t="s">
        <v>232</v>
      </c>
      <c r="E347" s="301">
        <f>C347/'Output hourly'!$D$12</f>
        <v>2.955689999537769</v>
      </c>
      <c r="AB347" s="580">
        <f>HLOOKUP("*"&amp;'Output annual'!$AC$2&amp;'Output annual'!$AD$2&amp;"*Zone People Number Of Occupants [](Hourly)",'Eplus results'!$1:$1048576,ROW(),FALSE)</f>
        <v>0</v>
      </c>
      <c r="AC347" s="580">
        <f>HLOOKUP("*"&amp;'Output annual'!$AC$2&amp;'Output annual'!$AD$2&amp;"*FangerPMV(Hourly)",'Eplus results'!$1:$1048576,ROW(),FALSE)</f>
        <v>0</v>
      </c>
      <c r="AD347" s="580">
        <f t="shared" si="58"/>
        <v>5</v>
      </c>
      <c r="AE347" s="580">
        <f t="shared" si="59"/>
        <v>2.5</v>
      </c>
      <c r="AF347" s="580">
        <f t="shared" si="60"/>
        <v>2.5</v>
      </c>
      <c r="AG347" s="580">
        <f t="shared" si="61"/>
        <v>0</v>
      </c>
      <c r="AH347" s="580">
        <f t="shared" si="62"/>
        <v>0</v>
      </c>
    </row>
    <row r="348" spans="2:34" ht="15.75">
      <c r="B348" s="293" t="s">
        <v>460</v>
      </c>
      <c r="C348" s="302">
        <f>HLOOKUP(floor&amp;perim_zone&amp;":Zone Window Heat Gain[W](Hourly)",'Eplus results'!1:1048576,'graph data'!D4,FALSE)</f>
        <v>8277.1476946265793</v>
      </c>
      <c r="D348" s="303" t="s">
        <v>232</v>
      </c>
      <c r="E348" s="301">
        <f>C348/'Output hourly'!$D$12</f>
        <v>5.4919343870954798</v>
      </c>
      <c r="AB348" s="580">
        <f>HLOOKUP("*"&amp;'Output annual'!$AC$2&amp;'Output annual'!$AD$2&amp;"*Zone People Number Of Occupants [](Hourly)",'Eplus results'!$1:$1048576,ROW(),FALSE)</f>
        <v>0</v>
      </c>
      <c r="AC348" s="580">
        <f>HLOOKUP("*"&amp;'Output annual'!$AC$2&amp;'Output annual'!$AD$2&amp;"*FangerPMV(Hourly)",'Eplus results'!$1:$1048576,ROW(),FALSE)</f>
        <v>0</v>
      </c>
      <c r="AD348" s="580">
        <f t="shared" si="58"/>
        <v>5</v>
      </c>
      <c r="AE348" s="580">
        <f t="shared" si="59"/>
        <v>2.5</v>
      </c>
      <c r="AF348" s="580">
        <f t="shared" si="60"/>
        <v>2.5</v>
      </c>
      <c r="AG348" s="580">
        <f t="shared" si="61"/>
        <v>0</v>
      </c>
      <c r="AH348" s="580">
        <f t="shared" si="62"/>
        <v>0</v>
      </c>
    </row>
    <row r="349" spans="2:34" ht="15.75">
      <c r="B349" s="304" t="s">
        <v>458</v>
      </c>
      <c r="C349" s="305" t="e">
        <f>E346/E349</f>
        <v>#N/A</v>
      </c>
      <c r="D349" s="300"/>
      <c r="E349" s="306">
        <f>SUM(E347:E348)</f>
        <v>8.4476243866332492</v>
      </c>
      <c r="AB349" s="580">
        <f>HLOOKUP("*"&amp;'Output annual'!$AC$2&amp;'Output annual'!$AD$2&amp;"*Zone People Number Of Occupants [](Hourly)",'Eplus results'!$1:$1048576,ROW(),FALSE)</f>
        <v>0</v>
      </c>
      <c r="AC349" s="580">
        <f>HLOOKUP("*"&amp;'Output annual'!$AC$2&amp;'Output annual'!$AD$2&amp;"*FangerPMV(Hourly)",'Eplus results'!$1:$1048576,ROW(),FALSE)</f>
        <v>0</v>
      </c>
      <c r="AD349" s="580">
        <f t="shared" si="58"/>
        <v>5</v>
      </c>
      <c r="AE349" s="580">
        <f t="shared" si="59"/>
        <v>2.5</v>
      </c>
      <c r="AF349" s="580">
        <f t="shared" si="60"/>
        <v>2.5</v>
      </c>
      <c r="AG349" s="580">
        <f t="shared" si="61"/>
        <v>0</v>
      </c>
      <c r="AH349" s="580">
        <f t="shared" si="62"/>
        <v>0</v>
      </c>
    </row>
    <row r="350" spans="2:34" ht="15.75">
      <c r="B350" s="307" t="s">
        <v>477</v>
      </c>
      <c r="C350" s="308">
        <f>E350/E349</f>
        <v>0.50737461983704613</v>
      </c>
      <c r="D350" s="300"/>
      <c r="E350" s="301">
        <f>1.08*'Output hourly'!$I$53*('graph data'!C164-'graph data'!C165)/3.41</f>
        <v>4.2861102116942051</v>
      </c>
      <c r="AB350" s="580">
        <f>HLOOKUP("*"&amp;'Output annual'!$AC$2&amp;'Output annual'!$AD$2&amp;"*Zone People Number Of Occupants [](Hourly)",'Eplus results'!$1:$1048576,ROW(),FALSE)</f>
        <v>0</v>
      </c>
      <c r="AC350" s="580">
        <f>HLOOKUP("*"&amp;'Output annual'!$AC$2&amp;'Output annual'!$AD$2&amp;"*FangerPMV(Hourly)",'Eplus results'!$1:$1048576,ROW(),FALSE)</f>
        <v>0</v>
      </c>
      <c r="AD350" s="580">
        <f t="shared" si="58"/>
        <v>5</v>
      </c>
      <c r="AE350" s="580">
        <f t="shared" si="59"/>
        <v>2.5</v>
      </c>
      <c r="AF350" s="580">
        <f t="shared" si="60"/>
        <v>2.5</v>
      </c>
      <c r="AG350" s="580">
        <f t="shared" si="61"/>
        <v>0</v>
      </c>
      <c r="AH350" s="580">
        <f t="shared" si="62"/>
        <v>0</v>
      </c>
    </row>
    <row r="351" spans="2:34" ht="15.75">
      <c r="B351" s="221" t="s">
        <v>478</v>
      </c>
      <c r="C351" s="308">
        <f>E351/E349</f>
        <v>2.4813990321811072E-2</v>
      </c>
      <c r="D351" s="61"/>
      <c r="E351" s="301">
        <f>1.08*'Output hourly'!$I$53*('graph data'!C153-'graph data'!C157)/3.41</f>
        <v>0.20961926977221262</v>
      </c>
      <c r="AB351" s="580">
        <f>HLOOKUP("*"&amp;'Output annual'!$AC$2&amp;'Output annual'!$AD$2&amp;"*Zone People Number Of Occupants [](Hourly)",'Eplus results'!$1:$1048576,ROW(),FALSE)</f>
        <v>0</v>
      </c>
      <c r="AC351" s="580">
        <f>HLOOKUP("*"&amp;'Output annual'!$AC$2&amp;'Output annual'!$AD$2&amp;"*FangerPMV(Hourly)",'Eplus results'!$1:$1048576,ROW(),FALSE)</f>
        <v>0</v>
      </c>
      <c r="AD351" s="580">
        <f t="shared" si="58"/>
        <v>5</v>
      </c>
      <c r="AE351" s="580">
        <f t="shared" si="59"/>
        <v>2.5</v>
      </c>
      <c r="AF351" s="580">
        <f t="shared" si="60"/>
        <v>2.5</v>
      </c>
      <c r="AG351" s="580">
        <f t="shared" si="61"/>
        <v>0</v>
      </c>
      <c r="AH351" s="580">
        <f t="shared" si="62"/>
        <v>0</v>
      </c>
    </row>
    <row r="352" spans="2:34" ht="15">
      <c r="B352" s="309"/>
      <c r="C352" s="310" t="e">
        <f>SUM(C349:C351)</f>
        <v>#N/A</v>
      </c>
      <c r="D352" s="60"/>
      <c r="E352" s="311"/>
      <c r="AB352" s="580">
        <f>HLOOKUP("*"&amp;'Output annual'!$AC$2&amp;'Output annual'!$AD$2&amp;"*Zone People Number Of Occupants [](Hourly)",'Eplus results'!$1:$1048576,ROW(),FALSE)</f>
        <v>0</v>
      </c>
      <c r="AC352" s="580">
        <f>HLOOKUP("*"&amp;'Output annual'!$AC$2&amp;'Output annual'!$AD$2&amp;"*FangerPMV(Hourly)",'Eplus results'!$1:$1048576,ROW(),FALSE)</f>
        <v>0</v>
      </c>
      <c r="AD352" s="580">
        <f t="shared" si="58"/>
        <v>5</v>
      </c>
      <c r="AE352" s="580">
        <f t="shared" si="59"/>
        <v>2.5</v>
      </c>
      <c r="AF352" s="580">
        <f t="shared" si="60"/>
        <v>2.5</v>
      </c>
      <c r="AG352" s="580">
        <f t="shared" si="61"/>
        <v>0</v>
      </c>
      <c r="AH352" s="580">
        <f t="shared" si="62"/>
        <v>0</v>
      </c>
    </row>
    <row r="353" spans="2:34" ht="15">
      <c r="B353" s="309" t="s">
        <v>479</v>
      </c>
      <c r="C353" s="310" t="e">
        <f>C352-1</f>
        <v>#N/A</v>
      </c>
      <c r="D353" s="60"/>
      <c r="E353" s="311"/>
      <c r="AB353" s="580">
        <f>HLOOKUP("*"&amp;'Output annual'!$AC$2&amp;'Output annual'!$AD$2&amp;"*Zone People Number Of Occupants [](Hourly)",'Eplus results'!$1:$1048576,ROW(),FALSE)</f>
        <v>0</v>
      </c>
      <c r="AC353" s="580">
        <f>HLOOKUP("*"&amp;'Output annual'!$AC$2&amp;'Output annual'!$AD$2&amp;"*FangerPMV(Hourly)",'Eplus results'!$1:$1048576,ROW(),FALSE)</f>
        <v>0</v>
      </c>
      <c r="AD353" s="580">
        <f t="shared" si="58"/>
        <v>5</v>
      </c>
      <c r="AE353" s="580">
        <f t="shared" si="59"/>
        <v>2.5</v>
      </c>
      <c r="AF353" s="580">
        <f t="shared" si="60"/>
        <v>2.5</v>
      </c>
      <c r="AG353" s="580">
        <f t="shared" si="61"/>
        <v>0</v>
      </c>
      <c r="AH353" s="580">
        <f t="shared" si="62"/>
        <v>0</v>
      </c>
    </row>
    <row r="354" spans="2:34" ht="15">
      <c r="B354" s="312"/>
      <c r="C354" s="299"/>
      <c r="D354" s="54"/>
      <c r="E354" s="297"/>
      <c r="AB354" s="580">
        <f>HLOOKUP("*"&amp;'Output annual'!$AC$2&amp;'Output annual'!$AD$2&amp;"*Zone People Number Of Occupants [](Hourly)",'Eplus results'!$1:$1048576,ROW(),FALSE)</f>
        <v>0</v>
      </c>
      <c r="AC354" s="580">
        <f>HLOOKUP("*"&amp;'Output annual'!$AC$2&amp;'Output annual'!$AD$2&amp;"*FangerPMV(Hourly)",'Eplus results'!$1:$1048576,ROW(),FALSE)</f>
        <v>0</v>
      </c>
      <c r="AD354" s="580">
        <f t="shared" si="58"/>
        <v>5</v>
      </c>
      <c r="AE354" s="580">
        <f t="shared" si="59"/>
        <v>2.5</v>
      </c>
      <c r="AF354" s="580">
        <f t="shared" si="60"/>
        <v>2.5</v>
      </c>
      <c r="AG354" s="580">
        <f t="shared" si="61"/>
        <v>0</v>
      </c>
      <c r="AH354" s="580">
        <f t="shared" si="62"/>
        <v>0</v>
      </c>
    </row>
    <row r="355" spans="2:34" ht="15.75">
      <c r="B355" s="312" t="s">
        <v>480</v>
      </c>
      <c r="C355" s="299"/>
      <c r="D355" s="61" t="s">
        <v>476</v>
      </c>
      <c r="E355" s="313">
        <f>1.1*'Output hourly'!$I$53*('graph data'!C165-'graph data'!C153)/3.41</f>
        <v>-9.3598353058660066</v>
      </c>
      <c r="AB355" s="580">
        <f>HLOOKUP("*"&amp;'Output annual'!$AC$2&amp;'Output annual'!$AD$2&amp;"*Zone People Number Of Occupants [](Hourly)",'Eplus results'!$1:$1048576,ROW(),FALSE)</f>
        <v>0</v>
      </c>
      <c r="AC355" s="580">
        <f>HLOOKUP("*"&amp;'Output annual'!$AC$2&amp;'Output annual'!$AD$2&amp;"*FangerPMV(Hourly)",'Eplus results'!$1:$1048576,ROW(),FALSE)</f>
        <v>0</v>
      </c>
      <c r="AD355" s="580">
        <f t="shared" si="58"/>
        <v>5</v>
      </c>
      <c r="AE355" s="580">
        <f t="shared" si="59"/>
        <v>2.5</v>
      </c>
      <c r="AF355" s="580">
        <f t="shared" si="60"/>
        <v>2.5</v>
      </c>
      <c r="AG355" s="580">
        <f t="shared" si="61"/>
        <v>0</v>
      </c>
      <c r="AH355" s="580">
        <f t="shared" si="62"/>
        <v>0</v>
      </c>
    </row>
    <row r="356" spans="2:34" ht="15.75">
      <c r="B356" s="314" t="s">
        <v>481</v>
      </c>
      <c r="C356" s="54"/>
      <c r="D356" s="315">
        <f>E356/E359</f>
        <v>0.46386342985076523</v>
      </c>
      <c r="E356" s="294">
        <f>-1.1*'Output hourly'!$I$53*(('graph data'!C155*(2.7432-1.7)+'graph data'!C160*1.7)/2.7432-'graph data'!C164)/3.41</f>
        <v>-3.9617202351229968</v>
      </c>
      <c r="AB356" s="580">
        <f>HLOOKUP("*"&amp;'Output annual'!$AC$2&amp;'Output annual'!$AD$2&amp;"*Zone People Number Of Occupants [](Hourly)",'Eplus results'!$1:$1048576,ROW(),FALSE)</f>
        <v>0</v>
      </c>
      <c r="AC356" s="580">
        <f>HLOOKUP("*"&amp;'Output annual'!$AC$2&amp;'Output annual'!$AD$2&amp;"*FangerPMV(Hourly)",'Eplus results'!$1:$1048576,ROW(),FALSE)</f>
        <v>0</v>
      </c>
      <c r="AD356" s="580">
        <f t="shared" si="58"/>
        <v>5</v>
      </c>
      <c r="AE356" s="580">
        <f t="shared" si="59"/>
        <v>2.5</v>
      </c>
      <c r="AF356" s="580">
        <f t="shared" si="60"/>
        <v>2.5</v>
      </c>
      <c r="AG356" s="580">
        <f t="shared" si="61"/>
        <v>0</v>
      </c>
      <c r="AH356" s="580">
        <f t="shared" si="62"/>
        <v>0</v>
      </c>
    </row>
    <row r="357" spans="2:34" ht="15.75">
      <c r="B357" s="314" t="s">
        <v>482</v>
      </c>
      <c r="C357" s="54"/>
      <c r="D357" s="315">
        <f>E357/E359</f>
        <v>0.51113850102693426</v>
      </c>
      <c r="E357" s="301">
        <f>-1.1*'Output hourly'!$I$53*('graph data'!C164-'graph data'!C165)/3.41</f>
        <v>-4.3654826230218751</v>
      </c>
      <c r="AB357" s="580">
        <f>HLOOKUP("*"&amp;'Output annual'!$AC$2&amp;'Output annual'!$AD$2&amp;"*Zone People Number Of Occupants [](Hourly)",'Eplus results'!$1:$1048576,ROW(),FALSE)</f>
        <v>0</v>
      </c>
      <c r="AC357" s="580">
        <f>HLOOKUP("*"&amp;'Output annual'!$AC$2&amp;'Output annual'!$AD$2&amp;"*FangerPMV(Hourly)",'Eplus results'!$1:$1048576,ROW(),FALSE)</f>
        <v>0</v>
      </c>
      <c r="AD357" s="580">
        <f t="shared" si="58"/>
        <v>5</v>
      </c>
      <c r="AE357" s="580">
        <f t="shared" si="59"/>
        <v>2.5</v>
      </c>
      <c r="AF357" s="580">
        <f t="shared" si="60"/>
        <v>2.5</v>
      </c>
      <c r="AG357" s="580">
        <f t="shared" si="61"/>
        <v>0</v>
      </c>
      <c r="AH357" s="580">
        <f t="shared" si="62"/>
        <v>0</v>
      </c>
    </row>
    <row r="358" spans="2:34" ht="15.75">
      <c r="B358" s="314" t="s">
        <v>483</v>
      </c>
      <c r="C358" s="54"/>
      <c r="D358" s="315">
        <f>E358/E359</f>
        <v>2.4998069122300397E-2</v>
      </c>
      <c r="E358" s="301">
        <f>-1.1*'Output hourly'!$I$53*('graph data'!C154-'graph data'!C157)/3.41</f>
        <v>-0.21350110810132766</v>
      </c>
      <c r="AB358" s="580">
        <f>HLOOKUP("*"&amp;'Output annual'!$AC$2&amp;'Output annual'!$AD$2&amp;"*Zone People Number Of Occupants [](Hourly)",'Eplus results'!$1:$1048576,ROW(),FALSE)</f>
        <v>0</v>
      </c>
      <c r="AC358" s="580">
        <f>HLOOKUP("*"&amp;'Output annual'!$AC$2&amp;'Output annual'!$AD$2&amp;"*FangerPMV(Hourly)",'Eplus results'!$1:$1048576,ROW(),FALSE)</f>
        <v>0</v>
      </c>
      <c r="AD358" s="580">
        <f t="shared" si="58"/>
        <v>5</v>
      </c>
      <c r="AE358" s="580">
        <f t="shared" si="59"/>
        <v>2.5</v>
      </c>
      <c r="AF358" s="580">
        <f t="shared" si="60"/>
        <v>2.5</v>
      </c>
      <c r="AG358" s="580">
        <f t="shared" si="61"/>
        <v>0</v>
      </c>
      <c r="AH358" s="580">
        <f t="shared" si="62"/>
        <v>0</v>
      </c>
    </row>
    <row r="359" spans="2:34" ht="15.75">
      <c r="B359" s="316"/>
      <c r="C359" s="57"/>
      <c r="D359" s="317"/>
      <c r="E359" s="318">
        <f>SUM(E356:E358)</f>
        <v>-8.5407039662462001</v>
      </c>
      <c r="AB359" s="580">
        <f>HLOOKUP("*"&amp;'Output annual'!$AC$2&amp;'Output annual'!$AD$2&amp;"*Zone People Number Of Occupants [](Hourly)",'Eplus results'!$1:$1048576,ROW(),FALSE)</f>
        <v>0</v>
      </c>
      <c r="AC359" s="580">
        <f>HLOOKUP("*"&amp;'Output annual'!$AC$2&amp;'Output annual'!$AD$2&amp;"*FangerPMV(Hourly)",'Eplus results'!$1:$1048576,ROW(),FALSE)</f>
        <v>0</v>
      </c>
      <c r="AD359" s="580">
        <f t="shared" si="58"/>
        <v>5</v>
      </c>
      <c r="AE359" s="580">
        <f t="shared" si="59"/>
        <v>2.5</v>
      </c>
      <c r="AF359" s="580">
        <f t="shared" si="60"/>
        <v>2.5</v>
      </c>
      <c r="AG359" s="580">
        <f t="shared" si="61"/>
        <v>0</v>
      </c>
      <c r="AH359" s="580">
        <f t="shared" si="62"/>
        <v>0</v>
      </c>
    </row>
    <row r="360" spans="2:34">
      <c r="AB360" s="580">
        <f>HLOOKUP("*"&amp;'Output annual'!$AC$2&amp;'Output annual'!$AD$2&amp;"*Zone People Number Of Occupants [](Hourly)",'Eplus results'!$1:$1048576,ROW(),FALSE)</f>
        <v>0</v>
      </c>
      <c r="AC360" s="580">
        <f>HLOOKUP("*"&amp;'Output annual'!$AC$2&amp;'Output annual'!$AD$2&amp;"*FangerPMV(Hourly)",'Eplus results'!$1:$1048576,ROW(),FALSE)</f>
        <v>0</v>
      </c>
      <c r="AD360" s="580">
        <f t="shared" si="58"/>
        <v>5</v>
      </c>
      <c r="AE360" s="580">
        <f t="shared" si="59"/>
        <v>2.5</v>
      </c>
      <c r="AF360" s="580">
        <f t="shared" si="60"/>
        <v>2.5</v>
      </c>
      <c r="AG360" s="580">
        <f t="shared" si="61"/>
        <v>0</v>
      </c>
      <c r="AH360" s="580">
        <f t="shared" si="62"/>
        <v>0</v>
      </c>
    </row>
    <row r="361" spans="2:34" ht="15">
      <c r="B361" s="319"/>
      <c r="C361" s="320" t="str">
        <f>floor&amp;perim_zone</f>
        <v>MFWest</v>
      </c>
      <c r="D361" s="59" t="s">
        <v>233</v>
      </c>
      <c r="E361" s="59" t="s">
        <v>239</v>
      </c>
      <c r="F361" s="59" t="s">
        <v>461</v>
      </c>
      <c r="G361" s="59" t="s">
        <v>239</v>
      </c>
      <c r="H361" s="59" t="s">
        <v>232</v>
      </c>
      <c r="I361" s="321" t="s">
        <v>462</v>
      </c>
      <c r="AB361" s="580">
        <f>HLOOKUP("*"&amp;'Output annual'!$AC$2&amp;'Output annual'!$AD$2&amp;"*Zone People Number Of Occupants [](Hourly)",'Eplus results'!$1:$1048576,ROW(),FALSE)</f>
        <v>0</v>
      </c>
      <c r="AC361" s="580">
        <f>HLOOKUP("*"&amp;'Output annual'!$AC$2&amp;'Output annual'!$AD$2&amp;"*FangerPMV(Hourly)",'Eplus results'!$1:$1048576,ROW(),FALSE)</f>
        <v>0</v>
      </c>
      <c r="AD361" s="580">
        <f t="shared" si="58"/>
        <v>5</v>
      </c>
      <c r="AE361" s="580">
        <f t="shared" si="59"/>
        <v>2.5</v>
      </c>
      <c r="AF361" s="580">
        <f t="shared" si="60"/>
        <v>2.5</v>
      </c>
      <c r="AG361" s="580">
        <f t="shared" si="61"/>
        <v>0</v>
      </c>
      <c r="AH361" s="580">
        <f t="shared" si="62"/>
        <v>0</v>
      </c>
    </row>
    <row r="362" spans="2:34" ht="15">
      <c r="B362" s="314"/>
      <c r="C362" s="61"/>
      <c r="D362" s="60" t="s">
        <v>76</v>
      </c>
      <c r="E362" s="60" t="s">
        <v>463</v>
      </c>
      <c r="F362" s="60" t="s">
        <v>464</v>
      </c>
      <c r="G362" s="60" t="s">
        <v>465</v>
      </c>
      <c r="H362" s="60" t="s">
        <v>466</v>
      </c>
      <c r="I362" s="288" t="s">
        <v>466</v>
      </c>
      <c r="AB362" s="580">
        <f>HLOOKUP("*"&amp;'Output annual'!$AC$2&amp;'Output annual'!$AD$2&amp;"*Zone People Number Of Occupants [](Hourly)",'Eplus results'!$1:$1048576,ROW(),FALSE)</f>
        <v>0</v>
      </c>
      <c r="AC362" s="580">
        <f>HLOOKUP("*"&amp;'Output annual'!$AC$2&amp;'Output annual'!$AD$2&amp;"*FangerPMV(Hourly)",'Eplus results'!$1:$1048576,ROW(),FALSE)</f>
        <v>0</v>
      </c>
      <c r="AD362" s="580">
        <f t="shared" si="58"/>
        <v>5</v>
      </c>
      <c r="AE362" s="580">
        <f t="shared" si="59"/>
        <v>2.5</v>
      </c>
      <c r="AF362" s="580">
        <f t="shared" si="60"/>
        <v>2.5</v>
      </c>
      <c r="AG362" s="580">
        <f t="shared" si="61"/>
        <v>0</v>
      </c>
      <c r="AH362" s="580">
        <f t="shared" si="62"/>
        <v>0</v>
      </c>
    </row>
    <row r="363" spans="2:34" ht="15">
      <c r="B363" s="322" t="s">
        <v>469</v>
      </c>
      <c r="C363" s="61" t="s">
        <v>467</v>
      </c>
      <c r="D363" s="323">
        <f>IF(perim_zone="East",34.528,IF(perim_zone="West",34.528,IF(perim_zone="South",52.198,IF(perim_zone="North",52.198))))*IF(RunType="UFAD_C",0.4059,IF(RunType="OH",0))</f>
        <v>0</v>
      </c>
      <c r="E363" s="323" t="e">
        <f>HLOOKUP(floor&amp;"SP"&amp;perim_zone&amp;"_WALL_"&amp;LEFT(perim_zone, 1)&amp;":Surface Outside Temperature[C](Hourly)",'Eplus results'!1:65536,'graph data'!D4,FALSE)</f>
        <v>#N/A</v>
      </c>
      <c r="F363" s="323" t="e">
        <f>1/((1/HLOOKUP(floor&amp;"SP"&amp;perim_zone&amp;"_WALL_"&amp;LEFT(perim_zone, 1)&amp;":Surface Int Convection Coeff[W/m2-K](Hourly)",'Eplus results'!1:65536,'graph data'!D4,FALSE))+(0.0254/1.8029326)+0.516+0.15664+(0.0159004/0.160062))</f>
        <v>#N/A</v>
      </c>
      <c r="G363" s="323" t="e">
        <f>HLOOKUP(floor&amp;"SP"&amp;perim_zone&amp;":Zone/Sys Air Temperature[C](Hourly)",'Eplus results'!1:65536,'graph data'!D4,FALSE)</f>
        <v>#N/A</v>
      </c>
      <c r="H363" s="324" t="e">
        <f t="shared" ref="H363:H368" si="63">(E363-G363)*D363*F363</f>
        <v>#N/A</v>
      </c>
      <c r="I363" s="325" t="e">
        <f t="shared" ref="I363:I368" si="64">H363/D363</f>
        <v>#N/A</v>
      </c>
      <c r="AB363" s="580">
        <f>HLOOKUP("*"&amp;'Output annual'!$AC$2&amp;'Output annual'!$AD$2&amp;"*Zone People Number Of Occupants [](Hourly)",'Eplus results'!$1:$1048576,ROW(),FALSE)</f>
        <v>0</v>
      </c>
      <c r="AC363" s="580">
        <f>HLOOKUP("*"&amp;'Output annual'!$AC$2&amp;'Output annual'!$AD$2&amp;"*FangerPMV(Hourly)",'Eplus results'!$1:$1048576,ROW(),FALSE)</f>
        <v>0</v>
      </c>
      <c r="AD363" s="580">
        <f t="shared" si="58"/>
        <v>5</v>
      </c>
      <c r="AE363" s="580">
        <f t="shared" si="59"/>
        <v>2.5</v>
      </c>
      <c r="AF363" s="580">
        <f t="shared" si="60"/>
        <v>2.5</v>
      </c>
      <c r="AG363" s="580">
        <f t="shared" si="61"/>
        <v>0</v>
      </c>
      <c r="AH363" s="580">
        <f t="shared" si="62"/>
        <v>0</v>
      </c>
    </row>
    <row r="364" spans="2:34" ht="15">
      <c r="B364" s="322" t="s">
        <v>470</v>
      </c>
      <c r="C364" s="61" t="s">
        <v>474</v>
      </c>
      <c r="D364" s="323">
        <f>'Output hourly'!D12/10.36</f>
        <v>145.47742632425238</v>
      </c>
      <c r="E364" s="323" t="e">
        <f>HLOOKUP(floor&amp;"SP"&amp;perim_zone&amp;"_CEILING:Surface Outside Temperature[C](Hourly)",'Eplus results'!1:65536,'graph data'!D4,FALSE)</f>
        <v>#N/A</v>
      </c>
      <c r="F364" s="323" t="e">
        <f>1/((1/HLOOKUP(floor&amp;"SP"&amp;perim_zone&amp;"_CEILING:Surface Int Convection Coeff[W/m2-K](Hourly)",'Eplus results'!1:65536,'graph data'!D4,FALSE))+(0.0406908/0.1440558)+0.36608)</f>
        <v>#N/A</v>
      </c>
      <c r="G364" s="323" t="e">
        <f>HLOOKUP(floor&amp;"SP"&amp;perim_zone&amp;":Zone/Sys Air Temperature[C](Hourly)",'Eplus results'!1:65536,'graph data'!D4,FALSE)</f>
        <v>#N/A</v>
      </c>
      <c r="H364" s="323" t="e">
        <f t="shared" si="63"/>
        <v>#N/A</v>
      </c>
      <c r="I364" s="325" t="e">
        <f t="shared" si="64"/>
        <v>#N/A</v>
      </c>
      <c r="AB364" s="580">
        <f>HLOOKUP("*"&amp;'Output annual'!$AC$2&amp;'Output annual'!$AD$2&amp;"*Zone People Number Of Occupants [](Hourly)",'Eplus results'!$1:$1048576,ROW(),FALSE)</f>
        <v>0</v>
      </c>
      <c r="AC364" s="580">
        <f>HLOOKUP("*"&amp;'Output annual'!$AC$2&amp;'Output annual'!$AD$2&amp;"*FangerPMV(Hourly)",'Eplus results'!$1:$1048576,ROW(),FALSE)</f>
        <v>0</v>
      </c>
      <c r="AD364" s="580">
        <f t="shared" si="58"/>
        <v>5</v>
      </c>
      <c r="AE364" s="580">
        <f t="shared" si="59"/>
        <v>2.5</v>
      </c>
      <c r="AF364" s="580">
        <f t="shared" si="60"/>
        <v>2.5</v>
      </c>
      <c r="AG364" s="580">
        <f t="shared" si="61"/>
        <v>0</v>
      </c>
      <c r="AH364" s="580">
        <f t="shared" si="62"/>
        <v>0</v>
      </c>
    </row>
    <row r="365" spans="2:34" ht="45">
      <c r="B365" s="221"/>
      <c r="C365" s="211" t="s">
        <v>468</v>
      </c>
      <c r="D365" s="326">
        <f>'Output hourly'!D12/10.36</f>
        <v>145.47742632425238</v>
      </c>
      <c r="E365" s="326" t="e">
        <f>HLOOKUP(floor&amp;"SP"&amp;perim_zone&amp;"_FLOOR:Surface Outside Temperature[C](Hourly)",'Eplus results'!1:65536,'graph data'!D4,FALSE)</f>
        <v>#N/A</v>
      </c>
      <c r="F365" s="326" t="e">
        <f>1/((1/HLOOKUP(floor&amp;"SP"&amp;perim_zone&amp;"_FLOOR:Surface Int Convection Coeff[W/m2-K](Hourly)",'Eplus results'!1:65536,'graph data'!D4,FALSE))+IF(floor="GF", IF(perim_zone="East", 3.291, IF(perim_zone="West", 3.291, IF(perim_zone="North", 3.501, IF(perim_zone="South", 3.501))))+0.6096/1.7309768+0.2032/1.801779+0.36608, 0.1016/0.3609326))</f>
        <v>#N/A</v>
      </c>
      <c r="G365" s="326" t="e">
        <f>HLOOKUP(floor&amp;"SP"&amp;perim_zone&amp;":Zone/Sys Air Temperature[C](Hourly)",'Eplus results'!1:65536,'graph data'!D4,FALSE)</f>
        <v>#N/A</v>
      </c>
      <c r="H365" s="323" t="e">
        <f t="shared" si="63"/>
        <v>#N/A</v>
      </c>
      <c r="I365" s="325" t="e">
        <f t="shared" si="64"/>
        <v>#N/A</v>
      </c>
      <c r="AB365" s="580">
        <f>HLOOKUP("*"&amp;'Output annual'!$AC$2&amp;'Output annual'!$AD$2&amp;"*Zone People Number Of Occupants [](Hourly)",'Eplus results'!$1:$1048576,ROW(),FALSE)</f>
        <v>0</v>
      </c>
      <c r="AC365" s="580">
        <f>HLOOKUP("*"&amp;'Output annual'!$AC$2&amp;'Output annual'!$AD$2&amp;"*FangerPMV(Hourly)",'Eplus results'!$1:$1048576,ROW(),FALSE)</f>
        <v>0</v>
      </c>
      <c r="AD365" s="580">
        <f t="shared" si="58"/>
        <v>5</v>
      </c>
      <c r="AE365" s="580">
        <f t="shared" si="59"/>
        <v>2.5</v>
      </c>
      <c r="AF365" s="580">
        <f t="shared" si="60"/>
        <v>2.5</v>
      </c>
      <c r="AG365" s="580">
        <f t="shared" si="61"/>
        <v>0</v>
      </c>
      <c r="AH365" s="580">
        <f t="shared" si="62"/>
        <v>0</v>
      </c>
    </row>
    <row r="366" spans="2:34" ht="15">
      <c r="B366" s="322" t="s">
        <v>471</v>
      </c>
      <c r="C366" s="61" t="s">
        <v>467</v>
      </c>
      <c r="D366" s="323">
        <f>IF(perim_zone="East",34.528,IF(perim_zone="West",34.528,IF(perim_zone="South",52.198,IF(perim_zone="North",52.198))))*IF(RunType="UFAD_C",0.8142,IF(RunType="OH",1.2192))</f>
        <v>0</v>
      </c>
      <c r="E366" s="323" t="e">
        <f>HLOOKUP(floor&amp;"RP"&amp;perim_zone&amp;"_WALL_"&amp;LEFT(perim_zone, 1)&amp;":Surface Outside Temperature[C](Hourly)",'Eplus results'!1:65536,'graph data'!D4,FALSE)</f>
        <v>#N/A</v>
      </c>
      <c r="F366" s="323" t="e">
        <f>1/((1/HLOOKUP(floor&amp;"RP"&amp;perim_zone&amp;"_WALL_"&amp;LEFT(perim_zone, 1)&amp;":Surface Int Convection Coeff[W/m2-K](Hourly)",'Eplus results'!1:65536,'graph data'!D4,FALSE))+(0.0254/1.8029326)+0.516+0.15664+(0.0159004/0.160062))</f>
        <v>#N/A</v>
      </c>
      <c r="G366" s="323" t="e">
        <f>HLOOKUP(floor&amp;"RP"&amp;perim_zone&amp;":Zone/Sys Air Temperature[C](Hourly)",'Eplus results'!1:65536,'graph data'!D4,FALSE)</f>
        <v>#N/A</v>
      </c>
      <c r="H366" s="323" t="e">
        <f t="shared" si="63"/>
        <v>#N/A</v>
      </c>
      <c r="I366" s="325" t="e">
        <f t="shared" si="64"/>
        <v>#N/A</v>
      </c>
      <c r="AB366" s="580">
        <f>HLOOKUP("*"&amp;'Output annual'!$AC$2&amp;'Output annual'!$AD$2&amp;"*Zone People Number Of Occupants [](Hourly)",'Eplus results'!$1:$1048576,ROW(),FALSE)</f>
        <v>0</v>
      </c>
      <c r="AC366" s="580">
        <f>HLOOKUP("*"&amp;'Output annual'!$AC$2&amp;'Output annual'!$AD$2&amp;"*FangerPMV(Hourly)",'Eplus results'!$1:$1048576,ROW(),FALSE)</f>
        <v>0</v>
      </c>
      <c r="AD366" s="580">
        <f t="shared" si="58"/>
        <v>5</v>
      </c>
      <c r="AE366" s="580">
        <f t="shared" si="59"/>
        <v>2.5</v>
      </c>
      <c r="AF366" s="580">
        <f t="shared" si="60"/>
        <v>2.5</v>
      </c>
      <c r="AG366" s="580">
        <f t="shared" si="61"/>
        <v>0</v>
      </c>
      <c r="AH366" s="580">
        <f t="shared" si="62"/>
        <v>0</v>
      </c>
    </row>
    <row r="367" spans="2:34" ht="15">
      <c r="B367" s="322" t="s">
        <v>470</v>
      </c>
      <c r="C367" s="61" t="s">
        <v>472</v>
      </c>
      <c r="D367" s="323">
        <f>'Output hourly'!D12/10.36</f>
        <v>145.47742632425238</v>
      </c>
      <c r="E367" s="323" t="e">
        <f>HLOOKUP(floor&amp;"RP"&amp;perim_zone&amp;"_CEILING:Surface Outside Temperature[C](Hourly)",'Eplus results'!1:65536,'graph data'!D4,FALSE)</f>
        <v>#N/A</v>
      </c>
      <c r="F367" s="323" t="e">
        <f>1/((1/HLOOKUP(floor&amp;"RP"&amp;perim_zone&amp;"_CEILING:Surface Int Convection Coeff[W/m2-K](Hourly)",'Eplus results'!1:65536,'graph data'!D4,FALSE))+IF(floor="TF", 0.009525/0.162946+0.1016/0.3609326+2.727+0.16192+0.0127/0.056959, 0.1016/0.3609326))</f>
        <v>#N/A</v>
      </c>
      <c r="G367" s="323" t="e">
        <f>HLOOKUP(floor&amp;"RP"&amp;perim_zone&amp;":Zone/Sys Air Temperature[C](Hourly)",'Eplus results'!1:65536,'graph data'!D4,FALSE)</f>
        <v>#N/A</v>
      </c>
      <c r="H367" s="323" t="e">
        <f t="shared" si="63"/>
        <v>#N/A</v>
      </c>
      <c r="I367" s="325" t="e">
        <f t="shared" si="64"/>
        <v>#N/A</v>
      </c>
      <c r="AB367" s="580">
        <f>HLOOKUP("*"&amp;'Output annual'!$AC$2&amp;'Output annual'!$AD$2&amp;"*Zone People Number Of Occupants [](Hourly)",'Eplus results'!$1:$1048576,ROW(),FALSE)</f>
        <v>0</v>
      </c>
      <c r="AC367" s="580">
        <f>HLOOKUP("*"&amp;'Output annual'!$AC$2&amp;'Output annual'!$AD$2&amp;"*FangerPMV(Hourly)",'Eplus results'!$1:$1048576,ROW(),FALSE)</f>
        <v>0</v>
      </c>
      <c r="AD367" s="580">
        <f t="shared" si="58"/>
        <v>5</v>
      </c>
      <c r="AE367" s="580">
        <f t="shared" si="59"/>
        <v>2.5</v>
      </c>
      <c r="AF367" s="580">
        <f t="shared" si="60"/>
        <v>2.5</v>
      </c>
      <c r="AG367" s="580">
        <f t="shared" si="61"/>
        <v>0</v>
      </c>
      <c r="AH367" s="580">
        <f t="shared" si="62"/>
        <v>0</v>
      </c>
    </row>
    <row r="368" spans="2:34" ht="30">
      <c r="B368" s="221"/>
      <c r="C368" s="211" t="s">
        <v>473</v>
      </c>
      <c r="D368" s="326">
        <f>'Output hourly'!D12/10.36</f>
        <v>145.47742632425238</v>
      </c>
      <c r="E368" s="326" t="e">
        <f>HLOOKUP(floor&amp;"RP"&amp;perim_zone&amp;"_FLOOR:Surface Outside Temperature[C](Hourly)",'Eplus results'!1:65536,'graph data'!D4,FALSE)</f>
        <v>#N/A</v>
      </c>
      <c r="F368" s="326" t="e">
        <f>1/((1/HLOOKUP(floor&amp;"RP"&amp;perim_zone&amp;"_FLOOR:Surface Int Convection Coeff[W/m2-K](Hourly)",'Eplus results'!1:65536,'graph data'!D4,FALSE))+(0.0127/0.056959))</f>
        <v>#N/A</v>
      </c>
      <c r="G368" s="326" t="e">
        <f>HLOOKUP(floor&amp;"RP"&amp;perim_zone&amp;":Zone/Sys Air Temperature[C](Hourly)",'Eplus results'!1:65536,'graph data'!D4,FALSE)</f>
        <v>#N/A</v>
      </c>
      <c r="H368" s="323" t="e">
        <f t="shared" si="63"/>
        <v>#N/A</v>
      </c>
      <c r="I368" s="325" t="e">
        <f t="shared" si="64"/>
        <v>#N/A</v>
      </c>
      <c r="AB368" s="580">
        <f>HLOOKUP("*"&amp;'Output annual'!$AC$2&amp;'Output annual'!$AD$2&amp;"*Zone People Number Of Occupants [](Hourly)",'Eplus results'!$1:$1048576,ROW(),FALSE)</f>
        <v>0</v>
      </c>
      <c r="AC368" s="580">
        <f>HLOOKUP("*"&amp;'Output annual'!$AC$2&amp;'Output annual'!$AD$2&amp;"*FangerPMV(Hourly)",'Eplus results'!$1:$1048576,ROW(),FALSE)</f>
        <v>0</v>
      </c>
      <c r="AD368" s="580">
        <f t="shared" si="58"/>
        <v>5</v>
      </c>
      <c r="AE368" s="580">
        <f t="shared" si="59"/>
        <v>2.5</v>
      </c>
      <c r="AF368" s="580">
        <f t="shared" si="60"/>
        <v>2.5</v>
      </c>
      <c r="AG368" s="580">
        <f t="shared" si="61"/>
        <v>0</v>
      </c>
      <c r="AH368" s="580">
        <f t="shared" si="62"/>
        <v>0</v>
      </c>
    </row>
    <row r="369" spans="2:34">
      <c r="B369" s="221"/>
      <c r="C369" s="54"/>
      <c r="D369" s="54"/>
      <c r="E369" s="54"/>
      <c r="F369" s="54"/>
      <c r="G369" s="54"/>
      <c r="H369" s="54"/>
      <c r="I369" s="297"/>
      <c r="AB369" s="580">
        <f>HLOOKUP("*"&amp;'Output annual'!$AC$2&amp;'Output annual'!$AD$2&amp;"*Zone People Number Of Occupants [](Hourly)",'Eplus results'!$1:$1048576,ROW(),FALSE)</f>
        <v>0</v>
      </c>
      <c r="AC369" s="580">
        <f>HLOOKUP("*"&amp;'Output annual'!$AC$2&amp;'Output annual'!$AD$2&amp;"*FangerPMV(Hourly)",'Eplus results'!$1:$1048576,ROW(),FALSE)</f>
        <v>0</v>
      </c>
      <c r="AD369" s="580">
        <f t="shared" si="58"/>
        <v>5</v>
      </c>
      <c r="AE369" s="580">
        <f t="shared" si="59"/>
        <v>2.5</v>
      </c>
      <c r="AF369" s="580">
        <f t="shared" si="60"/>
        <v>2.5</v>
      </c>
      <c r="AG369" s="580">
        <f t="shared" si="61"/>
        <v>0</v>
      </c>
      <c r="AH369" s="580">
        <f t="shared" si="62"/>
        <v>0</v>
      </c>
    </row>
    <row r="370" spans="2:34">
      <c r="B370" s="221"/>
      <c r="C370" s="54"/>
      <c r="D370" s="54"/>
      <c r="E370" s="54"/>
      <c r="F370" s="54"/>
      <c r="G370" s="54"/>
      <c r="H370" s="54"/>
      <c r="I370" s="297"/>
      <c r="AB370" s="580">
        <f>HLOOKUP("*"&amp;'Output annual'!$AC$2&amp;'Output annual'!$AD$2&amp;"*Zone People Number Of Occupants [](Hourly)",'Eplus results'!$1:$1048576,ROW(),FALSE)</f>
        <v>0</v>
      </c>
      <c r="AC370" s="580">
        <f>HLOOKUP("*"&amp;'Output annual'!$AC$2&amp;'Output annual'!$AD$2&amp;"*FangerPMV(Hourly)",'Eplus results'!$1:$1048576,ROW(),FALSE)</f>
        <v>0</v>
      </c>
      <c r="AD370" s="580">
        <f t="shared" si="58"/>
        <v>5</v>
      </c>
      <c r="AE370" s="580">
        <f t="shared" si="59"/>
        <v>2.5</v>
      </c>
      <c r="AF370" s="580">
        <f t="shared" si="60"/>
        <v>2.5</v>
      </c>
      <c r="AG370" s="580">
        <f t="shared" si="61"/>
        <v>0</v>
      </c>
      <c r="AH370" s="580">
        <f t="shared" si="62"/>
        <v>0</v>
      </c>
    </row>
    <row r="371" spans="2:34" ht="15">
      <c r="B371" s="314"/>
      <c r="C371" s="327" t="str">
        <f>floor&amp;Int_zone</f>
        <v>MFCore</v>
      </c>
      <c r="D371" s="60" t="s">
        <v>233</v>
      </c>
      <c r="E371" s="60" t="s">
        <v>239</v>
      </c>
      <c r="F371" s="60" t="s">
        <v>461</v>
      </c>
      <c r="G371" s="60" t="s">
        <v>239</v>
      </c>
      <c r="H371" s="60" t="s">
        <v>232</v>
      </c>
      <c r="I371" s="288" t="s">
        <v>462</v>
      </c>
      <c r="AB371" s="580">
        <f>HLOOKUP("*"&amp;'Output annual'!$AC$2&amp;'Output annual'!$AD$2&amp;"*Zone People Number Of Occupants [](Hourly)",'Eplus results'!$1:$1048576,ROW(),FALSE)</f>
        <v>0</v>
      </c>
      <c r="AC371" s="580">
        <f>HLOOKUP("*"&amp;'Output annual'!$AC$2&amp;'Output annual'!$AD$2&amp;"*FangerPMV(Hourly)",'Eplus results'!$1:$1048576,ROW(),FALSE)</f>
        <v>0</v>
      </c>
      <c r="AD371" s="580">
        <f t="shared" si="58"/>
        <v>5</v>
      </c>
      <c r="AE371" s="580">
        <f t="shared" si="59"/>
        <v>2.5</v>
      </c>
      <c r="AF371" s="580">
        <f t="shared" si="60"/>
        <v>2.5</v>
      </c>
      <c r="AG371" s="580">
        <f t="shared" si="61"/>
        <v>0</v>
      </c>
      <c r="AH371" s="580">
        <f t="shared" si="62"/>
        <v>0</v>
      </c>
    </row>
    <row r="372" spans="2:34" ht="15">
      <c r="B372" s="314"/>
      <c r="C372" s="61"/>
      <c r="D372" s="60" t="s">
        <v>76</v>
      </c>
      <c r="E372" s="60" t="s">
        <v>463</v>
      </c>
      <c r="F372" s="60" t="s">
        <v>464</v>
      </c>
      <c r="G372" s="60" t="s">
        <v>465</v>
      </c>
      <c r="H372" s="60" t="s">
        <v>466</v>
      </c>
      <c r="I372" s="288" t="s">
        <v>466</v>
      </c>
      <c r="AB372" s="580">
        <f>HLOOKUP("*"&amp;'Output annual'!$AC$2&amp;'Output annual'!$AD$2&amp;"*Zone People Number Of Occupants [](Hourly)",'Eplus results'!$1:$1048576,ROW(),FALSE)</f>
        <v>0</v>
      </c>
      <c r="AC372" s="580">
        <f>HLOOKUP("*"&amp;'Output annual'!$AC$2&amp;'Output annual'!$AD$2&amp;"*FangerPMV(Hourly)",'Eplus results'!$1:$1048576,ROW(),FALSE)</f>
        <v>0</v>
      </c>
      <c r="AD372" s="580">
        <f t="shared" si="58"/>
        <v>5</v>
      </c>
      <c r="AE372" s="580">
        <f t="shared" si="59"/>
        <v>2.5</v>
      </c>
      <c r="AF372" s="580">
        <f t="shared" si="60"/>
        <v>2.5</v>
      </c>
      <c r="AG372" s="580">
        <f t="shared" si="61"/>
        <v>0</v>
      </c>
      <c r="AH372" s="580">
        <f t="shared" si="62"/>
        <v>0</v>
      </c>
    </row>
    <row r="373" spans="2:34" ht="15">
      <c r="B373" s="322" t="s">
        <v>469</v>
      </c>
      <c r="C373" s="61" t="s">
        <v>474</v>
      </c>
      <c r="D373" s="323">
        <f>'Output hourly'!D11/10.36</f>
        <v>1181.3934222180367</v>
      </c>
      <c r="E373" s="323" t="e">
        <f>HLOOKUP(floor&amp;"SP"&amp;Int_zone&amp;"_CEILING1:Surface Outside Temperature[C](Hourly)",'Eplus results'!1:65536,'graph data'!D4,FALSE)</f>
        <v>#N/A</v>
      </c>
      <c r="F373" s="323" t="e">
        <f>1/((1/HLOOKUP(floor&amp;"SP"&amp;Int_zone&amp;"_CEILING1:Surface Int Convection Coeff[W/m2-K](Hourly)",'Eplus results'!1:65536,'graph data'!D4,FALSE))+(0.0406908/0.1440558)+0.36608)</f>
        <v>#N/A</v>
      </c>
      <c r="G373" s="323" t="e">
        <f>HLOOKUP(floor&amp;"SP"&amp;Int_zone&amp;":Zone/Sys Air Temperature[C](Hourly)",'Eplus results'!1:65536,'graph data'!D4,FALSE)</f>
        <v>#N/A</v>
      </c>
      <c r="H373" s="323" t="e">
        <f>(E373-G373)*D373*F373</f>
        <v>#N/A</v>
      </c>
      <c r="I373" s="325" t="e">
        <f>H373/D373</f>
        <v>#N/A</v>
      </c>
      <c r="AB373" s="580">
        <f>HLOOKUP("*"&amp;'Output annual'!$AC$2&amp;'Output annual'!$AD$2&amp;"*Zone People Number Of Occupants [](Hourly)",'Eplus results'!$1:$1048576,ROW(),FALSE)</f>
        <v>0</v>
      </c>
      <c r="AC373" s="580">
        <f>HLOOKUP("*"&amp;'Output annual'!$AC$2&amp;'Output annual'!$AD$2&amp;"*FangerPMV(Hourly)",'Eplus results'!$1:$1048576,ROW(),FALSE)</f>
        <v>0</v>
      </c>
      <c r="AD373" s="580">
        <f t="shared" si="58"/>
        <v>5</v>
      </c>
      <c r="AE373" s="580">
        <f t="shared" si="59"/>
        <v>2.5</v>
      </c>
      <c r="AF373" s="580">
        <f t="shared" si="60"/>
        <v>2.5</v>
      </c>
      <c r="AG373" s="580">
        <f t="shared" si="61"/>
        <v>0</v>
      </c>
      <c r="AH373" s="580">
        <f t="shared" si="62"/>
        <v>0</v>
      </c>
    </row>
    <row r="374" spans="2:34" ht="45">
      <c r="B374" s="322" t="s">
        <v>470</v>
      </c>
      <c r="C374" s="211" t="s">
        <v>468</v>
      </c>
      <c r="D374" s="326">
        <f>'Output hourly'!D11/10.36</f>
        <v>1181.3934222180367</v>
      </c>
      <c r="E374" s="326" t="e">
        <f>HLOOKUP(floor&amp;"SP"&amp;Int_zone&amp;"_FLOOR1:Surface Outside Temperature[C](Hourly)",'Eplus results'!1:65536,'graph data'!D4,FALSE)</f>
        <v>#N/A</v>
      </c>
      <c r="F374" s="326" t="e">
        <f>1/((1/HLOOKUP(floor&amp;"SP"&amp;Int_zone&amp;"_FLOOR1:Surface Int Convection Coeff[W/m2-K](Hourly)",'Eplus results'!1:65536,'graph data'!D4,FALSE))+IF(floor="GF", 175.22+0.6096/1.7309768+0.2032/1.801779+0.36608, 0.1016/0.3609326))</f>
        <v>#N/A</v>
      </c>
      <c r="G374" s="326" t="e">
        <f>HLOOKUP(floor&amp;"SP"&amp;Int_zone&amp;":Zone/Sys Air Temperature[C](Hourly)",'Eplus results'!1:65536,'graph data'!D4,FALSE)</f>
        <v>#N/A</v>
      </c>
      <c r="H374" s="323" t="e">
        <f>(E374-G374)*D374*F374</f>
        <v>#N/A</v>
      </c>
      <c r="I374" s="325" t="e">
        <f>H374/D374</f>
        <v>#N/A</v>
      </c>
      <c r="AB374" s="580">
        <f>HLOOKUP("*"&amp;'Output annual'!$AC$2&amp;'Output annual'!$AD$2&amp;"*Zone People Number Of Occupants [](Hourly)",'Eplus results'!$1:$1048576,ROW(),FALSE)</f>
        <v>0</v>
      </c>
      <c r="AC374" s="580">
        <f>HLOOKUP("*"&amp;'Output annual'!$AC$2&amp;'Output annual'!$AD$2&amp;"*FangerPMV(Hourly)",'Eplus results'!$1:$1048576,ROW(),FALSE)</f>
        <v>0</v>
      </c>
      <c r="AD374" s="580">
        <f t="shared" si="58"/>
        <v>5</v>
      </c>
      <c r="AE374" s="580">
        <f t="shared" si="59"/>
        <v>2.5</v>
      </c>
      <c r="AF374" s="580">
        <f t="shared" si="60"/>
        <v>2.5</v>
      </c>
      <c r="AG374" s="580">
        <f t="shared" si="61"/>
        <v>0</v>
      </c>
      <c r="AH374" s="580">
        <f t="shared" si="62"/>
        <v>0</v>
      </c>
    </row>
    <row r="375" spans="2:34" ht="15">
      <c r="B375" s="322" t="s">
        <v>471</v>
      </c>
      <c r="C375" s="61" t="s">
        <v>472</v>
      </c>
      <c r="D375" s="323">
        <f>'Output hourly'!D11/10.36</f>
        <v>1181.3934222180367</v>
      </c>
      <c r="E375" s="323" t="e">
        <f>HLOOKUP(floor&amp;"RP"&amp;Int_zone&amp;"_CEILING1:Surface Outside Temperature[C](Hourly)",'Eplus results'!1:65536,'graph data'!D4,FALSE)</f>
        <v>#N/A</v>
      </c>
      <c r="F375" s="323" t="e">
        <f>1/((1/HLOOKUP(floor&amp;"RP"&amp;Int_zone&amp;"_CEILING1:Surface Int Convection Coeff[W/m2-K](Hourly)",'Eplus results'!1:65536,'graph data'!D4,FALSE))+IF(floor="TF", 0.009525/0.162946+0.1016/0.3609326+2.727+0.16192+0.0127/0.056959, 0.1016/0.3609326))</f>
        <v>#N/A</v>
      </c>
      <c r="G375" s="323" t="e">
        <f>HLOOKUP(floor&amp;"RP"&amp;Int_zone&amp;":Zone/Sys Air Temperature[C](Hourly)",'Eplus results'!1:65536,'graph data'!D4,FALSE)</f>
        <v>#N/A</v>
      </c>
      <c r="H375" s="324" t="e">
        <f>(E375-G375)*D375*F375</f>
        <v>#N/A</v>
      </c>
      <c r="I375" s="325" t="e">
        <f>H375/D375</f>
        <v>#N/A</v>
      </c>
      <c r="AB375" s="580">
        <f>HLOOKUP("*"&amp;'Output annual'!$AC$2&amp;'Output annual'!$AD$2&amp;"*Zone People Number Of Occupants [](Hourly)",'Eplus results'!$1:$1048576,ROW(),FALSE)</f>
        <v>0</v>
      </c>
      <c r="AC375" s="580">
        <f>HLOOKUP("*"&amp;'Output annual'!$AC$2&amp;'Output annual'!$AD$2&amp;"*FangerPMV(Hourly)",'Eplus results'!$1:$1048576,ROW(),FALSE)</f>
        <v>0</v>
      </c>
      <c r="AD375" s="580">
        <f t="shared" si="58"/>
        <v>5</v>
      </c>
      <c r="AE375" s="580">
        <f t="shared" si="59"/>
        <v>2.5</v>
      </c>
      <c r="AF375" s="580">
        <f t="shared" si="60"/>
        <v>2.5</v>
      </c>
      <c r="AG375" s="580">
        <f t="shared" si="61"/>
        <v>0</v>
      </c>
      <c r="AH375" s="580">
        <f t="shared" si="62"/>
        <v>0</v>
      </c>
    </row>
    <row r="376" spans="2:34" ht="30">
      <c r="B376" s="328" t="s">
        <v>470</v>
      </c>
      <c r="C376" s="216" t="s">
        <v>473</v>
      </c>
      <c r="D376" s="329">
        <f>'Output hourly'!D11/10.36</f>
        <v>1181.3934222180367</v>
      </c>
      <c r="E376" s="329" t="e">
        <f>HLOOKUP(floor&amp;"RP"&amp;Int_zone&amp;"_FLOOR1:Surface Outside Temperature[C](Hourly)",'Eplus results'!1:65536,'graph data'!D4,FALSE)</f>
        <v>#N/A</v>
      </c>
      <c r="F376" s="329" t="e">
        <f>1/((1/HLOOKUP(floor&amp;"RP"&amp;Int_zone&amp;"_FLOOR1:Surface Int Convection Coeff[W/m2-K](Hourly)",'Eplus results'!1:65536,'graph data'!D4,FALSE))+(0.0127/0.056959))</f>
        <v>#N/A</v>
      </c>
      <c r="G376" s="329" t="e">
        <f>HLOOKUP(floor&amp;"RP"&amp;Int_zone&amp;":Zone/Sys Air Temperature[C](Hourly)",'Eplus results'!1:65536,'graph data'!D4,FALSE)</f>
        <v>#N/A</v>
      </c>
      <c r="H376" s="330" t="e">
        <f>(E376-G376)*D376*F376</f>
        <v>#N/A</v>
      </c>
      <c r="I376" s="331" t="e">
        <f>H376/D376</f>
        <v>#N/A</v>
      </c>
      <c r="AB376" s="580">
        <f>HLOOKUP("*"&amp;'Output annual'!$AC$2&amp;'Output annual'!$AD$2&amp;"*Zone People Number Of Occupants [](Hourly)",'Eplus results'!$1:$1048576,ROW(),FALSE)</f>
        <v>0</v>
      </c>
      <c r="AC376" s="580">
        <f>HLOOKUP("*"&amp;'Output annual'!$AC$2&amp;'Output annual'!$AD$2&amp;"*FangerPMV(Hourly)",'Eplus results'!$1:$1048576,ROW(),FALSE)</f>
        <v>0</v>
      </c>
      <c r="AD376" s="580">
        <f t="shared" si="58"/>
        <v>5</v>
      </c>
      <c r="AE376" s="580">
        <f t="shared" si="59"/>
        <v>2.5</v>
      </c>
      <c r="AF376" s="580">
        <f t="shared" si="60"/>
        <v>2.5</v>
      </c>
      <c r="AG376" s="580">
        <f t="shared" si="61"/>
        <v>0</v>
      </c>
      <c r="AH376" s="580">
        <f t="shared" si="62"/>
        <v>0</v>
      </c>
    </row>
    <row r="377" spans="2:34">
      <c r="AB377" s="580">
        <f>HLOOKUP("*"&amp;'Output annual'!$AC$2&amp;'Output annual'!$AD$2&amp;"*Zone People Number Of Occupants [](Hourly)",'Eplus results'!$1:$1048576,ROW(),FALSE)</f>
        <v>0</v>
      </c>
      <c r="AC377" s="580">
        <f>HLOOKUP("*"&amp;'Output annual'!$AC$2&amp;'Output annual'!$AD$2&amp;"*FangerPMV(Hourly)",'Eplus results'!$1:$1048576,ROW(),FALSE)</f>
        <v>0</v>
      </c>
      <c r="AD377" s="580">
        <f t="shared" si="58"/>
        <v>5</v>
      </c>
      <c r="AE377" s="580">
        <f t="shared" si="59"/>
        <v>2.5</v>
      </c>
      <c r="AF377" s="580">
        <f t="shared" si="60"/>
        <v>2.5</v>
      </c>
      <c r="AG377" s="580">
        <f t="shared" si="61"/>
        <v>0</v>
      </c>
      <c r="AH377" s="580">
        <f t="shared" si="62"/>
        <v>0</v>
      </c>
    </row>
    <row r="378" spans="2:34">
      <c r="AB378" s="580">
        <f>HLOOKUP("*"&amp;'Output annual'!$AC$2&amp;'Output annual'!$AD$2&amp;"*Zone People Number Of Occupants [](Hourly)",'Eplus results'!$1:$1048576,ROW(),FALSE)</f>
        <v>0</v>
      </c>
      <c r="AC378" s="580">
        <f>HLOOKUP("*"&amp;'Output annual'!$AC$2&amp;'Output annual'!$AD$2&amp;"*FangerPMV(Hourly)",'Eplus results'!$1:$1048576,ROW(),FALSE)</f>
        <v>0</v>
      </c>
      <c r="AD378" s="580">
        <f t="shared" si="58"/>
        <v>5</v>
      </c>
      <c r="AE378" s="580">
        <f t="shared" si="59"/>
        <v>2.5</v>
      </c>
      <c r="AF378" s="580">
        <f t="shared" si="60"/>
        <v>2.5</v>
      </c>
      <c r="AG378" s="580">
        <f t="shared" si="61"/>
        <v>0</v>
      </c>
      <c r="AH378" s="580">
        <f t="shared" si="62"/>
        <v>0</v>
      </c>
    </row>
    <row r="379" spans="2:34">
      <c r="AB379" s="580">
        <f>HLOOKUP("*"&amp;'Output annual'!$AC$2&amp;'Output annual'!$AD$2&amp;"*Zone People Number Of Occupants [](Hourly)",'Eplus results'!$1:$1048576,ROW(),FALSE)</f>
        <v>0</v>
      </c>
      <c r="AC379" s="580">
        <f>HLOOKUP("*"&amp;'Output annual'!$AC$2&amp;'Output annual'!$AD$2&amp;"*FangerPMV(Hourly)",'Eplus results'!$1:$1048576,ROW(),FALSE)</f>
        <v>0</v>
      </c>
      <c r="AD379" s="580">
        <f t="shared" si="58"/>
        <v>5</v>
      </c>
      <c r="AE379" s="580">
        <f t="shared" si="59"/>
        <v>2.5</v>
      </c>
      <c r="AF379" s="580">
        <f t="shared" si="60"/>
        <v>2.5</v>
      </c>
      <c r="AG379" s="580">
        <f t="shared" si="61"/>
        <v>0</v>
      </c>
      <c r="AH379" s="580">
        <f t="shared" si="62"/>
        <v>0</v>
      </c>
    </row>
    <row r="380" spans="2:34">
      <c r="B380" s="54" t="s">
        <v>70</v>
      </c>
      <c r="C380" s="54" t="s">
        <v>71</v>
      </c>
      <c r="AB380" s="580">
        <f>HLOOKUP("*"&amp;'Output annual'!$AC$2&amp;'Output annual'!$AD$2&amp;"*Zone People Number Of Occupants [](Hourly)",'Eplus results'!$1:$1048576,ROW(),FALSE)</f>
        <v>0</v>
      </c>
      <c r="AC380" s="580">
        <f>HLOOKUP("*"&amp;'Output annual'!$AC$2&amp;'Output annual'!$AD$2&amp;"*FangerPMV(Hourly)",'Eplus results'!$1:$1048576,ROW(),FALSE)</f>
        <v>0</v>
      </c>
      <c r="AD380" s="580">
        <f t="shared" si="58"/>
        <v>5</v>
      </c>
      <c r="AE380" s="580">
        <f t="shared" si="59"/>
        <v>2.5</v>
      </c>
      <c r="AF380" s="580">
        <f t="shared" si="60"/>
        <v>2.5</v>
      </c>
      <c r="AG380" s="580">
        <f t="shared" si="61"/>
        <v>0</v>
      </c>
      <c r="AH380" s="580">
        <f t="shared" si="62"/>
        <v>0</v>
      </c>
    </row>
    <row r="381" spans="2:34">
      <c r="B381" s="54">
        <v>0</v>
      </c>
      <c r="C381" s="54">
        <v>0</v>
      </c>
      <c r="AB381" s="580">
        <f>HLOOKUP("*"&amp;'Output annual'!$AC$2&amp;'Output annual'!$AD$2&amp;"*Zone People Number Of Occupants [](Hourly)",'Eplus results'!$1:$1048576,ROW(),FALSE)</f>
        <v>0</v>
      </c>
      <c r="AC381" s="580">
        <f>HLOOKUP("*"&amp;'Output annual'!$AC$2&amp;'Output annual'!$AD$2&amp;"*FangerPMV(Hourly)",'Eplus results'!$1:$1048576,ROW(),FALSE)</f>
        <v>0</v>
      </c>
      <c r="AD381" s="580">
        <f t="shared" si="58"/>
        <v>5</v>
      </c>
      <c r="AE381" s="580">
        <f t="shared" si="59"/>
        <v>2.5</v>
      </c>
      <c r="AF381" s="580">
        <f t="shared" si="60"/>
        <v>2.5</v>
      </c>
      <c r="AG381" s="580">
        <f t="shared" si="61"/>
        <v>0</v>
      </c>
      <c r="AH381" s="580">
        <f t="shared" si="62"/>
        <v>0</v>
      </c>
    </row>
    <row r="382" spans="2:34">
      <c r="B382" s="54">
        <v>1</v>
      </c>
      <c r="C382" s="54">
        <v>31</v>
      </c>
      <c r="AB382" s="580">
        <f>HLOOKUP("*"&amp;'Output annual'!$AC$2&amp;'Output annual'!$AD$2&amp;"*Zone People Number Of Occupants [](Hourly)",'Eplus results'!$1:$1048576,ROW(),FALSE)</f>
        <v>0</v>
      </c>
      <c r="AC382" s="580">
        <f>HLOOKUP("*"&amp;'Output annual'!$AC$2&amp;'Output annual'!$AD$2&amp;"*FangerPMV(Hourly)",'Eplus results'!$1:$1048576,ROW(),FALSE)</f>
        <v>0</v>
      </c>
      <c r="AD382" s="580">
        <f t="shared" si="58"/>
        <v>5</v>
      </c>
      <c r="AE382" s="580">
        <f t="shared" si="59"/>
        <v>2.5</v>
      </c>
      <c r="AF382" s="580">
        <f t="shared" si="60"/>
        <v>2.5</v>
      </c>
      <c r="AG382" s="580">
        <f t="shared" si="61"/>
        <v>0</v>
      </c>
      <c r="AH382" s="580">
        <f t="shared" si="62"/>
        <v>0</v>
      </c>
    </row>
    <row r="383" spans="2:34">
      <c r="B383" s="54">
        <v>2</v>
      </c>
      <c r="C383" s="54">
        <v>59</v>
      </c>
      <c r="AB383" s="580">
        <f>HLOOKUP("*"&amp;'Output annual'!$AC$2&amp;'Output annual'!$AD$2&amp;"*Zone People Number Of Occupants [](Hourly)",'Eplus results'!$1:$1048576,ROW(),FALSE)</f>
        <v>0</v>
      </c>
      <c r="AC383" s="580">
        <f>HLOOKUP("*"&amp;'Output annual'!$AC$2&amp;'Output annual'!$AD$2&amp;"*FangerPMV(Hourly)",'Eplus results'!$1:$1048576,ROW(),FALSE)</f>
        <v>0</v>
      </c>
      <c r="AD383" s="580">
        <f t="shared" si="58"/>
        <v>5</v>
      </c>
      <c r="AE383" s="580">
        <f t="shared" si="59"/>
        <v>2.5</v>
      </c>
      <c r="AF383" s="580">
        <f t="shared" si="60"/>
        <v>2.5</v>
      </c>
      <c r="AG383" s="580">
        <f t="shared" si="61"/>
        <v>0</v>
      </c>
      <c r="AH383" s="580">
        <f t="shared" si="62"/>
        <v>0</v>
      </c>
    </row>
    <row r="384" spans="2:34">
      <c r="B384" s="54">
        <v>3</v>
      </c>
      <c r="C384" s="54">
        <v>90</v>
      </c>
      <c r="AB384" s="580">
        <f>HLOOKUP("*"&amp;'Output annual'!$AC$2&amp;'Output annual'!$AD$2&amp;"*Zone People Number Of Occupants [](Hourly)",'Eplus results'!$1:$1048576,ROW(),FALSE)</f>
        <v>0</v>
      </c>
      <c r="AC384" s="580">
        <f>HLOOKUP("*"&amp;'Output annual'!$AC$2&amp;'Output annual'!$AD$2&amp;"*FangerPMV(Hourly)",'Eplus results'!$1:$1048576,ROW(),FALSE)</f>
        <v>0</v>
      </c>
      <c r="AD384" s="580">
        <f t="shared" si="58"/>
        <v>5</v>
      </c>
      <c r="AE384" s="580">
        <f t="shared" si="59"/>
        <v>2.5</v>
      </c>
      <c r="AF384" s="580">
        <f t="shared" si="60"/>
        <v>2.5</v>
      </c>
      <c r="AG384" s="580">
        <f t="shared" si="61"/>
        <v>0</v>
      </c>
      <c r="AH384" s="580">
        <f t="shared" si="62"/>
        <v>0</v>
      </c>
    </row>
    <row r="385" spans="2:34">
      <c r="B385" s="54">
        <v>4</v>
      </c>
      <c r="C385" s="54">
        <v>120</v>
      </c>
      <c r="AB385" s="580">
        <f>HLOOKUP("*"&amp;'Output annual'!$AC$2&amp;'Output annual'!$AD$2&amp;"*Zone People Number Of Occupants [](Hourly)",'Eplus results'!$1:$1048576,ROW(),FALSE)</f>
        <v>0</v>
      </c>
      <c r="AC385" s="580">
        <f>HLOOKUP("*"&amp;'Output annual'!$AC$2&amp;'Output annual'!$AD$2&amp;"*FangerPMV(Hourly)",'Eplus results'!$1:$1048576,ROW(),FALSE)</f>
        <v>0</v>
      </c>
      <c r="AD385" s="580">
        <f t="shared" si="58"/>
        <v>5</v>
      </c>
      <c r="AE385" s="580">
        <f t="shared" si="59"/>
        <v>2.5</v>
      </c>
      <c r="AF385" s="580">
        <f t="shared" si="60"/>
        <v>2.5</v>
      </c>
      <c r="AG385" s="580">
        <f t="shared" si="61"/>
        <v>0</v>
      </c>
      <c r="AH385" s="580">
        <f t="shared" si="62"/>
        <v>0</v>
      </c>
    </row>
    <row r="386" spans="2:34">
      <c r="B386" s="54">
        <v>5</v>
      </c>
      <c r="C386" s="54">
        <v>151</v>
      </c>
      <c r="AB386" s="580">
        <f>HLOOKUP("*"&amp;'Output annual'!$AC$2&amp;'Output annual'!$AD$2&amp;"*Zone People Number Of Occupants [](Hourly)",'Eplus results'!$1:$1048576,ROW(),FALSE)</f>
        <v>0</v>
      </c>
      <c r="AC386" s="580">
        <f>HLOOKUP("*"&amp;'Output annual'!$AC$2&amp;'Output annual'!$AD$2&amp;"*FangerPMV(Hourly)",'Eplus results'!$1:$1048576,ROW(),FALSE)</f>
        <v>0</v>
      </c>
      <c r="AD386" s="580">
        <f t="shared" si="58"/>
        <v>5</v>
      </c>
      <c r="AE386" s="580">
        <f t="shared" si="59"/>
        <v>2.5</v>
      </c>
      <c r="AF386" s="580">
        <f t="shared" si="60"/>
        <v>2.5</v>
      </c>
      <c r="AG386" s="580">
        <f t="shared" si="61"/>
        <v>0</v>
      </c>
      <c r="AH386" s="580">
        <f t="shared" si="62"/>
        <v>0</v>
      </c>
    </row>
    <row r="387" spans="2:34">
      <c r="B387" s="54">
        <v>6</v>
      </c>
      <c r="C387" s="54">
        <v>181</v>
      </c>
      <c r="AB387" s="580">
        <f>HLOOKUP("*"&amp;'Output annual'!$AC$2&amp;'Output annual'!$AD$2&amp;"*Zone People Number Of Occupants [](Hourly)",'Eplus results'!$1:$1048576,ROW(),FALSE)</f>
        <v>0</v>
      </c>
      <c r="AC387" s="580">
        <f>HLOOKUP("*"&amp;'Output annual'!$AC$2&amp;'Output annual'!$AD$2&amp;"*FangerPMV(Hourly)",'Eplus results'!$1:$1048576,ROW(),FALSE)</f>
        <v>0</v>
      </c>
      <c r="AD387" s="580">
        <f t="shared" ref="AD387:AD450" si="65">100-95*EXP(-0.03353*AC387^4-0.2179*AC387^2)</f>
        <v>5</v>
      </c>
      <c r="AE387" s="580">
        <f t="shared" ref="AE387:AE450" si="66">AD387*(1/(1+EXP(-6.3*$AC387)))</f>
        <v>2.5</v>
      </c>
      <c r="AF387" s="580">
        <f t="shared" ref="AF387:AF450" si="67">(AD387-AE387)</f>
        <v>2.5</v>
      </c>
      <c r="AG387" s="580">
        <f t="shared" ref="AG387:AG450" si="68">AE387*AB387</f>
        <v>0</v>
      </c>
      <c r="AH387" s="580">
        <f t="shared" ref="AH387:AH450" si="69">AF387*AB387</f>
        <v>0</v>
      </c>
    </row>
    <row r="388" spans="2:34">
      <c r="B388" s="54">
        <v>7</v>
      </c>
      <c r="C388" s="54">
        <v>212</v>
      </c>
      <c r="AB388" s="580">
        <f>HLOOKUP("*"&amp;'Output annual'!$AC$2&amp;'Output annual'!$AD$2&amp;"*Zone People Number Of Occupants [](Hourly)",'Eplus results'!$1:$1048576,ROW(),FALSE)</f>
        <v>0</v>
      </c>
      <c r="AC388" s="580">
        <f>HLOOKUP("*"&amp;'Output annual'!$AC$2&amp;'Output annual'!$AD$2&amp;"*FangerPMV(Hourly)",'Eplus results'!$1:$1048576,ROW(),FALSE)</f>
        <v>0</v>
      </c>
      <c r="AD388" s="580">
        <f t="shared" si="65"/>
        <v>5</v>
      </c>
      <c r="AE388" s="580">
        <f t="shared" si="66"/>
        <v>2.5</v>
      </c>
      <c r="AF388" s="580">
        <f t="shared" si="67"/>
        <v>2.5</v>
      </c>
      <c r="AG388" s="580">
        <f t="shared" si="68"/>
        <v>0</v>
      </c>
      <c r="AH388" s="580">
        <f t="shared" si="69"/>
        <v>0</v>
      </c>
    </row>
    <row r="389" spans="2:34">
      <c r="B389" s="54">
        <v>8</v>
      </c>
      <c r="C389" s="54">
        <v>243</v>
      </c>
      <c r="AB389" s="580">
        <f>HLOOKUP("*"&amp;'Output annual'!$AC$2&amp;'Output annual'!$AD$2&amp;"*Zone People Number Of Occupants [](Hourly)",'Eplus results'!$1:$1048576,ROW(),FALSE)</f>
        <v>0</v>
      </c>
      <c r="AC389" s="580">
        <f>HLOOKUP("*"&amp;'Output annual'!$AC$2&amp;'Output annual'!$AD$2&amp;"*FangerPMV(Hourly)",'Eplus results'!$1:$1048576,ROW(),FALSE)</f>
        <v>0</v>
      </c>
      <c r="AD389" s="580">
        <f t="shared" si="65"/>
        <v>5</v>
      </c>
      <c r="AE389" s="580">
        <f t="shared" si="66"/>
        <v>2.5</v>
      </c>
      <c r="AF389" s="580">
        <f t="shared" si="67"/>
        <v>2.5</v>
      </c>
      <c r="AG389" s="580">
        <f t="shared" si="68"/>
        <v>0</v>
      </c>
      <c r="AH389" s="580">
        <f t="shared" si="69"/>
        <v>0</v>
      </c>
    </row>
    <row r="390" spans="2:34">
      <c r="B390" s="54">
        <v>9</v>
      </c>
      <c r="C390" s="54">
        <v>273</v>
      </c>
      <c r="AB390" s="580">
        <f>HLOOKUP("*"&amp;'Output annual'!$AC$2&amp;'Output annual'!$AD$2&amp;"*Zone People Number Of Occupants [](Hourly)",'Eplus results'!$1:$1048576,ROW(),FALSE)</f>
        <v>0</v>
      </c>
      <c r="AC390" s="580">
        <f>HLOOKUP("*"&amp;'Output annual'!$AC$2&amp;'Output annual'!$AD$2&amp;"*FangerPMV(Hourly)",'Eplus results'!$1:$1048576,ROW(),FALSE)</f>
        <v>0</v>
      </c>
      <c r="AD390" s="580">
        <f t="shared" si="65"/>
        <v>5</v>
      </c>
      <c r="AE390" s="580">
        <f t="shared" si="66"/>
        <v>2.5</v>
      </c>
      <c r="AF390" s="580">
        <f t="shared" si="67"/>
        <v>2.5</v>
      </c>
      <c r="AG390" s="580">
        <f t="shared" si="68"/>
        <v>0</v>
      </c>
      <c r="AH390" s="580">
        <f t="shared" si="69"/>
        <v>0</v>
      </c>
    </row>
    <row r="391" spans="2:34">
      <c r="B391" s="54">
        <v>10</v>
      </c>
      <c r="C391" s="54">
        <v>304</v>
      </c>
      <c r="AB391" s="580">
        <f>HLOOKUP("*"&amp;'Output annual'!$AC$2&amp;'Output annual'!$AD$2&amp;"*Zone People Number Of Occupants [](Hourly)",'Eplus results'!$1:$1048576,ROW(),FALSE)</f>
        <v>0</v>
      </c>
      <c r="AC391" s="580">
        <f>HLOOKUP("*"&amp;'Output annual'!$AC$2&amp;'Output annual'!$AD$2&amp;"*FangerPMV(Hourly)",'Eplus results'!$1:$1048576,ROW(),FALSE)</f>
        <v>0</v>
      </c>
      <c r="AD391" s="580">
        <f t="shared" si="65"/>
        <v>5</v>
      </c>
      <c r="AE391" s="580">
        <f t="shared" si="66"/>
        <v>2.5</v>
      </c>
      <c r="AF391" s="580">
        <f t="shared" si="67"/>
        <v>2.5</v>
      </c>
      <c r="AG391" s="580">
        <f t="shared" si="68"/>
        <v>0</v>
      </c>
      <c r="AH391" s="580">
        <f t="shared" si="69"/>
        <v>0</v>
      </c>
    </row>
    <row r="392" spans="2:34">
      <c r="B392" s="54">
        <v>11</v>
      </c>
      <c r="C392" s="54">
        <v>334</v>
      </c>
      <c r="AB392" s="580">
        <f>HLOOKUP("*"&amp;'Output annual'!$AC$2&amp;'Output annual'!$AD$2&amp;"*Zone People Number Of Occupants [](Hourly)",'Eplus results'!$1:$1048576,ROW(),FALSE)</f>
        <v>0</v>
      </c>
      <c r="AC392" s="580">
        <f>HLOOKUP("*"&amp;'Output annual'!$AC$2&amp;'Output annual'!$AD$2&amp;"*FangerPMV(Hourly)",'Eplus results'!$1:$1048576,ROW(),FALSE)</f>
        <v>0</v>
      </c>
      <c r="AD392" s="580">
        <f t="shared" si="65"/>
        <v>5</v>
      </c>
      <c r="AE392" s="580">
        <f t="shared" si="66"/>
        <v>2.5</v>
      </c>
      <c r="AF392" s="580">
        <f t="shared" si="67"/>
        <v>2.5</v>
      </c>
      <c r="AG392" s="580">
        <f t="shared" si="68"/>
        <v>0</v>
      </c>
      <c r="AH392" s="580">
        <f t="shared" si="69"/>
        <v>0</v>
      </c>
    </row>
    <row r="393" spans="2:34">
      <c r="B393" s="54">
        <v>12</v>
      </c>
      <c r="C393" s="54">
        <v>365</v>
      </c>
      <c r="AB393" s="580">
        <f>HLOOKUP("*"&amp;'Output annual'!$AC$2&amp;'Output annual'!$AD$2&amp;"*Zone People Number Of Occupants [](Hourly)",'Eplus results'!$1:$1048576,ROW(),FALSE)</f>
        <v>0</v>
      </c>
      <c r="AC393" s="580">
        <f>HLOOKUP("*"&amp;'Output annual'!$AC$2&amp;'Output annual'!$AD$2&amp;"*FangerPMV(Hourly)",'Eplus results'!$1:$1048576,ROW(),FALSE)</f>
        <v>0</v>
      </c>
      <c r="AD393" s="580">
        <f t="shared" si="65"/>
        <v>5</v>
      </c>
      <c r="AE393" s="580">
        <f t="shared" si="66"/>
        <v>2.5</v>
      </c>
      <c r="AF393" s="580">
        <f t="shared" si="67"/>
        <v>2.5</v>
      </c>
      <c r="AG393" s="580">
        <f t="shared" si="68"/>
        <v>0</v>
      </c>
      <c r="AH393" s="580">
        <f t="shared" si="69"/>
        <v>0</v>
      </c>
    </row>
    <row r="394" spans="2:34">
      <c r="AB394" s="580">
        <f>HLOOKUP("*"&amp;'Output annual'!$AC$2&amp;'Output annual'!$AD$2&amp;"*Zone People Number Of Occupants [](Hourly)",'Eplus results'!$1:$1048576,ROW(),FALSE)</f>
        <v>0</v>
      </c>
      <c r="AC394" s="580">
        <f>HLOOKUP("*"&amp;'Output annual'!$AC$2&amp;'Output annual'!$AD$2&amp;"*FangerPMV(Hourly)",'Eplus results'!$1:$1048576,ROW(),FALSE)</f>
        <v>0</v>
      </c>
      <c r="AD394" s="580">
        <f t="shared" si="65"/>
        <v>5</v>
      </c>
      <c r="AE394" s="580">
        <f t="shared" si="66"/>
        <v>2.5</v>
      </c>
      <c r="AF394" s="580">
        <f t="shared" si="67"/>
        <v>2.5</v>
      </c>
      <c r="AG394" s="580">
        <f t="shared" si="68"/>
        <v>0</v>
      </c>
      <c r="AH394" s="580">
        <f t="shared" si="69"/>
        <v>0</v>
      </c>
    </row>
    <row r="395" spans="2:34">
      <c r="AB395" s="580">
        <f>HLOOKUP("*"&amp;'Output annual'!$AC$2&amp;'Output annual'!$AD$2&amp;"*Zone People Number Of Occupants [](Hourly)",'Eplus results'!$1:$1048576,ROW(),FALSE)</f>
        <v>0</v>
      </c>
      <c r="AC395" s="580">
        <f>HLOOKUP("*"&amp;'Output annual'!$AC$2&amp;'Output annual'!$AD$2&amp;"*FangerPMV(Hourly)",'Eplus results'!$1:$1048576,ROW(),FALSE)</f>
        <v>0</v>
      </c>
      <c r="AD395" s="580">
        <f t="shared" si="65"/>
        <v>5</v>
      </c>
      <c r="AE395" s="580">
        <f t="shared" si="66"/>
        <v>2.5</v>
      </c>
      <c r="AF395" s="580">
        <f t="shared" si="67"/>
        <v>2.5</v>
      </c>
      <c r="AG395" s="580">
        <f t="shared" si="68"/>
        <v>0</v>
      </c>
      <c r="AH395" s="580">
        <f t="shared" si="69"/>
        <v>0</v>
      </c>
    </row>
    <row r="396" spans="2:34">
      <c r="B396" s="51"/>
      <c r="C396" s="52"/>
      <c r="D396" s="52" t="s">
        <v>70</v>
      </c>
      <c r="E396" s="339" t="s">
        <v>71</v>
      </c>
      <c r="AB396" s="580">
        <f>HLOOKUP("*"&amp;'Output annual'!$AC$2&amp;'Output annual'!$AD$2&amp;"*Zone People Number Of Occupants [](Hourly)",'Eplus results'!$1:$1048576,ROW(),FALSE)</f>
        <v>0</v>
      </c>
      <c r="AC396" s="580">
        <f>HLOOKUP("*"&amp;'Output annual'!$AC$2&amp;'Output annual'!$AD$2&amp;"*FangerPMV(Hourly)",'Eplus results'!$1:$1048576,ROW(),FALSE)</f>
        <v>0</v>
      </c>
      <c r="AD396" s="580">
        <f t="shared" si="65"/>
        <v>5</v>
      </c>
      <c r="AE396" s="580">
        <f t="shared" si="66"/>
        <v>2.5</v>
      </c>
      <c r="AF396" s="580">
        <f t="shared" si="67"/>
        <v>2.5</v>
      </c>
      <c r="AG396" s="580">
        <f t="shared" si="68"/>
        <v>0</v>
      </c>
      <c r="AH396" s="580">
        <f t="shared" si="69"/>
        <v>0</v>
      </c>
    </row>
    <row r="397" spans="2:34">
      <c r="B397" s="340" t="s">
        <v>70</v>
      </c>
      <c r="C397" s="229" t="s">
        <v>484</v>
      </c>
      <c r="D397" s="54">
        <v>0</v>
      </c>
      <c r="E397" s="224">
        <v>0</v>
      </c>
      <c r="AB397" s="580">
        <f>HLOOKUP("*"&amp;'Output annual'!$AC$2&amp;'Output annual'!$AD$2&amp;"*Zone People Number Of Occupants [](Hourly)",'Eplus results'!$1:$1048576,ROW(),FALSE)</f>
        <v>0</v>
      </c>
      <c r="AC397" s="580">
        <f>HLOOKUP("*"&amp;'Output annual'!$AC$2&amp;'Output annual'!$AD$2&amp;"*FangerPMV(Hourly)",'Eplus results'!$1:$1048576,ROW(),FALSE)</f>
        <v>0</v>
      </c>
      <c r="AD397" s="580">
        <f t="shared" si="65"/>
        <v>5</v>
      </c>
      <c r="AE397" s="580">
        <f t="shared" si="66"/>
        <v>2.5</v>
      </c>
      <c r="AF397" s="580">
        <f t="shared" si="67"/>
        <v>2.5</v>
      </c>
      <c r="AG397" s="580">
        <f t="shared" si="68"/>
        <v>0</v>
      </c>
      <c r="AH397" s="580">
        <f t="shared" si="69"/>
        <v>0</v>
      </c>
    </row>
    <row r="398" spans="2:34">
      <c r="B398" s="221">
        <v>1</v>
      </c>
      <c r="C398" s="54">
        <v>23.265471292019239</v>
      </c>
      <c r="D398" s="54">
        <v>1</v>
      </c>
      <c r="E398" s="224">
        <v>31</v>
      </c>
      <c r="AB398" s="580">
        <f>HLOOKUP("*"&amp;'Output annual'!$AC$2&amp;'Output annual'!$AD$2&amp;"*Zone People Number Of Occupants [](Hourly)",'Eplus results'!$1:$1048576,ROW(),FALSE)</f>
        <v>0</v>
      </c>
      <c r="AC398" s="580">
        <f>HLOOKUP("*"&amp;'Output annual'!$AC$2&amp;'Output annual'!$AD$2&amp;"*FangerPMV(Hourly)",'Eplus results'!$1:$1048576,ROW(),FALSE)</f>
        <v>0</v>
      </c>
      <c r="AD398" s="580">
        <f t="shared" si="65"/>
        <v>5</v>
      </c>
      <c r="AE398" s="580">
        <f t="shared" si="66"/>
        <v>2.5</v>
      </c>
      <c r="AF398" s="580">
        <f t="shared" si="67"/>
        <v>2.5</v>
      </c>
      <c r="AG398" s="580">
        <f t="shared" si="68"/>
        <v>0</v>
      </c>
      <c r="AH398" s="580">
        <f t="shared" si="69"/>
        <v>0</v>
      </c>
    </row>
    <row r="399" spans="2:34">
      <c r="B399" s="221">
        <v>2</v>
      </c>
      <c r="C399" s="54">
        <v>23.866880555242826</v>
      </c>
      <c r="D399" s="54">
        <v>2</v>
      </c>
      <c r="E399" s="224">
        <v>59</v>
      </c>
      <c r="AB399" s="580">
        <f>HLOOKUP("*"&amp;'Output annual'!$AC$2&amp;'Output annual'!$AD$2&amp;"*Zone People Number Of Occupants [](Hourly)",'Eplus results'!$1:$1048576,ROW(),FALSE)</f>
        <v>0</v>
      </c>
      <c r="AC399" s="580">
        <f>HLOOKUP("*"&amp;'Output annual'!$AC$2&amp;'Output annual'!$AD$2&amp;"*FangerPMV(Hourly)",'Eplus results'!$1:$1048576,ROW(),FALSE)</f>
        <v>0</v>
      </c>
      <c r="AD399" s="580">
        <f t="shared" si="65"/>
        <v>5</v>
      </c>
      <c r="AE399" s="580">
        <f t="shared" si="66"/>
        <v>2.5</v>
      </c>
      <c r="AF399" s="580">
        <f t="shared" si="67"/>
        <v>2.5</v>
      </c>
      <c r="AG399" s="580">
        <f t="shared" si="68"/>
        <v>0</v>
      </c>
      <c r="AH399" s="580">
        <f t="shared" si="69"/>
        <v>0</v>
      </c>
    </row>
    <row r="400" spans="2:34">
      <c r="B400" s="221">
        <v>3</v>
      </c>
      <c r="C400" s="54">
        <v>24.201371233629231</v>
      </c>
      <c r="D400" s="54">
        <v>3</v>
      </c>
      <c r="E400" s="224">
        <v>90</v>
      </c>
      <c r="AB400" s="580">
        <f>HLOOKUP("*"&amp;'Output annual'!$AC$2&amp;'Output annual'!$AD$2&amp;"*Zone People Number Of Occupants [](Hourly)",'Eplus results'!$1:$1048576,ROW(),FALSE)</f>
        <v>0</v>
      </c>
      <c r="AC400" s="580">
        <f>HLOOKUP("*"&amp;'Output annual'!$AC$2&amp;'Output annual'!$AD$2&amp;"*FangerPMV(Hourly)",'Eplus results'!$1:$1048576,ROW(),FALSE)</f>
        <v>0</v>
      </c>
      <c r="AD400" s="580">
        <f t="shared" si="65"/>
        <v>5</v>
      </c>
      <c r="AE400" s="580">
        <f t="shared" si="66"/>
        <v>2.5</v>
      </c>
      <c r="AF400" s="580">
        <f t="shared" si="67"/>
        <v>2.5</v>
      </c>
      <c r="AG400" s="580">
        <f t="shared" si="68"/>
        <v>0</v>
      </c>
      <c r="AH400" s="580">
        <f t="shared" si="69"/>
        <v>0</v>
      </c>
    </row>
    <row r="401" spans="2:34">
      <c r="B401" s="221">
        <v>4</v>
      </c>
      <c r="C401" s="54">
        <v>24.718927811475524</v>
      </c>
      <c r="D401" s="54">
        <v>4</v>
      </c>
      <c r="E401" s="224">
        <v>120</v>
      </c>
      <c r="AB401" s="580">
        <f>HLOOKUP("*"&amp;'Output annual'!$AC$2&amp;'Output annual'!$AD$2&amp;"*Zone People Number Of Occupants [](Hourly)",'Eplus results'!$1:$1048576,ROW(),FALSE)</f>
        <v>0</v>
      </c>
      <c r="AC401" s="580">
        <f>HLOOKUP("*"&amp;'Output annual'!$AC$2&amp;'Output annual'!$AD$2&amp;"*FangerPMV(Hourly)",'Eplus results'!$1:$1048576,ROW(),FALSE)</f>
        <v>0</v>
      </c>
      <c r="AD401" s="580">
        <f t="shared" si="65"/>
        <v>5</v>
      </c>
      <c r="AE401" s="580">
        <f t="shared" si="66"/>
        <v>2.5</v>
      </c>
      <c r="AF401" s="580">
        <f t="shared" si="67"/>
        <v>2.5</v>
      </c>
      <c r="AG401" s="580">
        <f t="shared" si="68"/>
        <v>0</v>
      </c>
      <c r="AH401" s="580">
        <f t="shared" si="69"/>
        <v>0</v>
      </c>
    </row>
    <row r="402" spans="2:34">
      <c r="B402" s="221">
        <v>5</v>
      </c>
      <c r="C402" s="54">
        <v>25.343302155529383</v>
      </c>
      <c r="D402" s="54">
        <v>5</v>
      </c>
      <c r="E402" s="224">
        <v>151</v>
      </c>
      <c r="AB402" s="580">
        <f>HLOOKUP("*"&amp;'Output annual'!$AC$2&amp;'Output annual'!$AD$2&amp;"*Zone People Number Of Occupants [](Hourly)",'Eplus results'!$1:$1048576,ROW(),FALSE)</f>
        <v>0</v>
      </c>
      <c r="AC402" s="580">
        <f>HLOOKUP("*"&amp;'Output annual'!$AC$2&amp;'Output annual'!$AD$2&amp;"*FangerPMV(Hourly)",'Eplus results'!$1:$1048576,ROW(),FALSE)</f>
        <v>0</v>
      </c>
      <c r="AD402" s="580">
        <f t="shared" si="65"/>
        <v>5</v>
      </c>
      <c r="AE402" s="580">
        <f t="shared" si="66"/>
        <v>2.5</v>
      </c>
      <c r="AF402" s="580">
        <f t="shared" si="67"/>
        <v>2.5</v>
      </c>
      <c r="AG402" s="580">
        <f t="shared" si="68"/>
        <v>0</v>
      </c>
      <c r="AH402" s="580">
        <f t="shared" si="69"/>
        <v>0</v>
      </c>
    </row>
    <row r="403" spans="2:34">
      <c r="B403" s="221">
        <v>6</v>
      </c>
      <c r="C403" s="54">
        <v>25.66490221828035</v>
      </c>
      <c r="D403" s="54">
        <v>6</v>
      </c>
      <c r="E403" s="224">
        <v>181</v>
      </c>
      <c r="AB403" s="580">
        <f>HLOOKUP("*"&amp;'Output annual'!$AC$2&amp;'Output annual'!$AD$2&amp;"*Zone People Number Of Occupants [](Hourly)",'Eplus results'!$1:$1048576,ROW(),FALSE)</f>
        <v>0</v>
      </c>
      <c r="AC403" s="580">
        <f>HLOOKUP("*"&amp;'Output annual'!$AC$2&amp;'Output annual'!$AD$2&amp;"*FangerPMV(Hourly)",'Eplus results'!$1:$1048576,ROW(),FALSE)</f>
        <v>0</v>
      </c>
      <c r="AD403" s="580">
        <f t="shared" si="65"/>
        <v>5</v>
      </c>
      <c r="AE403" s="580">
        <f t="shared" si="66"/>
        <v>2.5</v>
      </c>
      <c r="AF403" s="580">
        <f t="shared" si="67"/>
        <v>2.5</v>
      </c>
      <c r="AG403" s="580">
        <f t="shared" si="68"/>
        <v>0</v>
      </c>
      <c r="AH403" s="580">
        <f t="shared" si="69"/>
        <v>0</v>
      </c>
    </row>
    <row r="404" spans="2:34">
      <c r="B404" s="221">
        <v>7</v>
      </c>
      <c r="C404" s="54">
        <v>26.0118147048852</v>
      </c>
      <c r="D404" s="54">
        <v>7</v>
      </c>
      <c r="E404" s="224">
        <v>212</v>
      </c>
      <c r="AB404" s="580">
        <f>HLOOKUP("*"&amp;'Output annual'!$AC$2&amp;'Output annual'!$AD$2&amp;"*Zone People Number Of Occupants [](Hourly)",'Eplus results'!$1:$1048576,ROW(),FALSE)</f>
        <v>0</v>
      </c>
      <c r="AC404" s="580">
        <f>HLOOKUP("*"&amp;'Output annual'!$AC$2&amp;'Output annual'!$AD$2&amp;"*FangerPMV(Hourly)",'Eplus results'!$1:$1048576,ROW(),FALSE)</f>
        <v>0</v>
      </c>
      <c r="AD404" s="580">
        <f t="shared" si="65"/>
        <v>5</v>
      </c>
      <c r="AE404" s="580">
        <f t="shared" si="66"/>
        <v>2.5</v>
      </c>
      <c r="AF404" s="580">
        <f t="shared" si="67"/>
        <v>2.5</v>
      </c>
      <c r="AG404" s="580">
        <f t="shared" si="68"/>
        <v>0</v>
      </c>
      <c r="AH404" s="580">
        <f t="shared" si="69"/>
        <v>0</v>
      </c>
    </row>
    <row r="405" spans="2:34">
      <c r="B405" s="221">
        <v>8</v>
      </c>
      <c r="C405" s="54">
        <v>25.853416477047983</v>
      </c>
      <c r="D405" s="54">
        <v>8</v>
      </c>
      <c r="E405" s="224">
        <v>243</v>
      </c>
      <c r="AB405" s="580">
        <f>HLOOKUP("*"&amp;'Output annual'!$AC$2&amp;'Output annual'!$AD$2&amp;"*Zone People Number Of Occupants [](Hourly)",'Eplus results'!$1:$1048576,ROW(),FALSE)</f>
        <v>0</v>
      </c>
      <c r="AC405" s="580">
        <f>HLOOKUP("*"&amp;'Output annual'!$AC$2&amp;'Output annual'!$AD$2&amp;"*FangerPMV(Hourly)",'Eplus results'!$1:$1048576,ROW(),FALSE)</f>
        <v>0</v>
      </c>
      <c r="AD405" s="580">
        <f t="shared" si="65"/>
        <v>5</v>
      </c>
      <c r="AE405" s="580">
        <f t="shared" si="66"/>
        <v>2.5</v>
      </c>
      <c r="AF405" s="580">
        <f t="shared" si="67"/>
        <v>2.5</v>
      </c>
      <c r="AG405" s="580">
        <f t="shared" si="68"/>
        <v>0</v>
      </c>
      <c r="AH405" s="580">
        <f t="shared" si="69"/>
        <v>0</v>
      </c>
    </row>
    <row r="406" spans="2:34">
      <c r="B406" s="221">
        <v>9</v>
      </c>
      <c r="C406" s="54">
        <v>25.667531184947503</v>
      </c>
      <c r="D406" s="54">
        <v>9</v>
      </c>
      <c r="E406" s="224">
        <v>273</v>
      </c>
      <c r="AB406" s="580">
        <f>HLOOKUP("*"&amp;'Output annual'!$AC$2&amp;'Output annual'!$AD$2&amp;"*Zone People Number Of Occupants [](Hourly)",'Eplus results'!$1:$1048576,ROW(),FALSE)</f>
        <v>0</v>
      </c>
      <c r="AC406" s="580">
        <f>HLOOKUP("*"&amp;'Output annual'!$AC$2&amp;'Output annual'!$AD$2&amp;"*FangerPMV(Hourly)",'Eplus results'!$1:$1048576,ROW(),FALSE)</f>
        <v>0</v>
      </c>
      <c r="AD406" s="580">
        <f t="shared" si="65"/>
        <v>5</v>
      </c>
      <c r="AE406" s="580">
        <f t="shared" si="66"/>
        <v>2.5</v>
      </c>
      <c r="AF406" s="580">
        <f t="shared" si="67"/>
        <v>2.5</v>
      </c>
      <c r="AG406" s="580">
        <f t="shared" si="68"/>
        <v>0</v>
      </c>
      <c r="AH406" s="580">
        <f t="shared" si="69"/>
        <v>0</v>
      </c>
    </row>
    <row r="407" spans="2:34">
      <c r="B407" s="221">
        <v>10</v>
      </c>
      <c r="C407" s="54">
        <v>25.132583626683431</v>
      </c>
      <c r="D407" s="54">
        <v>10</v>
      </c>
      <c r="E407" s="224">
        <v>304</v>
      </c>
      <c r="AB407" s="580">
        <f>HLOOKUP("*"&amp;'Output annual'!$AC$2&amp;'Output annual'!$AD$2&amp;"*Zone People Number Of Occupants [](Hourly)",'Eplus results'!$1:$1048576,ROW(),FALSE)</f>
        <v>0</v>
      </c>
      <c r="AC407" s="580">
        <f>HLOOKUP("*"&amp;'Output annual'!$AC$2&amp;'Output annual'!$AD$2&amp;"*FangerPMV(Hourly)",'Eplus results'!$1:$1048576,ROW(),FALSE)</f>
        <v>0</v>
      </c>
      <c r="AD407" s="580">
        <f t="shared" si="65"/>
        <v>5</v>
      </c>
      <c r="AE407" s="580">
        <f t="shared" si="66"/>
        <v>2.5</v>
      </c>
      <c r="AF407" s="580">
        <f t="shared" si="67"/>
        <v>2.5</v>
      </c>
      <c r="AG407" s="580">
        <f t="shared" si="68"/>
        <v>0</v>
      </c>
      <c r="AH407" s="580">
        <f t="shared" si="69"/>
        <v>0</v>
      </c>
    </row>
    <row r="408" spans="2:34">
      <c r="B408" s="221">
        <v>11</v>
      </c>
      <c r="C408" s="54">
        <v>24.155219094794493</v>
      </c>
      <c r="D408" s="54">
        <v>11</v>
      </c>
      <c r="E408" s="224">
        <v>334</v>
      </c>
      <c r="AB408" s="580">
        <f>HLOOKUP("*"&amp;'Output annual'!$AC$2&amp;'Output annual'!$AD$2&amp;"*Zone People Number Of Occupants [](Hourly)",'Eplus results'!$1:$1048576,ROW(),FALSE)</f>
        <v>0</v>
      </c>
      <c r="AC408" s="580">
        <f>HLOOKUP("*"&amp;'Output annual'!$AC$2&amp;'Output annual'!$AD$2&amp;"*FangerPMV(Hourly)",'Eplus results'!$1:$1048576,ROW(),FALSE)</f>
        <v>0</v>
      </c>
      <c r="AD408" s="580">
        <f t="shared" si="65"/>
        <v>5</v>
      </c>
      <c r="AE408" s="580">
        <f t="shared" si="66"/>
        <v>2.5</v>
      </c>
      <c r="AF408" s="580">
        <f t="shared" si="67"/>
        <v>2.5</v>
      </c>
      <c r="AG408" s="580">
        <f t="shared" si="68"/>
        <v>0</v>
      </c>
      <c r="AH408" s="580">
        <f t="shared" si="69"/>
        <v>0</v>
      </c>
    </row>
    <row r="409" spans="2:34">
      <c r="B409" s="56">
        <v>12</v>
      </c>
      <c r="C409" s="57">
        <v>23.206129352817769</v>
      </c>
      <c r="D409" s="57">
        <v>12</v>
      </c>
      <c r="E409" s="341">
        <v>365</v>
      </c>
      <c r="AB409" s="580">
        <f>HLOOKUP("*"&amp;'Output annual'!$AC$2&amp;'Output annual'!$AD$2&amp;"*Zone People Number Of Occupants [](Hourly)",'Eplus results'!$1:$1048576,ROW(),FALSE)</f>
        <v>0</v>
      </c>
      <c r="AC409" s="580">
        <f>HLOOKUP("*"&amp;'Output annual'!$AC$2&amp;'Output annual'!$AD$2&amp;"*FangerPMV(Hourly)",'Eplus results'!$1:$1048576,ROW(),FALSE)</f>
        <v>0</v>
      </c>
      <c r="AD409" s="580">
        <f t="shared" si="65"/>
        <v>5</v>
      </c>
      <c r="AE409" s="580">
        <f t="shared" si="66"/>
        <v>2.5</v>
      </c>
      <c r="AF409" s="580">
        <f t="shared" si="67"/>
        <v>2.5</v>
      </c>
      <c r="AG409" s="580">
        <f t="shared" si="68"/>
        <v>0</v>
      </c>
      <c r="AH409" s="580">
        <f t="shared" si="69"/>
        <v>0</v>
      </c>
    </row>
    <row r="410" spans="2:34">
      <c r="AB410" s="580">
        <f>HLOOKUP("*"&amp;'Output annual'!$AC$2&amp;'Output annual'!$AD$2&amp;"*Zone People Number Of Occupants [](Hourly)",'Eplus results'!$1:$1048576,ROW(),FALSE)</f>
        <v>0</v>
      </c>
      <c r="AC410" s="580">
        <f>HLOOKUP("*"&amp;'Output annual'!$AC$2&amp;'Output annual'!$AD$2&amp;"*FangerPMV(Hourly)",'Eplus results'!$1:$1048576,ROW(),FALSE)</f>
        <v>0</v>
      </c>
      <c r="AD410" s="580">
        <f t="shared" si="65"/>
        <v>5</v>
      </c>
      <c r="AE410" s="580">
        <f t="shared" si="66"/>
        <v>2.5</v>
      </c>
      <c r="AF410" s="580">
        <f t="shared" si="67"/>
        <v>2.5</v>
      </c>
      <c r="AG410" s="580">
        <f t="shared" si="68"/>
        <v>0</v>
      </c>
      <c r="AH410" s="580">
        <f t="shared" si="69"/>
        <v>0</v>
      </c>
    </row>
    <row r="411" spans="2:34">
      <c r="B411" s="332" t="s">
        <v>70</v>
      </c>
      <c r="C411" s="219">
        <v>8</v>
      </c>
      <c r="D411" s="52"/>
      <c r="E411" s="52"/>
      <c r="F411" s="53"/>
      <c r="G411" s="149"/>
      <c r="H411" s="149"/>
      <c r="I411" s="149"/>
      <c r="J411" s="149"/>
      <c r="K411" s="149"/>
      <c r="L411" s="149"/>
      <c r="M411" s="149"/>
      <c r="N411" s="149"/>
      <c r="O411" s="149"/>
      <c r="P411" s="149"/>
      <c r="Q411" s="149"/>
      <c r="R411" s="149"/>
      <c r="S411" s="149"/>
      <c r="AB411" s="580">
        <f>HLOOKUP("*"&amp;'Output annual'!$AC$2&amp;'Output annual'!$AD$2&amp;"*Zone People Number Of Occupants [](Hourly)",'Eplus results'!$1:$1048576,ROW(),FALSE)</f>
        <v>0</v>
      </c>
      <c r="AC411" s="580">
        <f>HLOOKUP("*"&amp;'Output annual'!$AC$2&amp;'Output annual'!$AD$2&amp;"*FangerPMV(Hourly)",'Eplus results'!$1:$1048576,ROW(),FALSE)</f>
        <v>0</v>
      </c>
      <c r="AD411" s="580">
        <f t="shared" si="65"/>
        <v>5</v>
      </c>
      <c r="AE411" s="580">
        <f t="shared" si="66"/>
        <v>2.5</v>
      </c>
      <c r="AF411" s="580">
        <f t="shared" si="67"/>
        <v>2.5</v>
      </c>
      <c r="AG411" s="580">
        <f t="shared" si="68"/>
        <v>0</v>
      </c>
      <c r="AH411" s="580">
        <f t="shared" si="69"/>
        <v>0</v>
      </c>
    </row>
    <row r="412" spans="2:34">
      <c r="B412" s="333"/>
      <c r="C412" s="179"/>
      <c r="D412" s="54"/>
      <c r="E412" s="54" t="s">
        <v>69</v>
      </c>
      <c r="F412" s="297" t="s">
        <v>69</v>
      </c>
      <c r="G412" s="149"/>
      <c r="H412" s="149"/>
      <c r="I412" s="149"/>
      <c r="J412" s="149"/>
      <c r="K412" s="149"/>
      <c r="L412" s="149"/>
      <c r="M412" s="149"/>
      <c r="N412" s="149"/>
      <c r="O412" s="149"/>
      <c r="P412" s="149"/>
      <c r="Q412" s="149"/>
      <c r="R412" s="149"/>
      <c r="S412" s="149"/>
      <c r="AB412" s="580">
        <f>HLOOKUP("*"&amp;'Output annual'!$AC$2&amp;'Output annual'!$AD$2&amp;"*Zone People Number Of Occupants [](Hourly)",'Eplus results'!$1:$1048576,ROW(),FALSE)</f>
        <v>0</v>
      </c>
      <c r="AC412" s="580">
        <f>HLOOKUP("*"&amp;'Output annual'!$AC$2&amp;'Output annual'!$AD$2&amp;"*FangerPMV(Hourly)",'Eplus results'!$1:$1048576,ROW(),FALSE)</f>
        <v>0</v>
      </c>
      <c r="AD412" s="580">
        <f t="shared" si="65"/>
        <v>5</v>
      </c>
      <c r="AE412" s="580">
        <f t="shared" si="66"/>
        <v>2.5</v>
      </c>
      <c r="AF412" s="580">
        <f t="shared" si="67"/>
        <v>2.5</v>
      </c>
      <c r="AG412" s="580">
        <f t="shared" si="68"/>
        <v>0</v>
      </c>
      <c r="AH412" s="580">
        <f t="shared" si="69"/>
        <v>0</v>
      </c>
    </row>
    <row r="413" spans="2:34">
      <c r="B413" s="333"/>
      <c r="C413" s="179"/>
      <c r="D413" s="54" t="s">
        <v>29</v>
      </c>
      <c r="E413" s="54" t="s">
        <v>67</v>
      </c>
      <c r="F413" s="297" t="s">
        <v>68</v>
      </c>
      <c r="G413" s="149"/>
      <c r="H413" s="149"/>
      <c r="I413" s="149"/>
      <c r="J413" s="149"/>
      <c r="K413" s="149"/>
      <c r="L413" s="149"/>
      <c r="M413" s="149"/>
      <c r="N413" s="149"/>
      <c r="O413" s="149"/>
      <c r="P413" s="149"/>
      <c r="Q413" s="149"/>
      <c r="R413" s="149"/>
      <c r="S413" s="149"/>
      <c r="AB413" s="580">
        <f>HLOOKUP("*"&amp;'Output annual'!$AC$2&amp;'Output annual'!$AD$2&amp;"*Zone People Number Of Occupants [](Hourly)",'Eplus results'!$1:$1048576,ROW(),FALSE)</f>
        <v>0</v>
      </c>
      <c r="AC413" s="580">
        <f>HLOOKUP("*"&amp;'Output annual'!$AC$2&amp;'Output annual'!$AD$2&amp;"*FangerPMV(Hourly)",'Eplus results'!$1:$1048576,ROW(),FALSE)</f>
        <v>0</v>
      </c>
      <c r="AD413" s="580">
        <f t="shared" si="65"/>
        <v>5</v>
      </c>
      <c r="AE413" s="580">
        <f t="shared" si="66"/>
        <v>2.5</v>
      </c>
      <c r="AF413" s="580">
        <f t="shared" si="67"/>
        <v>2.5</v>
      </c>
      <c r="AG413" s="580">
        <f t="shared" si="68"/>
        <v>0</v>
      </c>
      <c r="AH413" s="580">
        <f t="shared" si="69"/>
        <v>0</v>
      </c>
    </row>
    <row r="414" spans="2:34">
      <c r="B414" s="333">
        <v>1</v>
      </c>
      <c r="C414" s="334">
        <v>0</v>
      </c>
      <c r="D414" s="335">
        <f t="shared" ref="D414:D437" si="70">35.314667*C414*60/58201</f>
        <v>0</v>
      </c>
      <c r="E414" s="54">
        <v>0</v>
      </c>
      <c r="F414" s="297">
        <v>0</v>
      </c>
      <c r="G414" s="149"/>
      <c r="H414" s="149"/>
      <c r="I414" s="149"/>
      <c r="J414" s="149"/>
      <c r="K414" s="149"/>
      <c r="L414" s="149"/>
      <c r="M414" s="149"/>
      <c r="N414" s="149"/>
      <c r="O414" s="149"/>
      <c r="P414" s="149"/>
      <c r="Q414" s="149"/>
      <c r="R414" s="149"/>
      <c r="S414" s="149"/>
      <c r="AB414" s="580">
        <f>HLOOKUP("*"&amp;'Output annual'!$AC$2&amp;'Output annual'!$AD$2&amp;"*Zone People Number Of Occupants [](Hourly)",'Eplus results'!$1:$1048576,ROW(),FALSE)</f>
        <v>0</v>
      </c>
      <c r="AC414" s="580">
        <f>HLOOKUP("*"&amp;'Output annual'!$AC$2&amp;'Output annual'!$AD$2&amp;"*FangerPMV(Hourly)",'Eplus results'!$1:$1048576,ROW(),FALSE)</f>
        <v>0</v>
      </c>
      <c r="AD414" s="580">
        <f t="shared" si="65"/>
        <v>5</v>
      </c>
      <c r="AE414" s="580">
        <f t="shared" si="66"/>
        <v>2.5</v>
      </c>
      <c r="AF414" s="580">
        <f t="shared" si="67"/>
        <v>2.5</v>
      </c>
      <c r="AG414" s="580">
        <f t="shared" si="68"/>
        <v>0</v>
      </c>
      <c r="AH414" s="580">
        <f t="shared" si="69"/>
        <v>0</v>
      </c>
    </row>
    <row r="415" spans="2:34">
      <c r="B415" s="333">
        <v>2</v>
      </c>
      <c r="C415" s="334">
        <v>0</v>
      </c>
      <c r="D415" s="335">
        <f t="shared" si="70"/>
        <v>0</v>
      </c>
      <c r="E415" s="54">
        <v>0</v>
      </c>
      <c r="F415" s="297">
        <v>0</v>
      </c>
      <c r="G415" s="149"/>
      <c r="H415" s="149"/>
      <c r="I415" s="149"/>
      <c r="J415" s="149"/>
      <c r="K415" s="149"/>
      <c r="L415" s="149"/>
      <c r="M415" s="149"/>
      <c r="N415" s="149"/>
      <c r="O415" s="149"/>
      <c r="P415" s="149"/>
      <c r="Q415" s="149"/>
      <c r="R415" s="149"/>
      <c r="S415" s="149"/>
      <c r="AB415" s="580">
        <f>HLOOKUP("*"&amp;'Output annual'!$AC$2&amp;'Output annual'!$AD$2&amp;"*Zone People Number Of Occupants [](Hourly)",'Eplus results'!$1:$1048576,ROW(),FALSE)</f>
        <v>0</v>
      </c>
      <c r="AC415" s="580">
        <f>HLOOKUP("*"&amp;'Output annual'!$AC$2&amp;'Output annual'!$AD$2&amp;"*FangerPMV(Hourly)",'Eplus results'!$1:$1048576,ROW(),FALSE)</f>
        <v>0</v>
      </c>
      <c r="AD415" s="580">
        <f t="shared" si="65"/>
        <v>5</v>
      </c>
      <c r="AE415" s="580">
        <f t="shared" si="66"/>
        <v>2.5</v>
      </c>
      <c r="AF415" s="580">
        <f t="shared" si="67"/>
        <v>2.5</v>
      </c>
      <c r="AG415" s="580">
        <f t="shared" si="68"/>
        <v>0</v>
      </c>
      <c r="AH415" s="580">
        <f t="shared" si="69"/>
        <v>0</v>
      </c>
    </row>
    <row r="416" spans="2:34">
      <c r="B416" s="333">
        <v>3</v>
      </c>
      <c r="C416" s="334">
        <v>0</v>
      </c>
      <c r="D416" s="335">
        <f t="shared" si="70"/>
        <v>0</v>
      </c>
      <c r="E416" s="54">
        <v>0</v>
      </c>
      <c r="F416" s="297">
        <v>0</v>
      </c>
      <c r="G416" s="149"/>
      <c r="H416" s="149"/>
      <c r="I416" s="149"/>
      <c r="J416" s="149"/>
      <c r="K416" s="149"/>
      <c r="L416" s="149"/>
      <c r="M416" s="149"/>
      <c r="N416" s="149"/>
      <c r="O416" s="149"/>
      <c r="P416" s="149"/>
      <c r="Q416" s="149"/>
      <c r="R416" s="149"/>
      <c r="S416" s="149"/>
      <c r="AB416" s="580">
        <f>HLOOKUP("*"&amp;'Output annual'!$AC$2&amp;'Output annual'!$AD$2&amp;"*Zone People Number Of Occupants [](Hourly)",'Eplus results'!$1:$1048576,ROW(),FALSE)</f>
        <v>0</v>
      </c>
      <c r="AC416" s="580">
        <f>HLOOKUP("*"&amp;'Output annual'!$AC$2&amp;'Output annual'!$AD$2&amp;"*FangerPMV(Hourly)",'Eplus results'!$1:$1048576,ROW(),FALSE)</f>
        <v>0</v>
      </c>
      <c r="AD416" s="580">
        <f t="shared" si="65"/>
        <v>5</v>
      </c>
      <c r="AE416" s="580">
        <f t="shared" si="66"/>
        <v>2.5</v>
      </c>
      <c r="AF416" s="580">
        <f t="shared" si="67"/>
        <v>2.5</v>
      </c>
      <c r="AG416" s="580">
        <f t="shared" si="68"/>
        <v>0</v>
      </c>
      <c r="AH416" s="580">
        <f t="shared" si="69"/>
        <v>0</v>
      </c>
    </row>
    <row r="417" spans="2:34">
      <c r="B417" s="333">
        <v>4</v>
      </c>
      <c r="C417" s="334">
        <v>0</v>
      </c>
      <c r="D417" s="335">
        <f t="shared" si="70"/>
        <v>0</v>
      </c>
      <c r="E417" s="54">
        <v>0</v>
      </c>
      <c r="F417" s="297">
        <v>0</v>
      </c>
      <c r="G417" s="149"/>
      <c r="H417" s="149"/>
      <c r="I417" s="149"/>
      <c r="J417" s="149"/>
      <c r="K417" s="149"/>
      <c r="L417" s="149"/>
      <c r="M417" s="149"/>
      <c r="N417" s="149"/>
      <c r="O417" s="149"/>
      <c r="P417" s="149"/>
      <c r="Q417" s="149"/>
      <c r="R417" s="149"/>
      <c r="S417" s="149"/>
      <c r="AB417" s="580">
        <f>HLOOKUP("*"&amp;'Output annual'!$AC$2&amp;'Output annual'!$AD$2&amp;"*Zone People Number Of Occupants [](Hourly)",'Eplus results'!$1:$1048576,ROW(),FALSE)</f>
        <v>0</v>
      </c>
      <c r="AC417" s="580">
        <f>HLOOKUP("*"&amp;'Output annual'!$AC$2&amp;'Output annual'!$AD$2&amp;"*FangerPMV(Hourly)",'Eplus results'!$1:$1048576,ROW(),FALSE)</f>
        <v>0</v>
      </c>
      <c r="AD417" s="580">
        <f t="shared" si="65"/>
        <v>5</v>
      </c>
      <c r="AE417" s="580">
        <f t="shared" si="66"/>
        <v>2.5</v>
      </c>
      <c r="AF417" s="580">
        <f t="shared" si="67"/>
        <v>2.5</v>
      </c>
      <c r="AG417" s="580">
        <f t="shared" si="68"/>
        <v>0</v>
      </c>
      <c r="AH417" s="580">
        <f t="shared" si="69"/>
        <v>0</v>
      </c>
    </row>
    <row r="418" spans="2:34">
      <c r="B418" s="333">
        <v>5</v>
      </c>
      <c r="C418" s="334">
        <v>12.207797282636841</v>
      </c>
      <c r="D418" s="335">
        <f t="shared" si="70"/>
        <v>0.44444009124223804</v>
      </c>
      <c r="E418" s="54">
        <v>7.9016313984901112</v>
      </c>
      <c r="F418" s="297">
        <v>5.5061750760364561</v>
      </c>
      <c r="G418" s="149"/>
      <c r="H418" s="149"/>
      <c r="I418" s="149"/>
      <c r="J418" s="149"/>
      <c r="K418" s="149"/>
      <c r="L418" s="149"/>
      <c r="M418" s="149"/>
      <c r="N418" s="149"/>
      <c r="O418" s="149"/>
      <c r="P418" s="149"/>
      <c r="Q418" s="149"/>
      <c r="R418" s="149"/>
      <c r="S418" s="149"/>
      <c r="AB418" s="580">
        <f>HLOOKUP("*"&amp;'Output annual'!$AC$2&amp;'Output annual'!$AD$2&amp;"*Zone People Number Of Occupants [](Hourly)",'Eplus results'!$1:$1048576,ROW(),FALSE)</f>
        <v>0</v>
      </c>
      <c r="AC418" s="580">
        <f>HLOOKUP("*"&amp;'Output annual'!$AC$2&amp;'Output annual'!$AD$2&amp;"*FangerPMV(Hourly)",'Eplus results'!$1:$1048576,ROW(),FALSE)</f>
        <v>0</v>
      </c>
      <c r="AD418" s="580">
        <f t="shared" si="65"/>
        <v>5</v>
      </c>
      <c r="AE418" s="580">
        <f t="shared" si="66"/>
        <v>2.5</v>
      </c>
      <c r="AF418" s="580">
        <f t="shared" si="67"/>
        <v>2.5</v>
      </c>
      <c r="AG418" s="580">
        <f t="shared" si="68"/>
        <v>0</v>
      </c>
      <c r="AH418" s="580">
        <f t="shared" si="69"/>
        <v>0</v>
      </c>
    </row>
    <row r="419" spans="2:34">
      <c r="B419" s="333">
        <v>6</v>
      </c>
      <c r="C419" s="334">
        <v>11.523267777784072</v>
      </c>
      <c r="D419" s="335">
        <f t="shared" si="70"/>
        <v>0.41951894055869265</v>
      </c>
      <c r="E419" s="54">
        <v>7.3121590273285886</v>
      </c>
      <c r="F419" s="297">
        <v>5.1752068132343814</v>
      </c>
      <c r="G419" s="149"/>
      <c r="H419" s="149"/>
      <c r="I419" s="149"/>
      <c r="J419" s="149"/>
      <c r="K419" s="149"/>
      <c r="L419" s="149"/>
      <c r="M419" s="149"/>
      <c r="N419" s="149"/>
      <c r="O419" s="149"/>
      <c r="P419" s="149"/>
      <c r="Q419" s="149"/>
      <c r="R419" s="149"/>
      <c r="S419" s="149"/>
      <c r="AB419" s="580">
        <f>HLOOKUP("*"&amp;'Output annual'!$AC$2&amp;'Output annual'!$AD$2&amp;"*Zone People Number Of Occupants [](Hourly)",'Eplus results'!$1:$1048576,ROW(),FALSE)</f>
        <v>0</v>
      </c>
      <c r="AC419" s="580">
        <f>HLOOKUP("*"&amp;'Output annual'!$AC$2&amp;'Output annual'!$AD$2&amp;"*FangerPMV(Hourly)",'Eplus results'!$1:$1048576,ROW(),FALSE)</f>
        <v>0</v>
      </c>
      <c r="AD419" s="580">
        <f t="shared" si="65"/>
        <v>5</v>
      </c>
      <c r="AE419" s="580">
        <f t="shared" si="66"/>
        <v>2.5</v>
      </c>
      <c r="AF419" s="580">
        <f t="shared" si="67"/>
        <v>2.5</v>
      </c>
      <c r="AG419" s="580">
        <f t="shared" si="68"/>
        <v>0</v>
      </c>
      <c r="AH419" s="580">
        <f t="shared" si="69"/>
        <v>0</v>
      </c>
    </row>
    <row r="420" spans="2:34">
      <c r="B420" s="333">
        <v>7</v>
      </c>
      <c r="C420" s="334">
        <v>18.441410350764173</v>
      </c>
      <c r="D420" s="335">
        <f t="shared" si="70"/>
        <v>0.67138255241070421</v>
      </c>
      <c r="E420" s="54">
        <v>9.4361667697597582</v>
      </c>
      <c r="F420" s="297">
        <v>9.3363127024198445</v>
      </c>
      <c r="G420" s="149"/>
      <c r="H420" s="149"/>
      <c r="I420" s="149"/>
      <c r="J420" s="149"/>
      <c r="K420" s="149"/>
      <c r="L420" s="149"/>
      <c r="M420" s="149"/>
      <c r="N420" s="149"/>
      <c r="O420" s="149"/>
      <c r="P420" s="149"/>
      <c r="Q420" s="149"/>
      <c r="R420" s="149"/>
      <c r="S420" s="149"/>
      <c r="AB420" s="580">
        <f>HLOOKUP("*"&amp;'Output annual'!$AC$2&amp;'Output annual'!$AD$2&amp;"*Zone People Number Of Occupants [](Hourly)",'Eplus results'!$1:$1048576,ROW(),FALSE)</f>
        <v>0</v>
      </c>
      <c r="AC420" s="580">
        <f>HLOOKUP("*"&amp;'Output annual'!$AC$2&amp;'Output annual'!$AD$2&amp;"*FangerPMV(Hourly)",'Eplus results'!$1:$1048576,ROW(),FALSE)</f>
        <v>0</v>
      </c>
      <c r="AD420" s="580">
        <f t="shared" si="65"/>
        <v>5</v>
      </c>
      <c r="AE420" s="580">
        <f t="shared" si="66"/>
        <v>2.5</v>
      </c>
      <c r="AF420" s="580">
        <f t="shared" si="67"/>
        <v>2.5</v>
      </c>
      <c r="AG420" s="580">
        <f t="shared" si="68"/>
        <v>0</v>
      </c>
      <c r="AH420" s="580">
        <f t="shared" si="69"/>
        <v>0</v>
      </c>
    </row>
    <row r="421" spans="2:34">
      <c r="B421" s="333">
        <v>8</v>
      </c>
      <c r="C421" s="334">
        <v>16.77134110238762</v>
      </c>
      <c r="D421" s="335">
        <f t="shared" si="70"/>
        <v>0.6105815977466692</v>
      </c>
      <c r="E421" s="54">
        <v>6.6709513023120142</v>
      </c>
      <c r="F421" s="297">
        <v>11.801608893095578</v>
      </c>
      <c r="G421" s="149"/>
      <c r="H421" s="149"/>
      <c r="I421" s="149"/>
      <c r="J421" s="149"/>
      <c r="K421" s="149"/>
      <c r="L421" s="149"/>
      <c r="M421" s="149"/>
      <c r="N421" s="149"/>
      <c r="O421" s="149"/>
      <c r="P421" s="149"/>
      <c r="Q421" s="149"/>
      <c r="R421" s="149"/>
      <c r="S421" s="149"/>
      <c r="AB421" s="580">
        <f>HLOOKUP("*"&amp;'Output annual'!$AC$2&amp;'Output annual'!$AD$2&amp;"*Zone People Number Of Occupants [](Hourly)",'Eplus results'!$1:$1048576,ROW(),FALSE)</f>
        <v>0</v>
      </c>
      <c r="AC421" s="580">
        <f>HLOOKUP("*"&amp;'Output annual'!$AC$2&amp;'Output annual'!$AD$2&amp;"*FangerPMV(Hourly)",'Eplus results'!$1:$1048576,ROW(),FALSE)</f>
        <v>0</v>
      </c>
      <c r="AD421" s="580">
        <f t="shared" si="65"/>
        <v>5</v>
      </c>
      <c r="AE421" s="580">
        <f t="shared" si="66"/>
        <v>2.5</v>
      </c>
      <c r="AF421" s="580">
        <f t="shared" si="67"/>
        <v>2.5</v>
      </c>
      <c r="AG421" s="580">
        <f t="shared" si="68"/>
        <v>0</v>
      </c>
      <c r="AH421" s="580">
        <f t="shared" si="69"/>
        <v>0</v>
      </c>
    </row>
    <row r="422" spans="2:34">
      <c r="B422" s="333">
        <v>9</v>
      </c>
      <c r="C422" s="334">
        <v>17.962575561072292</v>
      </c>
      <c r="D422" s="335">
        <f t="shared" si="70"/>
        <v>0.65394997446944858</v>
      </c>
      <c r="E422" s="54">
        <v>4.6261310023865194</v>
      </c>
      <c r="F422" s="297">
        <v>15.998093992041236</v>
      </c>
      <c r="G422" s="149"/>
      <c r="H422" s="149"/>
      <c r="I422" s="149"/>
      <c r="J422" s="149"/>
      <c r="K422" s="149"/>
      <c r="L422" s="149"/>
      <c r="M422" s="149"/>
      <c r="N422" s="149"/>
      <c r="O422" s="149"/>
      <c r="P422" s="149"/>
      <c r="Q422" s="149"/>
      <c r="R422" s="149"/>
      <c r="S422" s="149"/>
      <c r="AB422" s="580">
        <f>HLOOKUP("*"&amp;'Output annual'!$AC$2&amp;'Output annual'!$AD$2&amp;"*Zone People Number Of Occupants [](Hourly)",'Eplus results'!$1:$1048576,ROW(),FALSE)</f>
        <v>0</v>
      </c>
      <c r="AC422" s="580">
        <f>HLOOKUP("*"&amp;'Output annual'!$AC$2&amp;'Output annual'!$AD$2&amp;"*FangerPMV(Hourly)",'Eplus results'!$1:$1048576,ROW(),FALSE)</f>
        <v>0</v>
      </c>
      <c r="AD422" s="580">
        <f t="shared" si="65"/>
        <v>5</v>
      </c>
      <c r="AE422" s="580">
        <f t="shared" si="66"/>
        <v>2.5</v>
      </c>
      <c r="AF422" s="580">
        <f t="shared" si="67"/>
        <v>2.5</v>
      </c>
      <c r="AG422" s="580">
        <f t="shared" si="68"/>
        <v>0</v>
      </c>
      <c r="AH422" s="580">
        <f t="shared" si="69"/>
        <v>0</v>
      </c>
    </row>
    <row r="423" spans="2:34">
      <c r="B423" s="333">
        <v>10</v>
      </c>
      <c r="C423" s="334">
        <v>18.769720518734587</v>
      </c>
      <c r="D423" s="335">
        <f t="shared" si="70"/>
        <v>0.68333509369479473</v>
      </c>
      <c r="E423" s="54">
        <v>2.3959784226924419</v>
      </c>
      <c r="F423" s="297">
        <v>19.170858285247281</v>
      </c>
      <c r="G423" s="149"/>
      <c r="H423" s="149"/>
      <c r="I423" s="149"/>
      <c r="J423" s="149"/>
      <c r="K423" s="149"/>
      <c r="L423" s="149"/>
      <c r="M423" s="149"/>
      <c r="N423" s="149"/>
      <c r="O423" s="149"/>
      <c r="P423" s="149"/>
      <c r="Q423" s="149"/>
      <c r="R423" s="149"/>
      <c r="S423" s="149"/>
      <c r="AB423" s="580">
        <f>HLOOKUP("*"&amp;'Output annual'!$AC$2&amp;'Output annual'!$AD$2&amp;"*Zone People Number Of Occupants [](Hourly)",'Eplus results'!$1:$1048576,ROW(),FALSE)</f>
        <v>0</v>
      </c>
      <c r="AC423" s="580">
        <f>HLOOKUP("*"&amp;'Output annual'!$AC$2&amp;'Output annual'!$AD$2&amp;"*FangerPMV(Hourly)",'Eplus results'!$1:$1048576,ROW(),FALSE)</f>
        <v>0</v>
      </c>
      <c r="AD423" s="580">
        <f t="shared" si="65"/>
        <v>5</v>
      </c>
      <c r="AE423" s="580">
        <f t="shared" si="66"/>
        <v>2.5</v>
      </c>
      <c r="AF423" s="580">
        <f t="shared" si="67"/>
        <v>2.5</v>
      </c>
      <c r="AG423" s="580">
        <f t="shared" si="68"/>
        <v>0</v>
      </c>
      <c r="AH423" s="580">
        <f t="shared" si="69"/>
        <v>0</v>
      </c>
    </row>
    <row r="424" spans="2:34">
      <c r="B424" s="333">
        <v>11</v>
      </c>
      <c r="C424" s="334">
        <v>19.049304756137783</v>
      </c>
      <c r="D424" s="335">
        <f t="shared" si="70"/>
        <v>0.69351370668324108</v>
      </c>
      <c r="E424" s="54">
        <v>0.81014431741221016</v>
      </c>
      <c r="F424" s="297">
        <v>20.427354137246358</v>
      </c>
      <c r="G424" s="149"/>
      <c r="H424" s="149"/>
      <c r="I424" s="149"/>
      <c r="J424" s="149"/>
      <c r="K424" s="149"/>
      <c r="L424" s="149"/>
      <c r="M424" s="149"/>
      <c r="N424" s="149"/>
      <c r="O424" s="149"/>
      <c r="P424" s="149"/>
      <c r="Q424" s="149"/>
      <c r="R424" s="149"/>
      <c r="S424" s="149"/>
      <c r="AB424" s="580">
        <f>HLOOKUP("*"&amp;'Output annual'!$AC$2&amp;'Output annual'!$AD$2&amp;"*Zone People Number Of Occupants [](Hourly)",'Eplus results'!$1:$1048576,ROW(),FALSE)</f>
        <v>0</v>
      </c>
      <c r="AC424" s="580">
        <f>HLOOKUP("*"&amp;'Output annual'!$AC$2&amp;'Output annual'!$AD$2&amp;"*FangerPMV(Hourly)",'Eplus results'!$1:$1048576,ROW(),FALSE)</f>
        <v>0</v>
      </c>
      <c r="AD424" s="580">
        <f t="shared" si="65"/>
        <v>5</v>
      </c>
      <c r="AE424" s="580">
        <f t="shared" si="66"/>
        <v>2.5</v>
      </c>
      <c r="AF424" s="580">
        <f t="shared" si="67"/>
        <v>2.5</v>
      </c>
      <c r="AG424" s="580">
        <f t="shared" si="68"/>
        <v>0</v>
      </c>
      <c r="AH424" s="580">
        <f t="shared" si="69"/>
        <v>0</v>
      </c>
    </row>
    <row r="425" spans="2:34">
      <c r="B425" s="333">
        <v>12</v>
      </c>
      <c r="C425" s="334">
        <v>19.071718474019455</v>
      </c>
      <c r="D425" s="335">
        <f t="shared" si="70"/>
        <v>0.69432970604739963</v>
      </c>
      <c r="E425" s="54">
        <v>-0.22767239142789408</v>
      </c>
      <c r="F425" s="297">
        <v>21.277363111154791</v>
      </c>
      <c r="G425" s="149"/>
      <c r="H425" s="149"/>
      <c r="I425" s="149"/>
      <c r="J425" s="149"/>
      <c r="K425" s="149"/>
      <c r="L425" s="149"/>
      <c r="M425" s="149"/>
      <c r="N425" s="149"/>
      <c r="O425" s="149"/>
      <c r="P425" s="149"/>
      <c r="Q425" s="149"/>
      <c r="R425" s="149"/>
      <c r="S425" s="149"/>
      <c r="AB425" s="580">
        <f>HLOOKUP("*"&amp;'Output annual'!$AC$2&amp;'Output annual'!$AD$2&amp;"*Zone People Number Of Occupants [](Hourly)",'Eplus results'!$1:$1048576,ROW(),FALSE)</f>
        <v>0</v>
      </c>
      <c r="AC425" s="580">
        <f>HLOOKUP("*"&amp;'Output annual'!$AC$2&amp;'Output annual'!$AD$2&amp;"*FangerPMV(Hourly)",'Eplus results'!$1:$1048576,ROW(),FALSE)</f>
        <v>0</v>
      </c>
      <c r="AD425" s="580">
        <f t="shared" si="65"/>
        <v>5</v>
      </c>
      <c r="AE425" s="580">
        <f t="shared" si="66"/>
        <v>2.5</v>
      </c>
      <c r="AF425" s="580">
        <f t="shared" si="67"/>
        <v>2.5</v>
      </c>
      <c r="AG425" s="580">
        <f t="shared" si="68"/>
        <v>0</v>
      </c>
      <c r="AH425" s="580">
        <f t="shared" si="69"/>
        <v>0</v>
      </c>
    </row>
    <row r="426" spans="2:34">
      <c r="B426" s="333">
        <v>13</v>
      </c>
      <c r="C426" s="334">
        <v>16.775899356421643</v>
      </c>
      <c r="D426" s="335">
        <f t="shared" si="70"/>
        <v>0.61074754667192455</v>
      </c>
      <c r="E426" s="54">
        <v>-0.59080605273387454</v>
      </c>
      <c r="F426" s="297">
        <v>19.427246076288299</v>
      </c>
      <c r="G426" s="149"/>
      <c r="H426" s="149"/>
      <c r="I426" s="149"/>
      <c r="J426" s="149"/>
      <c r="K426" s="149"/>
      <c r="L426" s="149"/>
      <c r="M426" s="149"/>
      <c r="N426" s="149"/>
      <c r="O426" s="149"/>
      <c r="P426" s="149"/>
      <c r="Q426" s="149"/>
      <c r="R426" s="149"/>
      <c r="S426" s="149"/>
      <c r="AB426" s="580">
        <f>HLOOKUP("*"&amp;'Output annual'!$AC$2&amp;'Output annual'!$AD$2&amp;"*Zone People Number Of Occupants [](Hourly)",'Eplus results'!$1:$1048576,ROW(),FALSE)</f>
        <v>0</v>
      </c>
      <c r="AC426" s="580">
        <f>HLOOKUP("*"&amp;'Output annual'!$AC$2&amp;'Output annual'!$AD$2&amp;"*FangerPMV(Hourly)",'Eplus results'!$1:$1048576,ROW(),FALSE)</f>
        <v>0</v>
      </c>
      <c r="AD426" s="580">
        <f t="shared" si="65"/>
        <v>5</v>
      </c>
      <c r="AE426" s="580">
        <f t="shared" si="66"/>
        <v>2.5</v>
      </c>
      <c r="AF426" s="580">
        <f t="shared" si="67"/>
        <v>2.5</v>
      </c>
      <c r="AG426" s="580">
        <f t="shared" si="68"/>
        <v>0</v>
      </c>
      <c r="AH426" s="580">
        <f t="shared" si="69"/>
        <v>0</v>
      </c>
    </row>
    <row r="427" spans="2:34">
      <c r="B427" s="333">
        <v>14</v>
      </c>
      <c r="C427" s="334">
        <v>17.356172359508214</v>
      </c>
      <c r="D427" s="335">
        <f t="shared" si="70"/>
        <v>0.63187310933211138</v>
      </c>
      <c r="E427" s="54">
        <v>-0.946468900813766</v>
      </c>
      <c r="F427" s="297">
        <v>20.016264382426115</v>
      </c>
      <c r="G427" s="149"/>
      <c r="H427" s="149"/>
      <c r="I427" s="149"/>
      <c r="J427" s="149"/>
      <c r="K427" s="149"/>
      <c r="L427" s="149"/>
      <c r="M427" s="149"/>
      <c r="N427" s="149"/>
      <c r="O427" s="149"/>
      <c r="P427" s="149"/>
      <c r="Q427" s="149"/>
      <c r="R427" s="149"/>
      <c r="S427" s="149"/>
      <c r="AB427" s="580">
        <f>HLOOKUP("*"&amp;'Output annual'!$AC$2&amp;'Output annual'!$AD$2&amp;"*Zone People Number Of Occupants [](Hourly)",'Eplus results'!$1:$1048576,ROW(),FALSE)</f>
        <v>0</v>
      </c>
      <c r="AC427" s="580">
        <f>HLOOKUP("*"&amp;'Output annual'!$AC$2&amp;'Output annual'!$AD$2&amp;"*FangerPMV(Hourly)",'Eplus results'!$1:$1048576,ROW(),FALSE)</f>
        <v>0</v>
      </c>
      <c r="AD427" s="580">
        <f t="shared" si="65"/>
        <v>5</v>
      </c>
      <c r="AE427" s="580">
        <f t="shared" si="66"/>
        <v>2.5</v>
      </c>
      <c r="AF427" s="580">
        <f t="shared" si="67"/>
        <v>2.5</v>
      </c>
      <c r="AG427" s="580">
        <f t="shared" si="68"/>
        <v>0</v>
      </c>
      <c r="AH427" s="580">
        <f t="shared" si="69"/>
        <v>0</v>
      </c>
    </row>
    <row r="428" spans="2:34">
      <c r="B428" s="333">
        <v>15</v>
      </c>
      <c r="C428" s="334">
        <v>17.331309676086573</v>
      </c>
      <c r="D428" s="335">
        <f t="shared" si="70"/>
        <v>0.63096795232199632</v>
      </c>
      <c r="E428" s="54">
        <v>-0.96254290364721495</v>
      </c>
      <c r="F428" s="297">
        <v>19.705496626361839</v>
      </c>
      <c r="G428" s="149"/>
      <c r="H428" s="149"/>
      <c r="I428" s="149"/>
      <c r="J428" s="149"/>
      <c r="K428" s="149"/>
      <c r="L428" s="149"/>
      <c r="M428" s="149"/>
      <c r="N428" s="149"/>
      <c r="O428" s="149"/>
      <c r="P428" s="149"/>
      <c r="Q428" s="149"/>
      <c r="R428" s="149"/>
      <c r="S428" s="149"/>
      <c r="AB428" s="580">
        <f>HLOOKUP("*"&amp;'Output annual'!$AC$2&amp;'Output annual'!$AD$2&amp;"*Zone People Number Of Occupants [](Hourly)",'Eplus results'!$1:$1048576,ROW(),FALSE)</f>
        <v>0</v>
      </c>
      <c r="AC428" s="580">
        <f>HLOOKUP("*"&amp;'Output annual'!$AC$2&amp;'Output annual'!$AD$2&amp;"*FangerPMV(Hourly)",'Eplus results'!$1:$1048576,ROW(),FALSE)</f>
        <v>0</v>
      </c>
      <c r="AD428" s="580">
        <f t="shared" si="65"/>
        <v>5</v>
      </c>
      <c r="AE428" s="580">
        <f t="shared" si="66"/>
        <v>2.5</v>
      </c>
      <c r="AF428" s="580">
        <f t="shared" si="67"/>
        <v>2.5</v>
      </c>
      <c r="AG428" s="580">
        <f t="shared" si="68"/>
        <v>0</v>
      </c>
      <c r="AH428" s="580">
        <f t="shared" si="69"/>
        <v>0</v>
      </c>
    </row>
    <row r="429" spans="2:34">
      <c r="B429" s="333">
        <v>16</v>
      </c>
      <c r="C429" s="334">
        <v>16.789422085162595</v>
      </c>
      <c r="D429" s="335">
        <f t="shared" si="70"/>
        <v>0.61123985848349283</v>
      </c>
      <c r="E429" s="54">
        <v>-0.65551648668955886</v>
      </c>
      <c r="F429" s="297">
        <v>19.066528665005368</v>
      </c>
      <c r="G429" s="149"/>
      <c r="H429" s="149"/>
      <c r="I429" s="149"/>
      <c r="J429" s="149"/>
      <c r="K429" s="149"/>
      <c r="L429" s="149"/>
      <c r="M429" s="149"/>
      <c r="N429" s="149"/>
      <c r="O429" s="149"/>
      <c r="P429" s="149"/>
      <c r="Q429" s="149"/>
      <c r="R429" s="149"/>
      <c r="S429" s="149"/>
      <c r="AB429" s="580">
        <f>HLOOKUP("*"&amp;'Output annual'!$AC$2&amp;'Output annual'!$AD$2&amp;"*Zone People Number Of Occupants [](Hourly)",'Eplus results'!$1:$1048576,ROW(),FALSE)</f>
        <v>0</v>
      </c>
      <c r="AC429" s="580">
        <f>HLOOKUP("*"&amp;'Output annual'!$AC$2&amp;'Output annual'!$AD$2&amp;"*FangerPMV(Hourly)",'Eplus results'!$1:$1048576,ROW(),FALSE)</f>
        <v>0</v>
      </c>
      <c r="AD429" s="580">
        <f t="shared" si="65"/>
        <v>5</v>
      </c>
      <c r="AE429" s="580">
        <f t="shared" si="66"/>
        <v>2.5</v>
      </c>
      <c r="AF429" s="580">
        <f t="shared" si="67"/>
        <v>2.5</v>
      </c>
      <c r="AG429" s="580">
        <f t="shared" si="68"/>
        <v>0</v>
      </c>
      <c r="AH429" s="580">
        <f t="shared" si="69"/>
        <v>0</v>
      </c>
    </row>
    <row r="430" spans="2:34">
      <c r="B430" s="333">
        <v>17</v>
      </c>
      <c r="C430" s="334">
        <v>8.2246329787408978</v>
      </c>
      <c r="D430" s="335">
        <f t="shared" si="70"/>
        <v>0.29942802512821381</v>
      </c>
      <c r="E430" s="54">
        <v>-0.39798947101721888</v>
      </c>
      <c r="F430" s="297">
        <v>9.3433460191311237</v>
      </c>
      <c r="G430" s="149"/>
      <c r="H430" s="149"/>
      <c r="I430" s="149"/>
      <c r="J430" s="149"/>
      <c r="K430" s="149"/>
      <c r="L430" s="149"/>
      <c r="M430" s="149"/>
      <c r="N430" s="149"/>
      <c r="O430" s="149"/>
      <c r="P430" s="149"/>
      <c r="Q430" s="149"/>
      <c r="R430" s="149"/>
      <c r="S430" s="149"/>
      <c r="AB430" s="580">
        <f>HLOOKUP("*"&amp;'Output annual'!$AC$2&amp;'Output annual'!$AD$2&amp;"*Zone People Number Of Occupants [](Hourly)",'Eplus results'!$1:$1048576,ROW(),FALSE)</f>
        <v>0</v>
      </c>
      <c r="AC430" s="580">
        <f>HLOOKUP("*"&amp;'Output annual'!$AC$2&amp;'Output annual'!$AD$2&amp;"*FangerPMV(Hourly)",'Eplus results'!$1:$1048576,ROW(),FALSE)</f>
        <v>0</v>
      </c>
      <c r="AD430" s="580">
        <f t="shared" si="65"/>
        <v>5</v>
      </c>
      <c r="AE430" s="580">
        <f t="shared" si="66"/>
        <v>2.5</v>
      </c>
      <c r="AF430" s="580">
        <f t="shared" si="67"/>
        <v>2.5</v>
      </c>
      <c r="AG430" s="580">
        <f t="shared" si="68"/>
        <v>0</v>
      </c>
      <c r="AH430" s="580">
        <f t="shared" si="69"/>
        <v>0</v>
      </c>
    </row>
    <row r="431" spans="2:34">
      <c r="B431" s="333">
        <v>18</v>
      </c>
      <c r="C431" s="334">
        <v>6.6041514380376318</v>
      </c>
      <c r="D431" s="335">
        <f t="shared" si="70"/>
        <v>0.24043237283057348</v>
      </c>
      <c r="E431" s="54">
        <v>-1.9493752562040445E-2</v>
      </c>
      <c r="F431" s="297">
        <v>7.2955778776794649</v>
      </c>
      <c r="G431" s="149"/>
      <c r="H431" s="149"/>
      <c r="I431" s="149"/>
      <c r="J431" s="149"/>
      <c r="K431" s="149"/>
      <c r="L431" s="149"/>
      <c r="M431" s="149"/>
      <c r="N431" s="149"/>
      <c r="O431" s="149"/>
      <c r="P431" s="149"/>
      <c r="Q431" s="149"/>
      <c r="R431" s="149"/>
      <c r="S431" s="149"/>
      <c r="AB431" s="580">
        <f>HLOOKUP("*"&amp;'Output annual'!$AC$2&amp;'Output annual'!$AD$2&amp;"*Zone People Number Of Occupants [](Hourly)",'Eplus results'!$1:$1048576,ROW(),FALSE)</f>
        <v>0</v>
      </c>
      <c r="AC431" s="580">
        <f>HLOOKUP("*"&amp;'Output annual'!$AC$2&amp;'Output annual'!$AD$2&amp;"*FangerPMV(Hourly)",'Eplus results'!$1:$1048576,ROW(),FALSE)</f>
        <v>0</v>
      </c>
      <c r="AD431" s="580">
        <f t="shared" si="65"/>
        <v>5</v>
      </c>
      <c r="AE431" s="580">
        <f t="shared" si="66"/>
        <v>2.5</v>
      </c>
      <c r="AF431" s="580">
        <f t="shared" si="67"/>
        <v>2.5</v>
      </c>
      <c r="AG431" s="580">
        <f t="shared" si="68"/>
        <v>0</v>
      </c>
      <c r="AH431" s="580">
        <f t="shared" si="69"/>
        <v>0</v>
      </c>
    </row>
    <row r="432" spans="2:34">
      <c r="B432" s="333">
        <v>19</v>
      </c>
      <c r="C432" s="334">
        <v>0</v>
      </c>
      <c r="D432" s="335">
        <f t="shared" si="70"/>
        <v>0</v>
      </c>
      <c r="E432" s="54">
        <v>0</v>
      </c>
      <c r="F432" s="297">
        <v>0</v>
      </c>
      <c r="G432" s="149"/>
      <c r="H432" s="149"/>
      <c r="I432" s="149"/>
      <c r="J432" s="149"/>
      <c r="K432" s="149"/>
      <c r="L432" s="149"/>
      <c r="M432" s="149"/>
      <c r="N432" s="149"/>
      <c r="O432" s="149"/>
      <c r="P432" s="149"/>
      <c r="Q432" s="149"/>
      <c r="R432" s="149"/>
      <c r="S432" s="149"/>
      <c r="AB432" s="580">
        <f>HLOOKUP("*"&amp;'Output annual'!$AC$2&amp;'Output annual'!$AD$2&amp;"*Zone People Number Of Occupants [](Hourly)",'Eplus results'!$1:$1048576,ROW(),FALSE)</f>
        <v>0</v>
      </c>
      <c r="AC432" s="580">
        <f>HLOOKUP("*"&amp;'Output annual'!$AC$2&amp;'Output annual'!$AD$2&amp;"*FangerPMV(Hourly)",'Eplus results'!$1:$1048576,ROW(),FALSE)</f>
        <v>0</v>
      </c>
      <c r="AD432" s="580">
        <f t="shared" si="65"/>
        <v>5</v>
      </c>
      <c r="AE432" s="580">
        <f t="shared" si="66"/>
        <v>2.5</v>
      </c>
      <c r="AF432" s="580">
        <f t="shared" si="67"/>
        <v>2.5</v>
      </c>
      <c r="AG432" s="580">
        <f t="shared" si="68"/>
        <v>0</v>
      </c>
      <c r="AH432" s="580">
        <f t="shared" si="69"/>
        <v>0</v>
      </c>
    </row>
    <row r="433" spans="2:42">
      <c r="B433" s="333">
        <v>20</v>
      </c>
      <c r="C433" s="334">
        <v>0</v>
      </c>
      <c r="D433" s="335">
        <f t="shared" si="70"/>
        <v>0</v>
      </c>
      <c r="E433" s="54">
        <v>0</v>
      </c>
      <c r="F433" s="297">
        <v>0</v>
      </c>
      <c r="G433" s="149"/>
      <c r="H433" s="149"/>
      <c r="I433" s="149"/>
      <c r="J433" s="149"/>
      <c r="K433" s="149"/>
      <c r="L433" s="149"/>
      <c r="M433" s="149"/>
      <c r="N433" s="149"/>
      <c r="O433" s="149"/>
      <c r="P433" s="149"/>
      <c r="Q433" s="149"/>
      <c r="R433" s="149"/>
      <c r="S433" s="149"/>
      <c r="AB433" s="580">
        <f>HLOOKUP("*"&amp;'Output annual'!$AC$2&amp;'Output annual'!$AD$2&amp;"*Zone People Number Of Occupants [](Hourly)",'Eplus results'!$1:$1048576,ROW(),FALSE)</f>
        <v>0</v>
      </c>
      <c r="AC433" s="580">
        <f>HLOOKUP("*"&amp;'Output annual'!$AC$2&amp;'Output annual'!$AD$2&amp;"*FangerPMV(Hourly)",'Eplus results'!$1:$1048576,ROW(),FALSE)</f>
        <v>0</v>
      </c>
      <c r="AD433" s="580">
        <f t="shared" si="65"/>
        <v>5</v>
      </c>
      <c r="AE433" s="580">
        <f t="shared" si="66"/>
        <v>2.5</v>
      </c>
      <c r="AF433" s="580">
        <f t="shared" si="67"/>
        <v>2.5</v>
      </c>
      <c r="AG433" s="580">
        <f t="shared" si="68"/>
        <v>0</v>
      </c>
      <c r="AH433" s="580">
        <f t="shared" si="69"/>
        <v>0</v>
      </c>
    </row>
    <row r="434" spans="2:42">
      <c r="B434" s="333">
        <v>21</v>
      </c>
      <c r="C434" s="334">
        <v>0</v>
      </c>
      <c r="D434" s="335">
        <f t="shared" si="70"/>
        <v>0</v>
      </c>
      <c r="E434" s="54">
        <v>0</v>
      </c>
      <c r="F434" s="297">
        <v>0</v>
      </c>
      <c r="G434" s="149"/>
      <c r="H434" s="149"/>
      <c r="I434" s="149"/>
      <c r="J434" s="149"/>
      <c r="K434" s="149"/>
      <c r="L434" s="149"/>
      <c r="M434" s="149"/>
      <c r="N434" s="149"/>
      <c r="O434" s="149"/>
      <c r="P434" s="149"/>
      <c r="Q434" s="149"/>
      <c r="R434" s="149"/>
      <c r="S434" s="149"/>
      <c r="AB434" s="580">
        <f>HLOOKUP("*"&amp;'Output annual'!$AC$2&amp;'Output annual'!$AD$2&amp;"*Zone People Number Of Occupants [](Hourly)",'Eplus results'!$1:$1048576,ROW(),FALSE)</f>
        <v>0</v>
      </c>
      <c r="AC434" s="580">
        <f>HLOOKUP("*"&amp;'Output annual'!$AC$2&amp;'Output annual'!$AD$2&amp;"*FangerPMV(Hourly)",'Eplus results'!$1:$1048576,ROW(),FALSE)</f>
        <v>0</v>
      </c>
      <c r="AD434" s="580">
        <f t="shared" si="65"/>
        <v>5</v>
      </c>
      <c r="AE434" s="580">
        <f t="shared" si="66"/>
        <v>2.5</v>
      </c>
      <c r="AF434" s="580">
        <f t="shared" si="67"/>
        <v>2.5</v>
      </c>
      <c r="AG434" s="580">
        <f t="shared" si="68"/>
        <v>0</v>
      </c>
      <c r="AH434" s="580">
        <f t="shared" si="69"/>
        <v>0</v>
      </c>
    </row>
    <row r="435" spans="2:42">
      <c r="B435" s="333">
        <v>22</v>
      </c>
      <c r="C435" s="334">
        <v>0</v>
      </c>
      <c r="D435" s="335">
        <f t="shared" si="70"/>
        <v>0</v>
      </c>
      <c r="E435" s="54">
        <v>0</v>
      </c>
      <c r="F435" s="297">
        <v>0</v>
      </c>
      <c r="G435" s="149"/>
      <c r="H435" s="149"/>
      <c r="I435" s="149"/>
      <c r="J435" s="149"/>
      <c r="K435" s="149"/>
      <c r="L435" s="149"/>
      <c r="M435" s="149"/>
      <c r="N435" s="149"/>
      <c r="O435" s="149"/>
      <c r="P435" s="149"/>
      <c r="Q435" s="149"/>
      <c r="R435" s="149"/>
      <c r="S435" s="149"/>
      <c r="AB435" s="580">
        <f>HLOOKUP("*"&amp;'Output annual'!$AC$2&amp;'Output annual'!$AD$2&amp;"*Zone People Number Of Occupants [](Hourly)",'Eplus results'!$1:$1048576,ROW(),FALSE)</f>
        <v>0</v>
      </c>
      <c r="AC435" s="580">
        <f>HLOOKUP("*"&amp;'Output annual'!$AC$2&amp;'Output annual'!$AD$2&amp;"*FangerPMV(Hourly)",'Eplus results'!$1:$1048576,ROW(),FALSE)</f>
        <v>0</v>
      </c>
      <c r="AD435" s="580">
        <f t="shared" si="65"/>
        <v>5</v>
      </c>
      <c r="AE435" s="580">
        <f t="shared" si="66"/>
        <v>2.5</v>
      </c>
      <c r="AF435" s="580">
        <f t="shared" si="67"/>
        <v>2.5</v>
      </c>
      <c r="AG435" s="580">
        <f t="shared" si="68"/>
        <v>0</v>
      </c>
      <c r="AH435" s="580">
        <f t="shared" si="69"/>
        <v>0</v>
      </c>
    </row>
    <row r="436" spans="2:42">
      <c r="B436" s="333">
        <v>23</v>
      </c>
      <c r="C436" s="334">
        <v>0</v>
      </c>
      <c r="D436" s="335">
        <f t="shared" si="70"/>
        <v>0</v>
      </c>
      <c r="E436" s="54">
        <v>0</v>
      </c>
      <c r="F436" s="297">
        <v>0</v>
      </c>
      <c r="G436" s="149"/>
      <c r="H436" s="149"/>
      <c r="I436" s="149"/>
      <c r="J436" s="149"/>
      <c r="K436" s="149"/>
      <c r="L436" s="149"/>
      <c r="M436" s="149"/>
      <c r="N436" s="149"/>
      <c r="O436" s="149"/>
      <c r="P436" s="149"/>
      <c r="Q436" s="149"/>
      <c r="R436" s="149"/>
      <c r="S436" s="149"/>
      <c r="AB436" s="580">
        <f>HLOOKUP("*"&amp;'Output annual'!$AC$2&amp;'Output annual'!$AD$2&amp;"*Zone People Number Of Occupants [](Hourly)",'Eplus results'!$1:$1048576,ROW(),FALSE)</f>
        <v>0</v>
      </c>
      <c r="AC436" s="580">
        <f>HLOOKUP("*"&amp;'Output annual'!$AC$2&amp;'Output annual'!$AD$2&amp;"*FangerPMV(Hourly)",'Eplus results'!$1:$1048576,ROW(),FALSE)</f>
        <v>0</v>
      </c>
      <c r="AD436" s="580">
        <f t="shared" si="65"/>
        <v>5</v>
      </c>
      <c r="AE436" s="580">
        <f t="shared" si="66"/>
        <v>2.5</v>
      </c>
      <c r="AF436" s="580">
        <f t="shared" si="67"/>
        <v>2.5</v>
      </c>
      <c r="AG436" s="580">
        <f t="shared" si="68"/>
        <v>0</v>
      </c>
      <c r="AH436" s="580">
        <f t="shared" si="69"/>
        <v>0</v>
      </c>
    </row>
    <row r="437" spans="2:42">
      <c r="B437" s="336">
        <v>24</v>
      </c>
      <c r="C437" s="337">
        <v>0</v>
      </c>
      <c r="D437" s="338">
        <f t="shared" si="70"/>
        <v>0</v>
      </c>
      <c r="E437" s="57">
        <v>0</v>
      </c>
      <c r="F437" s="58">
        <v>0</v>
      </c>
      <c r="G437" s="149"/>
      <c r="H437" s="149"/>
      <c r="I437" s="149"/>
      <c r="J437" s="149"/>
      <c r="K437" s="149"/>
      <c r="L437" s="149"/>
      <c r="M437" s="149"/>
      <c r="N437" s="149"/>
      <c r="O437" s="149"/>
      <c r="P437" s="149"/>
      <c r="Q437" s="149"/>
      <c r="R437" s="149"/>
      <c r="S437" s="149"/>
      <c r="AB437" s="580">
        <f>HLOOKUP("*"&amp;'Output annual'!$AC$2&amp;'Output annual'!$AD$2&amp;"*Zone People Number Of Occupants [](Hourly)",'Eplus results'!$1:$1048576,ROW(),FALSE)</f>
        <v>0</v>
      </c>
      <c r="AC437" s="580">
        <f>HLOOKUP("*"&amp;'Output annual'!$AC$2&amp;'Output annual'!$AD$2&amp;"*FangerPMV(Hourly)",'Eplus results'!$1:$1048576,ROW(),FALSE)</f>
        <v>0</v>
      </c>
      <c r="AD437" s="580">
        <f t="shared" si="65"/>
        <v>5</v>
      </c>
      <c r="AE437" s="580">
        <f t="shared" si="66"/>
        <v>2.5</v>
      </c>
      <c r="AF437" s="580">
        <f t="shared" si="67"/>
        <v>2.5</v>
      </c>
      <c r="AG437" s="580">
        <f t="shared" si="68"/>
        <v>0</v>
      </c>
      <c r="AH437" s="580">
        <f t="shared" si="69"/>
        <v>0</v>
      </c>
    </row>
    <row r="438" spans="2:42">
      <c r="AB438" s="580">
        <f>HLOOKUP("*"&amp;'Output annual'!$AC$2&amp;'Output annual'!$AD$2&amp;"*Zone People Number Of Occupants [](Hourly)",'Eplus results'!$1:$1048576,ROW(),FALSE)</f>
        <v>0</v>
      </c>
      <c r="AC438" s="580">
        <f>HLOOKUP("*"&amp;'Output annual'!$AC$2&amp;'Output annual'!$AD$2&amp;"*FangerPMV(Hourly)",'Eplus results'!$1:$1048576,ROW(),FALSE)</f>
        <v>0</v>
      </c>
      <c r="AD438" s="580">
        <f t="shared" si="65"/>
        <v>5</v>
      </c>
      <c r="AE438" s="580">
        <f t="shared" si="66"/>
        <v>2.5</v>
      </c>
      <c r="AF438" s="580">
        <f t="shared" si="67"/>
        <v>2.5</v>
      </c>
      <c r="AG438" s="580">
        <f t="shared" si="68"/>
        <v>0</v>
      </c>
      <c r="AH438" s="580">
        <f t="shared" si="69"/>
        <v>0</v>
      </c>
    </row>
    <row r="439" spans="2:42">
      <c r="AB439" s="580">
        <f>HLOOKUP("*"&amp;'Output annual'!$AC$2&amp;'Output annual'!$AD$2&amp;"*Zone People Number Of Occupants [](Hourly)",'Eplus results'!$1:$1048576,ROW(),FALSE)</f>
        <v>0</v>
      </c>
      <c r="AC439" s="580">
        <f>HLOOKUP("*"&amp;'Output annual'!$AC$2&amp;'Output annual'!$AD$2&amp;"*FangerPMV(Hourly)",'Eplus results'!$1:$1048576,ROW(),FALSE)</f>
        <v>0</v>
      </c>
      <c r="AD439" s="580">
        <f t="shared" si="65"/>
        <v>5</v>
      </c>
      <c r="AE439" s="580">
        <f t="shared" si="66"/>
        <v>2.5</v>
      </c>
      <c r="AF439" s="580">
        <f t="shared" si="67"/>
        <v>2.5</v>
      </c>
      <c r="AG439" s="580">
        <f t="shared" si="68"/>
        <v>0</v>
      </c>
      <c r="AH439" s="580">
        <f t="shared" si="69"/>
        <v>0</v>
      </c>
    </row>
    <row r="440" spans="2:42">
      <c r="B440" s="149"/>
      <c r="C440" s="149"/>
      <c r="D440" s="155"/>
      <c r="E440" s="150" t="s">
        <v>75</v>
      </c>
      <c r="F440" s="150" t="s">
        <v>75</v>
      </c>
      <c r="G440" s="150"/>
      <c r="H440" s="149"/>
      <c r="I440" s="149"/>
      <c r="J440" s="149"/>
      <c r="K440" s="149"/>
      <c r="L440" s="149"/>
      <c r="M440" s="149"/>
      <c r="N440" s="149"/>
      <c r="O440" s="149"/>
      <c r="P440" s="149"/>
      <c r="Q440" s="149"/>
      <c r="R440" s="149"/>
      <c r="S440" s="149"/>
      <c r="T440" s="149"/>
      <c r="U440" s="149"/>
      <c r="V440" s="149"/>
      <c r="W440" s="149"/>
      <c r="X440" s="149"/>
      <c r="Y440" s="149"/>
      <c r="Z440" s="149"/>
      <c r="AA440" s="149"/>
      <c r="AB440" s="580">
        <f>HLOOKUP("*"&amp;'Output annual'!$AC$2&amp;'Output annual'!$AD$2&amp;"*Zone People Number Of Occupants [](Hourly)",'Eplus results'!$1:$1048576,ROW(),FALSE)</f>
        <v>0</v>
      </c>
      <c r="AC440" s="580">
        <f>HLOOKUP("*"&amp;'Output annual'!$AC$2&amp;'Output annual'!$AD$2&amp;"*FangerPMV(Hourly)",'Eplus results'!$1:$1048576,ROW(),FALSE)</f>
        <v>0</v>
      </c>
      <c r="AD440" s="580">
        <f t="shared" si="65"/>
        <v>5</v>
      </c>
      <c r="AE440" s="580">
        <f t="shared" si="66"/>
        <v>2.5</v>
      </c>
      <c r="AF440" s="580">
        <f t="shared" si="67"/>
        <v>2.5</v>
      </c>
      <c r="AG440" s="580">
        <f t="shared" si="68"/>
        <v>0</v>
      </c>
      <c r="AH440" s="580">
        <f t="shared" si="69"/>
        <v>0</v>
      </c>
      <c r="AI440" s="149"/>
      <c r="AJ440" s="149"/>
      <c r="AK440" s="149"/>
      <c r="AL440" s="149"/>
      <c r="AM440" s="149"/>
      <c r="AN440" s="149"/>
      <c r="AO440" s="149"/>
      <c r="AP440" s="149"/>
    </row>
    <row r="441" spans="2:42">
      <c r="B441" s="51"/>
      <c r="C441" s="52" t="s">
        <v>357</v>
      </c>
      <c r="D441" s="232" t="s">
        <v>90</v>
      </c>
      <c r="E441" s="219" t="s">
        <v>70</v>
      </c>
      <c r="F441" s="219" t="s">
        <v>71</v>
      </c>
      <c r="G441" s="343" t="s">
        <v>870</v>
      </c>
      <c r="H441" s="52"/>
      <c r="I441" s="53"/>
      <c r="J441" s="149"/>
      <c r="K441" s="149"/>
      <c r="L441" s="149"/>
      <c r="M441" s="149"/>
      <c r="N441" s="149"/>
      <c r="O441" s="149"/>
      <c r="P441" s="149"/>
      <c r="Q441" s="149"/>
      <c r="R441" s="149"/>
      <c r="S441" s="149"/>
      <c r="T441" s="149"/>
      <c r="U441" s="149"/>
      <c r="V441" s="149"/>
      <c r="W441" s="149"/>
      <c r="X441" s="149"/>
      <c r="Y441" s="149"/>
      <c r="Z441" s="149"/>
      <c r="AA441" s="149"/>
      <c r="AB441" s="580">
        <f>HLOOKUP("*"&amp;'Output annual'!$AC$2&amp;'Output annual'!$AD$2&amp;"*Zone People Number Of Occupants [](Hourly)",'Eplus results'!$1:$1048576,ROW(),FALSE)</f>
        <v>0</v>
      </c>
      <c r="AC441" s="580">
        <f>HLOOKUP("*"&amp;'Output annual'!$AC$2&amp;'Output annual'!$AD$2&amp;"*FangerPMV(Hourly)",'Eplus results'!$1:$1048576,ROW(),FALSE)</f>
        <v>0</v>
      </c>
      <c r="AD441" s="580">
        <f t="shared" si="65"/>
        <v>5</v>
      </c>
      <c r="AE441" s="580">
        <f t="shared" si="66"/>
        <v>2.5</v>
      </c>
      <c r="AF441" s="580">
        <f t="shared" si="67"/>
        <v>2.5</v>
      </c>
      <c r="AG441" s="580">
        <f t="shared" si="68"/>
        <v>0</v>
      </c>
      <c r="AH441" s="580">
        <f t="shared" si="69"/>
        <v>0</v>
      </c>
      <c r="AI441" s="149"/>
      <c r="AJ441" s="149"/>
      <c r="AK441" s="149"/>
      <c r="AL441" s="149"/>
      <c r="AM441" s="149"/>
      <c r="AN441" s="149"/>
      <c r="AO441" s="149"/>
      <c r="AP441" s="149"/>
    </row>
    <row r="442" spans="2:42">
      <c r="B442" s="221"/>
      <c r="C442" s="54" t="s">
        <v>361</v>
      </c>
      <c r="D442" s="223" t="s">
        <v>366</v>
      </c>
      <c r="E442" s="179">
        <v>1</v>
      </c>
      <c r="F442" s="179">
        <v>4</v>
      </c>
      <c r="G442" s="179">
        <v>7</v>
      </c>
      <c r="H442" s="54"/>
      <c r="I442" s="297"/>
      <c r="J442" s="149"/>
      <c r="K442" s="149"/>
      <c r="L442" s="149"/>
      <c r="M442" s="149"/>
      <c r="N442" s="149"/>
      <c r="O442" s="149"/>
      <c r="P442" s="149"/>
      <c r="Q442" s="149"/>
      <c r="R442" s="149"/>
      <c r="S442" s="149"/>
      <c r="T442" s="149"/>
      <c r="U442" s="149"/>
      <c r="V442" s="149"/>
      <c r="W442" s="149"/>
      <c r="X442" s="149"/>
      <c r="Y442" s="149"/>
      <c r="Z442" s="149"/>
      <c r="AA442" s="149"/>
      <c r="AB442" s="580">
        <f>HLOOKUP("*"&amp;'Output annual'!$AC$2&amp;'Output annual'!$AD$2&amp;"*Zone People Number Of Occupants [](Hourly)",'Eplus results'!$1:$1048576,ROW(),FALSE)</f>
        <v>0</v>
      </c>
      <c r="AC442" s="580">
        <f>HLOOKUP("*"&amp;'Output annual'!$AC$2&amp;'Output annual'!$AD$2&amp;"*FangerPMV(Hourly)",'Eplus results'!$1:$1048576,ROW(),FALSE)</f>
        <v>0</v>
      </c>
      <c r="AD442" s="580">
        <f t="shared" si="65"/>
        <v>5</v>
      </c>
      <c r="AE442" s="580">
        <f t="shared" si="66"/>
        <v>2.5</v>
      </c>
      <c r="AF442" s="580">
        <f t="shared" si="67"/>
        <v>2.5</v>
      </c>
      <c r="AG442" s="580">
        <f t="shared" si="68"/>
        <v>0</v>
      </c>
      <c r="AH442" s="580">
        <f t="shared" si="69"/>
        <v>0</v>
      </c>
      <c r="AI442" s="149"/>
      <c r="AJ442" s="149"/>
      <c r="AK442" s="149"/>
      <c r="AL442" s="149"/>
      <c r="AM442" s="149"/>
      <c r="AN442" s="149"/>
      <c r="AO442" s="149"/>
      <c r="AP442" s="149"/>
    </row>
    <row r="443" spans="2:42">
      <c r="B443" s="221"/>
      <c r="C443" s="54" t="str">
        <f>IF(RunType="OH", C442&amp;D442&amp;":Zone/sys Air Temperature[C](hourly)", C442&amp;D442&amp;":UF Occupied Subzone Temperature[C](Hourly)")</f>
        <v>TFCore:UF Occupied Subzone Temperature[C](Hourly)</v>
      </c>
      <c r="D443" s="223" t="str">
        <f>C442&amp;D442&amp;" ATU OUTLET NODE:System Node VolFlowRate[m3/s](hourly)"</f>
        <v>TFCore ATU OUTLET NODE:System Node VolFlowRate[m3/s](hourly)</v>
      </c>
      <c r="E443" s="179" t="str">
        <f>C442&amp;D442&amp;":Zone/sys Thermostat Cooling Setpoint[C](hourly)"</f>
        <v>TFCore:Zone/sys Thermostat Cooling Setpoint[C](hourly)</v>
      </c>
      <c r="F443" s="179" t="str">
        <f>C442&amp;D442&amp;":Zone/sys Thermostat Heating Setpoint[C](hourly)"</f>
        <v>TFCore:Zone/sys Thermostat Heating Setpoint[C](hourly)</v>
      </c>
      <c r="G443" s="179" t="str">
        <f>C442&amp;D442&amp;" ATU OUTLET NODE:System Node Temp[C](hourly)"</f>
        <v>TFCore ATU OUTLET NODE:System Node Temp[C](hourly)</v>
      </c>
      <c r="H443" s="229" t="s">
        <v>458</v>
      </c>
      <c r="I443" s="297"/>
      <c r="J443" s="149"/>
      <c r="K443" s="149"/>
      <c r="L443" s="149"/>
      <c r="M443" s="149"/>
      <c r="N443" s="149"/>
      <c r="O443" s="149"/>
      <c r="P443" s="149"/>
      <c r="Q443" s="149"/>
      <c r="R443" s="149"/>
      <c r="S443" s="149"/>
      <c r="T443" s="149"/>
      <c r="U443" s="149"/>
      <c r="V443" s="149"/>
      <c r="W443" s="149"/>
      <c r="X443" s="149"/>
      <c r="Y443" s="149"/>
      <c r="Z443" s="149"/>
      <c r="AA443" s="149"/>
      <c r="AB443" s="580">
        <f>HLOOKUP("*"&amp;'Output annual'!$AC$2&amp;'Output annual'!$AD$2&amp;"*Zone People Number Of Occupants [](Hourly)",'Eplus results'!$1:$1048576,ROW(),FALSE)</f>
        <v>0</v>
      </c>
      <c r="AC443" s="580">
        <f>HLOOKUP("*"&amp;'Output annual'!$AC$2&amp;'Output annual'!$AD$2&amp;"*FangerPMV(Hourly)",'Eplus results'!$1:$1048576,ROW(),FALSE)</f>
        <v>0</v>
      </c>
      <c r="AD443" s="580">
        <f t="shared" si="65"/>
        <v>5</v>
      </c>
      <c r="AE443" s="580">
        <f t="shared" si="66"/>
        <v>2.5</v>
      </c>
      <c r="AF443" s="580">
        <f t="shared" si="67"/>
        <v>2.5</v>
      </c>
      <c r="AG443" s="580">
        <f t="shared" si="68"/>
        <v>0</v>
      </c>
      <c r="AH443" s="580">
        <f t="shared" si="69"/>
        <v>0</v>
      </c>
      <c r="AI443" s="149"/>
      <c r="AJ443" s="149"/>
      <c r="AK443" s="149"/>
      <c r="AL443" s="149"/>
      <c r="AM443" s="149"/>
      <c r="AN443" s="149"/>
      <c r="AO443" s="149"/>
      <c r="AP443" s="149"/>
    </row>
    <row r="444" spans="2:42">
      <c r="B444" s="221"/>
      <c r="C444" s="54" t="s">
        <v>25</v>
      </c>
      <c r="D444" s="223" t="s">
        <v>104</v>
      </c>
      <c r="E444" s="179" t="s">
        <v>323</v>
      </c>
      <c r="F444" s="179" t="s">
        <v>344</v>
      </c>
      <c r="G444" s="179" t="s">
        <v>345</v>
      </c>
      <c r="H444" s="54" t="s">
        <v>31</v>
      </c>
      <c r="I444" s="297" t="s">
        <v>458</v>
      </c>
      <c r="J444" s="149"/>
      <c r="K444" s="149"/>
      <c r="L444" s="149"/>
      <c r="M444" s="149"/>
      <c r="N444" s="149"/>
      <c r="O444" s="149"/>
      <c r="P444" s="149"/>
      <c r="Q444" s="149"/>
      <c r="R444" s="149"/>
      <c r="S444" s="149"/>
      <c r="T444" s="149"/>
      <c r="U444" s="149"/>
      <c r="V444" s="149"/>
      <c r="W444" s="149"/>
      <c r="X444" s="149"/>
      <c r="Y444" s="149"/>
      <c r="Z444" s="149"/>
      <c r="AA444" s="149"/>
      <c r="AB444" s="580">
        <f>HLOOKUP("*"&amp;'Output annual'!$AC$2&amp;'Output annual'!$AD$2&amp;"*Zone People Number Of Occupants [](Hourly)",'Eplus results'!$1:$1048576,ROW(),FALSE)</f>
        <v>0</v>
      </c>
      <c r="AC444" s="580">
        <f>HLOOKUP("*"&amp;'Output annual'!$AC$2&amp;'Output annual'!$AD$2&amp;"*FangerPMV(Hourly)",'Eplus results'!$1:$1048576,ROW(),FALSE)</f>
        <v>0</v>
      </c>
      <c r="AD444" s="580">
        <f t="shared" si="65"/>
        <v>5</v>
      </c>
      <c r="AE444" s="580">
        <f t="shared" si="66"/>
        <v>2.5</v>
      </c>
      <c r="AF444" s="580">
        <f t="shared" si="67"/>
        <v>2.5</v>
      </c>
      <c r="AG444" s="580">
        <f t="shared" si="68"/>
        <v>0</v>
      </c>
      <c r="AH444" s="580">
        <f t="shared" si="69"/>
        <v>0</v>
      </c>
      <c r="AI444" s="149"/>
      <c r="AJ444" s="149"/>
      <c r="AK444" s="149"/>
      <c r="AL444" s="149"/>
      <c r="AM444" s="149"/>
      <c r="AN444" s="149"/>
      <c r="AO444" s="149"/>
      <c r="AP444" s="149"/>
    </row>
    <row r="445" spans="2:42">
      <c r="B445" s="221">
        <v>1</v>
      </c>
      <c r="C445" s="54" t="s">
        <v>109</v>
      </c>
      <c r="D445" s="223">
        <v>19.754105066848901</v>
      </c>
      <c r="E445" s="344">
        <v>0</v>
      </c>
      <c r="F445" s="179">
        <v>32.22</v>
      </c>
      <c r="G445" s="179">
        <v>12.78</v>
      </c>
      <c r="H445" s="223">
        <v>22.0671196179335</v>
      </c>
      <c r="I445" s="297">
        <v>0</v>
      </c>
      <c r="J445" s="149"/>
      <c r="K445" s="149"/>
      <c r="L445" s="149"/>
      <c r="M445" s="149"/>
      <c r="N445" s="149"/>
      <c r="O445" s="149"/>
      <c r="P445" s="149"/>
      <c r="Q445" s="149"/>
      <c r="R445" s="149"/>
      <c r="S445" s="149"/>
      <c r="T445" s="149"/>
      <c r="U445" s="149"/>
      <c r="V445" s="149"/>
      <c r="W445" s="149"/>
      <c r="X445" s="149"/>
      <c r="Y445" s="149"/>
      <c r="Z445" s="149"/>
      <c r="AA445" s="149"/>
      <c r="AB445" s="580">
        <f>HLOOKUP("*"&amp;'Output annual'!$AC$2&amp;'Output annual'!$AD$2&amp;"*Zone People Number Of Occupants [](Hourly)",'Eplus results'!$1:$1048576,ROW(),FALSE)</f>
        <v>0</v>
      </c>
      <c r="AC445" s="580">
        <f>HLOOKUP("*"&amp;'Output annual'!$AC$2&amp;'Output annual'!$AD$2&amp;"*FangerPMV(Hourly)",'Eplus results'!$1:$1048576,ROW(),FALSE)</f>
        <v>0</v>
      </c>
      <c r="AD445" s="580">
        <f t="shared" si="65"/>
        <v>5</v>
      </c>
      <c r="AE445" s="580">
        <f t="shared" si="66"/>
        <v>2.5</v>
      </c>
      <c r="AF445" s="580">
        <f t="shared" si="67"/>
        <v>2.5</v>
      </c>
      <c r="AG445" s="580">
        <f t="shared" si="68"/>
        <v>0</v>
      </c>
      <c r="AH445" s="580">
        <f t="shared" si="69"/>
        <v>0</v>
      </c>
      <c r="AI445" s="149"/>
      <c r="AJ445" s="149"/>
      <c r="AK445" s="149"/>
      <c r="AL445" s="149"/>
      <c r="AM445" s="149"/>
      <c r="AN445" s="149"/>
      <c r="AO445" s="149"/>
      <c r="AP445" s="149"/>
    </row>
    <row r="446" spans="2:42">
      <c r="B446" s="221">
        <v>2</v>
      </c>
      <c r="C446" s="54" t="s">
        <v>110</v>
      </c>
      <c r="D446" s="223">
        <v>19.278015591485499</v>
      </c>
      <c r="E446" s="344">
        <v>0</v>
      </c>
      <c r="F446" s="179">
        <v>32.22</v>
      </c>
      <c r="G446" s="179">
        <v>12.78</v>
      </c>
      <c r="H446" s="223">
        <v>21.904502249218101</v>
      </c>
      <c r="I446" s="297">
        <v>0</v>
      </c>
      <c r="J446" s="149"/>
      <c r="K446" s="149"/>
      <c r="L446" s="149"/>
      <c r="M446" s="149"/>
      <c r="N446" s="149"/>
      <c r="O446" s="149"/>
      <c r="P446" s="149"/>
      <c r="Q446" s="149"/>
      <c r="R446" s="149"/>
      <c r="S446" s="149"/>
      <c r="T446" s="149"/>
      <c r="U446" s="149"/>
      <c r="V446" s="149"/>
      <c r="W446" s="149"/>
      <c r="X446" s="149"/>
      <c r="Y446" s="149"/>
      <c r="Z446" s="149"/>
      <c r="AA446" s="149"/>
      <c r="AB446" s="580">
        <f>HLOOKUP("*"&amp;'Output annual'!$AC$2&amp;'Output annual'!$AD$2&amp;"*Zone People Number Of Occupants [](Hourly)",'Eplus results'!$1:$1048576,ROW(),FALSE)</f>
        <v>0</v>
      </c>
      <c r="AC446" s="580">
        <f>HLOOKUP("*"&amp;'Output annual'!$AC$2&amp;'Output annual'!$AD$2&amp;"*FangerPMV(Hourly)",'Eplus results'!$1:$1048576,ROW(),FALSE)</f>
        <v>0</v>
      </c>
      <c r="AD446" s="580">
        <f t="shared" si="65"/>
        <v>5</v>
      </c>
      <c r="AE446" s="580">
        <f t="shared" si="66"/>
        <v>2.5</v>
      </c>
      <c r="AF446" s="580">
        <f t="shared" si="67"/>
        <v>2.5</v>
      </c>
      <c r="AG446" s="580">
        <f t="shared" si="68"/>
        <v>0</v>
      </c>
      <c r="AH446" s="580">
        <f t="shared" si="69"/>
        <v>0</v>
      </c>
      <c r="AI446" s="149"/>
      <c r="AJ446" s="149"/>
      <c r="AK446" s="149"/>
      <c r="AL446" s="149"/>
      <c r="AM446" s="149"/>
      <c r="AN446" s="149"/>
      <c r="AO446" s="149"/>
      <c r="AP446" s="149"/>
    </row>
    <row r="447" spans="2:42">
      <c r="B447" s="221">
        <v>3</v>
      </c>
      <c r="C447" s="54" t="s">
        <v>111</v>
      </c>
      <c r="D447" s="223">
        <v>18.7986474088924</v>
      </c>
      <c r="E447" s="344">
        <v>0</v>
      </c>
      <c r="F447" s="179">
        <v>32.22</v>
      </c>
      <c r="G447" s="179">
        <v>12.78</v>
      </c>
      <c r="H447" s="223">
        <v>21.729320069404299</v>
      </c>
      <c r="I447" s="297">
        <v>0</v>
      </c>
      <c r="J447" s="149"/>
      <c r="K447" s="149"/>
      <c r="L447" s="149"/>
      <c r="M447" s="149"/>
      <c r="N447" s="149"/>
      <c r="O447" s="149"/>
      <c r="P447" s="149"/>
      <c r="Q447" s="149"/>
      <c r="R447" s="149"/>
      <c r="S447" s="149"/>
      <c r="T447" s="149"/>
      <c r="U447" s="149"/>
      <c r="V447" s="149"/>
      <c r="W447" s="149"/>
      <c r="X447" s="149"/>
      <c r="Y447" s="149"/>
      <c r="Z447" s="149"/>
      <c r="AA447" s="149"/>
      <c r="AB447" s="580">
        <f>HLOOKUP("*"&amp;'Output annual'!$AC$2&amp;'Output annual'!$AD$2&amp;"*Zone People Number Of Occupants [](Hourly)",'Eplus results'!$1:$1048576,ROW(),FALSE)</f>
        <v>0</v>
      </c>
      <c r="AC447" s="580">
        <f>HLOOKUP("*"&amp;'Output annual'!$AC$2&amp;'Output annual'!$AD$2&amp;"*FangerPMV(Hourly)",'Eplus results'!$1:$1048576,ROW(),FALSE)</f>
        <v>0</v>
      </c>
      <c r="AD447" s="580">
        <f t="shared" si="65"/>
        <v>5</v>
      </c>
      <c r="AE447" s="580">
        <f t="shared" si="66"/>
        <v>2.5</v>
      </c>
      <c r="AF447" s="580">
        <f t="shared" si="67"/>
        <v>2.5</v>
      </c>
      <c r="AG447" s="580">
        <f t="shared" si="68"/>
        <v>0</v>
      </c>
      <c r="AH447" s="580">
        <f t="shared" si="69"/>
        <v>0</v>
      </c>
      <c r="AI447" s="149"/>
      <c r="AJ447" s="149"/>
      <c r="AK447" s="149"/>
      <c r="AL447" s="149"/>
      <c r="AM447" s="149"/>
      <c r="AN447" s="149"/>
      <c r="AO447" s="149"/>
      <c r="AP447" s="149"/>
    </row>
    <row r="448" spans="2:42">
      <c r="B448" s="221">
        <v>4</v>
      </c>
      <c r="C448" s="54" t="s">
        <v>112</v>
      </c>
      <c r="D448" s="223">
        <v>18.303187145472901</v>
      </c>
      <c r="E448" s="344">
        <v>0</v>
      </c>
      <c r="F448" s="179">
        <v>32.22</v>
      </c>
      <c r="G448" s="179">
        <v>12.78</v>
      </c>
      <c r="H448" s="223">
        <v>21.5430728174723</v>
      </c>
      <c r="I448" s="297">
        <v>0</v>
      </c>
      <c r="J448" s="149"/>
      <c r="K448" s="149"/>
      <c r="L448" s="149"/>
      <c r="M448" s="149"/>
      <c r="N448" s="149"/>
      <c r="O448" s="149"/>
      <c r="P448" s="149"/>
      <c r="Q448" s="149"/>
      <c r="R448" s="149"/>
      <c r="S448" s="149"/>
      <c r="T448" s="149"/>
      <c r="U448" s="149"/>
      <c r="V448" s="149"/>
      <c r="W448" s="149"/>
      <c r="X448" s="149"/>
      <c r="Y448" s="149"/>
      <c r="Z448" s="149"/>
      <c r="AA448" s="149"/>
      <c r="AB448" s="580">
        <f>HLOOKUP("*"&amp;'Output annual'!$AC$2&amp;'Output annual'!$AD$2&amp;"*Zone People Number Of Occupants [](Hourly)",'Eplus results'!$1:$1048576,ROW(),FALSE)</f>
        <v>0</v>
      </c>
      <c r="AC448" s="580">
        <f>HLOOKUP("*"&amp;'Output annual'!$AC$2&amp;'Output annual'!$AD$2&amp;"*FangerPMV(Hourly)",'Eplus results'!$1:$1048576,ROW(),FALSE)</f>
        <v>0</v>
      </c>
      <c r="AD448" s="580">
        <f t="shared" si="65"/>
        <v>5</v>
      </c>
      <c r="AE448" s="580">
        <f t="shared" si="66"/>
        <v>2.5</v>
      </c>
      <c r="AF448" s="580">
        <f t="shared" si="67"/>
        <v>2.5</v>
      </c>
      <c r="AG448" s="580">
        <f t="shared" si="68"/>
        <v>0</v>
      </c>
      <c r="AH448" s="580">
        <f t="shared" si="69"/>
        <v>0</v>
      </c>
      <c r="AI448" s="149"/>
      <c r="AJ448" s="149"/>
      <c r="AK448" s="149"/>
      <c r="AL448" s="149"/>
      <c r="AM448" s="149"/>
      <c r="AN448" s="149"/>
      <c r="AO448" s="149"/>
      <c r="AP448" s="149"/>
    </row>
    <row r="449" spans="2:42">
      <c r="B449" s="221">
        <v>5</v>
      </c>
      <c r="C449" s="54" t="s">
        <v>113</v>
      </c>
      <c r="D449" s="223">
        <v>17.8164049282638</v>
      </c>
      <c r="E449" s="344">
        <v>0</v>
      </c>
      <c r="F449" s="179">
        <v>32.22</v>
      </c>
      <c r="G449" s="179">
        <v>12.78</v>
      </c>
      <c r="H449" s="223">
        <v>21.345317012512201</v>
      </c>
      <c r="I449" s="297">
        <v>0</v>
      </c>
      <c r="J449" s="149"/>
      <c r="K449" s="149"/>
      <c r="L449" s="149"/>
      <c r="M449" s="149"/>
      <c r="N449" s="149"/>
      <c r="O449" s="149"/>
      <c r="P449" s="149"/>
      <c r="Q449" s="149"/>
      <c r="R449" s="149"/>
      <c r="S449" s="149"/>
      <c r="T449" s="149"/>
      <c r="U449" s="149"/>
      <c r="V449" s="149"/>
      <c r="W449" s="149"/>
      <c r="X449" s="149"/>
      <c r="Y449" s="149"/>
      <c r="Z449" s="149"/>
      <c r="AA449" s="149"/>
      <c r="AB449" s="580">
        <f>HLOOKUP("*"&amp;'Output annual'!$AC$2&amp;'Output annual'!$AD$2&amp;"*Zone People Number Of Occupants [](Hourly)",'Eplus results'!$1:$1048576,ROW(),FALSE)</f>
        <v>0</v>
      </c>
      <c r="AC449" s="580">
        <f>HLOOKUP("*"&amp;'Output annual'!$AC$2&amp;'Output annual'!$AD$2&amp;"*FangerPMV(Hourly)",'Eplus results'!$1:$1048576,ROW(),FALSE)</f>
        <v>0</v>
      </c>
      <c r="AD449" s="580">
        <f t="shared" si="65"/>
        <v>5</v>
      </c>
      <c r="AE449" s="580">
        <f t="shared" si="66"/>
        <v>2.5</v>
      </c>
      <c r="AF449" s="580">
        <f t="shared" si="67"/>
        <v>2.5</v>
      </c>
      <c r="AG449" s="580">
        <f t="shared" si="68"/>
        <v>0</v>
      </c>
      <c r="AH449" s="580">
        <f t="shared" si="69"/>
        <v>0</v>
      </c>
      <c r="AI449" s="149"/>
      <c r="AJ449" s="149"/>
      <c r="AK449" s="149"/>
      <c r="AL449" s="149"/>
      <c r="AM449" s="149"/>
      <c r="AN449" s="149"/>
      <c r="AO449" s="149"/>
      <c r="AP449" s="149"/>
    </row>
    <row r="450" spans="2:42">
      <c r="B450" s="221">
        <v>6</v>
      </c>
      <c r="C450" s="54" t="s">
        <v>114</v>
      </c>
      <c r="D450" s="223">
        <v>17.726202303246598</v>
      </c>
      <c r="E450" s="344">
        <v>0.33183981472282698</v>
      </c>
      <c r="F450" s="179">
        <v>23.89</v>
      </c>
      <c r="G450" s="179">
        <v>21.11</v>
      </c>
      <c r="H450" s="223">
        <v>20.022496384484299</v>
      </c>
      <c r="I450" s="297">
        <v>0</v>
      </c>
      <c r="J450" s="149"/>
      <c r="K450" s="149"/>
      <c r="L450" s="149"/>
      <c r="M450" s="149"/>
      <c r="N450" s="149"/>
      <c r="O450" s="149"/>
      <c r="P450" s="149"/>
      <c r="Q450" s="149"/>
      <c r="R450" s="149"/>
      <c r="S450" s="149"/>
      <c r="T450" s="149"/>
      <c r="U450" s="149"/>
      <c r="V450" s="149"/>
      <c r="W450" s="149"/>
      <c r="X450" s="149"/>
      <c r="Y450" s="149"/>
      <c r="Z450" s="149"/>
      <c r="AA450" s="149"/>
      <c r="AB450" s="580">
        <f>HLOOKUP("*"&amp;'Output annual'!$AC$2&amp;'Output annual'!$AD$2&amp;"*Zone People Number Of Occupants [](Hourly)",'Eplus results'!$1:$1048576,ROW(),FALSE)</f>
        <v>0</v>
      </c>
      <c r="AC450" s="580">
        <f>HLOOKUP("*"&amp;'Output annual'!$AC$2&amp;'Output annual'!$AD$2&amp;"*FangerPMV(Hourly)",'Eplus results'!$1:$1048576,ROW(),FALSE)</f>
        <v>0</v>
      </c>
      <c r="AD450" s="580">
        <f t="shared" si="65"/>
        <v>5</v>
      </c>
      <c r="AE450" s="580">
        <f t="shared" si="66"/>
        <v>2.5</v>
      </c>
      <c r="AF450" s="580">
        <f t="shared" si="67"/>
        <v>2.5</v>
      </c>
      <c r="AG450" s="580">
        <f t="shared" si="68"/>
        <v>0</v>
      </c>
      <c r="AH450" s="580">
        <f t="shared" si="69"/>
        <v>0</v>
      </c>
      <c r="AI450" s="149"/>
      <c r="AJ450" s="149"/>
      <c r="AK450" s="149"/>
      <c r="AL450" s="149"/>
      <c r="AM450" s="149"/>
      <c r="AN450" s="149"/>
      <c r="AO450" s="149"/>
      <c r="AP450" s="149"/>
    </row>
    <row r="451" spans="2:42">
      <c r="B451" s="221">
        <v>7</v>
      </c>
      <c r="C451" s="54" t="s">
        <v>115</v>
      </c>
      <c r="D451" s="223">
        <v>17.9926549646685</v>
      </c>
      <c r="E451" s="344">
        <v>0.33183981472282698</v>
      </c>
      <c r="F451" s="179">
        <v>23.89</v>
      </c>
      <c r="G451" s="179">
        <v>21.11</v>
      </c>
      <c r="H451" s="223">
        <v>19.493803987139</v>
      </c>
      <c r="I451" s="297">
        <v>0</v>
      </c>
      <c r="J451" s="149"/>
      <c r="K451" s="149"/>
      <c r="L451" s="149"/>
      <c r="M451" s="149"/>
      <c r="N451" s="149"/>
      <c r="O451" s="149"/>
      <c r="P451" s="149"/>
      <c r="Q451" s="149"/>
      <c r="R451" s="149"/>
      <c r="S451" s="149"/>
      <c r="T451" s="149"/>
      <c r="U451" s="149"/>
      <c r="V451" s="149"/>
      <c r="W451" s="149"/>
      <c r="X451" s="149"/>
      <c r="Y451" s="149"/>
      <c r="Z451" s="149"/>
      <c r="AA451" s="149"/>
      <c r="AB451" s="580">
        <f>HLOOKUP("*"&amp;'Output annual'!$AC$2&amp;'Output annual'!$AD$2&amp;"*Zone People Number Of Occupants [](Hourly)",'Eplus results'!$1:$1048576,ROW(),FALSE)</f>
        <v>0</v>
      </c>
      <c r="AC451" s="580">
        <f>HLOOKUP("*"&amp;'Output annual'!$AC$2&amp;'Output annual'!$AD$2&amp;"*FangerPMV(Hourly)",'Eplus results'!$1:$1048576,ROW(),FALSE)</f>
        <v>0</v>
      </c>
      <c r="AD451" s="580">
        <f t="shared" ref="AD451:AD514" si="71">100-95*EXP(-0.03353*AC451^4-0.2179*AC451^2)</f>
        <v>5</v>
      </c>
      <c r="AE451" s="580">
        <f t="shared" ref="AE451:AE514" si="72">AD451*(1/(1+EXP(-6.3*$AC451)))</f>
        <v>2.5</v>
      </c>
      <c r="AF451" s="580">
        <f t="shared" ref="AF451:AF514" si="73">(AD451-AE451)</f>
        <v>2.5</v>
      </c>
      <c r="AG451" s="580">
        <f t="shared" ref="AG451:AG514" si="74">AE451*AB451</f>
        <v>0</v>
      </c>
      <c r="AH451" s="580">
        <f t="shared" ref="AH451:AH514" si="75">AF451*AB451</f>
        <v>0</v>
      </c>
      <c r="AI451" s="149"/>
      <c r="AJ451" s="149"/>
      <c r="AK451" s="149"/>
      <c r="AL451" s="149"/>
      <c r="AM451" s="149"/>
      <c r="AN451" s="149"/>
      <c r="AO451" s="149"/>
      <c r="AP451" s="149"/>
    </row>
    <row r="452" spans="2:42" ht="15">
      <c r="B452" s="221">
        <v>8</v>
      </c>
      <c r="C452" s="345" t="s">
        <v>116</v>
      </c>
      <c r="D452" s="346">
        <v>21.2557632640316</v>
      </c>
      <c r="E452" s="347">
        <v>0.33183981472282698</v>
      </c>
      <c r="F452" s="348">
        <v>23.89</v>
      </c>
      <c r="G452" s="348">
        <v>21.11</v>
      </c>
      <c r="H452" s="349">
        <v>19.4559683142678</v>
      </c>
      <c r="I452" s="350">
        <v>4.6955642876078237E-2</v>
      </c>
      <c r="J452" s="178"/>
      <c r="K452" s="178"/>
      <c r="L452" s="178"/>
      <c r="M452" s="178"/>
      <c r="N452" s="178"/>
      <c r="O452" s="178"/>
      <c r="P452" s="178"/>
      <c r="Q452" s="178"/>
      <c r="R452" s="178"/>
      <c r="S452" s="178"/>
      <c r="T452" s="178"/>
      <c r="U452" s="178"/>
      <c r="V452" s="178"/>
      <c r="W452" s="178"/>
      <c r="X452" s="178"/>
      <c r="Y452" s="178"/>
      <c r="Z452" s="178"/>
      <c r="AA452" s="178"/>
      <c r="AB452" s="580">
        <f>HLOOKUP("*"&amp;'Output annual'!$AC$2&amp;'Output annual'!$AD$2&amp;"*Zone People Number Of Occupants [](Hourly)",'Eplus results'!$1:$1048576,ROW(),FALSE)</f>
        <v>0</v>
      </c>
      <c r="AC452" s="580">
        <f>HLOOKUP("*"&amp;'Output annual'!$AC$2&amp;'Output annual'!$AD$2&amp;"*FangerPMV(Hourly)",'Eplus results'!$1:$1048576,ROW(),FALSE)</f>
        <v>0</v>
      </c>
      <c r="AD452" s="580">
        <f t="shared" si="71"/>
        <v>5</v>
      </c>
      <c r="AE452" s="580">
        <f t="shared" si="72"/>
        <v>2.5</v>
      </c>
      <c r="AF452" s="580">
        <f t="shared" si="73"/>
        <v>2.5</v>
      </c>
      <c r="AG452" s="580">
        <f t="shared" si="74"/>
        <v>0</v>
      </c>
      <c r="AH452" s="580">
        <f t="shared" si="75"/>
        <v>0</v>
      </c>
      <c r="AI452" s="178"/>
      <c r="AJ452" s="178"/>
      <c r="AK452" s="178"/>
      <c r="AL452" s="178"/>
      <c r="AM452" s="178"/>
      <c r="AN452" s="178"/>
      <c r="AO452" s="178"/>
      <c r="AP452" s="178"/>
    </row>
    <row r="453" spans="2:42" ht="15">
      <c r="B453" s="221">
        <v>9</v>
      </c>
      <c r="C453" s="351" t="s">
        <v>117</v>
      </c>
      <c r="D453" s="352">
        <v>22.606565212647901</v>
      </c>
      <c r="E453" s="353">
        <v>0.33183981472282698</v>
      </c>
      <c r="F453" s="354">
        <v>23.89</v>
      </c>
      <c r="G453" s="354">
        <v>21.11</v>
      </c>
      <c r="H453" s="55">
        <v>19.4068524465713</v>
      </c>
      <c r="I453" s="355">
        <v>8.9126306453532658E-2</v>
      </c>
      <c r="J453" s="176"/>
      <c r="K453" s="176"/>
      <c r="L453" s="176"/>
      <c r="M453" s="176"/>
      <c r="N453" s="176"/>
      <c r="O453" s="176"/>
      <c r="P453" s="176"/>
      <c r="Q453" s="176"/>
      <c r="R453" s="176"/>
      <c r="S453" s="176"/>
      <c r="T453" s="176"/>
      <c r="U453" s="176"/>
      <c r="V453" s="176"/>
      <c r="W453" s="176"/>
      <c r="X453" s="176"/>
      <c r="Y453" s="176"/>
      <c r="Z453" s="176"/>
      <c r="AA453" s="176"/>
      <c r="AB453" s="580">
        <f>HLOOKUP("*"&amp;'Output annual'!$AC$2&amp;'Output annual'!$AD$2&amp;"*Zone People Number Of Occupants [](Hourly)",'Eplus results'!$1:$1048576,ROW(),FALSE)</f>
        <v>0</v>
      </c>
      <c r="AC453" s="580">
        <f>HLOOKUP("*"&amp;'Output annual'!$AC$2&amp;'Output annual'!$AD$2&amp;"*FangerPMV(Hourly)",'Eplus results'!$1:$1048576,ROW(),FALSE)</f>
        <v>0</v>
      </c>
      <c r="AD453" s="580">
        <f t="shared" si="71"/>
        <v>5</v>
      </c>
      <c r="AE453" s="580">
        <f t="shared" si="72"/>
        <v>2.5</v>
      </c>
      <c r="AF453" s="580">
        <f t="shared" si="73"/>
        <v>2.5</v>
      </c>
      <c r="AG453" s="580">
        <f t="shared" si="74"/>
        <v>0</v>
      </c>
      <c r="AH453" s="580">
        <f t="shared" si="75"/>
        <v>0</v>
      </c>
      <c r="AI453" s="176"/>
      <c r="AJ453" s="176"/>
      <c r="AK453" s="176"/>
      <c r="AL453" s="176"/>
      <c r="AM453" s="176"/>
      <c r="AN453" s="176"/>
      <c r="AO453" s="176"/>
      <c r="AP453" s="176"/>
    </row>
    <row r="454" spans="2:42">
      <c r="B454" s="221">
        <v>10</v>
      </c>
      <c r="C454" s="54" t="s">
        <v>118</v>
      </c>
      <c r="D454" s="223">
        <v>23.8870884467655</v>
      </c>
      <c r="E454" s="344">
        <v>0.71385611290902395</v>
      </c>
      <c r="F454" s="179">
        <v>23.89</v>
      </c>
      <c r="G454" s="179">
        <v>21.11</v>
      </c>
      <c r="H454" s="223">
        <v>18.626919820198601</v>
      </c>
      <c r="I454" s="297">
        <v>0.22191721864439798</v>
      </c>
      <c r="J454" s="149"/>
      <c r="K454" s="149"/>
      <c r="L454" s="149"/>
      <c r="M454" s="149"/>
      <c r="N454" s="149"/>
      <c r="O454" s="149"/>
      <c r="P454" s="149"/>
      <c r="Q454" s="149"/>
      <c r="R454" s="149"/>
      <c r="S454" s="149"/>
      <c r="T454" s="149"/>
      <c r="U454" s="149"/>
      <c r="V454" s="149"/>
      <c r="W454" s="149"/>
      <c r="X454" s="149"/>
      <c r="Y454" s="149"/>
      <c r="Z454" s="149"/>
      <c r="AA454" s="149"/>
      <c r="AB454" s="580">
        <f>HLOOKUP("*"&amp;'Output annual'!$AC$2&amp;'Output annual'!$AD$2&amp;"*Zone People Number Of Occupants [](Hourly)",'Eplus results'!$1:$1048576,ROW(),FALSE)</f>
        <v>0</v>
      </c>
      <c r="AC454" s="580">
        <f>HLOOKUP("*"&amp;'Output annual'!$AC$2&amp;'Output annual'!$AD$2&amp;"*FangerPMV(Hourly)",'Eplus results'!$1:$1048576,ROW(),FALSE)</f>
        <v>0</v>
      </c>
      <c r="AD454" s="580">
        <f t="shared" si="71"/>
        <v>5</v>
      </c>
      <c r="AE454" s="580">
        <f t="shared" si="72"/>
        <v>2.5</v>
      </c>
      <c r="AF454" s="580">
        <f t="shared" si="73"/>
        <v>2.5</v>
      </c>
      <c r="AG454" s="580">
        <f t="shared" si="74"/>
        <v>0</v>
      </c>
      <c r="AH454" s="580">
        <f t="shared" si="75"/>
        <v>0</v>
      </c>
      <c r="AI454" s="149"/>
      <c r="AJ454" s="149"/>
      <c r="AK454" s="149"/>
      <c r="AL454" s="149"/>
      <c r="AM454" s="149"/>
      <c r="AN454" s="149"/>
      <c r="AO454" s="149"/>
      <c r="AP454" s="149"/>
    </row>
    <row r="455" spans="2:42">
      <c r="B455" s="221">
        <v>11</v>
      </c>
      <c r="C455" s="54" t="s">
        <v>119</v>
      </c>
      <c r="D455" s="223">
        <v>24.307925178089</v>
      </c>
      <c r="E455" s="344">
        <v>1.25612099677224</v>
      </c>
      <c r="F455" s="179">
        <v>23.89</v>
      </c>
      <c r="G455" s="179">
        <v>21.11</v>
      </c>
      <c r="H455" s="223">
        <v>18.3625781565189</v>
      </c>
      <c r="I455" s="297">
        <v>0.38128351061152199</v>
      </c>
      <c r="J455" s="149"/>
      <c r="K455" s="149"/>
      <c r="L455" s="149"/>
      <c r="M455" s="149"/>
      <c r="N455" s="149"/>
      <c r="O455" s="149"/>
      <c r="P455" s="149"/>
      <c r="Q455" s="149"/>
      <c r="R455" s="149"/>
      <c r="S455" s="149"/>
      <c r="T455" s="149"/>
      <c r="U455" s="149"/>
      <c r="V455" s="149"/>
      <c r="W455" s="149"/>
      <c r="X455" s="149"/>
      <c r="Y455" s="149"/>
      <c r="Z455" s="149"/>
      <c r="AA455" s="149"/>
      <c r="AB455" s="580">
        <f>HLOOKUP("*"&amp;'Output annual'!$AC$2&amp;'Output annual'!$AD$2&amp;"*Zone People Number Of Occupants [](Hourly)",'Eplus results'!$1:$1048576,ROW(),FALSE)</f>
        <v>0</v>
      </c>
      <c r="AC455" s="580">
        <f>HLOOKUP("*"&amp;'Output annual'!$AC$2&amp;'Output annual'!$AD$2&amp;"*FangerPMV(Hourly)",'Eplus results'!$1:$1048576,ROW(),FALSE)</f>
        <v>0</v>
      </c>
      <c r="AD455" s="580">
        <f t="shared" si="71"/>
        <v>5</v>
      </c>
      <c r="AE455" s="580">
        <f t="shared" si="72"/>
        <v>2.5</v>
      </c>
      <c r="AF455" s="580">
        <f t="shared" si="73"/>
        <v>2.5</v>
      </c>
      <c r="AG455" s="580">
        <f t="shared" si="74"/>
        <v>0</v>
      </c>
      <c r="AH455" s="580">
        <f t="shared" si="75"/>
        <v>0</v>
      </c>
      <c r="AI455" s="149"/>
      <c r="AJ455" s="149"/>
      <c r="AK455" s="149"/>
      <c r="AL455" s="149"/>
      <c r="AM455" s="149"/>
      <c r="AN455" s="149"/>
      <c r="AO455" s="149"/>
      <c r="AP455" s="149"/>
    </row>
    <row r="456" spans="2:42">
      <c r="B456" s="221">
        <v>12</v>
      </c>
      <c r="C456" s="54" t="s">
        <v>120</v>
      </c>
      <c r="D456" s="223">
        <v>24.2488075341384</v>
      </c>
      <c r="E456" s="344">
        <v>1.6961329489817401</v>
      </c>
      <c r="F456" s="179">
        <v>23.89</v>
      </c>
      <c r="G456" s="179">
        <v>21.11</v>
      </c>
      <c r="H456" s="223">
        <v>18.267247001040399</v>
      </c>
      <c r="I456" s="297">
        <v>0.48521171479859154</v>
      </c>
      <c r="J456" s="149"/>
      <c r="K456" s="149"/>
      <c r="L456" s="149"/>
      <c r="M456" s="149"/>
      <c r="N456" s="149"/>
      <c r="O456" s="149"/>
      <c r="P456" s="149"/>
      <c r="Q456" s="149"/>
      <c r="R456" s="149"/>
      <c r="S456" s="149"/>
      <c r="T456" s="149"/>
      <c r="U456" s="149"/>
      <c r="V456" s="149"/>
      <c r="W456" s="149"/>
      <c r="X456" s="149"/>
      <c r="Y456" s="149"/>
      <c r="Z456" s="149"/>
      <c r="AA456" s="149"/>
      <c r="AB456" s="580">
        <f>HLOOKUP("*"&amp;'Output annual'!$AC$2&amp;'Output annual'!$AD$2&amp;"*Zone People Number Of Occupants [](Hourly)",'Eplus results'!$1:$1048576,ROW(),FALSE)</f>
        <v>0</v>
      </c>
      <c r="AC456" s="580">
        <f>HLOOKUP("*"&amp;'Output annual'!$AC$2&amp;'Output annual'!$AD$2&amp;"*FangerPMV(Hourly)",'Eplus results'!$1:$1048576,ROW(),FALSE)</f>
        <v>0</v>
      </c>
      <c r="AD456" s="580">
        <f t="shared" si="71"/>
        <v>5</v>
      </c>
      <c r="AE456" s="580">
        <f t="shared" si="72"/>
        <v>2.5</v>
      </c>
      <c r="AF456" s="580">
        <f t="shared" si="73"/>
        <v>2.5</v>
      </c>
      <c r="AG456" s="580">
        <f t="shared" si="74"/>
        <v>0</v>
      </c>
      <c r="AH456" s="580">
        <f t="shared" si="75"/>
        <v>0</v>
      </c>
      <c r="AI456" s="149"/>
      <c r="AJ456" s="149"/>
      <c r="AK456" s="149"/>
      <c r="AL456" s="149"/>
      <c r="AM456" s="149"/>
      <c r="AN456" s="149"/>
      <c r="AO456" s="149"/>
      <c r="AP456" s="149"/>
    </row>
    <row r="457" spans="2:42">
      <c r="B457" s="221">
        <v>13</v>
      </c>
      <c r="C457" s="54" t="s">
        <v>121</v>
      </c>
      <c r="D457" s="223">
        <v>24.060139554026801</v>
      </c>
      <c r="E457" s="344">
        <v>2.0736828271385601</v>
      </c>
      <c r="F457" s="179">
        <v>23.89</v>
      </c>
      <c r="G457" s="179">
        <v>21.11</v>
      </c>
      <c r="H457" s="223">
        <v>18.2274324442539</v>
      </c>
      <c r="I457" s="297">
        <v>0.55372091110019295</v>
      </c>
      <c r="J457" s="149"/>
      <c r="K457" s="149"/>
      <c r="L457" s="149"/>
      <c r="M457" s="149"/>
      <c r="N457" s="149"/>
      <c r="O457" s="149"/>
      <c r="P457" s="149"/>
      <c r="Q457" s="149"/>
      <c r="R457" s="149"/>
      <c r="S457" s="149"/>
      <c r="T457" s="149"/>
      <c r="U457" s="149"/>
      <c r="V457" s="149"/>
      <c r="W457" s="149"/>
      <c r="X457" s="149"/>
      <c r="Y457" s="149"/>
      <c r="Z457" s="149"/>
      <c r="AA457" s="149"/>
      <c r="AB457" s="580">
        <f>HLOOKUP("*"&amp;'Output annual'!$AC$2&amp;'Output annual'!$AD$2&amp;"*Zone People Number Of Occupants [](Hourly)",'Eplus results'!$1:$1048576,ROW(),FALSE)</f>
        <v>0</v>
      </c>
      <c r="AC457" s="580">
        <f>HLOOKUP("*"&amp;'Output annual'!$AC$2&amp;'Output annual'!$AD$2&amp;"*FangerPMV(Hourly)",'Eplus results'!$1:$1048576,ROW(),FALSE)</f>
        <v>0</v>
      </c>
      <c r="AD457" s="580">
        <f t="shared" si="71"/>
        <v>5</v>
      </c>
      <c r="AE457" s="580">
        <f t="shared" si="72"/>
        <v>2.5</v>
      </c>
      <c r="AF457" s="580">
        <f t="shared" si="73"/>
        <v>2.5</v>
      </c>
      <c r="AG457" s="580">
        <f t="shared" si="74"/>
        <v>0</v>
      </c>
      <c r="AH457" s="580">
        <f t="shared" si="75"/>
        <v>0</v>
      </c>
      <c r="AI457" s="149"/>
      <c r="AJ457" s="149"/>
      <c r="AK457" s="149"/>
      <c r="AL457" s="149"/>
      <c r="AM457" s="149"/>
      <c r="AN457" s="149"/>
      <c r="AO457" s="149"/>
      <c r="AP457" s="149"/>
    </row>
    <row r="458" spans="2:42">
      <c r="B458" s="221">
        <v>14</v>
      </c>
      <c r="C458" s="54" t="s">
        <v>122</v>
      </c>
      <c r="D458" s="223">
        <v>23.924254152923002</v>
      </c>
      <c r="E458" s="344">
        <v>2.2440906472313702</v>
      </c>
      <c r="F458" s="179">
        <v>23.89</v>
      </c>
      <c r="G458" s="179">
        <v>21.11</v>
      </c>
      <c r="H458" s="223">
        <v>18.215320179754599</v>
      </c>
      <c r="I458" s="297">
        <v>0.57314163348318381</v>
      </c>
      <c r="J458" s="149"/>
      <c r="K458" s="149"/>
      <c r="L458" s="149"/>
      <c r="M458" s="149"/>
      <c r="N458" s="149"/>
      <c r="O458" s="149"/>
      <c r="P458" s="149"/>
      <c r="Q458" s="149"/>
      <c r="R458" s="149"/>
      <c r="S458" s="149"/>
      <c r="T458" s="149"/>
      <c r="U458" s="149"/>
      <c r="V458" s="149"/>
      <c r="W458" s="149"/>
      <c r="X458" s="149"/>
      <c r="Y458" s="149"/>
      <c r="Z458" s="149"/>
      <c r="AA458" s="149"/>
      <c r="AB458" s="580">
        <f>HLOOKUP("*"&amp;'Output annual'!$AC$2&amp;'Output annual'!$AD$2&amp;"*Zone People Number Of Occupants [](Hourly)",'Eplus results'!$1:$1048576,ROW(),FALSE)</f>
        <v>0</v>
      </c>
      <c r="AC458" s="580">
        <f>HLOOKUP("*"&amp;'Output annual'!$AC$2&amp;'Output annual'!$AD$2&amp;"*FangerPMV(Hourly)",'Eplus results'!$1:$1048576,ROW(),FALSE)</f>
        <v>0</v>
      </c>
      <c r="AD458" s="580">
        <f t="shared" si="71"/>
        <v>5</v>
      </c>
      <c r="AE458" s="580">
        <f t="shared" si="72"/>
        <v>2.5</v>
      </c>
      <c r="AF458" s="580">
        <f t="shared" si="73"/>
        <v>2.5</v>
      </c>
      <c r="AG458" s="580">
        <f t="shared" si="74"/>
        <v>0</v>
      </c>
      <c r="AH458" s="580">
        <f t="shared" si="75"/>
        <v>0</v>
      </c>
      <c r="AI458" s="149"/>
      <c r="AJ458" s="149"/>
      <c r="AK458" s="149"/>
      <c r="AL458" s="149"/>
      <c r="AM458" s="149"/>
      <c r="AN458" s="149"/>
      <c r="AO458" s="149"/>
      <c r="AP458" s="149"/>
    </row>
    <row r="459" spans="2:42">
      <c r="B459" s="221">
        <v>15</v>
      </c>
      <c r="C459" s="54" t="s">
        <v>123</v>
      </c>
      <c r="D459" s="223">
        <v>23.910820298451299</v>
      </c>
      <c r="E459" s="344">
        <v>2.31163937160263</v>
      </c>
      <c r="F459" s="179">
        <v>23.89</v>
      </c>
      <c r="G459" s="179">
        <v>21.11</v>
      </c>
      <c r="H459" s="223">
        <v>18.227354941485199</v>
      </c>
      <c r="I459" s="297">
        <v>0.58367730720496069</v>
      </c>
      <c r="J459" s="149"/>
      <c r="K459" s="149"/>
      <c r="L459" s="149"/>
      <c r="M459" s="149"/>
      <c r="N459" s="149"/>
      <c r="O459" s="149"/>
      <c r="P459" s="149"/>
      <c r="Q459" s="149"/>
      <c r="R459" s="149"/>
      <c r="S459" s="149"/>
      <c r="T459" s="149"/>
      <c r="U459" s="149"/>
      <c r="V459" s="149"/>
      <c r="W459" s="149"/>
      <c r="X459" s="149"/>
      <c r="Y459" s="149"/>
      <c r="Z459" s="149"/>
      <c r="AA459" s="149"/>
      <c r="AB459" s="580">
        <f>HLOOKUP("*"&amp;'Output annual'!$AC$2&amp;'Output annual'!$AD$2&amp;"*Zone People Number Of Occupants [](Hourly)",'Eplus results'!$1:$1048576,ROW(),FALSE)</f>
        <v>0</v>
      </c>
      <c r="AC459" s="580">
        <f>HLOOKUP("*"&amp;'Output annual'!$AC$2&amp;'Output annual'!$AD$2&amp;"*FangerPMV(Hourly)",'Eplus results'!$1:$1048576,ROW(),FALSE)</f>
        <v>0</v>
      </c>
      <c r="AD459" s="580">
        <f t="shared" si="71"/>
        <v>5</v>
      </c>
      <c r="AE459" s="580">
        <f t="shared" si="72"/>
        <v>2.5</v>
      </c>
      <c r="AF459" s="580">
        <f t="shared" si="73"/>
        <v>2.5</v>
      </c>
      <c r="AG459" s="580">
        <f t="shared" si="74"/>
        <v>0</v>
      </c>
      <c r="AH459" s="580">
        <f t="shared" si="75"/>
        <v>0</v>
      </c>
      <c r="AI459" s="149"/>
      <c r="AJ459" s="149"/>
      <c r="AK459" s="149"/>
      <c r="AL459" s="149"/>
      <c r="AM459" s="149"/>
      <c r="AN459" s="149"/>
      <c r="AO459" s="149"/>
      <c r="AP459" s="149"/>
    </row>
    <row r="460" spans="2:42">
      <c r="B460" s="221">
        <v>16</v>
      </c>
      <c r="C460" s="54" t="s">
        <v>124</v>
      </c>
      <c r="D460" s="223">
        <v>23.914042337321899</v>
      </c>
      <c r="E460" s="344">
        <v>2.3605717224960201</v>
      </c>
      <c r="F460" s="179">
        <v>23.89</v>
      </c>
      <c r="G460" s="179">
        <v>21.11</v>
      </c>
      <c r="H460" s="223">
        <v>18.303537930477699</v>
      </c>
      <c r="I460" s="297">
        <v>0.58541767601435146</v>
      </c>
      <c r="J460" s="149"/>
      <c r="K460" s="149"/>
      <c r="L460" s="149"/>
      <c r="M460" s="149"/>
      <c r="N460" s="149"/>
      <c r="O460" s="149"/>
      <c r="P460" s="149"/>
      <c r="Q460" s="149"/>
      <c r="R460" s="149"/>
      <c r="S460" s="149"/>
      <c r="T460" s="149"/>
      <c r="U460" s="149"/>
      <c r="V460" s="149"/>
      <c r="W460" s="149"/>
      <c r="X460" s="149"/>
      <c r="Y460" s="149"/>
      <c r="Z460" s="149"/>
      <c r="AA460" s="149"/>
      <c r="AB460" s="580">
        <f>HLOOKUP("*"&amp;'Output annual'!$AC$2&amp;'Output annual'!$AD$2&amp;"*Zone People Number Of Occupants [](Hourly)",'Eplus results'!$1:$1048576,ROW(),FALSE)</f>
        <v>0</v>
      </c>
      <c r="AC460" s="580">
        <f>HLOOKUP("*"&amp;'Output annual'!$AC$2&amp;'Output annual'!$AD$2&amp;"*FangerPMV(Hourly)",'Eplus results'!$1:$1048576,ROW(),FALSE)</f>
        <v>0</v>
      </c>
      <c r="AD460" s="580">
        <f t="shared" si="71"/>
        <v>5</v>
      </c>
      <c r="AE460" s="580">
        <f t="shared" si="72"/>
        <v>2.5</v>
      </c>
      <c r="AF460" s="580">
        <f t="shared" si="73"/>
        <v>2.5</v>
      </c>
      <c r="AG460" s="580">
        <f t="shared" si="74"/>
        <v>0</v>
      </c>
      <c r="AH460" s="580">
        <f t="shared" si="75"/>
        <v>0</v>
      </c>
      <c r="AI460" s="149"/>
      <c r="AJ460" s="149"/>
      <c r="AK460" s="149"/>
      <c r="AL460" s="149"/>
      <c r="AM460" s="149"/>
      <c r="AN460" s="149"/>
      <c r="AO460" s="149"/>
      <c r="AP460" s="149"/>
    </row>
    <row r="461" spans="2:42">
      <c r="B461" s="221">
        <v>17</v>
      </c>
      <c r="C461" s="54" t="s">
        <v>125</v>
      </c>
      <c r="D461" s="223">
        <v>23.9071668496344</v>
      </c>
      <c r="E461" s="344">
        <v>2.3460248284793201</v>
      </c>
      <c r="F461" s="179">
        <v>23.89</v>
      </c>
      <c r="G461" s="179">
        <v>21.11</v>
      </c>
      <c r="H461" s="223">
        <v>18.494579463590298</v>
      </c>
      <c r="I461" s="297">
        <v>0.5639810155178635</v>
      </c>
      <c r="J461" s="149"/>
      <c r="K461" s="149"/>
      <c r="L461" s="149"/>
      <c r="M461" s="149"/>
      <c r="N461" s="149"/>
      <c r="O461" s="149"/>
      <c r="P461" s="149"/>
      <c r="Q461" s="149"/>
      <c r="R461" s="149"/>
      <c r="S461" s="149"/>
      <c r="T461" s="149"/>
      <c r="U461" s="149"/>
      <c r="V461" s="149"/>
      <c r="W461" s="149"/>
      <c r="X461" s="149"/>
      <c r="Y461" s="149"/>
      <c r="Z461" s="149"/>
      <c r="AA461" s="149"/>
      <c r="AB461" s="580">
        <f>HLOOKUP("*"&amp;'Output annual'!$AC$2&amp;'Output annual'!$AD$2&amp;"*Zone People Number Of Occupants [](Hourly)",'Eplus results'!$1:$1048576,ROW(),FALSE)</f>
        <v>0</v>
      </c>
      <c r="AC461" s="580">
        <f>HLOOKUP("*"&amp;'Output annual'!$AC$2&amp;'Output annual'!$AD$2&amp;"*FangerPMV(Hourly)",'Eplus results'!$1:$1048576,ROW(),FALSE)</f>
        <v>0</v>
      </c>
      <c r="AD461" s="580">
        <f t="shared" si="71"/>
        <v>5</v>
      </c>
      <c r="AE461" s="580">
        <f t="shared" si="72"/>
        <v>2.5</v>
      </c>
      <c r="AF461" s="580">
        <f t="shared" si="73"/>
        <v>2.5</v>
      </c>
      <c r="AG461" s="580">
        <f t="shared" si="74"/>
        <v>0</v>
      </c>
      <c r="AH461" s="580">
        <f t="shared" si="75"/>
        <v>0</v>
      </c>
      <c r="AI461" s="149"/>
      <c r="AJ461" s="149"/>
      <c r="AK461" s="149"/>
      <c r="AL461" s="149"/>
      <c r="AM461" s="149"/>
      <c r="AN461" s="149"/>
      <c r="AO461" s="149"/>
      <c r="AP461" s="149"/>
    </row>
    <row r="462" spans="2:42">
      <c r="B462" s="221">
        <v>18</v>
      </c>
      <c r="C462" s="54" t="s">
        <v>126</v>
      </c>
      <c r="D462" s="223">
        <v>23.135378070997</v>
      </c>
      <c r="E462" s="344">
        <v>0.33264403602593501</v>
      </c>
      <c r="F462" s="179">
        <v>23.89</v>
      </c>
      <c r="G462" s="179">
        <v>21.11</v>
      </c>
      <c r="H462" s="223">
        <v>20.2655406954662</v>
      </c>
      <c r="I462" s="297">
        <v>0.22402349041389774</v>
      </c>
      <c r="J462" s="149"/>
      <c r="K462" s="149"/>
      <c r="L462" s="149"/>
      <c r="M462" s="149"/>
      <c r="N462" s="149"/>
      <c r="O462" s="149"/>
      <c r="P462" s="149"/>
      <c r="Q462" s="149"/>
      <c r="R462" s="149"/>
      <c r="S462" s="149"/>
      <c r="T462" s="149"/>
      <c r="U462" s="149"/>
      <c r="V462" s="149"/>
      <c r="W462" s="149"/>
      <c r="X462" s="149"/>
      <c r="Y462" s="149"/>
      <c r="Z462" s="149"/>
      <c r="AA462" s="149"/>
      <c r="AB462" s="580">
        <f>HLOOKUP("*"&amp;'Output annual'!$AC$2&amp;'Output annual'!$AD$2&amp;"*Zone People Number Of Occupants [](Hourly)",'Eplus results'!$1:$1048576,ROW(),FALSE)</f>
        <v>0</v>
      </c>
      <c r="AC462" s="580">
        <f>HLOOKUP("*"&amp;'Output annual'!$AC$2&amp;'Output annual'!$AD$2&amp;"*FangerPMV(Hourly)",'Eplus results'!$1:$1048576,ROW(),FALSE)</f>
        <v>0</v>
      </c>
      <c r="AD462" s="580">
        <f t="shared" si="71"/>
        <v>5</v>
      </c>
      <c r="AE462" s="580">
        <f t="shared" si="72"/>
        <v>2.5</v>
      </c>
      <c r="AF462" s="580">
        <f t="shared" si="73"/>
        <v>2.5</v>
      </c>
      <c r="AG462" s="580">
        <f t="shared" si="74"/>
        <v>0</v>
      </c>
      <c r="AH462" s="580">
        <f t="shared" si="75"/>
        <v>0</v>
      </c>
      <c r="AI462" s="149"/>
      <c r="AJ462" s="149"/>
      <c r="AK462" s="149"/>
      <c r="AL462" s="149"/>
      <c r="AM462" s="149"/>
      <c r="AN462" s="149"/>
      <c r="AO462" s="149"/>
      <c r="AP462" s="149"/>
    </row>
    <row r="463" spans="2:42">
      <c r="B463" s="221">
        <v>19</v>
      </c>
      <c r="C463" s="54" t="s">
        <v>127</v>
      </c>
      <c r="D463" s="223">
        <v>21.809779854992001</v>
      </c>
      <c r="E463" s="344">
        <v>0.33183981472282698</v>
      </c>
      <c r="F463" s="179">
        <v>23.89</v>
      </c>
      <c r="G463" s="179">
        <v>21.11</v>
      </c>
      <c r="H463" s="223">
        <v>21.2235010305731</v>
      </c>
      <c r="I463" s="297">
        <v>0.25972067214695455</v>
      </c>
      <c r="J463" s="149"/>
      <c r="K463" s="149"/>
      <c r="L463" s="149"/>
      <c r="M463" s="149"/>
      <c r="N463" s="149"/>
      <c r="O463" s="149"/>
      <c r="P463" s="149"/>
      <c r="Q463" s="149"/>
      <c r="R463" s="149"/>
      <c r="S463" s="149"/>
      <c r="T463" s="149"/>
      <c r="U463" s="149"/>
      <c r="V463" s="149"/>
      <c r="W463" s="149"/>
      <c r="X463" s="149"/>
      <c r="Y463" s="149"/>
      <c r="Z463" s="149"/>
      <c r="AA463" s="149"/>
      <c r="AB463" s="580">
        <f>HLOOKUP("*"&amp;'Output annual'!$AC$2&amp;'Output annual'!$AD$2&amp;"*Zone People Number Of Occupants [](Hourly)",'Eplus results'!$1:$1048576,ROW(),FALSE)</f>
        <v>0</v>
      </c>
      <c r="AC463" s="580">
        <f>HLOOKUP("*"&amp;'Output annual'!$AC$2&amp;'Output annual'!$AD$2&amp;"*FangerPMV(Hourly)",'Eplus results'!$1:$1048576,ROW(),FALSE)</f>
        <v>0</v>
      </c>
      <c r="AD463" s="580">
        <f t="shared" si="71"/>
        <v>5</v>
      </c>
      <c r="AE463" s="580">
        <f t="shared" si="72"/>
        <v>2.5</v>
      </c>
      <c r="AF463" s="580">
        <f t="shared" si="73"/>
        <v>2.5</v>
      </c>
      <c r="AG463" s="580">
        <f t="shared" si="74"/>
        <v>0</v>
      </c>
      <c r="AH463" s="580">
        <f t="shared" si="75"/>
        <v>0</v>
      </c>
      <c r="AI463" s="149"/>
      <c r="AJ463" s="149"/>
      <c r="AK463" s="149"/>
      <c r="AL463" s="149"/>
      <c r="AM463" s="149"/>
      <c r="AN463" s="149"/>
      <c r="AO463" s="149"/>
      <c r="AP463" s="149"/>
    </row>
    <row r="464" spans="2:42">
      <c r="B464" s="221">
        <v>20</v>
      </c>
      <c r="C464" s="54" t="s">
        <v>128</v>
      </c>
      <c r="D464" s="223">
        <v>22.8114040707706</v>
      </c>
      <c r="E464" s="344">
        <v>0</v>
      </c>
      <c r="F464" s="179">
        <v>32.22</v>
      </c>
      <c r="G464" s="179">
        <v>12.78</v>
      </c>
      <c r="H464" s="223">
        <v>21.226967928925099</v>
      </c>
      <c r="I464" s="297">
        <v>0</v>
      </c>
      <c r="J464" s="149"/>
      <c r="K464" s="149"/>
      <c r="L464" s="149"/>
      <c r="M464" s="149"/>
      <c r="N464" s="149"/>
      <c r="O464" s="149"/>
      <c r="P464" s="149"/>
      <c r="Q464" s="149"/>
      <c r="R464" s="149"/>
      <c r="S464" s="149"/>
      <c r="T464" s="149"/>
      <c r="U464" s="149"/>
      <c r="V464" s="149"/>
      <c r="W464" s="149"/>
      <c r="X464" s="149"/>
      <c r="Y464" s="149"/>
      <c r="Z464" s="149"/>
      <c r="AA464" s="149"/>
      <c r="AB464" s="580">
        <f>HLOOKUP("*"&amp;'Output annual'!$AC$2&amp;'Output annual'!$AD$2&amp;"*Zone People Number Of Occupants [](Hourly)",'Eplus results'!$1:$1048576,ROW(),FALSE)</f>
        <v>0</v>
      </c>
      <c r="AC464" s="580">
        <f>HLOOKUP("*"&amp;'Output annual'!$AC$2&amp;'Output annual'!$AD$2&amp;"*FangerPMV(Hourly)",'Eplus results'!$1:$1048576,ROW(),FALSE)</f>
        <v>0</v>
      </c>
      <c r="AD464" s="580">
        <f t="shared" si="71"/>
        <v>5</v>
      </c>
      <c r="AE464" s="580">
        <f t="shared" si="72"/>
        <v>2.5</v>
      </c>
      <c r="AF464" s="580">
        <f t="shared" si="73"/>
        <v>2.5</v>
      </c>
      <c r="AG464" s="580">
        <f t="shared" si="74"/>
        <v>0</v>
      </c>
      <c r="AH464" s="580">
        <f t="shared" si="75"/>
        <v>0</v>
      </c>
      <c r="AI464" s="149"/>
      <c r="AJ464" s="149"/>
      <c r="AK464" s="149"/>
      <c r="AL464" s="149"/>
      <c r="AM464" s="149"/>
      <c r="AN464" s="149"/>
      <c r="AO464" s="149"/>
      <c r="AP464" s="149"/>
    </row>
    <row r="465" spans="2:42">
      <c r="B465" s="221">
        <v>21</v>
      </c>
      <c r="C465" s="54" t="s">
        <v>129</v>
      </c>
      <c r="D465" s="223">
        <v>21.9821420466055</v>
      </c>
      <c r="E465" s="344">
        <v>0</v>
      </c>
      <c r="F465" s="179">
        <v>32.22</v>
      </c>
      <c r="G465" s="179">
        <v>12.78</v>
      </c>
      <c r="H465" s="223">
        <v>22.412722763684801</v>
      </c>
      <c r="I465" s="297">
        <v>0</v>
      </c>
      <c r="J465" s="149"/>
      <c r="K465" s="149"/>
      <c r="L465" s="149"/>
      <c r="M465" s="149"/>
      <c r="N465" s="149"/>
      <c r="O465" s="149"/>
      <c r="P465" s="149"/>
      <c r="Q465" s="149"/>
      <c r="R465" s="149"/>
      <c r="S465" s="149"/>
      <c r="T465" s="149"/>
      <c r="U465" s="149"/>
      <c r="V465" s="149"/>
      <c r="W465" s="149"/>
      <c r="X465" s="149"/>
      <c r="Y465" s="149"/>
      <c r="Z465" s="149"/>
      <c r="AA465" s="149"/>
      <c r="AB465" s="580">
        <f>HLOOKUP("*"&amp;'Output annual'!$AC$2&amp;'Output annual'!$AD$2&amp;"*Zone People Number Of Occupants [](Hourly)",'Eplus results'!$1:$1048576,ROW(),FALSE)</f>
        <v>0</v>
      </c>
      <c r="AC465" s="580">
        <f>HLOOKUP("*"&amp;'Output annual'!$AC$2&amp;'Output annual'!$AD$2&amp;"*FangerPMV(Hourly)",'Eplus results'!$1:$1048576,ROW(),FALSE)</f>
        <v>0</v>
      </c>
      <c r="AD465" s="580">
        <f t="shared" si="71"/>
        <v>5</v>
      </c>
      <c r="AE465" s="580">
        <f t="shared" si="72"/>
        <v>2.5</v>
      </c>
      <c r="AF465" s="580">
        <f t="shared" si="73"/>
        <v>2.5</v>
      </c>
      <c r="AG465" s="580">
        <f t="shared" si="74"/>
        <v>0</v>
      </c>
      <c r="AH465" s="580">
        <f t="shared" si="75"/>
        <v>0</v>
      </c>
      <c r="AI465" s="149"/>
      <c r="AJ465" s="149"/>
      <c r="AK465" s="149"/>
      <c r="AL465" s="149"/>
      <c r="AM465" s="149"/>
      <c r="AN465" s="149"/>
      <c r="AO465" s="149"/>
      <c r="AP465" s="149"/>
    </row>
    <row r="466" spans="2:42">
      <c r="B466" s="221">
        <v>22</v>
      </c>
      <c r="C466" s="54" t="s">
        <v>130</v>
      </c>
      <c r="D466" s="223">
        <v>21.2891726718365</v>
      </c>
      <c r="E466" s="344">
        <v>0</v>
      </c>
      <c r="F466" s="179">
        <v>32.22</v>
      </c>
      <c r="G466" s="179">
        <v>12.78</v>
      </c>
      <c r="H466" s="223">
        <v>22.436018172793901</v>
      </c>
      <c r="I466" s="297">
        <v>0</v>
      </c>
      <c r="J466" s="149"/>
      <c r="K466" s="149"/>
      <c r="L466" s="149"/>
      <c r="M466" s="149"/>
      <c r="N466" s="149"/>
      <c r="O466" s="149"/>
      <c r="P466" s="149"/>
      <c r="Q466" s="149"/>
      <c r="R466" s="149"/>
      <c r="S466" s="149"/>
      <c r="T466" s="149"/>
      <c r="U466" s="149"/>
      <c r="V466" s="149"/>
      <c r="W466" s="149"/>
      <c r="X466" s="149"/>
      <c r="Y466" s="149"/>
      <c r="Z466" s="149"/>
      <c r="AA466" s="149"/>
      <c r="AB466" s="580">
        <f>HLOOKUP("*"&amp;'Output annual'!$AC$2&amp;'Output annual'!$AD$2&amp;"*Zone People Number Of Occupants [](Hourly)",'Eplus results'!$1:$1048576,ROW(),FALSE)</f>
        <v>0</v>
      </c>
      <c r="AC466" s="580">
        <f>HLOOKUP("*"&amp;'Output annual'!$AC$2&amp;'Output annual'!$AD$2&amp;"*FangerPMV(Hourly)",'Eplus results'!$1:$1048576,ROW(),FALSE)</f>
        <v>0</v>
      </c>
      <c r="AD466" s="580">
        <f t="shared" si="71"/>
        <v>5</v>
      </c>
      <c r="AE466" s="580">
        <f t="shared" si="72"/>
        <v>2.5</v>
      </c>
      <c r="AF466" s="580">
        <f t="shared" si="73"/>
        <v>2.5</v>
      </c>
      <c r="AG466" s="580">
        <f t="shared" si="74"/>
        <v>0</v>
      </c>
      <c r="AH466" s="580">
        <f t="shared" si="75"/>
        <v>0</v>
      </c>
      <c r="AI466" s="149"/>
      <c r="AJ466" s="149"/>
      <c r="AK466" s="149"/>
      <c r="AL466" s="149"/>
      <c r="AM466" s="149"/>
      <c r="AN466" s="149"/>
      <c r="AO466" s="149"/>
      <c r="AP466" s="149"/>
    </row>
    <row r="467" spans="2:42">
      <c r="B467" s="221">
        <v>23</v>
      </c>
      <c r="C467" s="54" t="s">
        <v>387</v>
      </c>
      <c r="D467" s="223">
        <v>20.634394652006002</v>
      </c>
      <c r="E467" s="344">
        <v>0</v>
      </c>
      <c r="F467" s="179">
        <v>32.22</v>
      </c>
      <c r="G467" s="179">
        <v>12.78</v>
      </c>
      <c r="H467" s="223">
        <v>22.353891992235301</v>
      </c>
      <c r="I467" s="297">
        <v>0</v>
      </c>
      <c r="J467" s="149"/>
      <c r="K467" s="149"/>
      <c r="L467" s="149"/>
      <c r="M467" s="149"/>
      <c r="N467" s="149"/>
      <c r="O467" s="149"/>
      <c r="P467" s="149"/>
      <c r="Q467" s="149"/>
      <c r="R467" s="149"/>
      <c r="S467" s="149"/>
      <c r="T467" s="149"/>
      <c r="U467" s="149"/>
      <c r="V467" s="149"/>
      <c r="W467" s="149"/>
      <c r="X467" s="149"/>
      <c r="Y467" s="149"/>
      <c r="Z467" s="149"/>
      <c r="AA467" s="149"/>
      <c r="AB467" s="580">
        <f>HLOOKUP("*"&amp;'Output annual'!$AC$2&amp;'Output annual'!$AD$2&amp;"*Zone People Number Of Occupants [](Hourly)",'Eplus results'!$1:$1048576,ROW(),FALSE)</f>
        <v>0</v>
      </c>
      <c r="AC467" s="580">
        <f>HLOOKUP("*"&amp;'Output annual'!$AC$2&amp;'Output annual'!$AD$2&amp;"*FangerPMV(Hourly)",'Eplus results'!$1:$1048576,ROW(),FALSE)</f>
        <v>0</v>
      </c>
      <c r="AD467" s="580">
        <f t="shared" si="71"/>
        <v>5</v>
      </c>
      <c r="AE467" s="580">
        <f t="shared" si="72"/>
        <v>2.5</v>
      </c>
      <c r="AF467" s="580">
        <f t="shared" si="73"/>
        <v>2.5</v>
      </c>
      <c r="AG467" s="580">
        <f t="shared" si="74"/>
        <v>0</v>
      </c>
      <c r="AH467" s="580">
        <f t="shared" si="75"/>
        <v>0</v>
      </c>
      <c r="AI467" s="149"/>
      <c r="AJ467" s="149"/>
      <c r="AK467" s="149"/>
      <c r="AL467" s="149"/>
      <c r="AM467" s="149"/>
      <c r="AN467" s="149"/>
      <c r="AO467" s="149"/>
      <c r="AP467" s="149"/>
    </row>
    <row r="468" spans="2:42">
      <c r="B468" s="221">
        <v>24</v>
      </c>
      <c r="C468" s="54" t="s">
        <v>388</v>
      </c>
      <c r="D468" s="223">
        <v>20.0084521957696</v>
      </c>
      <c r="E468" s="344">
        <v>0</v>
      </c>
      <c r="F468" s="179">
        <v>32.22</v>
      </c>
      <c r="G468" s="179">
        <v>12.78</v>
      </c>
      <c r="H468" s="223">
        <v>22.224681008409199</v>
      </c>
      <c r="I468" s="297">
        <v>0</v>
      </c>
      <c r="J468" s="149"/>
      <c r="K468" s="149"/>
      <c r="L468" s="149"/>
      <c r="M468" s="149"/>
      <c r="N468" s="149"/>
      <c r="O468" s="149"/>
      <c r="P468" s="149"/>
      <c r="Q468" s="149"/>
      <c r="R468" s="149"/>
      <c r="S468" s="149"/>
      <c r="T468" s="149"/>
      <c r="U468" s="149"/>
      <c r="V468" s="149"/>
      <c r="W468" s="149"/>
      <c r="X468" s="149"/>
      <c r="Y468" s="149"/>
      <c r="Z468" s="149"/>
      <c r="AA468" s="149"/>
      <c r="AB468" s="580">
        <f>HLOOKUP("*"&amp;'Output annual'!$AC$2&amp;'Output annual'!$AD$2&amp;"*Zone People Number Of Occupants [](Hourly)",'Eplus results'!$1:$1048576,ROW(),FALSE)</f>
        <v>0</v>
      </c>
      <c r="AC468" s="580">
        <f>HLOOKUP("*"&amp;'Output annual'!$AC$2&amp;'Output annual'!$AD$2&amp;"*FangerPMV(Hourly)",'Eplus results'!$1:$1048576,ROW(),FALSE)</f>
        <v>0</v>
      </c>
      <c r="AD468" s="580">
        <f t="shared" si="71"/>
        <v>5</v>
      </c>
      <c r="AE468" s="580">
        <f t="shared" si="72"/>
        <v>2.5</v>
      </c>
      <c r="AF468" s="580">
        <f t="shared" si="73"/>
        <v>2.5</v>
      </c>
      <c r="AG468" s="580">
        <f t="shared" si="74"/>
        <v>0</v>
      </c>
      <c r="AH468" s="580">
        <f t="shared" si="75"/>
        <v>0</v>
      </c>
      <c r="AI468" s="149"/>
      <c r="AJ468" s="149"/>
      <c r="AK468" s="149"/>
      <c r="AL468" s="149"/>
      <c r="AM468" s="149"/>
      <c r="AN468" s="149"/>
      <c r="AO468" s="149"/>
      <c r="AP468" s="149"/>
    </row>
    <row r="469" spans="2:42">
      <c r="B469" s="221">
        <v>25</v>
      </c>
      <c r="C469" s="54" t="s">
        <v>389</v>
      </c>
      <c r="D469" s="223">
        <v>19.4078268593275</v>
      </c>
      <c r="E469" s="344">
        <v>0</v>
      </c>
      <c r="F469" s="179">
        <v>32.22</v>
      </c>
      <c r="G469" s="179">
        <v>12.78</v>
      </c>
      <c r="H469" s="223">
        <v>22.066242013157002</v>
      </c>
      <c r="I469" s="297">
        <v>0</v>
      </c>
      <c r="J469" s="149"/>
      <c r="K469" s="149"/>
      <c r="L469" s="149"/>
      <c r="M469" s="149"/>
      <c r="N469" s="149"/>
      <c r="O469" s="149"/>
      <c r="P469" s="149"/>
      <c r="Q469" s="149"/>
      <c r="R469" s="149"/>
      <c r="S469" s="149"/>
      <c r="T469" s="149"/>
      <c r="U469" s="149"/>
      <c r="V469" s="149"/>
      <c r="W469" s="149"/>
      <c r="X469" s="149"/>
      <c r="Y469" s="149"/>
      <c r="Z469" s="149"/>
      <c r="AA469" s="149"/>
      <c r="AB469" s="580">
        <f>HLOOKUP("*"&amp;'Output annual'!$AC$2&amp;'Output annual'!$AD$2&amp;"*Zone People Number Of Occupants [](Hourly)",'Eplus results'!$1:$1048576,ROW(),FALSE)</f>
        <v>0</v>
      </c>
      <c r="AC469" s="580">
        <f>HLOOKUP("*"&amp;'Output annual'!$AC$2&amp;'Output annual'!$AD$2&amp;"*FangerPMV(Hourly)",'Eplus results'!$1:$1048576,ROW(),FALSE)</f>
        <v>0</v>
      </c>
      <c r="AD469" s="580">
        <f t="shared" si="71"/>
        <v>5</v>
      </c>
      <c r="AE469" s="580">
        <f t="shared" si="72"/>
        <v>2.5</v>
      </c>
      <c r="AF469" s="580">
        <f t="shared" si="73"/>
        <v>2.5</v>
      </c>
      <c r="AG469" s="580">
        <f t="shared" si="74"/>
        <v>0</v>
      </c>
      <c r="AH469" s="580">
        <f t="shared" si="75"/>
        <v>0</v>
      </c>
      <c r="AI469" s="149"/>
      <c r="AJ469" s="149"/>
      <c r="AK469" s="149"/>
      <c r="AL469" s="149"/>
      <c r="AM469" s="149"/>
      <c r="AN469" s="149"/>
      <c r="AO469" s="149"/>
      <c r="AP469" s="149"/>
    </row>
    <row r="470" spans="2:42">
      <c r="B470" s="221">
        <v>26</v>
      </c>
      <c r="C470" s="54" t="s">
        <v>390</v>
      </c>
      <c r="D470" s="223">
        <v>18.840632544158002</v>
      </c>
      <c r="E470" s="344">
        <v>0</v>
      </c>
      <c r="F470" s="179">
        <v>32.22</v>
      </c>
      <c r="G470" s="179">
        <v>12.78</v>
      </c>
      <c r="H470" s="223">
        <v>21.883693731166399</v>
      </c>
      <c r="I470" s="297">
        <v>0</v>
      </c>
      <c r="J470" s="149"/>
      <c r="K470" s="149"/>
      <c r="L470" s="149"/>
      <c r="M470" s="149"/>
      <c r="N470" s="149"/>
      <c r="O470" s="149"/>
      <c r="P470" s="149"/>
      <c r="Q470" s="149"/>
      <c r="R470" s="149"/>
      <c r="S470" s="149"/>
      <c r="T470" s="149"/>
      <c r="U470" s="149"/>
      <c r="V470" s="149"/>
      <c r="W470" s="149"/>
      <c r="X470" s="149"/>
      <c r="Y470" s="149"/>
      <c r="Z470" s="149"/>
      <c r="AA470" s="149"/>
      <c r="AB470" s="580">
        <f>HLOOKUP("*"&amp;'Output annual'!$AC$2&amp;'Output annual'!$AD$2&amp;"*Zone People Number Of Occupants [](Hourly)",'Eplus results'!$1:$1048576,ROW(),FALSE)</f>
        <v>0</v>
      </c>
      <c r="AC470" s="580">
        <f>HLOOKUP("*"&amp;'Output annual'!$AC$2&amp;'Output annual'!$AD$2&amp;"*FangerPMV(Hourly)",'Eplus results'!$1:$1048576,ROW(),FALSE)</f>
        <v>0</v>
      </c>
      <c r="AD470" s="580">
        <f t="shared" si="71"/>
        <v>5</v>
      </c>
      <c r="AE470" s="580">
        <f t="shared" si="72"/>
        <v>2.5</v>
      </c>
      <c r="AF470" s="580">
        <f t="shared" si="73"/>
        <v>2.5</v>
      </c>
      <c r="AG470" s="580">
        <f t="shared" si="74"/>
        <v>0</v>
      </c>
      <c r="AH470" s="580">
        <f t="shared" si="75"/>
        <v>0</v>
      </c>
      <c r="AI470" s="149"/>
      <c r="AJ470" s="149"/>
      <c r="AK470" s="149"/>
      <c r="AL470" s="149"/>
      <c r="AM470" s="149"/>
      <c r="AN470" s="149"/>
      <c r="AO470" s="149"/>
      <c r="AP470" s="149"/>
    </row>
    <row r="471" spans="2:42">
      <c r="B471" s="221">
        <v>27</v>
      </c>
      <c r="C471" s="54" t="s">
        <v>391</v>
      </c>
      <c r="D471" s="223">
        <v>18.304093859207299</v>
      </c>
      <c r="E471" s="344">
        <v>0</v>
      </c>
      <c r="F471" s="179">
        <v>32.22</v>
      </c>
      <c r="G471" s="179">
        <v>12.78</v>
      </c>
      <c r="H471" s="223">
        <v>21.682528036000502</v>
      </c>
      <c r="I471" s="297">
        <v>0</v>
      </c>
      <c r="J471" s="149"/>
      <c r="K471" s="149"/>
      <c r="L471" s="149"/>
      <c r="M471" s="149"/>
      <c r="N471" s="149"/>
      <c r="O471" s="149"/>
      <c r="P471" s="149"/>
      <c r="Q471" s="149"/>
      <c r="R471" s="149"/>
      <c r="S471" s="149"/>
      <c r="T471" s="149"/>
      <c r="U471" s="149"/>
      <c r="V471" s="149"/>
      <c r="W471" s="149"/>
      <c r="X471" s="149"/>
      <c r="Y471" s="149"/>
      <c r="Z471" s="149"/>
      <c r="AA471" s="149"/>
      <c r="AB471" s="580">
        <f>HLOOKUP("*"&amp;'Output annual'!$AC$2&amp;'Output annual'!$AD$2&amp;"*Zone People Number Of Occupants [](Hourly)",'Eplus results'!$1:$1048576,ROW(),FALSE)</f>
        <v>0</v>
      </c>
      <c r="AC471" s="580">
        <f>HLOOKUP("*"&amp;'Output annual'!$AC$2&amp;'Output annual'!$AD$2&amp;"*FangerPMV(Hourly)",'Eplus results'!$1:$1048576,ROW(),FALSE)</f>
        <v>0</v>
      </c>
      <c r="AD471" s="580">
        <f t="shared" si="71"/>
        <v>5</v>
      </c>
      <c r="AE471" s="580">
        <f t="shared" si="72"/>
        <v>2.5</v>
      </c>
      <c r="AF471" s="580">
        <f t="shared" si="73"/>
        <v>2.5</v>
      </c>
      <c r="AG471" s="580">
        <f t="shared" si="74"/>
        <v>0</v>
      </c>
      <c r="AH471" s="580">
        <f t="shared" si="75"/>
        <v>0</v>
      </c>
      <c r="AI471" s="149"/>
      <c r="AJ471" s="149"/>
      <c r="AK471" s="149"/>
      <c r="AL471" s="149"/>
      <c r="AM471" s="149"/>
      <c r="AN471" s="149"/>
      <c r="AO471" s="149"/>
      <c r="AP471" s="149"/>
    </row>
    <row r="472" spans="2:42">
      <c r="B472" s="221">
        <v>28</v>
      </c>
      <c r="C472" s="54" t="s">
        <v>392</v>
      </c>
      <c r="D472" s="223">
        <v>17.786208882484601</v>
      </c>
      <c r="E472" s="344">
        <v>0</v>
      </c>
      <c r="F472" s="179">
        <v>32.22</v>
      </c>
      <c r="G472" s="179">
        <v>12.78</v>
      </c>
      <c r="H472" s="223">
        <v>21.466805692979801</v>
      </c>
      <c r="I472" s="297">
        <v>0</v>
      </c>
      <c r="J472" s="149"/>
      <c r="K472" s="149"/>
      <c r="L472" s="149"/>
      <c r="M472" s="149"/>
      <c r="N472" s="149"/>
      <c r="O472" s="149"/>
      <c r="P472" s="149"/>
      <c r="Q472" s="149"/>
      <c r="R472" s="149"/>
      <c r="S472" s="149"/>
      <c r="T472" s="149"/>
      <c r="U472" s="149"/>
      <c r="V472" s="149"/>
      <c r="W472" s="149"/>
      <c r="X472" s="149"/>
      <c r="Y472" s="149"/>
      <c r="Z472" s="149"/>
      <c r="AA472" s="149"/>
      <c r="AB472" s="580">
        <f>HLOOKUP("*"&amp;'Output annual'!$AC$2&amp;'Output annual'!$AD$2&amp;"*Zone People Number Of Occupants [](Hourly)",'Eplus results'!$1:$1048576,ROW(),FALSE)</f>
        <v>0</v>
      </c>
      <c r="AC472" s="580">
        <f>HLOOKUP("*"&amp;'Output annual'!$AC$2&amp;'Output annual'!$AD$2&amp;"*FangerPMV(Hourly)",'Eplus results'!$1:$1048576,ROW(),FALSE)</f>
        <v>0</v>
      </c>
      <c r="AD472" s="580">
        <f t="shared" si="71"/>
        <v>5</v>
      </c>
      <c r="AE472" s="580">
        <f t="shared" si="72"/>
        <v>2.5</v>
      </c>
      <c r="AF472" s="580">
        <f t="shared" si="73"/>
        <v>2.5</v>
      </c>
      <c r="AG472" s="580">
        <f t="shared" si="74"/>
        <v>0</v>
      </c>
      <c r="AH472" s="580">
        <f t="shared" si="75"/>
        <v>0</v>
      </c>
      <c r="AI472" s="149"/>
      <c r="AJ472" s="149"/>
      <c r="AK472" s="149"/>
      <c r="AL472" s="149"/>
      <c r="AM472" s="149"/>
      <c r="AN472" s="149"/>
      <c r="AO472" s="149"/>
      <c r="AP472" s="149"/>
    </row>
    <row r="473" spans="2:42">
      <c r="B473" s="221">
        <v>29</v>
      </c>
      <c r="C473" s="54" t="s">
        <v>393</v>
      </c>
      <c r="D473" s="223">
        <v>17.2976139292558</v>
      </c>
      <c r="E473" s="344">
        <v>0</v>
      </c>
      <c r="F473" s="179">
        <v>32.22</v>
      </c>
      <c r="G473" s="179">
        <v>12.78</v>
      </c>
      <c r="H473" s="223">
        <v>21.2393571454195</v>
      </c>
      <c r="I473" s="297">
        <v>0</v>
      </c>
      <c r="J473" s="149"/>
      <c r="K473" s="149"/>
      <c r="L473" s="149"/>
      <c r="M473" s="149"/>
      <c r="N473" s="149"/>
      <c r="O473" s="149"/>
      <c r="P473" s="149"/>
      <c r="Q473" s="149"/>
      <c r="R473" s="149"/>
      <c r="S473" s="149"/>
      <c r="T473" s="149"/>
      <c r="U473" s="149"/>
      <c r="V473" s="149"/>
      <c r="W473" s="149"/>
      <c r="X473" s="149"/>
      <c r="Y473" s="149"/>
      <c r="Z473" s="149"/>
      <c r="AA473" s="149"/>
      <c r="AB473" s="580">
        <f>HLOOKUP("*"&amp;'Output annual'!$AC$2&amp;'Output annual'!$AD$2&amp;"*Zone People Number Of Occupants [](Hourly)",'Eplus results'!$1:$1048576,ROW(),FALSE)</f>
        <v>0</v>
      </c>
      <c r="AC473" s="580">
        <f>HLOOKUP("*"&amp;'Output annual'!$AC$2&amp;'Output annual'!$AD$2&amp;"*FangerPMV(Hourly)",'Eplus results'!$1:$1048576,ROW(),FALSE)</f>
        <v>0</v>
      </c>
      <c r="AD473" s="580">
        <f t="shared" si="71"/>
        <v>5</v>
      </c>
      <c r="AE473" s="580">
        <f t="shared" si="72"/>
        <v>2.5</v>
      </c>
      <c r="AF473" s="580">
        <f t="shared" si="73"/>
        <v>2.5</v>
      </c>
      <c r="AG473" s="580">
        <f t="shared" si="74"/>
        <v>0</v>
      </c>
      <c r="AH473" s="580">
        <f t="shared" si="75"/>
        <v>0</v>
      </c>
      <c r="AI473" s="149"/>
      <c r="AJ473" s="149"/>
      <c r="AK473" s="149"/>
      <c r="AL473" s="149"/>
      <c r="AM473" s="149"/>
      <c r="AN473" s="149"/>
      <c r="AO473" s="149"/>
      <c r="AP473" s="149"/>
    </row>
    <row r="474" spans="2:42">
      <c r="B474" s="221">
        <v>30</v>
      </c>
      <c r="C474" s="54" t="s">
        <v>394</v>
      </c>
      <c r="D474" s="223">
        <v>17.270501243975801</v>
      </c>
      <c r="E474" s="344">
        <v>0.33183981472282698</v>
      </c>
      <c r="F474" s="179">
        <v>23.89</v>
      </c>
      <c r="G474" s="179">
        <v>21.11</v>
      </c>
      <c r="H474" s="223">
        <v>19.897872788724101</v>
      </c>
      <c r="I474" s="297">
        <v>0</v>
      </c>
      <c r="J474" s="149"/>
      <c r="K474" s="149"/>
      <c r="L474" s="149"/>
      <c r="M474" s="149"/>
      <c r="N474" s="149"/>
      <c r="O474" s="149"/>
      <c r="P474" s="149"/>
      <c r="Q474" s="149"/>
      <c r="R474" s="149"/>
      <c r="S474" s="149"/>
      <c r="T474" s="149"/>
      <c r="U474" s="149"/>
      <c r="V474" s="149"/>
      <c r="W474" s="149"/>
      <c r="X474" s="149"/>
      <c r="Y474" s="149"/>
      <c r="Z474" s="149"/>
      <c r="AA474" s="149"/>
      <c r="AB474" s="580">
        <f>HLOOKUP("*"&amp;'Output annual'!$AC$2&amp;'Output annual'!$AD$2&amp;"*Zone People Number Of Occupants [](Hourly)",'Eplus results'!$1:$1048576,ROW(),FALSE)</f>
        <v>0</v>
      </c>
      <c r="AC474" s="580">
        <f>HLOOKUP("*"&amp;'Output annual'!$AC$2&amp;'Output annual'!$AD$2&amp;"*FangerPMV(Hourly)",'Eplus results'!$1:$1048576,ROW(),FALSE)</f>
        <v>0</v>
      </c>
      <c r="AD474" s="580">
        <f t="shared" si="71"/>
        <v>5</v>
      </c>
      <c r="AE474" s="580">
        <f t="shared" si="72"/>
        <v>2.5</v>
      </c>
      <c r="AF474" s="580">
        <f t="shared" si="73"/>
        <v>2.5</v>
      </c>
      <c r="AG474" s="580">
        <f t="shared" si="74"/>
        <v>0</v>
      </c>
      <c r="AH474" s="580">
        <f t="shared" si="75"/>
        <v>0</v>
      </c>
      <c r="AI474" s="149"/>
      <c r="AJ474" s="149"/>
      <c r="AK474" s="149"/>
      <c r="AL474" s="149"/>
      <c r="AM474" s="149"/>
      <c r="AN474" s="149"/>
      <c r="AO474" s="149"/>
      <c r="AP474" s="149"/>
    </row>
    <row r="475" spans="2:42">
      <c r="B475" s="221">
        <v>31</v>
      </c>
      <c r="C475" s="54" t="s">
        <v>395</v>
      </c>
      <c r="D475" s="223">
        <v>17.651565150569802</v>
      </c>
      <c r="E475" s="344">
        <v>0.33183981472282698</v>
      </c>
      <c r="F475" s="179">
        <v>23.89</v>
      </c>
      <c r="G475" s="179">
        <v>21.11</v>
      </c>
      <c r="H475" s="223">
        <v>19.3939853145359</v>
      </c>
      <c r="I475" s="297">
        <v>0</v>
      </c>
      <c r="J475" s="149"/>
      <c r="K475" s="149"/>
      <c r="L475" s="149"/>
      <c r="M475" s="149"/>
      <c r="N475" s="149"/>
      <c r="O475" s="149"/>
      <c r="P475" s="149"/>
      <c r="Q475" s="149"/>
      <c r="R475" s="149"/>
      <c r="S475" s="149"/>
      <c r="T475" s="149"/>
      <c r="U475" s="149"/>
      <c r="V475" s="149"/>
      <c r="W475" s="149"/>
      <c r="X475" s="149"/>
      <c r="Y475" s="149"/>
      <c r="Z475" s="149"/>
      <c r="AA475" s="149"/>
      <c r="AB475" s="580">
        <f>HLOOKUP("*"&amp;'Output annual'!$AC$2&amp;'Output annual'!$AD$2&amp;"*Zone People Number Of Occupants [](Hourly)",'Eplus results'!$1:$1048576,ROW(),FALSE)</f>
        <v>0</v>
      </c>
      <c r="AC475" s="580">
        <f>HLOOKUP("*"&amp;'Output annual'!$AC$2&amp;'Output annual'!$AD$2&amp;"*FangerPMV(Hourly)",'Eplus results'!$1:$1048576,ROW(),FALSE)</f>
        <v>0</v>
      </c>
      <c r="AD475" s="580">
        <f t="shared" si="71"/>
        <v>5</v>
      </c>
      <c r="AE475" s="580">
        <f t="shared" si="72"/>
        <v>2.5</v>
      </c>
      <c r="AF475" s="580">
        <f t="shared" si="73"/>
        <v>2.5</v>
      </c>
      <c r="AG475" s="580">
        <f t="shared" si="74"/>
        <v>0</v>
      </c>
      <c r="AH475" s="580">
        <f t="shared" si="75"/>
        <v>0</v>
      </c>
      <c r="AI475" s="149"/>
      <c r="AJ475" s="149"/>
      <c r="AK475" s="149"/>
      <c r="AL475" s="149"/>
      <c r="AM475" s="149"/>
      <c r="AN475" s="149"/>
      <c r="AO475" s="149"/>
      <c r="AP475" s="149"/>
    </row>
    <row r="476" spans="2:42">
      <c r="B476" s="221">
        <v>32</v>
      </c>
      <c r="C476" s="54" t="s">
        <v>396</v>
      </c>
      <c r="D476" s="223">
        <v>21.004700268040601</v>
      </c>
      <c r="E476" s="344">
        <v>0.33183981472282698</v>
      </c>
      <c r="F476" s="179">
        <v>23.89</v>
      </c>
      <c r="G476" s="179">
        <v>21.11</v>
      </c>
      <c r="H476" s="223">
        <v>19.2783903041069</v>
      </c>
      <c r="I476" s="297">
        <v>4.5944780611348345E-2</v>
      </c>
      <c r="J476" s="149"/>
      <c r="K476" s="149"/>
      <c r="L476" s="149"/>
      <c r="M476" s="149"/>
      <c r="N476" s="149"/>
      <c r="O476" s="149"/>
      <c r="P476" s="149"/>
      <c r="Q476" s="149"/>
      <c r="R476" s="149"/>
      <c r="S476" s="149"/>
      <c r="T476" s="149"/>
      <c r="U476" s="149"/>
      <c r="V476" s="149"/>
      <c r="W476" s="149"/>
      <c r="X476" s="149"/>
      <c r="Y476" s="149"/>
      <c r="Z476" s="149"/>
      <c r="AA476" s="149"/>
      <c r="AB476" s="580">
        <f>HLOOKUP("*"&amp;'Output annual'!$AC$2&amp;'Output annual'!$AD$2&amp;"*Zone People Number Of Occupants [](Hourly)",'Eplus results'!$1:$1048576,ROW(),FALSE)</f>
        <v>0</v>
      </c>
      <c r="AC476" s="580">
        <f>HLOOKUP("*"&amp;'Output annual'!$AC$2&amp;'Output annual'!$AD$2&amp;"*FangerPMV(Hourly)",'Eplus results'!$1:$1048576,ROW(),FALSE)</f>
        <v>0</v>
      </c>
      <c r="AD476" s="580">
        <f t="shared" si="71"/>
        <v>5</v>
      </c>
      <c r="AE476" s="580">
        <f t="shared" si="72"/>
        <v>2.5</v>
      </c>
      <c r="AF476" s="580">
        <f t="shared" si="73"/>
        <v>2.5</v>
      </c>
      <c r="AG476" s="580">
        <f t="shared" si="74"/>
        <v>0</v>
      </c>
      <c r="AH476" s="580">
        <f t="shared" si="75"/>
        <v>0</v>
      </c>
      <c r="AI476" s="149"/>
      <c r="AJ476" s="149"/>
      <c r="AK476" s="149"/>
      <c r="AL476" s="149"/>
      <c r="AM476" s="149"/>
      <c r="AN476" s="149"/>
      <c r="AO476" s="149"/>
      <c r="AP476" s="149"/>
    </row>
    <row r="477" spans="2:42">
      <c r="B477" s="221">
        <v>33</v>
      </c>
      <c r="C477" s="54" t="s">
        <v>32</v>
      </c>
      <c r="D477" s="223">
        <v>22.367155094818401</v>
      </c>
      <c r="E477" s="344">
        <v>0.33183981472282698</v>
      </c>
      <c r="F477" s="179">
        <v>23.89</v>
      </c>
      <c r="G477" s="179">
        <v>21.11</v>
      </c>
      <c r="H477" s="223">
        <v>19.283976508271699</v>
      </c>
      <c r="I477" s="297">
        <v>8.8092095058555808E-2</v>
      </c>
      <c r="J477" s="149"/>
      <c r="K477" s="149"/>
      <c r="L477" s="149"/>
      <c r="M477" s="149"/>
      <c r="N477" s="149"/>
      <c r="O477" s="149"/>
      <c r="P477" s="149"/>
      <c r="Q477" s="149"/>
      <c r="R477" s="149"/>
      <c r="S477" s="149"/>
      <c r="T477" s="149"/>
      <c r="U477" s="149"/>
      <c r="V477" s="149"/>
      <c r="W477" s="149"/>
      <c r="X477" s="149"/>
      <c r="Y477" s="149"/>
      <c r="Z477" s="149"/>
      <c r="AA477" s="149"/>
      <c r="AB477" s="580">
        <f>HLOOKUP("*"&amp;'Output annual'!$AC$2&amp;'Output annual'!$AD$2&amp;"*Zone People Number Of Occupants [](Hourly)",'Eplus results'!$1:$1048576,ROW(),FALSE)</f>
        <v>0</v>
      </c>
      <c r="AC477" s="580">
        <f>HLOOKUP("*"&amp;'Output annual'!$AC$2&amp;'Output annual'!$AD$2&amp;"*FangerPMV(Hourly)",'Eplus results'!$1:$1048576,ROW(),FALSE)</f>
        <v>0</v>
      </c>
      <c r="AD477" s="580">
        <f t="shared" si="71"/>
        <v>5</v>
      </c>
      <c r="AE477" s="580">
        <f t="shared" si="72"/>
        <v>2.5</v>
      </c>
      <c r="AF477" s="580">
        <f t="shared" si="73"/>
        <v>2.5</v>
      </c>
      <c r="AG477" s="580">
        <f t="shared" si="74"/>
        <v>0</v>
      </c>
      <c r="AH477" s="580">
        <f t="shared" si="75"/>
        <v>0</v>
      </c>
      <c r="AI477" s="149"/>
      <c r="AJ477" s="149"/>
      <c r="AK477" s="149"/>
      <c r="AL477" s="149"/>
      <c r="AM477" s="149"/>
      <c r="AN477" s="149"/>
      <c r="AO477" s="149"/>
      <c r="AP477" s="149"/>
    </row>
    <row r="478" spans="2:42">
      <c r="B478" s="221">
        <v>34</v>
      </c>
      <c r="C478" s="54" t="s">
        <v>33</v>
      </c>
      <c r="D478" s="223">
        <v>23.753760606362299</v>
      </c>
      <c r="E478" s="344">
        <v>0.608690387683404</v>
      </c>
      <c r="F478" s="179">
        <v>23.89</v>
      </c>
      <c r="G478" s="179">
        <v>21.11</v>
      </c>
      <c r="H478" s="223">
        <v>18.590158446683098</v>
      </c>
      <c r="I478" s="297">
        <v>0.19321215826818722</v>
      </c>
      <c r="J478" s="149"/>
      <c r="K478" s="149"/>
      <c r="L478" s="149"/>
      <c r="M478" s="149"/>
      <c r="N478" s="149"/>
      <c r="O478" s="149"/>
      <c r="P478" s="149"/>
      <c r="Q478" s="149"/>
      <c r="R478" s="149"/>
      <c r="S478" s="149"/>
      <c r="T478" s="149"/>
      <c r="U478" s="149"/>
      <c r="V478" s="149"/>
      <c r="W478" s="149"/>
      <c r="X478" s="149"/>
      <c r="Y478" s="149"/>
      <c r="Z478" s="149"/>
      <c r="AA478" s="149"/>
      <c r="AB478" s="580">
        <f>HLOOKUP("*"&amp;'Output annual'!$AC$2&amp;'Output annual'!$AD$2&amp;"*Zone People Number Of Occupants [](Hourly)",'Eplus results'!$1:$1048576,ROW(),FALSE)</f>
        <v>0</v>
      </c>
      <c r="AC478" s="580">
        <f>HLOOKUP("*"&amp;'Output annual'!$AC$2&amp;'Output annual'!$AD$2&amp;"*FangerPMV(Hourly)",'Eplus results'!$1:$1048576,ROW(),FALSE)</f>
        <v>0</v>
      </c>
      <c r="AD478" s="580">
        <f t="shared" si="71"/>
        <v>5</v>
      </c>
      <c r="AE478" s="580">
        <f t="shared" si="72"/>
        <v>2.5</v>
      </c>
      <c r="AF478" s="580">
        <f t="shared" si="73"/>
        <v>2.5</v>
      </c>
      <c r="AG478" s="580">
        <f t="shared" si="74"/>
        <v>0</v>
      </c>
      <c r="AH478" s="580">
        <f t="shared" si="75"/>
        <v>0</v>
      </c>
      <c r="AI478" s="149"/>
      <c r="AJ478" s="149"/>
      <c r="AK478" s="149"/>
      <c r="AL478" s="149"/>
      <c r="AM478" s="149"/>
      <c r="AN478" s="149"/>
      <c r="AO478" s="149"/>
      <c r="AP478" s="149"/>
    </row>
    <row r="479" spans="2:42">
      <c r="B479" s="221">
        <v>35</v>
      </c>
      <c r="C479" s="54" t="s">
        <v>34</v>
      </c>
      <c r="D479" s="223">
        <v>24.3111886080647</v>
      </c>
      <c r="E479" s="344">
        <v>1.1504586944123301</v>
      </c>
      <c r="F479" s="179">
        <v>23.89</v>
      </c>
      <c r="G479" s="179">
        <v>21.11</v>
      </c>
      <c r="H479" s="223">
        <v>18.333492332360802</v>
      </c>
      <c r="I479" s="297">
        <v>0.3585999480634452</v>
      </c>
      <c r="J479" s="149"/>
      <c r="K479" s="149"/>
      <c r="L479" s="149"/>
      <c r="M479" s="149"/>
      <c r="N479" s="149"/>
      <c r="O479" s="149"/>
      <c r="P479" s="149"/>
      <c r="Q479" s="149"/>
      <c r="R479" s="149"/>
      <c r="S479" s="149"/>
      <c r="T479" s="149"/>
      <c r="U479" s="149"/>
      <c r="V479" s="149"/>
      <c r="W479" s="149"/>
      <c r="X479" s="149"/>
      <c r="Y479" s="149"/>
      <c r="Z479" s="149"/>
      <c r="AA479" s="149"/>
      <c r="AB479" s="580">
        <f>HLOOKUP("*"&amp;'Output annual'!$AC$2&amp;'Output annual'!$AD$2&amp;"*Zone People Number Of Occupants [](Hourly)",'Eplus results'!$1:$1048576,ROW(),FALSE)</f>
        <v>0</v>
      </c>
      <c r="AC479" s="580">
        <f>HLOOKUP("*"&amp;'Output annual'!$AC$2&amp;'Output annual'!$AD$2&amp;"*FangerPMV(Hourly)",'Eplus results'!$1:$1048576,ROW(),FALSE)</f>
        <v>0</v>
      </c>
      <c r="AD479" s="580">
        <f t="shared" si="71"/>
        <v>5</v>
      </c>
      <c r="AE479" s="580">
        <f t="shared" si="72"/>
        <v>2.5</v>
      </c>
      <c r="AF479" s="580">
        <f t="shared" si="73"/>
        <v>2.5</v>
      </c>
      <c r="AG479" s="580">
        <f t="shared" si="74"/>
        <v>0</v>
      </c>
      <c r="AH479" s="580">
        <f t="shared" si="75"/>
        <v>0</v>
      </c>
      <c r="AI479" s="149"/>
      <c r="AJ479" s="149"/>
      <c r="AK479" s="149"/>
      <c r="AL479" s="149"/>
      <c r="AM479" s="149"/>
      <c r="AN479" s="149"/>
      <c r="AO479" s="149"/>
      <c r="AP479" s="149"/>
    </row>
    <row r="480" spans="2:42">
      <c r="B480" s="221">
        <v>36</v>
      </c>
      <c r="C480" s="54" t="s">
        <v>35</v>
      </c>
      <c r="D480" s="223">
        <v>24.288236874052</v>
      </c>
      <c r="E480" s="344">
        <v>1.6353823665226701</v>
      </c>
      <c r="F480" s="179">
        <v>23.89</v>
      </c>
      <c r="G480" s="179">
        <v>21.11</v>
      </c>
      <c r="H480" s="223">
        <v>18.243814351338699</v>
      </c>
      <c r="I480" s="297">
        <v>0.47608153187187668</v>
      </c>
      <c r="J480" s="149"/>
      <c r="K480" s="149"/>
      <c r="L480" s="149"/>
      <c r="M480" s="149"/>
      <c r="N480" s="149"/>
      <c r="O480" s="149"/>
      <c r="P480" s="149"/>
      <c r="Q480" s="149"/>
      <c r="R480" s="149"/>
      <c r="S480" s="149"/>
      <c r="T480" s="149"/>
      <c r="U480" s="149"/>
      <c r="V480" s="149"/>
      <c r="W480" s="149"/>
      <c r="X480" s="149"/>
      <c r="Y480" s="149"/>
      <c r="Z480" s="149"/>
      <c r="AA480" s="149"/>
      <c r="AB480" s="580">
        <f>HLOOKUP("*"&amp;'Output annual'!$AC$2&amp;'Output annual'!$AD$2&amp;"*Zone People Number Of Occupants [](Hourly)",'Eplus results'!$1:$1048576,ROW(),FALSE)</f>
        <v>0</v>
      </c>
      <c r="AC480" s="580">
        <f>HLOOKUP("*"&amp;'Output annual'!$AC$2&amp;'Output annual'!$AD$2&amp;"*FangerPMV(Hourly)",'Eplus results'!$1:$1048576,ROW(),FALSE)</f>
        <v>0</v>
      </c>
      <c r="AD480" s="580">
        <f t="shared" si="71"/>
        <v>5</v>
      </c>
      <c r="AE480" s="580">
        <f t="shared" si="72"/>
        <v>2.5</v>
      </c>
      <c r="AF480" s="580">
        <f t="shared" si="73"/>
        <v>2.5</v>
      </c>
      <c r="AG480" s="580">
        <f t="shared" si="74"/>
        <v>0</v>
      </c>
      <c r="AH480" s="580">
        <f t="shared" si="75"/>
        <v>0</v>
      </c>
      <c r="AI480" s="149"/>
      <c r="AJ480" s="149"/>
      <c r="AK480" s="149"/>
      <c r="AL480" s="149"/>
      <c r="AM480" s="149"/>
      <c r="AN480" s="149"/>
      <c r="AO480" s="149"/>
      <c r="AP480" s="149"/>
    </row>
    <row r="481" spans="2:42">
      <c r="B481" s="221">
        <v>37</v>
      </c>
      <c r="C481" s="54" t="s">
        <v>36</v>
      </c>
      <c r="D481" s="223">
        <v>24.119936683565399</v>
      </c>
      <c r="E481" s="344">
        <v>2.0475387107691501</v>
      </c>
      <c r="F481" s="179">
        <v>23.89</v>
      </c>
      <c r="G481" s="179">
        <v>21.11</v>
      </c>
      <c r="H481" s="223">
        <v>18.206158505358498</v>
      </c>
      <c r="I481" s="297">
        <v>0.55402927349316877</v>
      </c>
      <c r="J481" s="149"/>
      <c r="K481" s="149"/>
      <c r="L481" s="149"/>
      <c r="M481" s="149"/>
      <c r="N481" s="149"/>
      <c r="O481" s="149"/>
      <c r="P481" s="149"/>
      <c r="Q481" s="149"/>
      <c r="R481" s="149"/>
      <c r="S481" s="149"/>
      <c r="T481" s="149"/>
      <c r="U481" s="149"/>
      <c r="V481" s="149"/>
      <c r="W481" s="149"/>
      <c r="X481" s="149"/>
      <c r="Y481" s="149"/>
      <c r="Z481" s="149"/>
      <c r="AA481" s="149"/>
      <c r="AB481" s="580">
        <f>HLOOKUP("*"&amp;'Output annual'!$AC$2&amp;'Output annual'!$AD$2&amp;"*Zone People Number Of Occupants [](Hourly)",'Eplus results'!$1:$1048576,ROW(),FALSE)</f>
        <v>0</v>
      </c>
      <c r="AC481" s="580">
        <f>HLOOKUP("*"&amp;'Output annual'!$AC$2&amp;'Output annual'!$AD$2&amp;"*FangerPMV(Hourly)",'Eplus results'!$1:$1048576,ROW(),FALSE)</f>
        <v>0</v>
      </c>
      <c r="AD481" s="580">
        <f t="shared" si="71"/>
        <v>5</v>
      </c>
      <c r="AE481" s="580">
        <f t="shared" si="72"/>
        <v>2.5</v>
      </c>
      <c r="AF481" s="580">
        <f t="shared" si="73"/>
        <v>2.5</v>
      </c>
      <c r="AG481" s="580">
        <f t="shared" si="74"/>
        <v>0</v>
      </c>
      <c r="AH481" s="580">
        <f t="shared" si="75"/>
        <v>0</v>
      </c>
      <c r="AI481" s="149"/>
      <c r="AJ481" s="149"/>
      <c r="AK481" s="149"/>
      <c r="AL481" s="149"/>
      <c r="AM481" s="149"/>
      <c r="AN481" s="149"/>
      <c r="AO481" s="149"/>
      <c r="AP481" s="149"/>
    </row>
    <row r="482" spans="2:42">
      <c r="B482" s="221">
        <v>38</v>
      </c>
      <c r="C482" s="54" t="s">
        <v>37</v>
      </c>
      <c r="D482" s="223">
        <v>23.933106696645599</v>
      </c>
      <c r="E482" s="344">
        <v>2.27650735019719</v>
      </c>
      <c r="F482" s="179">
        <v>23.89</v>
      </c>
      <c r="G482" s="179">
        <v>21.11</v>
      </c>
      <c r="H482" s="223">
        <v>18.186944952266298</v>
      </c>
      <c r="I482" s="297">
        <v>0.58139317422916048</v>
      </c>
      <c r="J482" s="149"/>
      <c r="K482" s="149"/>
      <c r="L482" s="149"/>
      <c r="M482" s="149"/>
      <c r="N482" s="149"/>
      <c r="O482" s="149"/>
      <c r="P482" s="149"/>
      <c r="Q482" s="149"/>
      <c r="R482" s="149"/>
      <c r="S482" s="149"/>
      <c r="T482" s="149"/>
      <c r="U482" s="149"/>
      <c r="V482" s="149"/>
      <c r="W482" s="149"/>
      <c r="X482" s="149"/>
      <c r="Y482" s="149"/>
      <c r="Z482" s="149"/>
      <c r="AA482" s="149"/>
      <c r="AB482" s="580">
        <f>HLOOKUP("*"&amp;'Output annual'!$AC$2&amp;'Output annual'!$AD$2&amp;"*Zone People Number Of Occupants [](Hourly)",'Eplus results'!$1:$1048576,ROW(),FALSE)</f>
        <v>0</v>
      </c>
      <c r="AC482" s="580">
        <f>HLOOKUP("*"&amp;'Output annual'!$AC$2&amp;'Output annual'!$AD$2&amp;"*FangerPMV(Hourly)",'Eplus results'!$1:$1048576,ROW(),FALSE)</f>
        <v>0</v>
      </c>
      <c r="AD482" s="580">
        <f t="shared" si="71"/>
        <v>5</v>
      </c>
      <c r="AE482" s="580">
        <f t="shared" si="72"/>
        <v>2.5</v>
      </c>
      <c r="AF482" s="580">
        <f t="shared" si="73"/>
        <v>2.5</v>
      </c>
      <c r="AG482" s="580">
        <f t="shared" si="74"/>
        <v>0</v>
      </c>
      <c r="AH482" s="580">
        <f t="shared" si="75"/>
        <v>0</v>
      </c>
      <c r="AI482" s="149"/>
      <c r="AJ482" s="149"/>
      <c r="AK482" s="149"/>
      <c r="AL482" s="149"/>
      <c r="AM482" s="149"/>
      <c r="AN482" s="149"/>
      <c r="AO482" s="149"/>
      <c r="AP482" s="149"/>
    </row>
    <row r="483" spans="2:42">
      <c r="B483" s="221">
        <v>39</v>
      </c>
      <c r="C483" s="54" t="s">
        <v>38</v>
      </c>
      <c r="D483" s="223">
        <v>23.9129901534439</v>
      </c>
      <c r="E483" s="344">
        <v>2.3501947863750798</v>
      </c>
      <c r="F483" s="179">
        <v>23.89</v>
      </c>
      <c r="G483" s="179">
        <v>21.11</v>
      </c>
      <c r="H483" s="223">
        <v>18.203976523660099</v>
      </c>
      <c r="I483" s="297">
        <v>0.59192758818018298</v>
      </c>
      <c r="J483" s="149"/>
      <c r="K483" s="149"/>
      <c r="L483" s="149"/>
      <c r="M483" s="149"/>
      <c r="N483" s="149"/>
      <c r="O483" s="149"/>
      <c r="P483" s="149"/>
      <c r="Q483" s="149"/>
      <c r="R483" s="149"/>
      <c r="S483" s="149"/>
      <c r="T483" s="149"/>
      <c r="U483" s="149"/>
      <c r="V483" s="149"/>
      <c r="W483" s="149"/>
      <c r="X483" s="149"/>
      <c r="Y483" s="149"/>
      <c r="Z483" s="149"/>
      <c r="AA483" s="149"/>
      <c r="AB483" s="580">
        <f>HLOOKUP("*"&amp;'Output annual'!$AC$2&amp;'Output annual'!$AD$2&amp;"*Zone People Number Of Occupants [](Hourly)",'Eplus results'!$1:$1048576,ROW(),FALSE)</f>
        <v>0</v>
      </c>
      <c r="AC483" s="580">
        <f>HLOOKUP("*"&amp;'Output annual'!$AC$2&amp;'Output annual'!$AD$2&amp;"*FangerPMV(Hourly)",'Eplus results'!$1:$1048576,ROW(),FALSE)</f>
        <v>0</v>
      </c>
      <c r="AD483" s="580">
        <f t="shared" si="71"/>
        <v>5</v>
      </c>
      <c r="AE483" s="580">
        <f t="shared" si="72"/>
        <v>2.5</v>
      </c>
      <c r="AF483" s="580">
        <f t="shared" si="73"/>
        <v>2.5</v>
      </c>
      <c r="AG483" s="580">
        <f t="shared" si="74"/>
        <v>0</v>
      </c>
      <c r="AH483" s="580">
        <f t="shared" si="75"/>
        <v>0</v>
      </c>
      <c r="AI483" s="149"/>
      <c r="AJ483" s="149"/>
      <c r="AK483" s="149"/>
      <c r="AL483" s="149"/>
      <c r="AM483" s="149"/>
      <c r="AN483" s="149"/>
      <c r="AO483" s="149"/>
      <c r="AP483" s="149"/>
    </row>
    <row r="484" spans="2:42">
      <c r="B484" s="221">
        <v>40</v>
      </c>
      <c r="C484" s="54" t="s">
        <v>39</v>
      </c>
      <c r="D484" s="223">
        <v>23.911689094261401</v>
      </c>
      <c r="E484" s="344">
        <v>2.4005374659027501</v>
      </c>
      <c r="F484" s="179">
        <v>23.89</v>
      </c>
      <c r="G484" s="179">
        <v>21.11</v>
      </c>
      <c r="H484" s="223">
        <v>18.2734204024873</v>
      </c>
      <c r="I484" s="297">
        <v>0.5943054789132326</v>
      </c>
      <c r="J484" s="149"/>
      <c r="K484" s="149"/>
      <c r="L484" s="149"/>
      <c r="M484" s="149"/>
      <c r="N484" s="149"/>
      <c r="O484" s="149"/>
      <c r="P484" s="149"/>
      <c r="Q484" s="149"/>
      <c r="R484" s="149"/>
      <c r="S484" s="149"/>
      <c r="T484" s="149"/>
      <c r="U484" s="149"/>
      <c r="V484" s="149"/>
      <c r="W484" s="149"/>
      <c r="X484" s="149"/>
      <c r="Y484" s="149"/>
      <c r="Z484" s="149"/>
      <c r="AA484" s="149"/>
      <c r="AB484" s="580">
        <f>HLOOKUP("*"&amp;'Output annual'!$AC$2&amp;'Output annual'!$AD$2&amp;"*Zone People Number Of Occupants [](Hourly)",'Eplus results'!$1:$1048576,ROW(),FALSE)</f>
        <v>0</v>
      </c>
      <c r="AC484" s="580">
        <f>HLOOKUP("*"&amp;'Output annual'!$AC$2&amp;'Output annual'!$AD$2&amp;"*FangerPMV(Hourly)",'Eplus results'!$1:$1048576,ROW(),FALSE)</f>
        <v>0</v>
      </c>
      <c r="AD484" s="580">
        <f t="shared" si="71"/>
        <v>5</v>
      </c>
      <c r="AE484" s="580">
        <f t="shared" si="72"/>
        <v>2.5</v>
      </c>
      <c r="AF484" s="580">
        <f t="shared" si="73"/>
        <v>2.5</v>
      </c>
      <c r="AG484" s="580">
        <f t="shared" si="74"/>
        <v>0</v>
      </c>
      <c r="AH484" s="580">
        <f t="shared" si="75"/>
        <v>0</v>
      </c>
      <c r="AI484" s="149"/>
      <c r="AJ484" s="149"/>
      <c r="AK484" s="149"/>
      <c r="AL484" s="149"/>
      <c r="AM484" s="149"/>
      <c r="AN484" s="149"/>
      <c r="AO484" s="149"/>
      <c r="AP484" s="149"/>
    </row>
    <row r="485" spans="2:42">
      <c r="B485" s="221">
        <v>41</v>
      </c>
      <c r="C485" s="54" t="s">
        <v>40</v>
      </c>
      <c r="D485" s="223">
        <v>23.9048077047043</v>
      </c>
      <c r="E485" s="344">
        <v>2.3829566236904798</v>
      </c>
      <c r="F485" s="179">
        <v>23.89</v>
      </c>
      <c r="G485" s="179">
        <v>21.11</v>
      </c>
      <c r="H485" s="223">
        <v>18.455685477381799</v>
      </c>
      <c r="I485" s="297">
        <v>0.57313799280838018</v>
      </c>
      <c r="J485" s="149"/>
      <c r="K485" s="149"/>
      <c r="L485" s="149"/>
      <c r="M485" s="149"/>
      <c r="N485" s="149"/>
      <c r="O485" s="149"/>
      <c r="P485" s="149"/>
      <c r="Q485" s="149"/>
      <c r="R485" s="149"/>
      <c r="S485" s="149"/>
      <c r="T485" s="149"/>
      <c r="U485" s="149"/>
      <c r="V485" s="149"/>
      <c r="W485" s="149"/>
      <c r="X485" s="149"/>
      <c r="Y485" s="149"/>
      <c r="Z485" s="149"/>
      <c r="AA485" s="149"/>
      <c r="AB485" s="580">
        <f>HLOOKUP("*"&amp;'Output annual'!$AC$2&amp;'Output annual'!$AD$2&amp;"*Zone People Number Of Occupants [](Hourly)",'Eplus results'!$1:$1048576,ROW(),FALSE)</f>
        <v>0</v>
      </c>
      <c r="AC485" s="580">
        <f>HLOOKUP("*"&amp;'Output annual'!$AC$2&amp;'Output annual'!$AD$2&amp;"*FangerPMV(Hourly)",'Eplus results'!$1:$1048576,ROW(),FALSE)</f>
        <v>0</v>
      </c>
      <c r="AD485" s="580">
        <f t="shared" si="71"/>
        <v>5</v>
      </c>
      <c r="AE485" s="580">
        <f t="shared" si="72"/>
        <v>2.5</v>
      </c>
      <c r="AF485" s="580">
        <f t="shared" si="73"/>
        <v>2.5</v>
      </c>
      <c r="AG485" s="580">
        <f t="shared" si="74"/>
        <v>0</v>
      </c>
      <c r="AH485" s="580">
        <f t="shared" si="75"/>
        <v>0</v>
      </c>
      <c r="AI485" s="149"/>
      <c r="AJ485" s="149"/>
      <c r="AK485" s="149"/>
      <c r="AL485" s="149"/>
      <c r="AM485" s="149"/>
      <c r="AN485" s="149"/>
      <c r="AO485" s="149"/>
      <c r="AP485" s="149"/>
    </row>
    <row r="486" spans="2:42">
      <c r="B486" s="221">
        <v>42</v>
      </c>
      <c r="C486" s="54" t="s">
        <v>41</v>
      </c>
      <c r="D486" s="223">
        <v>23.218762055115601</v>
      </c>
      <c r="E486" s="344">
        <v>0.34336493488410902</v>
      </c>
      <c r="F486" s="179">
        <v>23.89</v>
      </c>
      <c r="G486" s="179">
        <v>21.11</v>
      </c>
      <c r="H486" s="223">
        <v>20.0886483577397</v>
      </c>
      <c r="I486" s="297">
        <v>0.23881937241517115</v>
      </c>
      <c r="J486" s="149"/>
      <c r="K486" s="149"/>
      <c r="L486" s="149"/>
      <c r="M486" s="149"/>
      <c r="N486" s="149"/>
      <c r="O486" s="149"/>
      <c r="P486" s="149"/>
      <c r="Q486" s="149"/>
      <c r="R486" s="149"/>
      <c r="S486" s="149"/>
      <c r="T486" s="149"/>
      <c r="U486" s="149"/>
      <c r="V486" s="149"/>
      <c r="W486" s="149"/>
      <c r="X486" s="149"/>
      <c r="Y486" s="149"/>
      <c r="Z486" s="149"/>
      <c r="AA486" s="149"/>
      <c r="AB486" s="580">
        <f>HLOOKUP("*"&amp;'Output annual'!$AC$2&amp;'Output annual'!$AD$2&amp;"*Zone People Number Of Occupants [](Hourly)",'Eplus results'!$1:$1048576,ROW(),FALSE)</f>
        <v>0</v>
      </c>
      <c r="AC486" s="580">
        <f>HLOOKUP("*"&amp;'Output annual'!$AC$2&amp;'Output annual'!$AD$2&amp;"*FangerPMV(Hourly)",'Eplus results'!$1:$1048576,ROW(),FALSE)</f>
        <v>0</v>
      </c>
      <c r="AD486" s="580">
        <f t="shared" si="71"/>
        <v>5</v>
      </c>
      <c r="AE486" s="580">
        <f t="shared" si="72"/>
        <v>2.5</v>
      </c>
      <c r="AF486" s="580">
        <f t="shared" si="73"/>
        <v>2.5</v>
      </c>
      <c r="AG486" s="580">
        <f t="shared" si="74"/>
        <v>0</v>
      </c>
      <c r="AH486" s="580">
        <f t="shared" si="75"/>
        <v>0</v>
      </c>
      <c r="AI486" s="149"/>
      <c r="AJ486" s="149"/>
      <c r="AK486" s="149"/>
      <c r="AL486" s="149"/>
      <c r="AM486" s="149"/>
      <c r="AN486" s="149"/>
      <c r="AO486" s="149"/>
      <c r="AP486" s="149"/>
    </row>
    <row r="487" spans="2:42">
      <c r="B487" s="221">
        <v>43</v>
      </c>
      <c r="C487" s="54" t="s">
        <v>42</v>
      </c>
      <c r="D487" s="223">
        <v>22.0047722803723</v>
      </c>
      <c r="E487" s="344">
        <v>0.33183981472282698</v>
      </c>
      <c r="F487" s="179">
        <v>23.89</v>
      </c>
      <c r="G487" s="179">
        <v>21.11</v>
      </c>
      <c r="H487" s="223">
        <v>21.241615650460101</v>
      </c>
      <c r="I487" s="297">
        <v>0.26323110847782055</v>
      </c>
      <c r="J487" s="149"/>
      <c r="K487" s="149"/>
      <c r="L487" s="149"/>
      <c r="M487" s="149"/>
      <c r="N487" s="149"/>
      <c r="O487" s="149"/>
      <c r="P487" s="149"/>
      <c r="Q487" s="149"/>
      <c r="R487" s="149"/>
      <c r="S487" s="149"/>
      <c r="T487" s="149"/>
      <c r="U487" s="149"/>
      <c r="V487" s="149"/>
      <c r="W487" s="149"/>
      <c r="X487" s="149"/>
      <c r="Y487" s="149"/>
      <c r="Z487" s="149"/>
      <c r="AA487" s="149"/>
      <c r="AB487" s="580">
        <f>HLOOKUP("*"&amp;'Output annual'!$AC$2&amp;'Output annual'!$AD$2&amp;"*Zone People Number Of Occupants [](Hourly)",'Eplus results'!$1:$1048576,ROW(),FALSE)</f>
        <v>0</v>
      </c>
      <c r="AC487" s="580">
        <f>HLOOKUP("*"&amp;'Output annual'!$AC$2&amp;'Output annual'!$AD$2&amp;"*FangerPMV(Hourly)",'Eplus results'!$1:$1048576,ROW(),FALSE)</f>
        <v>0</v>
      </c>
      <c r="AD487" s="580">
        <f t="shared" si="71"/>
        <v>5</v>
      </c>
      <c r="AE487" s="580">
        <f t="shared" si="72"/>
        <v>2.5</v>
      </c>
      <c r="AF487" s="580">
        <f t="shared" si="73"/>
        <v>2.5</v>
      </c>
      <c r="AG487" s="580">
        <f t="shared" si="74"/>
        <v>0</v>
      </c>
      <c r="AH487" s="580">
        <f t="shared" si="75"/>
        <v>0</v>
      </c>
      <c r="AI487" s="149"/>
      <c r="AJ487" s="149"/>
      <c r="AK487" s="149"/>
      <c r="AL487" s="149"/>
      <c r="AM487" s="149"/>
      <c r="AN487" s="149"/>
      <c r="AO487" s="149"/>
      <c r="AP487" s="149"/>
    </row>
    <row r="488" spans="2:42">
      <c r="B488" s="221">
        <v>44</v>
      </c>
      <c r="C488" s="54" t="s">
        <v>43</v>
      </c>
      <c r="D488" s="223">
        <v>23.062722113402</v>
      </c>
      <c r="E488" s="344">
        <v>0</v>
      </c>
      <c r="F488" s="179">
        <v>32.22</v>
      </c>
      <c r="G488" s="179">
        <v>12.78</v>
      </c>
      <c r="H488" s="223">
        <v>21.948931639337101</v>
      </c>
      <c r="I488" s="297">
        <v>0</v>
      </c>
      <c r="J488" s="149"/>
      <c r="K488" s="149"/>
      <c r="L488" s="149"/>
      <c r="M488" s="149"/>
      <c r="N488" s="149"/>
      <c r="O488" s="149"/>
      <c r="P488" s="149"/>
      <c r="Q488" s="149"/>
      <c r="R488" s="149"/>
      <c r="S488" s="149"/>
      <c r="T488" s="149"/>
      <c r="U488" s="149"/>
      <c r="V488" s="149"/>
      <c r="W488" s="149"/>
      <c r="X488" s="149"/>
      <c r="Y488" s="149"/>
      <c r="Z488" s="149"/>
      <c r="AA488" s="149"/>
      <c r="AB488" s="580">
        <f>HLOOKUP("*"&amp;'Output annual'!$AC$2&amp;'Output annual'!$AD$2&amp;"*Zone People Number Of Occupants [](Hourly)",'Eplus results'!$1:$1048576,ROW(),FALSE)</f>
        <v>0</v>
      </c>
      <c r="AC488" s="580">
        <f>HLOOKUP("*"&amp;'Output annual'!$AC$2&amp;'Output annual'!$AD$2&amp;"*FangerPMV(Hourly)",'Eplus results'!$1:$1048576,ROW(),FALSE)</f>
        <v>0</v>
      </c>
      <c r="AD488" s="580">
        <f t="shared" si="71"/>
        <v>5</v>
      </c>
      <c r="AE488" s="580">
        <f t="shared" si="72"/>
        <v>2.5</v>
      </c>
      <c r="AF488" s="580">
        <f t="shared" si="73"/>
        <v>2.5</v>
      </c>
      <c r="AG488" s="580">
        <f t="shared" si="74"/>
        <v>0</v>
      </c>
      <c r="AH488" s="580">
        <f t="shared" si="75"/>
        <v>0</v>
      </c>
      <c r="AI488" s="149"/>
      <c r="AJ488" s="149"/>
      <c r="AK488" s="149"/>
      <c r="AL488" s="149"/>
      <c r="AM488" s="149"/>
      <c r="AN488" s="149"/>
      <c r="AO488" s="149"/>
      <c r="AP488" s="149"/>
    </row>
    <row r="489" spans="2:42">
      <c r="B489" s="221">
        <v>45</v>
      </c>
      <c r="C489" s="54" t="s">
        <v>44</v>
      </c>
      <c r="D489" s="223">
        <v>22.266225659584101</v>
      </c>
      <c r="E489" s="344">
        <v>0</v>
      </c>
      <c r="F489" s="179">
        <v>32.22</v>
      </c>
      <c r="G489" s="179">
        <v>12.78</v>
      </c>
      <c r="H489" s="223">
        <v>22.4966294343836</v>
      </c>
      <c r="I489" s="297">
        <v>0</v>
      </c>
      <c r="J489" s="149"/>
      <c r="K489" s="149"/>
      <c r="L489" s="149"/>
      <c r="M489" s="149"/>
      <c r="N489" s="149"/>
      <c r="O489" s="149"/>
      <c r="P489" s="149"/>
      <c r="Q489" s="149"/>
      <c r="R489" s="149"/>
      <c r="S489" s="149"/>
      <c r="T489" s="149"/>
      <c r="U489" s="149"/>
      <c r="V489" s="149"/>
      <c r="W489" s="149"/>
      <c r="X489" s="149"/>
      <c r="Y489" s="149"/>
      <c r="Z489" s="149"/>
      <c r="AA489" s="149"/>
      <c r="AB489" s="580">
        <f>HLOOKUP("*"&amp;'Output annual'!$AC$2&amp;'Output annual'!$AD$2&amp;"*Zone People Number Of Occupants [](Hourly)",'Eplus results'!$1:$1048576,ROW(),FALSE)</f>
        <v>0</v>
      </c>
      <c r="AC489" s="580">
        <f>HLOOKUP("*"&amp;'Output annual'!$AC$2&amp;'Output annual'!$AD$2&amp;"*FangerPMV(Hourly)",'Eplus results'!$1:$1048576,ROW(),FALSE)</f>
        <v>0</v>
      </c>
      <c r="AD489" s="580">
        <f t="shared" si="71"/>
        <v>5</v>
      </c>
      <c r="AE489" s="580">
        <f t="shared" si="72"/>
        <v>2.5</v>
      </c>
      <c r="AF489" s="580">
        <f t="shared" si="73"/>
        <v>2.5</v>
      </c>
      <c r="AG489" s="580">
        <f t="shared" si="74"/>
        <v>0</v>
      </c>
      <c r="AH489" s="580">
        <f t="shared" si="75"/>
        <v>0</v>
      </c>
      <c r="AI489" s="149"/>
      <c r="AJ489" s="149"/>
      <c r="AK489" s="149"/>
      <c r="AL489" s="149"/>
      <c r="AM489" s="149"/>
      <c r="AN489" s="149"/>
      <c r="AO489" s="149"/>
      <c r="AP489" s="149"/>
    </row>
    <row r="490" spans="2:42">
      <c r="B490" s="221">
        <v>46</v>
      </c>
      <c r="C490" s="54" t="s">
        <v>45</v>
      </c>
      <c r="D490" s="223">
        <v>21.585188779184101</v>
      </c>
      <c r="E490" s="344">
        <v>0</v>
      </c>
      <c r="F490" s="179">
        <v>32.22</v>
      </c>
      <c r="G490" s="179">
        <v>12.78</v>
      </c>
      <c r="H490" s="223">
        <v>22.507165124061</v>
      </c>
      <c r="I490" s="297">
        <v>0</v>
      </c>
      <c r="J490" s="149"/>
      <c r="K490" s="149"/>
      <c r="L490" s="149"/>
      <c r="M490" s="149"/>
      <c r="N490" s="149"/>
      <c r="O490" s="149"/>
      <c r="P490" s="149"/>
      <c r="Q490" s="149"/>
      <c r="R490" s="149"/>
      <c r="S490" s="149"/>
      <c r="T490" s="149"/>
      <c r="U490" s="149"/>
      <c r="V490" s="149"/>
      <c r="W490" s="149"/>
      <c r="X490" s="149"/>
      <c r="Y490" s="149"/>
      <c r="Z490" s="149"/>
      <c r="AA490" s="149"/>
      <c r="AB490" s="580">
        <f>HLOOKUP("*"&amp;'Output annual'!$AC$2&amp;'Output annual'!$AD$2&amp;"*Zone People Number Of Occupants [](Hourly)",'Eplus results'!$1:$1048576,ROW(),FALSE)</f>
        <v>0</v>
      </c>
      <c r="AC490" s="580">
        <f>HLOOKUP("*"&amp;'Output annual'!$AC$2&amp;'Output annual'!$AD$2&amp;"*FangerPMV(Hourly)",'Eplus results'!$1:$1048576,ROW(),FALSE)</f>
        <v>0</v>
      </c>
      <c r="AD490" s="580">
        <f t="shared" si="71"/>
        <v>5</v>
      </c>
      <c r="AE490" s="580">
        <f t="shared" si="72"/>
        <v>2.5</v>
      </c>
      <c r="AF490" s="580">
        <f t="shared" si="73"/>
        <v>2.5</v>
      </c>
      <c r="AG490" s="580">
        <f t="shared" si="74"/>
        <v>0</v>
      </c>
      <c r="AH490" s="580">
        <f t="shared" si="75"/>
        <v>0</v>
      </c>
      <c r="AI490" s="149"/>
      <c r="AJ490" s="149"/>
      <c r="AK490" s="149"/>
      <c r="AL490" s="149"/>
      <c r="AM490" s="149"/>
      <c r="AN490" s="149"/>
      <c r="AO490" s="149"/>
      <c r="AP490" s="149"/>
    </row>
    <row r="491" spans="2:42">
      <c r="B491" s="221">
        <v>47</v>
      </c>
      <c r="C491" s="54" t="s">
        <v>46</v>
      </c>
      <c r="D491" s="223">
        <v>20.931015152051</v>
      </c>
      <c r="E491" s="344">
        <v>0</v>
      </c>
      <c r="F491" s="179">
        <v>32.22</v>
      </c>
      <c r="G491" s="179">
        <v>12.78</v>
      </c>
      <c r="H491" s="223">
        <v>22.436137283353101</v>
      </c>
      <c r="I491" s="297">
        <v>0</v>
      </c>
      <c r="J491" s="149"/>
      <c r="K491" s="149"/>
      <c r="L491" s="149"/>
      <c r="M491" s="149"/>
      <c r="N491" s="149"/>
      <c r="O491" s="149"/>
      <c r="P491" s="149"/>
      <c r="Q491" s="149"/>
      <c r="R491" s="149"/>
      <c r="S491" s="149"/>
      <c r="T491" s="149"/>
      <c r="U491" s="149"/>
      <c r="V491" s="149"/>
      <c r="W491" s="149"/>
      <c r="X491" s="149"/>
      <c r="Y491" s="149"/>
      <c r="Z491" s="149"/>
      <c r="AA491" s="149"/>
      <c r="AB491" s="580">
        <f>HLOOKUP("*"&amp;'Output annual'!$AC$2&amp;'Output annual'!$AD$2&amp;"*Zone People Number Of Occupants [](Hourly)",'Eplus results'!$1:$1048576,ROW(),FALSE)</f>
        <v>0</v>
      </c>
      <c r="AC491" s="580">
        <f>HLOOKUP("*"&amp;'Output annual'!$AC$2&amp;'Output annual'!$AD$2&amp;"*FangerPMV(Hourly)",'Eplus results'!$1:$1048576,ROW(),FALSE)</f>
        <v>0</v>
      </c>
      <c r="AD491" s="580">
        <f t="shared" si="71"/>
        <v>5</v>
      </c>
      <c r="AE491" s="580">
        <f t="shared" si="72"/>
        <v>2.5</v>
      </c>
      <c r="AF491" s="580">
        <f t="shared" si="73"/>
        <v>2.5</v>
      </c>
      <c r="AG491" s="580">
        <f t="shared" si="74"/>
        <v>0</v>
      </c>
      <c r="AH491" s="580">
        <f t="shared" si="75"/>
        <v>0</v>
      </c>
      <c r="AI491" s="149"/>
      <c r="AJ491" s="149"/>
      <c r="AK491" s="149"/>
      <c r="AL491" s="149"/>
      <c r="AM491" s="149"/>
      <c r="AN491" s="149"/>
      <c r="AO491" s="149"/>
      <c r="AP491" s="149"/>
    </row>
    <row r="492" spans="2:42">
      <c r="B492" s="221">
        <v>48</v>
      </c>
      <c r="C492" s="54" t="s">
        <v>47</v>
      </c>
      <c r="D492" s="223">
        <v>20.325982829283799</v>
      </c>
      <c r="E492" s="344">
        <v>0</v>
      </c>
      <c r="F492" s="179">
        <v>32.22</v>
      </c>
      <c r="G492" s="179">
        <v>12.78</v>
      </c>
      <c r="H492" s="223">
        <v>22.3182112163745</v>
      </c>
      <c r="I492" s="297">
        <v>0</v>
      </c>
      <c r="J492" s="149"/>
      <c r="K492" s="149"/>
      <c r="L492" s="149"/>
      <c r="M492" s="149"/>
      <c r="N492" s="149"/>
      <c r="O492" s="149"/>
      <c r="P492" s="149"/>
      <c r="Q492" s="149"/>
      <c r="R492" s="149"/>
      <c r="S492" s="149"/>
      <c r="T492" s="149"/>
      <c r="U492" s="149"/>
      <c r="V492" s="149"/>
      <c r="W492" s="149"/>
      <c r="X492" s="149"/>
      <c r="Y492" s="149"/>
      <c r="Z492" s="149"/>
      <c r="AA492" s="149"/>
      <c r="AB492" s="580">
        <f>HLOOKUP("*"&amp;'Output annual'!$AC$2&amp;'Output annual'!$AD$2&amp;"*Zone People Number Of Occupants [](Hourly)",'Eplus results'!$1:$1048576,ROW(),FALSE)</f>
        <v>0</v>
      </c>
      <c r="AC492" s="580">
        <f>HLOOKUP("*"&amp;'Output annual'!$AC$2&amp;'Output annual'!$AD$2&amp;"*FangerPMV(Hourly)",'Eplus results'!$1:$1048576,ROW(),FALSE)</f>
        <v>0</v>
      </c>
      <c r="AD492" s="580">
        <f t="shared" si="71"/>
        <v>5</v>
      </c>
      <c r="AE492" s="580">
        <f t="shared" si="72"/>
        <v>2.5</v>
      </c>
      <c r="AF492" s="580">
        <f t="shared" si="73"/>
        <v>2.5</v>
      </c>
      <c r="AG492" s="580">
        <f t="shared" si="74"/>
        <v>0</v>
      </c>
      <c r="AH492" s="580">
        <f t="shared" si="75"/>
        <v>0</v>
      </c>
      <c r="AI492" s="149"/>
      <c r="AJ492" s="149"/>
      <c r="AK492" s="149"/>
      <c r="AL492" s="149"/>
      <c r="AM492" s="149"/>
      <c r="AN492" s="149"/>
      <c r="AO492" s="149"/>
      <c r="AP492" s="149"/>
    </row>
    <row r="493" spans="2:42">
      <c r="B493" s="221">
        <v>49</v>
      </c>
      <c r="C493" s="54" t="s">
        <v>48</v>
      </c>
      <c r="D493" s="223">
        <v>19.7662947552035</v>
      </c>
      <c r="E493" s="344">
        <v>0</v>
      </c>
      <c r="F493" s="179">
        <v>32.22</v>
      </c>
      <c r="G493" s="179">
        <v>12.78</v>
      </c>
      <c r="H493" s="223">
        <v>22.169729391866799</v>
      </c>
      <c r="I493" s="297">
        <v>0</v>
      </c>
      <c r="J493" s="149"/>
      <c r="K493" s="149"/>
      <c r="L493" s="149"/>
      <c r="M493" s="149"/>
      <c r="N493" s="149"/>
      <c r="O493" s="149"/>
      <c r="P493" s="149"/>
      <c r="Q493" s="149"/>
      <c r="R493" s="149"/>
      <c r="S493" s="149"/>
      <c r="T493" s="149"/>
      <c r="U493" s="149"/>
      <c r="V493" s="149"/>
      <c r="W493" s="149"/>
      <c r="X493" s="149"/>
      <c r="Y493" s="149"/>
      <c r="Z493" s="149"/>
      <c r="AA493" s="149"/>
      <c r="AB493" s="580">
        <f>HLOOKUP("*"&amp;'Output annual'!$AC$2&amp;'Output annual'!$AD$2&amp;"*Zone People Number Of Occupants [](Hourly)",'Eplus results'!$1:$1048576,ROW(),FALSE)</f>
        <v>0</v>
      </c>
      <c r="AC493" s="580">
        <f>HLOOKUP("*"&amp;'Output annual'!$AC$2&amp;'Output annual'!$AD$2&amp;"*FangerPMV(Hourly)",'Eplus results'!$1:$1048576,ROW(),FALSE)</f>
        <v>0</v>
      </c>
      <c r="AD493" s="580">
        <f t="shared" si="71"/>
        <v>5</v>
      </c>
      <c r="AE493" s="580">
        <f t="shared" si="72"/>
        <v>2.5</v>
      </c>
      <c r="AF493" s="580">
        <f t="shared" si="73"/>
        <v>2.5</v>
      </c>
      <c r="AG493" s="580">
        <f t="shared" si="74"/>
        <v>0</v>
      </c>
      <c r="AH493" s="580">
        <f t="shared" si="75"/>
        <v>0</v>
      </c>
      <c r="AI493" s="149"/>
      <c r="AJ493" s="149"/>
      <c r="AK493" s="149"/>
      <c r="AL493" s="149"/>
      <c r="AM493" s="149"/>
      <c r="AN493" s="149"/>
      <c r="AO493" s="149"/>
      <c r="AP493" s="149"/>
    </row>
    <row r="494" spans="2:42">
      <c r="B494" s="221">
        <v>50</v>
      </c>
      <c r="C494" s="54" t="s">
        <v>49</v>
      </c>
      <c r="D494" s="223">
        <v>19.2183886650005</v>
      </c>
      <c r="E494" s="344">
        <v>0</v>
      </c>
      <c r="F494" s="179">
        <v>32.22</v>
      </c>
      <c r="G494" s="179">
        <v>12.78</v>
      </c>
      <c r="H494" s="223">
        <v>21.998830443088099</v>
      </c>
      <c r="I494" s="297">
        <v>0</v>
      </c>
      <c r="J494" s="149"/>
      <c r="K494" s="149"/>
      <c r="L494" s="149"/>
      <c r="M494" s="149"/>
      <c r="N494" s="149"/>
      <c r="O494" s="149"/>
      <c r="P494" s="149"/>
      <c r="Q494" s="149"/>
      <c r="R494" s="149"/>
      <c r="S494" s="149"/>
      <c r="T494" s="149"/>
      <c r="U494" s="149"/>
      <c r="V494" s="149"/>
      <c r="W494" s="149"/>
      <c r="X494" s="149"/>
      <c r="Y494" s="149"/>
      <c r="Z494" s="149"/>
      <c r="AA494" s="149"/>
      <c r="AB494" s="580">
        <f>HLOOKUP("*"&amp;'Output annual'!$AC$2&amp;'Output annual'!$AD$2&amp;"*Zone People Number Of Occupants [](Hourly)",'Eplus results'!$1:$1048576,ROW(),FALSE)</f>
        <v>0</v>
      </c>
      <c r="AC494" s="580">
        <f>HLOOKUP("*"&amp;'Output annual'!$AC$2&amp;'Output annual'!$AD$2&amp;"*FangerPMV(Hourly)",'Eplus results'!$1:$1048576,ROW(),FALSE)</f>
        <v>0</v>
      </c>
      <c r="AD494" s="580">
        <f t="shared" si="71"/>
        <v>5</v>
      </c>
      <c r="AE494" s="580">
        <f t="shared" si="72"/>
        <v>2.5</v>
      </c>
      <c r="AF494" s="580">
        <f t="shared" si="73"/>
        <v>2.5</v>
      </c>
      <c r="AG494" s="580">
        <f t="shared" si="74"/>
        <v>0</v>
      </c>
      <c r="AH494" s="580">
        <f t="shared" si="75"/>
        <v>0</v>
      </c>
      <c r="AI494" s="149"/>
      <c r="AJ494" s="149"/>
      <c r="AK494" s="149"/>
      <c r="AL494" s="149"/>
      <c r="AM494" s="149"/>
      <c r="AN494" s="149"/>
      <c r="AO494" s="149"/>
      <c r="AP494" s="149"/>
    </row>
    <row r="495" spans="2:42">
      <c r="B495" s="221">
        <v>51</v>
      </c>
      <c r="C495" s="54" t="s">
        <v>50</v>
      </c>
      <c r="D495" s="223">
        <v>18.6499442497832</v>
      </c>
      <c r="E495" s="344">
        <v>0</v>
      </c>
      <c r="F495" s="179">
        <v>32.22</v>
      </c>
      <c r="G495" s="179">
        <v>12.78</v>
      </c>
      <c r="H495" s="223">
        <v>21.810595466240098</v>
      </c>
      <c r="I495" s="297">
        <v>0</v>
      </c>
      <c r="J495" s="149"/>
      <c r="K495" s="149"/>
      <c r="L495" s="149"/>
      <c r="M495" s="149"/>
      <c r="N495" s="149"/>
      <c r="O495" s="149"/>
      <c r="P495" s="149"/>
      <c r="Q495" s="149"/>
      <c r="R495" s="149"/>
      <c r="S495" s="149"/>
      <c r="T495" s="149"/>
      <c r="U495" s="149"/>
      <c r="V495" s="149"/>
      <c r="W495" s="149"/>
      <c r="X495" s="149"/>
      <c r="Y495" s="149"/>
      <c r="Z495" s="149"/>
      <c r="AA495" s="149"/>
      <c r="AB495" s="580">
        <f>HLOOKUP("*"&amp;'Output annual'!$AC$2&amp;'Output annual'!$AD$2&amp;"*Zone People Number Of Occupants [](Hourly)",'Eplus results'!$1:$1048576,ROW(),FALSE)</f>
        <v>0</v>
      </c>
      <c r="AC495" s="580">
        <f>HLOOKUP("*"&amp;'Output annual'!$AC$2&amp;'Output annual'!$AD$2&amp;"*FangerPMV(Hourly)",'Eplus results'!$1:$1048576,ROW(),FALSE)</f>
        <v>0</v>
      </c>
      <c r="AD495" s="580">
        <f t="shared" si="71"/>
        <v>5</v>
      </c>
      <c r="AE495" s="580">
        <f t="shared" si="72"/>
        <v>2.5</v>
      </c>
      <c r="AF495" s="580">
        <f t="shared" si="73"/>
        <v>2.5</v>
      </c>
      <c r="AG495" s="580">
        <f t="shared" si="74"/>
        <v>0</v>
      </c>
      <c r="AH495" s="580">
        <f t="shared" si="75"/>
        <v>0</v>
      </c>
      <c r="AI495" s="149"/>
      <c r="AJ495" s="149"/>
      <c r="AK495" s="149"/>
      <c r="AL495" s="149"/>
      <c r="AM495" s="149"/>
      <c r="AN495" s="149"/>
      <c r="AO495" s="149"/>
      <c r="AP495" s="149"/>
    </row>
    <row r="496" spans="2:42">
      <c r="B496" s="221">
        <v>52</v>
      </c>
      <c r="C496" s="54" t="s">
        <v>51</v>
      </c>
      <c r="D496" s="223">
        <v>18.049953866703</v>
      </c>
      <c r="E496" s="344">
        <v>0</v>
      </c>
      <c r="F496" s="179">
        <v>32.22</v>
      </c>
      <c r="G496" s="179">
        <v>12.78</v>
      </c>
      <c r="H496" s="223">
        <v>21.606648546578501</v>
      </c>
      <c r="I496" s="297">
        <v>0</v>
      </c>
      <c r="J496" s="149"/>
      <c r="K496" s="149"/>
      <c r="L496" s="149"/>
      <c r="M496" s="149"/>
      <c r="N496" s="149"/>
      <c r="O496" s="149"/>
      <c r="P496" s="149"/>
      <c r="Q496" s="149"/>
      <c r="R496" s="149"/>
      <c r="S496" s="149"/>
      <c r="T496" s="149"/>
      <c r="U496" s="149"/>
      <c r="V496" s="149"/>
      <c r="W496" s="149"/>
      <c r="X496" s="149"/>
      <c r="Y496" s="149"/>
      <c r="Z496" s="149"/>
      <c r="AA496" s="149"/>
      <c r="AB496" s="580">
        <f>HLOOKUP("*"&amp;'Output annual'!$AC$2&amp;'Output annual'!$AD$2&amp;"*Zone People Number Of Occupants [](Hourly)",'Eplus results'!$1:$1048576,ROW(),FALSE)</f>
        <v>0</v>
      </c>
      <c r="AC496" s="580">
        <f>HLOOKUP("*"&amp;'Output annual'!$AC$2&amp;'Output annual'!$AD$2&amp;"*FangerPMV(Hourly)",'Eplus results'!$1:$1048576,ROW(),FALSE)</f>
        <v>0</v>
      </c>
      <c r="AD496" s="580">
        <f t="shared" si="71"/>
        <v>5</v>
      </c>
      <c r="AE496" s="580">
        <f t="shared" si="72"/>
        <v>2.5</v>
      </c>
      <c r="AF496" s="580">
        <f t="shared" si="73"/>
        <v>2.5</v>
      </c>
      <c r="AG496" s="580">
        <f t="shared" si="74"/>
        <v>0</v>
      </c>
      <c r="AH496" s="580">
        <f t="shared" si="75"/>
        <v>0</v>
      </c>
      <c r="AI496" s="149"/>
      <c r="AJ496" s="149"/>
      <c r="AK496" s="149"/>
      <c r="AL496" s="149"/>
      <c r="AM496" s="149"/>
      <c r="AN496" s="149"/>
      <c r="AO496" s="149"/>
      <c r="AP496" s="149"/>
    </row>
    <row r="497" spans="2:42">
      <c r="B497" s="221">
        <v>53</v>
      </c>
      <c r="C497" s="54" t="s">
        <v>52</v>
      </c>
      <c r="D497" s="223">
        <v>17.502545502726299</v>
      </c>
      <c r="E497" s="344">
        <v>0</v>
      </c>
      <c r="F497" s="179">
        <v>32.22</v>
      </c>
      <c r="G497" s="179">
        <v>12.78</v>
      </c>
      <c r="H497" s="223">
        <v>21.385962821364799</v>
      </c>
      <c r="I497" s="297">
        <v>0</v>
      </c>
      <c r="J497" s="149"/>
      <c r="K497" s="149"/>
      <c r="L497" s="149"/>
      <c r="M497" s="149"/>
      <c r="N497" s="149"/>
      <c r="O497" s="149"/>
      <c r="P497" s="149"/>
      <c r="Q497" s="149"/>
      <c r="R497" s="149"/>
      <c r="S497" s="149"/>
      <c r="T497" s="149"/>
      <c r="U497" s="149"/>
      <c r="V497" s="149"/>
      <c r="W497" s="149"/>
      <c r="X497" s="149"/>
      <c r="Y497" s="149"/>
      <c r="Z497" s="149"/>
      <c r="AA497" s="149"/>
      <c r="AB497" s="580">
        <f>HLOOKUP("*"&amp;'Output annual'!$AC$2&amp;'Output annual'!$AD$2&amp;"*Zone People Number Of Occupants [](Hourly)",'Eplus results'!$1:$1048576,ROW(),FALSE)</f>
        <v>0</v>
      </c>
      <c r="AC497" s="580">
        <f>HLOOKUP("*"&amp;'Output annual'!$AC$2&amp;'Output annual'!$AD$2&amp;"*FangerPMV(Hourly)",'Eplus results'!$1:$1048576,ROW(),FALSE)</f>
        <v>0</v>
      </c>
      <c r="AD497" s="580">
        <f t="shared" si="71"/>
        <v>5</v>
      </c>
      <c r="AE497" s="580">
        <f t="shared" si="72"/>
        <v>2.5</v>
      </c>
      <c r="AF497" s="580">
        <f t="shared" si="73"/>
        <v>2.5</v>
      </c>
      <c r="AG497" s="580">
        <f t="shared" si="74"/>
        <v>0</v>
      </c>
      <c r="AH497" s="580">
        <f t="shared" si="75"/>
        <v>0</v>
      </c>
      <c r="AI497" s="149"/>
      <c r="AJ497" s="149"/>
      <c r="AK497" s="149"/>
      <c r="AL497" s="149"/>
      <c r="AM497" s="149"/>
      <c r="AN497" s="149"/>
      <c r="AO497" s="149"/>
      <c r="AP497" s="149"/>
    </row>
    <row r="498" spans="2:42">
      <c r="B498" s="221">
        <v>54</v>
      </c>
      <c r="C498" s="54" t="s">
        <v>53</v>
      </c>
      <c r="D498" s="223">
        <v>17.4662006874998</v>
      </c>
      <c r="E498" s="344">
        <v>0.33183981472282698</v>
      </c>
      <c r="F498" s="179">
        <v>23.89</v>
      </c>
      <c r="G498" s="179">
        <v>21.11</v>
      </c>
      <c r="H498" s="223">
        <v>20.008794005706299</v>
      </c>
      <c r="I498" s="297">
        <v>0</v>
      </c>
      <c r="J498" s="149"/>
      <c r="K498" s="149"/>
      <c r="L498" s="149"/>
      <c r="M498" s="149"/>
      <c r="N498" s="149"/>
      <c r="O498" s="149"/>
      <c r="P498" s="149"/>
      <c r="Q498" s="149"/>
      <c r="R498" s="149"/>
      <c r="S498" s="149"/>
      <c r="T498" s="149"/>
      <c r="U498" s="149"/>
      <c r="V498" s="149"/>
      <c r="W498" s="149"/>
      <c r="X498" s="149"/>
      <c r="Y498" s="149"/>
      <c r="Z498" s="149"/>
      <c r="AA498" s="149"/>
      <c r="AB498" s="580">
        <f>HLOOKUP("*"&amp;'Output annual'!$AC$2&amp;'Output annual'!$AD$2&amp;"*Zone People Number Of Occupants [](Hourly)",'Eplus results'!$1:$1048576,ROW(),FALSE)</f>
        <v>0</v>
      </c>
      <c r="AC498" s="580">
        <f>HLOOKUP("*"&amp;'Output annual'!$AC$2&amp;'Output annual'!$AD$2&amp;"*FangerPMV(Hourly)",'Eplus results'!$1:$1048576,ROW(),FALSE)</f>
        <v>0</v>
      </c>
      <c r="AD498" s="580">
        <f t="shared" si="71"/>
        <v>5</v>
      </c>
      <c r="AE498" s="580">
        <f t="shared" si="72"/>
        <v>2.5</v>
      </c>
      <c r="AF498" s="580">
        <f t="shared" si="73"/>
        <v>2.5</v>
      </c>
      <c r="AG498" s="580">
        <f t="shared" si="74"/>
        <v>0</v>
      </c>
      <c r="AH498" s="580">
        <f t="shared" si="75"/>
        <v>0</v>
      </c>
      <c r="AI498" s="149"/>
      <c r="AJ498" s="149"/>
      <c r="AK498" s="149"/>
      <c r="AL498" s="149"/>
      <c r="AM498" s="149"/>
      <c r="AN498" s="149"/>
      <c r="AO498" s="149"/>
      <c r="AP498" s="149"/>
    </row>
    <row r="499" spans="2:42">
      <c r="B499" s="221">
        <v>55</v>
      </c>
      <c r="C499" s="54" t="s">
        <v>54</v>
      </c>
      <c r="D499" s="223">
        <v>17.840401515286199</v>
      </c>
      <c r="E499" s="344">
        <v>0.33183981472282698</v>
      </c>
      <c r="F499" s="179">
        <v>23.89</v>
      </c>
      <c r="G499" s="179">
        <v>21.11</v>
      </c>
      <c r="H499" s="223">
        <v>19.485973254885099</v>
      </c>
      <c r="I499" s="297">
        <v>0</v>
      </c>
      <c r="J499" s="149"/>
      <c r="K499" s="149"/>
      <c r="L499" s="149"/>
      <c r="M499" s="149"/>
      <c r="N499" s="149"/>
      <c r="O499" s="149"/>
      <c r="P499" s="149"/>
      <c r="Q499" s="149"/>
      <c r="R499" s="149"/>
      <c r="S499" s="149"/>
      <c r="T499" s="149"/>
      <c r="U499" s="149"/>
      <c r="V499" s="149"/>
      <c r="W499" s="149"/>
      <c r="X499" s="149"/>
      <c r="Y499" s="149"/>
      <c r="Z499" s="149"/>
      <c r="AA499" s="149"/>
      <c r="AB499" s="580">
        <f>HLOOKUP("*"&amp;'Output annual'!$AC$2&amp;'Output annual'!$AD$2&amp;"*Zone People Number Of Occupants [](Hourly)",'Eplus results'!$1:$1048576,ROW(),FALSE)</f>
        <v>0</v>
      </c>
      <c r="AC499" s="580">
        <f>HLOOKUP("*"&amp;'Output annual'!$AC$2&amp;'Output annual'!$AD$2&amp;"*FangerPMV(Hourly)",'Eplus results'!$1:$1048576,ROW(),FALSE)</f>
        <v>0</v>
      </c>
      <c r="AD499" s="580">
        <f t="shared" si="71"/>
        <v>5</v>
      </c>
      <c r="AE499" s="580">
        <f t="shared" si="72"/>
        <v>2.5</v>
      </c>
      <c r="AF499" s="580">
        <f t="shared" si="73"/>
        <v>2.5</v>
      </c>
      <c r="AG499" s="580">
        <f t="shared" si="74"/>
        <v>0</v>
      </c>
      <c r="AH499" s="580">
        <f t="shared" si="75"/>
        <v>0</v>
      </c>
      <c r="AI499" s="149"/>
      <c r="AJ499" s="149"/>
      <c r="AK499" s="149"/>
      <c r="AL499" s="149"/>
      <c r="AM499" s="149"/>
      <c r="AN499" s="149"/>
      <c r="AO499" s="149"/>
      <c r="AP499" s="149"/>
    </row>
    <row r="500" spans="2:42">
      <c r="B500" s="221">
        <v>56</v>
      </c>
      <c r="C500" s="54" t="s">
        <v>55</v>
      </c>
      <c r="D500" s="223">
        <v>21.198327530895799</v>
      </c>
      <c r="E500" s="344">
        <v>0.33183981472282698</v>
      </c>
      <c r="F500" s="179">
        <v>23.89</v>
      </c>
      <c r="G500" s="179">
        <v>21.11</v>
      </c>
      <c r="H500" s="223">
        <v>19.438041897906601</v>
      </c>
      <c r="I500" s="297">
        <v>4.6090767089117086E-2</v>
      </c>
      <c r="J500" s="149"/>
      <c r="K500" s="149"/>
      <c r="L500" s="149"/>
      <c r="M500" s="149"/>
      <c r="N500" s="149"/>
      <c r="O500" s="149"/>
      <c r="P500" s="149"/>
      <c r="Q500" s="149"/>
      <c r="R500" s="149"/>
      <c r="S500" s="149"/>
      <c r="T500" s="149"/>
      <c r="U500" s="149"/>
      <c r="V500" s="149"/>
      <c r="W500" s="149"/>
      <c r="X500" s="149"/>
      <c r="Y500" s="149"/>
      <c r="Z500" s="149"/>
      <c r="AA500" s="149"/>
      <c r="AB500" s="580">
        <f>HLOOKUP("*"&amp;'Output annual'!$AC$2&amp;'Output annual'!$AD$2&amp;"*Zone People Number Of Occupants [](Hourly)",'Eplus results'!$1:$1048576,ROW(),FALSE)</f>
        <v>0</v>
      </c>
      <c r="AC500" s="580">
        <f>HLOOKUP("*"&amp;'Output annual'!$AC$2&amp;'Output annual'!$AD$2&amp;"*FangerPMV(Hourly)",'Eplus results'!$1:$1048576,ROW(),FALSE)</f>
        <v>0</v>
      </c>
      <c r="AD500" s="580">
        <f t="shared" si="71"/>
        <v>5</v>
      </c>
      <c r="AE500" s="580">
        <f t="shared" si="72"/>
        <v>2.5</v>
      </c>
      <c r="AF500" s="580">
        <f t="shared" si="73"/>
        <v>2.5</v>
      </c>
      <c r="AG500" s="580">
        <f t="shared" si="74"/>
        <v>0</v>
      </c>
      <c r="AH500" s="580">
        <f t="shared" si="75"/>
        <v>0</v>
      </c>
      <c r="AI500" s="149"/>
      <c r="AJ500" s="149"/>
      <c r="AK500" s="149"/>
      <c r="AL500" s="149"/>
      <c r="AM500" s="149"/>
      <c r="AN500" s="149"/>
      <c r="AO500" s="149"/>
      <c r="AP500" s="149"/>
    </row>
    <row r="501" spans="2:42">
      <c r="B501" s="221">
        <v>57</v>
      </c>
      <c r="C501" s="54" t="s">
        <v>56</v>
      </c>
      <c r="D501" s="223">
        <v>22.558439464409499</v>
      </c>
      <c r="E501" s="344">
        <v>0.33183981472282698</v>
      </c>
      <c r="F501" s="179">
        <v>23.89</v>
      </c>
      <c r="G501" s="179">
        <v>21.11</v>
      </c>
      <c r="H501" s="223">
        <v>19.7147852029014</v>
      </c>
      <c r="I501" s="297">
        <v>8.3850376181559425E-2</v>
      </c>
      <c r="J501" s="149"/>
      <c r="K501" s="149"/>
      <c r="L501" s="149"/>
      <c r="M501" s="149"/>
      <c r="N501" s="149"/>
      <c r="O501" s="149"/>
      <c r="P501" s="149"/>
      <c r="Q501" s="149"/>
      <c r="R501" s="149"/>
      <c r="S501" s="149"/>
      <c r="T501" s="149"/>
      <c r="U501" s="149"/>
      <c r="V501" s="149"/>
      <c r="W501" s="149"/>
      <c r="X501" s="149"/>
      <c r="Y501" s="149"/>
      <c r="Z501" s="149"/>
      <c r="AA501" s="149"/>
      <c r="AB501" s="580">
        <f>HLOOKUP("*"&amp;'Output annual'!$AC$2&amp;'Output annual'!$AD$2&amp;"*Zone People Number Of Occupants [](Hourly)",'Eplus results'!$1:$1048576,ROW(),FALSE)</f>
        <v>0</v>
      </c>
      <c r="AC501" s="580">
        <f>HLOOKUP("*"&amp;'Output annual'!$AC$2&amp;'Output annual'!$AD$2&amp;"*FangerPMV(Hourly)",'Eplus results'!$1:$1048576,ROW(),FALSE)</f>
        <v>0</v>
      </c>
      <c r="AD501" s="580">
        <f t="shared" si="71"/>
        <v>5</v>
      </c>
      <c r="AE501" s="580">
        <f t="shared" si="72"/>
        <v>2.5</v>
      </c>
      <c r="AF501" s="580">
        <f t="shared" si="73"/>
        <v>2.5</v>
      </c>
      <c r="AG501" s="580">
        <f t="shared" si="74"/>
        <v>0</v>
      </c>
      <c r="AH501" s="580">
        <f t="shared" si="75"/>
        <v>0</v>
      </c>
      <c r="AI501" s="149"/>
      <c r="AJ501" s="149"/>
      <c r="AK501" s="149"/>
      <c r="AL501" s="149"/>
      <c r="AM501" s="149"/>
      <c r="AN501" s="149"/>
      <c r="AO501" s="149"/>
      <c r="AP501" s="149"/>
    </row>
    <row r="502" spans="2:42">
      <c r="B502" s="221">
        <v>58</v>
      </c>
      <c r="C502" s="54" t="s">
        <v>57</v>
      </c>
      <c r="D502" s="223">
        <v>23.8285450015299</v>
      </c>
      <c r="E502" s="344">
        <v>0.66873871831329001</v>
      </c>
      <c r="F502" s="179">
        <v>23.89</v>
      </c>
      <c r="G502" s="179">
        <v>21.11</v>
      </c>
      <c r="H502" s="223">
        <v>18.8743921543523</v>
      </c>
      <c r="I502" s="297">
        <v>0.20141643132763837</v>
      </c>
      <c r="J502" s="149"/>
      <c r="K502" s="149"/>
      <c r="L502" s="149"/>
      <c r="M502" s="149"/>
      <c r="N502" s="149"/>
      <c r="O502" s="149"/>
      <c r="P502" s="149"/>
      <c r="Q502" s="149"/>
      <c r="R502" s="149"/>
      <c r="S502" s="149"/>
      <c r="T502" s="149"/>
      <c r="U502" s="149"/>
      <c r="V502" s="149"/>
      <c r="W502" s="149"/>
      <c r="X502" s="149"/>
      <c r="Y502" s="149"/>
      <c r="Z502" s="149"/>
      <c r="AA502" s="149"/>
      <c r="AB502" s="580">
        <f>HLOOKUP("*"&amp;'Output annual'!$AC$2&amp;'Output annual'!$AD$2&amp;"*Zone People Number Of Occupants [](Hourly)",'Eplus results'!$1:$1048576,ROW(),FALSE)</f>
        <v>0</v>
      </c>
      <c r="AC502" s="580">
        <f>HLOOKUP("*"&amp;'Output annual'!$AC$2&amp;'Output annual'!$AD$2&amp;"*FangerPMV(Hourly)",'Eplus results'!$1:$1048576,ROW(),FALSE)</f>
        <v>0</v>
      </c>
      <c r="AD502" s="580">
        <f t="shared" si="71"/>
        <v>5</v>
      </c>
      <c r="AE502" s="580">
        <f t="shared" si="72"/>
        <v>2.5</v>
      </c>
      <c r="AF502" s="580">
        <f t="shared" si="73"/>
        <v>2.5</v>
      </c>
      <c r="AG502" s="580">
        <f t="shared" si="74"/>
        <v>0</v>
      </c>
      <c r="AH502" s="580">
        <f t="shared" si="75"/>
        <v>0</v>
      </c>
      <c r="AI502" s="149"/>
      <c r="AJ502" s="149"/>
      <c r="AK502" s="149"/>
      <c r="AL502" s="149"/>
      <c r="AM502" s="149"/>
      <c r="AN502" s="149"/>
      <c r="AO502" s="149"/>
      <c r="AP502" s="149"/>
    </row>
    <row r="503" spans="2:42">
      <c r="B503" s="221">
        <v>59</v>
      </c>
      <c r="C503" s="54" t="s">
        <v>58</v>
      </c>
      <c r="D503" s="223">
        <v>24.275464423139798</v>
      </c>
      <c r="E503" s="344">
        <v>1.19699217502491</v>
      </c>
      <c r="F503" s="179">
        <v>23.89</v>
      </c>
      <c r="G503" s="179">
        <v>21.11</v>
      </c>
      <c r="H503" s="223">
        <v>18.457763759903301</v>
      </c>
      <c r="I503" s="297">
        <v>0.36051558150696911</v>
      </c>
      <c r="J503" s="149"/>
      <c r="K503" s="149"/>
      <c r="L503" s="149"/>
      <c r="M503" s="149"/>
      <c r="N503" s="149"/>
      <c r="O503" s="149"/>
      <c r="P503" s="149"/>
      <c r="Q503" s="149"/>
      <c r="R503" s="149"/>
      <c r="S503" s="149"/>
      <c r="T503" s="149"/>
      <c r="U503" s="149"/>
      <c r="V503" s="149"/>
      <c r="W503" s="149"/>
      <c r="X503" s="149"/>
      <c r="Y503" s="149"/>
      <c r="Z503" s="149"/>
      <c r="AA503" s="149"/>
      <c r="AB503" s="580">
        <f>HLOOKUP("*"&amp;'Output annual'!$AC$2&amp;'Output annual'!$AD$2&amp;"*Zone People Number Of Occupants [](Hourly)",'Eplus results'!$1:$1048576,ROW(),FALSE)</f>
        <v>0</v>
      </c>
      <c r="AC503" s="580">
        <f>HLOOKUP("*"&amp;'Output annual'!$AC$2&amp;'Output annual'!$AD$2&amp;"*FangerPMV(Hourly)",'Eplus results'!$1:$1048576,ROW(),FALSE)</f>
        <v>0</v>
      </c>
      <c r="AD503" s="580">
        <f t="shared" si="71"/>
        <v>5</v>
      </c>
      <c r="AE503" s="580">
        <f t="shared" si="72"/>
        <v>2.5</v>
      </c>
      <c r="AF503" s="580">
        <f t="shared" si="73"/>
        <v>2.5</v>
      </c>
      <c r="AG503" s="580">
        <f t="shared" si="74"/>
        <v>0</v>
      </c>
      <c r="AH503" s="580">
        <f t="shared" si="75"/>
        <v>0</v>
      </c>
      <c r="AI503" s="149"/>
      <c r="AJ503" s="149"/>
      <c r="AK503" s="149"/>
      <c r="AL503" s="149"/>
      <c r="AM503" s="149"/>
      <c r="AN503" s="149"/>
      <c r="AO503" s="149"/>
      <c r="AP503" s="149"/>
    </row>
    <row r="504" spans="2:42">
      <c r="B504" s="221">
        <v>60</v>
      </c>
      <c r="C504" s="54" t="s">
        <v>59</v>
      </c>
      <c r="D504" s="223">
        <v>24.257857652844301</v>
      </c>
      <c r="E504" s="344">
        <v>1.6431253476493499</v>
      </c>
      <c r="F504" s="179">
        <v>23.89</v>
      </c>
      <c r="G504" s="179">
        <v>21.11</v>
      </c>
      <c r="H504" s="223">
        <v>18.345546515207801</v>
      </c>
      <c r="I504" s="297">
        <v>0.46907110702954519</v>
      </c>
      <c r="J504" s="149"/>
      <c r="K504" s="149"/>
      <c r="L504" s="149"/>
      <c r="M504" s="149"/>
      <c r="N504" s="149"/>
      <c r="O504" s="149"/>
      <c r="P504" s="149"/>
      <c r="Q504" s="149"/>
      <c r="R504" s="149"/>
      <c r="S504" s="149"/>
      <c r="T504" s="149"/>
      <c r="U504" s="149"/>
      <c r="V504" s="149"/>
      <c r="W504" s="149"/>
      <c r="X504" s="149"/>
      <c r="Y504" s="149"/>
      <c r="Z504" s="149"/>
      <c r="AA504" s="149"/>
      <c r="AB504" s="580">
        <f>HLOOKUP("*"&amp;'Output annual'!$AC$2&amp;'Output annual'!$AD$2&amp;"*Zone People Number Of Occupants [](Hourly)",'Eplus results'!$1:$1048576,ROW(),FALSE)</f>
        <v>0</v>
      </c>
      <c r="AC504" s="580">
        <f>HLOOKUP("*"&amp;'Output annual'!$AC$2&amp;'Output annual'!$AD$2&amp;"*FangerPMV(Hourly)",'Eplus results'!$1:$1048576,ROW(),FALSE)</f>
        <v>0</v>
      </c>
      <c r="AD504" s="580">
        <f t="shared" si="71"/>
        <v>5</v>
      </c>
      <c r="AE504" s="580">
        <f t="shared" si="72"/>
        <v>2.5</v>
      </c>
      <c r="AF504" s="580">
        <f t="shared" si="73"/>
        <v>2.5</v>
      </c>
      <c r="AG504" s="580">
        <f t="shared" si="74"/>
        <v>0</v>
      </c>
      <c r="AH504" s="580">
        <f t="shared" si="75"/>
        <v>0</v>
      </c>
      <c r="AI504" s="149"/>
      <c r="AJ504" s="149"/>
      <c r="AK504" s="149"/>
      <c r="AL504" s="149"/>
      <c r="AM504" s="149"/>
      <c r="AN504" s="149"/>
      <c r="AO504" s="149"/>
      <c r="AP504" s="149"/>
    </row>
    <row r="505" spans="2:42">
      <c r="B505" s="221">
        <v>61</v>
      </c>
      <c r="C505" s="54" t="s">
        <v>60</v>
      </c>
      <c r="D505" s="223">
        <v>24.090177618745599</v>
      </c>
      <c r="E505" s="344">
        <v>2.0369901747669301</v>
      </c>
      <c r="F505" s="179">
        <v>23.89</v>
      </c>
      <c r="G505" s="179">
        <v>21.11</v>
      </c>
      <c r="H505" s="223">
        <v>18.313606576751901</v>
      </c>
      <c r="I505" s="297">
        <v>0.54246021239286168</v>
      </c>
      <c r="J505" s="149"/>
      <c r="K505" s="149"/>
      <c r="L505" s="149"/>
      <c r="M505" s="149"/>
      <c r="N505" s="149"/>
      <c r="O505" s="149"/>
      <c r="P505" s="149"/>
      <c r="Q505" s="149"/>
      <c r="R505" s="149"/>
      <c r="S505" s="149"/>
      <c r="T505" s="149"/>
      <c r="U505" s="149"/>
      <c r="V505" s="149"/>
      <c r="W505" s="149"/>
      <c r="X505" s="149"/>
      <c r="Y505" s="149"/>
      <c r="Z505" s="149"/>
      <c r="AA505" s="149"/>
      <c r="AB505" s="580">
        <f>HLOOKUP("*"&amp;'Output annual'!$AC$2&amp;'Output annual'!$AD$2&amp;"*Zone People Number Of Occupants [](Hourly)",'Eplus results'!$1:$1048576,ROW(),FALSE)</f>
        <v>0</v>
      </c>
      <c r="AC505" s="580">
        <f>HLOOKUP("*"&amp;'Output annual'!$AC$2&amp;'Output annual'!$AD$2&amp;"*FangerPMV(Hourly)",'Eplus results'!$1:$1048576,ROW(),FALSE)</f>
        <v>0</v>
      </c>
      <c r="AD505" s="580">
        <f t="shared" si="71"/>
        <v>5</v>
      </c>
      <c r="AE505" s="580">
        <f t="shared" si="72"/>
        <v>2.5</v>
      </c>
      <c r="AF505" s="580">
        <f t="shared" si="73"/>
        <v>2.5</v>
      </c>
      <c r="AG505" s="580">
        <f t="shared" si="74"/>
        <v>0</v>
      </c>
      <c r="AH505" s="580">
        <f t="shared" si="75"/>
        <v>0</v>
      </c>
      <c r="AI505" s="149"/>
      <c r="AJ505" s="149"/>
      <c r="AK505" s="149"/>
      <c r="AL505" s="149"/>
      <c r="AM505" s="149"/>
      <c r="AN505" s="149"/>
      <c r="AO505" s="149"/>
      <c r="AP505" s="149"/>
    </row>
    <row r="506" spans="2:42">
      <c r="B506" s="221">
        <v>62</v>
      </c>
      <c r="C506" s="54" t="s">
        <v>61</v>
      </c>
      <c r="D506" s="223">
        <v>23.927234943203</v>
      </c>
      <c r="E506" s="344">
        <v>2.2386044193196599</v>
      </c>
      <c r="F506" s="179">
        <v>23.89</v>
      </c>
      <c r="G506" s="179">
        <v>21.11</v>
      </c>
      <c r="H506" s="223">
        <v>18.280307097562002</v>
      </c>
      <c r="I506" s="297">
        <v>0.56744400904292447</v>
      </c>
      <c r="J506" s="149"/>
      <c r="K506" s="149"/>
      <c r="L506" s="149"/>
      <c r="M506" s="149"/>
      <c r="N506" s="149"/>
      <c r="O506" s="149"/>
      <c r="P506" s="149"/>
      <c r="Q506" s="149"/>
      <c r="R506" s="149"/>
      <c r="S506" s="149"/>
      <c r="T506" s="149"/>
      <c r="U506" s="149"/>
      <c r="V506" s="149"/>
      <c r="W506" s="149"/>
      <c r="X506" s="149"/>
      <c r="Y506" s="149"/>
      <c r="Z506" s="149"/>
      <c r="AA506" s="149"/>
      <c r="AB506" s="580">
        <f>HLOOKUP("*"&amp;'Output annual'!$AC$2&amp;'Output annual'!$AD$2&amp;"*Zone People Number Of Occupants [](Hourly)",'Eplus results'!$1:$1048576,ROW(),FALSE)</f>
        <v>0</v>
      </c>
      <c r="AC506" s="580">
        <f>HLOOKUP("*"&amp;'Output annual'!$AC$2&amp;'Output annual'!$AD$2&amp;"*FangerPMV(Hourly)",'Eplus results'!$1:$1048576,ROW(),FALSE)</f>
        <v>0</v>
      </c>
      <c r="AD506" s="580">
        <f t="shared" si="71"/>
        <v>5</v>
      </c>
      <c r="AE506" s="580">
        <f t="shared" si="72"/>
        <v>2.5</v>
      </c>
      <c r="AF506" s="580">
        <f t="shared" si="73"/>
        <v>2.5</v>
      </c>
      <c r="AG506" s="580">
        <f t="shared" si="74"/>
        <v>0</v>
      </c>
      <c r="AH506" s="580">
        <f t="shared" si="75"/>
        <v>0</v>
      </c>
      <c r="AI506" s="149"/>
      <c r="AJ506" s="149"/>
      <c r="AK506" s="149"/>
      <c r="AL506" s="149"/>
      <c r="AM506" s="149"/>
      <c r="AN506" s="149"/>
      <c r="AO506" s="149"/>
      <c r="AP506" s="149"/>
    </row>
    <row r="507" spans="2:42">
      <c r="B507" s="221">
        <v>63</v>
      </c>
      <c r="C507" s="54" t="s">
        <v>62</v>
      </c>
      <c r="D507" s="223">
        <v>23.9112772883594</v>
      </c>
      <c r="E507" s="344">
        <v>2.31017988262278</v>
      </c>
      <c r="F507" s="179">
        <v>23.89</v>
      </c>
      <c r="G507" s="179">
        <v>21.11</v>
      </c>
      <c r="H507" s="223">
        <v>18.273784602276301</v>
      </c>
      <c r="I507" s="297">
        <v>0.57978188874137393</v>
      </c>
      <c r="J507" s="149"/>
      <c r="K507" s="149"/>
      <c r="L507" s="149"/>
      <c r="M507" s="149"/>
      <c r="N507" s="149"/>
      <c r="O507" s="149"/>
      <c r="P507" s="149"/>
      <c r="Q507" s="149"/>
      <c r="R507" s="149"/>
      <c r="S507" s="149"/>
      <c r="T507" s="149"/>
      <c r="U507" s="149"/>
      <c r="V507" s="149"/>
      <c r="W507" s="149"/>
      <c r="X507" s="149"/>
      <c r="Y507" s="149"/>
      <c r="Z507" s="149"/>
      <c r="AA507" s="149"/>
      <c r="AB507" s="580">
        <f>HLOOKUP("*"&amp;'Output annual'!$AC$2&amp;'Output annual'!$AD$2&amp;"*Zone People Number Of Occupants [](Hourly)",'Eplus results'!$1:$1048576,ROW(),FALSE)</f>
        <v>0</v>
      </c>
      <c r="AC507" s="580">
        <f>HLOOKUP("*"&amp;'Output annual'!$AC$2&amp;'Output annual'!$AD$2&amp;"*FangerPMV(Hourly)",'Eplus results'!$1:$1048576,ROW(),FALSE)</f>
        <v>0</v>
      </c>
      <c r="AD507" s="580">
        <f t="shared" si="71"/>
        <v>5</v>
      </c>
      <c r="AE507" s="580">
        <f t="shared" si="72"/>
        <v>2.5</v>
      </c>
      <c r="AF507" s="580">
        <f t="shared" si="73"/>
        <v>2.5</v>
      </c>
      <c r="AG507" s="580">
        <f t="shared" si="74"/>
        <v>0</v>
      </c>
      <c r="AH507" s="580">
        <f t="shared" si="75"/>
        <v>0</v>
      </c>
      <c r="AI507" s="149"/>
      <c r="AJ507" s="149"/>
      <c r="AK507" s="149"/>
      <c r="AL507" s="149"/>
      <c r="AM507" s="149"/>
      <c r="AN507" s="149"/>
      <c r="AO507" s="149"/>
      <c r="AP507" s="149"/>
    </row>
    <row r="508" spans="2:42">
      <c r="B508" s="221">
        <v>64</v>
      </c>
      <c r="C508" s="54" t="s">
        <v>63</v>
      </c>
      <c r="D508" s="223">
        <v>23.913817245605902</v>
      </c>
      <c r="E508" s="344">
        <v>2.36287217855114</v>
      </c>
      <c r="F508" s="179">
        <v>23.89</v>
      </c>
      <c r="G508" s="179">
        <v>21.11</v>
      </c>
      <c r="H508" s="223">
        <v>18.330584033023499</v>
      </c>
      <c r="I508" s="297">
        <v>0.58376894378845889</v>
      </c>
      <c r="J508" s="149"/>
      <c r="K508" s="149"/>
      <c r="L508" s="149"/>
      <c r="M508" s="149"/>
      <c r="N508" s="149"/>
      <c r="O508" s="149"/>
      <c r="P508" s="149"/>
      <c r="Q508" s="149"/>
      <c r="R508" s="149"/>
      <c r="S508" s="149"/>
      <c r="T508" s="149"/>
      <c r="U508" s="149"/>
      <c r="V508" s="149"/>
      <c r="W508" s="149"/>
      <c r="X508" s="149"/>
      <c r="Y508" s="149"/>
      <c r="Z508" s="149"/>
      <c r="AA508" s="149"/>
      <c r="AB508" s="580">
        <f>HLOOKUP("*"&amp;'Output annual'!$AC$2&amp;'Output annual'!$AD$2&amp;"*Zone People Number Of Occupants [](Hourly)",'Eplus results'!$1:$1048576,ROW(),FALSE)</f>
        <v>0</v>
      </c>
      <c r="AC508" s="580">
        <f>HLOOKUP("*"&amp;'Output annual'!$AC$2&amp;'Output annual'!$AD$2&amp;"*FangerPMV(Hourly)",'Eplus results'!$1:$1048576,ROW(),FALSE)</f>
        <v>0</v>
      </c>
      <c r="AD508" s="580">
        <f t="shared" si="71"/>
        <v>5</v>
      </c>
      <c r="AE508" s="580">
        <f t="shared" si="72"/>
        <v>2.5</v>
      </c>
      <c r="AF508" s="580">
        <f t="shared" si="73"/>
        <v>2.5</v>
      </c>
      <c r="AG508" s="580">
        <f t="shared" si="74"/>
        <v>0</v>
      </c>
      <c r="AH508" s="580">
        <f t="shared" si="75"/>
        <v>0</v>
      </c>
      <c r="AI508" s="149"/>
      <c r="AJ508" s="149"/>
      <c r="AK508" s="149"/>
      <c r="AL508" s="149"/>
      <c r="AM508" s="149"/>
      <c r="AN508" s="149"/>
      <c r="AO508" s="149"/>
      <c r="AP508" s="149"/>
    </row>
    <row r="509" spans="2:42">
      <c r="B509" s="221">
        <v>65</v>
      </c>
      <c r="C509" s="54" t="s">
        <v>64</v>
      </c>
      <c r="D509" s="223">
        <v>23.905696875673701</v>
      </c>
      <c r="E509" s="344">
        <v>2.3500111971045698</v>
      </c>
      <c r="F509" s="179">
        <v>23.89</v>
      </c>
      <c r="G509" s="179">
        <v>21.11</v>
      </c>
      <c r="H509" s="223">
        <v>18.499809788676799</v>
      </c>
      <c r="I509" s="297">
        <v>0.56453849221113783</v>
      </c>
      <c r="J509" s="149"/>
      <c r="K509" s="149"/>
      <c r="L509" s="149"/>
      <c r="M509" s="149"/>
      <c r="N509" s="149"/>
      <c r="O509" s="149"/>
      <c r="P509" s="149"/>
      <c r="Q509" s="149"/>
      <c r="R509" s="149"/>
      <c r="S509" s="149"/>
      <c r="T509" s="149"/>
      <c r="U509" s="149"/>
      <c r="V509" s="149"/>
      <c r="W509" s="149"/>
      <c r="X509" s="149"/>
      <c r="Y509" s="149"/>
      <c r="Z509" s="149"/>
      <c r="AA509" s="149"/>
      <c r="AB509" s="580">
        <f>HLOOKUP("*"&amp;'Output annual'!$AC$2&amp;'Output annual'!$AD$2&amp;"*Zone People Number Of Occupants [](Hourly)",'Eplus results'!$1:$1048576,ROW(),FALSE)</f>
        <v>0</v>
      </c>
      <c r="AC509" s="580">
        <f>HLOOKUP("*"&amp;'Output annual'!$AC$2&amp;'Output annual'!$AD$2&amp;"*FangerPMV(Hourly)",'Eplus results'!$1:$1048576,ROW(),FALSE)</f>
        <v>0</v>
      </c>
      <c r="AD509" s="580">
        <f t="shared" si="71"/>
        <v>5</v>
      </c>
      <c r="AE509" s="580">
        <f t="shared" si="72"/>
        <v>2.5</v>
      </c>
      <c r="AF509" s="580">
        <f t="shared" si="73"/>
        <v>2.5</v>
      </c>
      <c r="AG509" s="580">
        <f t="shared" si="74"/>
        <v>0</v>
      </c>
      <c r="AH509" s="580">
        <f t="shared" si="75"/>
        <v>0</v>
      </c>
      <c r="AI509" s="149"/>
      <c r="AJ509" s="149"/>
      <c r="AK509" s="149"/>
      <c r="AL509" s="149"/>
      <c r="AM509" s="149"/>
      <c r="AN509" s="149"/>
      <c r="AO509" s="149"/>
      <c r="AP509" s="149"/>
    </row>
    <row r="510" spans="2:42">
      <c r="B510" s="221">
        <v>66</v>
      </c>
      <c r="C510" s="54" t="s">
        <v>370</v>
      </c>
      <c r="D510" s="223">
        <v>23.145553859761499</v>
      </c>
      <c r="E510" s="344">
        <v>0.33426789428044801</v>
      </c>
      <c r="F510" s="179">
        <v>23.89</v>
      </c>
      <c r="G510" s="179">
        <v>21.11</v>
      </c>
      <c r="H510" s="223">
        <v>20.178201440611801</v>
      </c>
      <c r="I510" s="297">
        <v>0.22847667406383096</v>
      </c>
      <c r="J510" s="149"/>
      <c r="K510" s="149"/>
      <c r="L510" s="149"/>
      <c r="M510" s="149"/>
      <c r="N510" s="149"/>
      <c r="O510" s="149"/>
      <c r="P510" s="149"/>
      <c r="Q510" s="149"/>
      <c r="R510" s="149"/>
      <c r="S510" s="149"/>
      <c r="T510" s="149"/>
      <c r="U510" s="149"/>
      <c r="V510" s="149"/>
      <c r="W510" s="149"/>
      <c r="X510" s="149"/>
      <c r="Y510" s="149"/>
      <c r="Z510" s="149"/>
      <c r="AA510" s="149"/>
      <c r="AB510" s="580">
        <f>HLOOKUP("*"&amp;'Output annual'!$AC$2&amp;'Output annual'!$AD$2&amp;"*Zone People Number Of Occupants [](Hourly)",'Eplus results'!$1:$1048576,ROW(),FALSE)</f>
        <v>0</v>
      </c>
      <c r="AC510" s="580">
        <f>HLOOKUP("*"&amp;'Output annual'!$AC$2&amp;'Output annual'!$AD$2&amp;"*FangerPMV(Hourly)",'Eplus results'!$1:$1048576,ROW(),FALSE)</f>
        <v>0</v>
      </c>
      <c r="AD510" s="580">
        <f t="shared" si="71"/>
        <v>5</v>
      </c>
      <c r="AE510" s="580">
        <f t="shared" si="72"/>
        <v>2.5</v>
      </c>
      <c r="AF510" s="580">
        <f t="shared" si="73"/>
        <v>2.5</v>
      </c>
      <c r="AG510" s="580">
        <f t="shared" si="74"/>
        <v>0</v>
      </c>
      <c r="AH510" s="580">
        <f t="shared" si="75"/>
        <v>0</v>
      </c>
      <c r="AI510" s="149"/>
      <c r="AJ510" s="149"/>
      <c r="AK510" s="149"/>
      <c r="AL510" s="149"/>
      <c r="AM510" s="149"/>
      <c r="AN510" s="149"/>
      <c r="AO510" s="149"/>
      <c r="AP510" s="149"/>
    </row>
    <row r="511" spans="2:42">
      <c r="B511" s="221">
        <v>67</v>
      </c>
      <c r="C511" s="54" t="s">
        <v>371</v>
      </c>
      <c r="D511" s="223">
        <v>21.859030126574702</v>
      </c>
      <c r="E511" s="344">
        <v>0.33183981472282698</v>
      </c>
      <c r="F511" s="179">
        <v>23.89</v>
      </c>
      <c r="G511" s="179">
        <v>21.11</v>
      </c>
      <c r="H511" s="223">
        <v>21.322626269994799</v>
      </c>
      <c r="I511" s="297">
        <v>0.25386030555146483</v>
      </c>
      <c r="J511" s="149"/>
      <c r="K511" s="149"/>
      <c r="L511" s="149"/>
      <c r="M511" s="149"/>
      <c r="N511" s="149"/>
      <c r="O511" s="149"/>
      <c r="P511" s="149"/>
      <c r="Q511" s="149"/>
      <c r="R511" s="149"/>
      <c r="S511" s="149"/>
      <c r="T511" s="149"/>
      <c r="U511" s="149"/>
      <c r="V511" s="149"/>
      <c r="W511" s="149"/>
      <c r="X511" s="149"/>
      <c r="Y511" s="149"/>
      <c r="Z511" s="149"/>
      <c r="AA511" s="149"/>
      <c r="AB511" s="580">
        <f>HLOOKUP("*"&amp;'Output annual'!$AC$2&amp;'Output annual'!$AD$2&amp;"*Zone People Number Of Occupants [](Hourly)",'Eplus results'!$1:$1048576,ROW(),FALSE)</f>
        <v>0</v>
      </c>
      <c r="AC511" s="580">
        <f>HLOOKUP("*"&amp;'Output annual'!$AC$2&amp;'Output annual'!$AD$2&amp;"*FangerPMV(Hourly)",'Eplus results'!$1:$1048576,ROW(),FALSE)</f>
        <v>0</v>
      </c>
      <c r="AD511" s="580">
        <f t="shared" si="71"/>
        <v>5</v>
      </c>
      <c r="AE511" s="580">
        <f t="shared" si="72"/>
        <v>2.5</v>
      </c>
      <c r="AF511" s="580">
        <f t="shared" si="73"/>
        <v>2.5</v>
      </c>
      <c r="AG511" s="580">
        <f t="shared" si="74"/>
        <v>0</v>
      </c>
      <c r="AH511" s="580">
        <f t="shared" si="75"/>
        <v>0</v>
      </c>
      <c r="AI511" s="149"/>
      <c r="AJ511" s="149"/>
      <c r="AK511" s="149"/>
      <c r="AL511" s="149"/>
      <c r="AM511" s="149"/>
      <c r="AN511" s="149"/>
      <c r="AO511" s="149"/>
      <c r="AP511" s="149"/>
    </row>
    <row r="512" spans="2:42">
      <c r="B512" s="221">
        <v>68</v>
      </c>
      <c r="C512" s="54" t="s">
        <v>372</v>
      </c>
      <c r="D512" s="223">
        <v>22.925624912825999</v>
      </c>
      <c r="E512" s="344">
        <v>0</v>
      </c>
      <c r="F512" s="179">
        <v>32.22</v>
      </c>
      <c r="G512" s="179">
        <v>12.78</v>
      </c>
      <c r="H512" s="223">
        <v>21.970213631506901</v>
      </c>
      <c r="I512" s="297">
        <v>0</v>
      </c>
      <c r="J512" s="149"/>
      <c r="K512" s="149"/>
      <c r="L512" s="149"/>
      <c r="M512" s="149"/>
      <c r="N512" s="149"/>
      <c r="O512" s="149"/>
      <c r="P512" s="149"/>
      <c r="Q512" s="149"/>
      <c r="R512" s="149"/>
      <c r="S512" s="149"/>
      <c r="T512" s="149"/>
      <c r="U512" s="149"/>
      <c r="V512" s="149"/>
      <c r="W512" s="149"/>
      <c r="X512" s="149"/>
      <c r="Y512" s="149"/>
      <c r="Z512" s="149"/>
      <c r="AA512" s="149"/>
      <c r="AB512" s="580">
        <f>HLOOKUP("*"&amp;'Output annual'!$AC$2&amp;'Output annual'!$AD$2&amp;"*Zone People Number Of Occupants [](Hourly)",'Eplus results'!$1:$1048576,ROW(),FALSE)</f>
        <v>0</v>
      </c>
      <c r="AC512" s="580">
        <f>HLOOKUP("*"&amp;'Output annual'!$AC$2&amp;'Output annual'!$AD$2&amp;"*FangerPMV(Hourly)",'Eplus results'!$1:$1048576,ROW(),FALSE)</f>
        <v>0</v>
      </c>
      <c r="AD512" s="580">
        <f t="shared" si="71"/>
        <v>5</v>
      </c>
      <c r="AE512" s="580">
        <f t="shared" si="72"/>
        <v>2.5</v>
      </c>
      <c r="AF512" s="580">
        <f t="shared" si="73"/>
        <v>2.5</v>
      </c>
      <c r="AG512" s="580">
        <f t="shared" si="74"/>
        <v>0</v>
      </c>
      <c r="AH512" s="580">
        <f t="shared" si="75"/>
        <v>0</v>
      </c>
      <c r="AI512" s="149"/>
      <c r="AJ512" s="149"/>
      <c r="AK512" s="149"/>
      <c r="AL512" s="149"/>
      <c r="AM512" s="149"/>
      <c r="AN512" s="149"/>
      <c r="AO512" s="149"/>
      <c r="AP512" s="149"/>
    </row>
    <row r="513" spans="2:42">
      <c r="B513" s="221">
        <v>69</v>
      </c>
      <c r="C513" s="54" t="s">
        <v>373</v>
      </c>
      <c r="D513" s="223">
        <v>22.154661787143301</v>
      </c>
      <c r="E513" s="344">
        <v>0</v>
      </c>
      <c r="F513" s="179">
        <v>32.22</v>
      </c>
      <c r="G513" s="179">
        <v>12.78</v>
      </c>
      <c r="H513" s="223">
        <v>22.5041014672247</v>
      </c>
      <c r="I513" s="297">
        <v>0</v>
      </c>
      <c r="J513" s="149"/>
      <c r="K513" s="149"/>
      <c r="L513" s="149"/>
      <c r="M513" s="149"/>
      <c r="N513" s="149"/>
      <c r="O513" s="149"/>
      <c r="P513" s="149"/>
      <c r="Q513" s="149"/>
      <c r="R513" s="149"/>
      <c r="S513" s="149"/>
      <c r="T513" s="149"/>
      <c r="U513" s="149"/>
      <c r="V513" s="149"/>
      <c r="W513" s="149"/>
      <c r="X513" s="149"/>
      <c r="Y513" s="149"/>
      <c r="Z513" s="149"/>
      <c r="AA513" s="149"/>
      <c r="AB513" s="580">
        <f>HLOOKUP("*"&amp;'Output annual'!$AC$2&amp;'Output annual'!$AD$2&amp;"*Zone People Number Of Occupants [](Hourly)",'Eplus results'!$1:$1048576,ROW(),FALSE)</f>
        <v>0</v>
      </c>
      <c r="AC513" s="580">
        <f>HLOOKUP("*"&amp;'Output annual'!$AC$2&amp;'Output annual'!$AD$2&amp;"*FangerPMV(Hourly)",'Eplus results'!$1:$1048576,ROW(),FALSE)</f>
        <v>0</v>
      </c>
      <c r="AD513" s="580">
        <f t="shared" si="71"/>
        <v>5</v>
      </c>
      <c r="AE513" s="580">
        <f t="shared" si="72"/>
        <v>2.5</v>
      </c>
      <c r="AF513" s="580">
        <f t="shared" si="73"/>
        <v>2.5</v>
      </c>
      <c r="AG513" s="580">
        <f t="shared" si="74"/>
        <v>0</v>
      </c>
      <c r="AH513" s="580">
        <f t="shared" si="75"/>
        <v>0</v>
      </c>
      <c r="AI513" s="149"/>
      <c r="AJ513" s="149"/>
      <c r="AK513" s="149"/>
      <c r="AL513" s="149"/>
      <c r="AM513" s="149"/>
      <c r="AN513" s="149"/>
      <c r="AO513" s="149"/>
      <c r="AP513" s="149"/>
    </row>
    <row r="514" spans="2:42">
      <c r="B514" s="221">
        <v>70</v>
      </c>
      <c r="C514" s="54" t="s">
        <v>374</v>
      </c>
      <c r="D514" s="223">
        <v>21.520704223327499</v>
      </c>
      <c r="E514" s="344">
        <v>0</v>
      </c>
      <c r="F514" s="179">
        <v>32.22</v>
      </c>
      <c r="G514" s="179">
        <v>12.78</v>
      </c>
      <c r="H514" s="223">
        <v>22.5044669650228</v>
      </c>
      <c r="I514" s="297">
        <v>0</v>
      </c>
      <c r="J514" s="149"/>
      <c r="K514" s="149"/>
      <c r="L514" s="149"/>
      <c r="M514" s="149"/>
      <c r="N514" s="149"/>
      <c r="O514" s="149"/>
      <c r="P514" s="149"/>
      <c r="Q514" s="149"/>
      <c r="R514" s="149"/>
      <c r="S514" s="149"/>
      <c r="T514" s="149"/>
      <c r="U514" s="149"/>
      <c r="V514" s="149"/>
      <c r="W514" s="149"/>
      <c r="X514" s="149"/>
      <c r="Y514" s="149"/>
      <c r="Z514" s="149"/>
      <c r="AA514" s="149"/>
      <c r="AB514" s="580">
        <f>HLOOKUP("*"&amp;'Output annual'!$AC$2&amp;'Output annual'!$AD$2&amp;"*Zone People Number Of Occupants [](Hourly)",'Eplus results'!$1:$1048576,ROW(),FALSE)</f>
        <v>0</v>
      </c>
      <c r="AC514" s="580">
        <f>HLOOKUP("*"&amp;'Output annual'!$AC$2&amp;'Output annual'!$AD$2&amp;"*FangerPMV(Hourly)",'Eplus results'!$1:$1048576,ROW(),FALSE)</f>
        <v>0</v>
      </c>
      <c r="AD514" s="580">
        <f t="shared" si="71"/>
        <v>5</v>
      </c>
      <c r="AE514" s="580">
        <f t="shared" si="72"/>
        <v>2.5</v>
      </c>
      <c r="AF514" s="580">
        <f t="shared" si="73"/>
        <v>2.5</v>
      </c>
      <c r="AG514" s="580">
        <f t="shared" si="74"/>
        <v>0</v>
      </c>
      <c r="AH514" s="580">
        <f t="shared" si="75"/>
        <v>0</v>
      </c>
      <c r="AI514" s="149"/>
      <c r="AJ514" s="149"/>
      <c r="AK514" s="149"/>
      <c r="AL514" s="149"/>
      <c r="AM514" s="149"/>
      <c r="AN514" s="149"/>
      <c r="AO514" s="149"/>
      <c r="AP514" s="149"/>
    </row>
    <row r="515" spans="2:42">
      <c r="B515" s="221">
        <v>71</v>
      </c>
      <c r="C515" s="54" t="s">
        <v>375</v>
      </c>
      <c r="D515" s="223">
        <v>20.9251080011399</v>
      </c>
      <c r="E515" s="344">
        <v>0</v>
      </c>
      <c r="F515" s="179">
        <v>32.22</v>
      </c>
      <c r="G515" s="179">
        <v>12.78</v>
      </c>
      <c r="H515" s="223">
        <v>22.426319016136201</v>
      </c>
      <c r="I515" s="297">
        <v>0</v>
      </c>
      <c r="J515" s="149"/>
      <c r="K515" s="149"/>
      <c r="L515" s="149"/>
      <c r="M515" s="149"/>
      <c r="N515" s="149"/>
      <c r="O515" s="149"/>
      <c r="P515" s="149"/>
      <c r="Q515" s="149"/>
      <c r="R515" s="149"/>
      <c r="S515" s="149"/>
      <c r="T515" s="149"/>
      <c r="U515" s="149"/>
      <c r="V515" s="149"/>
      <c r="W515" s="149"/>
      <c r="X515" s="149"/>
      <c r="Y515" s="149"/>
      <c r="Z515" s="149"/>
      <c r="AA515" s="149"/>
      <c r="AB515" s="580">
        <f>HLOOKUP("*"&amp;'Output annual'!$AC$2&amp;'Output annual'!$AD$2&amp;"*Zone People Number Of Occupants [](Hourly)",'Eplus results'!$1:$1048576,ROW(),FALSE)</f>
        <v>0</v>
      </c>
      <c r="AC515" s="580">
        <f>HLOOKUP("*"&amp;'Output annual'!$AC$2&amp;'Output annual'!$AD$2&amp;"*FangerPMV(Hourly)",'Eplus results'!$1:$1048576,ROW(),FALSE)</f>
        <v>0</v>
      </c>
      <c r="AD515" s="580">
        <f t="shared" ref="AD515:AD578" si="76">100-95*EXP(-0.03353*AC515^4-0.2179*AC515^2)</f>
        <v>5</v>
      </c>
      <c r="AE515" s="580">
        <f t="shared" ref="AE515:AE578" si="77">AD515*(1/(1+EXP(-6.3*$AC515)))</f>
        <v>2.5</v>
      </c>
      <c r="AF515" s="580">
        <f t="shared" ref="AF515:AF578" si="78">(AD515-AE515)</f>
        <v>2.5</v>
      </c>
      <c r="AG515" s="580">
        <f t="shared" ref="AG515:AG578" si="79">AE515*AB515</f>
        <v>0</v>
      </c>
      <c r="AH515" s="580">
        <f t="shared" ref="AH515:AH578" si="80">AF515*AB515</f>
        <v>0</v>
      </c>
      <c r="AI515" s="149"/>
      <c r="AJ515" s="149"/>
      <c r="AK515" s="149"/>
      <c r="AL515" s="149"/>
      <c r="AM515" s="149"/>
      <c r="AN515" s="149"/>
      <c r="AO515" s="149"/>
      <c r="AP515" s="149"/>
    </row>
    <row r="516" spans="2:42">
      <c r="B516" s="221">
        <v>72</v>
      </c>
      <c r="C516" s="54" t="s">
        <v>376</v>
      </c>
      <c r="D516" s="223">
        <v>20.345991561873198</v>
      </c>
      <c r="E516" s="344">
        <v>0</v>
      </c>
      <c r="F516" s="179">
        <v>32.22</v>
      </c>
      <c r="G516" s="179">
        <v>12.78</v>
      </c>
      <c r="H516" s="223">
        <v>22.306039321488601</v>
      </c>
      <c r="I516" s="297">
        <v>0</v>
      </c>
      <c r="J516" s="149"/>
      <c r="K516" s="149"/>
      <c r="L516" s="149"/>
      <c r="M516" s="149"/>
      <c r="N516" s="149"/>
      <c r="O516" s="149"/>
      <c r="P516" s="149"/>
      <c r="Q516" s="149"/>
      <c r="R516" s="149"/>
      <c r="S516" s="149"/>
      <c r="T516" s="149"/>
      <c r="U516" s="149"/>
      <c r="V516" s="149"/>
      <c r="W516" s="149"/>
      <c r="X516" s="149"/>
      <c r="Y516" s="149"/>
      <c r="Z516" s="149"/>
      <c r="AA516" s="149"/>
      <c r="AB516" s="580">
        <f>HLOOKUP("*"&amp;'Output annual'!$AC$2&amp;'Output annual'!$AD$2&amp;"*Zone People Number Of Occupants [](Hourly)",'Eplus results'!$1:$1048576,ROW(),FALSE)</f>
        <v>0</v>
      </c>
      <c r="AC516" s="580">
        <f>HLOOKUP("*"&amp;'Output annual'!$AC$2&amp;'Output annual'!$AD$2&amp;"*FangerPMV(Hourly)",'Eplus results'!$1:$1048576,ROW(),FALSE)</f>
        <v>0</v>
      </c>
      <c r="AD516" s="580">
        <f t="shared" si="76"/>
        <v>5</v>
      </c>
      <c r="AE516" s="580">
        <f t="shared" si="77"/>
        <v>2.5</v>
      </c>
      <c r="AF516" s="580">
        <f t="shared" si="78"/>
        <v>2.5</v>
      </c>
      <c r="AG516" s="580">
        <f t="shared" si="79"/>
        <v>0</v>
      </c>
      <c r="AH516" s="580">
        <f t="shared" si="80"/>
        <v>0</v>
      </c>
      <c r="AI516" s="149"/>
      <c r="AJ516" s="149"/>
      <c r="AK516" s="149"/>
      <c r="AL516" s="149"/>
      <c r="AM516" s="149"/>
      <c r="AN516" s="149"/>
      <c r="AO516" s="149"/>
      <c r="AP516" s="149"/>
    </row>
    <row r="517" spans="2:42">
      <c r="B517" s="221">
        <v>73</v>
      </c>
      <c r="C517" s="54" t="s">
        <v>377</v>
      </c>
      <c r="D517" s="223">
        <v>19.7810648487458</v>
      </c>
      <c r="E517" s="344">
        <v>0</v>
      </c>
      <c r="F517" s="179">
        <v>32.22</v>
      </c>
      <c r="G517" s="179">
        <v>12.78</v>
      </c>
      <c r="H517" s="223">
        <v>22.160155022406201</v>
      </c>
      <c r="I517" s="297">
        <v>0</v>
      </c>
      <c r="J517" s="149"/>
      <c r="K517" s="149"/>
      <c r="L517" s="149"/>
      <c r="M517" s="149"/>
      <c r="N517" s="149"/>
      <c r="O517" s="149"/>
      <c r="P517" s="149"/>
      <c r="Q517" s="149"/>
      <c r="R517" s="149"/>
      <c r="S517" s="149"/>
      <c r="T517" s="149"/>
      <c r="U517" s="149"/>
      <c r="V517" s="149"/>
      <c r="W517" s="149"/>
      <c r="X517" s="149"/>
      <c r="Y517" s="149"/>
      <c r="Z517" s="149"/>
      <c r="AA517" s="149"/>
      <c r="AB517" s="580">
        <f>HLOOKUP("*"&amp;'Output annual'!$AC$2&amp;'Output annual'!$AD$2&amp;"*Zone People Number Of Occupants [](Hourly)",'Eplus results'!$1:$1048576,ROW(),FALSE)</f>
        <v>0</v>
      </c>
      <c r="AC517" s="580">
        <f>HLOOKUP("*"&amp;'Output annual'!$AC$2&amp;'Output annual'!$AD$2&amp;"*FangerPMV(Hourly)",'Eplus results'!$1:$1048576,ROW(),FALSE)</f>
        <v>0</v>
      </c>
      <c r="AD517" s="580">
        <f t="shared" si="76"/>
        <v>5</v>
      </c>
      <c r="AE517" s="580">
        <f t="shared" si="77"/>
        <v>2.5</v>
      </c>
      <c r="AF517" s="580">
        <f t="shared" si="78"/>
        <v>2.5</v>
      </c>
      <c r="AG517" s="580">
        <f t="shared" si="79"/>
        <v>0</v>
      </c>
      <c r="AH517" s="580">
        <f t="shared" si="80"/>
        <v>0</v>
      </c>
      <c r="AI517" s="149"/>
      <c r="AJ517" s="149"/>
      <c r="AK517" s="149"/>
      <c r="AL517" s="149"/>
      <c r="AM517" s="149"/>
      <c r="AN517" s="149"/>
      <c r="AO517" s="149"/>
      <c r="AP517" s="149"/>
    </row>
    <row r="518" spans="2:42">
      <c r="B518" s="221">
        <v>74</v>
      </c>
      <c r="C518" s="54" t="s">
        <v>378</v>
      </c>
      <c r="D518" s="223">
        <v>19.2425849197502</v>
      </c>
      <c r="E518" s="344">
        <v>0</v>
      </c>
      <c r="F518" s="179">
        <v>32.22</v>
      </c>
      <c r="G518" s="179">
        <v>12.78</v>
      </c>
      <c r="H518" s="223">
        <v>21.9927406418023</v>
      </c>
      <c r="I518" s="297">
        <v>0</v>
      </c>
      <c r="J518" s="149"/>
      <c r="K518" s="149"/>
      <c r="L518" s="149"/>
      <c r="M518" s="149"/>
      <c r="N518" s="149"/>
      <c r="O518" s="149"/>
      <c r="P518" s="149"/>
      <c r="Q518" s="149"/>
      <c r="R518" s="149"/>
      <c r="S518" s="149"/>
      <c r="T518" s="149"/>
      <c r="U518" s="149"/>
      <c r="V518" s="149"/>
      <c r="W518" s="149"/>
      <c r="X518" s="149"/>
      <c r="Y518" s="149"/>
      <c r="Z518" s="149"/>
      <c r="AA518" s="149"/>
      <c r="AB518" s="580">
        <f>HLOOKUP("*"&amp;'Output annual'!$AC$2&amp;'Output annual'!$AD$2&amp;"*Zone People Number Of Occupants [](Hourly)",'Eplus results'!$1:$1048576,ROW(),FALSE)</f>
        <v>0</v>
      </c>
      <c r="AC518" s="580">
        <f>HLOOKUP("*"&amp;'Output annual'!$AC$2&amp;'Output annual'!$AD$2&amp;"*FangerPMV(Hourly)",'Eplus results'!$1:$1048576,ROW(),FALSE)</f>
        <v>0</v>
      </c>
      <c r="AD518" s="580">
        <f t="shared" si="76"/>
        <v>5</v>
      </c>
      <c r="AE518" s="580">
        <f t="shared" si="77"/>
        <v>2.5</v>
      </c>
      <c r="AF518" s="580">
        <f t="shared" si="78"/>
        <v>2.5</v>
      </c>
      <c r="AG518" s="580">
        <f t="shared" si="79"/>
        <v>0</v>
      </c>
      <c r="AH518" s="580">
        <f t="shared" si="80"/>
        <v>0</v>
      </c>
      <c r="AI518" s="149"/>
      <c r="AJ518" s="149"/>
      <c r="AK518" s="149"/>
      <c r="AL518" s="149"/>
      <c r="AM518" s="149"/>
      <c r="AN518" s="149"/>
      <c r="AO518" s="149"/>
      <c r="AP518" s="149"/>
    </row>
    <row r="519" spans="2:42">
      <c r="B519" s="221">
        <v>75</v>
      </c>
      <c r="C519" s="54" t="s">
        <v>379</v>
      </c>
      <c r="D519" s="223">
        <v>18.7395665948683</v>
      </c>
      <c r="E519" s="344">
        <v>0</v>
      </c>
      <c r="F519" s="179">
        <v>32.22</v>
      </c>
      <c r="G519" s="179">
        <v>12.78</v>
      </c>
      <c r="H519" s="223">
        <v>21.807877018109</v>
      </c>
      <c r="I519" s="297">
        <v>0</v>
      </c>
      <c r="J519" s="149"/>
      <c r="K519" s="149"/>
      <c r="L519" s="149"/>
      <c r="M519" s="149"/>
      <c r="N519" s="149"/>
      <c r="O519" s="149"/>
      <c r="P519" s="149"/>
      <c r="Q519" s="149"/>
      <c r="R519" s="149"/>
      <c r="S519" s="149"/>
      <c r="T519" s="149"/>
      <c r="U519" s="149"/>
      <c r="V519" s="149"/>
      <c r="W519" s="149"/>
      <c r="X519" s="149"/>
      <c r="Y519" s="149"/>
      <c r="Z519" s="149"/>
      <c r="AA519" s="149"/>
      <c r="AB519" s="580">
        <f>HLOOKUP("*"&amp;'Output annual'!$AC$2&amp;'Output annual'!$AD$2&amp;"*Zone People Number Of Occupants [](Hourly)",'Eplus results'!$1:$1048576,ROW(),FALSE)</f>
        <v>0</v>
      </c>
      <c r="AC519" s="580">
        <f>HLOOKUP("*"&amp;'Output annual'!$AC$2&amp;'Output annual'!$AD$2&amp;"*FangerPMV(Hourly)",'Eplus results'!$1:$1048576,ROW(),FALSE)</f>
        <v>0</v>
      </c>
      <c r="AD519" s="580">
        <f t="shared" si="76"/>
        <v>5</v>
      </c>
      <c r="AE519" s="580">
        <f t="shared" si="77"/>
        <v>2.5</v>
      </c>
      <c r="AF519" s="580">
        <f t="shared" si="78"/>
        <v>2.5</v>
      </c>
      <c r="AG519" s="580">
        <f t="shared" si="79"/>
        <v>0</v>
      </c>
      <c r="AH519" s="580">
        <f t="shared" si="80"/>
        <v>0</v>
      </c>
      <c r="AI519" s="149"/>
      <c r="AJ519" s="149"/>
      <c r="AK519" s="149"/>
      <c r="AL519" s="149"/>
      <c r="AM519" s="149"/>
      <c r="AN519" s="149"/>
      <c r="AO519" s="149"/>
      <c r="AP519" s="149"/>
    </row>
    <row r="520" spans="2:42">
      <c r="B520" s="221">
        <v>76</v>
      </c>
      <c r="C520" s="54" t="s">
        <v>380</v>
      </c>
      <c r="D520" s="223">
        <v>18.272736914423799</v>
      </c>
      <c r="E520" s="344">
        <v>0</v>
      </c>
      <c r="F520" s="179">
        <v>32.22</v>
      </c>
      <c r="G520" s="179">
        <v>12.78</v>
      </c>
      <c r="H520" s="223">
        <v>21.609182098978302</v>
      </c>
      <c r="I520" s="297">
        <v>0</v>
      </c>
      <c r="J520" s="149"/>
      <c r="K520" s="149"/>
      <c r="L520" s="149"/>
      <c r="M520" s="149"/>
      <c r="N520" s="149"/>
      <c r="O520" s="149"/>
      <c r="P520" s="149"/>
      <c r="Q520" s="149"/>
      <c r="R520" s="149"/>
      <c r="S520" s="149"/>
      <c r="T520" s="149"/>
      <c r="U520" s="149"/>
      <c r="V520" s="149"/>
      <c r="W520" s="149"/>
      <c r="X520" s="149"/>
      <c r="Y520" s="149"/>
      <c r="Z520" s="149"/>
      <c r="AA520" s="149"/>
      <c r="AB520" s="580">
        <f>HLOOKUP("*"&amp;'Output annual'!$AC$2&amp;'Output annual'!$AD$2&amp;"*Zone People Number Of Occupants [](Hourly)",'Eplus results'!$1:$1048576,ROW(),FALSE)</f>
        <v>0</v>
      </c>
      <c r="AC520" s="580">
        <f>HLOOKUP("*"&amp;'Output annual'!$AC$2&amp;'Output annual'!$AD$2&amp;"*FangerPMV(Hourly)",'Eplus results'!$1:$1048576,ROW(),FALSE)</f>
        <v>0</v>
      </c>
      <c r="AD520" s="580">
        <f t="shared" si="76"/>
        <v>5</v>
      </c>
      <c r="AE520" s="580">
        <f t="shared" si="77"/>
        <v>2.5</v>
      </c>
      <c r="AF520" s="580">
        <f t="shared" si="78"/>
        <v>2.5</v>
      </c>
      <c r="AG520" s="580">
        <f t="shared" si="79"/>
        <v>0</v>
      </c>
      <c r="AH520" s="580">
        <f t="shared" si="80"/>
        <v>0</v>
      </c>
      <c r="AI520" s="149"/>
      <c r="AJ520" s="149"/>
      <c r="AK520" s="149"/>
      <c r="AL520" s="149"/>
      <c r="AM520" s="149"/>
      <c r="AN520" s="149"/>
      <c r="AO520" s="149"/>
      <c r="AP520" s="149"/>
    </row>
    <row r="521" spans="2:42">
      <c r="B521" s="221">
        <v>77</v>
      </c>
      <c r="C521" s="54" t="s">
        <v>381</v>
      </c>
      <c r="D521" s="223">
        <v>17.836793484439099</v>
      </c>
      <c r="E521" s="344">
        <v>0</v>
      </c>
      <c r="F521" s="179">
        <v>32.22</v>
      </c>
      <c r="G521" s="179">
        <v>12.78</v>
      </c>
      <c r="H521" s="223">
        <v>21.400011238207899</v>
      </c>
      <c r="I521" s="297">
        <v>0</v>
      </c>
      <c r="J521" s="149"/>
      <c r="K521" s="149"/>
      <c r="L521" s="149"/>
      <c r="M521" s="149"/>
      <c r="N521" s="149"/>
      <c r="O521" s="149"/>
      <c r="P521" s="149"/>
      <c r="Q521" s="149"/>
      <c r="R521" s="149"/>
      <c r="S521" s="149"/>
      <c r="T521" s="149"/>
      <c r="U521" s="149"/>
      <c r="V521" s="149"/>
      <c r="W521" s="149"/>
      <c r="X521" s="149"/>
      <c r="Y521" s="149"/>
      <c r="Z521" s="149"/>
      <c r="AA521" s="149"/>
      <c r="AB521" s="580">
        <f>HLOOKUP("*"&amp;'Output annual'!$AC$2&amp;'Output annual'!$AD$2&amp;"*Zone People Number Of Occupants [](Hourly)",'Eplus results'!$1:$1048576,ROW(),FALSE)</f>
        <v>0</v>
      </c>
      <c r="AC521" s="580">
        <f>HLOOKUP("*"&amp;'Output annual'!$AC$2&amp;'Output annual'!$AD$2&amp;"*FangerPMV(Hourly)",'Eplus results'!$1:$1048576,ROW(),FALSE)</f>
        <v>0</v>
      </c>
      <c r="AD521" s="580">
        <f t="shared" si="76"/>
        <v>5</v>
      </c>
      <c r="AE521" s="580">
        <f t="shared" si="77"/>
        <v>2.5</v>
      </c>
      <c r="AF521" s="580">
        <f t="shared" si="78"/>
        <v>2.5</v>
      </c>
      <c r="AG521" s="580">
        <f t="shared" si="79"/>
        <v>0</v>
      </c>
      <c r="AH521" s="580">
        <f t="shared" si="80"/>
        <v>0</v>
      </c>
      <c r="AI521" s="149"/>
      <c r="AJ521" s="149"/>
      <c r="AK521" s="149"/>
      <c r="AL521" s="149"/>
      <c r="AM521" s="149"/>
      <c r="AN521" s="149"/>
      <c r="AO521" s="149"/>
      <c r="AP521" s="149"/>
    </row>
    <row r="522" spans="2:42">
      <c r="B522" s="221">
        <v>78</v>
      </c>
      <c r="C522" s="54" t="s">
        <v>382</v>
      </c>
      <c r="D522" s="223">
        <v>17.425487572825499</v>
      </c>
      <c r="E522" s="344">
        <v>0</v>
      </c>
      <c r="F522" s="179">
        <v>32.22</v>
      </c>
      <c r="G522" s="179">
        <v>12.78</v>
      </c>
      <c r="H522" s="223">
        <v>21.183258251465102</v>
      </c>
      <c r="I522" s="297">
        <v>0</v>
      </c>
      <c r="J522" s="149"/>
      <c r="K522" s="149"/>
      <c r="L522" s="149"/>
      <c r="M522" s="149"/>
      <c r="N522" s="149"/>
      <c r="O522" s="149"/>
      <c r="P522" s="149"/>
      <c r="Q522" s="149"/>
      <c r="R522" s="149"/>
      <c r="S522" s="149"/>
      <c r="T522" s="149"/>
      <c r="U522" s="149"/>
      <c r="V522" s="149"/>
      <c r="W522" s="149"/>
      <c r="X522" s="149"/>
      <c r="Y522" s="149"/>
      <c r="Z522" s="149"/>
      <c r="AA522" s="149"/>
      <c r="AB522" s="580">
        <f>HLOOKUP("*"&amp;'Output annual'!$AC$2&amp;'Output annual'!$AD$2&amp;"*Zone People Number Of Occupants [](Hourly)",'Eplus results'!$1:$1048576,ROW(),FALSE)</f>
        <v>0</v>
      </c>
      <c r="AC522" s="580">
        <f>HLOOKUP("*"&amp;'Output annual'!$AC$2&amp;'Output annual'!$AD$2&amp;"*FangerPMV(Hourly)",'Eplus results'!$1:$1048576,ROW(),FALSE)</f>
        <v>0</v>
      </c>
      <c r="AD522" s="580">
        <f t="shared" si="76"/>
        <v>5</v>
      </c>
      <c r="AE522" s="580">
        <f t="shared" si="77"/>
        <v>2.5</v>
      </c>
      <c r="AF522" s="580">
        <f t="shared" si="78"/>
        <v>2.5</v>
      </c>
      <c r="AG522" s="580">
        <f t="shared" si="79"/>
        <v>0</v>
      </c>
      <c r="AH522" s="580">
        <f t="shared" si="80"/>
        <v>0</v>
      </c>
      <c r="AI522" s="149"/>
      <c r="AJ522" s="149"/>
      <c r="AK522" s="149"/>
      <c r="AL522" s="149"/>
      <c r="AM522" s="149"/>
      <c r="AN522" s="149"/>
      <c r="AO522" s="149"/>
      <c r="AP522" s="149"/>
    </row>
    <row r="523" spans="2:42">
      <c r="B523" s="221">
        <v>79</v>
      </c>
      <c r="C523" s="54" t="s">
        <v>383</v>
      </c>
      <c r="D523" s="223">
        <v>17.411331538909</v>
      </c>
      <c r="E523" s="344">
        <v>0.33183981472282698</v>
      </c>
      <c r="F523" s="179">
        <v>23.89</v>
      </c>
      <c r="G523" s="179">
        <v>21.11</v>
      </c>
      <c r="H523" s="223">
        <v>19.880163463724799</v>
      </c>
      <c r="I523" s="297">
        <v>0</v>
      </c>
      <c r="J523" s="149"/>
      <c r="K523" s="149"/>
      <c r="L523" s="149"/>
      <c r="M523" s="149"/>
      <c r="N523" s="149"/>
      <c r="O523" s="149"/>
      <c r="P523" s="149"/>
      <c r="Q523" s="149"/>
      <c r="R523" s="149"/>
      <c r="S523" s="149"/>
      <c r="T523" s="149"/>
      <c r="U523" s="149"/>
      <c r="V523" s="149"/>
      <c r="W523" s="149"/>
      <c r="X523" s="149"/>
      <c r="Y523" s="149"/>
      <c r="Z523" s="149"/>
      <c r="AA523" s="149"/>
      <c r="AB523" s="580">
        <f>HLOOKUP("*"&amp;'Output annual'!$AC$2&amp;'Output annual'!$AD$2&amp;"*Zone People Number Of Occupants [](Hourly)",'Eplus results'!$1:$1048576,ROW(),FALSE)</f>
        <v>0</v>
      </c>
      <c r="AC523" s="580">
        <f>HLOOKUP("*"&amp;'Output annual'!$AC$2&amp;'Output annual'!$AD$2&amp;"*FangerPMV(Hourly)",'Eplus results'!$1:$1048576,ROW(),FALSE)</f>
        <v>0</v>
      </c>
      <c r="AD523" s="580">
        <f t="shared" si="76"/>
        <v>5</v>
      </c>
      <c r="AE523" s="580">
        <f t="shared" si="77"/>
        <v>2.5</v>
      </c>
      <c r="AF523" s="580">
        <f t="shared" si="78"/>
        <v>2.5</v>
      </c>
      <c r="AG523" s="580">
        <f t="shared" si="79"/>
        <v>0</v>
      </c>
      <c r="AH523" s="580">
        <f t="shared" si="80"/>
        <v>0</v>
      </c>
      <c r="AI523" s="149"/>
      <c r="AJ523" s="149"/>
      <c r="AK523" s="149"/>
      <c r="AL523" s="149"/>
      <c r="AM523" s="149"/>
      <c r="AN523" s="149"/>
      <c r="AO523" s="149"/>
      <c r="AP523" s="149"/>
    </row>
    <row r="524" spans="2:42">
      <c r="B524" s="221">
        <v>80</v>
      </c>
      <c r="C524" s="54" t="s">
        <v>384</v>
      </c>
      <c r="D524" s="223">
        <v>17.9362020352985</v>
      </c>
      <c r="E524" s="344">
        <v>0.33183981472282698</v>
      </c>
      <c r="F524" s="179">
        <v>23.89</v>
      </c>
      <c r="G524" s="179">
        <v>21.11</v>
      </c>
      <c r="H524" s="223">
        <v>19.380172313227298</v>
      </c>
      <c r="I524" s="297">
        <v>0</v>
      </c>
      <c r="J524" s="149"/>
      <c r="K524" s="149"/>
      <c r="L524" s="149"/>
      <c r="M524" s="149"/>
      <c r="N524" s="149"/>
      <c r="O524" s="149"/>
      <c r="P524" s="149"/>
      <c r="Q524" s="149"/>
      <c r="R524" s="149"/>
      <c r="S524" s="149"/>
      <c r="T524" s="149"/>
      <c r="U524" s="149"/>
      <c r="V524" s="149"/>
      <c r="W524" s="149"/>
      <c r="X524" s="149"/>
      <c r="Y524" s="149"/>
      <c r="Z524" s="149"/>
      <c r="AA524" s="149"/>
      <c r="AB524" s="580">
        <f>HLOOKUP("*"&amp;'Output annual'!$AC$2&amp;'Output annual'!$AD$2&amp;"*Zone People Number Of Occupants [](Hourly)",'Eplus results'!$1:$1048576,ROW(),FALSE)</f>
        <v>0</v>
      </c>
      <c r="AC524" s="580">
        <f>HLOOKUP("*"&amp;'Output annual'!$AC$2&amp;'Output annual'!$AD$2&amp;"*FangerPMV(Hourly)",'Eplus results'!$1:$1048576,ROW(),FALSE)</f>
        <v>0</v>
      </c>
      <c r="AD524" s="580">
        <f t="shared" si="76"/>
        <v>5</v>
      </c>
      <c r="AE524" s="580">
        <f t="shared" si="77"/>
        <v>2.5</v>
      </c>
      <c r="AF524" s="580">
        <f t="shared" si="78"/>
        <v>2.5</v>
      </c>
      <c r="AG524" s="580">
        <f t="shared" si="79"/>
        <v>0</v>
      </c>
      <c r="AH524" s="580">
        <f t="shared" si="80"/>
        <v>0</v>
      </c>
      <c r="AI524" s="149"/>
      <c r="AJ524" s="149"/>
      <c r="AK524" s="149"/>
      <c r="AL524" s="149"/>
      <c r="AM524" s="149"/>
      <c r="AN524" s="149"/>
      <c r="AO524" s="149"/>
      <c r="AP524" s="149"/>
    </row>
    <row r="525" spans="2:42">
      <c r="B525" s="221">
        <v>81</v>
      </c>
      <c r="C525" s="54" t="s">
        <v>385</v>
      </c>
      <c r="D525" s="223">
        <v>18.6772669816987</v>
      </c>
      <c r="E525" s="344">
        <v>0.33183981472282698</v>
      </c>
      <c r="F525" s="179">
        <v>23.89</v>
      </c>
      <c r="G525" s="179">
        <v>21.11</v>
      </c>
      <c r="H525" s="223">
        <v>19.2177339616373</v>
      </c>
      <c r="I525" s="297">
        <v>0</v>
      </c>
      <c r="J525" s="149"/>
      <c r="K525" s="149"/>
      <c r="L525" s="149"/>
      <c r="M525" s="149"/>
      <c r="N525" s="149"/>
      <c r="O525" s="149"/>
      <c r="P525" s="149"/>
      <c r="Q525" s="149"/>
      <c r="R525" s="149"/>
      <c r="S525" s="149"/>
      <c r="T525" s="149"/>
      <c r="U525" s="149"/>
      <c r="V525" s="149"/>
      <c r="W525" s="149"/>
      <c r="X525" s="149"/>
      <c r="Y525" s="149"/>
      <c r="Z525" s="149"/>
      <c r="AA525" s="149"/>
      <c r="AB525" s="580">
        <f>HLOOKUP("*"&amp;'Output annual'!$AC$2&amp;'Output annual'!$AD$2&amp;"*Zone People Number Of Occupants [](Hourly)",'Eplus results'!$1:$1048576,ROW(),FALSE)</f>
        <v>0</v>
      </c>
      <c r="AC525" s="580">
        <f>HLOOKUP("*"&amp;'Output annual'!$AC$2&amp;'Output annual'!$AD$2&amp;"*FangerPMV(Hourly)",'Eplus results'!$1:$1048576,ROW(),FALSE)</f>
        <v>0</v>
      </c>
      <c r="AD525" s="580">
        <f t="shared" si="76"/>
        <v>5</v>
      </c>
      <c r="AE525" s="580">
        <f t="shared" si="77"/>
        <v>2.5</v>
      </c>
      <c r="AF525" s="580">
        <f t="shared" si="78"/>
        <v>2.5</v>
      </c>
      <c r="AG525" s="580">
        <f t="shared" si="79"/>
        <v>0</v>
      </c>
      <c r="AH525" s="580">
        <f t="shared" si="80"/>
        <v>0</v>
      </c>
      <c r="AI525" s="149"/>
      <c r="AJ525" s="149"/>
      <c r="AK525" s="149"/>
      <c r="AL525" s="149"/>
      <c r="AM525" s="149"/>
      <c r="AN525" s="149"/>
      <c r="AO525" s="149"/>
      <c r="AP525" s="149"/>
    </row>
    <row r="526" spans="2:42">
      <c r="B526" s="221">
        <v>82</v>
      </c>
      <c r="C526" s="54" t="s">
        <v>386</v>
      </c>
      <c r="D526" s="223">
        <v>19.231517660392701</v>
      </c>
      <c r="E526" s="344">
        <v>0.33183981472282698</v>
      </c>
      <c r="F526" s="179">
        <v>23.89</v>
      </c>
      <c r="G526" s="179">
        <v>21.11</v>
      </c>
      <c r="H526" s="223">
        <v>19.240852268851398</v>
      </c>
      <c r="I526" s="297">
        <v>2.4642719705227089E-2</v>
      </c>
      <c r="J526" s="149"/>
      <c r="K526" s="149"/>
      <c r="L526" s="149"/>
      <c r="M526" s="149"/>
      <c r="N526" s="149"/>
      <c r="O526" s="149"/>
      <c r="P526" s="149"/>
      <c r="Q526" s="149"/>
      <c r="R526" s="149"/>
      <c r="S526" s="149"/>
      <c r="T526" s="149"/>
      <c r="U526" s="149"/>
      <c r="V526" s="149"/>
      <c r="W526" s="149"/>
      <c r="X526" s="149"/>
      <c r="Y526" s="149"/>
      <c r="Z526" s="149"/>
      <c r="AA526" s="149"/>
      <c r="AB526" s="580">
        <f>HLOOKUP("*"&amp;'Output annual'!$AC$2&amp;'Output annual'!$AD$2&amp;"*Zone People Number Of Occupants [](Hourly)",'Eplus results'!$1:$1048576,ROW(),FALSE)</f>
        <v>0</v>
      </c>
      <c r="AC526" s="580">
        <f>HLOOKUP("*"&amp;'Output annual'!$AC$2&amp;'Output annual'!$AD$2&amp;"*FangerPMV(Hourly)",'Eplus results'!$1:$1048576,ROW(),FALSE)</f>
        <v>0</v>
      </c>
      <c r="AD526" s="580">
        <f t="shared" si="76"/>
        <v>5</v>
      </c>
      <c r="AE526" s="580">
        <f t="shared" si="77"/>
        <v>2.5</v>
      </c>
      <c r="AF526" s="580">
        <f t="shared" si="78"/>
        <v>2.5</v>
      </c>
      <c r="AG526" s="580">
        <f t="shared" si="79"/>
        <v>0</v>
      </c>
      <c r="AH526" s="580">
        <f t="shared" si="80"/>
        <v>0</v>
      </c>
      <c r="AI526" s="149"/>
      <c r="AJ526" s="149"/>
      <c r="AK526" s="149"/>
      <c r="AL526" s="149"/>
      <c r="AM526" s="149"/>
      <c r="AN526" s="149"/>
      <c r="AO526" s="149"/>
      <c r="AP526" s="149"/>
    </row>
    <row r="527" spans="2:42">
      <c r="B527" s="221">
        <v>83</v>
      </c>
      <c r="C527" s="54" t="s">
        <v>414</v>
      </c>
      <c r="D527" s="223">
        <v>19.121927983620001</v>
      </c>
      <c r="E527" s="344">
        <v>0.33183981472282698</v>
      </c>
      <c r="F527" s="179">
        <v>23.89</v>
      </c>
      <c r="G527" s="179">
        <v>21.11</v>
      </c>
      <c r="H527" s="223">
        <v>18.836331401754499</v>
      </c>
      <c r="I527" s="297">
        <v>0.11918960165744312</v>
      </c>
      <c r="J527" s="149"/>
      <c r="K527" s="149"/>
      <c r="L527" s="149"/>
      <c r="M527" s="149"/>
      <c r="N527" s="149"/>
      <c r="O527" s="149"/>
      <c r="P527" s="149"/>
      <c r="Q527" s="149"/>
      <c r="R527" s="149"/>
      <c r="S527" s="149"/>
      <c r="T527" s="149"/>
      <c r="U527" s="149"/>
      <c r="V527" s="149"/>
      <c r="W527" s="149"/>
      <c r="X527" s="149"/>
      <c r="Y527" s="149"/>
      <c r="Z527" s="149"/>
      <c r="AA527" s="149"/>
      <c r="AB527" s="580">
        <f>HLOOKUP("*"&amp;'Output annual'!$AC$2&amp;'Output annual'!$AD$2&amp;"*Zone People Number Of Occupants [](Hourly)",'Eplus results'!$1:$1048576,ROW(),FALSE)</f>
        <v>0</v>
      </c>
      <c r="AC527" s="580">
        <f>HLOOKUP("*"&amp;'Output annual'!$AC$2&amp;'Output annual'!$AD$2&amp;"*FangerPMV(Hourly)",'Eplus results'!$1:$1048576,ROW(),FALSE)</f>
        <v>0</v>
      </c>
      <c r="AD527" s="580">
        <f t="shared" si="76"/>
        <v>5</v>
      </c>
      <c r="AE527" s="580">
        <f t="shared" si="77"/>
        <v>2.5</v>
      </c>
      <c r="AF527" s="580">
        <f t="shared" si="78"/>
        <v>2.5</v>
      </c>
      <c r="AG527" s="580">
        <f t="shared" si="79"/>
        <v>0</v>
      </c>
      <c r="AH527" s="580">
        <f t="shared" si="80"/>
        <v>0</v>
      </c>
      <c r="AI527" s="149"/>
      <c r="AJ527" s="149"/>
      <c r="AK527" s="149"/>
      <c r="AL527" s="149"/>
      <c r="AM527" s="149"/>
      <c r="AN527" s="149"/>
      <c r="AO527" s="149"/>
      <c r="AP527" s="149"/>
    </row>
    <row r="528" spans="2:42">
      <c r="B528" s="221">
        <v>84</v>
      </c>
      <c r="C528" s="54" t="s">
        <v>415</v>
      </c>
      <c r="D528" s="223">
        <v>19.7520777727362</v>
      </c>
      <c r="E528" s="344">
        <v>0.33183981472282698</v>
      </c>
      <c r="F528" s="179">
        <v>23.89</v>
      </c>
      <c r="G528" s="179">
        <v>21.11</v>
      </c>
      <c r="H528" s="223">
        <v>18.599070397570902</v>
      </c>
      <c r="I528" s="297">
        <v>0.17209182169898005</v>
      </c>
      <c r="J528" s="149"/>
      <c r="K528" s="149"/>
      <c r="L528" s="149"/>
      <c r="M528" s="149"/>
      <c r="N528" s="149"/>
      <c r="O528" s="149"/>
      <c r="P528" s="149"/>
      <c r="Q528" s="149"/>
      <c r="R528" s="149"/>
      <c r="S528" s="149"/>
      <c r="T528" s="149"/>
      <c r="U528" s="149"/>
      <c r="V528" s="149"/>
      <c r="W528" s="149"/>
      <c r="X528" s="149"/>
      <c r="Y528" s="149"/>
      <c r="Z528" s="149"/>
      <c r="AA528" s="149"/>
      <c r="AB528" s="580">
        <f>HLOOKUP("*"&amp;'Output annual'!$AC$2&amp;'Output annual'!$AD$2&amp;"*Zone People Number Of Occupants [](Hourly)",'Eplus results'!$1:$1048576,ROW(),FALSE)</f>
        <v>0</v>
      </c>
      <c r="AC528" s="580">
        <f>HLOOKUP("*"&amp;'Output annual'!$AC$2&amp;'Output annual'!$AD$2&amp;"*FangerPMV(Hourly)",'Eplus results'!$1:$1048576,ROW(),FALSE)</f>
        <v>0</v>
      </c>
      <c r="AD528" s="580">
        <f t="shared" si="76"/>
        <v>5</v>
      </c>
      <c r="AE528" s="580">
        <f t="shared" si="77"/>
        <v>2.5</v>
      </c>
      <c r="AF528" s="580">
        <f t="shared" si="78"/>
        <v>2.5</v>
      </c>
      <c r="AG528" s="580">
        <f t="shared" si="79"/>
        <v>0</v>
      </c>
      <c r="AH528" s="580">
        <f t="shared" si="80"/>
        <v>0</v>
      </c>
      <c r="AI528" s="149"/>
      <c r="AJ528" s="149"/>
      <c r="AK528" s="149"/>
      <c r="AL528" s="149"/>
      <c r="AM528" s="149"/>
      <c r="AN528" s="149"/>
      <c r="AO528" s="149"/>
      <c r="AP528" s="149"/>
    </row>
    <row r="529" spans="2:42">
      <c r="B529" s="221">
        <v>85</v>
      </c>
      <c r="C529" s="54" t="s">
        <v>416</v>
      </c>
      <c r="D529" s="223">
        <v>20.234933321325201</v>
      </c>
      <c r="E529" s="344">
        <v>0.33183981472282698</v>
      </c>
      <c r="F529" s="179">
        <v>23.89</v>
      </c>
      <c r="G529" s="179">
        <v>21.11</v>
      </c>
      <c r="H529" s="223">
        <v>18.517996288723999</v>
      </c>
      <c r="I529" s="297">
        <v>0.2295026776709887</v>
      </c>
      <c r="J529" s="149"/>
      <c r="K529" s="149"/>
      <c r="L529" s="149"/>
      <c r="M529" s="149"/>
      <c r="N529" s="149"/>
      <c r="O529" s="149"/>
      <c r="P529" s="149"/>
      <c r="Q529" s="149"/>
      <c r="R529" s="149"/>
      <c r="S529" s="149"/>
      <c r="T529" s="149"/>
      <c r="U529" s="149"/>
      <c r="V529" s="149"/>
      <c r="W529" s="149"/>
      <c r="X529" s="149"/>
      <c r="Y529" s="149"/>
      <c r="Z529" s="149"/>
      <c r="AA529" s="149"/>
      <c r="AB529" s="580">
        <f>HLOOKUP("*"&amp;'Output annual'!$AC$2&amp;'Output annual'!$AD$2&amp;"*Zone People Number Of Occupants [](Hourly)",'Eplus results'!$1:$1048576,ROW(),FALSE)</f>
        <v>0</v>
      </c>
      <c r="AC529" s="580">
        <f>HLOOKUP("*"&amp;'Output annual'!$AC$2&amp;'Output annual'!$AD$2&amp;"*FangerPMV(Hourly)",'Eplus results'!$1:$1048576,ROW(),FALSE)</f>
        <v>0</v>
      </c>
      <c r="AD529" s="580">
        <f t="shared" si="76"/>
        <v>5</v>
      </c>
      <c r="AE529" s="580">
        <f t="shared" si="77"/>
        <v>2.5</v>
      </c>
      <c r="AF529" s="580">
        <f t="shared" si="78"/>
        <v>2.5</v>
      </c>
      <c r="AG529" s="580">
        <f t="shared" si="79"/>
        <v>0</v>
      </c>
      <c r="AH529" s="580">
        <f t="shared" si="80"/>
        <v>0</v>
      </c>
      <c r="AI529" s="149"/>
      <c r="AJ529" s="149"/>
      <c r="AK529" s="149"/>
      <c r="AL529" s="149"/>
      <c r="AM529" s="149"/>
      <c r="AN529" s="149"/>
      <c r="AO529" s="149"/>
      <c r="AP529" s="149"/>
    </row>
    <row r="530" spans="2:42">
      <c r="B530" s="221">
        <v>86</v>
      </c>
      <c r="C530" s="54" t="s">
        <v>417</v>
      </c>
      <c r="D530" s="223">
        <v>22.4127262873549</v>
      </c>
      <c r="E530" s="344">
        <v>0</v>
      </c>
      <c r="F530" s="179">
        <v>32.22</v>
      </c>
      <c r="G530" s="179">
        <v>12.78</v>
      </c>
      <c r="H530" s="223">
        <v>19.765392317176701</v>
      </c>
      <c r="I530" s="297">
        <v>0</v>
      </c>
      <c r="J530" s="149"/>
      <c r="K530" s="149"/>
      <c r="L530" s="149"/>
      <c r="M530" s="149"/>
      <c r="N530" s="149"/>
      <c r="O530" s="149"/>
      <c r="P530" s="149"/>
      <c r="Q530" s="149"/>
      <c r="R530" s="149"/>
      <c r="S530" s="149"/>
      <c r="T530" s="149"/>
      <c r="U530" s="149"/>
      <c r="V530" s="149"/>
      <c r="W530" s="149"/>
      <c r="X530" s="149"/>
      <c r="Y530" s="149"/>
      <c r="Z530" s="149"/>
      <c r="AA530" s="149"/>
      <c r="AB530" s="580">
        <f>HLOOKUP("*"&amp;'Output annual'!$AC$2&amp;'Output annual'!$AD$2&amp;"*Zone People Number Of Occupants [](Hourly)",'Eplus results'!$1:$1048576,ROW(),FALSE)</f>
        <v>0</v>
      </c>
      <c r="AC530" s="580">
        <f>HLOOKUP("*"&amp;'Output annual'!$AC$2&amp;'Output annual'!$AD$2&amp;"*FangerPMV(Hourly)",'Eplus results'!$1:$1048576,ROW(),FALSE)</f>
        <v>0</v>
      </c>
      <c r="AD530" s="580">
        <f t="shared" si="76"/>
        <v>5</v>
      </c>
      <c r="AE530" s="580">
        <f t="shared" si="77"/>
        <v>2.5</v>
      </c>
      <c r="AF530" s="580">
        <f t="shared" si="78"/>
        <v>2.5</v>
      </c>
      <c r="AG530" s="580">
        <f t="shared" si="79"/>
        <v>0</v>
      </c>
      <c r="AH530" s="580">
        <f t="shared" si="80"/>
        <v>0</v>
      </c>
      <c r="AI530" s="149"/>
      <c r="AJ530" s="149"/>
      <c r="AK530" s="149"/>
      <c r="AL530" s="149"/>
      <c r="AM530" s="149"/>
      <c r="AN530" s="149"/>
      <c r="AO530" s="149"/>
      <c r="AP530" s="149"/>
    </row>
    <row r="531" spans="2:42">
      <c r="B531" s="221">
        <v>87</v>
      </c>
      <c r="C531" s="54" t="s">
        <v>418</v>
      </c>
      <c r="D531" s="223">
        <v>23.004666512598799</v>
      </c>
      <c r="E531" s="344">
        <v>0</v>
      </c>
      <c r="F531" s="179">
        <v>32.22</v>
      </c>
      <c r="G531" s="179">
        <v>12.78</v>
      </c>
      <c r="H531" s="223">
        <v>20.5122229453744</v>
      </c>
      <c r="I531" s="297">
        <v>0</v>
      </c>
      <c r="J531" s="149"/>
      <c r="K531" s="149"/>
      <c r="L531" s="149"/>
      <c r="M531" s="149"/>
      <c r="N531" s="149"/>
      <c r="O531" s="149"/>
      <c r="P531" s="149"/>
      <c r="Q531" s="149"/>
      <c r="R531" s="149"/>
      <c r="S531" s="149"/>
      <c r="T531" s="149"/>
      <c r="U531" s="149"/>
      <c r="V531" s="149"/>
      <c r="W531" s="149"/>
      <c r="X531" s="149"/>
      <c r="Y531" s="149"/>
      <c r="Z531" s="149"/>
      <c r="AA531" s="149"/>
      <c r="AB531" s="580">
        <f>HLOOKUP("*"&amp;'Output annual'!$AC$2&amp;'Output annual'!$AD$2&amp;"*Zone People Number Of Occupants [](Hourly)",'Eplus results'!$1:$1048576,ROW(),FALSE)</f>
        <v>0</v>
      </c>
      <c r="AC531" s="580">
        <f>HLOOKUP("*"&amp;'Output annual'!$AC$2&amp;'Output annual'!$AD$2&amp;"*FangerPMV(Hourly)",'Eplus results'!$1:$1048576,ROW(),FALSE)</f>
        <v>0</v>
      </c>
      <c r="AD531" s="580">
        <f t="shared" si="76"/>
        <v>5</v>
      </c>
      <c r="AE531" s="580">
        <f t="shared" si="77"/>
        <v>2.5</v>
      </c>
      <c r="AF531" s="580">
        <f t="shared" si="78"/>
        <v>2.5</v>
      </c>
      <c r="AG531" s="580">
        <f t="shared" si="79"/>
        <v>0</v>
      </c>
      <c r="AH531" s="580">
        <f t="shared" si="80"/>
        <v>0</v>
      </c>
      <c r="AI531" s="149"/>
      <c r="AJ531" s="149"/>
      <c r="AK531" s="149"/>
      <c r="AL531" s="149"/>
      <c r="AM531" s="149"/>
      <c r="AN531" s="149"/>
      <c r="AO531" s="149"/>
      <c r="AP531" s="149"/>
    </row>
    <row r="532" spans="2:42">
      <c r="B532" s="221">
        <v>88</v>
      </c>
      <c r="C532" s="54" t="s">
        <v>419</v>
      </c>
      <c r="D532" s="223">
        <v>23.429158578532501</v>
      </c>
      <c r="E532" s="344">
        <v>0</v>
      </c>
      <c r="F532" s="179">
        <v>32.22</v>
      </c>
      <c r="G532" s="179">
        <v>12.78</v>
      </c>
      <c r="H532" s="223">
        <v>20.7843165423707</v>
      </c>
      <c r="I532" s="297">
        <v>0</v>
      </c>
      <c r="J532" s="149"/>
      <c r="K532" s="149"/>
      <c r="L532" s="149"/>
      <c r="M532" s="149"/>
      <c r="N532" s="149"/>
      <c r="O532" s="149"/>
      <c r="P532" s="149"/>
      <c r="Q532" s="149"/>
      <c r="R532" s="149"/>
      <c r="S532" s="149"/>
      <c r="T532" s="149"/>
      <c r="U532" s="149"/>
      <c r="V532" s="149"/>
      <c r="W532" s="149"/>
      <c r="X532" s="149"/>
      <c r="Y532" s="149"/>
      <c r="Z532" s="149"/>
      <c r="AA532" s="149"/>
      <c r="AB532" s="580">
        <f>HLOOKUP("*"&amp;'Output annual'!$AC$2&amp;'Output annual'!$AD$2&amp;"*Zone People Number Of Occupants [](Hourly)",'Eplus results'!$1:$1048576,ROW(),FALSE)</f>
        <v>0</v>
      </c>
      <c r="AC532" s="580">
        <f>HLOOKUP("*"&amp;'Output annual'!$AC$2&amp;'Output annual'!$AD$2&amp;"*FangerPMV(Hourly)",'Eplus results'!$1:$1048576,ROW(),FALSE)</f>
        <v>0</v>
      </c>
      <c r="AD532" s="580">
        <f t="shared" si="76"/>
        <v>5</v>
      </c>
      <c r="AE532" s="580">
        <f t="shared" si="77"/>
        <v>2.5</v>
      </c>
      <c r="AF532" s="580">
        <f t="shared" si="78"/>
        <v>2.5</v>
      </c>
      <c r="AG532" s="580">
        <f t="shared" si="79"/>
        <v>0</v>
      </c>
      <c r="AH532" s="580">
        <f t="shared" si="80"/>
        <v>0</v>
      </c>
      <c r="AI532" s="149"/>
      <c r="AJ532" s="149"/>
      <c r="AK532" s="149"/>
      <c r="AL532" s="149"/>
      <c r="AM532" s="149"/>
      <c r="AN532" s="149"/>
      <c r="AO532" s="149"/>
      <c r="AP532" s="149"/>
    </row>
    <row r="533" spans="2:42">
      <c r="B533" s="221">
        <v>89</v>
      </c>
      <c r="C533" s="54" t="s">
        <v>420</v>
      </c>
      <c r="D533" s="223">
        <v>23.477901086684799</v>
      </c>
      <c r="E533" s="344">
        <v>0</v>
      </c>
      <c r="F533" s="179">
        <v>32.22</v>
      </c>
      <c r="G533" s="179">
        <v>12.78</v>
      </c>
      <c r="H533" s="223">
        <v>21.019610029967499</v>
      </c>
      <c r="I533" s="297">
        <v>0</v>
      </c>
      <c r="J533" s="149"/>
      <c r="K533" s="149"/>
      <c r="L533" s="149"/>
      <c r="M533" s="149"/>
      <c r="N533" s="149"/>
      <c r="O533" s="149"/>
      <c r="P533" s="149"/>
      <c r="Q533" s="149"/>
      <c r="R533" s="149"/>
      <c r="S533" s="149"/>
      <c r="T533" s="149"/>
      <c r="U533" s="149"/>
      <c r="V533" s="149"/>
      <c r="W533" s="149"/>
      <c r="X533" s="149"/>
      <c r="Y533" s="149"/>
      <c r="Z533" s="149"/>
      <c r="AA533" s="149"/>
      <c r="AB533" s="580">
        <f>HLOOKUP("*"&amp;'Output annual'!$AC$2&amp;'Output annual'!$AD$2&amp;"*Zone People Number Of Occupants [](Hourly)",'Eplus results'!$1:$1048576,ROW(),FALSE)</f>
        <v>0</v>
      </c>
      <c r="AC533" s="580">
        <f>HLOOKUP("*"&amp;'Output annual'!$AC$2&amp;'Output annual'!$AD$2&amp;"*FangerPMV(Hourly)",'Eplus results'!$1:$1048576,ROW(),FALSE)</f>
        <v>0</v>
      </c>
      <c r="AD533" s="580">
        <f t="shared" si="76"/>
        <v>5</v>
      </c>
      <c r="AE533" s="580">
        <f t="shared" si="77"/>
        <v>2.5</v>
      </c>
      <c r="AF533" s="580">
        <f t="shared" si="78"/>
        <v>2.5</v>
      </c>
      <c r="AG533" s="580">
        <f t="shared" si="79"/>
        <v>0</v>
      </c>
      <c r="AH533" s="580">
        <f t="shared" si="80"/>
        <v>0</v>
      </c>
      <c r="AI533" s="149"/>
      <c r="AJ533" s="149"/>
      <c r="AK533" s="149"/>
      <c r="AL533" s="149"/>
      <c r="AM533" s="149"/>
      <c r="AN533" s="149"/>
      <c r="AO533" s="149"/>
      <c r="AP533" s="149"/>
    </row>
    <row r="534" spans="2:42">
      <c r="B534" s="221">
        <v>90</v>
      </c>
      <c r="C534" s="54" t="s">
        <v>421</v>
      </c>
      <c r="D534" s="223">
        <v>23.125854453203502</v>
      </c>
      <c r="E534" s="344">
        <v>0</v>
      </c>
      <c r="F534" s="179">
        <v>32.22</v>
      </c>
      <c r="G534" s="179">
        <v>12.78</v>
      </c>
      <c r="H534" s="223">
        <v>21.213111622989501</v>
      </c>
      <c r="I534" s="297">
        <v>0</v>
      </c>
      <c r="J534" s="149"/>
      <c r="K534" s="149"/>
      <c r="L534" s="149"/>
      <c r="M534" s="149"/>
      <c r="N534" s="149"/>
      <c r="O534" s="149"/>
      <c r="P534" s="149"/>
      <c r="Q534" s="149"/>
      <c r="R534" s="149"/>
      <c r="S534" s="149"/>
      <c r="T534" s="149"/>
      <c r="U534" s="149"/>
      <c r="V534" s="149"/>
      <c r="W534" s="149"/>
      <c r="X534" s="149"/>
      <c r="Y534" s="149"/>
      <c r="Z534" s="149"/>
      <c r="AA534" s="149"/>
      <c r="AB534" s="580">
        <f>HLOOKUP("*"&amp;'Output annual'!$AC$2&amp;'Output annual'!$AD$2&amp;"*Zone People Number Of Occupants [](Hourly)",'Eplus results'!$1:$1048576,ROW(),FALSE)</f>
        <v>0</v>
      </c>
      <c r="AC534" s="580">
        <f>HLOOKUP("*"&amp;'Output annual'!$AC$2&amp;'Output annual'!$AD$2&amp;"*FangerPMV(Hourly)",'Eplus results'!$1:$1048576,ROW(),FALSE)</f>
        <v>0</v>
      </c>
      <c r="AD534" s="580">
        <f t="shared" si="76"/>
        <v>5</v>
      </c>
      <c r="AE534" s="580">
        <f t="shared" si="77"/>
        <v>2.5</v>
      </c>
      <c r="AF534" s="580">
        <f t="shared" si="78"/>
        <v>2.5</v>
      </c>
      <c r="AG534" s="580">
        <f t="shared" si="79"/>
        <v>0</v>
      </c>
      <c r="AH534" s="580">
        <f t="shared" si="80"/>
        <v>0</v>
      </c>
      <c r="AI534" s="149"/>
      <c r="AJ534" s="149"/>
      <c r="AK534" s="149"/>
      <c r="AL534" s="149"/>
      <c r="AM534" s="149"/>
      <c r="AN534" s="149"/>
      <c r="AO534" s="149"/>
      <c r="AP534" s="149"/>
    </row>
    <row r="535" spans="2:42">
      <c r="B535" s="221">
        <v>91</v>
      </c>
      <c r="C535" s="54" t="s">
        <v>422</v>
      </c>
      <c r="D535" s="223">
        <v>22.6630951435769</v>
      </c>
      <c r="E535" s="344">
        <v>0</v>
      </c>
      <c r="F535" s="179">
        <v>32.22</v>
      </c>
      <c r="G535" s="179">
        <v>12.78</v>
      </c>
      <c r="H535" s="223">
        <v>21.350763410660701</v>
      </c>
      <c r="I535" s="297">
        <v>0</v>
      </c>
      <c r="J535" s="149"/>
      <c r="K535" s="149"/>
      <c r="L535" s="149"/>
      <c r="M535" s="149"/>
      <c r="N535" s="149"/>
      <c r="O535" s="149"/>
      <c r="P535" s="149"/>
      <c r="Q535" s="149"/>
      <c r="R535" s="149"/>
      <c r="S535" s="149"/>
      <c r="T535" s="149"/>
      <c r="U535" s="149"/>
      <c r="V535" s="149"/>
      <c r="W535" s="149"/>
      <c r="X535" s="149"/>
      <c r="Y535" s="149"/>
      <c r="Z535" s="149"/>
      <c r="AA535" s="149"/>
      <c r="AB535" s="580">
        <f>HLOOKUP("*"&amp;'Output annual'!$AC$2&amp;'Output annual'!$AD$2&amp;"*Zone People Number Of Occupants [](Hourly)",'Eplus results'!$1:$1048576,ROW(),FALSE)</f>
        <v>0</v>
      </c>
      <c r="AC535" s="580">
        <f>HLOOKUP("*"&amp;'Output annual'!$AC$2&amp;'Output annual'!$AD$2&amp;"*FangerPMV(Hourly)",'Eplus results'!$1:$1048576,ROW(),FALSE)</f>
        <v>0</v>
      </c>
      <c r="AD535" s="580">
        <f t="shared" si="76"/>
        <v>5</v>
      </c>
      <c r="AE535" s="580">
        <f t="shared" si="77"/>
        <v>2.5</v>
      </c>
      <c r="AF535" s="580">
        <f t="shared" si="78"/>
        <v>2.5</v>
      </c>
      <c r="AG535" s="580">
        <f t="shared" si="79"/>
        <v>0</v>
      </c>
      <c r="AH535" s="580">
        <f t="shared" si="80"/>
        <v>0</v>
      </c>
      <c r="AI535" s="149"/>
      <c r="AJ535" s="149"/>
      <c r="AK535" s="149"/>
      <c r="AL535" s="149"/>
      <c r="AM535" s="149"/>
      <c r="AN535" s="149"/>
      <c r="AO535" s="149"/>
      <c r="AP535" s="149"/>
    </row>
    <row r="536" spans="2:42">
      <c r="B536" s="221">
        <v>92</v>
      </c>
      <c r="C536" s="54" t="s">
        <v>423</v>
      </c>
      <c r="D536" s="223">
        <v>22.183678650997699</v>
      </c>
      <c r="E536" s="344">
        <v>0</v>
      </c>
      <c r="F536" s="179">
        <v>32.22</v>
      </c>
      <c r="G536" s="179">
        <v>12.78</v>
      </c>
      <c r="H536" s="223">
        <v>21.432233530307201</v>
      </c>
      <c r="I536" s="297">
        <v>0</v>
      </c>
      <c r="J536" s="149"/>
      <c r="K536" s="149"/>
      <c r="L536" s="149"/>
      <c r="M536" s="149"/>
      <c r="N536" s="149"/>
      <c r="O536" s="149"/>
      <c r="P536" s="149"/>
      <c r="Q536" s="149"/>
      <c r="R536" s="149"/>
      <c r="S536" s="149"/>
      <c r="T536" s="149"/>
      <c r="U536" s="149"/>
      <c r="V536" s="149"/>
      <c r="W536" s="149"/>
      <c r="X536" s="149"/>
      <c r="Y536" s="149"/>
      <c r="Z536" s="149"/>
      <c r="AA536" s="149"/>
      <c r="AB536" s="580">
        <f>HLOOKUP("*"&amp;'Output annual'!$AC$2&amp;'Output annual'!$AD$2&amp;"*Zone People Number Of Occupants [](Hourly)",'Eplus results'!$1:$1048576,ROW(),FALSE)</f>
        <v>0</v>
      </c>
      <c r="AC536" s="580">
        <f>HLOOKUP("*"&amp;'Output annual'!$AC$2&amp;'Output annual'!$AD$2&amp;"*FangerPMV(Hourly)",'Eplus results'!$1:$1048576,ROW(),FALSE)</f>
        <v>0</v>
      </c>
      <c r="AD536" s="580">
        <f t="shared" si="76"/>
        <v>5</v>
      </c>
      <c r="AE536" s="580">
        <f t="shared" si="77"/>
        <v>2.5</v>
      </c>
      <c r="AF536" s="580">
        <f t="shared" si="78"/>
        <v>2.5</v>
      </c>
      <c r="AG536" s="580">
        <f t="shared" si="79"/>
        <v>0</v>
      </c>
      <c r="AH536" s="580">
        <f t="shared" si="80"/>
        <v>0</v>
      </c>
      <c r="AI536" s="149"/>
      <c r="AJ536" s="149"/>
      <c r="AK536" s="149"/>
      <c r="AL536" s="149"/>
      <c r="AM536" s="149"/>
      <c r="AN536" s="149"/>
      <c r="AO536" s="149"/>
      <c r="AP536" s="149"/>
    </row>
    <row r="537" spans="2:42">
      <c r="B537" s="221">
        <v>93</v>
      </c>
      <c r="C537" s="54" t="s">
        <v>424</v>
      </c>
      <c r="D537" s="223">
        <v>21.709471841878901</v>
      </c>
      <c r="E537" s="344">
        <v>0</v>
      </c>
      <c r="F537" s="179">
        <v>32.22</v>
      </c>
      <c r="G537" s="179">
        <v>12.78</v>
      </c>
      <c r="H537" s="223">
        <v>21.465031919462099</v>
      </c>
      <c r="I537" s="297">
        <v>0</v>
      </c>
      <c r="J537" s="149"/>
      <c r="K537" s="149"/>
      <c r="L537" s="149"/>
      <c r="M537" s="149"/>
      <c r="N537" s="149"/>
      <c r="O537" s="149"/>
      <c r="P537" s="149"/>
      <c r="Q537" s="149"/>
      <c r="R537" s="149"/>
      <c r="S537" s="149"/>
      <c r="T537" s="149"/>
      <c r="U537" s="149"/>
      <c r="V537" s="149"/>
      <c r="W537" s="149"/>
      <c r="X537" s="149"/>
      <c r="Y537" s="149"/>
      <c r="Z537" s="149"/>
      <c r="AA537" s="149"/>
      <c r="AB537" s="580">
        <f>HLOOKUP("*"&amp;'Output annual'!$AC$2&amp;'Output annual'!$AD$2&amp;"*Zone People Number Of Occupants [](Hourly)",'Eplus results'!$1:$1048576,ROW(),FALSE)</f>
        <v>0</v>
      </c>
      <c r="AC537" s="580">
        <f>HLOOKUP("*"&amp;'Output annual'!$AC$2&amp;'Output annual'!$AD$2&amp;"*FangerPMV(Hourly)",'Eplus results'!$1:$1048576,ROW(),FALSE)</f>
        <v>0</v>
      </c>
      <c r="AD537" s="580">
        <f t="shared" si="76"/>
        <v>5</v>
      </c>
      <c r="AE537" s="580">
        <f t="shared" si="77"/>
        <v>2.5</v>
      </c>
      <c r="AF537" s="580">
        <f t="shared" si="78"/>
        <v>2.5</v>
      </c>
      <c r="AG537" s="580">
        <f t="shared" si="79"/>
        <v>0</v>
      </c>
      <c r="AH537" s="580">
        <f t="shared" si="80"/>
        <v>0</v>
      </c>
      <c r="AI537" s="149"/>
      <c r="AJ537" s="149"/>
      <c r="AK537" s="149"/>
      <c r="AL537" s="149"/>
      <c r="AM537" s="149"/>
      <c r="AN537" s="149"/>
      <c r="AO537" s="149"/>
      <c r="AP537" s="149"/>
    </row>
    <row r="538" spans="2:42">
      <c r="B538" s="221">
        <v>94</v>
      </c>
      <c r="C538" s="54" t="s">
        <v>425</v>
      </c>
      <c r="D538" s="223">
        <v>21.251638582592602</v>
      </c>
      <c r="E538" s="344">
        <v>0</v>
      </c>
      <c r="F538" s="179">
        <v>32.22</v>
      </c>
      <c r="G538" s="179">
        <v>12.78</v>
      </c>
      <c r="H538" s="223">
        <v>21.457590689981402</v>
      </c>
      <c r="I538" s="297">
        <v>0</v>
      </c>
      <c r="J538" s="149"/>
      <c r="K538" s="149"/>
      <c r="L538" s="149"/>
      <c r="M538" s="149"/>
      <c r="N538" s="149"/>
      <c r="O538" s="149"/>
      <c r="P538" s="149"/>
      <c r="Q538" s="149"/>
      <c r="R538" s="149"/>
      <c r="S538" s="149"/>
      <c r="T538" s="149"/>
      <c r="U538" s="149"/>
      <c r="V538" s="149"/>
      <c r="W538" s="149"/>
      <c r="X538" s="149"/>
      <c r="Y538" s="149"/>
      <c r="Z538" s="149"/>
      <c r="AA538" s="149"/>
      <c r="AB538" s="580">
        <f>HLOOKUP("*"&amp;'Output annual'!$AC$2&amp;'Output annual'!$AD$2&amp;"*Zone People Number Of Occupants [](Hourly)",'Eplus results'!$1:$1048576,ROW(),FALSE)</f>
        <v>0</v>
      </c>
      <c r="AC538" s="580">
        <f>HLOOKUP("*"&amp;'Output annual'!$AC$2&amp;'Output annual'!$AD$2&amp;"*FangerPMV(Hourly)",'Eplus results'!$1:$1048576,ROW(),FALSE)</f>
        <v>0</v>
      </c>
      <c r="AD538" s="580">
        <f t="shared" si="76"/>
        <v>5</v>
      </c>
      <c r="AE538" s="580">
        <f t="shared" si="77"/>
        <v>2.5</v>
      </c>
      <c r="AF538" s="580">
        <f t="shared" si="78"/>
        <v>2.5</v>
      </c>
      <c r="AG538" s="580">
        <f t="shared" si="79"/>
        <v>0</v>
      </c>
      <c r="AH538" s="580">
        <f t="shared" si="80"/>
        <v>0</v>
      </c>
      <c r="AI538" s="149"/>
      <c r="AJ538" s="149"/>
      <c r="AK538" s="149"/>
      <c r="AL538" s="149"/>
      <c r="AM538" s="149"/>
      <c r="AN538" s="149"/>
      <c r="AO538" s="149"/>
      <c r="AP538" s="149"/>
    </row>
    <row r="539" spans="2:42">
      <c r="B539" s="221">
        <v>95</v>
      </c>
      <c r="C539" s="54" t="s">
        <v>426</v>
      </c>
      <c r="D539" s="223">
        <v>20.784396746747099</v>
      </c>
      <c r="E539" s="344">
        <v>0</v>
      </c>
      <c r="F539" s="179">
        <v>32.22</v>
      </c>
      <c r="G539" s="179">
        <v>12.78</v>
      </c>
      <c r="H539" s="223">
        <v>21.417184418589901</v>
      </c>
      <c r="I539" s="297">
        <v>0</v>
      </c>
      <c r="J539" s="149"/>
      <c r="K539" s="149"/>
      <c r="L539" s="149"/>
      <c r="M539" s="149"/>
      <c r="N539" s="149"/>
      <c r="O539" s="149"/>
      <c r="P539" s="149"/>
      <c r="Q539" s="149"/>
      <c r="R539" s="149"/>
      <c r="S539" s="149"/>
      <c r="T539" s="149"/>
      <c r="U539" s="149"/>
      <c r="V539" s="149"/>
      <c r="W539" s="149"/>
      <c r="X539" s="149"/>
      <c r="Y539" s="149"/>
      <c r="Z539" s="149"/>
      <c r="AA539" s="149"/>
      <c r="AB539" s="580">
        <f>HLOOKUP("*"&amp;'Output annual'!$AC$2&amp;'Output annual'!$AD$2&amp;"*Zone People Number Of Occupants [](Hourly)",'Eplus results'!$1:$1048576,ROW(),FALSE)</f>
        <v>0</v>
      </c>
      <c r="AC539" s="580">
        <f>HLOOKUP("*"&amp;'Output annual'!$AC$2&amp;'Output annual'!$AD$2&amp;"*FangerPMV(Hourly)",'Eplus results'!$1:$1048576,ROW(),FALSE)</f>
        <v>0</v>
      </c>
      <c r="AD539" s="580">
        <f t="shared" si="76"/>
        <v>5</v>
      </c>
      <c r="AE539" s="580">
        <f t="shared" si="77"/>
        <v>2.5</v>
      </c>
      <c r="AF539" s="580">
        <f t="shared" si="78"/>
        <v>2.5</v>
      </c>
      <c r="AG539" s="580">
        <f t="shared" si="79"/>
        <v>0</v>
      </c>
      <c r="AH539" s="580">
        <f t="shared" si="80"/>
        <v>0</v>
      </c>
      <c r="AI539" s="149"/>
      <c r="AJ539" s="149"/>
      <c r="AK539" s="149"/>
      <c r="AL539" s="149"/>
      <c r="AM539" s="149"/>
      <c r="AN539" s="149"/>
      <c r="AO539" s="149"/>
      <c r="AP539" s="149"/>
    </row>
    <row r="540" spans="2:42">
      <c r="B540" s="221">
        <v>96</v>
      </c>
      <c r="C540" s="54" t="s">
        <v>427</v>
      </c>
      <c r="D540" s="223">
        <v>20.3067394002002</v>
      </c>
      <c r="E540" s="344">
        <v>0</v>
      </c>
      <c r="F540" s="179">
        <v>32.22</v>
      </c>
      <c r="G540" s="179">
        <v>12.78</v>
      </c>
      <c r="H540" s="223">
        <v>21.346919342501401</v>
      </c>
      <c r="I540" s="297">
        <v>0</v>
      </c>
      <c r="J540" s="149"/>
      <c r="K540" s="149"/>
      <c r="L540" s="149"/>
      <c r="M540" s="149"/>
      <c r="N540" s="149"/>
      <c r="O540" s="149"/>
      <c r="P540" s="149"/>
      <c r="Q540" s="149"/>
      <c r="R540" s="149"/>
      <c r="S540" s="149"/>
      <c r="T540" s="149"/>
      <c r="U540" s="149"/>
      <c r="V540" s="149"/>
      <c r="W540" s="149"/>
      <c r="X540" s="149"/>
      <c r="Y540" s="149"/>
      <c r="Z540" s="149"/>
      <c r="AA540" s="149"/>
      <c r="AB540" s="580">
        <f>HLOOKUP("*"&amp;'Output annual'!$AC$2&amp;'Output annual'!$AD$2&amp;"*Zone People Number Of Occupants [](Hourly)",'Eplus results'!$1:$1048576,ROW(),FALSE)</f>
        <v>0</v>
      </c>
      <c r="AC540" s="580">
        <f>HLOOKUP("*"&amp;'Output annual'!$AC$2&amp;'Output annual'!$AD$2&amp;"*FangerPMV(Hourly)",'Eplus results'!$1:$1048576,ROW(),FALSE)</f>
        <v>0</v>
      </c>
      <c r="AD540" s="580">
        <f t="shared" si="76"/>
        <v>5</v>
      </c>
      <c r="AE540" s="580">
        <f t="shared" si="77"/>
        <v>2.5</v>
      </c>
      <c r="AF540" s="580">
        <f t="shared" si="78"/>
        <v>2.5</v>
      </c>
      <c r="AG540" s="580">
        <f t="shared" si="79"/>
        <v>0</v>
      </c>
      <c r="AH540" s="580">
        <f t="shared" si="80"/>
        <v>0</v>
      </c>
      <c r="AI540" s="149"/>
      <c r="AJ540" s="149"/>
      <c r="AK540" s="149"/>
      <c r="AL540" s="149"/>
      <c r="AM540" s="149"/>
      <c r="AN540" s="149"/>
      <c r="AO540" s="149"/>
      <c r="AP540" s="149"/>
    </row>
    <row r="541" spans="2:42">
      <c r="B541" s="221">
        <v>97</v>
      </c>
      <c r="C541" s="54" t="s">
        <v>428</v>
      </c>
      <c r="D541" s="223">
        <v>19.8222348437275</v>
      </c>
      <c r="E541" s="344">
        <v>0</v>
      </c>
      <c r="F541" s="179">
        <v>32.22</v>
      </c>
      <c r="G541" s="179">
        <v>12.78</v>
      </c>
      <c r="H541" s="223">
        <v>21.2614279444958</v>
      </c>
      <c r="I541" s="297">
        <v>0</v>
      </c>
      <c r="J541" s="149"/>
      <c r="K541" s="149"/>
      <c r="L541" s="149"/>
      <c r="M541" s="149"/>
      <c r="N541" s="149"/>
      <c r="O541" s="149"/>
      <c r="P541" s="149"/>
      <c r="Q541" s="149"/>
      <c r="R541" s="149"/>
      <c r="S541" s="149"/>
      <c r="T541" s="149"/>
      <c r="U541" s="149"/>
      <c r="V541" s="149"/>
      <c r="W541" s="149"/>
      <c r="X541" s="149"/>
      <c r="Y541" s="149"/>
      <c r="Z541" s="149"/>
      <c r="AA541" s="149"/>
      <c r="AB541" s="580">
        <f>HLOOKUP("*"&amp;'Output annual'!$AC$2&amp;'Output annual'!$AD$2&amp;"*Zone People Number Of Occupants [](Hourly)",'Eplus results'!$1:$1048576,ROW(),FALSE)</f>
        <v>0</v>
      </c>
      <c r="AC541" s="580">
        <f>HLOOKUP("*"&amp;'Output annual'!$AC$2&amp;'Output annual'!$AD$2&amp;"*FangerPMV(Hourly)",'Eplus results'!$1:$1048576,ROW(),FALSE)</f>
        <v>0</v>
      </c>
      <c r="AD541" s="580">
        <f t="shared" si="76"/>
        <v>5</v>
      </c>
      <c r="AE541" s="580">
        <f t="shared" si="77"/>
        <v>2.5</v>
      </c>
      <c r="AF541" s="580">
        <f t="shared" si="78"/>
        <v>2.5</v>
      </c>
      <c r="AG541" s="580">
        <f t="shared" si="79"/>
        <v>0</v>
      </c>
      <c r="AH541" s="580">
        <f t="shared" si="80"/>
        <v>0</v>
      </c>
      <c r="AI541" s="149"/>
      <c r="AJ541" s="149"/>
      <c r="AK541" s="149"/>
      <c r="AL541" s="149"/>
      <c r="AM541" s="149"/>
      <c r="AN541" s="149"/>
      <c r="AO541" s="149"/>
      <c r="AP541" s="149"/>
    </row>
    <row r="542" spans="2:42">
      <c r="B542" s="221">
        <v>98</v>
      </c>
      <c r="C542" s="54" t="s">
        <v>429</v>
      </c>
      <c r="D542" s="223">
        <v>19.324863875431099</v>
      </c>
      <c r="E542" s="344">
        <v>0</v>
      </c>
      <c r="F542" s="179">
        <v>32.22</v>
      </c>
      <c r="G542" s="179">
        <v>12.78</v>
      </c>
      <c r="H542" s="223">
        <v>21.1565041886826</v>
      </c>
      <c r="I542" s="297">
        <v>0</v>
      </c>
      <c r="J542" s="149"/>
      <c r="K542" s="149"/>
      <c r="L542" s="149"/>
      <c r="M542" s="149"/>
      <c r="N542" s="149"/>
      <c r="O542" s="149"/>
      <c r="P542" s="149"/>
      <c r="Q542" s="149"/>
      <c r="R542" s="149"/>
      <c r="S542" s="149"/>
      <c r="T542" s="149"/>
      <c r="U542" s="149"/>
      <c r="V542" s="149"/>
      <c r="W542" s="149"/>
      <c r="X542" s="149"/>
      <c r="Y542" s="149"/>
      <c r="Z542" s="149"/>
      <c r="AA542" s="149"/>
      <c r="AB542" s="580">
        <f>HLOOKUP("*"&amp;'Output annual'!$AC$2&amp;'Output annual'!$AD$2&amp;"*Zone People Number Of Occupants [](Hourly)",'Eplus results'!$1:$1048576,ROW(),FALSE)</f>
        <v>0</v>
      </c>
      <c r="AC542" s="580">
        <f>HLOOKUP("*"&amp;'Output annual'!$AC$2&amp;'Output annual'!$AD$2&amp;"*FangerPMV(Hourly)",'Eplus results'!$1:$1048576,ROW(),FALSE)</f>
        <v>0</v>
      </c>
      <c r="AD542" s="580">
        <f t="shared" si="76"/>
        <v>5</v>
      </c>
      <c r="AE542" s="580">
        <f t="shared" si="77"/>
        <v>2.5</v>
      </c>
      <c r="AF542" s="580">
        <f t="shared" si="78"/>
        <v>2.5</v>
      </c>
      <c r="AG542" s="580">
        <f t="shared" si="79"/>
        <v>0</v>
      </c>
      <c r="AH542" s="580">
        <f t="shared" si="80"/>
        <v>0</v>
      </c>
      <c r="AI542" s="149"/>
      <c r="AJ542" s="149"/>
      <c r="AK542" s="149"/>
      <c r="AL542" s="149"/>
      <c r="AM542" s="149"/>
      <c r="AN542" s="149"/>
      <c r="AO542" s="149"/>
      <c r="AP542" s="149"/>
    </row>
    <row r="543" spans="2:42">
      <c r="B543" s="221">
        <v>99</v>
      </c>
      <c r="C543" s="54" t="s">
        <v>430</v>
      </c>
      <c r="D543" s="223">
        <v>18.8105458786947</v>
      </c>
      <c r="E543" s="344">
        <v>0</v>
      </c>
      <c r="F543" s="179">
        <v>32.22</v>
      </c>
      <c r="G543" s="179">
        <v>12.78</v>
      </c>
      <c r="H543" s="223">
        <v>21.029549083593199</v>
      </c>
      <c r="I543" s="297">
        <v>0</v>
      </c>
      <c r="J543" s="149"/>
      <c r="K543" s="149"/>
      <c r="L543" s="149"/>
      <c r="M543" s="149"/>
      <c r="N543" s="149"/>
      <c r="O543" s="149"/>
      <c r="P543" s="149"/>
      <c r="Q543" s="149"/>
      <c r="R543" s="149"/>
      <c r="S543" s="149"/>
      <c r="T543" s="149"/>
      <c r="U543" s="149"/>
      <c r="V543" s="149"/>
      <c r="W543" s="149"/>
      <c r="X543" s="149"/>
      <c r="Y543" s="149"/>
      <c r="Z543" s="149"/>
      <c r="AA543" s="149"/>
      <c r="AB543" s="580">
        <f>HLOOKUP("*"&amp;'Output annual'!$AC$2&amp;'Output annual'!$AD$2&amp;"*Zone People Number Of Occupants [](Hourly)",'Eplus results'!$1:$1048576,ROW(),FALSE)</f>
        <v>0</v>
      </c>
      <c r="AC543" s="580">
        <f>HLOOKUP("*"&amp;'Output annual'!$AC$2&amp;'Output annual'!$AD$2&amp;"*FangerPMV(Hourly)",'Eplus results'!$1:$1048576,ROW(),FALSE)</f>
        <v>0</v>
      </c>
      <c r="AD543" s="580">
        <f t="shared" si="76"/>
        <v>5</v>
      </c>
      <c r="AE543" s="580">
        <f t="shared" si="77"/>
        <v>2.5</v>
      </c>
      <c r="AF543" s="580">
        <f t="shared" si="78"/>
        <v>2.5</v>
      </c>
      <c r="AG543" s="580">
        <f t="shared" si="79"/>
        <v>0</v>
      </c>
      <c r="AH543" s="580">
        <f t="shared" si="80"/>
        <v>0</v>
      </c>
      <c r="AI543" s="149"/>
      <c r="AJ543" s="149"/>
      <c r="AK543" s="149"/>
      <c r="AL543" s="149"/>
      <c r="AM543" s="149"/>
      <c r="AN543" s="149"/>
      <c r="AO543" s="149"/>
      <c r="AP543" s="149"/>
    </row>
    <row r="544" spans="2:42">
      <c r="B544" s="221">
        <v>100</v>
      </c>
      <c r="C544" s="54" t="s">
        <v>431</v>
      </c>
      <c r="D544" s="223">
        <v>18.293355543117901</v>
      </c>
      <c r="E544" s="344">
        <v>0</v>
      </c>
      <c r="F544" s="179">
        <v>32.22</v>
      </c>
      <c r="G544" s="179">
        <v>12.78</v>
      </c>
      <c r="H544" s="223">
        <v>20.883596049447799</v>
      </c>
      <c r="I544" s="297">
        <v>0</v>
      </c>
      <c r="J544" s="149"/>
      <c r="K544" s="149"/>
      <c r="L544" s="149"/>
      <c r="M544" s="149"/>
      <c r="N544" s="149"/>
      <c r="O544" s="149"/>
      <c r="P544" s="149"/>
      <c r="Q544" s="149"/>
      <c r="R544" s="149"/>
      <c r="S544" s="149"/>
      <c r="T544" s="149"/>
      <c r="U544" s="149"/>
      <c r="V544" s="149"/>
      <c r="W544" s="149"/>
      <c r="X544" s="149"/>
      <c r="Y544" s="149"/>
      <c r="Z544" s="149"/>
      <c r="AA544" s="149"/>
      <c r="AB544" s="580">
        <f>HLOOKUP("*"&amp;'Output annual'!$AC$2&amp;'Output annual'!$AD$2&amp;"*Zone People Number Of Occupants [](Hourly)",'Eplus results'!$1:$1048576,ROW(),FALSE)</f>
        <v>0</v>
      </c>
      <c r="AC544" s="580">
        <f>HLOOKUP("*"&amp;'Output annual'!$AC$2&amp;'Output annual'!$AD$2&amp;"*FangerPMV(Hourly)",'Eplus results'!$1:$1048576,ROW(),FALSE)</f>
        <v>0</v>
      </c>
      <c r="AD544" s="580">
        <f t="shared" si="76"/>
        <v>5</v>
      </c>
      <c r="AE544" s="580">
        <f t="shared" si="77"/>
        <v>2.5</v>
      </c>
      <c r="AF544" s="580">
        <f t="shared" si="78"/>
        <v>2.5</v>
      </c>
      <c r="AG544" s="580">
        <f t="shared" si="79"/>
        <v>0</v>
      </c>
      <c r="AH544" s="580">
        <f t="shared" si="80"/>
        <v>0</v>
      </c>
      <c r="AI544" s="149"/>
      <c r="AJ544" s="149"/>
      <c r="AK544" s="149"/>
      <c r="AL544" s="149"/>
      <c r="AM544" s="149"/>
      <c r="AN544" s="149"/>
      <c r="AO544" s="149"/>
      <c r="AP544" s="149"/>
    </row>
    <row r="545" spans="2:42">
      <c r="B545" s="221">
        <v>101</v>
      </c>
      <c r="C545" s="54" t="s">
        <v>432</v>
      </c>
      <c r="D545" s="223">
        <v>17.793259281125</v>
      </c>
      <c r="E545" s="344">
        <v>0</v>
      </c>
      <c r="F545" s="179">
        <v>32.22</v>
      </c>
      <c r="G545" s="179">
        <v>12.78</v>
      </c>
      <c r="H545" s="223">
        <v>20.719610771735798</v>
      </c>
      <c r="I545" s="297">
        <v>0</v>
      </c>
      <c r="J545" s="149"/>
      <c r="K545" s="149"/>
      <c r="L545" s="149"/>
      <c r="M545" s="149"/>
      <c r="N545" s="149"/>
      <c r="O545" s="149"/>
      <c r="P545" s="149"/>
      <c r="Q545" s="149"/>
      <c r="R545" s="149"/>
      <c r="S545" s="149"/>
      <c r="T545" s="149"/>
      <c r="U545" s="149"/>
      <c r="V545" s="149"/>
      <c r="W545" s="149"/>
      <c r="X545" s="149"/>
      <c r="Y545" s="149"/>
      <c r="Z545" s="149"/>
      <c r="AA545" s="149"/>
      <c r="AB545" s="580">
        <f>HLOOKUP("*"&amp;'Output annual'!$AC$2&amp;'Output annual'!$AD$2&amp;"*Zone People Number Of Occupants [](Hourly)",'Eplus results'!$1:$1048576,ROW(),FALSE)</f>
        <v>0</v>
      </c>
      <c r="AC545" s="580">
        <f>HLOOKUP("*"&amp;'Output annual'!$AC$2&amp;'Output annual'!$AD$2&amp;"*FangerPMV(Hourly)",'Eplus results'!$1:$1048576,ROW(),FALSE)</f>
        <v>0</v>
      </c>
      <c r="AD545" s="580">
        <f t="shared" si="76"/>
        <v>5</v>
      </c>
      <c r="AE545" s="580">
        <f t="shared" si="77"/>
        <v>2.5</v>
      </c>
      <c r="AF545" s="580">
        <f t="shared" si="78"/>
        <v>2.5</v>
      </c>
      <c r="AG545" s="580">
        <f t="shared" si="79"/>
        <v>0</v>
      </c>
      <c r="AH545" s="580">
        <f t="shared" si="80"/>
        <v>0</v>
      </c>
      <c r="AI545" s="149"/>
      <c r="AJ545" s="149"/>
      <c r="AK545" s="149"/>
      <c r="AL545" s="149"/>
      <c r="AM545" s="149"/>
      <c r="AN545" s="149"/>
      <c r="AO545" s="149"/>
      <c r="AP545" s="149"/>
    </row>
    <row r="546" spans="2:42">
      <c r="B546" s="221">
        <v>102</v>
      </c>
      <c r="C546" s="54" t="s">
        <v>433</v>
      </c>
      <c r="D546" s="223">
        <v>17.331094448699101</v>
      </c>
      <c r="E546" s="344">
        <v>0</v>
      </c>
      <c r="F546" s="179">
        <v>32.22</v>
      </c>
      <c r="G546" s="179">
        <v>12.78</v>
      </c>
      <c r="H546" s="223">
        <v>20.5387893685735</v>
      </c>
      <c r="I546" s="297">
        <v>0</v>
      </c>
      <c r="J546" s="149"/>
      <c r="K546" s="149"/>
      <c r="L546" s="149"/>
      <c r="M546" s="149"/>
      <c r="N546" s="149"/>
      <c r="O546" s="149"/>
      <c r="P546" s="149"/>
      <c r="Q546" s="149"/>
      <c r="R546" s="149"/>
      <c r="S546" s="149"/>
      <c r="T546" s="149"/>
      <c r="U546" s="149"/>
      <c r="V546" s="149"/>
      <c r="W546" s="149"/>
      <c r="X546" s="149"/>
      <c r="Y546" s="149"/>
      <c r="Z546" s="149"/>
      <c r="AA546" s="149"/>
      <c r="AB546" s="580">
        <f>HLOOKUP("*"&amp;'Output annual'!$AC$2&amp;'Output annual'!$AD$2&amp;"*Zone People Number Of Occupants [](Hourly)",'Eplus results'!$1:$1048576,ROW(),FALSE)</f>
        <v>0</v>
      </c>
      <c r="AC546" s="580">
        <f>HLOOKUP("*"&amp;'Output annual'!$AC$2&amp;'Output annual'!$AD$2&amp;"*FangerPMV(Hourly)",'Eplus results'!$1:$1048576,ROW(),FALSE)</f>
        <v>0</v>
      </c>
      <c r="AD546" s="580">
        <f t="shared" si="76"/>
        <v>5</v>
      </c>
      <c r="AE546" s="580">
        <f t="shared" si="77"/>
        <v>2.5</v>
      </c>
      <c r="AF546" s="580">
        <f t="shared" si="78"/>
        <v>2.5</v>
      </c>
      <c r="AG546" s="580">
        <f t="shared" si="79"/>
        <v>0</v>
      </c>
      <c r="AH546" s="580">
        <f t="shared" si="80"/>
        <v>0</v>
      </c>
      <c r="AI546" s="149"/>
      <c r="AJ546" s="149"/>
      <c r="AK546" s="149"/>
      <c r="AL546" s="149"/>
      <c r="AM546" s="149"/>
      <c r="AN546" s="149"/>
      <c r="AO546" s="149"/>
      <c r="AP546" s="149"/>
    </row>
    <row r="547" spans="2:42">
      <c r="B547" s="221">
        <v>103</v>
      </c>
      <c r="C547" s="54" t="s">
        <v>434</v>
      </c>
      <c r="D547" s="223">
        <v>17.239524987413599</v>
      </c>
      <c r="E547" s="344">
        <v>0.33183981472282698</v>
      </c>
      <c r="F547" s="179">
        <v>23.89</v>
      </c>
      <c r="G547" s="179">
        <v>21.11</v>
      </c>
      <c r="H547" s="223">
        <v>19.411790659061801</v>
      </c>
      <c r="I547" s="297">
        <v>0</v>
      </c>
      <c r="J547" s="149"/>
      <c r="K547" s="149"/>
      <c r="L547" s="149"/>
      <c r="M547" s="149"/>
      <c r="N547" s="149"/>
      <c r="O547" s="149"/>
      <c r="P547" s="149"/>
      <c r="Q547" s="149"/>
      <c r="R547" s="149"/>
      <c r="S547" s="149"/>
      <c r="T547" s="149"/>
      <c r="U547" s="149"/>
      <c r="V547" s="149"/>
      <c r="W547" s="149"/>
      <c r="X547" s="149"/>
      <c r="Y547" s="149"/>
      <c r="Z547" s="149"/>
      <c r="AA547" s="149"/>
      <c r="AB547" s="580">
        <f>HLOOKUP("*"&amp;'Output annual'!$AC$2&amp;'Output annual'!$AD$2&amp;"*Zone People Number Of Occupants [](Hourly)",'Eplus results'!$1:$1048576,ROW(),FALSE)</f>
        <v>0</v>
      </c>
      <c r="AC547" s="580">
        <f>HLOOKUP("*"&amp;'Output annual'!$AC$2&amp;'Output annual'!$AD$2&amp;"*FangerPMV(Hourly)",'Eplus results'!$1:$1048576,ROW(),FALSE)</f>
        <v>0</v>
      </c>
      <c r="AD547" s="580">
        <f t="shared" si="76"/>
        <v>5</v>
      </c>
      <c r="AE547" s="580">
        <f t="shared" si="77"/>
        <v>2.5</v>
      </c>
      <c r="AF547" s="580">
        <f t="shared" si="78"/>
        <v>2.5</v>
      </c>
      <c r="AG547" s="580">
        <f t="shared" si="79"/>
        <v>0</v>
      </c>
      <c r="AH547" s="580">
        <f t="shared" si="80"/>
        <v>0</v>
      </c>
      <c r="AI547" s="149"/>
      <c r="AJ547" s="149"/>
      <c r="AK547" s="149"/>
      <c r="AL547" s="149"/>
      <c r="AM547" s="149"/>
      <c r="AN547" s="149"/>
      <c r="AO547" s="149"/>
      <c r="AP547" s="149"/>
    </row>
    <row r="548" spans="2:42">
      <c r="B548" s="221">
        <v>104</v>
      </c>
      <c r="C548" s="54" t="s">
        <v>435</v>
      </c>
      <c r="D548" s="223">
        <v>17.713707633378402</v>
      </c>
      <c r="E548" s="344">
        <v>0.33183981472282698</v>
      </c>
      <c r="F548" s="179">
        <v>23.89</v>
      </c>
      <c r="G548" s="179">
        <v>21.11</v>
      </c>
      <c r="H548" s="223">
        <v>18.9854568215633</v>
      </c>
      <c r="I548" s="297">
        <v>0</v>
      </c>
      <c r="J548" s="149"/>
      <c r="K548" s="149"/>
      <c r="L548" s="149"/>
      <c r="M548" s="149"/>
      <c r="N548" s="149"/>
      <c r="O548" s="149"/>
      <c r="P548" s="149"/>
      <c r="Q548" s="149"/>
      <c r="R548" s="149"/>
      <c r="S548" s="149"/>
      <c r="T548" s="149"/>
      <c r="U548" s="149"/>
      <c r="V548" s="149"/>
      <c r="W548" s="149"/>
      <c r="X548" s="149"/>
      <c r="Y548" s="149"/>
      <c r="Z548" s="149"/>
      <c r="AA548" s="149"/>
      <c r="AB548" s="580">
        <f>HLOOKUP("*"&amp;'Output annual'!$AC$2&amp;'Output annual'!$AD$2&amp;"*Zone People Number Of Occupants [](Hourly)",'Eplus results'!$1:$1048576,ROW(),FALSE)</f>
        <v>0</v>
      </c>
      <c r="AC548" s="580">
        <f>HLOOKUP("*"&amp;'Output annual'!$AC$2&amp;'Output annual'!$AD$2&amp;"*FangerPMV(Hourly)",'Eplus results'!$1:$1048576,ROW(),FALSE)</f>
        <v>0</v>
      </c>
      <c r="AD548" s="580">
        <f t="shared" si="76"/>
        <v>5</v>
      </c>
      <c r="AE548" s="580">
        <f t="shared" si="77"/>
        <v>2.5</v>
      </c>
      <c r="AF548" s="580">
        <f t="shared" si="78"/>
        <v>2.5</v>
      </c>
      <c r="AG548" s="580">
        <f t="shared" si="79"/>
        <v>0</v>
      </c>
      <c r="AH548" s="580">
        <f t="shared" si="80"/>
        <v>0</v>
      </c>
      <c r="AI548" s="149"/>
      <c r="AJ548" s="149"/>
      <c r="AK548" s="149"/>
      <c r="AL548" s="149"/>
      <c r="AM548" s="149"/>
      <c r="AN548" s="149"/>
      <c r="AO548" s="149"/>
      <c r="AP548" s="149"/>
    </row>
    <row r="549" spans="2:42">
      <c r="B549" s="221">
        <v>105</v>
      </c>
      <c r="C549" s="54" t="s">
        <v>436</v>
      </c>
      <c r="D549" s="223">
        <v>18.401129022050402</v>
      </c>
      <c r="E549" s="344">
        <v>0.33183981472282698</v>
      </c>
      <c r="F549" s="179">
        <v>23.89</v>
      </c>
      <c r="G549" s="179">
        <v>21.11</v>
      </c>
      <c r="H549" s="223">
        <v>18.849117050749499</v>
      </c>
      <c r="I549" s="297">
        <v>0</v>
      </c>
      <c r="J549" s="149"/>
      <c r="K549" s="149"/>
      <c r="L549" s="149"/>
      <c r="M549" s="149"/>
      <c r="N549" s="149"/>
      <c r="O549" s="149"/>
      <c r="P549" s="149"/>
      <c r="Q549" s="149"/>
      <c r="R549" s="149"/>
      <c r="S549" s="149"/>
      <c r="T549" s="149"/>
      <c r="U549" s="149"/>
      <c r="V549" s="149"/>
      <c r="W549" s="149"/>
      <c r="X549" s="149"/>
      <c r="Y549" s="149"/>
      <c r="Z549" s="149"/>
      <c r="AA549" s="149"/>
      <c r="AB549" s="580">
        <f>HLOOKUP("*"&amp;'Output annual'!$AC$2&amp;'Output annual'!$AD$2&amp;"*Zone People Number Of Occupants [](Hourly)",'Eplus results'!$1:$1048576,ROW(),FALSE)</f>
        <v>0</v>
      </c>
      <c r="AC549" s="580">
        <f>HLOOKUP("*"&amp;'Output annual'!$AC$2&amp;'Output annual'!$AD$2&amp;"*FangerPMV(Hourly)",'Eplus results'!$1:$1048576,ROW(),FALSE)</f>
        <v>0</v>
      </c>
      <c r="AD549" s="580">
        <f t="shared" si="76"/>
        <v>5</v>
      </c>
      <c r="AE549" s="580">
        <f t="shared" si="77"/>
        <v>2.5</v>
      </c>
      <c r="AF549" s="580">
        <f t="shared" si="78"/>
        <v>2.5</v>
      </c>
      <c r="AG549" s="580">
        <f t="shared" si="79"/>
        <v>0</v>
      </c>
      <c r="AH549" s="580">
        <f t="shared" si="80"/>
        <v>0</v>
      </c>
      <c r="AI549" s="149"/>
      <c r="AJ549" s="149"/>
      <c r="AK549" s="149"/>
      <c r="AL549" s="149"/>
      <c r="AM549" s="149"/>
      <c r="AN549" s="149"/>
      <c r="AO549" s="149"/>
      <c r="AP549" s="149"/>
    </row>
    <row r="550" spans="2:42">
      <c r="B550" s="221">
        <v>106</v>
      </c>
      <c r="C550" s="54" t="s">
        <v>437</v>
      </c>
      <c r="D550" s="223">
        <v>18.546041383554801</v>
      </c>
      <c r="E550" s="344">
        <v>0.33183981472282698</v>
      </c>
      <c r="F550" s="179">
        <v>23.89</v>
      </c>
      <c r="G550" s="179">
        <v>21.11</v>
      </c>
      <c r="H550" s="223">
        <v>18.789839308353798</v>
      </c>
      <c r="I550" s="297">
        <v>4.0279691511684743E-2</v>
      </c>
      <c r="J550" s="149"/>
      <c r="K550" s="149"/>
      <c r="L550" s="149"/>
      <c r="M550" s="149"/>
      <c r="N550" s="149"/>
      <c r="O550" s="149"/>
      <c r="P550" s="149"/>
      <c r="Q550" s="149"/>
      <c r="R550" s="149"/>
      <c r="S550" s="149"/>
      <c r="T550" s="149"/>
      <c r="U550" s="149"/>
      <c r="V550" s="149"/>
      <c r="W550" s="149"/>
      <c r="X550" s="149"/>
      <c r="Y550" s="149"/>
      <c r="Z550" s="149"/>
      <c r="AA550" s="149"/>
      <c r="AB550" s="580">
        <f>HLOOKUP("*"&amp;'Output annual'!$AC$2&amp;'Output annual'!$AD$2&amp;"*Zone People Number Of Occupants [](Hourly)",'Eplus results'!$1:$1048576,ROW(),FALSE)</f>
        <v>0</v>
      </c>
      <c r="AC550" s="580">
        <f>HLOOKUP("*"&amp;'Output annual'!$AC$2&amp;'Output annual'!$AD$2&amp;"*FangerPMV(Hourly)",'Eplus results'!$1:$1048576,ROW(),FALSE)</f>
        <v>0</v>
      </c>
      <c r="AD550" s="580">
        <f t="shared" si="76"/>
        <v>5</v>
      </c>
      <c r="AE550" s="580">
        <f t="shared" si="77"/>
        <v>2.5</v>
      </c>
      <c r="AF550" s="580">
        <f t="shared" si="78"/>
        <v>2.5</v>
      </c>
      <c r="AG550" s="580">
        <f t="shared" si="79"/>
        <v>0</v>
      </c>
      <c r="AH550" s="580">
        <f t="shared" si="80"/>
        <v>0</v>
      </c>
      <c r="AI550" s="149"/>
      <c r="AJ550" s="149"/>
      <c r="AK550" s="149"/>
      <c r="AL550" s="149"/>
      <c r="AM550" s="149"/>
      <c r="AN550" s="149"/>
      <c r="AO550" s="149"/>
      <c r="AP550" s="149"/>
    </row>
    <row r="551" spans="2:42">
      <c r="B551" s="221">
        <v>107</v>
      </c>
      <c r="C551" s="54" t="s">
        <v>438</v>
      </c>
      <c r="D551" s="223">
        <v>18.584442743933099</v>
      </c>
      <c r="E551" s="344">
        <v>0.33183981472282698</v>
      </c>
      <c r="F551" s="179">
        <v>23.89</v>
      </c>
      <c r="G551" s="179">
        <v>21.11</v>
      </c>
      <c r="H551" s="223">
        <v>18.8513954469909</v>
      </c>
      <c r="I551" s="297">
        <v>9.5071961118743789E-2</v>
      </c>
      <c r="J551" s="149"/>
      <c r="K551" s="149"/>
      <c r="L551" s="149"/>
      <c r="M551" s="149"/>
      <c r="N551" s="149"/>
      <c r="O551" s="149"/>
      <c r="P551" s="149"/>
      <c r="Q551" s="149"/>
      <c r="R551" s="149"/>
      <c r="S551" s="149"/>
      <c r="T551" s="149"/>
      <c r="U551" s="149"/>
      <c r="V551" s="149"/>
      <c r="W551" s="149"/>
      <c r="X551" s="149"/>
      <c r="Y551" s="149"/>
      <c r="Z551" s="149"/>
      <c r="AA551" s="149"/>
      <c r="AB551" s="580">
        <f>HLOOKUP("*"&amp;'Output annual'!$AC$2&amp;'Output annual'!$AD$2&amp;"*Zone People Number Of Occupants [](Hourly)",'Eplus results'!$1:$1048576,ROW(),FALSE)</f>
        <v>0</v>
      </c>
      <c r="AC551" s="580">
        <f>HLOOKUP("*"&amp;'Output annual'!$AC$2&amp;'Output annual'!$AD$2&amp;"*FangerPMV(Hourly)",'Eplus results'!$1:$1048576,ROW(),FALSE)</f>
        <v>0</v>
      </c>
      <c r="AD551" s="580">
        <f t="shared" si="76"/>
        <v>5</v>
      </c>
      <c r="AE551" s="580">
        <f t="shared" si="77"/>
        <v>2.5</v>
      </c>
      <c r="AF551" s="580">
        <f t="shared" si="78"/>
        <v>2.5</v>
      </c>
      <c r="AG551" s="580">
        <f t="shared" si="79"/>
        <v>0</v>
      </c>
      <c r="AH551" s="580">
        <f t="shared" si="80"/>
        <v>0</v>
      </c>
      <c r="AI551" s="149"/>
      <c r="AJ551" s="149"/>
      <c r="AK551" s="149"/>
      <c r="AL551" s="149"/>
      <c r="AM551" s="149"/>
      <c r="AN551" s="149"/>
      <c r="AO551" s="149"/>
      <c r="AP551" s="149"/>
    </row>
    <row r="552" spans="2:42">
      <c r="B552" s="221">
        <v>108</v>
      </c>
      <c r="C552" s="54" t="s">
        <v>439</v>
      </c>
      <c r="D552" s="223">
        <v>19.3050333613707</v>
      </c>
      <c r="E552" s="344">
        <v>0.33183981472282698</v>
      </c>
      <c r="F552" s="179">
        <v>23.89</v>
      </c>
      <c r="G552" s="179">
        <v>21.11</v>
      </c>
      <c r="H552" s="223">
        <v>18.563750277792401</v>
      </c>
      <c r="I552" s="297">
        <v>0.14298187110260413</v>
      </c>
      <c r="J552" s="149"/>
      <c r="K552" s="149"/>
      <c r="L552" s="149"/>
      <c r="M552" s="149"/>
      <c r="N552" s="149"/>
      <c r="O552" s="149"/>
      <c r="P552" s="149"/>
      <c r="Q552" s="149"/>
      <c r="R552" s="149"/>
      <c r="S552" s="149"/>
      <c r="T552" s="149"/>
      <c r="U552" s="149"/>
      <c r="V552" s="149"/>
      <c r="W552" s="149"/>
      <c r="X552" s="149"/>
      <c r="Y552" s="149"/>
      <c r="Z552" s="149"/>
      <c r="AA552" s="149"/>
      <c r="AB552" s="580">
        <f>HLOOKUP("*"&amp;'Output annual'!$AC$2&amp;'Output annual'!$AD$2&amp;"*Zone People Number Of Occupants [](Hourly)",'Eplus results'!$1:$1048576,ROW(),FALSE)</f>
        <v>0</v>
      </c>
      <c r="AC552" s="580">
        <f>HLOOKUP("*"&amp;'Output annual'!$AC$2&amp;'Output annual'!$AD$2&amp;"*FangerPMV(Hourly)",'Eplus results'!$1:$1048576,ROW(),FALSE)</f>
        <v>0</v>
      </c>
      <c r="AD552" s="580">
        <f t="shared" si="76"/>
        <v>5</v>
      </c>
      <c r="AE552" s="580">
        <f t="shared" si="77"/>
        <v>2.5</v>
      </c>
      <c r="AF552" s="580">
        <f t="shared" si="78"/>
        <v>2.5</v>
      </c>
      <c r="AG552" s="580">
        <f t="shared" si="79"/>
        <v>0</v>
      </c>
      <c r="AH552" s="580">
        <f t="shared" si="80"/>
        <v>0</v>
      </c>
      <c r="AI552" s="149"/>
      <c r="AJ552" s="149"/>
      <c r="AK552" s="149"/>
      <c r="AL552" s="149"/>
      <c r="AM552" s="149"/>
      <c r="AN552" s="149"/>
      <c r="AO552" s="149"/>
      <c r="AP552" s="149"/>
    </row>
    <row r="553" spans="2:42">
      <c r="B553" s="221">
        <v>109</v>
      </c>
      <c r="C553" s="54" t="s">
        <v>440</v>
      </c>
      <c r="D553" s="223">
        <v>19.9519519158573</v>
      </c>
      <c r="E553" s="344">
        <v>0.33183981472282698</v>
      </c>
      <c r="F553" s="179">
        <v>23.89</v>
      </c>
      <c r="G553" s="179">
        <v>21.11</v>
      </c>
      <c r="H553" s="223">
        <v>18.3985468976798</v>
      </c>
      <c r="I553" s="297">
        <v>0.20463080662774974</v>
      </c>
      <c r="J553" s="149"/>
      <c r="K553" s="149"/>
      <c r="L553" s="149"/>
      <c r="M553" s="149"/>
      <c r="N553" s="149"/>
      <c r="O553" s="149"/>
      <c r="P553" s="149"/>
      <c r="Q553" s="149"/>
      <c r="R553" s="149"/>
      <c r="S553" s="149"/>
      <c r="T553" s="149"/>
      <c r="U553" s="149"/>
      <c r="V553" s="149"/>
      <c r="W553" s="149"/>
      <c r="X553" s="149"/>
      <c r="Y553" s="149"/>
      <c r="Z553" s="149"/>
      <c r="AA553" s="149"/>
      <c r="AB553" s="580">
        <f>HLOOKUP("*"&amp;'Output annual'!$AC$2&amp;'Output annual'!$AD$2&amp;"*Zone People Number Of Occupants [](Hourly)",'Eplus results'!$1:$1048576,ROW(),FALSE)</f>
        <v>0</v>
      </c>
      <c r="AC553" s="580">
        <f>HLOOKUP("*"&amp;'Output annual'!$AC$2&amp;'Output annual'!$AD$2&amp;"*FangerPMV(Hourly)",'Eplus results'!$1:$1048576,ROW(),FALSE)</f>
        <v>0</v>
      </c>
      <c r="AD553" s="580">
        <f t="shared" si="76"/>
        <v>5</v>
      </c>
      <c r="AE553" s="580">
        <f t="shared" si="77"/>
        <v>2.5</v>
      </c>
      <c r="AF553" s="580">
        <f t="shared" si="78"/>
        <v>2.5</v>
      </c>
      <c r="AG553" s="580">
        <f t="shared" si="79"/>
        <v>0</v>
      </c>
      <c r="AH553" s="580">
        <f t="shared" si="80"/>
        <v>0</v>
      </c>
      <c r="AI553" s="149"/>
      <c r="AJ553" s="149"/>
      <c r="AK553" s="149"/>
      <c r="AL553" s="149"/>
      <c r="AM553" s="149"/>
      <c r="AN553" s="149"/>
      <c r="AO553" s="149"/>
      <c r="AP553" s="149"/>
    </row>
    <row r="554" spans="2:42">
      <c r="B554" s="221">
        <v>110</v>
      </c>
      <c r="C554" s="54" t="s">
        <v>441</v>
      </c>
      <c r="D554" s="223">
        <v>22.129543972640601</v>
      </c>
      <c r="E554" s="344">
        <v>0</v>
      </c>
      <c r="F554" s="179">
        <v>32.22</v>
      </c>
      <c r="G554" s="179">
        <v>12.78</v>
      </c>
      <c r="H554" s="223">
        <v>19.400614053689001</v>
      </c>
      <c r="I554" s="297">
        <v>0</v>
      </c>
      <c r="J554" s="149"/>
      <c r="K554" s="149"/>
      <c r="L554" s="149"/>
      <c r="M554" s="149"/>
      <c r="N554" s="149"/>
      <c r="O554" s="149"/>
      <c r="P554" s="149"/>
      <c r="Q554" s="149"/>
      <c r="R554" s="149"/>
      <c r="S554" s="149"/>
      <c r="T554" s="149"/>
      <c r="U554" s="149"/>
      <c r="V554" s="149"/>
      <c r="W554" s="149"/>
      <c r="X554" s="149"/>
      <c r="Y554" s="149"/>
      <c r="Z554" s="149"/>
      <c r="AA554" s="149"/>
      <c r="AB554" s="580">
        <f>HLOOKUP("*"&amp;'Output annual'!$AC$2&amp;'Output annual'!$AD$2&amp;"*Zone People Number Of Occupants [](Hourly)",'Eplus results'!$1:$1048576,ROW(),FALSE)</f>
        <v>0</v>
      </c>
      <c r="AC554" s="580">
        <f>HLOOKUP("*"&amp;'Output annual'!$AC$2&amp;'Output annual'!$AD$2&amp;"*FangerPMV(Hourly)",'Eplus results'!$1:$1048576,ROW(),FALSE)</f>
        <v>0</v>
      </c>
      <c r="AD554" s="580">
        <f t="shared" si="76"/>
        <v>5</v>
      </c>
      <c r="AE554" s="580">
        <f t="shared" si="77"/>
        <v>2.5</v>
      </c>
      <c r="AF554" s="580">
        <f t="shared" si="78"/>
        <v>2.5</v>
      </c>
      <c r="AG554" s="580">
        <f t="shared" si="79"/>
        <v>0</v>
      </c>
      <c r="AH554" s="580">
        <f t="shared" si="80"/>
        <v>0</v>
      </c>
      <c r="AI554" s="149"/>
      <c r="AJ554" s="149"/>
      <c r="AK554" s="149"/>
      <c r="AL554" s="149"/>
      <c r="AM554" s="149"/>
      <c r="AN554" s="149"/>
      <c r="AO554" s="149"/>
      <c r="AP554" s="149"/>
    </row>
    <row r="555" spans="2:42">
      <c r="B555" s="221">
        <v>111</v>
      </c>
      <c r="C555" s="54" t="s">
        <v>442</v>
      </c>
      <c r="D555" s="223">
        <v>22.805657886197899</v>
      </c>
      <c r="E555" s="344">
        <v>0</v>
      </c>
      <c r="F555" s="179">
        <v>32.22</v>
      </c>
      <c r="G555" s="179">
        <v>12.78</v>
      </c>
      <c r="H555" s="223">
        <v>20.060871467026001</v>
      </c>
      <c r="I555" s="297">
        <v>0</v>
      </c>
      <c r="J555" s="149"/>
      <c r="K555" s="149"/>
      <c r="L555" s="149"/>
      <c r="M555" s="149"/>
      <c r="N555" s="149"/>
      <c r="O555" s="149"/>
      <c r="P555" s="149"/>
      <c r="Q555" s="149"/>
      <c r="R555" s="149"/>
      <c r="S555" s="149"/>
      <c r="T555" s="149"/>
      <c r="U555" s="149"/>
      <c r="V555" s="149"/>
      <c r="W555" s="149"/>
      <c r="X555" s="149"/>
      <c r="Y555" s="149"/>
      <c r="Z555" s="149"/>
      <c r="AA555" s="149"/>
      <c r="AB555" s="580">
        <f>HLOOKUP("*"&amp;'Output annual'!$AC$2&amp;'Output annual'!$AD$2&amp;"*Zone People Number Of Occupants [](Hourly)",'Eplus results'!$1:$1048576,ROW(),FALSE)</f>
        <v>0</v>
      </c>
      <c r="AC555" s="580">
        <f>HLOOKUP("*"&amp;'Output annual'!$AC$2&amp;'Output annual'!$AD$2&amp;"*FangerPMV(Hourly)",'Eplus results'!$1:$1048576,ROW(),FALSE)</f>
        <v>0</v>
      </c>
      <c r="AD555" s="580">
        <f t="shared" si="76"/>
        <v>5</v>
      </c>
      <c r="AE555" s="580">
        <f t="shared" si="77"/>
        <v>2.5</v>
      </c>
      <c r="AF555" s="580">
        <f t="shared" si="78"/>
        <v>2.5</v>
      </c>
      <c r="AG555" s="580">
        <f t="shared" si="79"/>
        <v>0</v>
      </c>
      <c r="AH555" s="580">
        <f t="shared" si="80"/>
        <v>0</v>
      </c>
      <c r="AI555" s="149"/>
      <c r="AJ555" s="149"/>
      <c r="AK555" s="149"/>
      <c r="AL555" s="149"/>
      <c r="AM555" s="149"/>
      <c r="AN555" s="149"/>
      <c r="AO555" s="149"/>
      <c r="AP555" s="149"/>
    </row>
    <row r="556" spans="2:42">
      <c r="B556" s="221">
        <v>112</v>
      </c>
      <c r="C556" s="54" t="s">
        <v>264</v>
      </c>
      <c r="D556" s="223">
        <v>23.303165878262401</v>
      </c>
      <c r="E556" s="344">
        <v>0</v>
      </c>
      <c r="F556" s="179">
        <v>32.22</v>
      </c>
      <c r="G556" s="179">
        <v>12.78</v>
      </c>
      <c r="H556" s="223">
        <v>20.339852003938802</v>
      </c>
      <c r="I556" s="297">
        <v>0</v>
      </c>
      <c r="J556" s="149"/>
      <c r="K556" s="149"/>
      <c r="L556" s="149"/>
      <c r="M556" s="149"/>
      <c r="N556" s="149"/>
      <c r="O556" s="149"/>
      <c r="P556" s="149"/>
      <c r="Q556" s="149"/>
      <c r="R556" s="149"/>
      <c r="S556" s="149"/>
      <c r="T556" s="149"/>
      <c r="U556" s="149"/>
      <c r="V556" s="149"/>
      <c r="W556" s="149"/>
      <c r="X556" s="149"/>
      <c r="Y556" s="149"/>
      <c r="Z556" s="149"/>
      <c r="AA556" s="149"/>
      <c r="AB556" s="580">
        <f>HLOOKUP("*"&amp;'Output annual'!$AC$2&amp;'Output annual'!$AD$2&amp;"*Zone People Number Of Occupants [](Hourly)",'Eplus results'!$1:$1048576,ROW(),FALSE)</f>
        <v>0</v>
      </c>
      <c r="AC556" s="580">
        <f>HLOOKUP("*"&amp;'Output annual'!$AC$2&amp;'Output annual'!$AD$2&amp;"*FangerPMV(Hourly)",'Eplus results'!$1:$1048576,ROW(),FALSE)</f>
        <v>0</v>
      </c>
      <c r="AD556" s="580">
        <f t="shared" si="76"/>
        <v>5</v>
      </c>
      <c r="AE556" s="580">
        <f t="shared" si="77"/>
        <v>2.5</v>
      </c>
      <c r="AF556" s="580">
        <f t="shared" si="78"/>
        <v>2.5</v>
      </c>
      <c r="AG556" s="580">
        <f t="shared" si="79"/>
        <v>0</v>
      </c>
      <c r="AH556" s="580">
        <f t="shared" si="80"/>
        <v>0</v>
      </c>
      <c r="AI556" s="149"/>
      <c r="AJ556" s="149"/>
      <c r="AK556" s="149"/>
      <c r="AL556" s="149"/>
      <c r="AM556" s="149"/>
      <c r="AN556" s="149"/>
      <c r="AO556" s="149"/>
      <c r="AP556" s="149"/>
    </row>
    <row r="557" spans="2:42">
      <c r="B557" s="221">
        <v>113</v>
      </c>
      <c r="C557" s="54" t="s">
        <v>265</v>
      </c>
      <c r="D557" s="223">
        <v>23.406731237391099</v>
      </c>
      <c r="E557" s="344">
        <v>0</v>
      </c>
      <c r="F557" s="179">
        <v>32.22</v>
      </c>
      <c r="G557" s="179">
        <v>12.78</v>
      </c>
      <c r="H557" s="223">
        <v>20.588920032041099</v>
      </c>
      <c r="I557" s="297">
        <v>0</v>
      </c>
      <c r="J557" s="149"/>
      <c r="K557" s="149"/>
      <c r="L557" s="149"/>
      <c r="M557" s="149"/>
      <c r="N557" s="149"/>
      <c r="O557" s="149"/>
      <c r="P557" s="149"/>
      <c r="Q557" s="149"/>
      <c r="R557" s="149"/>
      <c r="S557" s="149"/>
      <c r="T557" s="149"/>
      <c r="U557" s="149"/>
      <c r="V557" s="149"/>
      <c r="W557" s="149"/>
      <c r="X557" s="149"/>
      <c r="Y557" s="149"/>
      <c r="Z557" s="149"/>
      <c r="AA557" s="149"/>
      <c r="AB557" s="580">
        <f>HLOOKUP("*"&amp;'Output annual'!$AC$2&amp;'Output annual'!$AD$2&amp;"*Zone People Number Of Occupants [](Hourly)",'Eplus results'!$1:$1048576,ROW(),FALSE)</f>
        <v>0</v>
      </c>
      <c r="AC557" s="580">
        <f>HLOOKUP("*"&amp;'Output annual'!$AC$2&amp;'Output annual'!$AD$2&amp;"*FangerPMV(Hourly)",'Eplus results'!$1:$1048576,ROW(),FALSE)</f>
        <v>0</v>
      </c>
      <c r="AD557" s="580">
        <f t="shared" si="76"/>
        <v>5</v>
      </c>
      <c r="AE557" s="580">
        <f t="shared" si="77"/>
        <v>2.5</v>
      </c>
      <c r="AF557" s="580">
        <f t="shared" si="78"/>
        <v>2.5</v>
      </c>
      <c r="AG557" s="580">
        <f t="shared" si="79"/>
        <v>0</v>
      </c>
      <c r="AH557" s="580">
        <f t="shared" si="80"/>
        <v>0</v>
      </c>
      <c r="AI557" s="149"/>
      <c r="AJ557" s="149"/>
      <c r="AK557" s="149"/>
      <c r="AL557" s="149"/>
      <c r="AM557" s="149"/>
      <c r="AN557" s="149"/>
      <c r="AO557" s="149"/>
      <c r="AP557" s="149"/>
    </row>
    <row r="558" spans="2:42">
      <c r="B558" s="221">
        <v>114</v>
      </c>
      <c r="C558" s="54" t="s">
        <v>266</v>
      </c>
      <c r="D558" s="223">
        <v>23.0532526319097</v>
      </c>
      <c r="E558" s="344">
        <v>0</v>
      </c>
      <c r="F558" s="179">
        <v>32.22</v>
      </c>
      <c r="G558" s="179">
        <v>12.78</v>
      </c>
      <c r="H558" s="223">
        <v>20.8043531228465</v>
      </c>
      <c r="I558" s="297">
        <v>0</v>
      </c>
      <c r="J558" s="149"/>
      <c r="K558" s="149"/>
      <c r="L558" s="149"/>
      <c r="M558" s="149"/>
      <c r="N558" s="149"/>
      <c r="O558" s="149"/>
      <c r="P558" s="149"/>
      <c r="Q558" s="149"/>
      <c r="R558" s="149"/>
      <c r="S558" s="149"/>
      <c r="T558" s="149"/>
      <c r="U558" s="149"/>
      <c r="V558" s="149"/>
      <c r="W558" s="149"/>
      <c r="X558" s="149"/>
      <c r="Y558" s="149"/>
      <c r="Z558" s="149"/>
      <c r="AA558" s="149"/>
      <c r="AB558" s="580">
        <f>HLOOKUP("*"&amp;'Output annual'!$AC$2&amp;'Output annual'!$AD$2&amp;"*Zone People Number Of Occupants [](Hourly)",'Eplus results'!$1:$1048576,ROW(),FALSE)</f>
        <v>0</v>
      </c>
      <c r="AC558" s="580">
        <f>HLOOKUP("*"&amp;'Output annual'!$AC$2&amp;'Output annual'!$AD$2&amp;"*FangerPMV(Hourly)",'Eplus results'!$1:$1048576,ROW(),FALSE)</f>
        <v>0</v>
      </c>
      <c r="AD558" s="580">
        <f t="shared" si="76"/>
        <v>5</v>
      </c>
      <c r="AE558" s="580">
        <f t="shared" si="77"/>
        <v>2.5</v>
      </c>
      <c r="AF558" s="580">
        <f t="shared" si="78"/>
        <v>2.5</v>
      </c>
      <c r="AG558" s="580">
        <f t="shared" si="79"/>
        <v>0</v>
      </c>
      <c r="AH558" s="580">
        <f t="shared" si="80"/>
        <v>0</v>
      </c>
      <c r="AI558" s="149"/>
      <c r="AJ558" s="149"/>
      <c r="AK558" s="149"/>
      <c r="AL558" s="149"/>
      <c r="AM558" s="149"/>
      <c r="AN558" s="149"/>
      <c r="AO558" s="149"/>
      <c r="AP558" s="149"/>
    </row>
    <row r="559" spans="2:42">
      <c r="B559" s="221">
        <v>115</v>
      </c>
      <c r="C559" s="54" t="s">
        <v>267</v>
      </c>
      <c r="D559" s="223">
        <v>22.546365334003799</v>
      </c>
      <c r="E559" s="344">
        <v>0</v>
      </c>
      <c r="F559" s="179">
        <v>32.22</v>
      </c>
      <c r="G559" s="179">
        <v>12.78</v>
      </c>
      <c r="H559" s="223">
        <v>20.964812991349401</v>
      </c>
      <c r="I559" s="297">
        <v>0</v>
      </c>
      <c r="J559" s="149"/>
      <c r="K559" s="149"/>
      <c r="L559" s="149"/>
      <c r="M559" s="149"/>
      <c r="N559" s="149"/>
      <c r="O559" s="149"/>
      <c r="P559" s="149"/>
      <c r="Q559" s="149"/>
      <c r="R559" s="149"/>
      <c r="S559" s="149"/>
      <c r="T559" s="149"/>
      <c r="U559" s="149"/>
      <c r="V559" s="149"/>
      <c r="W559" s="149"/>
      <c r="X559" s="149"/>
      <c r="Y559" s="149"/>
      <c r="Z559" s="149"/>
      <c r="AA559" s="149"/>
      <c r="AB559" s="580">
        <f>HLOOKUP("*"&amp;'Output annual'!$AC$2&amp;'Output annual'!$AD$2&amp;"*Zone People Number Of Occupants [](Hourly)",'Eplus results'!$1:$1048576,ROW(),FALSE)</f>
        <v>0</v>
      </c>
      <c r="AC559" s="580">
        <f>HLOOKUP("*"&amp;'Output annual'!$AC$2&amp;'Output annual'!$AD$2&amp;"*FangerPMV(Hourly)",'Eplus results'!$1:$1048576,ROW(),FALSE)</f>
        <v>0</v>
      </c>
      <c r="AD559" s="580">
        <f t="shared" si="76"/>
        <v>5</v>
      </c>
      <c r="AE559" s="580">
        <f t="shared" si="77"/>
        <v>2.5</v>
      </c>
      <c r="AF559" s="580">
        <f t="shared" si="78"/>
        <v>2.5</v>
      </c>
      <c r="AG559" s="580">
        <f t="shared" si="79"/>
        <v>0</v>
      </c>
      <c r="AH559" s="580">
        <f t="shared" si="80"/>
        <v>0</v>
      </c>
      <c r="AI559" s="149"/>
      <c r="AJ559" s="149"/>
      <c r="AK559" s="149"/>
      <c r="AL559" s="149"/>
      <c r="AM559" s="149"/>
      <c r="AN559" s="149"/>
      <c r="AO559" s="149"/>
      <c r="AP559" s="149"/>
    </row>
    <row r="560" spans="2:42">
      <c r="B560" s="221">
        <v>116</v>
      </c>
      <c r="C560" s="54" t="s">
        <v>268</v>
      </c>
      <c r="D560" s="223">
        <v>22.0005480433915</v>
      </c>
      <c r="E560" s="344">
        <v>0</v>
      </c>
      <c r="F560" s="179">
        <v>32.22</v>
      </c>
      <c r="G560" s="179">
        <v>12.78</v>
      </c>
      <c r="H560" s="223">
        <v>21.065336605744999</v>
      </c>
      <c r="I560" s="297">
        <v>0</v>
      </c>
      <c r="J560" s="149"/>
      <c r="K560" s="149"/>
      <c r="L560" s="149"/>
      <c r="M560" s="149"/>
      <c r="N560" s="149"/>
      <c r="O560" s="149"/>
      <c r="P560" s="149"/>
      <c r="Q560" s="149"/>
      <c r="R560" s="149"/>
      <c r="S560" s="149"/>
      <c r="T560" s="149"/>
      <c r="U560" s="149"/>
      <c r="V560" s="149"/>
      <c r="W560" s="149"/>
      <c r="X560" s="149"/>
      <c r="Y560" s="149"/>
      <c r="Z560" s="149"/>
      <c r="AA560" s="149"/>
      <c r="AB560" s="580">
        <f>HLOOKUP("*"&amp;'Output annual'!$AC$2&amp;'Output annual'!$AD$2&amp;"*Zone People Number Of Occupants [](Hourly)",'Eplus results'!$1:$1048576,ROW(),FALSE)</f>
        <v>0</v>
      </c>
      <c r="AC560" s="580">
        <f>HLOOKUP("*"&amp;'Output annual'!$AC$2&amp;'Output annual'!$AD$2&amp;"*FangerPMV(Hourly)",'Eplus results'!$1:$1048576,ROW(),FALSE)</f>
        <v>0</v>
      </c>
      <c r="AD560" s="580">
        <f t="shared" si="76"/>
        <v>5</v>
      </c>
      <c r="AE560" s="580">
        <f t="shared" si="77"/>
        <v>2.5</v>
      </c>
      <c r="AF560" s="580">
        <f t="shared" si="78"/>
        <v>2.5</v>
      </c>
      <c r="AG560" s="580">
        <f t="shared" si="79"/>
        <v>0</v>
      </c>
      <c r="AH560" s="580">
        <f t="shared" si="80"/>
        <v>0</v>
      </c>
      <c r="AI560" s="149"/>
      <c r="AJ560" s="149"/>
      <c r="AK560" s="149"/>
      <c r="AL560" s="149"/>
      <c r="AM560" s="149"/>
      <c r="AN560" s="149"/>
      <c r="AO560" s="149"/>
      <c r="AP560" s="149"/>
    </row>
    <row r="561" spans="2:42">
      <c r="B561" s="221">
        <v>117</v>
      </c>
      <c r="C561" s="54" t="s">
        <v>269</v>
      </c>
      <c r="D561" s="223">
        <v>21.507930213340298</v>
      </c>
      <c r="E561" s="344">
        <v>0</v>
      </c>
      <c r="F561" s="179">
        <v>32.22</v>
      </c>
      <c r="G561" s="179">
        <v>12.78</v>
      </c>
      <c r="H561" s="223">
        <v>21.1113636096504</v>
      </c>
      <c r="I561" s="297">
        <v>0</v>
      </c>
      <c r="J561" s="149"/>
      <c r="K561" s="149"/>
      <c r="L561" s="149"/>
      <c r="M561" s="149"/>
      <c r="N561" s="149"/>
      <c r="O561" s="149"/>
      <c r="P561" s="149"/>
      <c r="Q561" s="149"/>
      <c r="R561" s="149"/>
      <c r="S561" s="149"/>
      <c r="T561" s="149"/>
      <c r="U561" s="149"/>
      <c r="V561" s="149"/>
      <c r="W561" s="149"/>
      <c r="X561" s="149"/>
      <c r="Y561" s="149"/>
      <c r="Z561" s="149"/>
      <c r="AA561" s="149"/>
      <c r="AB561" s="580">
        <f>HLOOKUP("*"&amp;'Output annual'!$AC$2&amp;'Output annual'!$AD$2&amp;"*Zone People Number Of Occupants [](Hourly)",'Eplus results'!$1:$1048576,ROW(),FALSE)</f>
        <v>0</v>
      </c>
      <c r="AC561" s="580">
        <f>HLOOKUP("*"&amp;'Output annual'!$AC$2&amp;'Output annual'!$AD$2&amp;"*FangerPMV(Hourly)",'Eplus results'!$1:$1048576,ROW(),FALSE)</f>
        <v>0</v>
      </c>
      <c r="AD561" s="580">
        <f t="shared" si="76"/>
        <v>5</v>
      </c>
      <c r="AE561" s="580">
        <f t="shared" si="77"/>
        <v>2.5</v>
      </c>
      <c r="AF561" s="580">
        <f t="shared" si="78"/>
        <v>2.5</v>
      </c>
      <c r="AG561" s="580">
        <f t="shared" si="79"/>
        <v>0</v>
      </c>
      <c r="AH561" s="580">
        <f t="shared" si="80"/>
        <v>0</v>
      </c>
      <c r="AI561" s="149"/>
      <c r="AJ561" s="149"/>
      <c r="AK561" s="149"/>
      <c r="AL561" s="149"/>
      <c r="AM561" s="149"/>
      <c r="AN561" s="149"/>
      <c r="AO561" s="149"/>
      <c r="AP561" s="149"/>
    </row>
    <row r="562" spans="2:42">
      <c r="B562" s="221">
        <v>118</v>
      </c>
      <c r="C562" s="54" t="s">
        <v>270</v>
      </c>
      <c r="D562" s="223">
        <v>21.048659302083799</v>
      </c>
      <c r="E562" s="344">
        <v>0</v>
      </c>
      <c r="F562" s="179">
        <v>32.22</v>
      </c>
      <c r="G562" s="179">
        <v>12.78</v>
      </c>
      <c r="H562" s="223">
        <v>21.112379841164799</v>
      </c>
      <c r="I562" s="297">
        <v>0</v>
      </c>
      <c r="J562" s="149"/>
      <c r="K562" s="149"/>
      <c r="L562" s="149"/>
      <c r="M562" s="149"/>
      <c r="N562" s="149"/>
      <c r="O562" s="149"/>
      <c r="P562" s="149"/>
      <c r="Q562" s="149"/>
      <c r="R562" s="149"/>
      <c r="S562" s="149"/>
      <c r="T562" s="149"/>
      <c r="U562" s="149"/>
      <c r="V562" s="149"/>
      <c r="W562" s="149"/>
      <c r="X562" s="149"/>
      <c r="Y562" s="149"/>
      <c r="Z562" s="149"/>
      <c r="AA562" s="149"/>
      <c r="AB562" s="580">
        <f>HLOOKUP("*"&amp;'Output annual'!$AC$2&amp;'Output annual'!$AD$2&amp;"*Zone People Number Of Occupants [](Hourly)",'Eplus results'!$1:$1048576,ROW(),FALSE)</f>
        <v>0</v>
      </c>
      <c r="AC562" s="580">
        <f>HLOOKUP("*"&amp;'Output annual'!$AC$2&amp;'Output annual'!$AD$2&amp;"*FangerPMV(Hourly)",'Eplus results'!$1:$1048576,ROW(),FALSE)</f>
        <v>0</v>
      </c>
      <c r="AD562" s="580">
        <f t="shared" si="76"/>
        <v>5</v>
      </c>
      <c r="AE562" s="580">
        <f t="shared" si="77"/>
        <v>2.5</v>
      </c>
      <c r="AF562" s="580">
        <f t="shared" si="78"/>
        <v>2.5</v>
      </c>
      <c r="AG562" s="580">
        <f t="shared" si="79"/>
        <v>0</v>
      </c>
      <c r="AH562" s="580">
        <f t="shared" si="80"/>
        <v>0</v>
      </c>
      <c r="AI562" s="149"/>
      <c r="AJ562" s="149"/>
      <c r="AK562" s="149"/>
      <c r="AL562" s="149"/>
      <c r="AM562" s="149"/>
      <c r="AN562" s="149"/>
      <c r="AO562" s="149"/>
      <c r="AP562" s="149"/>
    </row>
    <row r="563" spans="2:42">
      <c r="B563" s="221">
        <v>119</v>
      </c>
      <c r="C563" s="54" t="s">
        <v>271</v>
      </c>
      <c r="D563" s="223">
        <v>20.6117280303759</v>
      </c>
      <c r="E563" s="344">
        <v>0</v>
      </c>
      <c r="F563" s="179">
        <v>32.22</v>
      </c>
      <c r="G563" s="179">
        <v>12.78</v>
      </c>
      <c r="H563" s="223">
        <v>21.0784811205586</v>
      </c>
      <c r="I563" s="297">
        <v>0</v>
      </c>
      <c r="J563" s="149"/>
      <c r="K563" s="149"/>
      <c r="L563" s="149"/>
      <c r="M563" s="149"/>
      <c r="N563" s="149"/>
      <c r="O563" s="149"/>
      <c r="P563" s="149"/>
      <c r="Q563" s="149"/>
      <c r="R563" s="149"/>
      <c r="S563" s="149"/>
      <c r="T563" s="149"/>
      <c r="U563" s="149"/>
      <c r="V563" s="149"/>
      <c r="W563" s="149"/>
      <c r="X563" s="149"/>
      <c r="Y563" s="149"/>
      <c r="Z563" s="149"/>
      <c r="AA563" s="149"/>
      <c r="AB563" s="580">
        <f>HLOOKUP("*"&amp;'Output annual'!$AC$2&amp;'Output annual'!$AD$2&amp;"*Zone People Number Of Occupants [](Hourly)",'Eplus results'!$1:$1048576,ROW(),FALSE)</f>
        <v>0</v>
      </c>
      <c r="AC563" s="580">
        <f>HLOOKUP("*"&amp;'Output annual'!$AC$2&amp;'Output annual'!$AD$2&amp;"*FangerPMV(Hourly)",'Eplus results'!$1:$1048576,ROW(),FALSE)</f>
        <v>0</v>
      </c>
      <c r="AD563" s="580">
        <f t="shared" si="76"/>
        <v>5</v>
      </c>
      <c r="AE563" s="580">
        <f t="shared" si="77"/>
        <v>2.5</v>
      </c>
      <c r="AF563" s="580">
        <f t="shared" si="78"/>
        <v>2.5</v>
      </c>
      <c r="AG563" s="580">
        <f t="shared" si="79"/>
        <v>0</v>
      </c>
      <c r="AH563" s="580">
        <f t="shared" si="80"/>
        <v>0</v>
      </c>
      <c r="AI563" s="149"/>
      <c r="AJ563" s="149"/>
      <c r="AK563" s="149"/>
      <c r="AL563" s="149"/>
      <c r="AM563" s="149"/>
      <c r="AN563" s="149"/>
      <c r="AO563" s="149"/>
      <c r="AP563" s="149"/>
    </row>
    <row r="564" spans="2:42">
      <c r="B564" s="221">
        <v>120</v>
      </c>
      <c r="C564" s="54" t="s">
        <v>272</v>
      </c>
      <c r="D564" s="223">
        <v>20.194882386064201</v>
      </c>
      <c r="E564" s="344">
        <v>0</v>
      </c>
      <c r="F564" s="179">
        <v>32.22</v>
      </c>
      <c r="G564" s="179">
        <v>12.78</v>
      </c>
      <c r="H564" s="223">
        <v>21.0157583175639</v>
      </c>
      <c r="I564" s="297">
        <v>0</v>
      </c>
      <c r="J564" s="149"/>
      <c r="K564" s="149"/>
      <c r="L564" s="149"/>
      <c r="M564" s="149"/>
      <c r="N564" s="149"/>
      <c r="O564" s="149"/>
      <c r="P564" s="149"/>
      <c r="Q564" s="149"/>
      <c r="R564" s="149"/>
      <c r="S564" s="149"/>
      <c r="T564" s="149"/>
      <c r="U564" s="149"/>
      <c r="V564" s="149"/>
      <c r="W564" s="149"/>
      <c r="X564" s="149"/>
      <c r="Y564" s="149"/>
      <c r="Z564" s="149"/>
      <c r="AA564" s="149"/>
      <c r="AB564" s="580">
        <f>HLOOKUP("*"&amp;'Output annual'!$AC$2&amp;'Output annual'!$AD$2&amp;"*Zone People Number Of Occupants [](Hourly)",'Eplus results'!$1:$1048576,ROW(),FALSE)</f>
        <v>0</v>
      </c>
      <c r="AC564" s="580">
        <f>HLOOKUP("*"&amp;'Output annual'!$AC$2&amp;'Output annual'!$AD$2&amp;"*FangerPMV(Hourly)",'Eplus results'!$1:$1048576,ROW(),FALSE)</f>
        <v>0</v>
      </c>
      <c r="AD564" s="580">
        <f t="shared" si="76"/>
        <v>5</v>
      </c>
      <c r="AE564" s="580">
        <f t="shared" si="77"/>
        <v>2.5</v>
      </c>
      <c r="AF564" s="580">
        <f t="shared" si="78"/>
        <v>2.5</v>
      </c>
      <c r="AG564" s="580">
        <f t="shared" si="79"/>
        <v>0</v>
      </c>
      <c r="AH564" s="580">
        <f t="shared" si="80"/>
        <v>0</v>
      </c>
      <c r="AI564" s="149"/>
      <c r="AJ564" s="149"/>
      <c r="AK564" s="149"/>
      <c r="AL564" s="149"/>
      <c r="AM564" s="149"/>
      <c r="AN564" s="149"/>
      <c r="AO564" s="149"/>
      <c r="AP564" s="149"/>
    </row>
    <row r="565" spans="2:42">
      <c r="B565" s="221">
        <v>121</v>
      </c>
      <c r="C565" s="54" t="s">
        <v>273</v>
      </c>
      <c r="D565" s="223">
        <v>19.788242508262801</v>
      </c>
      <c r="E565" s="344">
        <v>0</v>
      </c>
      <c r="F565" s="179">
        <v>32.22</v>
      </c>
      <c r="G565" s="179">
        <v>12.78</v>
      </c>
      <c r="H565" s="223">
        <v>20.9319112105632</v>
      </c>
      <c r="I565" s="297">
        <v>0</v>
      </c>
      <c r="J565" s="149"/>
      <c r="K565" s="149"/>
      <c r="L565" s="149"/>
      <c r="M565" s="149"/>
      <c r="N565" s="149"/>
      <c r="O565" s="149"/>
      <c r="P565" s="149"/>
      <c r="Q565" s="149"/>
      <c r="R565" s="149"/>
      <c r="S565" s="149"/>
      <c r="T565" s="149"/>
      <c r="U565" s="149"/>
      <c r="V565" s="149"/>
      <c r="W565" s="149"/>
      <c r="X565" s="149"/>
      <c r="Y565" s="149"/>
      <c r="Z565" s="149"/>
      <c r="AA565" s="149"/>
      <c r="AB565" s="580">
        <f>HLOOKUP("*"&amp;'Output annual'!$AC$2&amp;'Output annual'!$AD$2&amp;"*Zone People Number Of Occupants [](Hourly)",'Eplus results'!$1:$1048576,ROW(),FALSE)</f>
        <v>0</v>
      </c>
      <c r="AC565" s="580">
        <f>HLOOKUP("*"&amp;'Output annual'!$AC$2&amp;'Output annual'!$AD$2&amp;"*FangerPMV(Hourly)",'Eplus results'!$1:$1048576,ROW(),FALSE)</f>
        <v>0</v>
      </c>
      <c r="AD565" s="580">
        <f t="shared" si="76"/>
        <v>5</v>
      </c>
      <c r="AE565" s="580">
        <f t="shared" si="77"/>
        <v>2.5</v>
      </c>
      <c r="AF565" s="580">
        <f t="shared" si="78"/>
        <v>2.5</v>
      </c>
      <c r="AG565" s="580">
        <f t="shared" si="79"/>
        <v>0</v>
      </c>
      <c r="AH565" s="580">
        <f t="shared" si="80"/>
        <v>0</v>
      </c>
      <c r="AI565" s="149"/>
      <c r="AJ565" s="149"/>
      <c r="AK565" s="149"/>
      <c r="AL565" s="149"/>
      <c r="AM565" s="149"/>
      <c r="AN565" s="149"/>
      <c r="AO565" s="149"/>
      <c r="AP565" s="149"/>
    </row>
    <row r="566" spans="2:42">
      <c r="B566" s="221">
        <v>122</v>
      </c>
      <c r="C566" s="54" t="s">
        <v>274</v>
      </c>
      <c r="D566" s="223">
        <v>19.374364957140799</v>
      </c>
      <c r="E566" s="344">
        <v>0</v>
      </c>
      <c r="F566" s="179">
        <v>32.22</v>
      </c>
      <c r="G566" s="179">
        <v>12.78</v>
      </c>
      <c r="H566" s="223">
        <v>20.844614989389299</v>
      </c>
      <c r="I566" s="297">
        <v>0</v>
      </c>
      <c r="J566" s="149"/>
      <c r="K566" s="149"/>
      <c r="L566" s="149"/>
      <c r="M566" s="149"/>
      <c r="N566" s="149"/>
      <c r="O566" s="149"/>
      <c r="P566" s="149"/>
      <c r="Q566" s="149"/>
      <c r="R566" s="149"/>
      <c r="S566" s="149"/>
      <c r="T566" s="149"/>
      <c r="U566" s="149"/>
      <c r="V566" s="149"/>
      <c r="W566" s="149"/>
      <c r="X566" s="149"/>
      <c r="Y566" s="149"/>
      <c r="Z566" s="149"/>
      <c r="AA566" s="149"/>
      <c r="AB566" s="580">
        <f>HLOOKUP("*"&amp;'Output annual'!$AC$2&amp;'Output annual'!$AD$2&amp;"*Zone People Number Of Occupants [](Hourly)",'Eplus results'!$1:$1048576,ROW(),FALSE)</f>
        <v>0</v>
      </c>
      <c r="AC566" s="580">
        <f>HLOOKUP("*"&amp;'Output annual'!$AC$2&amp;'Output annual'!$AD$2&amp;"*FangerPMV(Hourly)",'Eplus results'!$1:$1048576,ROW(),FALSE)</f>
        <v>0</v>
      </c>
      <c r="AD566" s="580">
        <f t="shared" si="76"/>
        <v>5</v>
      </c>
      <c r="AE566" s="580">
        <f t="shared" si="77"/>
        <v>2.5</v>
      </c>
      <c r="AF566" s="580">
        <f t="shared" si="78"/>
        <v>2.5</v>
      </c>
      <c r="AG566" s="580">
        <f t="shared" si="79"/>
        <v>0</v>
      </c>
      <c r="AH566" s="580">
        <f t="shared" si="80"/>
        <v>0</v>
      </c>
      <c r="AI566" s="149"/>
      <c r="AJ566" s="149"/>
      <c r="AK566" s="149"/>
      <c r="AL566" s="149"/>
      <c r="AM566" s="149"/>
      <c r="AN566" s="149"/>
      <c r="AO566" s="149"/>
      <c r="AP566" s="149"/>
    </row>
    <row r="567" spans="2:42">
      <c r="B567" s="221">
        <v>123</v>
      </c>
      <c r="C567" s="54" t="s">
        <v>275</v>
      </c>
      <c r="D567" s="223">
        <v>18.934639285437001</v>
      </c>
      <c r="E567" s="344">
        <v>0</v>
      </c>
      <c r="F567" s="179">
        <v>32.22</v>
      </c>
      <c r="G567" s="179">
        <v>12.78</v>
      </c>
      <c r="H567" s="223">
        <v>20.737214038574901</v>
      </c>
      <c r="I567" s="297">
        <v>0</v>
      </c>
      <c r="J567" s="149"/>
      <c r="K567" s="149"/>
      <c r="L567" s="149"/>
      <c r="M567" s="149"/>
      <c r="N567" s="149"/>
      <c r="O567" s="149"/>
      <c r="P567" s="149"/>
      <c r="Q567" s="149"/>
      <c r="R567" s="149"/>
      <c r="S567" s="149"/>
      <c r="T567" s="149"/>
      <c r="U567" s="149"/>
      <c r="V567" s="149"/>
      <c r="W567" s="149"/>
      <c r="X567" s="149"/>
      <c r="Y567" s="149"/>
      <c r="Z567" s="149"/>
      <c r="AA567" s="149"/>
      <c r="AB567" s="580">
        <f>HLOOKUP("*"&amp;'Output annual'!$AC$2&amp;'Output annual'!$AD$2&amp;"*Zone People Number Of Occupants [](Hourly)",'Eplus results'!$1:$1048576,ROW(),FALSE)</f>
        <v>0</v>
      </c>
      <c r="AC567" s="580">
        <f>HLOOKUP("*"&amp;'Output annual'!$AC$2&amp;'Output annual'!$AD$2&amp;"*FangerPMV(Hourly)",'Eplus results'!$1:$1048576,ROW(),FALSE)</f>
        <v>0</v>
      </c>
      <c r="AD567" s="580">
        <f t="shared" si="76"/>
        <v>5</v>
      </c>
      <c r="AE567" s="580">
        <f t="shared" si="77"/>
        <v>2.5</v>
      </c>
      <c r="AF567" s="580">
        <f t="shared" si="78"/>
        <v>2.5</v>
      </c>
      <c r="AG567" s="580">
        <f t="shared" si="79"/>
        <v>0</v>
      </c>
      <c r="AH567" s="580">
        <f t="shared" si="80"/>
        <v>0</v>
      </c>
      <c r="AI567" s="149"/>
      <c r="AJ567" s="149"/>
      <c r="AK567" s="149"/>
      <c r="AL567" s="149"/>
      <c r="AM567" s="149"/>
      <c r="AN567" s="149"/>
      <c r="AO567" s="149"/>
      <c r="AP567" s="149"/>
    </row>
    <row r="568" spans="2:42">
      <c r="B568" s="221">
        <v>124</v>
      </c>
      <c r="C568" s="54" t="s">
        <v>276</v>
      </c>
      <c r="D568" s="223">
        <v>18.463033847148001</v>
      </c>
      <c r="E568" s="344">
        <v>0</v>
      </c>
      <c r="F568" s="179">
        <v>32.22</v>
      </c>
      <c r="G568" s="179">
        <v>12.78</v>
      </c>
      <c r="H568" s="223">
        <v>20.615504803607799</v>
      </c>
      <c r="I568" s="297">
        <v>0</v>
      </c>
      <c r="J568" s="149"/>
      <c r="K568" s="149"/>
      <c r="L568" s="149"/>
      <c r="M568" s="149"/>
      <c r="N568" s="149"/>
      <c r="O568" s="149"/>
      <c r="P568" s="149"/>
      <c r="Q568" s="149"/>
      <c r="R568" s="149"/>
      <c r="S568" s="149"/>
      <c r="T568" s="149"/>
      <c r="U568" s="149"/>
      <c r="V568" s="149"/>
      <c r="W568" s="149"/>
      <c r="X568" s="149"/>
      <c r="Y568" s="149"/>
      <c r="Z568" s="149"/>
      <c r="AA568" s="149"/>
      <c r="AB568" s="580">
        <f>HLOOKUP("*"&amp;'Output annual'!$AC$2&amp;'Output annual'!$AD$2&amp;"*Zone People Number Of Occupants [](Hourly)",'Eplus results'!$1:$1048576,ROW(),FALSE)</f>
        <v>0</v>
      </c>
      <c r="AC568" s="580">
        <f>HLOOKUP("*"&amp;'Output annual'!$AC$2&amp;'Output annual'!$AD$2&amp;"*FangerPMV(Hourly)",'Eplus results'!$1:$1048576,ROW(),FALSE)</f>
        <v>0</v>
      </c>
      <c r="AD568" s="580">
        <f t="shared" si="76"/>
        <v>5</v>
      </c>
      <c r="AE568" s="580">
        <f t="shared" si="77"/>
        <v>2.5</v>
      </c>
      <c r="AF568" s="580">
        <f t="shared" si="78"/>
        <v>2.5</v>
      </c>
      <c r="AG568" s="580">
        <f t="shared" si="79"/>
        <v>0</v>
      </c>
      <c r="AH568" s="580">
        <f t="shared" si="80"/>
        <v>0</v>
      </c>
      <c r="AI568" s="149"/>
      <c r="AJ568" s="149"/>
      <c r="AK568" s="149"/>
      <c r="AL568" s="149"/>
      <c r="AM568" s="149"/>
      <c r="AN568" s="149"/>
      <c r="AO568" s="149"/>
      <c r="AP568" s="149"/>
    </row>
    <row r="569" spans="2:42">
      <c r="B569" s="221">
        <v>125</v>
      </c>
      <c r="C569" s="54" t="s">
        <v>277</v>
      </c>
      <c r="D569" s="223">
        <v>18.0066895746806</v>
      </c>
      <c r="E569" s="344">
        <v>0</v>
      </c>
      <c r="F569" s="179">
        <v>32.22</v>
      </c>
      <c r="G569" s="179">
        <v>12.78</v>
      </c>
      <c r="H569" s="223">
        <v>20.478496478963599</v>
      </c>
      <c r="I569" s="297">
        <v>0</v>
      </c>
      <c r="J569" s="149"/>
      <c r="K569" s="149"/>
      <c r="L569" s="149"/>
      <c r="M569" s="149"/>
      <c r="N569" s="149"/>
      <c r="O569" s="149"/>
      <c r="P569" s="149"/>
      <c r="Q569" s="149"/>
      <c r="R569" s="149"/>
      <c r="S569" s="149"/>
      <c r="T569" s="149"/>
      <c r="U569" s="149"/>
      <c r="V569" s="149"/>
      <c r="W569" s="149"/>
      <c r="X569" s="149"/>
      <c r="Y569" s="149"/>
      <c r="Z569" s="149"/>
      <c r="AA569" s="149"/>
      <c r="AB569" s="580">
        <f>HLOOKUP("*"&amp;'Output annual'!$AC$2&amp;'Output annual'!$AD$2&amp;"*Zone People Number Of Occupants [](Hourly)",'Eplus results'!$1:$1048576,ROW(),FALSE)</f>
        <v>0</v>
      </c>
      <c r="AC569" s="580">
        <f>HLOOKUP("*"&amp;'Output annual'!$AC$2&amp;'Output annual'!$AD$2&amp;"*FangerPMV(Hourly)",'Eplus results'!$1:$1048576,ROW(),FALSE)</f>
        <v>0</v>
      </c>
      <c r="AD569" s="580">
        <f t="shared" si="76"/>
        <v>5</v>
      </c>
      <c r="AE569" s="580">
        <f t="shared" si="77"/>
        <v>2.5</v>
      </c>
      <c r="AF569" s="580">
        <f t="shared" si="78"/>
        <v>2.5</v>
      </c>
      <c r="AG569" s="580">
        <f t="shared" si="79"/>
        <v>0</v>
      </c>
      <c r="AH569" s="580">
        <f t="shared" si="80"/>
        <v>0</v>
      </c>
      <c r="AI569" s="149"/>
      <c r="AJ569" s="149"/>
      <c r="AK569" s="149"/>
      <c r="AL569" s="149"/>
      <c r="AM569" s="149"/>
      <c r="AN569" s="149"/>
      <c r="AO569" s="149"/>
      <c r="AP569" s="149"/>
    </row>
    <row r="570" spans="2:42">
      <c r="B570" s="221">
        <v>126</v>
      </c>
      <c r="C570" s="54" t="s">
        <v>278</v>
      </c>
      <c r="D570" s="223">
        <v>17.879624090032198</v>
      </c>
      <c r="E570" s="344">
        <v>0.33183981472282698</v>
      </c>
      <c r="F570" s="179">
        <v>23.89</v>
      </c>
      <c r="G570" s="179">
        <v>21.11</v>
      </c>
      <c r="H570" s="223">
        <v>19.4149601303676</v>
      </c>
      <c r="I570" s="297">
        <v>0</v>
      </c>
      <c r="J570" s="149"/>
      <c r="K570" s="149"/>
      <c r="L570" s="149"/>
      <c r="M570" s="149"/>
      <c r="N570" s="149"/>
      <c r="O570" s="149"/>
      <c r="P570" s="149"/>
      <c r="Q570" s="149"/>
      <c r="R570" s="149"/>
      <c r="S570" s="149"/>
      <c r="T570" s="149"/>
      <c r="U570" s="149"/>
      <c r="V570" s="149"/>
      <c r="W570" s="149"/>
      <c r="X570" s="149"/>
      <c r="Y570" s="149"/>
      <c r="Z570" s="149"/>
      <c r="AA570" s="149"/>
      <c r="AB570" s="580">
        <f>HLOOKUP("*"&amp;'Output annual'!$AC$2&amp;'Output annual'!$AD$2&amp;"*Zone People Number Of Occupants [](Hourly)",'Eplus results'!$1:$1048576,ROW(),FALSE)</f>
        <v>0</v>
      </c>
      <c r="AC570" s="580">
        <f>HLOOKUP("*"&amp;'Output annual'!$AC$2&amp;'Output annual'!$AD$2&amp;"*FangerPMV(Hourly)",'Eplus results'!$1:$1048576,ROW(),FALSE)</f>
        <v>0</v>
      </c>
      <c r="AD570" s="580">
        <f t="shared" si="76"/>
        <v>5</v>
      </c>
      <c r="AE570" s="580">
        <f t="shared" si="77"/>
        <v>2.5</v>
      </c>
      <c r="AF570" s="580">
        <f t="shared" si="78"/>
        <v>2.5</v>
      </c>
      <c r="AG570" s="580">
        <f t="shared" si="79"/>
        <v>0</v>
      </c>
      <c r="AH570" s="580">
        <f t="shared" si="80"/>
        <v>0</v>
      </c>
      <c r="AI570" s="149"/>
      <c r="AJ570" s="149"/>
      <c r="AK570" s="149"/>
      <c r="AL570" s="149"/>
      <c r="AM570" s="149"/>
      <c r="AN570" s="149"/>
      <c r="AO570" s="149"/>
      <c r="AP570" s="149"/>
    </row>
    <row r="571" spans="2:42">
      <c r="B571" s="221">
        <v>127</v>
      </c>
      <c r="C571" s="54" t="s">
        <v>279</v>
      </c>
      <c r="D571" s="223">
        <v>18.125464223061901</v>
      </c>
      <c r="E571" s="344">
        <v>0.33183981472282698</v>
      </c>
      <c r="F571" s="179">
        <v>23.89</v>
      </c>
      <c r="G571" s="179">
        <v>21.11</v>
      </c>
      <c r="H571" s="223">
        <v>18.986493577056301</v>
      </c>
      <c r="I571" s="297">
        <v>0</v>
      </c>
      <c r="J571" s="149"/>
      <c r="K571" s="149"/>
      <c r="L571" s="149"/>
      <c r="M571" s="149"/>
      <c r="N571" s="149"/>
      <c r="O571" s="149"/>
      <c r="P571" s="149"/>
      <c r="Q571" s="149"/>
      <c r="R571" s="149"/>
      <c r="S571" s="149"/>
      <c r="T571" s="149"/>
      <c r="U571" s="149"/>
      <c r="V571" s="149"/>
      <c r="W571" s="149"/>
      <c r="X571" s="149"/>
      <c r="Y571" s="149"/>
      <c r="Z571" s="149"/>
      <c r="AA571" s="149"/>
      <c r="AB571" s="580">
        <f>HLOOKUP("*"&amp;'Output annual'!$AC$2&amp;'Output annual'!$AD$2&amp;"*Zone People Number Of Occupants [](Hourly)",'Eplus results'!$1:$1048576,ROW(),FALSE)</f>
        <v>0</v>
      </c>
      <c r="AC571" s="580">
        <f>HLOOKUP("*"&amp;'Output annual'!$AC$2&amp;'Output annual'!$AD$2&amp;"*FangerPMV(Hourly)",'Eplus results'!$1:$1048576,ROW(),FALSE)</f>
        <v>0</v>
      </c>
      <c r="AD571" s="580">
        <f t="shared" si="76"/>
        <v>5</v>
      </c>
      <c r="AE571" s="580">
        <f t="shared" si="77"/>
        <v>2.5</v>
      </c>
      <c r="AF571" s="580">
        <f t="shared" si="78"/>
        <v>2.5</v>
      </c>
      <c r="AG571" s="580">
        <f t="shared" si="79"/>
        <v>0</v>
      </c>
      <c r="AH571" s="580">
        <f t="shared" si="80"/>
        <v>0</v>
      </c>
      <c r="AI571" s="149"/>
      <c r="AJ571" s="149"/>
      <c r="AK571" s="149"/>
      <c r="AL571" s="149"/>
      <c r="AM571" s="149"/>
      <c r="AN571" s="149"/>
      <c r="AO571" s="149"/>
      <c r="AP571" s="149"/>
    </row>
    <row r="572" spans="2:42">
      <c r="B572" s="221">
        <v>128</v>
      </c>
      <c r="C572" s="54" t="s">
        <v>280</v>
      </c>
      <c r="D572" s="223">
        <v>21.4444939953495</v>
      </c>
      <c r="E572" s="344">
        <v>0.33183981472282698</v>
      </c>
      <c r="F572" s="179">
        <v>23.89</v>
      </c>
      <c r="G572" s="179">
        <v>21.11</v>
      </c>
      <c r="H572" s="223">
        <v>19.045272872691601</v>
      </c>
      <c r="I572" s="297">
        <v>5.4461657097689305E-2</v>
      </c>
      <c r="J572" s="149"/>
      <c r="K572" s="149"/>
      <c r="L572" s="149"/>
      <c r="M572" s="149"/>
      <c r="N572" s="149"/>
      <c r="O572" s="149"/>
      <c r="P572" s="149"/>
      <c r="Q572" s="149"/>
      <c r="R572" s="149"/>
      <c r="S572" s="149"/>
      <c r="T572" s="149"/>
      <c r="U572" s="149"/>
      <c r="V572" s="149"/>
      <c r="W572" s="149"/>
      <c r="X572" s="149"/>
      <c r="Y572" s="149"/>
      <c r="Z572" s="149"/>
      <c r="AA572" s="149"/>
      <c r="AB572" s="580">
        <f>HLOOKUP("*"&amp;'Output annual'!$AC$2&amp;'Output annual'!$AD$2&amp;"*Zone People Number Of Occupants [](Hourly)",'Eplus results'!$1:$1048576,ROW(),FALSE)</f>
        <v>0</v>
      </c>
      <c r="AC572" s="580">
        <f>HLOOKUP("*"&amp;'Output annual'!$AC$2&amp;'Output annual'!$AD$2&amp;"*FangerPMV(Hourly)",'Eplus results'!$1:$1048576,ROW(),FALSE)</f>
        <v>0</v>
      </c>
      <c r="AD572" s="580">
        <f t="shared" si="76"/>
        <v>5</v>
      </c>
      <c r="AE572" s="580">
        <f t="shared" si="77"/>
        <v>2.5</v>
      </c>
      <c r="AF572" s="580">
        <f t="shared" si="78"/>
        <v>2.5</v>
      </c>
      <c r="AG572" s="580">
        <f t="shared" si="79"/>
        <v>0</v>
      </c>
      <c r="AH572" s="580">
        <f t="shared" si="80"/>
        <v>0</v>
      </c>
      <c r="AI572" s="149"/>
      <c r="AJ572" s="149"/>
      <c r="AK572" s="149"/>
      <c r="AL572" s="149"/>
      <c r="AM572" s="149"/>
      <c r="AN572" s="149"/>
      <c r="AO572" s="149"/>
      <c r="AP572" s="149"/>
    </row>
    <row r="573" spans="2:42">
      <c r="B573" s="221">
        <v>129</v>
      </c>
      <c r="C573" s="54" t="s">
        <v>281</v>
      </c>
      <c r="D573" s="223">
        <v>22.7635672856469</v>
      </c>
      <c r="E573" s="344">
        <v>0.34162317312141699</v>
      </c>
      <c r="F573" s="179">
        <v>23.89</v>
      </c>
      <c r="G573" s="179">
        <v>21.11</v>
      </c>
      <c r="H573" s="223">
        <v>19.2422859464711</v>
      </c>
      <c r="I573" s="297">
        <v>9.4818132397658475E-2</v>
      </c>
      <c r="J573" s="149"/>
      <c r="K573" s="149"/>
      <c r="L573" s="149"/>
      <c r="M573" s="149"/>
      <c r="N573" s="149"/>
      <c r="O573" s="149"/>
      <c r="P573" s="149"/>
      <c r="Q573" s="149"/>
      <c r="R573" s="149"/>
      <c r="S573" s="149"/>
      <c r="T573" s="149"/>
      <c r="U573" s="149"/>
      <c r="V573" s="149"/>
      <c r="W573" s="149"/>
      <c r="X573" s="149"/>
      <c r="Y573" s="149"/>
      <c r="Z573" s="149"/>
      <c r="AA573" s="149"/>
      <c r="AB573" s="580">
        <f>HLOOKUP("*"&amp;'Output annual'!$AC$2&amp;'Output annual'!$AD$2&amp;"*Zone People Number Of Occupants [](Hourly)",'Eplus results'!$1:$1048576,ROW(),FALSE)</f>
        <v>0</v>
      </c>
      <c r="AC573" s="580">
        <f>HLOOKUP("*"&amp;'Output annual'!$AC$2&amp;'Output annual'!$AD$2&amp;"*FangerPMV(Hourly)",'Eplus results'!$1:$1048576,ROW(),FALSE)</f>
        <v>0</v>
      </c>
      <c r="AD573" s="580">
        <f t="shared" si="76"/>
        <v>5</v>
      </c>
      <c r="AE573" s="580">
        <f t="shared" si="77"/>
        <v>2.5</v>
      </c>
      <c r="AF573" s="580">
        <f t="shared" si="78"/>
        <v>2.5</v>
      </c>
      <c r="AG573" s="580">
        <f t="shared" si="79"/>
        <v>0</v>
      </c>
      <c r="AH573" s="580">
        <f t="shared" si="80"/>
        <v>0</v>
      </c>
      <c r="AI573" s="149"/>
      <c r="AJ573" s="149"/>
      <c r="AK573" s="149"/>
      <c r="AL573" s="149"/>
      <c r="AM573" s="149"/>
      <c r="AN573" s="149"/>
      <c r="AO573" s="149"/>
      <c r="AP573" s="149"/>
    </row>
    <row r="574" spans="2:42">
      <c r="B574" s="221">
        <v>130</v>
      </c>
      <c r="C574" s="54" t="s">
        <v>282</v>
      </c>
      <c r="D574" s="223">
        <v>23.9246046269731</v>
      </c>
      <c r="E574" s="344">
        <v>0.75667239037006695</v>
      </c>
      <c r="F574" s="179">
        <v>23.89</v>
      </c>
      <c r="G574" s="179">
        <v>21.11</v>
      </c>
      <c r="H574" s="223">
        <v>18.5207815140711</v>
      </c>
      <c r="I574" s="297">
        <v>0.2334676776715047</v>
      </c>
      <c r="J574" s="149"/>
      <c r="K574" s="149"/>
      <c r="L574" s="149"/>
      <c r="M574" s="149"/>
      <c r="N574" s="149"/>
      <c r="O574" s="149"/>
      <c r="P574" s="149"/>
      <c r="Q574" s="149"/>
      <c r="R574" s="149"/>
      <c r="S574" s="149"/>
      <c r="T574" s="149"/>
      <c r="U574" s="149"/>
      <c r="V574" s="149"/>
      <c r="W574" s="149"/>
      <c r="X574" s="149"/>
      <c r="Y574" s="149"/>
      <c r="Z574" s="149"/>
      <c r="AA574" s="149"/>
      <c r="AB574" s="580">
        <f>HLOOKUP("*"&amp;'Output annual'!$AC$2&amp;'Output annual'!$AD$2&amp;"*Zone People Number Of Occupants [](Hourly)",'Eplus results'!$1:$1048576,ROW(),FALSE)</f>
        <v>0</v>
      </c>
      <c r="AC574" s="580">
        <f>HLOOKUP("*"&amp;'Output annual'!$AC$2&amp;'Output annual'!$AD$2&amp;"*FangerPMV(Hourly)",'Eplus results'!$1:$1048576,ROW(),FALSE)</f>
        <v>0</v>
      </c>
      <c r="AD574" s="580">
        <f t="shared" si="76"/>
        <v>5</v>
      </c>
      <c r="AE574" s="580">
        <f t="shared" si="77"/>
        <v>2.5</v>
      </c>
      <c r="AF574" s="580">
        <f t="shared" si="78"/>
        <v>2.5</v>
      </c>
      <c r="AG574" s="580">
        <f t="shared" si="79"/>
        <v>0</v>
      </c>
      <c r="AH574" s="580">
        <f t="shared" si="80"/>
        <v>0</v>
      </c>
      <c r="AI574" s="149"/>
      <c r="AJ574" s="149"/>
      <c r="AK574" s="149"/>
      <c r="AL574" s="149"/>
      <c r="AM574" s="149"/>
      <c r="AN574" s="149"/>
      <c r="AO574" s="149"/>
      <c r="AP574" s="149"/>
    </row>
    <row r="575" spans="2:42">
      <c r="B575" s="221">
        <v>131</v>
      </c>
      <c r="C575" s="54" t="s">
        <v>283</v>
      </c>
      <c r="D575" s="223">
        <v>24.282117311712199</v>
      </c>
      <c r="E575" s="344">
        <v>1.2848003499327101</v>
      </c>
      <c r="F575" s="179">
        <v>23.89</v>
      </c>
      <c r="G575" s="179">
        <v>21.11</v>
      </c>
      <c r="H575" s="223">
        <v>18.2405986572129</v>
      </c>
      <c r="I575" s="297">
        <v>0.3900396173423829</v>
      </c>
      <c r="J575" s="149"/>
      <c r="K575" s="149"/>
      <c r="L575" s="149"/>
      <c r="M575" s="149"/>
      <c r="N575" s="149"/>
      <c r="O575" s="149"/>
      <c r="P575" s="149"/>
      <c r="Q575" s="149"/>
      <c r="R575" s="149"/>
      <c r="S575" s="149"/>
      <c r="T575" s="149"/>
      <c r="U575" s="149"/>
      <c r="V575" s="149"/>
      <c r="W575" s="149"/>
      <c r="X575" s="149"/>
      <c r="Y575" s="149"/>
      <c r="Z575" s="149"/>
      <c r="AA575" s="149"/>
      <c r="AB575" s="580">
        <f>HLOOKUP("*"&amp;'Output annual'!$AC$2&amp;'Output annual'!$AD$2&amp;"*Zone People Number Of Occupants [](Hourly)",'Eplus results'!$1:$1048576,ROW(),FALSE)</f>
        <v>0</v>
      </c>
      <c r="AC575" s="580">
        <f>HLOOKUP("*"&amp;'Output annual'!$AC$2&amp;'Output annual'!$AD$2&amp;"*FangerPMV(Hourly)",'Eplus results'!$1:$1048576,ROW(),FALSE)</f>
        <v>0</v>
      </c>
      <c r="AD575" s="580">
        <f t="shared" si="76"/>
        <v>5</v>
      </c>
      <c r="AE575" s="580">
        <f t="shared" si="77"/>
        <v>2.5</v>
      </c>
      <c r="AF575" s="580">
        <f t="shared" si="78"/>
        <v>2.5</v>
      </c>
      <c r="AG575" s="580">
        <f t="shared" si="79"/>
        <v>0</v>
      </c>
      <c r="AH575" s="580">
        <f t="shared" si="80"/>
        <v>0</v>
      </c>
      <c r="AI575" s="149"/>
      <c r="AJ575" s="149"/>
      <c r="AK575" s="149"/>
      <c r="AL575" s="149"/>
      <c r="AM575" s="149"/>
      <c r="AN575" s="149"/>
      <c r="AO575" s="149"/>
      <c r="AP575" s="149"/>
    </row>
    <row r="576" spans="2:42">
      <c r="B576" s="221">
        <v>132</v>
      </c>
      <c r="C576" s="54" t="s">
        <v>284</v>
      </c>
      <c r="D576" s="223">
        <v>24.246150326722098</v>
      </c>
      <c r="E576" s="344">
        <v>1.73445019872755</v>
      </c>
      <c r="F576" s="179">
        <v>23.89</v>
      </c>
      <c r="G576" s="179">
        <v>21.11</v>
      </c>
      <c r="H576" s="223">
        <v>18.139601785964398</v>
      </c>
      <c r="I576" s="297">
        <v>0.4992337374620493</v>
      </c>
      <c r="J576" s="149"/>
      <c r="K576" s="149"/>
      <c r="L576" s="149"/>
      <c r="M576" s="149"/>
      <c r="N576" s="149"/>
      <c r="O576" s="149"/>
      <c r="P576" s="149"/>
      <c r="Q576" s="149"/>
      <c r="R576" s="149"/>
      <c r="S576" s="149"/>
      <c r="T576" s="149"/>
      <c r="U576" s="149"/>
      <c r="V576" s="149"/>
      <c r="W576" s="149"/>
      <c r="X576" s="149"/>
      <c r="Y576" s="149"/>
      <c r="Z576" s="149"/>
      <c r="AA576" s="149"/>
      <c r="AB576" s="580">
        <f>HLOOKUP("*"&amp;'Output annual'!$AC$2&amp;'Output annual'!$AD$2&amp;"*Zone People Number Of Occupants [](Hourly)",'Eplus results'!$1:$1048576,ROW(),FALSE)</f>
        <v>0</v>
      </c>
      <c r="AC576" s="580">
        <f>HLOOKUP("*"&amp;'Output annual'!$AC$2&amp;'Output annual'!$AD$2&amp;"*FangerPMV(Hourly)",'Eplus results'!$1:$1048576,ROW(),FALSE)</f>
        <v>0</v>
      </c>
      <c r="AD576" s="580">
        <f t="shared" si="76"/>
        <v>5</v>
      </c>
      <c r="AE576" s="580">
        <f t="shared" si="77"/>
        <v>2.5</v>
      </c>
      <c r="AF576" s="580">
        <f t="shared" si="78"/>
        <v>2.5</v>
      </c>
      <c r="AG576" s="580">
        <f t="shared" si="79"/>
        <v>0</v>
      </c>
      <c r="AH576" s="580">
        <f t="shared" si="80"/>
        <v>0</v>
      </c>
      <c r="AI576" s="149"/>
      <c r="AJ576" s="149"/>
      <c r="AK576" s="149"/>
      <c r="AL576" s="149"/>
      <c r="AM576" s="149"/>
      <c r="AN576" s="149"/>
      <c r="AO576" s="149"/>
      <c r="AP576" s="149"/>
    </row>
    <row r="577" spans="2:42">
      <c r="B577" s="221">
        <v>133</v>
      </c>
      <c r="C577" s="54" t="s">
        <v>285</v>
      </c>
      <c r="D577" s="223">
        <v>24.063008159023202</v>
      </c>
      <c r="E577" s="344">
        <v>2.1374536537462698</v>
      </c>
      <c r="F577" s="179">
        <v>23.89</v>
      </c>
      <c r="G577" s="179">
        <v>21.11</v>
      </c>
      <c r="H577" s="223">
        <v>18.101742386306</v>
      </c>
      <c r="I577" s="297">
        <v>0.57410829147355724</v>
      </c>
      <c r="J577" s="149"/>
      <c r="K577" s="149"/>
      <c r="L577" s="149"/>
      <c r="M577" s="149"/>
      <c r="N577" s="149"/>
      <c r="O577" s="149"/>
      <c r="P577" s="149"/>
      <c r="Q577" s="149"/>
      <c r="R577" s="149"/>
      <c r="S577" s="149"/>
      <c r="T577" s="149"/>
      <c r="U577" s="149"/>
      <c r="V577" s="149"/>
      <c r="W577" s="149"/>
      <c r="X577" s="149"/>
      <c r="Y577" s="149"/>
      <c r="Z577" s="149"/>
      <c r="AA577" s="149"/>
      <c r="AB577" s="580">
        <f>HLOOKUP("*"&amp;'Output annual'!$AC$2&amp;'Output annual'!$AD$2&amp;"*Zone People Number Of Occupants [](Hourly)",'Eplus results'!$1:$1048576,ROW(),FALSE)</f>
        <v>0</v>
      </c>
      <c r="AC577" s="580">
        <f>HLOOKUP("*"&amp;'Output annual'!$AC$2&amp;'Output annual'!$AD$2&amp;"*FangerPMV(Hourly)",'Eplus results'!$1:$1048576,ROW(),FALSE)</f>
        <v>0</v>
      </c>
      <c r="AD577" s="580">
        <f t="shared" si="76"/>
        <v>5</v>
      </c>
      <c r="AE577" s="580">
        <f t="shared" si="77"/>
        <v>2.5</v>
      </c>
      <c r="AF577" s="580">
        <f t="shared" si="78"/>
        <v>2.5</v>
      </c>
      <c r="AG577" s="580">
        <f t="shared" si="79"/>
        <v>0</v>
      </c>
      <c r="AH577" s="580">
        <f t="shared" si="80"/>
        <v>0</v>
      </c>
      <c r="AI577" s="149"/>
      <c r="AJ577" s="149"/>
      <c r="AK577" s="149"/>
      <c r="AL577" s="149"/>
      <c r="AM577" s="149"/>
      <c r="AN577" s="149"/>
      <c r="AO577" s="149"/>
      <c r="AP577" s="149"/>
    </row>
    <row r="578" spans="2:42">
      <c r="B578" s="221">
        <v>134</v>
      </c>
      <c r="C578" s="54" t="s">
        <v>286</v>
      </c>
      <c r="D578" s="223">
        <v>23.927787795936698</v>
      </c>
      <c r="E578" s="344">
        <v>2.33256651478592</v>
      </c>
      <c r="F578" s="179">
        <v>23.89</v>
      </c>
      <c r="G578" s="179">
        <v>21.11</v>
      </c>
      <c r="H578" s="223">
        <v>18.0849059469714</v>
      </c>
      <c r="I578" s="297">
        <v>0.5994392795128024</v>
      </c>
      <c r="J578" s="149"/>
      <c r="K578" s="149"/>
      <c r="L578" s="149"/>
      <c r="M578" s="149"/>
      <c r="N578" s="149"/>
      <c r="O578" s="149"/>
      <c r="P578" s="149"/>
      <c r="Q578" s="149"/>
      <c r="R578" s="149"/>
      <c r="S578" s="149"/>
      <c r="T578" s="149"/>
      <c r="U578" s="149"/>
      <c r="V578" s="149"/>
      <c r="W578" s="149"/>
      <c r="X578" s="149"/>
      <c r="Y578" s="149"/>
      <c r="Z578" s="149"/>
      <c r="AA578" s="149"/>
      <c r="AB578" s="580">
        <f>HLOOKUP("*"&amp;'Output annual'!$AC$2&amp;'Output annual'!$AD$2&amp;"*Zone People Number Of Occupants [](Hourly)",'Eplus results'!$1:$1048576,ROW(),FALSE)</f>
        <v>0</v>
      </c>
      <c r="AC578" s="580">
        <f>HLOOKUP("*"&amp;'Output annual'!$AC$2&amp;'Output annual'!$AD$2&amp;"*FangerPMV(Hourly)",'Eplus results'!$1:$1048576,ROW(),FALSE)</f>
        <v>0</v>
      </c>
      <c r="AD578" s="580">
        <f t="shared" si="76"/>
        <v>5</v>
      </c>
      <c r="AE578" s="580">
        <f t="shared" si="77"/>
        <v>2.5</v>
      </c>
      <c r="AF578" s="580">
        <f t="shared" si="78"/>
        <v>2.5</v>
      </c>
      <c r="AG578" s="580">
        <f t="shared" si="79"/>
        <v>0</v>
      </c>
      <c r="AH578" s="580">
        <f t="shared" si="80"/>
        <v>0</v>
      </c>
      <c r="AI578" s="149"/>
      <c r="AJ578" s="149"/>
      <c r="AK578" s="149"/>
      <c r="AL578" s="149"/>
      <c r="AM578" s="149"/>
      <c r="AN578" s="149"/>
      <c r="AO578" s="149"/>
      <c r="AP578" s="149"/>
    </row>
    <row r="579" spans="2:42">
      <c r="B579" s="221">
        <v>135</v>
      </c>
      <c r="C579" s="54" t="s">
        <v>287</v>
      </c>
      <c r="D579" s="223">
        <v>23.912964986323601</v>
      </c>
      <c r="E579" s="344">
        <v>2.4124790221125898</v>
      </c>
      <c r="F579" s="179">
        <v>23.89</v>
      </c>
      <c r="G579" s="179">
        <v>21.11</v>
      </c>
      <c r="H579" s="223">
        <v>18.103092590723001</v>
      </c>
      <c r="I579" s="297">
        <v>0.61215388128821457</v>
      </c>
      <c r="J579" s="149"/>
      <c r="K579" s="149"/>
      <c r="L579" s="149"/>
      <c r="M579" s="149"/>
      <c r="N579" s="149"/>
      <c r="O579" s="149"/>
      <c r="P579" s="149"/>
      <c r="Q579" s="149"/>
      <c r="R579" s="149"/>
      <c r="S579" s="149"/>
      <c r="T579" s="149"/>
      <c r="U579" s="149"/>
      <c r="V579" s="149"/>
      <c r="W579" s="149"/>
      <c r="X579" s="149"/>
      <c r="Y579" s="149"/>
      <c r="Z579" s="149"/>
      <c r="AA579" s="149"/>
      <c r="AB579" s="580">
        <f>HLOOKUP("*"&amp;'Output annual'!$AC$2&amp;'Output annual'!$AD$2&amp;"*Zone People Number Of Occupants [](Hourly)",'Eplus results'!$1:$1048576,ROW(),FALSE)</f>
        <v>0</v>
      </c>
      <c r="AC579" s="580">
        <f>HLOOKUP("*"&amp;'Output annual'!$AC$2&amp;'Output annual'!$AD$2&amp;"*FangerPMV(Hourly)",'Eplus results'!$1:$1048576,ROW(),FALSE)</f>
        <v>0</v>
      </c>
      <c r="AD579" s="580">
        <f t="shared" ref="AD579:AD642" si="81">100-95*EXP(-0.03353*AC579^4-0.2179*AC579^2)</f>
        <v>5</v>
      </c>
      <c r="AE579" s="580">
        <f t="shared" ref="AE579:AE642" si="82">AD579*(1/(1+EXP(-6.3*$AC579)))</f>
        <v>2.5</v>
      </c>
      <c r="AF579" s="580">
        <f t="shared" ref="AF579:AF642" si="83">(AD579-AE579)</f>
        <v>2.5</v>
      </c>
      <c r="AG579" s="580">
        <f t="shared" ref="AG579:AG642" si="84">AE579*AB579</f>
        <v>0</v>
      </c>
      <c r="AH579" s="580">
        <f t="shared" ref="AH579:AH642" si="85">AF579*AB579</f>
        <v>0</v>
      </c>
      <c r="AI579" s="149"/>
      <c r="AJ579" s="149"/>
      <c r="AK579" s="149"/>
      <c r="AL579" s="149"/>
      <c r="AM579" s="149"/>
      <c r="AN579" s="149"/>
      <c r="AO579" s="149"/>
      <c r="AP579" s="149"/>
    </row>
    <row r="580" spans="2:42">
      <c r="B580" s="221">
        <v>136</v>
      </c>
      <c r="C580" s="54" t="s">
        <v>288</v>
      </c>
      <c r="D580" s="223">
        <v>23.916058156262899</v>
      </c>
      <c r="E580" s="344">
        <v>2.47194028261627</v>
      </c>
      <c r="F580" s="179">
        <v>23.89</v>
      </c>
      <c r="G580" s="179">
        <v>21.11</v>
      </c>
      <c r="H580" s="223">
        <v>18.1843741660423</v>
      </c>
      <c r="I580" s="297">
        <v>0.6154319330981568</v>
      </c>
      <c r="J580" s="149"/>
      <c r="K580" s="149"/>
      <c r="L580" s="149"/>
      <c r="M580" s="149"/>
      <c r="N580" s="149"/>
      <c r="O580" s="149"/>
      <c r="P580" s="149"/>
      <c r="Q580" s="149"/>
      <c r="R580" s="149"/>
      <c r="S580" s="149"/>
      <c r="T580" s="149"/>
      <c r="U580" s="149"/>
      <c r="V580" s="149"/>
      <c r="W580" s="149"/>
      <c r="X580" s="149"/>
      <c r="Y580" s="149"/>
      <c r="Z580" s="149"/>
      <c r="AA580" s="149"/>
      <c r="AB580" s="580">
        <f>HLOOKUP("*"&amp;'Output annual'!$AC$2&amp;'Output annual'!$AD$2&amp;"*Zone People Number Of Occupants [](Hourly)",'Eplus results'!$1:$1048576,ROW(),FALSE)</f>
        <v>0</v>
      </c>
      <c r="AC580" s="580">
        <f>HLOOKUP("*"&amp;'Output annual'!$AC$2&amp;'Output annual'!$AD$2&amp;"*FangerPMV(Hourly)",'Eplus results'!$1:$1048576,ROW(),FALSE)</f>
        <v>0</v>
      </c>
      <c r="AD580" s="580">
        <f t="shared" si="81"/>
        <v>5</v>
      </c>
      <c r="AE580" s="580">
        <f t="shared" si="82"/>
        <v>2.5</v>
      </c>
      <c r="AF580" s="580">
        <f t="shared" si="83"/>
        <v>2.5</v>
      </c>
      <c r="AG580" s="580">
        <f t="shared" si="84"/>
        <v>0</v>
      </c>
      <c r="AH580" s="580">
        <f t="shared" si="85"/>
        <v>0</v>
      </c>
      <c r="AI580" s="149"/>
      <c r="AJ580" s="149"/>
      <c r="AK580" s="149"/>
      <c r="AL580" s="149"/>
      <c r="AM580" s="149"/>
      <c r="AN580" s="149"/>
      <c r="AO580" s="149"/>
      <c r="AP580" s="149"/>
    </row>
    <row r="581" spans="2:42">
      <c r="B581" s="221">
        <v>137</v>
      </c>
      <c r="C581" s="54" t="s">
        <v>289</v>
      </c>
      <c r="D581" s="223">
        <v>23.9096620938857</v>
      </c>
      <c r="E581" s="344">
        <v>2.4764931482899799</v>
      </c>
      <c r="F581" s="179">
        <v>23.89</v>
      </c>
      <c r="G581" s="179">
        <v>21.11</v>
      </c>
      <c r="H581" s="223">
        <v>18.340148857339202</v>
      </c>
      <c r="I581" s="297">
        <v>0.59992929935862749</v>
      </c>
      <c r="J581" s="149"/>
      <c r="K581" s="149"/>
      <c r="L581" s="149"/>
      <c r="M581" s="149"/>
      <c r="N581" s="149"/>
      <c r="O581" s="149"/>
      <c r="P581" s="149"/>
      <c r="Q581" s="149"/>
      <c r="R581" s="149"/>
      <c r="S581" s="149"/>
      <c r="T581" s="149"/>
      <c r="U581" s="149"/>
      <c r="V581" s="149"/>
      <c r="W581" s="149"/>
      <c r="X581" s="149"/>
      <c r="Y581" s="149"/>
      <c r="Z581" s="149"/>
      <c r="AA581" s="149"/>
      <c r="AB581" s="580">
        <f>HLOOKUP("*"&amp;'Output annual'!$AC$2&amp;'Output annual'!$AD$2&amp;"*Zone People Number Of Occupants [](Hourly)",'Eplus results'!$1:$1048576,ROW(),FALSE)</f>
        <v>0</v>
      </c>
      <c r="AC581" s="580">
        <f>HLOOKUP("*"&amp;'Output annual'!$AC$2&amp;'Output annual'!$AD$2&amp;"*FangerPMV(Hourly)",'Eplus results'!$1:$1048576,ROW(),FALSE)</f>
        <v>0</v>
      </c>
      <c r="AD581" s="580">
        <f t="shared" si="81"/>
        <v>5</v>
      </c>
      <c r="AE581" s="580">
        <f t="shared" si="82"/>
        <v>2.5</v>
      </c>
      <c r="AF581" s="580">
        <f t="shared" si="83"/>
        <v>2.5</v>
      </c>
      <c r="AG581" s="580">
        <f t="shared" si="84"/>
        <v>0</v>
      </c>
      <c r="AH581" s="580">
        <f t="shared" si="85"/>
        <v>0</v>
      </c>
      <c r="AI581" s="149"/>
      <c r="AJ581" s="149"/>
      <c r="AK581" s="149"/>
      <c r="AL581" s="149"/>
      <c r="AM581" s="149"/>
      <c r="AN581" s="149"/>
      <c r="AO581" s="149"/>
      <c r="AP581" s="149"/>
    </row>
    <row r="582" spans="2:42">
      <c r="B582" s="221">
        <v>138</v>
      </c>
      <c r="C582" s="54" t="s">
        <v>290</v>
      </c>
      <c r="D582" s="223">
        <v>23.4659527395916</v>
      </c>
      <c r="E582" s="344">
        <v>0.37430623797950402</v>
      </c>
      <c r="F582" s="179">
        <v>23.89</v>
      </c>
      <c r="G582" s="179">
        <v>21.11</v>
      </c>
      <c r="H582" s="223">
        <v>19.691650851156599</v>
      </c>
      <c r="I582" s="297">
        <v>0.28111930141812286</v>
      </c>
      <c r="J582" s="149"/>
      <c r="K582" s="149"/>
      <c r="L582" s="149"/>
      <c r="M582" s="149"/>
      <c r="N582" s="149"/>
      <c r="O582" s="149"/>
      <c r="P582" s="149"/>
      <c r="Q582" s="149"/>
      <c r="R582" s="149"/>
      <c r="S582" s="149"/>
      <c r="T582" s="149"/>
      <c r="U582" s="149"/>
      <c r="V582" s="149"/>
      <c r="W582" s="149"/>
      <c r="X582" s="149"/>
      <c r="Y582" s="149"/>
      <c r="Z582" s="149"/>
      <c r="AA582" s="149"/>
      <c r="AB582" s="580">
        <f>HLOOKUP("*"&amp;'Output annual'!$AC$2&amp;'Output annual'!$AD$2&amp;"*Zone People Number Of Occupants [](Hourly)",'Eplus results'!$1:$1048576,ROW(),FALSE)</f>
        <v>0</v>
      </c>
      <c r="AC582" s="580">
        <f>HLOOKUP("*"&amp;'Output annual'!$AC$2&amp;'Output annual'!$AD$2&amp;"*FangerPMV(Hourly)",'Eplus results'!$1:$1048576,ROW(),FALSE)</f>
        <v>0</v>
      </c>
      <c r="AD582" s="580">
        <f t="shared" si="81"/>
        <v>5</v>
      </c>
      <c r="AE582" s="580">
        <f t="shared" si="82"/>
        <v>2.5</v>
      </c>
      <c r="AF582" s="580">
        <f t="shared" si="83"/>
        <v>2.5</v>
      </c>
      <c r="AG582" s="580">
        <f t="shared" si="84"/>
        <v>0</v>
      </c>
      <c r="AH582" s="580">
        <f t="shared" si="85"/>
        <v>0</v>
      </c>
      <c r="AI582" s="149"/>
      <c r="AJ582" s="149"/>
      <c r="AK582" s="149"/>
      <c r="AL582" s="149"/>
      <c r="AM582" s="149"/>
      <c r="AN582" s="149"/>
      <c r="AO582" s="149"/>
      <c r="AP582" s="149"/>
    </row>
    <row r="583" spans="2:42">
      <c r="B583" s="221">
        <v>139</v>
      </c>
      <c r="C583" s="54" t="s">
        <v>291</v>
      </c>
      <c r="D583" s="223">
        <v>22.506281775938699</v>
      </c>
      <c r="E583" s="344">
        <v>0.33183981472282698</v>
      </c>
      <c r="F583" s="179">
        <v>23.89</v>
      </c>
      <c r="G583" s="179">
        <v>21.11</v>
      </c>
      <c r="H583" s="223">
        <v>21.0425679310665</v>
      </c>
      <c r="I583" s="297">
        <v>0.29666140909475536</v>
      </c>
      <c r="J583" s="149"/>
      <c r="K583" s="149"/>
      <c r="L583" s="149"/>
      <c r="M583" s="149"/>
      <c r="N583" s="149"/>
      <c r="O583" s="149"/>
      <c r="P583" s="149"/>
      <c r="Q583" s="149"/>
      <c r="R583" s="149"/>
      <c r="S583" s="149"/>
      <c r="T583" s="149"/>
      <c r="U583" s="149"/>
      <c r="V583" s="149"/>
      <c r="W583" s="149"/>
      <c r="X583" s="149"/>
      <c r="Y583" s="149"/>
      <c r="Z583" s="149"/>
      <c r="AA583" s="149"/>
      <c r="AB583" s="580">
        <f>HLOOKUP("*"&amp;'Output annual'!$AC$2&amp;'Output annual'!$AD$2&amp;"*Zone People Number Of Occupants [](Hourly)",'Eplus results'!$1:$1048576,ROW(),FALSE)</f>
        <v>0</v>
      </c>
      <c r="AC583" s="580">
        <f>HLOOKUP("*"&amp;'Output annual'!$AC$2&amp;'Output annual'!$AD$2&amp;"*FangerPMV(Hourly)",'Eplus results'!$1:$1048576,ROW(),FALSE)</f>
        <v>0</v>
      </c>
      <c r="AD583" s="580">
        <f t="shared" si="81"/>
        <v>5</v>
      </c>
      <c r="AE583" s="580">
        <f t="shared" si="82"/>
        <v>2.5</v>
      </c>
      <c r="AF583" s="580">
        <f t="shared" si="83"/>
        <v>2.5</v>
      </c>
      <c r="AG583" s="580">
        <f t="shared" si="84"/>
        <v>0</v>
      </c>
      <c r="AH583" s="580">
        <f t="shared" si="85"/>
        <v>0</v>
      </c>
      <c r="AI583" s="149"/>
      <c r="AJ583" s="149"/>
      <c r="AK583" s="149"/>
      <c r="AL583" s="149"/>
      <c r="AM583" s="149"/>
      <c r="AN583" s="149"/>
      <c r="AO583" s="149"/>
      <c r="AP583" s="149"/>
    </row>
    <row r="584" spans="2:42">
      <c r="B584" s="221">
        <v>140</v>
      </c>
      <c r="C584" s="54" t="s">
        <v>292</v>
      </c>
      <c r="D584" s="223">
        <v>23.886607358303401</v>
      </c>
      <c r="E584" s="344">
        <v>0</v>
      </c>
      <c r="F584" s="179">
        <v>32.22</v>
      </c>
      <c r="G584" s="179">
        <v>12.78</v>
      </c>
      <c r="H584" s="223">
        <v>22.019067055571298</v>
      </c>
      <c r="I584" s="297">
        <v>0</v>
      </c>
      <c r="J584" s="149"/>
      <c r="K584" s="149"/>
      <c r="L584" s="149"/>
      <c r="M584" s="149"/>
      <c r="N584" s="149"/>
      <c r="O584" s="149"/>
      <c r="P584" s="149"/>
      <c r="Q584" s="149"/>
      <c r="R584" s="149"/>
      <c r="S584" s="149"/>
      <c r="T584" s="149"/>
      <c r="U584" s="149"/>
      <c r="V584" s="149"/>
      <c r="W584" s="149"/>
      <c r="X584" s="149"/>
      <c r="Y584" s="149"/>
      <c r="Z584" s="149"/>
      <c r="AA584" s="149"/>
      <c r="AB584" s="580">
        <f>HLOOKUP("*"&amp;'Output annual'!$AC$2&amp;'Output annual'!$AD$2&amp;"*Zone People Number Of Occupants [](Hourly)",'Eplus results'!$1:$1048576,ROW(),FALSE)</f>
        <v>0</v>
      </c>
      <c r="AC584" s="580">
        <f>HLOOKUP("*"&amp;'Output annual'!$AC$2&amp;'Output annual'!$AD$2&amp;"*FangerPMV(Hourly)",'Eplus results'!$1:$1048576,ROW(),FALSE)</f>
        <v>0</v>
      </c>
      <c r="AD584" s="580">
        <f t="shared" si="81"/>
        <v>5</v>
      </c>
      <c r="AE584" s="580">
        <f t="shared" si="82"/>
        <v>2.5</v>
      </c>
      <c r="AF584" s="580">
        <f t="shared" si="83"/>
        <v>2.5</v>
      </c>
      <c r="AG584" s="580">
        <f t="shared" si="84"/>
        <v>0</v>
      </c>
      <c r="AH584" s="580">
        <f t="shared" si="85"/>
        <v>0</v>
      </c>
      <c r="AI584" s="149"/>
      <c r="AJ584" s="149"/>
      <c r="AK584" s="149"/>
      <c r="AL584" s="149"/>
      <c r="AM584" s="149"/>
      <c r="AN584" s="149"/>
      <c r="AO584" s="149"/>
      <c r="AP584" s="149"/>
    </row>
    <row r="585" spans="2:42">
      <c r="B585" s="221">
        <v>141</v>
      </c>
      <c r="C585" s="54" t="s">
        <v>293</v>
      </c>
      <c r="D585" s="223">
        <v>23.336025570815199</v>
      </c>
      <c r="E585" s="344">
        <v>0</v>
      </c>
      <c r="F585" s="179">
        <v>32.22</v>
      </c>
      <c r="G585" s="179">
        <v>12.78</v>
      </c>
      <c r="H585" s="223">
        <v>22.480142390694098</v>
      </c>
      <c r="I585" s="297">
        <v>0</v>
      </c>
      <c r="J585" s="149"/>
      <c r="K585" s="149"/>
      <c r="L585" s="149"/>
      <c r="M585" s="149"/>
      <c r="N585" s="149"/>
      <c r="O585" s="149"/>
      <c r="P585" s="149"/>
      <c r="Q585" s="149"/>
      <c r="R585" s="149"/>
      <c r="S585" s="149"/>
      <c r="T585" s="149"/>
      <c r="U585" s="149"/>
      <c r="V585" s="149"/>
      <c r="W585" s="149"/>
      <c r="X585" s="149"/>
      <c r="Y585" s="149"/>
      <c r="Z585" s="149"/>
      <c r="AA585" s="149"/>
      <c r="AB585" s="580">
        <f>HLOOKUP("*"&amp;'Output annual'!$AC$2&amp;'Output annual'!$AD$2&amp;"*Zone People Number Of Occupants [](Hourly)",'Eplus results'!$1:$1048576,ROW(),FALSE)</f>
        <v>0</v>
      </c>
      <c r="AC585" s="580">
        <f>HLOOKUP("*"&amp;'Output annual'!$AC$2&amp;'Output annual'!$AD$2&amp;"*FangerPMV(Hourly)",'Eplus results'!$1:$1048576,ROW(),FALSE)</f>
        <v>0</v>
      </c>
      <c r="AD585" s="580">
        <f t="shared" si="81"/>
        <v>5</v>
      </c>
      <c r="AE585" s="580">
        <f t="shared" si="82"/>
        <v>2.5</v>
      </c>
      <c r="AF585" s="580">
        <f t="shared" si="83"/>
        <v>2.5</v>
      </c>
      <c r="AG585" s="580">
        <f t="shared" si="84"/>
        <v>0</v>
      </c>
      <c r="AH585" s="580">
        <f t="shared" si="85"/>
        <v>0</v>
      </c>
      <c r="AI585" s="149"/>
      <c r="AJ585" s="149"/>
      <c r="AK585" s="149"/>
      <c r="AL585" s="149"/>
      <c r="AM585" s="149"/>
      <c r="AN585" s="149"/>
      <c r="AO585" s="149"/>
      <c r="AP585" s="149"/>
    </row>
    <row r="586" spans="2:42">
      <c r="B586" s="221">
        <v>142</v>
      </c>
      <c r="C586" s="54" t="s">
        <v>294</v>
      </c>
      <c r="D586" s="223">
        <v>22.7738691403041</v>
      </c>
      <c r="E586" s="344">
        <v>0</v>
      </c>
      <c r="F586" s="179">
        <v>32.22</v>
      </c>
      <c r="G586" s="179">
        <v>12.78</v>
      </c>
      <c r="H586" s="223">
        <v>22.5471743167776</v>
      </c>
      <c r="I586" s="297">
        <v>0</v>
      </c>
      <c r="J586" s="149"/>
      <c r="K586" s="149"/>
      <c r="L586" s="149"/>
      <c r="M586" s="149"/>
      <c r="N586" s="149"/>
      <c r="O586" s="149"/>
      <c r="P586" s="149"/>
      <c r="Q586" s="149"/>
      <c r="R586" s="149"/>
      <c r="S586" s="149"/>
      <c r="T586" s="149"/>
      <c r="U586" s="149"/>
      <c r="V586" s="149"/>
      <c r="W586" s="149"/>
      <c r="X586" s="149"/>
      <c r="Y586" s="149"/>
      <c r="Z586" s="149"/>
      <c r="AA586" s="149"/>
      <c r="AB586" s="580">
        <f>HLOOKUP("*"&amp;'Output annual'!$AC$2&amp;'Output annual'!$AD$2&amp;"*Zone People Number Of Occupants [](Hourly)",'Eplus results'!$1:$1048576,ROW(),FALSE)</f>
        <v>0</v>
      </c>
      <c r="AC586" s="580">
        <f>HLOOKUP("*"&amp;'Output annual'!$AC$2&amp;'Output annual'!$AD$2&amp;"*FangerPMV(Hourly)",'Eplus results'!$1:$1048576,ROW(),FALSE)</f>
        <v>0</v>
      </c>
      <c r="AD586" s="580">
        <f t="shared" si="81"/>
        <v>5</v>
      </c>
      <c r="AE586" s="580">
        <f t="shared" si="82"/>
        <v>2.5</v>
      </c>
      <c r="AF586" s="580">
        <f t="shared" si="83"/>
        <v>2.5</v>
      </c>
      <c r="AG586" s="580">
        <f t="shared" si="84"/>
        <v>0</v>
      </c>
      <c r="AH586" s="580">
        <f t="shared" si="85"/>
        <v>0</v>
      </c>
      <c r="AI586" s="149"/>
      <c r="AJ586" s="149"/>
      <c r="AK586" s="149"/>
      <c r="AL586" s="149"/>
      <c r="AM586" s="149"/>
      <c r="AN586" s="149"/>
      <c r="AO586" s="149"/>
      <c r="AP586" s="149"/>
    </row>
    <row r="587" spans="2:42">
      <c r="B587" s="221">
        <v>143</v>
      </c>
      <c r="C587" s="54" t="s">
        <v>295</v>
      </c>
      <c r="D587" s="223">
        <v>22.229426389536599</v>
      </c>
      <c r="E587" s="344">
        <v>0</v>
      </c>
      <c r="F587" s="179">
        <v>32.22</v>
      </c>
      <c r="G587" s="179">
        <v>12.78</v>
      </c>
      <c r="H587" s="223">
        <v>22.5442002971302</v>
      </c>
      <c r="I587" s="297">
        <v>0</v>
      </c>
      <c r="J587" s="149"/>
      <c r="K587" s="149"/>
      <c r="L587" s="149"/>
      <c r="M587" s="149"/>
      <c r="N587" s="149"/>
      <c r="O587" s="149"/>
      <c r="P587" s="149"/>
      <c r="Q587" s="149"/>
      <c r="R587" s="149"/>
      <c r="S587" s="149"/>
      <c r="T587" s="149"/>
      <c r="U587" s="149"/>
      <c r="V587" s="149"/>
      <c r="W587" s="149"/>
      <c r="X587" s="149"/>
      <c r="Y587" s="149"/>
      <c r="Z587" s="149"/>
      <c r="AA587" s="149"/>
      <c r="AB587" s="580">
        <f>HLOOKUP("*"&amp;'Output annual'!$AC$2&amp;'Output annual'!$AD$2&amp;"*Zone People Number Of Occupants [](Hourly)",'Eplus results'!$1:$1048576,ROW(),FALSE)</f>
        <v>0</v>
      </c>
      <c r="AC587" s="580">
        <f>HLOOKUP("*"&amp;'Output annual'!$AC$2&amp;'Output annual'!$AD$2&amp;"*FangerPMV(Hourly)",'Eplus results'!$1:$1048576,ROW(),FALSE)</f>
        <v>0</v>
      </c>
      <c r="AD587" s="580">
        <f t="shared" si="81"/>
        <v>5</v>
      </c>
      <c r="AE587" s="580">
        <f t="shared" si="82"/>
        <v>2.5</v>
      </c>
      <c r="AF587" s="580">
        <f t="shared" si="83"/>
        <v>2.5</v>
      </c>
      <c r="AG587" s="580">
        <f t="shared" si="84"/>
        <v>0</v>
      </c>
      <c r="AH587" s="580">
        <f t="shared" si="85"/>
        <v>0</v>
      </c>
      <c r="AI587" s="149"/>
      <c r="AJ587" s="149"/>
      <c r="AK587" s="149"/>
      <c r="AL587" s="149"/>
      <c r="AM587" s="149"/>
      <c r="AN587" s="149"/>
      <c r="AO587" s="149"/>
      <c r="AP587" s="149"/>
    </row>
    <row r="588" spans="2:42">
      <c r="B588" s="221">
        <v>144</v>
      </c>
      <c r="C588" s="54" t="s">
        <v>296</v>
      </c>
      <c r="D588" s="223">
        <v>21.6899000840585</v>
      </c>
      <c r="E588" s="344">
        <v>0</v>
      </c>
      <c r="F588" s="179">
        <v>32.22</v>
      </c>
      <c r="G588" s="179">
        <v>12.78</v>
      </c>
      <c r="H588" s="223">
        <v>22.497906015345201</v>
      </c>
      <c r="I588" s="297">
        <v>0</v>
      </c>
      <c r="J588" s="149"/>
      <c r="K588" s="149"/>
      <c r="L588" s="149"/>
      <c r="M588" s="149"/>
      <c r="N588" s="149"/>
      <c r="O588" s="149"/>
      <c r="P588" s="149"/>
      <c r="Q588" s="149"/>
      <c r="R588" s="149"/>
      <c r="S588" s="149"/>
      <c r="T588" s="149"/>
      <c r="U588" s="149"/>
      <c r="V588" s="149"/>
      <c r="W588" s="149"/>
      <c r="X588" s="149"/>
      <c r="Y588" s="149"/>
      <c r="Z588" s="149"/>
      <c r="AA588" s="149"/>
      <c r="AB588" s="580">
        <f>HLOOKUP("*"&amp;'Output annual'!$AC$2&amp;'Output annual'!$AD$2&amp;"*Zone People Number Of Occupants [](Hourly)",'Eplus results'!$1:$1048576,ROW(),FALSE)</f>
        <v>0</v>
      </c>
      <c r="AC588" s="580">
        <f>HLOOKUP("*"&amp;'Output annual'!$AC$2&amp;'Output annual'!$AD$2&amp;"*FangerPMV(Hourly)",'Eplus results'!$1:$1048576,ROW(),FALSE)</f>
        <v>0</v>
      </c>
      <c r="AD588" s="580">
        <f t="shared" si="81"/>
        <v>5</v>
      </c>
      <c r="AE588" s="580">
        <f t="shared" si="82"/>
        <v>2.5</v>
      </c>
      <c r="AF588" s="580">
        <f t="shared" si="83"/>
        <v>2.5</v>
      </c>
      <c r="AG588" s="580">
        <f t="shared" si="84"/>
        <v>0</v>
      </c>
      <c r="AH588" s="580">
        <f t="shared" si="85"/>
        <v>0</v>
      </c>
      <c r="AI588" s="149"/>
      <c r="AJ588" s="149"/>
      <c r="AK588" s="149"/>
      <c r="AL588" s="149"/>
      <c r="AM588" s="149"/>
      <c r="AN588" s="149"/>
      <c r="AO588" s="149"/>
      <c r="AP588" s="149"/>
    </row>
    <row r="589" spans="2:42">
      <c r="B589" s="221">
        <v>145</v>
      </c>
      <c r="C589" s="54" t="s">
        <v>297</v>
      </c>
      <c r="D589" s="223">
        <v>21.159823671974099</v>
      </c>
      <c r="E589" s="344">
        <v>0</v>
      </c>
      <c r="F589" s="179">
        <v>32.22</v>
      </c>
      <c r="G589" s="179">
        <v>12.78</v>
      </c>
      <c r="H589" s="223">
        <v>22.4162432430957</v>
      </c>
      <c r="I589" s="297">
        <v>0</v>
      </c>
      <c r="J589" s="149"/>
      <c r="K589" s="149"/>
      <c r="L589" s="149"/>
      <c r="M589" s="149"/>
      <c r="N589" s="149"/>
      <c r="O589" s="149"/>
      <c r="P589" s="149"/>
      <c r="Q589" s="149"/>
      <c r="R589" s="149"/>
      <c r="S589" s="149"/>
      <c r="T589" s="149"/>
      <c r="U589" s="149"/>
      <c r="V589" s="149"/>
      <c r="W589" s="149"/>
      <c r="X589" s="149"/>
      <c r="Y589" s="149"/>
      <c r="Z589" s="149"/>
      <c r="AA589" s="149"/>
      <c r="AB589" s="580">
        <f>HLOOKUP("*"&amp;'Output annual'!$AC$2&amp;'Output annual'!$AD$2&amp;"*Zone People Number Of Occupants [](Hourly)",'Eplus results'!$1:$1048576,ROW(),FALSE)</f>
        <v>0</v>
      </c>
      <c r="AC589" s="580">
        <f>HLOOKUP("*"&amp;'Output annual'!$AC$2&amp;'Output annual'!$AD$2&amp;"*FangerPMV(Hourly)",'Eplus results'!$1:$1048576,ROW(),FALSE)</f>
        <v>0</v>
      </c>
      <c r="AD589" s="580">
        <f t="shared" si="81"/>
        <v>5</v>
      </c>
      <c r="AE589" s="580">
        <f t="shared" si="82"/>
        <v>2.5</v>
      </c>
      <c r="AF589" s="580">
        <f t="shared" si="83"/>
        <v>2.5</v>
      </c>
      <c r="AG589" s="580">
        <f t="shared" si="84"/>
        <v>0</v>
      </c>
      <c r="AH589" s="580">
        <f t="shared" si="85"/>
        <v>0</v>
      </c>
      <c r="AI589" s="149"/>
      <c r="AJ589" s="149"/>
      <c r="AK589" s="149"/>
      <c r="AL589" s="149"/>
      <c r="AM589" s="149"/>
      <c r="AN589" s="149"/>
      <c r="AO589" s="149"/>
      <c r="AP589" s="149"/>
    </row>
    <row r="590" spans="2:42">
      <c r="B590" s="221">
        <v>146</v>
      </c>
      <c r="C590" s="54" t="s">
        <v>298</v>
      </c>
      <c r="D590" s="223">
        <v>20.674070257654702</v>
      </c>
      <c r="E590" s="344">
        <v>0</v>
      </c>
      <c r="F590" s="179">
        <v>32.22</v>
      </c>
      <c r="G590" s="179">
        <v>12.78</v>
      </c>
      <c r="H590" s="223">
        <v>22.309566111132199</v>
      </c>
      <c r="I590" s="297">
        <v>0</v>
      </c>
      <c r="J590" s="149"/>
      <c r="K590" s="149"/>
      <c r="L590" s="149"/>
      <c r="M590" s="149"/>
      <c r="N590" s="149"/>
      <c r="O590" s="149"/>
      <c r="P590" s="149"/>
      <c r="Q590" s="149"/>
      <c r="R590" s="149"/>
      <c r="S590" s="149"/>
      <c r="T590" s="149"/>
      <c r="U590" s="149"/>
      <c r="V590" s="149"/>
      <c r="W590" s="149"/>
      <c r="X590" s="149"/>
      <c r="Y590" s="149"/>
      <c r="Z590" s="149"/>
      <c r="AA590" s="149"/>
      <c r="AB590" s="580">
        <f>HLOOKUP("*"&amp;'Output annual'!$AC$2&amp;'Output annual'!$AD$2&amp;"*Zone People Number Of Occupants [](Hourly)",'Eplus results'!$1:$1048576,ROW(),FALSE)</f>
        <v>0</v>
      </c>
      <c r="AC590" s="580">
        <f>HLOOKUP("*"&amp;'Output annual'!$AC$2&amp;'Output annual'!$AD$2&amp;"*FangerPMV(Hourly)",'Eplus results'!$1:$1048576,ROW(),FALSE)</f>
        <v>0</v>
      </c>
      <c r="AD590" s="580">
        <f t="shared" si="81"/>
        <v>5</v>
      </c>
      <c r="AE590" s="580">
        <f t="shared" si="82"/>
        <v>2.5</v>
      </c>
      <c r="AF590" s="580">
        <f t="shared" si="83"/>
        <v>2.5</v>
      </c>
      <c r="AG590" s="580">
        <f t="shared" si="84"/>
        <v>0</v>
      </c>
      <c r="AH590" s="580">
        <f t="shared" si="85"/>
        <v>0</v>
      </c>
      <c r="AI590" s="149"/>
      <c r="AJ590" s="149"/>
      <c r="AK590" s="149"/>
      <c r="AL590" s="149"/>
      <c r="AM590" s="149"/>
      <c r="AN590" s="149"/>
      <c r="AO590" s="149"/>
      <c r="AP590" s="149"/>
    </row>
    <row r="591" spans="2:42">
      <c r="B591" s="221">
        <v>147</v>
      </c>
      <c r="C591" s="54" t="s">
        <v>299</v>
      </c>
      <c r="D591" s="223">
        <v>20.272081032090899</v>
      </c>
      <c r="E591" s="344">
        <v>0</v>
      </c>
      <c r="F591" s="179">
        <v>32.22</v>
      </c>
      <c r="G591" s="179">
        <v>12.78</v>
      </c>
      <c r="H591" s="223">
        <v>22.182197200095601</v>
      </c>
      <c r="I591" s="297">
        <v>0</v>
      </c>
      <c r="J591" s="149"/>
      <c r="K591" s="149"/>
      <c r="L591" s="149"/>
      <c r="M591" s="149"/>
      <c r="N591" s="149"/>
      <c r="O591" s="149"/>
      <c r="P591" s="149"/>
      <c r="Q591" s="149"/>
      <c r="R591" s="149"/>
      <c r="S591" s="149"/>
      <c r="T591" s="149"/>
      <c r="U591" s="149"/>
      <c r="V591" s="149"/>
      <c r="W591" s="149"/>
      <c r="X591" s="149"/>
      <c r="Y591" s="149"/>
      <c r="Z591" s="149"/>
      <c r="AA591" s="149"/>
      <c r="AB591" s="580">
        <f>HLOOKUP("*"&amp;'Output annual'!$AC$2&amp;'Output annual'!$AD$2&amp;"*Zone People Number Of Occupants [](Hourly)",'Eplus results'!$1:$1048576,ROW(),FALSE)</f>
        <v>0</v>
      </c>
      <c r="AC591" s="580">
        <f>HLOOKUP("*"&amp;'Output annual'!$AC$2&amp;'Output annual'!$AD$2&amp;"*FangerPMV(Hourly)",'Eplus results'!$1:$1048576,ROW(),FALSE)</f>
        <v>0</v>
      </c>
      <c r="AD591" s="580">
        <f t="shared" si="81"/>
        <v>5</v>
      </c>
      <c r="AE591" s="580">
        <f t="shared" si="82"/>
        <v>2.5</v>
      </c>
      <c r="AF591" s="580">
        <f t="shared" si="83"/>
        <v>2.5</v>
      </c>
      <c r="AG591" s="580">
        <f t="shared" si="84"/>
        <v>0</v>
      </c>
      <c r="AH591" s="580">
        <f t="shared" si="85"/>
        <v>0</v>
      </c>
      <c r="AI591" s="149"/>
      <c r="AJ591" s="149"/>
      <c r="AK591" s="149"/>
      <c r="AL591" s="149"/>
      <c r="AM591" s="149"/>
      <c r="AN591" s="149"/>
      <c r="AO591" s="149"/>
      <c r="AP591" s="149"/>
    </row>
    <row r="592" spans="2:42">
      <c r="B592" s="221">
        <v>148</v>
      </c>
      <c r="C592" s="54" t="s">
        <v>300</v>
      </c>
      <c r="D592" s="223">
        <v>19.954909913004599</v>
      </c>
      <c r="E592" s="344">
        <v>0</v>
      </c>
      <c r="F592" s="179">
        <v>32.22</v>
      </c>
      <c r="G592" s="179">
        <v>12.78</v>
      </c>
      <c r="H592" s="223">
        <v>22.039686101153698</v>
      </c>
      <c r="I592" s="297">
        <v>0</v>
      </c>
      <c r="J592" s="149"/>
      <c r="K592" s="149"/>
      <c r="L592" s="149"/>
      <c r="M592" s="149"/>
      <c r="N592" s="149"/>
      <c r="O592" s="149"/>
      <c r="P592" s="149"/>
      <c r="Q592" s="149"/>
      <c r="R592" s="149"/>
      <c r="S592" s="149"/>
      <c r="T592" s="149"/>
      <c r="U592" s="149"/>
      <c r="V592" s="149"/>
      <c r="W592" s="149"/>
      <c r="X592" s="149"/>
      <c r="Y592" s="149"/>
      <c r="Z592" s="149"/>
      <c r="AA592" s="149"/>
      <c r="AB592" s="580">
        <f>HLOOKUP("*"&amp;'Output annual'!$AC$2&amp;'Output annual'!$AD$2&amp;"*Zone People Number Of Occupants [](Hourly)",'Eplus results'!$1:$1048576,ROW(),FALSE)</f>
        <v>0</v>
      </c>
      <c r="AC592" s="580">
        <f>HLOOKUP("*"&amp;'Output annual'!$AC$2&amp;'Output annual'!$AD$2&amp;"*FangerPMV(Hourly)",'Eplus results'!$1:$1048576,ROW(),FALSE)</f>
        <v>0</v>
      </c>
      <c r="AD592" s="580">
        <f t="shared" si="81"/>
        <v>5</v>
      </c>
      <c r="AE592" s="580">
        <f t="shared" si="82"/>
        <v>2.5</v>
      </c>
      <c r="AF592" s="580">
        <f t="shared" si="83"/>
        <v>2.5</v>
      </c>
      <c r="AG592" s="580">
        <f t="shared" si="84"/>
        <v>0</v>
      </c>
      <c r="AH592" s="580">
        <f t="shared" si="85"/>
        <v>0</v>
      </c>
      <c r="AI592" s="149"/>
      <c r="AJ592" s="149"/>
      <c r="AK592" s="149"/>
      <c r="AL592" s="149"/>
      <c r="AM592" s="149"/>
      <c r="AN592" s="149"/>
      <c r="AO592" s="149"/>
      <c r="AP592" s="149"/>
    </row>
    <row r="593" spans="2:42">
      <c r="B593" s="221">
        <v>149</v>
      </c>
      <c r="C593" s="54" t="s">
        <v>301</v>
      </c>
      <c r="D593" s="223">
        <v>19.701554114404701</v>
      </c>
      <c r="E593" s="344">
        <v>0</v>
      </c>
      <c r="F593" s="179">
        <v>32.22</v>
      </c>
      <c r="G593" s="179">
        <v>12.78</v>
      </c>
      <c r="H593" s="223">
        <v>21.890982468271201</v>
      </c>
      <c r="I593" s="297">
        <v>0</v>
      </c>
      <c r="J593" s="149"/>
      <c r="K593" s="149"/>
      <c r="L593" s="149"/>
      <c r="M593" s="149"/>
      <c r="N593" s="149"/>
      <c r="O593" s="149"/>
      <c r="P593" s="149"/>
      <c r="Q593" s="149"/>
      <c r="R593" s="149"/>
      <c r="S593" s="149"/>
      <c r="T593" s="149"/>
      <c r="U593" s="149"/>
      <c r="V593" s="149"/>
      <c r="W593" s="149"/>
      <c r="X593" s="149"/>
      <c r="Y593" s="149"/>
      <c r="Z593" s="149"/>
      <c r="AA593" s="149"/>
      <c r="AB593" s="580">
        <f>HLOOKUP("*"&amp;'Output annual'!$AC$2&amp;'Output annual'!$AD$2&amp;"*Zone People Number Of Occupants [](Hourly)",'Eplus results'!$1:$1048576,ROW(),FALSE)</f>
        <v>0</v>
      </c>
      <c r="AC593" s="580">
        <f>HLOOKUP("*"&amp;'Output annual'!$AC$2&amp;'Output annual'!$AD$2&amp;"*FangerPMV(Hourly)",'Eplus results'!$1:$1048576,ROW(),FALSE)</f>
        <v>0</v>
      </c>
      <c r="AD593" s="580">
        <f t="shared" si="81"/>
        <v>5</v>
      </c>
      <c r="AE593" s="580">
        <f t="shared" si="82"/>
        <v>2.5</v>
      </c>
      <c r="AF593" s="580">
        <f t="shared" si="83"/>
        <v>2.5</v>
      </c>
      <c r="AG593" s="580">
        <f t="shared" si="84"/>
        <v>0</v>
      </c>
      <c r="AH593" s="580">
        <f t="shared" si="85"/>
        <v>0</v>
      </c>
      <c r="AI593" s="149"/>
      <c r="AJ593" s="149"/>
      <c r="AK593" s="149"/>
      <c r="AL593" s="149"/>
      <c r="AM593" s="149"/>
      <c r="AN593" s="149"/>
      <c r="AO593" s="149"/>
      <c r="AP593" s="149"/>
    </row>
    <row r="594" spans="2:42">
      <c r="B594" s="221">
        <v>150</v>
      </c>
      <c r="C594" s="54" t="s">
        <v>302</v>
      </c>
      <c r="D594" s="223">
        <v>19.682412003572001</v>
      </c>
      <c r="E594" s="344">
        <v>0.33183981472282698</v>
      </c>
      <c r="F594" s="179">
        <v>23.89</v>
      </c>
      <c r="G594" s="179">
        <v>21.11</v>
      </c>
      <c r="H594" s="223">
        <v>20.474730928896001</v>
      </c>
      <c r="I594" s="297">
        <v>0</v>
      </c>
      <c r="J594" s="149"/>
      <c r="K594" s="149"/>
      <c r="L594" s="149"/>
      <c r="M594" s="149"/>
      <c r="N594" s="149"/>
      <c r="O594" s="149"/>
      <c r="P594" s="149"/>
      <c r="Q594" s="149"/>
      <c r="R594" s="149"/>
      <c r="S594" s="149"/>
      <c r="T594" s="149"/>
      <c r="U594" s="149"/>
      <c r="V594" s="149"/>
      <c r="W594" s="149"/>
      <c r="X594" s="149"/>
      <c r="Y594" s="149"/>
      <c r="Z594" s="149"/>
      <c r="AA594" s="149"/>
      <c r="AB594" s="580">
        <f>HLOOKUP("*"&amp;'Output annual'!$AC$2&amp;'Output annual'!$AD$2&amp;"*Zone People Number Of Occupants [](Hourly)",'Eplus results'!$1:$1048576,ROW(),FALSE)</f>
        <v>0</v>
      </c>
      <c r="AC594" s="580">
        <f>HLOOKUP("*"&amp;'Output annual'!$AC$2&amp;'Output annual'!$AD$2&amp;"*FangerPMV(Hourly)",'Eplus results'!$1:$1048576,ROW(),FALSE)</f>
        <v>0</v>
      </c>
      <c r="AD594" s="580">
        <f t="shared" si="81"/>
        <v>5</v>
      </c>
      <c r="AE594" s="580">
        <f t="shared" si="82"/>
        <v>2.5</v>
      </c>
      <c r="AF594" s="580">
        <f t="shared" si="83"/>
        <v>2.5</v>
      </c>
      <c r="AG594" s="580">
        <f t="shared" si="84"/>
        <v>0</v>
      </c>
      <c r="AH594" s="580">
        <f t="shared" si="85"/>
        <v>0</v>
      </c>
      <c r="AI594" s="149"/>
      <c r="AJ594" s="149"/>
      <c r="AK594" s="149"/>
      <c r="AL594" s="149"/>
      <c r="AM594" s="149"/>
      <c r="AN594" s="149"/>
      <c r="AO594" s="149"/>
      <c r="AP594" s="149"/>
    </row>
    <row r="595" spans="2:42">
      <c r="B595" s="221">
        <v>151</v>
      </c>
      <c r="C595" s="54" t="s">
        <v>303</v>
      </c>
      <c r="D595" s="223">
        <v>19.804911247364799</v>
      </c>
      <c r="E595" s="344">
        <v>0.33183981472282698</v>
      </c>
      <c r="F595" s="179">
        <v>23.89</v>
      </c>
      <c r="G595" s="179">
        <v>21.11</v>
      </c>
      <c r="H595" s="223">
        <v>19.9079369420859</v>
      </c>
      <c r="I595" s="297">
        <v>7.6674894865405635E-3</v>
      </c>
      <c r="J595" s="149"/>
      <c r="K595" s="149"/>
      <c r="L595" s="149"/>
      <c r="M595" s="149"/>
      <c r="N595" s="149"/>
      <c r="O595" s="149"/>
      <c r="P595" s="149"/>
      <c r="Q595" s="149"/>
      <c r="R595" s="149"/>
      <c r="S595" s="149"/>
      <c r="T595" s="149"/>
      <c r="U595" s="149"/>
      <c r="V595" s="149"/>
      <c r="W595" s="149"/>
      <c r="X595" s="149"/>
      <c r="Y595" s="149"/>
      <c r="Z595" s="149"/>
      <c r="AA595" s="149"/>
      <c r="AB595" s="580">
        <f>HLOOKUP("*"&amp;'Output annual'!$AC$2&amp;'Output annual'!$AD$2&amp;"*Zone People Number Of Occupants [](Hourly)",'Eplus results'!$1:$1048576,ROW(),FALSE)</f>
        <v>0</v>
      </c>
      <c r="AC595" s="580">
        <f>HLOOKUP("*"&amp;'Output annual'!$AC$2&amp;'Output annual'!$AD$2&amp;"*FangerPMV(Hourly)",'Eplus results'!$1:$1048576,ROW(),FALSE)</f>
        <v>0</v>
      </c>
      <c r="AD595" s="580">
        <f t="shared" si="81"/>
        <v>5</v>
      </c>
      <c r="AE595" s="580">
        <f t="shared" si="82"/>
        <v>2.5</v>
      </c>
      <c r="AF595" s="580">
        <f t="shared" si="83"/>
        <v>2.5</v>
      </c>
      <c r="AG595" s="580">
        <f t="shared" si="84"/>
        <v>0</v>
      </c>
      <c r="AH595" s="580">
        <f t="shared" si="85"/>
        <v>0</v>
      </c>
      <c r="AI595" s="149"/>
      <c r="AJ595" s="149"/>
      <c r="AK595" s="149"/>
      <c r="AL595" s="149"/>
      <c r="AM595" s="149"/>
      <c r="AN595" s="149"/>
      <c r="AO595" s="149"/>
      <c r="AP595" s="149"/>
    </row>
    <row r="596" spans="2:42">
      <c r="B596" s="221">
        <v>152</v>
      </c>
      <c r="C596" s="54" t="s">
        <v>304</v>
      </c>
      <c r="D596" s="223">
        <v>22.4055850402235</v>
      </c>
      <c r="E596" s="344">
        <v>1.1616174961793</v>
      </c>
      <c r="F596" s="179">
        <v>23.89</v>
      </c>
      <c r="G596" s="179">
        <v>21.11</v>
      </c>
      <c r="H596" s="223">
        <v>19.690225599368301</v>
      </c>
      <c r="I596" s="297">
        <v>0.19092765510713883</v>
      </c>
      <c r="J596" s="149"/>
      <c r="K596" s="149"/>
      <c r="L596" s="149"/>
      <c r="M596" s="149"/>
      <c r="N596" s="149"/>
      <c r="O596" s="149"/>
      <c r="P596" s="149"/>
      <c r="Q596" s="149"/>
      <c r="R596" s="149"/>
      <c r="S596" s="149"/>
      <c r="T596" s="149"/>
      <c r="U596" s="149"/>
      <c r="V596" s="149"/>
      <c r="W596" s="149"/>
      <c r="X596" s="149"/>
      <c r="Y596" s="149"/>
      <c r="Z596" s="149"/>
      <c r="AA596" s="149"/>
      <c r="AB596" s="580">
        <f>HLOOKUP("*"&amp;'Output annual'!$AC$2&amp;'Output annual'!$AD$2&amp;"*Zone People Number Of Occupants [](Hourly)",'Eplus results'!$1:$1048576,ROW(),FALSE)</f>
        <v>0</v>
      </c>
      <c r="AC596" s="580">
        <f>HLOOKUP("*"&amp;'Output annual'!$AC$2&amp;'Output annual'!$AD$2&amp;"*FangerPMV(Hourly)",'Eplus results'!$1:$1048576,ROW(),FALSE)</f>
        <v>0</v>
      </c>
      <c r="AD596" s="580">
        <f t="shared" si="81"/>
        <v>5</v>
      </c>
      <c r="AE596" s="580">
        <f t="shared" si="82"/>
        <v>2.5</v>
      </c>
      <c r="AF596" s="580">
        <f t="shared" si="83"/>
        <v>2.5</v>
      </c>
      <c r="AG596" s="580">
        <f t="shared" si="84"/>
        <v>0</v>
      </c>
      <c r="AH596" s="580">
        <f t="shared" si="85"/>
        <v>0</v>
      </c>
      <c r="AI596" s="149"/>
      <c r="AJ596" s="149"/>
      <c r="AK596" s="149"/>
      <c r="AL596" s="149"/>
      <c r="AM596" s="149"/>
      <c r="AN596" s="149"/>
      <c r="AO596" s="149"/>
      <c r="AP596" s="149"/>
    </row>
    <row r="597" spans="2:42">
      <c r="B597" s="221">
        <v>153</v>
      </c>
      <c r="C597" s="54" t="s">
        <v>305</v>
      </c>
      <c r="D597" s="223">
        <v>23.522880513266401</v>
      </c>
      <c r="E597" s="344">
        <v>1.26765522698183</v>
      </c>
      <c r="F597" s="179">
        <v>23.89</v>
      </c>
      <c r="G597" s="179">
        <v>21.11</v>
      </c>
      <c r="H597" s="223">
        <v>19.3128394968397</v>
      </c>
      <c r="I597" s="297">
        <v>0.29955324079562351</v>
      </c>
      <c r="J597" s="149"/>
      <c r="K597" s="149"/>
      <c r="L597" s="149"/>
      <c r="M597" s="149"/>
      <c r="N597" s="149"/>
      <c r="O597" s="149"/>
      <c r="P597" s="149"/>
      <c r="Q597" s="149"/>
      <c r="R597" s="149"/>
      <c r="S597" s="149"/>
      <c r="T597" s="149"/>
      <c r="U597" s="149"/>
      <c r="V597" s="149"/>
      <c r="W597" s="149"/>
      <c r="X597" s="149"/>
      <c r="Y597" s="149"/>
      <c r="Z597" s="149"/>
      <c r="AA597" s="149"/>
      <c r="AB597" s="580">
        <f>HLOOKUP("*"&amp;'Output annual'!$AC$2&amp;'Output annual'!$AD$2&amp;"*Zone People Number Of Occupants [](Hourly)",'Eplus results'!$1:$1048576,ROW(),FALSE)</f>
        <v>0</v>
      </c>
      <c r="AC597" s="580">
        <f>HLOOKUP("*"&amp;'Output annual'!$AC$2&amp;'Output annual'!$AD$2&amp;"*FangerPMV(Hourly)",'Eplus results'!$1:$1048576,ROW(),FALSE)</f>
        <v>0</v>
      </c>
      <c r="AD597" s="580">
        <f t="shared" si="81"/>
        <v>5</v>
      </c>
      <c r="AE597" s="580">
        <f t="shared" si="82"/>
        <v>2.5</v>
      </c>
      <c r="AF597" s="580">
        <f t="shared" si="83"/>
        <v>2.5</v>
      </c>
      <c r="AG597" s="580">
        <f t="shared" si="84"/>
        <v>0</v>
      </c>
      <c r="AH597" s="580">
        <f t="shared" si="85"/>
        <v>0</v>
      </c>
      <c r="AI597" s="149"/>
      <c r="AJ597" s="149"/>
      <c r="AK597" s="149"/>
      <c r="AL597" s="149"/>
      <c r="AM597" s="149"/>
      <c r="AN597" s="149"/>
      <c r="AO597" s="149"/>
      <c r="AP597" s="149"/>
    </row>
    <row r="598" spans="2:42">
      <c r="B598" s="221">
        <v>154</v>
      </c>
      <c r="C598" s="54" t="s">
        <v>306</v>
      </c>
      <c r="D598" s="223">
        <v>23.903981366745199</v>
      </c>
      <c r="E598" s="344">
        <v>1.55171926350931</v>
      </c>
      <c r="F598" s="179">
        <v>23.89</v>
      </c>
      <c r="G598" s="179">
        <v>21.11</v>
      </c>
      <c r="H598" s="223">
        <v>18.954872972100802</v>
      </c>
      <c r="I598" s="297">
        <v>0.37742185010237589</v>
      </c>
      <c r="J598" s="149"/>
      <c r="K598" s="149"/>
      <c r="L598" s="149"/>
      <c r="M598" s="149"/>
      <c r="N598" s="149"/>
      <c r="O598" s="149"/>
      <c r="P598" s="149"/>
      <c r="Q598" s="149"/>
      <c r="R598" s="149"/>
      <c r="S598" s="149"/>
      <c r="T598" s="149"/>
      <c r="U598" s="149"/>
      <c r="V598" s="149"/>
      <c r="W598" s="149"/>
      <c r="X598" s="149"/>
      <c r="Y598" s="149"/>
      <c r="Z598" s="149"/>
      <c r="AA598" s="149"/>
      <c r="AB598" s="580">
        <f>HLOOKUP("*"&amp;'Output annual'!$AC$2&amp;'Output annual'!$AD$2&amp;"*Zone People Number Of Occupants [](Hourly)",'Eplus results'!$1:$1048576,ROW(),FALSE)</f>
        <v>0</v>
      </c>
      <c r="AC598" s="580">
        <f>HLOOKUP("*"&amp;'Output annual'!$AC$2&amp;'Output annual'!$AD$2&amp;"*FangerPMV(Hourly)",'Eplus results'!$1:$1048576,ROW(),FALSE)</f>
        <v>0</v>
      </c>
      <c r="AD598" s="580">
        <f t="shared" si="81"/>
        <v>5</v>
      </c>
      <c r="AE598" s="580">
        <f t="shared" si="82"/>
        <v>2.5</v>
      </c>
      <c r="AF598" s="580">
        <f t="shared" si="83"/>
        <v>2.5</v>
      </c>
      <c r="AG598" s="580">
        <f t="shared" si="84"/>
        <v>0</v>
      </c>
      <c r="AH598" s="580">
        <f t="shared" si="85"/>
        <v>0</v>
      </c>
      <c r="AI598" s="149"/>
      <c r="AJ598" s="149"/>
      <c r="AK598" s="149"/>
      <c r="AL598" s="149"/>
      <c r="AM598" s="149"/>
      <c r="AN598" s="149"/>
      <c r="AO598" s="149"/>
      <c r="AP598" s="149"/>
    </row>
    <row r="599" spans="2:42">
      <c r="B599" s="221">
        <v>155</v>
      </c>
      <c r="C599" s="54" t="s">
        <v>307</v>
      </c>
      <c r="D599" s="223">
        <v>24.058113172237</v>
      </c>
      <c r="E599" s="344">
        <v>1.77617918494657</v>
      </c>
      <c r="F599" s="179">
        <v>23.89</v>
      </c>
      <c r="G599" s="179">
        <v>21.11</v>
      </c>
      <c r="H599" s="223">
        <v>18.767574125964298</v>
      </c>
      <c r="I599" s="297">
        <v>0.44699370892039403</v>
      </c>
      <c r="J599" s="149"/>
      <c r="K599" s="149"/>
      <c r="L599" s="149"/>
      <c r="M599" s="149"/>
      <c r="N599" s="149"/>
      <c r="O599" s="149"/>
      <c r="P599" s="149"/>
      <c r="Q599" s="149"/>
      <c r="R599" s="149"/>
      <c r="S599" s="149"/>
      <c r="T599" s="149"/>
      <c r="U599" s="149"/>
      <c r="V599" s="149"/>
      <c r="W599" s="149"/>
      <c r="X599" s="149"/>
      <c r="Y599" s="149"/>
      <c r="Z599" s="149"/>
      <c r="AA599" s="149"/>
      <c r="AB599" s="580">
        <f>HLOOKUP("*"&amp;'Output annual'!$AC$2&amp;'Output annual'!$AD$2&amp;"*Zone People Number Of Occupants [](Hourly)",'Eplus results'!$1:$1048576,ROW(),FALSE)</f>
        <v>0</v>
      </c>
      <c r="AC599" s="580">
        <f>HLOOKUP("*"&amp;'Output annual'!$AC$2&amp;'Output annual'!$AD$2&amp;"*FangerPMV(Hourly)",'Eplus results'!$1:$1048576,ROW(),FALSE)</f>
        <v>0</v>
      </c>
      <c r="AD599" s="580">
        <f t="shared" si="81"/>
        <v>5</v>
      </c>
      <c r="AE599" s="580">
        <f t="shared" si="82"/>
        <v>2.5</v>
      </c>
      <c r="AF599" s="580">
        <f t="shared" si="83"/>
        <v>2.5</v>
      </c>
      <c r="AG599" s="580">
        <f t="shared" si="84"/>
        <v>0</v>
      </c>
      <c r="AH599" s="580">
        <f t="shared" si="85"/>
        <v>0</v>
      </c>
      <c r="AI599" s="149"/>
      <c r="AJ599" s="149"/>
      <c r="AK599" s="149"/>
      <c r="AL599" s="149"/>
      <c r="AM599" s="149"/>
      <c r="AN599" s="149"/>
      <c r="AO599" s="149"/>
      <c r="AP599" s="149"/>
    </row>
    <row r="600" spans="2:42">
      <c r="B600" s="221">
        <v>156</v>
      </c>
      <c r="C600" s="54" t="s">
        <v>308</v>
      </c>
      <c r="D600" s="223">
        <v>24.019613435881599</v>
      </c>
      <c r="E600" s="344">
        <v>2.08944342483922</v>
      </c>
      <c r="F600" s="179">
        <v>23.89</v>
      </c>
      <c r="G600" s="179">
        <v>21.11</v>
      </c>
      <c r="H600" s="223">
        <v>18.630692599461302</v>
      </c>
      <c r="I600" s="297">
        <v>0.51586100180303573</v>
      </c>
      <c r="J600" s="149"/>
      <c r="K600" s="149"/>
      <c r="L600" s="149"/>
      <c r="M600" s="149"/>
      <c r="N600" s="149"/>
      <c r="O600" s="149"/>
      <c r="P600" s="149"/>
      <c r="Q600" s="149"/>
      <c r="R600" s="149"/>
      <c r="S600" s="149"/>
      <c r="T600" s="149"/>
      <c r="U600" s="149"/>
      <c r="V600" s="149"/>
      <c r="W600" s="149"/>
      <c r="X600" s="149"/>
      <c r="Y600" s="149"/>
      <c r="Z600" s="149"/>
      <c r="AA600" s="149"/>
      <c r="AB600" s="580">
        <f>HLOOKUP("*"&amp;'Output annual'!$AC$2&amp;'Output annual'!$AD$2&amp;"*Zone People Number Of Occupants [](Hourly)",'Eplus results'!$1:$1048576,ROW(),FALSE)</f>
        <v>0</v>
      </c>
      <c r="AC600" s="580">
        <f>HLOOKUP("*"&amp;'Output annual'!$AC$2&amp;'Output annual'!$AD$2&amp;"*FangerPMV(Hourly)",'Eplus results'!$1:$1048576,ROW(),FALSE)</f>
        <v>0</v>
      </c>
      <c r="AD600" s="580">
        <f t="shared" si="81"/>
        <v>5</v>
      </c>
      <c r="AE600" s="580">
        <f t="shared" si="82"/>
        <v>2.5</v>
      </c>
      <c r="AF600" s="580">
        <f t="shared" si="83"/>
        <v>2.5</v>
      </c>
      <c r="AG600" s="580">
        <f t="shared" si="84"/>
        <v>0</v>
      </c>
      <c r="AH600" s="580">
        <f t="shared" si="85"/>
        <v>0</v>
      </c>
      <c r="AI600" s="149"/>
      <c r="AJ600" s="149"/>
      <c r="AK600" s="149"/>
      <c r="AL600" s="149"/>
      <c r="AM600" s="149"/>
      <c r="AN600" s="149"/>
      <c r="AO600" s="149"/>
      <c r="AP600" s="149"/>
    </row>
    <row r="601" spans="2:42">
      <c r="B601" s="221">
        <v>157</v>
      </c>
      <c r="C601" s="54" t="s">
        <v>309</v>
      </c>
      <c r="D601" s="223">
        <v>23.9215877402786</v>
      </c>
      <c r="E601" s="344">
        <v>2.2852110958851202</v>
      </c>
      <c r="F601" s="179">
        <v>23.89</v>
      </c>
      <c r="G601" s="179">
        <v>21.11</v>
      </c>
      <c r="H601" s="223">
        <v>18.552212907213299</v>
      </c>
      <c r="I601" s="297">
        <v>0.54650307223753802</v>
      </c>
      <c r="J601" s="149"/>
      <c r="K601" s="149"/>
      <c r="L601" s="149"/>
      <c r="M601" s="149"/>
      <c r="N601" s="149"/>
      <c r="O601" s="149"/>
      <c r="P601" s="149"/>
      <c r="Q601" s="149"/>
      <c r="R601" s="149"/>
      <c r="S601" s="149"/>
      <c r="T601" s="149"/>
      <c r="U601" s="149"/>
      <c r="V601" s="149"/>
      <c r="W601" s="149"/>
      <c r="X601" s="149"/>
      <c r="Y601" s="149"/>
      <c r="Z601" s="149"/>
      <c r="AA601" s="149"/>
      <c r="AB601" s="580">
        <f>HLOOKUP("*"&amp;'Output annual'!$AC$2&amp;'Output annual'!$AD$2&amp;"*Zone People Number Of Occupants [](Hourly)",'Eplus results'!$1:$1048576,ROW(),FALSE)</f>
        <v>0</v>
      </c>
      <c r="AC601" s="580">
        <f>HLOOKUP("*"&amp;'Output annual'!$AC$2&amp;'Output annual'!$AD$2&amp;"*FangerPMV(Hourly)",'Eplus results'!$1:$1048576,ROW(),FALSE)</f>
        <v>0</v>
      </c>
      <c r="AD601" s="580">
        <f t="shared" si="81"/>
        <v>5</v>
      </c>
      <c r="AE601" s="580">
        <f t="shared" si="82"/>
        <v>2.5</v>
      </c>
      <c r="AF601" s="580">
        <f t="shared" si="83"/>
        <v>2.5</v>
      </c>
      <c r="AG601" s="580">
        <f t="shared" si="84"/>
        <v>0</v>
      </c>
      <c r="AH601" s="580">
        <f t="shared" si="85"/>
        <v>0</v>
      </c>
      <c r="AI601" s="149"/>
      <c r="AJ601" s="149"/>
      <c r="AK601" s="149"/>
      <c r="AL601" s="149"/>
      <c r="AM601" s="149"/>
      <c r="AN601" s="149"/>
      <c r="AO601" s="149"/>
      <c r="AP601" s="149"/>
    </row>
    <row r="602" spans="2:42">
      <c r="B602" s="221">
        <v>158</v>
      </c>
      <c r="C602" s="54" t="s">
        <v>163</v>
      </c>
      <c r="D602" s="223">
        <v>23.9096811660336</v>
      </c>
      <c r="E602" s="344">
        <v>2.36700795221447</v>
      </c>
      <c r="F602" s="179">
        <v>23.89</v>
      </c>
      <c r="G602" s="179">
        <v>21.11</v>
      </c>
      <c r="H602" s="223">
        <v>18.5298976356436</v>
      </c>
      <c r="I602" s="297">
        <v>0.56114182634309606</v>
      </c>
      <c r="J602" s="149"/>
      <c r="K602" s="149"/>
      <c r="L602" s="149"/>
      <c r="M602" s="149"/>
      <c r="N602" s="149"/>
      <c r="O602" s="149"/>
      <c r="P602" s="149"/>
      <c r="Q602" s="149"/>
      <c r="R602" s="149"/>
      <c r="S602" s="149"/>
      <c r="T602" s="149"/>
      <c r="U602" s="149"/>
      <c r="V602" s="149"/>
      <c r="W602" s="149"/>
      <c r="X602" s="149"/>
      <c r="Y602" s="149"/>
      <c r="Z602" s="149"/>
      <c r="AA602" s="149"/>
      <c r="AB602" s="580">
        <f>HLOOKUP("*"&amp;'Output annual'!$AC$2&amp;'Output annual'!$AD$2&amp;"*Zone People Number Of Occupants [](Hourly)",'Eplus results'!$1:$1048576,ROW(),FALSE)</f>
        <v>0</v>
      </c>
      <c r="AC602" s="580">
        <f>HLOOKUP("*"&amp;'Output annual'!$AC$2&amp;'Output annual'!$AD$2&amp;"*FangerPMV(Hourly)",'Eplus results'!$1:$1048576,ROW(),FALSE)</f>
        <v>0</v>
      </c>
      <c r="AD602" s="580">
        <f t="shared" si="81"/>
        <v>5</v>
      </c>
      <c r="AE602" s="580">
        <f t="shared" si="82"/>
        <v>2.5</v>
      </c>
      <c r="AF602" s="580">
        <f t="shared" si="83"/>
        <v>2.5</v>
      </c>
      <c r="AG602" s="580">
        <f t="shared" si="84"/>
        <v>0</v>
      </c>
      <c r="AH602" s="580">
        <f t="shared" si="85"/>
        <v>0</v>
      </c>
      <c r="AI602" s="149"/>
      <c r="AJ602" s="149"/>
      <c r="AK602" s="149"/>
      <c r="AL602" s="149"/>
      <c r="AM602" s="149"/>
      <c r="AN602" s="149"/>
      <c r="AO602" s="149"/>
      <c r="AP602" s="149"/>
    </row>
    <row r="603" spans="2:42">
      <c r="B603" s="221">
        <v>159</v>
      </c>
      <c r="C603" s="54" t="s">
        <v>164</v>
      </c>
      <c r="D603" s="223">
        <v>23.905180273099699</v>
      </c>
      <c r="E603" s="344">
        <v>2.4074788955383601</v>
      </c>
      <c r="F603" s="179">
        <v>23.89</v>
      </c>
      <c r="G603" s="179">
        <v>21.11</v>
      </c>
      <c r="H603" s="223">
        <v>18.538557061621901</v>
      </c>
      <c r="I603" s="297">
        <v>0.56700650294540222</v>
      </c>
      <c r="J603" s="149"/>
      <c r="K603" s="149"/>
      <c r="L603" s="149"/>
      <c r="M603" s="149"/>
      <c r="N603" s="149"/>
      <c r="O603" s="149"/>
      <c r="P603" s="149"/>
      <c r="Q603" s="149"/>
      <c r="R603" s="149"/>
      <c r="S603" s="149"/>
      <c r="T603" s="149"/>
      <c r="U603" s="149"/>
      <c r="V603" s="149"/>
      <c r="W603" s="149"/>
      <c r="X603" s="149"/>
      <c r="Y603" s="149"/>
      <c r="Z603" s="149"/>
      <c r="AA603" s="149"/>
      <c r="AB603" s="580">
        <f>HLOOKUP("*"&amp;'Output annual'!$AC$2&amp;'Output annual'!$AD$2&amp;"*Zone People Number Of Occupants [](Hourly)",'Eplus results'!$1:$1048576,ROW(),FALSE)</f>
        <v>0</v>
      </c>
      <c r="AC603" s="580">
        <f>HLOOKUP("*"&amp;'Output annual'!$AC$2&amp;'Output annual'!$AD$2&amp;"*FangerPMV(Hourly)",'Eplus results'!$1:$1048576,ROW(),FALSE)</f>
        <v>0</v>
      </c>
      <c r="AD603" s="580">
        <f t="shared" si="81"/>
        <v>5</v>
      </c>
      <c r="AE603" s="580">
        <f t="shared" si="82"/>
        <v>2.5</v>
      </c>
      <c r="AF603" s="580">
        <f t="shared" si="83"/>
        <v>2.5</v>
      </c>
      <c r="AG603" s="580">
        <f t="shared" si="84"/>
        <v>0</v>
      </c>
      <c r="AH603" s="580">
        <f t="shared" si="85"/>
        <v>0</v>
      </c>
      <c r="AI603" s="149"/>
      <c r="AJ603" s="149"/>
      <c r="AK603" s="149"/>
      <c r="AL603" s="149"/>
      <c r="AM603" s="149"/>
      <c r="AN603" s="149"/>
      <c r="AO603" s="149"/>
      <c r="AP603" s="149"/>
    </row>
    <row r="604" spans="2:42">
      <c r="B604" s="221">
        <v>160</v>
      </c>
      <c r="C604" s="54" t="s">
        <v>165</v>
      </c>
      <c r="D604" s="223">
        <v>23.906459970165098</v>
      </c>
      <c r="E604" s="344">
        <v>2.4371695669990201</v>
      </c>
      <c r="F604" s="179">
        <v>23.89</v>
      </c>
      <c r="G604" s="179">
        <v>21.11</v>
      </c>
      <c r="H604" s="223">
        <v>18.564191971506101</v>
      </c>
      <c r="I604" s="297">
        <v>0.56955441093945369</v>
      </c>
      <c r="J604" s="149"/>
      <c r="K604" s="149"/>
      <c r="L604" s="149"/>
      <c r="M604" s="149"/>
      <c r="N604" s="149"/>
      <c r="O604" s="149"/>
      <c r="P604" s="149"/>
      <c r="Q604" s="149"/>
      <c r="R604" s="149"/>
      <c r="S604" s="149"/>
      <c r="T604" s="149"/>
      <c r="U604" s="149"/>
      <c r="V604" s="149"/>
      <c r="W604" s="149"/>
      <c r="X604" s="149"/>
      <c r="Y604" s="149"/>
      <c r="Z604" s="149"/>
      <c r="AA604" s="149"/>
      <c r="AB604" s="580">
        <f>HLOOKUP("*"&amp;'Output annual'!$AC$2&amp;'Output annual'!$AD$2&amp;"*Zone People Number Of Occupants [](Hourly)",'Eplus results'!$1:$1048576,ROW(),FALSE)</f>
        <v>0</v>
      </c>
      <c r="AC604" s="580">
        <f>HLOOKUP("*"&amp;'Output annual'!$AC$2&amp;'Output annual'!$AD$2&amp;"*FangerPMV(Hourly)",'Eplus results'!$1:$1048576,ROW(),FALSE)</f>
        <v>0</v>
      </c>
      <c r="AD604" s="580">
        <f t="shared" si="81"/>
        <v>5</v>
      </c>
      <c r="AE604" s="580">
        <f t="shared" si="82"/>
        <v>2.5</v>
      </c>
      <c r="AF604" s="580">
        <f t="shared" si="83"/>
        <v>2.5</v>
      </c>
      <c r="AG604" s="580">
        <f t="shared" si="84"/>
        <v>0</v>
      </c>
      <c r="AH604" s="580">
        <f t="shared" si="85"/>
        <v>0</v>
      </c>
      <c r="AI604" s="149"/>
      <c r="AJ604" s="149"/>
      <c r="AK604" s="149"/>
      <c r="AL604" s="149"/>
      <c r="AM604" s="149"/>
      <c r="AN604" s="149"/>
      <c r="AO604" s="149"/>
      <c r="AP604" s="149"/>
    </row>
    <row r="605" spans="2:42">
      <c r="B605" s="221">
        <v>161</v>
      </c>
      <c r="C605" s="54" t="s">
        <v>166</v>
      </c>
      <c r="D605" s="223">
        <v>23.9021577900015</v>
      </c>
      <c r="E605" s="344">
        <v>2.4415026723549502</v>
      </c>
      <c r="F605" s="179">
        <v>23.89</v>
      </c>
      <c r="G605" s="179">
        <v>21.11</v>
      </c>
      <c r="H605" s="223">
        <v>18.6088262772668</v>
      </c>
      <c r="I605" s="297">
        <v>0.56553930997861113</v>
      </c>
      <c r="J605" s="149"/>
      <c r="K605" s="149"/>
      <c r="L605" s="149"/>
      <c r="M605" s="149"/>
      <c r="N605" s="149"/>
      <c r="O605" s="149"/>
      <c r="P605" s="149"/>
      <c r="Q605" s="149"/>
      <c r="R605" s="149"/>
      <c r="S605" s="149"/>
      <c r="T605" s="149"/>
      <c r="U605" s="149"/>
      <c r="V605" s="149"/>
      <c r="W605" s="149"/>
      <c r="X605" s="149"/>
      <c r="Y605" s="149"/>
      <c r="Z605" s="149"/>
      <c r="AA605" s="149"/>
      <c r="AB605" s="580">
        <f>HLOOKUP("*"&amp;'Output annual'!$AC$2&amp;'Output annual'!$AD$2&amp;"*Zone People Number Of Occupants [](Hourly)",'Eplus results'!$1:$1048576,ROW(),FALSE)</f>
        <v>0</v>
      </c>
      <c r="AC605" s="580">
        <f>HLOOKUP("*"&amp;'Output annual'!$AC$2&amp;'Output annual'!$AD$2&amp;"*FangerPMV(Hourly)",'Eplus results'!$1:$1048576,ROW(),FALSE)</f>
        <v>0</v>
      </c>
      <c r="AD605" s="580">
        <f t="shared" si="81"/>
        <v>5</v>
      </c>
      <c r="AE605" s="580">
        <f t="shared" si="82"/>
        <v>2.5</v>
      </c>
      <c r="AF605" s="580">
        <f t="shared" si="83"/>
        <v>2.5</v>
      </c>
      <c r="AG605" s="580">
        <f t="shared" si="84"/>
        <v>0</v>
      </c>
      <c r="AH605" s="580">
        <f t="shared" si="85"/>
        <v>0</v>
      </c>
      <c r="AI605" s="149"/>
      <c r="AJ605" s="149"/>
      <c r="AK605" s="149"/>
      <c r="AL605" s="149"/>
      <c r="AM605" s="149"/>
      <c r="AN605" s="149"/>
      <c r="AO605" s="149"/>
      <c r="AP605" s="149"/>
    </row>
    <row r="606" spans="2:42">
      <c r="B606" s="221">
        <v>162</v>
      </c>
      <c r="C606" s="54" t="s">
        <v>167</v>
      </c>
      <c r="D606" s="223">
        <v>23.379414323508701</v>
      </c>
      <c r="E606" s="344">
        <v>0.35554194751824297</v>
      </c>
      <c r="F606" s="179">
        <v>23.89</v>
      </c>
      <c r="G606" s="179">
        <v>21.11</v>
      </c>
      <c r="H606" s="223">
        <v>20.062222036061101</v>
      </c>
      <c r="I606" s="297">
        <v>0.24291403704507858</v>
      </c>
      <c r="J606" s="149"/>
      <c r="K606" s="149"/>
      <c r="L606" s="149"/>
      <c r="M606" s="149"/>
      <c r="N606" s="149"/>
      <c r="O606" s="149"/>
      <c r="P606" s="149"/>
      <c r="Q606" s="149"/>
      <c r="R606" s="149"/>
      <c r="S606" s="149"/>
      <c r="T606" s="149"/>
      <c r="U606" s="149"/>
      <c r="V606" s="149"/>
      <c r="W606" s="149"/>
      <c r="X606" s="149"/>
      <c r="Y606" s="149"/>
      <c r="Z606" s="149"/>
      <c r="AA606" s="149"/>
      <c r="AB606" s="580">
        <f>HLOOKUP("*"&amp;'Output annual'!$AC$2&amp;'Output annual'!$AD$2&amp;"*Zone People Number Of Occupants [](Hourly)",'Eplus results'!$1:$1048576,ROW(),FALSE)</f>
        <v>0</v>
      </c>
      <c r="AC606" s="580">
        <f>HLOOKUP("*"&amp;'Output annual'!$AC$2&amp;'Output annual'!$AD$2&amp;"*FangerPMV(Hourly)",'Eplus results'!$1:$1048576,ROW(),FALSE)</f>
        <v>0</v>
      </c>
      <c r="AD606" s="580">
        <f t="shared" si="81"/>
        <v>5</v>
      </c>
      <c r="AE606" s="580">
        <f t="shared" si="82"/>
        <v>2.5</v>
      </c>
      <c r="AF606" s="580">
        <f t="shared" si="83"/>
        <v>2.5</v>
      </c>
      <c r="AG606" s="580">
        <f t="shared" si="84"/>
        <v>0</v>
      </c>
      <c r="AH606" s="580">
        <f t="shared" si="85"/>
        <v>0</v>
      </c>
      <c r="AI606" s="149"/>
      <c r="AJ606" s="149"/>
      <c r="AK606" s="149"/>
      <c r="AL606" s="149"/>
      <c r="AM606" s="149"/>
      <c r="AN606" s="149"/>
      <c r="AO606" s="149"/>
      <c r="AP606" s="149"/>
    </row>
    <row r="607" spans="2:42">
      <c r="B607" s="221">
        <v>163</v>
      </c>
      <c r="C607" s="54" t="s">
        <v>168</v>
      </c>
      <c r="D607" s="223">
        <v>22.516988766805699</v>
      </c>
      <c r="E607" s="344">
        <v>0.33183981472282698</v>
      </c>
      <c r="F607" s="179">
        <v>23.89</v>
      </c>
      <c r="G607" s="179">
        <v>21.11</v>
      </c>
      <c r="H607" s="223">
        <v>21.359916711224301</v>
      </c>
      <c r="I607" s="297">
        <v>0.25327517661007415</v>
      </c>
      <c r="J607" s="149"/>
      <c r="K607" s="149"/>
      <c r="L607" s="149"/>
      <c r="M607" s="149"/>
      <c r="N607" s="149"/>
      <c r="O607" s="149"/>
      <c r="P607" s="149"/>
      <c r="Q607" s="149"/>
      <c r="R607" s="149"/>
      <c r="S607" s="149"/>
      <c r="T607" s="149"/>
      <c r="U607" s="149"/>
      <c r="V607" s="149"/>
      <c r="W607" s="149"/>
      <c r="X607" s="149"/>
      <c r="Y607" s="149"/>
      <c r="Z607" s="149"/>
      <c r="AA607" s="149"/>
      <c r="AB607" s="580">
        <f>HLOOKUP("*"&amp;'Output annual'!$AC$2&amp;'Output annual'!$AD$2&amp;"*Zone People Number Of Occupants [](Hourly)",'Eplus results'!$1:$1048576,ROW(),FALSE)</f>
        <v>0</v>
      </c>
      <c r="AC607" s="580">
        <f>HLOOKUP("*"&amp;'Output annual'!$AC$2&amp;'Output annual'!$AD$2&amp;"*FangerPMV(Hourly)",'Eplus results'!$1:$1048576,ROW(),FALSE)</f>
        <v>0</v>
      </c>
      <c r="AD607" s="580">
        <f t="shared" si="81"/>
        <v>5</v>
      </c>
      <c r="AE607" s="580">
        <f t="shared" si="82"/>
        <v>2.5</v>
      </c>
      <c r="AF607" s="580">
        <f t="shared" si="83"/>
        <v>2.5</v>
      </c>
      <c r="AG607" s="580">
        <f t="shared" si="84"/>
        <v>0</v>
      </c>
      <c r="AH607" s="580">
        <f t="shared" si="85"/>
        <v>0</v>
      </c>
      <c r="AI607" s="149"/>
      <c r="AJ607" s="149"/>
      <c r="AK607" s="149"/>
      <c r="AL607" s="149"/>
      <c r="AM607" s="149"/>
      <c r="AN607" s="149"/>
      <c r="AO607" s="149"/>
      <c r="AP607" s="149"/>
    </row>
    <row r="608" spans="2:42">
      <c r="B608" s="221">
        <v>164</v>
      </c>
      <c r="C608" s="54" t="s">
        <v>169</v>
      </c>
      <c r="D608" s="223">
        <v>23.7895485433821</v>
      </c>
      <c r="E608" s="344">
        <v>0</v>
      </c>
      <c r="F608" s="179">
        <v>32.22</v>
      </c>
      <c r="G608" s="179">
        <v>12.78</v>
      </c>
      <c r="H608" s="223">
        <v>22.203398248615301</v>
      </c>
      <c r="I608" s="297">
        <v>0</v>
      </c>
      <c r="J608" s="149"/>
      <c r="K608" s="149"/>
      <c r="L608" s="149"/>
      <c r="M608" s="149"/>
      <c r="N608" s="149"/>
      <c r="O608" s="149"/>
      <c r="P608" s="149"/>
      <c r="Q608" s="149"/>
      <c r="R608" s="149"/>
      <c r="S608" s="149"/>
      <c r="T608" s="149"/>
      <c r="U608" s="149"/>
      <c r="V608" s="149"/>
      <c r="W608" s="149"/>
      <c r="X608" s="149"/>
      <c r="Y608" s="149"/>
      <c r="Z608" s="149"/>
      <c r="AA608" s="149"/>
      <c r="AB608" s="580">
        <f>HLOOKUP("*"&amp;'Output annual'!$AC$2&amp;'Output annual'!$AD$2&amp;"*Zone People Number Of Occupants [](Hourly)",'Eplus results'!$1:$1048576,ROW(),FALSE)</f>
        <v>0</v>
      </c>
      <c r="AC608" s="580">
        <f>HLOOKUP("*"&amp;'Output annual'!$AC$2&amp;'Output annual'!$AD$2&amp;"*FangerPMV(Hourly)",'Eplus results'!$1:$1048576,ROW(),FALSE)</f>
        <v>0</v>
      </c>
      <c r="AD608" s="580">
        <f t="shared" si="81"/>
        <v>5</v>
      </c>
      <c r="AE608" s="580">
        <f t="shared" si="82"/>
        <v>2.5</v>
      </c>
      <c r="AF608" s="580">
        <f t="shared" si="83"/>
        <v>2.5</v>
      </c>
      <c r="AG608" s="580">
        <f t="shared" si="84"/>
        <v>0</v>
      </c>
      <c r="AH608" s="580">
        <f t="shared" si="85"/>
        <v>0</v>
      </c>
      <c r="AI608" s="149"/>
      <c r="AJ608" s="149"/>
      <c r="AK608" s="149"/>
      <c r="AL608" s="149"/>
      <c r="AM608" s="149"/>
      <c r="AN608" s="149"/>
      <c r="AO608" s="149"/>
      <c r="AP608" s="149"/>
    </row>
    <row r="609" spans="2:42">
      <c r="B609" s="221">
        <v>165</v>
      </c>
      <c r="C609" s="54" t="s">
        <v>170</v>
      </c>
      <c r="D609" s="223">
        <v>23.3508858635529</v>
      </c>
      <c r="E609" s="344">
        <v>0</v>
      </c>
      <c r="F609" s="179">
        <v>32.22</v>
      </c>
      <c r="G609" s="179">
        <v>12.78</v>
      </c>
      <c r="H609" s="223">
        <v>22.631557650753901</v>
      </c>
      <c r="I609" s="297">
        <v>0</v>
      </c>
      <c r="J609" s="149"/>
      <c r="K609" s="149"/>
      <c r="L609" s="149"/>
      <c r="M609" s="149"/>
      <c r="N609" s="149"/>
      <c r="O609" s="149"/>
      <c r="P609" s="149"/>
      <c r="Q609" s="149"/>
      <c r="R609" s="149"/>
      <c r="S609" s="149"/>
      <c r="T609" s="149"/>
      <c r="U609" s="149"/>
      <c r="V609" s="149"/>
      <c r="W609" s="149"/>
      <c r="X609" s="149"/>
      <c r="Y609" s="149"/>
      <c r="Z609" s="149"/>
      <c r="AA609" s="149"/>
      <c r="AB609" s="580">
        <f>HLOOKUP("*"&amp;'Output annual'!$AC$2&amp;'Output annual'!$AD$2&amp;"*Zone People Number Of Occupants [](Hourly)",'Eplus results'!$1:$1048576,ROW(),FALSE)</f>
        <v>0</v>
      </c>
      <c r="AC609" s="580">
        <f>HLOOKUP("*"&amp;'Output annual'!$AC$2&amp;'Output annual'!$AD$2&amp;"*FangerPMV(Hourly)",'Eplus results'!$1:$1048576,ROW(),FALSE)</f>
        <v>0</v>
      </c>
      <c r="AD609" s="580">
        <f t="shared" si="81"/>
        <v>5</v>
      </c>
      <c r="AE609" s="580">
        <f t="shared" si="82"/>
        <v>2.5</v>
      </c>
      <c r="AF609" s="580">
        <f t="shared" si="83"/>
        <v>2.5</v>
      </c>
      <c r="AG609" s="580">
        <f t="shared" si="84"/>
        <v>0</v>
      </c>
      <c r="AH609" s="580">
        <f t="shared" si="85"/>
        <v>0</v>
      </c>
      <c r="AI609" s="149"/>
      <c r="AJ609" s="149"/>
      <c r="AK609" s="149"/>
      <c r="AL609" s="149"/>
      <c r="AM609" s="149"/>
      <c r="AN609" s="149"/>
      <c r="AO609" s="149"/>
      <c r="AP609" s="149"/>
    </row>
    <row r="610" spans="2:42">
      <c r="B610" s="221">
        <v>166</v>
      </c>
      <c r="C610" s="54" t="s">
        <v>171</v>
      </c>
      <c r="D610" s="223">
        <v>22.967113169737399</v>
      </c>
      <c r="E610" s="344">
        <v>0</v>
      </c>
      <c r="F610" s="179">
        <v>32.22</v>
      </c>
      <c r="G610" s="179">
        <v>12.78</v>
      </c>
      <c r="H610" s="223">
        <v>22.683433864828899</v>
      </c>
      <c r="I610" s="297">
        <v>0</v>
      </c>
      <c r="J610" s="149"/>
      <c r="K610" s="149"/>
      <c r="L610" s="149"/>
      <c r="M610" s="149"/>
      <c r="N610" s="149"/>
      <c r="O610" s="149"/>
      <c r="P610" s="149"/>
      <c r="Q610" s="149"/>
      <c r="R610" s="149"/>
      <c r="S610" s="149"/>
      <c r="T610" s="149"/>
      <c r="U610" s="149"/>
      <c r="V610" s="149"/>
      <c r="W610" s="149"/>
      <c r="X610" s="149"/>
      <c r="Y610" s="149"/>
      <c r="Z610" s="149"/>
      <c r="AA610" s="149"/>
      <c r="AB610" s="580">
        <f>HLOOKUP("*"&amp;'Output annual'!$AC$2&amp;'Output annual'!$AD$2&amp;"*Zone People Number Of Occupants [](Hourly)",'Eplus results'!$1:$1048576,ROW(),FALSE)</f>
        <v>0</v>
      </c>
      <c r="AC610" s="580">
        <f>HLOOKUP("*"&amp;'Output annual'!$AC$2&amp;'Output annual'!$AD$2&amp;"*FangerPMV(Hourly)",'Eplus results'!$1:$1048576,ROW(),FALSE)</f>
        <v>0</v>
      </c>
      <c r="AD610" s="580">
        <f t="shared" si="81"/>
        <v>5</v>
      </c>
      <c r="AE610" s="580">
        <f t="shared" si="82"/>
        <v>2.5</v>
      </c>
      <c r="AF610" s="580">
        <f t="shared" si="83"/>
        <v>2.5</v>
      </c>
      <c r="AG610" s="580">
        <f t="shared" si="84"/>
        <v>0</v>
      </c>
      <c r="AH610" s="580">
        <f t="shared" si="85"/>
        <v>0</v>
      </c>
      <c r="AI610" s="149"/>
      <c r="AJ610" s="149"/>
      <c r="AK610" s="149"/>
      <c r="AL610" s="149"/>
      <c r="AM610" s="149"/>
      <c r="AN610" s="149"/>
      <c r="AO610" s="149"/>
      <c r="AP610" s="149"/>
    </row>
    <row r="611" spans="2:42">
      <c r="B611" s="221">
        <v>167</v>
      </c>
      <c r="C611" s="54" t="s">
        <v>172</v>
      </c>
      <c r="D611" s="223">
        <v>22.608346685793901</v>
      </c>
      <c r="E611" s="344">
        <v>0</v>
      </c>
      <c r="F611" s="179">
        <v>32.22</v>
      </c>
      <c r="G611" s="179">
        <v>12.78</v>
      </c>
      <c r="H611" s="223">
        <v>22.678899431993099</v>
      </c>
      <c r="I611" s="297">
        <v>0</v>
      </c>
      <c r="J611" s="149"/>
      <c r="K611" s="149"/>
      <c r="L611" s="149"/>
      <c r="M611" s="149"/>
      <c r="N611" s="149"/>
      <c r="O611" s="149"/>
      <c r="P611" s="149"/>
      <c r="Q611" s="149"/>
      <c r="R611" s="149"/>
      <c r="S611" s="149"/>
      <c r="T611" s="149"/>
      <c r="U611" s="149"/>
      <c r="V611" s="149"/>
      <c r="W611" s="149"/>
      <c r="X611" s="149"/>
      <c r="Y611" s="149"/>
      <c r="Z611" s="149"/>
      <c r="AA611" s="149"/>
      <c r="AB611" s="580">
        <f>HLOOKUP("*"&amp;'Output annual'!$AC$2&amp;'Output annual'!$AD$2&amp;"*Zone People Number Of Occupants [](Hourly)",'Eplus results'!$1:$1048576,ROW(),FALSE)</f>
        <v>0</v>
      </c>
      <c r="AC611" s="580">
        <f>HLOOKUP("*"&amp;'Output annual'!$AC$2&amp;'Output annual'!$AD$2&amp;"*FangerPMV(Hourly)",'Eplus results'!$1:$1048576,ROW(),FALSE)</f>
        <v>0</v>
      </c>
      <c r="AD611" s="580">
        <f t="shared" si="81"/>
        <v>5</v>
      </c>
      <c r="AE611" s="580">
        <f t="shared" si="82"/>
        <v>2.5</v>
      </c>
      <c r="AF611" s="580">
        <f t="shared" si="83"/>
        <v>2.5</v>
      </c>
      <c r="AG611" s="580">
        <f t="shared" si="84"/>
        <v>0</v>
      </c>
      <c r="AH611" s="580">
        <f t="shared" si="85"/>
        <v>0</v>
      </c>
      <c r="AI611" s="149"/>
      <c r="AJ611" s="149"/>
      <c r="AK611" s="149"/>
      <c r="AL611" s="149"/>
      <c r="AM611" s="149"/>
      <c r="AN611" s="149"/>
      <c r="AO611" s="149"/>
      <c r="AP611" s="149"/>
    </row>
    <row r="612" spans="2:42">
      <c r="B612" s="56">
        <v>168</v>
      </c>
      <c r="C612" s="57" t="s">
        <v>346</v>
      </c>
      <c r="D612" s="230">
        <v>22.287484894034701</v>
      </c>
      <c r="E612" s="356">
        <v>0</v>
      </c>
      <c r="F612" s="342">
        <v>32.22</v>
      </c>
      <c r="G612" s="342">
        <v>12.78</v>
      </c>
      <c r="H612" s="230">
        <v>22.646060867233199</v>
      </c>
      <c r="I612" s="58">
        <v>0</v>
      </c>
      <c r="J612" s="149"/>
      <c r="K612" s="149"/>
      <c r="L612" s="149"/>
      <c r="M612" s="149"/>
      <c r="N612" s="149"/>
      <c r="O612" s="149"/>
      <c r="P612" s="149"/>
      <c r="Q612" s="149"/>
      <c r="R612" s="149"/>
      <c r="S612" s="149"/>
      <c r="T612" s="149"/>
      <c r="U612" s="149"/>
      <c r="V612" s="149"/>
      <c r="W612" s="149"/>
      <c r="X612" s="149"/>
      <c r="Y612" s="149"/>
      <c r="Z612" s="149"/>
      <c r="AA612" s="149"/>
      <c r="AB612" s="580">
        <f>HLOOKUP("*"&amp;'Output annual'!$AC$2&amp;'Output annual'!$AD$2&amp;"*Zone People Number Of Occupants [](Hourly)",'Eplus results'!$1:$1048576,ROW(),FALSE)</f>
        <v>0</v>
      </c>
      <c r="AC612" s="580">
        <f>HLOOKUP("*"&amp;'Output annual'!$AC$2&amp;'Output annual'!$AD$2&amp;"*FangerPMV(Hourly)",'Eplus results'!$1:$1048576,ROW(),FALSE)</f>
        <v>0</v>
      </c>
      <c r="AD612" s="580">
        <f t="shared" si="81"/>
        <v>5</v>
      </c>
      <c r="AE612" s="580">
        <f t="shared" si="82"/>
        <v>2.5</v>
      </c>
      <c r="AF612" s="580">
        <f t="shared" si="83"/>
        <v>2.5</v>
      </c>
      <c r="AG612" s="580">
        <f t="shared" si="84"/>
        <v>0</v>
      </c>
      <c r="AH612" s="580">
        <f t="shared" si="85"/>
        <v>0</v>
      </c>
      <c r="AI612" s="149"/>
      <c r="AJ612" s="149"/>
      <c r="AK612" s="149"/>
      <c r="AL612" s="149"/>
      <c r="AM612" s="149"/>
      <c r="AN612" s="149"/>
      <c r="AO612" s="149"/>
      <c r="AP612" s="149"/>
    </row>
    <row r="613" spans="2:42">
      <c r="AB613" s="580">
        <f>HLOOKUP("*"&amp;'Output annual'!$AC$2&amp;'Output annual'!$AD$2&amp;"*Zone People Number Of Occupants [](Hourly)",'Eplus results'!$1:$1048576,ROW(),FALSE)</f>
        <v>0</v>
      </c>
      <c r="AC613" s="580">
        <f>HLOOKUP("*"&amp;'Output annual'!$AC$2&amp;'Output annual'!$AD$2&amp;"*FangerPMV(Hourly)",'Eplus results'!$1:$1048576,ROW(),FALSE)</f>
        <v>0</v>
      </c>
      <c r="AD613" s="580">
        <f t="shared" si="81"/>
        <v>5</v>
      </c>
      <c r="AE613" s="580">
        <f t="shared" si="82"/>
        <v>2.5</v>
      </c>
      <c r="AF613" s="580">
        <f t="shared" si="83"/>
        <v>2.5</v>
      </c>
      <c r="AG613" s="580">
        <f t="shared" si="84"/>
        <v>0</v>
      </c>
      <c r="AH613" s="580">
        <f t="shared" si="85"/>
        <v>0</v>
      </c>
    </row>
    <row r="614" spans="2:42">
      <c r="AB614" s="580">
        <f>HLOOKUP("*"&amp;'Output annual'!$AC$2&amp;'Output annual'!$AD$2&amp;"*Zone People Number Of Occupants [](Hourly)",'Eplus results'!$1:$1048576,ROW(),FALSE)</f>
        <v>0</v>
      </c>
      <c r="AC614" s="580">
        <f>HLOOKUP("*"&amp;'Output annual'!$AC$2&amp;'Output annual'!$AD$2&amp;"*FangerPMV(Hourly)",'Eplus results'!$1:$1048576,ROW(),FALSE)</f>
        <v>0</v>
      </c>
      <c r="AD614" s="580">
        <f t="shared" si="81"/>
        <v>5</v>
      </c>
      <c r="AE614" s="580">
        <f t="shared" si="82"/>
        <v>2.5</v>
      </c>
      <c r="AF614" s="580">
        <f t="shared" si="83"/>
        <v>2.5</v>
      </c>
      <c r="AG614" s="580">
        <f t="shared" si="84"/>
        <v>0</v>
      </c>
      <c r="AH614" s="580">
        <f t="shared" si="85"/>
        <v>0</v>
      </c>
    </row>
    <row r="615" spans="2:42">
      <c r="AB615" s="580">
        <f>HLOOKUP("*"&amp;'Output annual'!$AC$2&amp;'Output annual'!$AD$2&amp;"*Zone People Number Of Occupants [](Hourly)",'Eplus results'!$1:$1048576,ROW(),FALSE)</f>
        <v>0</v>
      </c>
      <c r="AC615" s="580">
        <f>HLOOKUP("*"&amp;'Output annual'!$AC$2&amp;'Output annual'!$AD$2&amp;"*FangerPMV(Hourly)",'Eplus results'!$1:$1048576,ROW(),FALSE)</f>
        <v>0</v>
      </c>
      <c r="AD615" s="580">
        <f t="shared" si="81"/>
        <v>5</v>
      </c>
      <c r="AE615" s="580">
        <f t="shared" si="82"/>
        <v>2.5</v>
      </c>
      <c r="AF615" s="580">
        <f t="shared" si="83"/>
        <v>2.5</v>
      </c>
      <c r="AG615" s="580">
        <f t="shared" si="84"/>
        <v>0</v>
      </c>
      <c r="AH615" s="580">
        <f t="shared" si="85"/>
        <v>0</v>
      </c>
    </row>
    <row r="616" spans="2:42">
      <c r="B616" s="128"/>
      <c r="C616" s="689" t="s">
        <v>721</v>
      </c>
      <c r="D616" s="690"/>
      <c r="E616" s="690"/>
      <c r="F616" s="691"/>
      <c r="G616" s="692" t="s">
        <v>920</v>
      </c>
      <c r="H616" s="690"/>
      <c r="I616" s="690"/>
      <c r="J616" s="691"/>
      <c r="K616" s="693" t="s">
        <v>838</v>
      </c>
      <c r="L616" s="693"/>
      <c r="M616" s="693"/>
      <c r="N616" s="693"/>
      <c r="AB616" s="580">
        <f>HLOOKUP("*"&amp;'Output annual'!$AC$2&amp;'Output annual'!$AD$2&amp;"*Zone People Number Of Occupants [](Hourly)",'Eplus results'!$1:$1048576,ROW(),FALSE)</f>
        <v>0</v>
      </c>
      <c r="AC616" s="580">
        <f>HLOOKUP("*"&amp;'Output annual'!$AC$2&amp;'Output annual'!$AD$2&amp;"*FangerPMV(Hourly)",'Eplus results'!$1:$1048576,ROW(),FALSE)</f>
        <v>0</v>
      </c>
      <c r="AD616" s="580">
        <f t="shared" si="81"/>
        <v>5</v>
      </c>
      <c r="AE616" s="580">
        <f t="shared" si="82"/>
        <v>2.5</v>
      </c>
      <c r="AF616" s="580">
        <f t="shared" si="83"/>
        <v>2.5</v>
      </c>
      <c r="AG616" s="580">
        <f t="shared" si="84"/>
        <v>0</v>
      </c>
      <c r="AH616" s="580">
        <f t="shared" si="85"/>
        <v>0</v>
      </c>
    </row>
    <row r="617" spans="2:42">
      <c r="B617" s="128" t="s">
        <v>833</v>
      </c>
      <c r="C617" s="128" t="s">
        <v>834</v>
      </c>
      <c r="D617" s="128" t="s">
        <v>835</v>
      </c>
      <c r="E617" s="128" t="s">
        <v>836</v>
      </c>
      <c r="F617" s="128" t="s">
        <v>837</v>
      </c>
      <c r="G617" s="128" t="s">
        <v>834</v>
      </c>
      <c r="H617" s="128" t="s">
        <v>835</v>
      </c>
      <c r="I617" s="128" t="s">
        <v>836</v>
      </c>
      <c r="J617" s="128" t="s">
        <v>837</v>
      </c>
      <c r="K617" s="128" t="s">
        <v>834</v>
      </c>
      <c r="L617" s="128" t="s">
        <v>835</v>
      </c>
      <c r="M617" s="128" t="s">
        <v>836</v>
      </c>
      <c r="N617" s="128" t="s">
        <v>837</v>
      </c>
      <c r="AB617" s="580">
        <f>HLOOKUP("*"&amp;'Output annual'!$AC$2&amp;'Output annual'!$AD$2&amp;"*Zone People Number Of Occupants [](Hourly)",'Eplus results'!$1:$1048576,ROW(),FALSE)</f>
        <v>0</v>
      </c>
      <c r="AC617" s="580">
        <f>HLOOKUP("*"&amp;'Output annual'!$AC$2&amp;'Output annual'!$AD$2&amp;"*FangerPMV(Hourly)",'Eplus results'!$1:$1048576,ROW(),FALSE)</f>
        <v>0</v>
      </c>
      <c r="AD617" s="580">
        <f t="shared" si="81"/>
        <v>5</v>
      </c>
      <c r="AE617" s="580">
        <f t="shared" si="82"/>
        <v>2.5</v>
      </c>
      <c r="AF617" s="580">
        <f t="shared" si="83"/>
        <v>2.5</v>
      </c>
      <c r="AG617" s="580">
        <f t="shared" si="84"/>
        <v>0</v>
      </c>
      <c r="AH617" s="580">
        <f t="shared" si="85"/>
        <v>0</v>
      </c>
    </row>
    <row r="618" spans="2:42">
      <c r="B618" s="132">
        <v>0</v>
      </c>
      <c r="C618" s="132">
        <v>0</v>
      </c>
      <c r="D618" s="132">
        <v>0.17</v>
      </c>
      <c r="E618" s="132">
        <v>0.3</v>
      </c>
      <c r="F618" s="132">
        <v>0</v>
      </c>
      <c r="G618" s="132">
        <v>0</v>
      </c>
      <c r="H618" s="133">
        <v>0.2</v>
      </c>
      <c r="I618" s="132">
        <v>0.1</v>
      </c>
      <c r="J618" s="133">
        <v>0</v>
      </c>
      <c r="K618" s="134">
        <f>IF(Input!$D$15="LBL",C618,G618)</f>
        <v>0</v>
      </c>
      <c r="L618" s="134">
        <f>IF(Input!$D$15="LBL",D618,H618)</f>
        <v>0.2</v>
      </c>
      <c r="M618" s="134">
        <f>IF(Input!$D$15="LBL",E618,I618)</f>
        <v>0.1</v>
      </c>
      <c r="N618" s="134">
        <f>IF(Input!$D$15="LBL",F618,J618)</f>
        <v>0</v>
      </c>
      <c r="AB618" s="580">
        <f>HLOOKUP("*"&amp;'Output annual'!$AC$2&amp;'Output annual'!$AD$2&amp;"*Zone People Number Of Occupants [](Hourly)",'Eplus results'!$1:$1048576,ROW(),FALSE)</f>
        <v>0</v>
      </c>
      <c r="AC618" s="580">
        <f>HLOOKUP("*"&amp;'Output annual'!$AC$2&amp;'Output annual'!$AD$2&amp;"*FangerPMV(Hourly)",'Eplus results'!$1:$1048576,ROW(),FALSE)</f>
        <v>0</v>
      </c>
      <c r="AD618" s="580">
        <f t="shared" si="81"/>
        <v>5</v>
      </c>
      <c r="AE618" s="580">
        <f t="shared" si="82"/>
        <v>2.5</v>
      </c>
      <c r="AF618" s="580">
        <f t="shared" si="83"/>
        <v>2.5</v>
      </c>
      <c r="AG618" s="580">
        <f t="shared" si="84"/>
        <v>0</v>
      </c>
      <c r="AH618" s="580">
        <f t="shared" si="85"/>
        <v>0</v>
      </c>
    </row>
    <row r="619" spans="2:42">
      <c r="B619" s="132">
        <v>1</v>
      </c>
      <c r="C619" s="132">
        <v>0</v>
      </c>
      <c r="D619" s="132">
        <v>0.17</v>
      </c>
      <c r="E619" s="132">
        <v>0.3</v>
      </c>
      <c r="F619" s="132">
        <v>0</v>
      </c>
      <c r="G619" s="132">
        <v>0</v>
      </c>
      <c r="H619" s="133">
        <v>0.2</v>
      </c>
      <c r="I619" s="132">
        <v>0.1</v>
      </c>
      <c r="J619" s="133">
        <v>0</v>
      </c>
      <c r="K619" s="134">
        <f>IF(Input!$D$15="LBL",C619,G619)</f>
        <v>0</v>
      </c>
      <c r="L619" s="134">
        <f>IF(Input!$D$15="LBL",D619,H619)</f>
        <v>0.2</v>
      </c>
      <c r="M619" s="134">
        <f>IF(Input!$D$15="LBL",E619,I619)</f>
        <v>0.1</v>
      </c>
      <c r="N619" s="134">
        <f>IF(Input!$D$15="LBL",F619,J619)</f>
        <v>0</v>
      </c>
      <c r="AB619" s="580">
        <f>HLOOKUP("*"&amp;'Output annual'!$AC$2&amp;'Output annual'!$AD$2&amp;"*Zone People Number Of Occupants [](Hourly)",'Eplus results'!$1:$1048576,ROW(),FALSE)</f>
        <v>0</v>
      </c>
      <c r="AC619" s="580">
        <f>HLOOKUP("*"&amp;'Output annual'!$AC$2&amp;'Output annual'!$AD$2&amp;"*FangerPMV(Hourly)",'Eplus results'!$1:$1048576,ROW(),FALSE)</f>
        <v>0</v>
      </c>
      <c r="AD619" s="580">
        <f t="shared" si="81"/>
        <v>5</v>
      </c>
      <c r="AE619" s="580">
        <f t="shared" si="82"/>
        <v>2.5</v>
      </c>
      <c r="AF619" s="580">
        <f t="shared" si="83"/>
        <v>2.5</v>
      </c>
      <c r="AG619" s="580">
        <f t="shared" si="84"/>
        <v>0</v>
      </c>
      <c r="AH619" s="580">
        <f t="shared" si="85"/>
        <v>0</v>
      </c>
    </row>
    <row r="620" spans="2:42">
      <c r="B620" s="132">
        <v>2</v>
      </c>
      <c r="C620" s="132">
        <v>0</v>
      </c>
      <c r="D620" s="132">
        <v>0.17</v>
      </c>
      <c r="E620" s="132">
        <v>0.3</v>
      </c>
      <c r="F620" s="132">
        <v>0</v>
      </c>
      <c r="G620" s="132">
        <v>0</v>
      </c>
      <c r="H620" s="133">
        <v>0.2</v>
      </c>
      <c r="I620" s="132">
        <v>0.1</v>
      </c>
      <c r="J620" s="133">
        <v>0</v>
      </c>
      <c r="K620" s="134">
        <f>IF(Input!$D$15="LBL",C620,G620)</f>
        <v>0</v>
      </c>
      <c r="L620" s="134">
        <f>IF(Input!$D$15="LBL",D620,H620)</f>
        <v>0.2</v>
      </c>
      <c r="M620" s="134">
        <f>IF(Input!$D$15="LBL",E620,I620)</f>
        <v>0.1</v>
      </c>
      <c r="N620" s="134">
        <f>IF(Input!$D$15="LBL",F620,J620)</f>
        <v>0</v>
      </c>
      <c r="AB620" s="580">
        <f>HLOOKUP("*"&amp;'Output annual'!$AC$2&amp;'Output annual'!$AD$2&amp;"*Zone People Number Of Occupants [](Hourly)",'Eplus results'!$1:$1048576,ROW(),FALSE)</f>
        <v>0</v>
      </c>
      <c r="AC620" s="580">
        <f>HLOOKUP("*"&amp;'Output annual'!$AC$2&amp;'Output annual'!$AD$2&amp;"*FangerPMV(Hourly)",'Eplus results'!$1:$1048576,ROW(),FALSE)</f>
        <v>0</v>
      </c>
      <c r="AD620" s="580">
        <f t="shared" si="81"/>
        <v>5</v>
      </c>
      <c r="AE620" s="580">
        <f t="shared" si="82"/>
        <v>2.5</v>
      </c>
      <c r="AF620" s="580">
        <f t="shared" si="83"/>
        <v>2.5</v>
      </c>
      <c r="AG620" s="580">
        <f t="shared" si="84"/>
        <v>0</v>
      </c>
      <c r="AH620" s="580">
        <f t="shared" si="85"/>
        <v>0</v>
      </c>
    </row>
    <row r="621" spans="2:42">
      <c r="B621" s="132">
        <v>3</v>
      </c>
      <c r="C621" s="132">
        <v>0</v>
      </c>
      <c r="D621" s="132">
        <v>0.17</v>
      </c>
      <c r="E621" s="132">
        <v>0.3</v>
      </c>
      <c r="F621" s="132">
        <v>0</v>
      </c>
      <c r="G621" s="132">
        <v>0</v>
      </c>
      <c r="H621" s="133">
        <v>0.2</v>
      </c>
      <c r="I621" s="132">
        <v>0.1</v>
      </c>
      <c r="J621" s="133">
        <v>0</v>
      </c>
      <c r="K621" s="134">
        <f>IF(Input!$D$15="LBL",C621,G621)</f>
        <v>0</v>
      </c>
      <c r="L621" s="134">
        <f>IF(Input!$D$15="LBL",D621,H621)</f>
        <v>0.2</v>
      </c>
      <c r="M621" s="134">
        <f>IF(Input!$D$15="LBL",E621,I621)</f>
        <v>0.1</v>
      </c>
      <c r="N621" s="134">
        <f>IF(Input!$D$15="LBL",F621,J621)</f>
        <v>0</v>
      </c>
      <c r="AB621" s="580">
        <f>HLOOKUP("*"&amp;'Output annual'!$AC$2&amp;'Output annual'!$AD$2&amp;"*Zone People Number Of Occupants [](Hourly)",'Eplus results'!$1:$1048576,ROW(),FALSE)</f>
        <v>0</v>
      </c>
      <c r="AC621" s="580">
        <f>HLOOKUP("*"&amp;'Output annual'!$AC$2&amp;'Output annual'!$AD$2&amp;"*FangerPMV(Hourly)",'Eplus results'!$1:$1048576,ROW(),FALSE)</f>
        <v>0</v>
      </c>
      <c r="AD621" s="580">
        <f t="shared" si="81"/>
        <v>5</v>
      </c>
      <c r="AE621" s="580">
        <f t="shared" si="82"/>
        <v>2.5</v>
      </c>
      <c r="AF621" s="580">
        <f t="shared" si="83"/>
        <v>2.5</v>
      </c>
      <c r="AG621" s="580">
        <f t="shared" si="84"/>
        <v>0</v>
      </c>
      <c r="AH621" s="580">
        <f t="shared" si="85"/>
        <v>0</v>
      </c>
    </row>
    <row r="622" spans="2:42">
      <c r="B622" s="132">
        <v>4</v>
      </c>
      <c r="C622" s="132">
        <v>0</v>
      </c>
      <c r="D622" s="132">
        <v>0.17</v>
      </c>
      <c r="E622" s="132">
        <v>0.3</v>
      </c>
      <c r="F622" s="132">
        <v>0</v>
      </c>
      <c r="G622" s="132">
        <v>0</v>
      </c>
      <c r="H622" s="133">
        <v>0.2</v>
      </c>
      <c r="I622" s="132">
        <v>0.1</v>
      </c>
      <c r="J622" s="133">
        <v>0</v>
      </c>
      <c r="K622" s="134">
        <f>IF(Input!$D$15="LBL",C622,G622)</f>
        <v>0</v>
      </c>
      <c r="L622" s="134">
        <f>IF(Input!$D$15="LBL",D622,H622)</f>
        <v>0.2</v>
      </c>
      <c r="M622" s="134">
        <f>IF(Input!$D$15="LBL",E622,I622)</f>
        <v>0.1</v>
      </c>
      <c r="N622" s="134">
        <f>IF(Input!$D$15="LBL",F622,J622)</f>
        <v>0</v>
      </c>
      <c r="AB622" s="580">
        <f>HLOOKUP("*"&amp;'Output annual'!$AC$2&amp;'Output annual'!$AD$2&amp;"*Zone People Number Of Occupants [](Hourly)",'Eplus results'!$1:$1048576,ROW(),FALSE)</f>
        <v>0</v>
      </c>
      <c r="AC622" s="580">
        <f>HLOOKUP("*"&amp;'Output annual'!$AC$2&amp;'Output annual'!$AD$2&amp;"*FangerPMV(Hourly)",'Eplus results'!$1:$1048576,ROW(),FALSE)</f>
        <v>0</v>
      </c>
      <c r="AD622" s="580">
        <f t="shared" si="81"/>
        <v>5</v>
      </c>
      <c r="AE622" s="580">
        <f t="shared" si="82"/>
        <v>2.5</v>
      </c>
      <c r="AF622" s="580">
        <f t="shared" si="83"/>
        <v>2.5</v>
      </c>
      <c r="AG622" s="580">
        <f t="shared" si="84"/>
        <v>0</v>
      </c>
      <c r="AH622" s="580">
        <f t="shared" si="85"/>
        <v>0</v>
      </c>
    </row>
    <row r="623" spans="2:42">
      <c r="B623" s="132">
        <v>5</v>
      </c>
      <c r="C623" s="132">
        <v>0</v>
      </c>
      <c r="D623" s="132">
        <v>0.17</v>
      </c>
      <c r="E623" s="132">
        <v>0.3</v>
      </c>
      <c r="F623" s="133">
        <v>1</v>
      </c>
      <c r="G623" s="132">
        <v>0</v>
      </c>
      <c r="H623" s="133">
        <v>0.2</v>
      </c>
      <c r="I623" s="132">
        <v>0.1</v>
      </c>
      <c r="J623" s="133">
        <v>0</v>
      </c>
      <c r="K623" s="134">
        <f>IF(Input!$D$15="LBL",C623,G623)</f>
        <v>0</v>
      </c>
      <c r="L623" s="134">
        <f>IF(Input!$D$15="LBL",D623,H623)</f>
        <v>0.2</v>
      </c>
      <c r="M623" s="134">
        <f>IF(Input!$D$15="LBL",E623,I623)</f>
        <v>0.1</v>
      </c>
      <c r="N623" s="134">
        <f>IF(Input!$D$15="LBL",F623,J623)</f>
        <v>0</v>
      </c>
      <c r="AB623" s="580">
        <f>HLOOKUP("*"&amp;'Output annual'!$AC$2&amp;'Output annual'!$AD$2&amp;"*Zone People Number Of Occupants [](Hourly)",'Eplus results'!$1:$1048576,ROW(),FALSE)</f>
        <v>0</v>
      </c>
      <c r="AC623" s="580">
        <f>HLOOKUP("*"&amp;'Output annual'!$AC$2&amp;'Output annual'!$AD$2&amp;"*FangerPMV(Hourly)",'Eplus results'!$1:$1048576,ROW(),FALSE)</f>
        <v>0</v>
      </c>
      <c r="AD623" s="580">
        <f t="shared" si="81"/>
        <v>5</v>
      </c>
      <c r="AE623" s="580">
        <f t="shared" si="82"/>
        <v>2.5</v>
      </c>
      <c r="AF623" s="580">
        <f t="shared" si="83"/>
        <v>2.5</v>
      </c>
      <c r="AG623" s="580">
        <f t="shared" si="84"/>
        <v>0</v>
      </c>
      <c r="AH623" s="580">
        <f t="shared" si="85"/>
        <v>0</v>
      </c>
    </row>
    <row r="624" spans="2:42">
      <c r="B624" s="132">
        <v>6</v>
      </c>
      <c r="C624" s="132">
        <v>0</v>
      </c>
      <c r="D624" s="132">
        <v>0.17</v>
      </c>
      <c r="E624" s="132">
        <v>0.3</v>
      </c>
      <c r="F624" s="133">
        <v>1</v>
      </c>
      <c r="G624" s="132">
        <v>0.1</v>
      </c>
      <c r="H624" s="133">
        <v>0.2</v>
      </c>
      <c r="I624" s="133">
        <v>0.5</v>
      </c>
      <c r="J624" s="133">
        <v>1</v>
      </c>
      <c r="K624" s="134">
        <f>IF(Input!$D$15="LBL",C624,G624)</f>
        <v>0.1</v>
      </c>
      <c r="L624" s="134">
        <f>IF(Input!$D$15="LBL",D624,H624)</f>
        <v>0.2</v>
      </c>
      <c r="M624" s="134">
        <f>IF(Input!$D$15="LBL",E624,I624)</f>
        <v>0.5</v>
      </c>
      <c r="N624" s="134">
        <f>IF(Input!$D$15="LBL",F624,J624)</f>
        <v>1</v>
      </c>
      <c r="AB624" s="580">
        <f>HLOOKUP("*"&amp;'Output annual'!$AC$2&amp;'Output annual'!$AD$2&amp;"*Zone People Number Of Occupants [](Hourly)",'Eplus results'!$1:$1048576,ROW(),FALSE)</f>
        <v>0</v>
      </c>
      <c r="AC624" s="580">
        <f>HLOOKUP("*"&amp;'Output annual'!$AC$2&amp;'Output annual'!$AD$2&amp;"*FangerPMV(Hourly)",'Eplus results'!$1:$1048576,ROW(),FALSE)</f>
        <v>0</v>
      </c>
      <c r="AD624" s="580">
        <f t="shared" si="81"/>
        <v>5</v>
      </c>
      <c r="AE624" s="580">
        <f t="shared" si="82"/>
        <v>2.5</v>
      </c>
      <c r="AF624" s="580">
        <f t="shared" si="83"/>
        <v>2.5</v>
      </c>
      <c r="AG624" s="580">
        <f t="shared" si="84"/>
        <v>0</v>
      </c>
      <c r="AH624" s="580">
        <f t="shared" si="85"/>
        <v>0</v>
      </c>
    </row>
    <row r="625" spans="2:34">
      <c r="B625" s="132">
        <v>7</v>
      </c>
      <c r="C625" s="132">
        <v>0.33</v>
      </c>
      <c r="D625" s="132">
        <v>1</v>
      </c>
      <c r="E625" s="132">
        <v>0.9</v>
      </c>
      <c r="F625" s="133">
        <v>1</v>
      </c>
      <c r="G625" s="132">
        <v>0.2</v>
      </c>
      <c r="H625" s="133">
        <v>0.8</v>
      </c>
      <c r="I625" s="133">
        <v>0.9</v>
      </c>
      <c r="J625" s="133">
        <v>1</v>
      </c>
      <c r="K625" s="134">
        <f>IF(Input!$D$15="LBL",C625,G625)</f>
        <v>0.2</v>
      </c>
      <c r="L625" s="134">
        <f>IF(Input!$D$15="LBL",D625,H625)</f>
        <v>0.8</v>
      </c>
      <c r="M625" s="134">
        <f>IF(Input!$D$15="LBL",E625,I625)</f>
        <v>0.9</v>
      </c>
      <c r="N625" s="134">
        <f>IF(Input!$D$15="LBL",F625,J625)</f>
        <v>1</v>
      </c>
      <c r="AB625" s="580">
        <f>HLOOKUP("*"&amp;'Output annual'!$AC$2&amp;'Output annual'!$AD$2&amp;"*Zone People Number Of Occupants [](Hourly)",'Eplus results'!$1:$1048576,ROW(),FALSE)</f>
        <v>0</v>
      </c>
      <c r="AC625" s="580">
        <f>HLOOKUP("*"&amp;'Output annual'!$AC$2&amp;'Output annual'!$AD$2&amp;"*FangerPMV(Hourly)",'Eplus results'!$1:$1048576,ROW(),FALSE)</f>
        <v>0</v>
      </c>
      <c r="AD625" s="580">
        <f t="shared" si="81"/>
        <v>5</v>
      </c>
      <c r="AE625" s="580">
        <f t="shared" si="82"/>
        <v>2.5</v>
      </c>
      <c r="AF625" s="580">
        <f t="shared" si="83"/>
        <v>2.5</v>
      </c>
      <c r="AG625" s="580">
        <f t="shared" si="84"/>
        <v>0</v>
      </c>
      <c r="AH625" s="580">
        <f t="shared" si="85"/>
        <v>0</v>
      </c>
    </row>
    <row r="626" spans="2:34">
      <c r="B626" s="132">
        <v>8</v>
      </c>
      <c r="C626" s="132">
        <v>0.67</v>
      </c>
      <c r="D626" s="132">
        <v>1</v>
      </c>
      <c r="E626" s="132">
        <v>0.9</v>
      </c>
      <c r="F626" s="133">
        <v>1</v>
      </c>
      <c r="G626" s="132">
        <v>0.95</v>
      </c>
      <c r="H626" s="133">
        <v>0.8</v>
      </c>
      <c r="I626" s="133">
        <v>0.9</v>
      </c>
      <c r="J626" s="133">
        <v>1</v>
      </c>
      <c r="K626" s="134">
        <f>IF(Input!$D$15="LBL",C626,G626)</f>
        <v>0.95</v>
      </c>
      <c r="L626" s="134">
        <f>IF(Input!$D$15="LBL",D626,H626)</f>
        <v>0.8</v>
      </c>
      <c r="M626" s="134">
        <f>IF(Input!$D$15="LBL",E626,I626)</f>
        <v>0.9</v>
      </c>
      <c r="N626" s="134">
        <f>IF(Input!$D$15="LBL",F626,J626)</f>
        <v>1</v>
      </c>
      <c r="AB626" s="580">
        <f>HLOOKUP("*"&amp;'Output annual'!$AC$2&amp;'Output annual'!$AD$2&amp;"*Zone People Number Of Occupants [](Hourly)",'Eplus results'!$1:$1048576,ROW(),FALSE)</f>
        <v>0</v>
      </c>
      <c r="AC626" s="580">
        <f>HLOOKUP("*"&amp;'Output annual'!$AC$2&amp;'Output annual'!$AD$2&amp;"*FangerPMV(Hourly)",'Eplus results'!$1:$1048576,ROW(),FALSE)</f>
        <v>0</v>
      </c>
      <c r="AD626" s="580">
        <f t="shared" si="81"/>
        <v>5</v>
      </c>
      <c r="AE626" s="580">
        <f t="shared" si="82"/>
        <v>2.5</v>
      </c>
      <c r="AF626" s="580">
        <f t="shared" si="83"/>
        <v>2.5</v>
      </c>
      <c r="AG626" s="580">
        <f t="shared" si="84"/>
        <v>0</v>
      </c>
      <c r="AH626" s="580">
        <f t="shared" si="85"/>
        <v>0</v>
      </c>
    </row>
    <row r="627" spans="2:34">
      <c r="B627" s="132">
        <v>9</v>
      </c>
      <c r="C627" s="132">
        <v>1</v>
      </c>
      <c r="D627" s="132">
        <v>1</v>
      </c>
      <c r="E627" s="132">
        <v>0.9</v>
      </c>
      <c r="F627" s="133">
        <v>1</v>
      </c>
      <c r="G627" s="132">
        <v>0.95</v>
      </c>
      <c r="H627" s="133">
        <v>0.8</v>
      </c>
      <c r="I627" s="133">
        <v>0.9</v>
      </c>
      <c r="J627" s="133">
        <v>1</v>
      </c>
      <c r="K627" s="134">
        <f>IF(Input!$D$15="LBL",C627,G627)</f>
        <v>0.95</v>
      </c>
      <c r="L627" s="134">
        <f>IF(Input!$D$15="LBL",D627,H627)</f>
        <v>0.8</v>
      </c>
      <c r="M627" s="134">
        <f>IF(Input!$D$15="LBL",E627,I627)</f>
        <v>0.9</v>
      </c>
      <c r="N627" s="134">
        <f>IF(Input!$D$15="LBL",F627,J627)</f>
        <v>1</v>
      </c>
      <c r="AB627" s="580">
        <f>HLOOKUP("*"&amp;'Output annual'!$AC$2&amp;'Output annual'!$AD$2&amp;"*Zone People Number Of Occupants [](Hourly)",'Eplus results'!$1:$1048576,ROW(),FALSE)</f>
        <v>0</v>
      </c>
      <c r="AC627" s="580">
        <f>HLOOKUP("*"&amp;'Output annual'!$AC$2&amp;'Output annual'!$AD$2&amp;"*FangerPMV(Hourly)",'Eplus results'!$1:$1048576,ROW(),FALSE)</f>
        <v>0</v>
      </c>
      <c r="AD627" s="580">
        <f t="shared" si="81"/>
        <v>5</v>
      </c>
      <c r="AE627" s="580">
        <f t="shared" si="82"/>
        <v>2.5</v>
      </c>
      <c r="AF627" s="580">
        <f t="shared" si="83"/>
        <v>2.5</v>
      </c>
      <c r="AG627" s="580">
        <f t="shared" si="84"/>
        <v>0</v>
      </c>
      <c r="AH627" s="580">
        <f t="shared" si="85"/>
        <v>0</v>
      </c>
    </row>
    <row r="628" spans="2:34">
      <c r="B628" s="132">
        <v>10</v>
      </c>
      <c r="C628" s="132">
        <v>1</v>
      </c>
      <c r="D628" s="132">
        <v>1</v>
      </c>
      <c r="E628" s="132">
        <v>0.9</v>
      </c>
      <c r="F628" s="133">
        <v>1</v>
      </c>
      <c r="G628" s="132">
        <v>0.95</v>
      </c>
      <c r="H628" s="133">
        <v>0.8</v>
      </c>
      <c r="I628" s="133">
        <v>0.9</v>
      </c>
      <c r="J628" s="133">
        <v>1</v>
      </c>
      <c r="K628" s="134">
        <f>IF(Input!$D$15="LBL",C628,G628)</f>
        <v>0.95</v>
      </c>
      <c r="L628" s="134">
        <f>IF(Input!$D$15="LBL",D628,H628)</f>
        <v>0.8</v>
      </c>
      <c r="M628" s="134">
        <f>IF(Input!$D$15="LBL",E628,I628)</f>
        <v>0.9</v>
      </c>
      <c r="N628" s="134">
        <f>IF(Input!$D$15="LBL",F628,J628)</f>
        <v>1</v>
      </c>
      <c r="AB628" s="580">
        <f>HLOOKUP("*"&amp;'Output annual'!$AC$2&amp;'Output annual'!$AD$2&amp;"*Zone People Number Of Occupants [](Hourly)",'Eplus results'!$1:$1048576,ROW(),FALSE)</f>
        <v>0</v>
      </c>
      <c r="AC628" s="580">
        <f>HLOOKUP("*"&amp;'Output annual'!$AC$2&amp;'Output annual'!$AD$2&amp;"*FangerPMV(Hourly)",'Eplus results'!$1:$1048576,ROW(),FALSE)</f>
        <v>0</v>
      </c>
      <c r="AD628" s="580">
        <f t="shared" si="81"/>
        <v>5</v>
      </c>
      <c r="AE628" s="580">
        <f t="shared" si="82"/>
        <v>2.5</v>
      </c>
      <c r="AF628" s="580">
        <f t="shared" si="83"/>
        <v>2.5</v>
      </c>
      <c r="AG628" s="580">
        <f t="shared" si="84"/>
        <v>0</v>
      </c>
      <c r="AH628" s="580">
        <f t="shared" si="85"/>
        <v>0</v>
      </c>
    </row>
    <row r="629" spans="2:34">
      <c r="B629" s="132">
        <v>11</v>
      </c>
      <c r="C629" s="132">
        <v>1</v>
      </c>
      <c r="D629" s="132">
        <v>1</v>
      </c>
      <c r="E629" s="132">
        <v>0.9</v>
      </c>
      <c r="F629" s="133">
        <v>1</v>
      </c>
      <c r="G629" s="132">
        <v>0.95</v>
      </c>
      <c r="H629" s="133">
        <v>0.8</v>
      </c>
      <c r="I629" s="133">
        <v>0.9</v>
      </c>
      <c r="J629" s="133">
        <v>1</v>
      </c>
      <c r="K629" s="134">
        <f>IF(Input!$D$15="LBL",C629,G629)</f>
        <v>0.95</v>
      </c>
      <c r="L629" s="134">
        <f>IF(Input!$D$15="LBL",D629,H629)</f>
        <v>0.8</v>
      </c>
      <c r="M629" s="134">
        <f>IF(Input!$D$15="LBL",E629,I629)</f>
        <v>0.9</v>
      </c>
      <c r="N629" s="134">
        <f>IF(Input!$D$15="LBL",F629,J629)</f>
        <v>1</v>
      </c>
      <c r="AB629" s="580">
        <f>HLOOKUP("*"&amp;'Output annual'!$AC$2&amp;'Output annual'!$AD$2&amp;"*Zone People Number Of Occupants [](Hourly)",'Eplus results'!$1:$1048576,ROW(),FALSE)</f>
        <v>0</v>
      </c>
      <c r="AC629" s="580">
        <f>HLOOKUP("*"&amp;'Output annual'!$AC$2&amp;'Output annual'!$AD$2&amp;"*FangerPMV(Hourly)",'Eplus results'!$1:$1048576,ROW(),FALSE)</f>
        <v>0</v>
      </c>
      <c r="AD629" s="580">
        <f t="shared" si="81"/>
        <v>5</v>
      </c>
      <c r="AE629" s="580">
        <f t="shared" si="82"/>
        <v>2.5</v>
      </c>
      <c r="AF629" s="580">
        <f t="shared" si="83"/>
        <v>2.5</v>
      </c>
      <c r="AG629" s="580">
        <f t="shared" si="84"/>
        <v>0</v>
      </c>
      <c r="AH629" s="580">
        <f t="shared" si="85"/>
        <v>0</v>
      </c>
    </row>
    <row r="630" spans="2:34">
      <c r="B630" s="132">
        <v>12</v>
      </c>
      <c r="C630" s="132">
        <v>1</v>
      </c>
      <c r="D630" s="132">
        <v>1</v>
      </c>
      <c r="E630" s="132">
        <v>0.9</v>
      </c>
      <c r="F630" s="133">
        <v>1</v>
      </c>
      <c r="G630" s="132">
        <v>0.5</v>
      </c>
      <c r="H630" s="133">
        <v>0.8</v>
      </c>
      <c r="I630" s="133">
        <v>0.9</v>
      </c>
      <c r="J630" s="133">
        <v>1</v>
      </c>
      <c r="K630" s="134">
        <f>IF(Input!$D$15="LBL",C630,G630)</f>
        <v>0.5</v>
      </c>
      <c r="L630" s="134">
        <f>IF(Input!$D$15="LBL",D630,H630)</f>
        <v>0.8</v>
      </c>
      <c r="M630" s="134">
        <f>IF(Input!$D$15="LBL",E630,I630)</f>
        <v>0.9</v>
      </c>
      <c r="N630" s="134">
        <f>IF(Input!$D$15="LBL",F630,J630)</f>
        <v>1</v>
      </c>
      <c r="AB630" s="580">
        <f>HLOOKUP("*"&amp;'Output annual'!$AC$2&amp;'Output annual'!$AD$2&amp;"*Zone People Number Of Occupants [](Hourly)",'Eplus results'!$1:$1048576,ROW(),FALSE)</f>
        <v>0</v>
      </c>
      <c r="AC630" s="580">
        <f>HLOOKUP("*"&amp;'Output annual'!$AC$2&amp;'Output annual'!$AD$2&amp;"*FangerPMV(Hourly)",'Eplus results'!$1:$1048576,ROW(),FALSE)</f>
        <v>0</v>
      </c>
      <c r="AD630" s="580">
        <f t="shared" si="81"/>
        <v>5</v>
      </c>
      <c r="AE630" s="580">
        <f t="shared" si="82"/>
        <v>2.5</v>
      </c>
      <c r="AF630" s="580">
        <f t="shared" si="83"/>
        <v>2.5</v>
      </c>
      <c r="AG630" s="580">
        <f t="shared" si="84"/>
        <v>0</v>
      </c>
      <c r="AH630" s="580">
        <f t="shared" si="85"/>
        <v>0</v>
      </c>
    </row>
    <row r="631" spans="2:34">
      <c r="B631" s="132">
        <v>13</v>
      </c>
      <c r="C631" s="132">
        <v>1</v>
      </c>
      <c r="D631" s="132">
        <v>1</v>
      </c>
      <c r="E631" s="132">
        <v>0.9</v>
      </c>
      <c r="F631" s="133">
        <v>1</v>
      </c>
      <c r="G631" s="132">
        <v>0.95</v>
      </c>
      <c r="H631" s="133">
        <v>0.8</v>
      </c>
      <c r="I631" s="133">
        <v>0.9</v>
      </c>
      <c r="J631" s="133">
        <v>1</v>
      </c>
      <c r="K631" s="134">
        <f>IF(Input!$D$15="LBL",C631,G631)</f>
        <v>0.95</v>
      </c>
      <c r="L631" s="134">
        <f>IF(Input!$D$15="LBL",D631,H631)</f>
        <v>0.8</v>
      </c>
      <c r="M631" s="134">
        <f>IF(Input!$D$15="LBL",E631,I631)</f>
        <v>0.9</v>
      </c>
      <c r="N631" s="134">
        <f>IF(Input!$D$15="LBL",F631,J631)</f>
        <v>1</v>
      </c>
      <c r="AB631" s="580">
        <f>HLOOKUP("*"&amp;'Output annual'!$AC$2&amp;'Output annual'!$AD$2&amp;"*Zone People Number Of Occupants [](Hourly)",'Eplus results'!$1:$1048576,ROW(),FALSE)</f>
        <v>0</v>
      </c>
      <c r="AC631" s="580">
        <f>HLOOKUP("*"&amp;'Output annual'!$AC$2&amp;'Output annual'!$AD$2&amp;"*FangerPMV(Hourly)",'Eplus results'!$1:$1048576,ROW(),FALSE)</f>
        <v>0</v>
      </c>
      <c r="AD631" s="580">
        <f t="shared" si="81"/>
        <v>5</v>
      </c>
      <c r="AE631" s="580">
        <f t="shared" si="82"/>
        <v>2.5</v>
      </c>
      <c r="AF631" s="580">
        <f t="shared" si="83"/>
        <v>2.5</v>
      </c>
      <c r="AG631" s="580">
        <f t="shared" si="84"/>
        <v>0</v>
      </c>
      <c r="AH631" s="580">
        <f t="shared" si="85"/>
        <v>0</v>
      </c>
    </row>
    <row r="632" spans="2:34">
      <c r="B632" s="132">
        <v>14</v>
      </c>
      <c r="C632" s="132">
        <v>1</v>
      </c>
      <c r="D632" s="132">
        <v>1</v>
      </c>
      <c r="E632" s="132">
        <v>0.9</v>
      </c>
      <c r="F632" s="133">
        <v>1</v>
      </c>
      <c r="G632" s="132">
        <v>0.95</v>
      </c>
      <c r="H632" s="133">
        <v>0.8</v>
      </c>
      <c r="I632" s="133">
        <v>0.9</v>
      </c>
      <c r="J632" s="133">
        <v>1</v>
      </c>
      <c r="K632" s="134">
        <f>IF(Input!$D$15="LBL",C632,G632)</f>
        <v>0.95</v>
      </c>
      <c r="L632" s="134">
        <f>IF(Input!$D$15="LBL",D632,H632)</f>
        <v>0.8</v>
      </c>
      <c r="M632" s="134">
        <f>IF(Input!$D$15="LBL",E632,I632)</f>
        <v>0.9</v>
      </c>
      <c r="N632" s="134">
        <f>IF(Input!$D$15="LBL",F632,J632)</f>
        <v>1</v>
      </c>
      <c r="AB632" s="580">
        <f>HLOOKUP("*"&amp;'Output annual'!$AC$2&amp;'Output annual'!$AD$2&amp;"*Zone People Number Of Occupants [](Hourly)",'Eplus results'!$1:$1048576,ROW(),FALSE)</f>
        <v>0</v>
      </c>
      <c r="AC632" s="580">
        <f>HLOOKUP("*"&amp;'Output annual'!$AC$2&amp;'Output annual'!$AD$2&amp;"*FangerPMV(Hourly)",'Eplus results'!$1:$1048576,ROW(),FALSE)</f>
        <v>0</v>
      </c>
      <c r="AD632" s="580">
        <f t="shared" si="81"/>
        <v>5</v>
      </c>
      <c r="AE632" s="580">
        <f t="shared" si="82"/>
        <v>2.5</v>
      </c>
      <c r="AF632" s="580">
        <f t="shared" si="83"/>
        <v>2.5</v>
      </c>
      <c r="AG632" s="580">
        <f t="shared" si="84"/>
        <v>0</v>
      </c>
      <c r="AH632" s="580">
        <f t="shared" si="85"/>
        <v>0</v>
      </c>
    </row>
    <row r="633" spans="2:34">
      <c r="B633" s="132">
        <v>15</v>
      </c>
      <c r="C633" s="132">
        <v>1</v>
      </c>
      <c r="D633" s="132">
        <v>1</v>
      </c>
      <c r="E633" s="132">
        <v>0.9</v>
      </c>
      <c r="F633" s="133">
        <v>1</v>
      </c>
      <c r="G633" s="132">
        <v>0.95</v>
      </c>
      <c r="H633" s="133">
        <v>0.8</v>
      </c>
      <c r="I633" s="133">
        <v>0.9</v>
      </c>
      <c r="J633" s="133">
        <v>1</v>
      </c>
      <c r="K633" s="134">
        <f>IF(Input!$D$15="LBL",C633,G633)</f>
        <v>0.95</v>
      </c>
      <c r="L633" s="134">
        <f>IF(Input!$D$15="LBL",D633,H633)</f>
        <v>0.8</v>
      </c>
      <c r="M633" s="134">
        <f>IF(Input!$D$15="LBL",E633,I633)</f>
        <v>0.9</v>
      </c>
      <c r="N633" s="134">
        <f>IF(Input!$D$15="LBL",F633,J633)</f>
        <v>1</v>
      </c>
      <c r="AB633" s="580">
        <f>HLOOKUP("*"&amp;'Output annual'!$AC$2&amp;'Output annual'!$AD$2&amp;"*Zone People Number Of Occupants [](Hourly)",'Eplus results'!$1:$1048576,ROW(),FALSE)</f>
        <v>0</v>
      </c>
      <c r="AC633" s="580">
        <f>HLOOKUP("*"&amp;'Output annual'!$AC$2&amp;'Output annual'!$AD$2&amp;"*FangerPMV(Hourly)",'Eplus results'!$1:$1048576,ROW(),FALSE)</f>
        <v>0</v>
      </c>
      <c r="AD633" s="580">
        <f t="shared" si="81"/>
        <v>5</v>
      </c>
      <c r="AE633" s="580">
        <f t="shared" si="82"/>
        <v>2.5</v>
      </c>
      <c r="AF633" s="580">
        <f t="shared" si="83"/>
        <v>2.5</v>
      </c>
      <c r="AG633" s="580">
        <f t="shared" si="84"/>
        <v>0</v>
      </c>
      <c r="AH633" s="580">
        <f t="shared" si="85"/>
        <v>0</v>
      </c>
    </row>
    <row r="634" spans="2:34">
      <c r="B634" s="132">
        <v>16</v>
      </c>
      <c r="C634" s="132">
        <v>1</v>
      </c>
      <c r="D634" s="132">
        <v>1</v>
      </c>
      <c r="E634" s="132">
        <v>0.9</v>
      </c>
      <c r="F634" s="133">
        <v>1</v>
      </c>
      <c r="G634" s="132">
        <v>0.95</v>
      </c>
      <c r="H634" s="133">
        <v>0.8</v>
      </c>
      <c r="I634" s="133">
        <v>0.9</v>
      </c>
      <c r="J634" s="133">
        <v>1</v>
      </c>
      <c r="K634" s="134">
        <f>IF(Input!$D$15="LBL",C634,G634)</f>
        <v>0.95</v>
      </c>
      <c r="L634" s="134">
        <f>IF(Input!$D$15="LBL",D634,H634)</f>
        <v>0.8</v>
      </c>
      <c r="M634" s="134">
        <f>IF(Input!$D$15="LBL",E634,I634)</f>
        <v>0.9</v>
      </c>
      <c r="N634" s="134">
        <f>IF(Input!$D$15="LBL",F634,J634)</f>
        <v>1</v>
      </c>
      <c r="AB634" s="580">
        <f>HLOOKUP("*"&amp;'Output annual'!$AC$2&amp;'Output annual'!$AD$2&amp;"*Zone People Number Of Occupants [](Hourly)",'Eplus results'!$1:$1048576,ROW(),FALSE)</f>
        <v>0</v>
      </c>
      <c r="AC634" s="580">
        <f>HLOOKUP("*"&amp;'Output annual'!$AC$2&amp;'Output annual'!$AD$2&amp;"*FangerPMV(Hourly)",'Eplus results'!$1:$1048576,ROW(),FALSE)</f>
        <v>0</v>
      </c>
      <c r="AD634" s="580">
        <f t="shared" si="81"/>
        <v>5</v>
      </c>
      <c r="AE634" s="580">
        <f t="shared" si="82"/>
        <v>2.5</v>
      </c>
      <c r="AF634" s="580">
        <f t="shared" si="83"/>
        <v>2.5</v>
      </c>
      <c r="AG634" s="580">
        <f t="shared" si="84"/>
        <v>0</v>
      </c>
      <c r="AH634" s="580">
        <f t="shared" si="85"/>
        <v>0</v>
      </c>
    </row>
    <row r="635" spans="2:34">
      <c r="B635" s="132">
        <v>17</v>
      </c>
      <c r="C635" s="132">
        <v>0.5</v>
      </c>
      <c r="D635" s="132">
        <v>0.17</v>
      </c>
      <c r="E635" s="135">
        <v>0.3</v>
      </c>
      <c r="F635" s="133">
        <v>1</v>
      </c>
      <c r="G635" s="132">
        <v>0.3</v>
      </c>
      <c r="H635" s="133">
        <v>0.2</v>
      </c>
      <c r="I635" s="133">
        <v>0.5</v>
      </c>
      <c r="J635" s="133">
        <v>1</v>
      </c>
      <c r="K635" s="134">
        <f>IF(Input!$D$15="LBL",C635,G635)</f>
        <v>0.3</v>
      </c>
      <c r="L635" s="134">
        <f>IF(Input!$D$15="LBL",D635,H635)</f>
        <v>0.2</v>
      </c>
      <c r="M635" s="134">
        <f>IF(Input!$D$15="LBL",E635,I635)</f>
        <v>0.5</v>
      </c>
      <c r="N635" s="134">
        <f>IF(Input!$D$15="LBL",F635,J635)</f>
        <v>1</v>
      </c>
      <c r="AB635" s="580">
        <f>HLOOKUP("*"&amp;'Output annual'!$AC$2&amp;'Output annual'!$AD$2&amp;"*Zone People Number Of Occupants [](Hourly)",'Eplus results'!$1:$1048576,ROW(),FALSE)</f>
        <v>0</v>
      </c>
      <c r="AC635" s="580">
        <f>HLOOKUP("*"&amp;'Output annual'!$AC$2&amp;'Output annual'!$AD$2&amp;"*FangerPMV(Hourly)",'Eplus results'!$1:$1048576,ROW(),FALSE)</f>
        <v>0</v>
      </c>
      <c r="AD635" s="580">
        <f t="shared" si="81"/>
        <v>5</v>
      </c>
      <c r="AE635" s="580">
        <f t="shared" si="82"/>
        <v>2.5</v>
      </c>
      <c r="AF635" s="580">
        <f t="shared" si="83"/>
        <v>2.5</v>
      </c>
      <c r="AG635" s="580">
        <f t="shared" si="84"/>
        <v>0</v>
      </c>
      <c r="AH635" s="580">
        <f t="shared" si="85"/>
        <v>0</v>
      </c>
    </row>
    <row r="636" spans="2:34">
      <c r="B636" s="132">
        <v>18</v>
      </c>
      <c r="C636" s="132">
        <v>0</v>
      </c>
      <c r="D636" s="132">
        <v>0.17</v>
      </c>
      <c r="E636" s="135">
        <v>0.3</v>
      </c>
      <c r="F636" s="133">
        <v>1</v>
      </c>
      <c r="G636" s="132">
        <v>0.2</v>
      </c>
      <c r="H636" s="133">
        <v>0.2</v>
      </c>
      <c r="I636" s="133">
        <v>0.5</v>
      </c>
      <c r="J636" s="133">
        <v>1</v>
      </c>
      <c r="K636" s="134">
        <f>IF(Input!$D$15="LBL",C636,G636)</f>
        <v>0.2</v>
      </c>
      <c r="L636" s="134">
        <f>IF(Input!$D$15="LBL",D636,H636)</f>
        <v>0.2</v>
      </c>
      <c r="M636" s="134">
        <f>IF(Input!$D$15="LBL",E636,I636)</f>
        <v>0.5</v>
      </c>
      <c r="N636" s="134">
        <f>IF(Input!$D$15="LBL",F636,J636)</f>
        <v>1</v>
      </c>
      <c r="AB636" s="580">
        <f>HLOOKUP("*"&amp;'Output annual'!$AC$2&amp;'Output annual'!$AD$2&amp;"*Zone People Number Of Occupants [](Hourly)",'Eplus results'!$1:$1048576,ROW(),FALSE)</f>
        <v>0</v>
      </c>
      <c r="AC636" s="580">
        <f>HLOOKUP("*"&amp;'Output annual'!$AC$2&amp;'Output annual'!$AD$2&amp;"*FangerPMV(Hourly)",'Eplus results'!$1:$1048576,ROW(),FALSE)</f>
        <v>0</v>
      </c>
      <c r="AD636" s="580">
        <f t="shared" si="81"/>
        <v>5</v>
      </c>
      <c r="AE636" s="580">
        <f t="shared" si="82"/>
        <v>2.5</v>
      </c>
      <c r="AF636" s="580">
        <f t="shared" si="83"/>
        <v>2.5</v>
      </c>
      <c r="AG636" s="580">
        <f t="shared" si="84"/>
        <v>0</v>
      </c>
      <c r="AH636" s="580">
        <f t="shared" si="85"/>
        <v>0</v>
      </c>
    </row>
    <row r="637" spans="2:34">
      <c r="B637" s="132">
        <v>19</v>
      </c>
      <c r="C637" s="132">
        <v>0</v>
      </c>
      <c r="D637" s="132">
        <v>0.17</v>
      </c>
      <c r="E637" s="135">
        <v>0.3</v>
      </c>
      <c r="F637" s="135">
        <v>0</v>
      </c>
      <c r="G637" s="132">
        <v>0.2</v>
      </c>
      <c r="H637" s="133">
        <v>0.2</v>
      </c>
      <c r="I637" s="133">
        <v>0.5</v>
      </c>
      <c r="J637" s="133">
        <v>1</v>
      </c>
      <c r="K637" s="134">
        <f>IF(Input!$D$15="LBL",C637,G637)</f>
        <v>0.2</v>
      </c>
      <c r="L637" s="134">
        <f>IF(Input!$D$15="LBL",D637,H637)</f>
        <v>0.2</v>
      </c>
      <c r="M637" s="134">
        <f>IF(Input!$D$15="LBL",E637,I637)</f>
        <v>0.5</v>
      </c>
      <c r="N637" s="134">
        <f>IF(Input!$D$15="LBL",F637,J637)</f>
        <v>1</v>
      </c>
      <c r="AB637" s="580">
        <f>HLOOKUP("*"&amp;'Output annual'!$AC$2&amp;'Output annual'!$AD$2&amp;"*Zone People Number Of Occupants [](Hourly)",'Eplus results'!$1:$1048576,ROW(),FALSE)</f>
        <v>0</v>
      </c>
      <c r="AC637" s="580">
        <f>HLOOKUP("*"&amp;'Output annual'!$AC$2&amp;'Output annual'!$AD$2&amp;"*FangerPMV(Hourly)",'Eplus results'!$1:$1048576,ROW(),FALSE)</f>
        <v>0</v>
      </c>
      <c r="AD637" s="580">
        <f t="shared" si="81"/>
        <v>5</v>
      </c>
      <c r="AE637" s="580">
        <f t="shared" si="82"/>
        <v>2.5</v>
      </c>
      <c r="AF637" s="580">
        <f t="shared" si="83"/>
        <v>2.5</v>
      </c>
      <c r="AG637" s="580">
        <f t="shared" si="84"/>
        <v>0</v>
      </c>
      <c r="AH637" s="580">
        <f t="shared" si="85"/>
        <v>0</v>
      </c>
    </row>
    <row r="638" spans="2:34">
      <c r="B638" s="132">
        <v>20</v>
      </c>
      <c r="C638" s="132">
        <v>0</v>
      </c>
      <c r="D638" s="132">
        <v>0.17</v>
      </c>
      <c r="E638" s="135">
        <v>0.3</v>
      </c>
      <c r="F638" s="135">
        <v>0</v>
      </c>
      <c r="G638" s="132">
        <v>0.2</v>
      </c>
      <c r="H638" s="133">
        <v>0.2</v>
      </c>
      <c r="I638" s="133">
        <v>0.5</v>
      </c>
      <c r="J638" s="133">
        <v>1</v>
      </c>
      <c r="K638" s="134">
        <f>IF(Input!$D$15="LBL",C638,G638)</f>
        <v>0.2</v>
      </c>
      <c r="L638" s="134">
        <f>IF(Input!$D$15="LBL",D638,H638)</f>
        <v>0.2</v>
      </c>
      <c r="M638" s="134">
        <f>IF(Input!$D$15="LBL",E638,I638)</f>
        <v>0.5</v>
      </c>
      <c r="N638" s="134">
        <f>IF(Input!$D$15="LBL",F638,J638)</f>
        <v>1</v>
      </c>
      <c r="AB638" s="580">
        <f>HLOOKUP("*"&amp;'Output annual'!$AC$2&amp;'Output annual'!$AD$2&amp;"*Zone People Number Of Occupants [](Hourly)",'Eplus results'!$1:$1048576,ROW(),FALSE)</f>
        <v>0</v>
      </c>
      <c r="AC638" s="580">
        <f>HLOOKUP("*"&amp;'Output annual'!$AC$2&amp;'Output annual'!$AD$2&amp;"*FangerPMV(Hourly)",'Eplus results'!$1:$1048576,ROW(),FALSE)</f>
        <v>0</v>
      </c>
      <c r="AD638" s="580">
        <f t="shared" si="81"/>
        <v>5</v>
      </c>
      <c r="AE638" s="580">
        <f t="shared" si="82"/>
        <v>2.5</v>
      </c>
      <c r="AF638" s="580">
        <f t="shared" si="83"/>
        <v>2.5</v>
      </c>
      <c r="AG638" s="580">
        <f t="shared" si="84"/>
        <v>0</v>
      </c>
      <c r="AH638" s="580">
        <f t="shared" si="85"/>
        <v>0</v>
      </c>
    </row>
    <row r="639" spans="2:34">
      <c r="B639" s="132">
        <v>21</v>
      </c>
      <c r="C639" s="132">
        <v>0</v>
      </c>
      <c r="D639" s="132">
        <v>0.17</v>
      </c>
      <c r="E639" s="135">
        <v>0.3</v>
      </c>
      <c r="F639" s="135">
        <v>0</v>
      </c>
      <c r="G639" s="132">
        <v>0</v>
      </c>
      <c r="H639" s="133">
        <v>0.2</v>
      </c>
      <c r="I639" s="133">
        <v>0.1</v>
      </c>
      <c r="J639" s="133">
        <v>1</v>
      </c>
      <c r="K639" s="134">
        <f>IF(Input!$D$15="LBL",C639,G639)</f>
        <v>0</v>
      </c>
      <c r="L639" s="134">
        <f>IF(Input!$D$15="LBL",D639,H639)</f>
        <v>0.2</v>
      </c>
      <c r="M639" s="134">
        <f>IF(Input!$D$15="LBL",E639,I639)</f>
        <v>0.1</v>
      </c>
      <c r="N639" s="134">
        <f>IF(Input!$D$15="LBL",F639,J639)</f>
        <v>1</v>
      </c>
      <c r="AB639" s="580">
        <f>HLOOKUP("*"&amp;'Output annual'!$AC$2&amp;'Output annual'!$AD$2&amp;"*Zone People Number Of Occupants [](Hourly)",'Eplus results'!$1:$1048576,ROW(),FALSE)</f>
        <v>0</v>
      </c>
      <c r="AC639" s="580">
        <f>HLOOKUP("*"&amp;'Output annual'!$AC$2&amp;'Output annual'!$AD$2&amp;"*FangerPMV(Hourly)",'Eplus results'!$1:$1048576,ROW(),FALSE)</f>
        <v>0</v>
      </c>
      <c r="AD639" s="580">
        <f t="shared" si="81"/>
        <v>5</v>
      </c>
      <c r="AE639" s="580">
        <f t="shared" si="82"/>
        <v>2.5</v>
      </c>
      <c r="AF639" s="580">
        <f t="shared" si="83"/>
        <v>2.5</v>
      </c>
      <c r="AG639" s="580">
        <f t="shared" si="84"/>
        <v>0</v>
      </c>
      <c r="AH639" s="580">
        <f t="shared" si="85"/>
        <v>0</v>
      </c>
    </row>
    <row r="640" spans="2:34">
      <c r="B640" s="132">
        <v>22</v>
      </c>
      <c r="C640" s="132">
        <v>0</v>
      </c>
      <c r="D640" s="132">
        <v>0.17</v>
      </c>
      <c r="E640" s="135">
        <v>0.3</v>
      </c>
      <c r="F640" s="135">
        <v>0</v>
      </c>
      <c r="G640" s="132">
        <v>0</v>
      </c>
      <c r="H640" s="133">
        <v>0.2</v>
      </c>
      <c r="I640" s="133">
        <v>0.1</v>
      </c>
      <c r="J640" s="133">
        <v>0</v>
      </c>
      <c r="K640" s="134">
        <f>IF(Input!$D$15="LBL",C640,G640)</f>
        <v>0</v>
      </c>
      <c r="L640" s="134">
        <f>IF(Input!$D$15="LBL",D640,H640)</f>
        <v>0.2</v>
      </c>
      <c r="M640" s="134">
        <f>IF(Input!$D$15="LBL",E640,I640)</f>
        <v>0.1</v>
      </c>
      <c r="N640" s="134">
        <f>IF(Input!$D$15="LBL",F640,J640)</f>
        <v>0</v>
      </c>
      <c r="AB640" s="580">
        <f>HLOOKUP("*"&amp;'Output annual'!$AC$2&amp;'Output annual'!$AD$2&amp;"*Zone People Number Of Occupants [](Hourly)",'Eplus results'!$1:$1048576,ROW(),FALSE)</f>
        <v>0</v>
      </c>
      <c r="AC640" s="580">
        <f>HLOOKUP("*"&amp;'Output annual'!$AC$2&amp;'Output annual'!$AD$2&amp;"*FangerPMV(Hourly)",'Eplus results'!$1:$1048576,ROW(),FALSE)</f>
        <v>0</v>
      </c>
      <c r="AD640" s="580">
        <f t="shared" si="81"/>
        <v>5</v>
      </c>
      <c r="AE640" s="580">
        <f t="shared" si="82"/>
        <v>2.5</v>
      </c>
      <c r="AF640" s="580">
        <f t="shared" si="83"/>
        <v>2.5</v>
      </c>
      <c r="AG640" s="580">
        <f t="shared" si="84"/>
        <v>0</v>
      </c>
      <c r="AH640" s="580">
        <f t="shared" si="85"/>
        <v>0</v>
      </c>
    </row>
    <row r="641" spans="2:34">
      <c r="B641" s="132">
        <v>23</v>
      </c>
      <c r="C641" s="132">
        <v>0</v>
      </c>
      <c r="D641" s="132">
        <v>0.17</v>
      </c>
      <c r="E641" s="135">
        <v>0.3</v>
      </c>
      <c r="F641" s="135">
        <v>0</v>
      </c>
      <c r="G641" s="132">
        <v>0</v>
      </c>
      <c r="H641" s="133">
        <v>0.2</v>
      </c>
      <c r="I641" s="133">
        <v>0.1</v>
      </c>
      <c r="J641" s="133">
        <v>0</v>
      </c>
      <c r="K641" s="134">
        <f>IF(Input!$D$15="LBL",C641,G641)</f>
        <v>0</v>
      </c>
      <c r="L641" s="134">
        <f>IF(Input!$D$15="LBL",D641,H641)</f>
        <v>0.2</v>
      </c>
      <c r="M641" s="134">
        <f>IF(Input!$D$15="LBL",E641,I641)</f>
        <v>0.1</v>
      </c>
      <c r="N641" s="134">
        <f>IF(Input!$D$15="LBL",F641,J641)</f>
        <v>0</v>
      </c>
      <c r="AB641" s="580">
        <f>HLOOKUP("*"&amp;'Output annual'!$AC$2&amp;'Output annual'!$AD$2&amp;"*Zone People Number Of Occupants [](Hourly)",'Eplus results'!$1:$1048576,ROW(),FALSE)</f>
        <v>0</v>
      </c>
      <c r="AC641" s="580">
        <f>HLOOKUP("*"&amp;'Output annual'!$AC$2&amp;'Output annual'!$AD$2&amp;"*FangerPMV(Hourly)",'Eplus results'!$1:$1048576,ROW(),FALSE)</f>
        <v>0</v>
      </c>
      <c r="AD641" s="580">
        <f t="shared" si="81"/>
        <v>5</v>
      </c>
      <c r="AE641" s="580">
        <f t="shared" si="82"/>
        <v>2.5</v>
      </c>
      <c r="AF641" s="580">
        <f t="shared" si="83"/>
        <v>2.5</v>
      </c>
      <c r="AG641" s="580">
        <f t="shared" si="84"/>
        <v>0</v>
      </c>
      <c r="AH641" s="580">
        <f t="shared" si="85"/>
        <v>0</v>
      </c>
    </row>
    <row r="642" spans="2:34">
      <c r="AB642" s="580">
        <f>HLOOKUP("*"&amp;'Output annual'!$AC$2&amp;'Output annual'!$AD$2&amp;"*Zone People Number Of Occupants [](Hourly)",'Eplus results'!$1:$1048576,ROW(),FALSE)</f>
        <v>0</v>
      </c>
      <c r="AC642" s="580">
        <f>HLOOKUP("*"&amp;'Output annual'!$AC$2&amp;'Output annual'!$AD$2&amp;"*FangerPMV(Hourly)",'Eplus results'!$1:$1048576,ROW(),FALSE)</f>
        <v>0</v>
      </c>
      <c r="AD642" s="580">
        <f t="shared" si="81"/>
        <v>5</v>
      </c>
      <c r="AE642" s="580">
        <f t="shared" si="82"/>
        <v>2.5</v>
      </c>
      <c r="AF642" s="580">
        <f t="shared" si="83"/>
        <v>2.5</v>
      </c>
      <c r="AG642" s="580">
        <f t="shared" si="84"/>
        <v>0</v>
      </c>
      <c r="AH642" s="580">
        <f t="shared" si="85"/>
        <v>0</v>
      </c>
    </row>
    <row r="643" spans="2:34">
      <c r="AB643" s="580">
        <f>HLOOKUP("*"&amp;'Output annual'!$AC$2&amp;'Output annual'!$AD$2&amp;"*Zone People Number Of Occupants [](Hourly)",'Eplus results'!$1:$1048576,ROW(),FALSE)</f>
        <v>0</v>
      </c>
      <c r="AC643" s="580">
        <f>HLOOKUP("*"&amp;'Output annual'!$AC$2&amp;'Output annual'!$AD$2&amp;"*FangerPMV(Hourly)",'Eplus results'!$1:$1048576,ROW(),FALSE)</f>
        <v>0</v>
      </c>
      <c r="AD643" s="580">
        <f t="shared" ref="AD643:AD706" si="86">100-95*EXP(-0.03353*AC643^4-0.2179*AC643^2)</f>
        <v>5</v>
      </c>
      <c r="AE643" s="580">
        <f t="shared" ref="AE643:AE706" si="87">AD643*(1/(1+EXP(-6.3*$AC643)))</f>
        <v>2.5</v>
      </c>
      <c r="AF643" s="580">
        <f t="shared" ref="AF643:AF706" si="88">(AD643-AE643)</f>
        <v>2.5</v>
      </c>
      <c r="AG643" s="580">
        <f t="shared" ref="AG643:AG706" si="89">AE643*AB643</f>
        <v>0</v>
      </c>
      <c r="AH643" s="580">
        <f t="shared" ref="AH643:AH706" si="90">AF643*AB643</f>
        <v>0</v>
      </c>
    </row>
    <row r="644" spans="2:34">
      <c r="B644" s="358" t="s">
        <v>949</v>
      </c>
      <c r="C644" t="e">
        <f>ROUND(HLOOKUP("AHU MIXED AIR OUTLET:System Node VolFlowRate[m3/s](Hourly)",'Eplus results'!1:1048576,'graph data'!D4,FALSE)*35.314667*60, 0)</f>
        <v>#N/A</v>
      </c>
      <c r="AB644" s="580">
        <f>HLOOKUP("*"&amp;'Output annual'!$AC$2&amp;'Output annual'!$AD$2&amp;"*Zone People Number Of Occupants [](Hourly)",'Eplus results'!$1:$1048576,ROW(),FALSE)</f>
        <v>0</v>
      </c>
      <c r="AC644" s="580">
        <f>HLOOKUP("*"&amp;'Output annual'!$AC$2&amp;'Output annual'!$AD$2&amp;"*FangerPMV(Hourly)",'Eplus results'!$1:$1048576,ROW(),FALSE)</f>
        <v>0</v>
      </c>
      <c r="AD644" s="580">
        <f t="shared" si="86"/>
        <v>5</v>
      </c>
      <c r="AE644" s="580">
        <f t="shared" si="87"/>
        <v>2.5</v>
      </c>
      <c r="AF644" s="580">
        <f t="shared" si="88"/>
        <v>2.5</v>
      </c>
      <c r="AG644" s="580">
        <f t="shared" si="89"/>
        <v>0</v>
      </c>
      <c r="AH644" s="580">
        <f t="shared" si="90"/>
        <v>0</v>
      </c>
    </row>
    <row r="645" spans="2:34">
      <c r="B645" s="358" t="s">
        <v>950</v>
      </c>
      <c r="C645" t="e">
        <f>ROUND(HLOOKUP("AHU OUTSIDE AIR INLET:System Node VolFlowRate[m3/s](Hourly)",'Eplus results'!1:1048576,'graph data'!D4,FALSE)*35.314667*60, 0)</f>
        <v>#N/A</v>
      </c>
      <c r="AB645" s="580">
        <f>HLOOKUP("*"&amp;'Output annual'!$AC$2&amp;'Output annual'!$AD$2&amp;"*Zone People Number Of Occupants [](Hourly)",'Eplus results'!$1:$1048576,ROW(),FALSE)</f>
        <v>0</v>
      </c>
      <c r="AC645" s="580">
        <f>HLOOKUP("*"&amp;'Output annual'!$AC$2&amp;'Output annual'!$AD$2&amp;"*FangerPMV(Hourly)",'Eplus results'!$1:$1048576,ROW(),FALSE)</f>
        <v>0</v>
      </c>
      <c r="AD645" s="580">
        <f t="shared" si="86"/>
        <v>5</v>
      </c>
      <c r="AE645" s="580">
        <f t="shared" si="87"/>
        <v>2.5</v>
      </c>
      <c r="AF645" s="580">
        <f t="shared" si="88"/>
        <v>2.5</v>
      </c>
      <c r="AG645" s="580">
        <f t="shared" si="89"/>
        <v>0</v>
      </c>
      <c r="AH645" s="580">
        <f t="shared" si="90"/>
        <v>0</v>
      </c>
    </row>
    <row r="646" spans="2:34">
      <c r="B646" s="358" t="s">
        <v>951</v>
      </c>
      <c r="C646" t="e">
        <f>ROUND(C645/C644,2)</f>
        <v>#N/A</v>
      </c>
      <c r="AB646" s="580">
        <f>HLOOKUP("*"&amp;'Output annual'!$AC$2&amp;'Output annual'!$AD$2&amp;"*Zone People Number Of Occupants [](Hourly)",'Eplus results'!$1:$1048576,ROW(),FALSE)</f>
        <v>0</v>
      </c>
      <c r="AC646" s="580">
        <f>HLOOKUP("*"&amp;'Output annual'!$AC$2&amp;'Output annual'!$AD$2&amp;"*FangerPMV(Hourly)",'Eplus results'!$1:$1048576,ROW(),FALSE)</f>
        <v>0</v>
      </c>
      <c r="AD646" s="580">
        <f t="shared" si="86"/>
        <v>5</v>
      </c>
      <c r="AE646" s="580">
        <f t="shared" si="87"/>
        <v>2.5</v>
      </c>
      <c r="AF646" s="580">
        <f t="shared" si="88"/>
        <v>2.5</v>
      </c>
      <c r="AG646" s="580">
        <f t="shared" si="89"/>
        <v>0</v>
      </c>
      <c r="AH646" s="580">
        <f t="shared" si="90"/>
        <v>0</v>
      </c>
    </row>
    <row r="647" spans="2:34">
      <c r="AB647" s="580">
        <f>HLOOKUP("*"&amp;'Output annual'!$AC$2&amp;'Output annual'!$AD$2&amp;"*Zone People Number Of Occupants [](Hourly)",'Eplus results'!$1:$1048576,ROW(),FALSE)</f>
        <v>0</v>
      </c>
      <c r="AC647" s="580">
        <f>HLOOKUP("*"&amp;'Output annual'!$AC$2&amp;'Output annual'!$AD$2&amp;"*FangerPMV(Hourly)",'Eplus results'!$1:$1048576,ROW(),FALSE)</f>
        <v>0</v>
      </c>
      <c r="AD647" s="580">
        <f t="shared" si="86"/>
        <v>5</v>
      </c>
      <c r="AE647" s="580">
        <f t="shared" si="87"/>
        <v>2.5</v>
      </c>
      <c r="AF647" s="580">
        <f t="shared" si="88"/>
        <v>2.5</v>
      </c>
      <c r="AG647" s="580">
        <f t="shared" si="89"/>
        <v>0</v>
      </c>
      <c r="AH647" s="580">
        <f t="shared" si="90"/>
        <v>0</v>
      </c>
    </row>
    <row r="648" spans="2:34">
      <c r="AB648" s="580">
        <f>HLOOKUP("*"&amp;'Output annual'!$AC$2&amp;'Output annual'!$AD$2&amp;"*Zone People Number Of Occupants [](Hourly)",'Eplus results'!$1:$1048576,ROW(),FALSE)</f>
        <v>0</v>
      </c>
      <c r="AC648" s="580">
        <f>HLOOKUP("*"&amp;'Output annual'!$AC$2&amp;'Output annual'!$AD$2&amp;"*FangerPMV(Hourly)",'Eplus results'!$1:$1048576,ROW(),FALSE)</f>
        <v>0</v>
      </c>
      <c r="AD648" s="580">
        <f t="shared" si="86"/>
        <v>5</v>
      </c>
      <c r="AE648" s="580">
        <f t="shared" si="87"/>
        <v>2.5</v>
      </c>
      <c r="AF648" s="580">
        <f t="shared" si="88"/>
        <v>2.5</v>
      </c>
      <c r="AG648" s="580">
        <f t="shared" si="89"/>
        <v>0</v>
      </c>
      <c r="AH648" s="580">
        <f t="shared" si="90"/>
        <v>0</v>
      </c>
    </row>
    <row r="649" spans="2:34">
      <c r="AB649" s="580">
        <f>HLOOKUP("*"&amp;'Output annual'!$AC$2&amp;'Output annual'!$AD$2&amp;"*Zone People Number Of Occupants [](Hourly)",'Eplus results'!$1:$1048576,ROW(),FALSE)</f>
        <v>0</v>
      </c>
      <c r="AC649" s="580">
        <f>HLOOKUP("*"&amp;'Output annual'!$AC$2&amp;'Output annual'!$AD$2&amp;"*FangerPMV(Hourly)",'Eplus results'!$1:$1048576,ROW(),FALSE)</f>
        <v>0</v>
      </c>
      <c r="AD649" s="580">
        <f t="shared" si="86"/>
        <v>5</v>
      </c>
      <c r="AE649" s="580">
        <f t="shared" si="87"/>
        <v>2.5</v>
      </c>
      <c r="AF649" s="580">
        <f t="shared" si="88"/>
        <v>2.5</v>
      </c>
      <c r="AG649" s="580">
        <f t="shared" si="89"/>
        <v>0</v>
      </c>
      <c r="AH649" s="580">
        <f t="shared" si="90"/>
        <v>0</v>
      </c>
    </row>
    <row r="650" spans="2:34">
      <c r="AB650" s="580">
        <f>HLOOKUP("*"&amp;'Output annual'!$AC$2&amp;'Output annual'!$AD$2&amp;"*Zone People Number Of Occupants [](Hourly)",'Eplus results'!$1:$1048576,ROW(),FALSE)</f>
        <v>0</v>
      </c>
      <c r="AC650" s="580">
        <f>HLOOKUP("*"&amp;'Output annual'!$AC$2&amp;'Output annual'!$AD$2&amp;"*FangerPMV(Hourly)",'Eplus results'!$1:$1048576,ROW(),FALSE)</f>
        <v>0</v>
      </c>
      <c r="AD650" s="580">
        <f t="shared" si="86"/>
        <v>5</v>
      </c>
      <c r="AE650" s="580">
        <f t="shared" si="87"/>
        <v>2.5</v>
      </c>
      <c r="AF650" s="580">
        <f t="shared" si="88"/>
        <v>2.5</v>
      </c>
      <c r="AG650" s="580">
        <f t="shared" si="89"/>
        <v>0</v>
      </c>
      <c r="AH650" s="580">
        <f t="shared" si="90"/>
        <v>0</v>
      </c>
    </row>
    <row r="651" spans="2:34">
      <c r="AB651" s="580">
        <f>HLOOKUP("*"&amp;'Output annual'!$AC$2&amp;'Output annual'!$AD$2&amp;"*Zone People Number Of Occupants [](Hourly)",'Eplus results'!$1:$1048576,ROW(),FALSE)</f>
        <v>0</v>
      </c>
      <c r="AC651" s="580">
        <f>HLOOKUP("*"&amp;'Output annual'!$AC$2&amp;'Output annual'!$AD$2&amp;"*FangerPMV(Hourly)",'Eplus results'!$1:$1048576,ROW(),FALSE)</f>
        <v>0</v>
      </c>
      <c r="AD651" s="580">
        <f t="shared" si="86"/>
        <v>5</v>
      </c>
      <c r="AE651" s="580">
        <f t="shared" si="87"/>
        <v>2.5</v>
      </c>
      <c r="AF651" s="580">
        <f t="shared" si="88"/>
        <v>2.5</v>
      </c>
      <c r="AG651" s="580">
        <f t="shared" si="89"/>
        <v>0</v>
      </c>
      <c r="AH651" s="580">
        <f t="shared" si="90"/>
        <v>0</v>
      </c>
    </row>
    <row r="652" spans="2:34">
      <c r="AB652" s="580">
        <f>HLOOKUP("*"&amp;'Output annual'!$AC$2&amp;'Output annual'!$AD$2&amp;"*Zone People Number Of Occupants [](Hourly)",'Eplus results'!$1:$1048576,ROW(),FALSE)</f>
        <v>0</v>
      </c>
      <c r="AC652" s="580">
        <f>HLOOKUP("*"&amp;'Output annual'!$AC$2&amp;'Output annual'!$AD$2&amp;"*FangerPMV(Hourly)",'Eplus results'!$1:$1048576,ROW(),FALSE)</f>
        <v>0</v>
      </c>
      <c r="AD652" s="580">
        <f t="shared" si="86"/>
        <v>5</v>
      </c>
      <c r="AE652" s="580">
        <f t="shared" si="87"/>
        <v>2.5</v>
      </c>
      <c r="AF652" s="580">
        <f t="shared" si="88"/>
        <v>2.5</v>
      </c>
      <c r="AG652" s="580">
        <f t="shared" si="89"/>
        <v>0</v>
      </c>
      <c r="AH652" s="580">
        <f t="shared" si="90"/>
        <v>0</v>
      </c>
    </row>
    <row r="653" spans="2:34">
      <c r="AB653" s="580">
        <f>HLOOKUP("*"&amp;'Output annual'!$AC$2&amp;'Output annual'!$AD$2&amp;"*Zone People Number Of Occupants [](Hourly)",'Eplus results'!$1:$1048576,ROW(),FALSE)</f>
        <v>0</v>
      </c>
      <c r="AC653" s="580">
        <f>HLOOKUP("*"&amp;'Output annual'!$AC$2&amp;'Output annual'!$AD$2&amp;"*FangerPMV(Hourly)",'Eplus results'!$1:$1048576,ROW(),FALSE)</f>
        <v>0</v>
      </c>
      <c r="AD653" s="580">
        <f t="shared" si="86"/>
        <v>5</v>
      </c>
      <c r="AE653" s="580">
        <f t="shared" si="87"/>
        <v>2.5</v>
      </c>
      <c r="AF653" s="580">
        <f t="shared" si="88"/>
        <v>2.5</v>
      </c>
      <c r="AG653" s="580">
        <f t="shared" si="89"/>
        <v>0</v>
      </c>
      <c r="AH653" s="580">
        <f t="shared" si="90"/>
        <v>0</v>
      </c>
    </row>
    <row r="654" spans="2:34">
      <c r="AB654" s="580">
        <f>HLOOKUP("*"&amp;'Output annual'!$AC$2&amp;'Output annual'!$AD$2&amp;"*Zone People Number Of Occupants [](Hourly)",'Eplus results'!$1:$1048576,ROW(),FALSE)</f>
        <v>0</v>
      </c>
      <c r="AC654" s="580">
        <f>HLOOKUP("*"&amp;'Output annual'!$AC$2&amp;'Output annual'!$AD$2&amp;"*FangerPMV(Hourly)",'Eplus results'!$1:$1048576,ROW(),FALSE)</f>
        <v>0</v>
      </c>
      <c r="AD654" s="580">
        <f t="shared" si="86"/>
        <v>5</v>
      </c>
      <c r="AE654" s="580">
        <f t="shared" si="87"/>
        <v>2.5</v>
      </c>
      <c r="AF654" s="580">
        <f t="shared" si="88"/>
        <v>2.5</v>
      </c>
      <c r="AG654" s="580">
        <f t="shared" si="89"/>
        <v>0</v>
      </c>
      <c r="AH654" s="580">
        <f t="shared" si="90"/>
        <v>0</v>
      </c>
    </row>
    <row r="655" spans="2:34">
      <c r="AB655" s="580">
        <f>HLOOKUP("*"&amp;'Output annual'!$AC$2&amp;'Output annual'!$AD$2&amp;"*Zone People Number Of Occupants [](Hourly)",'Eplus results'!$1:$1048576,ROW(),FALSE)</f>
        <v>0</v>
      </c>
      <c r="AC655" s="580">
        <f>HLOOKUP("*"&amp;'Output annual'!$AC$2&amp;'Output annual'!$AD$2&amp;"*FangerPMV(Hourly)",'Eplus results'!$1:$1048576,ROW(),FALSE)</f>
        <v>0</v>
      </c>
      <c r="AD655" s="580">
        <f t="shared" si="86"/>
        <v>5</v>
      </c>
      <c r="AE655" s="580">
        <f t="shared" si="87"/>
        <v>2.5</v>
      </c>
      <c r="AF655" s="580">
        <f t="shared" si="88"/>
        <v>2.5</v>
      </c>
      <c r="AG655" s="580">
        <f t="shared" si="89"/>
        <v>0</v>
      </c>
      <c r="AH655" s="580">
        <f t="shared" si="90"/>
        <v>0</v>
      </c>
    </row>
    <row r="656" spans="2:34">
      <c r="AB656" s="580">
        <f>HLOOKUP("*"&amp;'Output annual'!$AC$2&amp;'Output annual'!$AD$2&amp;"*Zone People Number Of Occupants [](Hourly)",'Eplus results'!$1:$1048576,ROW(),FALSE)</f>
        <v>0</v>
      </c>
      <c r="AC656" s="580">
        <f>HLOOKUP("*"&amp;'Output annual'!$AC$2&amp;'Output annual'!$AD$2&amp;"*FangerPMV(Hourly)",'Eplus results'!$1:$1048576,ROW(),FALSE)</f>
        <v>0</v>
      </c>
      <c r="AD656" s="580">
        <f t="shared" si="86"/>
        <v>5</v>
      </c>
      <c r="AE656" s="580">
        <f t="shared" si="87"/>
        <v>2.5</v>
      </c>
      <c r="AF656" s="580">
        <f t="shared" si="88"/>
        <v>2.5</v>
      </c>
      <c r="AG656" s="580">
        <f t="shared" si="89"/>
        <v>0</v>
      </c>
      <c r="AH656" s="580">
        <f t="shared" si="90"/>
        <v>0</v>
      </c>
    </row>
    <row r="657" spans="28:34">
      <c r="AB657" s="580">
        <f>HLOOKUP("*"&amp;'Output annual'!$AC$2&amp;'Output annual'!$AD$2&amp;"*Zone People Number Of Occupants [](Hourly)",'Eplus results'!$1:$1048576,ROW(),FALSE)</f>
        <v>0</v>
      </c>
      <c r="AC657" s="580">
        <f>HLOOKUP("*"&amp;'Output annual'!$AC$2&amp;'Output annual'!$AD$2&amp;"*FangerPMV(Hourly)",'Eplus results'!$1:$1048576,ROW(),FALSE)</f>
        <v>0</v>
      </c>
      <c r="AD657" s="580">
        <f t="shared" si="86"/>
        <v>5</v>
      </c>
      <c r="AE657" s="580">
        <f t="shared" si="87"/>
        <v>2.5</v>
      </c>
      <c r="AF657" s="580">
        <f t="shared" si="88"/>
        <v>2.5</v>
      </c>
      <c r="AG657" s="580">
        <f t="shared" si="89"/>
        <v>0</v>
      </c>
      <c r="AH657" s="580">
        <f t="shared" si="90"/>
        <v>0</v>
      </c>
    </row>
    <row r="658" spans="28:34">
      <c r="AB658" s="580">
        <f>HLOOKUP("*"&amp;'Output annual'!$AC$2&amp;'Output annual'!$AD$2&amp;"*Zone People Number Of Occupants [](Hourly)",'Eplus results'!$1:$1048576,ROW(),FALSE)</f>
        <v>0</v>
      </c>
      <c r="AC658" s="580">
        <f>HLOOKUP("*"&amp;'Output annual'!$AC$2&amp;'Output annual'!$AD$2&amp;"*FangerPMV(Hourly)",'Eplus results'!$1:$1048576,ROW(),FALSE)</f>
        <v>0</v>
      </c>
      <c r="AD658" s="580">
        <f t="shared" si="86"/>
        <v>5</v>
      </c>
      <c r="AE658" s="580">
        <f t="shared" si="87"/>
        <v>2.5</v>
      </c>
      <c r="AF658" s="580">
        <f t="shared" si="88"/>
        <v>2.5</v>
      </c>
      <c r="AG658" s="580">
        <f t="shared" si="89"/>
        <v>0</v>
      </c>
      <c r="AH658" s="580">
        <f t="shared" si="90"/>
        <v>0</v>
      </c>
    </row>
    <row r="659" spans="28:34">
      <c r="AB659" s="580">
        <f>HLOOKUP("*"&amp;'Output annual'!$AC$2&amp;'Output annual'!$AD$2&amp;"*Zone People Number Of Occupants [](Hourly)",'Eplus results'!$1:$1048576,ROW(),FALSE)</f>
        <v>0</v>
      </c>
      <c r="AC659" s="580">
        <f>HLOOKUP("*"&amp;'Output annual'!$AC$2&amp;'Output annual'!$AD$2&amp;"*FangerPMV(Hourly)",'Eplus results'!$1:$1048576,ROW(),FALSE)</f>
        <v>0</v>
      </c>
      <c r="AD659" s="580">
        <f t="shared" si="86"/>
        <v>5</v>
      </c>
      <c r="AE659" s="580">
        <f t="shared" si="87"/>
        <v>2.5</v>
      </c>
      <c r="AF659" s="580">
        <f t="shared" si="88"/>
        <v>2.5</v>
      </c>
      <c r="AG659" s="580">
        <f t="shared" si="89"/>
        <v>0</v>
      </c>
      <c r="AH659" s="580">
        <f t="shared" si="90"/>
        <v>0</v>
      </c>
    </row>
    <row r="660" spans="28:34">
      <c r="AB660" s="580">
        <f>HLOOKUP("*"&amp;'Output annual'!$AC$2&amp;'Output annual'!$AD$2&amp;"*Zone People Number Of Occupants [](Hourly)",'Eplus results'!$1:$1048576,ROW(),FALSE)</f>
        <v>0</v>
      </c>
      <c r="AC660" s="580">
        <f>HLOOKUP("*"&amp;'Output annual'!$AC$2&amp;'Output annual'!$AD$2&amp;"*FangerPMV(Hourly)",'Eplus results'!$1:$1048576,ROW(),FALSE)</f>
        <v>0</v>
      </c>
      <c r="AD660" s="580">
        <f t="shared" si="86"/>
        <v>5</v>
      </c>
      <c r="AE660" s="580">
        <f t="shared" si="87"/>
        <v>2.5</v>
      </c>
      <c r="AF660" s="580">
        <f t="shared" si="88"/>
        <v>2.5</v>
      </c>
      <c r="AG660" s="580">
        <f t="shared" si="89"/>
        <v>0</v>
      </c>
      <c r="AH660" s="580">
        <f t="shared" si="90"/>
        <v>0</v>
      </c>
    </row>
    <row r="661" spans="28:34">
      <c r="AB661" s="580">
        <f>HLOOKUP("*"&amp;'Output annual'!$AC$2&amp;'Output annual'!$AD$2&amp;"*Zone People Number Of Occupants [](Hourly)",'Eplus results'!$1:$1048576,ROW(),FALSE)</f>
        <v>0</v>
      </c>
      <c r="AC661" s="580">
        <f>HLOOKUP("*"&amp;'Output annual'!$AC$2&amp;'Output annual'!$AD$2&amp;"*FangerPMV(Hourly)",'Eplus results'!$1:$1048576,ROW(),FALSE)</f>
        <v>0</v>
      </c>
      <c r="AD661" s="580">
        <f t="shared" si="86"/>
        <v>5</v>
      </c>
      <c r="AE661" s="580">
        <f t="shared" si="87"/>
        <v>2.5</v>
      </c>
      <c r="AF661" s="580">
        <f t="shared" si="88"/>
        <v>2.5</v>
      </c>
      <c r="AG661" s="580">
        <f t="shared" si="89"/>
        <v>0</v>
      </c>
      <c r="AH661" s="580">
        <f t="shared" si="90"/>
        <v>0</v>
      </c>
    </row>
    <row r="662" spans="28:34">
      <c r="AB662" s="580">
        <f>HLOOKUP("*"&amp;'Output annual'!$AC$2&amp;'Output annual'!$AD$2&amp;"*Zone People Number Of Occupants [](Hourly)",'Eplus results'!$1:$1048576,ROW(),FALSE)</f>
        <v>0</v>
      </c>
      <c r="AC662" s="580">
        <f>HLOOKUP("*"&amp;'Output annual'!$AC$2&amp;'Output annual'!$AD$2&amp;"*FangerPMV(Hourly)",'Eplus results'!$1:$1048576,ROW(),FALSE)</f>
        <v>0</v>
      </c>
      <c r="AD662" s="580">
        <f t="shared" si="86"/>
        <v>5</v>
      </c>
      <c r="AE662" s="580">
        <f t="shared" si="87"/>
        <v>2.5</v>
      </c>
      <c r="AF662" s="580">
        <f t="shared" si="88"/>
        <v>2.5</v>
      </c>
      <c r="AG662" s="580">
        <f t="shared" si="89"/>
        <v>0</v>
      </c>
      <c r="AH662" s="580">
        <f t="shared" si="90"/>
        <v>0</v>
      </c>
    </row>
    <row r="663" spans="28:34">
      <c r="AB663" s="580">
        <f>HLOOKUP("*"&amp;'Output annual'!$AC$2&amp;'Output annual'!$AD$2&amp;"*Zone People Number Of Occupants [](Hourly)",'Eplus results'!$1:$1048576,ROW(),FALSE)</f>
        <v>0</v>
      </c>
      <c r="AC663" s="580">
        <f>HLOOKUP("*"&amp;'Output annual'!$AC$2&amp;'Output annual'!$AD$2&amp;"*FangerPMV(Hourly)",'Eplus results'!$1:$1048576,ROW(),FALSE)</f>
        <v>0</v>
      </c>
      <c r="AD663" s="580">
        <f t="shared" si="86"/>
        <v>5</v>
      </c>
      <c r="AE663" s="580">
        <f t="shared" si="87"/>
        <v>2.5</v>
      </c>
      <c r="AF663" s="580">
        <f t="shared" si="88"/>
        <v>2.5</v>
      </c>
      <c r="AG663" s="580">
        <f t="shared" si="89"/>
        <v>0</v>
      </c>
      <c r="AH663" s="580">
        <f t="shared" si="90"/>
        <v>0</v>
      </c>
    </row>
    <row r="664" spans="28:34">
      <c r="AB664" s="580">
        <f>HLOOKUP("*"&amp;'Output annual'!$AC$2&amp;'Output annual'!$AD$2&amp;"*Zone People Number Of Occupants [](Hourly)",'Eplus results'!$1:$1048576,ROW(),FALSE)</f>
        <v>0</v>
      </c>
      <c r="AC664" s="580">
        <f>HLOOKUP("*"&amp;'Output annual'!$AC$2&amp;'Output annual'!$AD$2&amp;"*FangerPMV(Hourly)",'Eplus results'!$1:$1048576,ROW(),FALSE)</f>
        <v>0</v>
      </c>
      <c r="AD664" s="580">
        <f t="shared" si="86"/>
        <v>5</v>
      </c>
      <c r="AE664" s="580">
        <f t="shared" si="87"/>
        <v>2.5</v>
      </c>
      <c r="AF664" s="580">
        <f t="shared" si="88"/>
        <v>2.5</v>
      </c>
      <c r="AG664" s="580">
        <f t="shared" si="89"/>
        <v>0</v>
      </c>
      <c r="AH664" s="580">
        <f t="shared" si="90"/>
        <v>0</v>
      </c>
    </row>
    <row r="665" spans="28:34">
      <c r="AB665" s="580">
        <f>HLOOKUP("*"&amp;'Output annual'!$AC$2&amp;'Output annual'!$AD$2&amp;"*Zone People Number Of Occupants [](Hourly)",'Eplus results'!$1:$1048576,ROW(),FALSE)</f>
        <v>0</v>
      </c>
      <c r="AC665" s="580">
        <f>HLOOKUP("*"&amp;'Output annual'!$AC$2&amp;'Output annual'!$AD$2&amp;"*FangerPMV(Hourly)",'Eplus results'!$1:$1048576,ROW(),FALSE)</f>
        <v>0</v>
      </c>
      <c r="AD665" s="580">
        <f t="shared" si="86"/>
        <v>5</v>
      </c>
      <c r="AE665" s="580">
        <f t="shared" si="87"/>
        <v>2.5</v>
      </c>
      <c r="AF665" s="580">
        <f t="shared" si="88"/>
        <v>2.5</v>
      </c>
      <c r="AG665" s="580">
        <f t="shared" si="89"/>
        <v>0</v>
      </c>
      <c r="AH665" s="580">
        <f t="shared" si="90"/>
        <v>0</v>
      </c>
    </row>
    <row r="666" spans="28:34">
      <c r="AB666" s="580">
        <f>HLOOKUP("*"&amp;'Output annual'!$AC$2&amp;'Output annual'!$AD$2&amp;"*Zone People Number Of Occupants [](Hourly)",'Eplus results'!$1:$1048576,ROW(),FALSE)</f>
        <v>0</v>
      </c>
      <c r="AC666" s="580">
        <f>HLOOKUP("*"&amp;'Output annual'!$AC$2&amp;'Output annual'!$AD$2&amp;"*FangerPMV(Hourly)",'Eplus results'!$1:$1048576,ROW(),FALSE)</f>
        <v>0</v>
      </c>
      <c r="AD666" s="580">
        <f t="shared" si="86"/>
        <v>5</v>
      </c>
      <c r="AE666" s="580">
        <f t="shared" si="87"/>
        <v>2.5</v>
      </c>
      <c r="AF666" s="580">
        <f t="shared" si="88"/>
        <v>2.5</v>
      </c>
      <c r="AG666" s="580">
        <f t="shared" si="89"/>
        <v>0</v>
      </c>
      <c r="AH666" s="580">
        <f t="shared" si="90"/>
        <v>0</v>
      </c>
    </row>
    <row r="667" spans="28:34">
      <c r="AB667" s="580">
        <f>HLOOKUP("*"&amp;'Output annual'!$AC$2&amp;'Output annual'!$AD$2&amp;"*Zone People Number Of Occupants [](Hourly)",'Eplus results'!$1:$1048576,ROW(),FALSE)</f>
        <v>0</v>
      </c>
      <c r="AC667" s="580">
        <f>HLOOKUP("*"&amp;'Output annual'!$AC$2&amp;'Output annual'!$AD$2&amp;"*FangerPMV(Hourly)",'Eplus results'!$1:$1048576,ROW(),FALSE)</f>
        <v>0</v>
      </c>
      <c r="AD667" s="580">
        <f t="shared" si="86"/>
        <v>5</v>
      </c>
      <c r="AE667" s="580">
        <f t="shared" si="87"/>
        <v>2.5</v>
      </c>
      <c r="AF667" s="580">
        <f t="shared" si="88"/>
        <v>2.5</v>
      </c>
      <c r="AG667" s="580">
        <f t="shared" si="89"/>
        <v>0</v>
      </c>
      <c r="AH667" s="580">
        <f t="shared" si="90"/>
        <v>0</v>
      </c>
    </row>
    <row r="668" spans="28:34">
      <c r="AB668" s="580">
        <f>HLOOKUP("*"&amp;'Output annual'!$AC$2&amp;'Output annual'!$AD$2&amp;"*Zone People Number Of Occupants [](Hourly)",'Eplus results'!$1:$1048576,ROW(),FALSE)</f>
        <v>0</v>
      </c>
      <c r="AC668" s="580">
        <f>HLOOKUP("*"&amp;'Output annual'!$AC$2&amp;'Output annual'!$AD$2&amp;"*FangerPMV(Hourly)",'Eplus results'!$1:$1048576,ROW(),FALSE)</f>
        <v>0</v>
      </c>
      <c r="AD668" s="580">
        <f t="shared" si="86"/>
        <v>5</v>
      </c>
      <c r="AE668" s="580">
        <f t="shared" si="87"/>
        <v>2.5</v>
      </c>
      <c r="AF668" s="580">
        <f t="shared" si="88"/>
        <v>2.5</v>
      </c>
      <c r="AG668" s="580">
        <f t="shared" si="89"/>
        <v>0</v>
      </c>
      <c r="AH668" s="580">
        <f t="shared" si="90"/>
        <v>0</v>
      </c>
    </row>
    <row r="669" spans="28:34">
      <c r="AB669" s="580">
        <f>HLOOKUP("*"&amp;'Output annual'!$AC$2&amp;'Output annual'!$AD$2&amp;"*Zone People Number Of Occupants [](Hourly)",'Eplus results'!$1:$1048576,ROW(),FALSE)</f>
        <v>0</v>
      </c>
      <c r="AC669" s="580">
        <f>HLOOKUP("*"&amp;'Output annual'!$AC$2&amp;'Output annual'!$AD$2&amp;"*FangerPMV(Hourly)",'Eplus results'!$1:$1048576,ROW(),FALSE)</f>
        <v>0</v>
      </c>
      <c r="AD669" s="580">
        <f t="shared" si="86"/>
        <v>5</v>
      </c>
      <c r="AE669" s="580">
        <f t="shared" si="87"/>
        <v>2.5</v>
      </c>
      <c r="AF669" s="580">
        <f t="shared" si="88"/>
        <v>2.5</v>
      </c>
      <c r="AG669" s="580">
        <f t="shared" si="89"/>
        <v>0</v>
      </c>
      <c r="AH669" s="580">
        <f t="shared" si="90"/>
        <v>0</v>
      </c>
    </row>
    <row r="670" spans="28:34">
      <c r="AB670" s="580">
        <f>HLOOKUP("*"&amp;'Output annual'!$AC$2&amp;'Output annual'!$AD$2&amp;"*Zone People Number Of Occupants [](Hourly)",'Eplus results'!$1:$1048576,ROW(),FALSE)</f>
        <v>0</v>
      </c>
      <c r="AC670" s="580">
        <f>HLOOKUP("*"&amp;'Output annual'!$AC$2&amp;'Output annual'!$AD$2&amp;"*FangerPMV(Hourly)",'Eplus results'!$1:$1048576,ROW(),FALSE)</f>
        <v>0</v>
      </c>
      <c r="AD670" s="580">
        <f t="shared" si="86"/>
        <v>5</v>
      </c>
      <c r="AE670" s="580">
        <f t="shared" si="87"/>
        <v>2.5</v>
      </c>
      <c r="AF670" s="580">
        <f t="shared" si="88"/>
        <v>2.5</v>
      </c>
      <c r="AG670" s="580">
        <f t="shared" si="89"/>
        <v>0</v>
      </c>
      <c r="AH670" s="580">
        <f t="shared" si="90"/>
        <v>0</v>
      </c>
    </row>
    <row r="671" spans="28:34">
      <c r="AB671" s="580">
        <f>HLOOKUP("*"&amp;'Output annual'!$AC$2&amp;'Output annual'!$AD$2&amp;"*Zone People Number Of Occupants [](Hourly)",'Eplus results'!$1:$1048576,ROW(),FALSE)</f>
        <v>0</v>
      </c>
      <c r="AC671" s="580">
        <f>HLOOKUP("*"&amp;'Output annual'!$AC$2&amp;'Output annual'!$AD$2&amp;"*FangerPMV(Hourly)",'Eplus results'!$1:$1048576,ROW(),FALSE)</f>
        <v>0</v>
      </c>
      <c r="AD671" s="580">
        <f t="shared" si="86"/>
        <v>5</v>
      </c>
      <c r="AE671" s="580">
        <f t="shared" si="87"/>
        <v>2.5</v>
      </c>
      <c r="AF671" s="580">
        <f t="shared" si="88"/>
        <v>2.5</v>
      </c>
      <c r="AG671" s="580">
        <f t="shared" si="89"/>
        <v>0</v>
      </c>
      <c r="AH671" s="580">
        <f t="shared" si="90"/>
        <v>0</v>
      </c>
    </row>
    <row r="672" spans="28:34">
      <c r="AB672" s="580">
        <f>HLOOKUP("*"&amp;'Output annual'!$AC$2&amp;'Output annual'!$AD$2&amp;"*Zone People Number Of Occupants [](Hourly)",'Eplus results'!$1:$1048576,ROW(),FALSE)</f>
        <v>0</v>
      </c>
      <c r="AC672" s="580">
        <f>HLOOKUP("*"&amp;'Output annual'!$AC$2&amp;'Output annual'!$AD$2&amp;"*FangerPMV(Hourly)",'Eplus results'!$1:$1048576,ROW(),FALSE)</f>
        <v>0</v>
      </c>
      <c r="AD672" s="580">
        <f t="shared" si="86"/>
        <v>5</v>
      </c>
      <c r="AE672" s="580">
        <f t="shared" si="87"/>
        <v>2.5</v>
      </c>
      <c r="AF672" s="580">
        <f t="shared" si="88"/>
        <v>2.5</v>
      </c>
      <c r="AG672" s="580">
        <f t="shared" si="89"/>
        <v>0</v>
      </c>
      <c r="AH672" s="580">
        <f t="shared" si="90"/>
        <v>0</v>
      </c>
    </row>
    <row r="673" spans="28:34">
      <c r="AB673" s="580">
        <f>HLOOKUP("*"&amp;'Output annual'!$AC$2&amp;'Output annual'!$AD$2&amp;"*Zone People Number Of Occupants [](Hourly)",'Eplus results'!$1:$1048576,ROW(),FALSE)</f>
        <v>0</v>
      </c>
      <c r="AC673" s="580">
        <f>HLOOKUP("*"&amp;'Output annual'!$AC$2&amp;'Output annual'!$AD$2&amp;"*FangerPMV(Hourly)",'Eplus results'!$1:$1048576,ROW(),FALSE)</f>
        <v>0</v>
      </c>
      <c r="AD673" s="580">
        <f t="shared" si="86"/>
        <v>5</v>
      </c>
      <c r="AE673" s="580">
        <f t="shared" si="87"/>
        <v>2.5</v>
      </c>
      <c r="AF673" s="580">
        <f t="shared" si="88"/>
        <v>2.5</v>
      </c>
      <c r="AG673" s="580">
        <f t="shared" si="89"/>
        <v>0</v>
      </c>
      <c r="AH673" s="580">
        <f t="shared" si="90"/>
        <v>0</v>
      </c>
    </row>
    <row r="674" spans="28:34">
      <c r="AB674" s="580">
        <f>HLOOKUP("*"&amp;'Output annual'!$AC$2&amp;'Output annual'!$AD$2&amp;"*Zone People Number Of Occupants [](Hourly)",'Eplus results'!$1:$1048576,ROW(),FALSE)</f>
        <v>0</v>
      </c>
      <c r="AC674" s="580">
        <f>HLOOKUP("*"&amp;'Output annual'!$AC$2&amp;'Output annual'!$AD$2&amp;"*FangerPMV(Hourly)",'Eplus results'!$1:$1048576,ROW(),FALSE)</f>
        <v>0</v>
      </c>
      <c r="AD674" s="580">
        <f t="shared" si="86"/>
        <v>5</v>
      </c>
      <c r="AE674" s="580">
        <f t="shared" si="87"/>
        <v>2.5</v>
      </c>
      <c r="AF674" s="580">
        <f t="shared" si="88"/>
        <v>2.5</v>
      </c>
      <c r="AG674" s="580">
        <f t="shared" si="89"/>
        <v>0</v>
      </c>
      <c r="AH674" s="580">
        <f t="shared" si="90"/>
        <v>0</v>
      </c>
    </row>
    <row r="675" spans="28:34">
      <c r="AB675" s="580">
        <f>HLOOKUP("*"&amp;'Output annual'!$AC$2&amp;'Output annual'!$AD$2&amp;"*Zone People Number Of Occupants [](Hourly)",'Eplus results'!$1:$1048576,ROW(),FALSE)</f>
        <v>0</v>
      </c>
      <c r="AC675" s="580">
        <f>HLOOKUP("*"&amp;'Output annual'!$AC$2&amp;'Output annual'!$AD$2&amp;"*FangerPMV(Hourly)",'Eplus results'!$1:$1048576,ROW(),FALSE)</f>
        <v>0</v>
      </c>
      <c r="AD675" s="580">
        <f t="shared" si="86"/>
        <v>5</v>
      </c>
      <c r="AE675" s="580">
        <f t="shared" si="87"/>
        <v>2.5</v>
      </c>
      <c r="AF675" s="580">
        <f t="shared" si="88"/>
        <v>2.5</v>
      </c>
      <c r="AG675" s="580">
        <f t="shared" si="89"/>
        <v>0</v>
      </c>
      <c r="AH675" s="580">
        <f t="shared" si="90"/>
        <v>0</v>
      </c>
    </row>
    <row r="676" spans="28:34">
      <c r="AB676" s="580">
        <f>HLOOKUP("*"&amp;'Output annual'!$AC$2&amp;'Output annual'!$AD$2&amp;"*Zone People Number Of Occupants [](Hourly)",'Eplus results'!$1:$1048576,ROW(),FALSE)</f>
        <v>0</v>
      </c>
      <c r="AC676" s="580">
        <f>HLOOKUP("*"&amp;'Output annual'!$AC$2&amp;'Output annual'!$AD$2&amp;"*FangerPMV(Hourly)",'Eplus results'!$1:$1048576,ROW(),FALSE)</f>
        <v>0</v>
      </c>
      <c r="AD676" s="580">
        <f t="shared" si="86"/>
        <v>5</v>
      </c>
      <c r="AE676" s="580">
        <f t="shared" si="87"/>
        <v>2.5</v>
      </c>
      <c r="AF676" s="580">
        <f t="shared" si="88"/>
        <v>2.5</v>
      </c>
      <c r="AG676" s="580">
        <f t="shared" si="89"/>
        <v>0</v>
      </c>
      <c r="AH676" s="580">
        <f t="shared" si="90"/>
        <v>0</v>
      </c>
    </row>
    <row r="677" spans="28:34">
      <c r="AB677" s="580">
        <f>HLOOKUP("*"&amp;'Output annual'!$AC$2&amp;'Output annual'!$AD$2&amp;"*Zone People Number Of Occupants [](Hourly)",'Eplus results'!$1:$1048576,ROW(),FALSE)</f>
        <v>0</v>
      </c>
      <c r="AC677" s="580">
        <f>HLOOKUP("*"&amp;'Output annual'!$AC$2&amp;'Output annual'!$AD$2&amp;"*FangerPMV(Hourly)",'Eplus results'!$1:$1048576,ROW(),FALSE)</f>
        <v>0</v>
      </c>
      <c r="AD677" s="580">
        <f t="shared" si="86"/>
        <v>5</v>
      </c>
      <c r="AE677" s="580">
        <f t="shared" si="87"/>
        <v>2.5</v>
      </c>
      <c r="AF677" s="580">
        <f t="shared" si="88"/>
        <v>2.5</v>
      </c>
      <c r="AG677" s="580">
        <f t="shared" si="89"/>
        <v>0</v>
      </c>
      <c r="AH677" s="580">
        <f t="shared" si="90"/>
        <v>0</v>
      </c>
    </row>
    <row r="678" spans="28:34">
      <c r="AB678" s="580">
        <f>HLOOKUP("*"&amp;'Output annual'!$AC$2&amp;'Output annual'!$AD$2&amp;"*Zone People Number Of Occupants [](Hourly)",'Eplus results'!$1:$1048576,ROW(),FALSE)</f>
        <v>0</v>
      </c>
      <c r="AC678" s="580">
        <f>HLOOKUP("*"&amp;'Output annual'!$AC$2&amp;'Output annual'!$AD$2&amp;"*FangerPMV(Hourly)",'Eplus results'!$1:$1048576,ROW(),FALSE)</f>
        <v>0</v>
      </c>
      <c r="AD678" s="580">
        <f t="shared" si="86"/>
        <v>5</v>
      </c>
      <c r="AE678" s="580">
        <f t="shared" si="87"/>
        <v>2.5</v>
      </c>
      <c r="AF678" s="580">
        <f t="shared" si="88"/>
        <v>2.5</v>
      </c>
      <c r="AG678" s="580">
        <f t="shared" si="89"/>
        <v>0</v>
      </c>
      <c r="AH678" s="580">
        <f t="shared" si="90"/>
        <v>0</v>
      </c>
    </row>
    <row r="679" spans="28:34">
      <c r="AB679" s="580">
        <f>HLOOKUP("*"&amp;'Output annual'!$AC$2&amp;'Output annual'!$AD$2&amp;"*Zone People Number Of Occupants [](Hourly)",'Eplus results'!$1:$1048576,ROW(),FALSE)</f>
        <v>0</v>
      </c>
      <c r="AC679" s="580">
        <f>HLOOKUP("*"&amp;'Output annual'!$AC$2&amp;'Output annual'!$AD$2&amp;"*FangerPMV(Hourly)",'Eplus results'!$1:$1048576,ROW(),FALSE)</f>
        <v>0</v>
      </c>
      <c r="AD679" s="580">
        <f t="shared" si="86"/>
        <v>5</v>
      </c>
      <c r="AE679" s="580">
        <f t="shared" si="87"/>
        <v>2.5</v>
      </c>
      <c r="AF679" s="580">
        <f t="shared" si="88"/>
        <v>2.5</v>
      </c>
      <c r="AG679" s="580">
        <f t="shared" si="89"/>
        <v>0</v>
      </c>
      <c r="AH679" s="580">
        <f t="shared" si="90"/>
        <v>0</v>
      </c>
    </row>
    <row r="680" spans="28:34">
      <c r="AB680" s="580">
        <f>HLOOKUP("*"&amp;'Output annual'!$AC$2&amp;'Output annual'!$AD$2&amp;"*Zone People Number Of Occupants [](Hourly)",'Eplus results'!$1:$1048576,ROW(),FALSE)</f>
        <v>0</v>
      </c>
      <c r="AC680" s="580">
        <f>HLOOKUP("*"&amp;'Output annual'!$AC$2&amp;'Output annual'!$AD$2&amp;"*FangerPMV(Hourly)",'Eplus results'!$1:$1048576,ROW(),FALSE)</f>
        <v>0</v>
      </c>
      <c r="AD680" s="580">
        <f t="shared" si="86"/>
        <v>5</v>
      </c>
      <c r="AE680" s="580">
        <f t="shared" si="87"/>
        <v>2.5</v>
      </c>
      <c r="AF680" s="580">
        <f t="shared" si="88"/>
        <v>2.5</v>
      </c>
      <c r="AG680" s="580">
        <f t="shared" si="89"/>
        <v>0</v>
      </c>
      <c r="AH680" s="580">
        <f t="shared" si="90"/>
        <v>0</v>
      </c>
    </row>
    <row r="681" spans="28:34">
      <c r="AB681" s="580">
        <f>HLOOKUP("*"&amp;'Output annual'!$AC$2&amp;'Output annual'!$AD$2&amp;"*Zone People Number Of Occupants [](Hourly)",'Eplus results'!$1:$1048576,ROW(),FALSE)</f>
        <v>0</v>
      </c>
      <c r="AC681" s="580">
        <f>HLOOKUP("*"&amp;'Output annual'!$AC$2&amp;'Output annual'!$AD$2&amp;"*FangerPMV(Hourly)",'Eplus results'!$1:$1048576,ROW(),FALSE)</f>
        <v>0</v>
      </c>
      <c r="AD681" s="580">
        <f t="shared" si="86"/>
        <v>5</v>
      </c>
      <c r="AE681" s="580">
        <f t="shared" si="87"/>
        <v>2.5</v>
      </c>
      <c r="AF681" s="580">
        <f t="shared" si="88"/>
        <v>2.5</v>
      </c>
      <c r="AG681" s="580">
        <f t="shared" si="89"/>
        <v>0</v>
      </c>
      <c r="AH681" s="580">
        <f t="shared" si="90"/>
        <v>0</v>
      </c>
    </row>
    <row r="682" spans="28:34">
      <c r="AB682" s="580">
        <f>HLOOKUP("*"&amp;'Output annual'!$AC$2&amp;'Output annual'!$AD$2&amp;"*Zone People Number Of Occupants [](Hourly)",'Eplus results'!$1:$1048576,ROW(),FALSE)</f>
        <v>0</v>
      </c>
      <c r="AC682" s="580">
        <f>HLOOKUP("*"&amp;'Output annual'!$AC$2&amp;'Output annual'!$AD$2&amp;"*FangerPMV(Hourly)",'Eplus results'!$1:$1048576,ROW(),FALSE)</f>
        <v>0</v>
      </c>
      <c r="AD682" s="580">
        <f t="shared" si="86"/>
        <v>5</v>
      </c>
      <c r="AE682" s="580">
        <f t="shared" si="87"/>
        <v>2.5</v>
      </c>
      <c r="AF682" s="580">
        <f t="shared" si="88"/>
        <v>2.5</v>
      </c>
      <c r="AG682" s="580">
        <f t="shared" si="89"/>
        <v>0</v>
      </c>
      <c r="AH682" s="580">
        <f t="shared" si="90"/>
        <v>0</v>
      </c>
    </row>
    <row r="683" spans="28:34">
      <c r="AB683" s="580">
        <f>HLOOKUP("*"&amp;'Output annual'!$AC$2&amp;'Output annual'!$AD$2&amp;"*Zone People Number Of Occupants [](Hourly)",'Eplus results'!$1:$1048576,ROW(),FALSE)</f>
        <v>0</v>
      </c>
      <c r="AC683" s="580">
        <f>HLOOKUP("*"&amp;'Output annual'!$AC$2&amp;'Output annual'!$AD$2&amp;"*FangerPMV(Hourly)",'Eplus results'!$1:$1048576,ROW(),FALSE)</f>
        <v>0</v>
      </c>
      <c r="AD683" s="580">
        <f t="shared" si="86"/>
        <v>5</v>
      </c>
      <c r="AE683" s="580">
        <f t="shared" si="87"/>
        <v>2.5</v>
      </c>
      <c r="AF683" s="580">
        <f t="shared" si="88"/>
        <v>2.5</v>
      </c>
      <c r="AG683" s="580">
        <f t="shared" si="89"/>
        <v>0</v>
      </c>
      <c r="AH683" s="580">
        <f t="shared" si="90"/>
        <v>0</v>
      </c>
    </row>
    <row r="684" spans="28:34">
      <c r="AB684" s="580">
        <f>HLOOKUP("*"&amp;'Output annual'!$AC$2&amp;'Output annual'!$AD$2&amp;"*Zone People Number Of Occupants [](Hourly)",'Eplus results'!$1:$1048576,ROW(),FALSE)</f>
        <v>0</v>
      </c>
      <c r="AC684" s="580">
        <f>HLOOKUP("*"&amp;'Output annual'!$AC$2&amp;'Output annual'!$AD$2&amp;"*FangerPMV(Hourly)",'Eplus results'!$1:$1048576,ROW(),FALSE)</f>
        <v>0</v>
      </c>
      <c r="AD684" s="580">
        <f t="shared" si="86"/>
        <v>5</v>
      </c>
      <c r="AE684" s="580">
        <f t="shared" si="87"/>
        <v>2.5</v>
      </c>
      <c r="AF684" s="580">
        <f t="shared" si="88"/>
        <v>2.5</v>
      </c>
      <c r="AG684" s="580">
        <f t="shared" si="89"/>
        <v>0</v>
      </c>
      <c r="AH684" s="580">
        <f t="shared" si="90"/>
        <v>0</v>
      </c>
    </row>
    <row r="685" spans="28:34">
      <c r="AB685" s="580">
        <f>HLOOKUP("*"&amp;'Output annual'!$AC$2&amp;'Output annual'!$AD$2&amp;"*Zone People Number Of Occupants [](Hourly)",'Eplus results'!$1:$1048576,ROW(),FALSE)</f>
        <v>0</v>
      </c>
      <c r="AC685" s="580">
        <f>HLOOKUP("*"&amp;'Output annual'!$AC$2&amp;'Output annual'!$AD$2&amp;"*FangerPMV(Hourly)",'Eplus results'!$1:$1048576,ROW(),FALSE)</f>
        <v>0</v>
      </c>
      <c r="AD685" s="580">
        <f t="shared" si="86"/>
        <v>5</v>
      </c>
      <c r="AE685" s="580">
        <f t="shared" si="87"/>
        <v>2.5</v>
      </c>
      <c r="AF685" s="580">
        <f t="shared" si="88"/>
        <v>2.5</v>
      </c>
      <c r="AG685" s="580">
        <f t="shared" si="89"/>
        <v>0</v>
      </c>
      <c r="AH685" s="580">
        <f t="shared" si="90"/>
        <v>0</v>
      </c>
    </row>
    <row r="686" spans="28:34">
      <c r="AB686" s="580">
        <f>HLOOKUP("*"&amp;'Output annual'!$AC$2&amp;'Output annual'!$AD$2&amp;"*Zone People Number Of Occupants [](Hourly)",'Eplus results'!$1:$1048576,ROW(),FALSE)</f>
        <v>0</v>
      </c>
      <c r="AC686" s="580">
        <f>HLOOKUP("*"&amp;'Output annual'!$AC$2&amp;'Output annual'!$AD$2&amp;"*FangerPMV(Hourly)",'Eplus results'!$1:$1048576,ROW(),FALSE)</f>
        <v>0</v>
      </c>
      <c r="AD686" s="580">
        <f t="shared" si="86"/>
        <v>5</v>
      </c>
      <c r="AE686" s="580">
        <f t="shared" si="87"/>
        <v>2.5</v>
      </c>
      <c r="AF686" s="580">
        <f t="shared" si="88"/>
        <v>2.5</v>
      </c>
      <c r="AG686" s="580">
        <f t="shared" si="89"/>
        <v>0</v>
      </c>
      <c r="AH686" s="580">
        <f t="shared" si="90"/>
        <v>0</v>
      </c>
    </row>
    <row r="687" spans="28:34">
      <c r="AB687" s="580">
        <f>HLOOKUP("*"&amp;'Output annual'!$AC$2&amp;'Output annual'!$AD$2&amp;"*Zone People Number Of Occupants [](Hourly)",'Eplus results'!$1:$1048576,ROW(),FALSE)</f>
        <v>0</v>
      </c>
      <c r="AC687" s="580">
        <f>HLOOKUP("*"&amp;'Output annual'!$AC$2&amp;'Output annual'!$AD$2&amp;"*FangerPMV(Hourly)",'Eplus results'!$1:$1048576,ROW(),FALSE)</f>
        <v>0</v>
      </c>
      <c r="AD687" s="580">
        <f t="shared" si="86"/>
        <v>5</v>
      </c>
      <c r="AE687" s="580">
        <f t="shared" si="87"/>
        <v>2.5</v>
      </c>
      <c r="AF687" s="580">
        <f t="shared" si="88"/>
        <v>2.5</v>
      </c>
      <c r="AG687" s="580">
        <f t="shared" si="89"/>
        <v>0</v>
      </c>
      <c r="AH687" s="580">
        <f t="shared" si="90"/>
        <v>0</v>
      </c>
    </row>
    <row r="688" spans="28:34">
      <c r="AB688" s="580">
        <f>HLOOKUP("*"&amp;'Output annual'!$AC$2&amp;'Output annual'!$AD$2&amp;"*Zone People Number Of Occupants [](Hourly)",'Eplus results'!$1:$1048576,ROW(),FALSE)</f>
        <v>0</v>
      </c>
      <c r="AC688" s="580">
        <f>HLOOKUP("*"&amp;'Output annual'!$AC$2&amp;'Output annual'!$AD$2&amp;"*FangerPMV(Hourly)",'Eplus results'!$1:$1048576,ROW(),FALSE)</f>
        <v>0</v>
      </c>
      <c r="AD688" s="580">
        <f t="shared" si="86"/>
        <v>5</v>
      </c>
      <c r="AE688" s="580">
        <f t="shared" si="87"/>
        <v>2.5</v>
      </c>
      <c r="AF688" s="580">
        <f t="shared" si="88"/>
        <v>2.5</v>
      </c>
      <c r="AG688" s="580">
        <f t="shared" si="89"/>
        <v>0</v>
      </c>
      <c r="AH688" s="580">
        <f t="shared" si="90"/>
        <v>0</v>
      </c>
    </row>
    <row r="689" spans="28:34">
      <c r="AB689" s="580">
        <f>HLOOKUP("*"&amp;'Output annual'!$AC$2&amp;'Output annual'!$AD$2&amp;"*Zone People Number Of Occupants [](Hourly)",'Eplus results'!$1:$1048576,ROW(),FALSE)</f>
        <v>0</v>
      </c>
      <c r="AC689" s="580">
        <f>HLOOKUP("*"&amp;'Output annual'!$AC$2&amp;'Output annual'!$AD$2&amp;"*FangerPMV(Hourly)",'Eplus results'!$1:$1048576,ROW(),FALSE)</f>
        <v>0</v>
      </c>
      <c r="AD689" s="580">
        <f t="shared" si="86"/>
        <v>5</v>
      </c>
      <c r="AE689" s="580">
        <f t="shared" si="87"/>
        <v>2.5</v>
      </c>
      <c r="AF689" s="580">
        <f t="shared" si="88"/>
        <v>2.5</v>
      </c>
      <c r="AG689" s="580">
        <f t="shared" si="89"/>
        <v>0</v>
      </c>
      <c r="AH689" s="580">
        <f t="shared" si="90"/>
        <v>0</v>
      </c>
    </row>
    <row r="690" spans="28:34">
      <c r="AB690" s="580">
        <f>HLOOKUP("*"&amp;'Output annual'!$AC$2&amp;'Output annual'!$AD$2&amp;"*Zone People Number Of Occupants [](Hourly)",'Eplus results'!$1:$1048576,ROW(),FALSE)</f>
        <v>0</v>
      </c>
      <c r="AC690" s="580">
        <f>HLOOKUP("*"&amp;'Output annual'!$AC$2&amp;'Output annual'!$AD$2&amp;"*FangerPMV(Hourly)",'Eplus results'!$1:$1048576,ROW(),FALSE)</f>
        <v>0</v>
      </c>
      <c r="AD690" s="580">
        <f t="shared" si="86"/>
        <v>5</v>
      </c>
      <c r="AE690" s="580">
        <f t="shared" si="87"/>
        <v>2.5</v>
      </c>
      <c r="AF690" s="580">
        <f t="shared" si="88"/>
        <v>2.5</v>
      </c>
      <c r="AG690" s="580">
        <f t="shared" si="89"/>
        <v>0</v>
      </c>
      <c r="AH690" s="580">
        <f t="shared" si="90"/>
        <v>0</v>
      </c>
    </row>
    <row r="691" spans="28:34">
      <c r="AB691" s="580">
        <f>HLOOKUP("*"&amp;'Output annual'!$AC$2&amp;'Output annual'!$AD$2&amp;"*Zone People Number Of Occupants [](Hourly)",'Eplus results'!$1:$1048576,ROW(),FALSE)</f>
        <v>0</v>
      </c>
      <c r="AC691" s="580">
        <f>HLOOKUP("*"&amp;'Output annual'!$AC$2&amp;'Output annual'!$AD$2&amp;"*FangerPMV(Hourly)",'Eplus results'!$1:$1048576,ROW(),FALSE)</f>
        <v>0</v>
      </c>
      <c r="AD691" s="580">
        <f t="shared" si="86"/>
        <v>5</v>
      </c>
      <c r="AE691" s="580">
        <f t="shared" si="87"/>
        <v>2.5</v>
      </c>
      <c r="AF691" s="580">
        <f t="shared" si="88"/>
        <v>2.5</v>
      </c>
      <c r="AG691" s="580">
        <f t="shared" si="89"/>
        <v>0</v>
      </c>
      <c r="AH691" s="580">
        <f t="shared" si="90"/>
        <v>0</v>
      </c>
    </row>
    <row r="692" spans="28:34">
      <c r="AB692" s="580">
        <f>HLOOKUP("*"&amp;'Output annual'!$AC$2&amp;'Output annual'!$AD$2&amp;"*Zone People Number Of Occupants [](Hourly)",'Eplus results'!$1:$1048576,ROW(),FALSE)</f>
        <v>0</v>
      </c>
      <c r="AC692" s="580">
        <f>HLOOKUP("*"&amp;'Output annual'!$AC$2&amp;'Output annual'!$AD$2&amp;"*FangerPMV(Hourly)",'Eplus results'!$1:$1048576,ROW(),FALSE)</f>
        <v>0</v>
      </c>
      <c r="AD692" s="580">
        <f t="shared" si="86"/>
        <v>5</v>
      </c>
      <c r="AE692" s="580">
        <f t="shared" si="87"/>
        <v>2.5</v>
      </c>
      <c r="AF692" s="580">
        <f t="shared" si="88"/>
        <v>2.5</v>
      </c>
      <c r="AG692" s="580">
        <f t="shared" si="89"/>
        <v>0</v>
      </c>
      <c r="AH692" s="580">
        <f t="shared" si="90"/>
        <v>0</v>
      </c>
    </row>
    <row r="693" spans="28:34">
      <c r="AB693" s="580">
        <f>HLOOKUP("*"&amp;'Output annual'!$AC$2&amp;'Output annual'!$AD$2&amp;"*Zone People Number Of Occupants [](Hourly)",'Eplus results'!$1:$1048576,ROW(),FALSE)</f>
        <v>0</v>
      </c>
      <c r="AC693" s="580">
        <f>HLOOKUP("*"&amp;'Output annual'!$AC$2&amp;'Output annual'!$AD$2&amp;"*FangerPMV(Hourly)",'Eplus results'!$1:$1048576,ROW(),FALSE)</f>
        <v>0</v>
      </c>
      <c r="AD693" s="580">
        <f t="shared" si="86"/>
        <v>5</v>
      </c>
      <c r="AE693" s="580">
        <f t="shared" si="87"/>
        <v>2.5</v>
      </c>
      <c r="AF693" s="580">
        <f t="shared" si="88"/>
        <v>2.5</v>
      </c>
      <c r="AG693" s="580">
        <f t="shared" si="89"/>
        <v>0</v>
      </c>
      <c r="AH693" s="580">
        <f t="shared" si="90"/>
        <v>0</v>
      </c>
    </row>
    <row r="694" spans="28:34">
      <c r="AB694" s="580">
        <f>HLOOKUP("*"&amp;'Output annual'!$AC$2&amp;'Output annual'!$AD$2&amp;"*Zone People Number Of Occupants [](Hourly)",'Eplus results'!$1:$1048576,ROW(),FALSE)</f>
        <v>0</v>
      </c>
      <c r="AC694" s="580">
        <f>HLOOKUP("*"&amp;'Output annual'!$AC$2&amp;'Output annual'!$AD$2&amp;"*FangerPMV(Hourly)",'Eplus results'!$1:$1048576,ROW(),FALSE)</f>
        <v>0</v>
      </c>
      <c r="AD694" s="580">
        <f t="shared" si="86"/>
        <v>5</v>
      </c>
      <c r="AE694" s="580">
        <f t="shared" si="87"/>
        <v>2.5</v>
      </c>
      <c r="AF694" s="580">
        <f t="shared" si="88"/>
        <v>2.5</v>
      </c>
      <c r="AG694" s="580">
        <f t="shared" si="89"/>
        <v>0</v>
      </c>
      <c r="AH694" s="580">
        <f t="shared" si="90"/>
        <v>0</v>
      </c>
    </row>
    <row r="695" spans="28:34">
      <c r="AB695" s="580">
        <f>HLOOKUP("*"&amp;'Output annual'!$AC$2&amp;'Output annual'!$AD$2&amp;"*Zone People Number Of Occupants [](Hourly)",'Eplus results'!$1:$1048576,ROW(),FALSE)</f>
        <v>0</v>
      </c>
      <c r="AC695" s="580">
        <f>HLOOKUP("*"&amp;'Output annual'!$AC$2&amp;'Output annual'!$AD$2&amp;"*FangerPMV(Hourly)",'Eplus results'!$1:$1048576,ROW(),FALSE)</f>
        <v>0</v>
      </c>
      <c r="AD695" s="580">
        <f t="shared" si="86"/>
        <v>5</v>
      </c>
      <c r="AE695" s="580">
        <f t="shared" si="87"/>
        <v>2.5</v>
      </c>
      <c r="AF695" s="580">
        <f t="shared" si="88"/>
        <v>2.5</v>
      </c>
      <c r="AG695" s="580">
        <f t="shared" si="89"/>
        <v>0</v>
      </c>
      <c r="AH695" s="580">
        <f t="shared" si="90"/>
        <v>0</v>
      </c>
    </row>
    <row r="696" spans="28:34">
      <c r="AB696" s="580">
        <f>HLOOKUP("*"&amp;'Output annual'!$AC$2&amp;'Output annual'!$AD$2&amp;"*Zone People Number Of Occupants [](Hourly)",'Eplus results'!$1:$1048576,ROW(),FALSE)</f>
        <v>0</v>
      </c>
      <c r="AC696" s="580">
        <f>HLOOKUP("*"&amp;'Output annual'!$AC$2&amp;'Output annual'!$AD$2&amp;"*FangerPMV(Hourly)",'Eplus results'!$1:$1048576,ROW(),FALSE)</f>
        <v>0</v>
      </c>
      <c r="AD696" s="580">
        <f t="shared" si="86"/>
        <v>5</v>
      </c>
      <c r="AE696" s="580">
        <f t="shared" si="87"/>
        <v>2.5</v>
      </c>
      <c r="AF696" s="580">
        <f t="shared" si="88"/>
        <v>2.5</v>
      </c>
      <c r="AG696" s="580">
        <f t="shared" si="89"/>
        <v>0</v>
      </c>
      <c r="AH696" s="580">
        <f t="shared" si="90"/>
        <v>0</v>
      </c>
    </row>
    <row r="697" spans="28:34">
      <c r="AB697" s="580">
        <f>HLOOKUP("*"&amp;'Output annual'!$AC$2&amp;'Output annual'!$AD$2&amp;"*Zone People Number Of Occupants [](Hourly)",'Eplus results'!$1:$1048576,ROW(),FALSE)</f>
        <v>0</v>
      </c>
      <c r="AC697" s="580">
        <f>HLOOKUP("*"&amp;'Output annual'!$AC$2&amp;'Output annual'!$AD$2&amp;"*FangerPMV(Hourly)",'Eplus results'!$1:$1048576,ROW(),FALSE)</f>
        <v>0</v>
      </c>
      <c r="AD697" s="580">
        <f t="shared" si="86"/>
        <v>5</v>
      </c>
      <c r="AE697" s="580">
        <f t="shared" si="87"/>
        <v>2.5</v>
      </c>
      <c r="AF697" s="580">
        <f t="shared" si="88"/>
        <v>2.5</v>
      </c>
      <c r="AG697" s="580">
        <f t="shared" si="89"/>
        <v>0</v>
      </c>
      <c r="AH697" s="580">
        <f t="shared" si="90"/>
        <v>0</v>
      </c>
    </row>
    <row r="698" spans="28:34">
      <c r="AB698" s="580">
        <f>HLOOKUP("*"&amp;'Output annual'!$AC$2&amp;'Output annual'!$AD$2&amp;"*Zone People Number Of Occupants [](Hourly)",'Eplus results'!$1:$1048576,ROW(),FALSE)</f>
        <v>0</v>
      </c>
      <c r="AC698" s="580">
        <f>HLOOKUP("*"&amp;'Output annual'!$AC$2&amp;'Output annual'!$AD$2&amp;"*FangerPMV(Hourly)",'Eplus results'!$1:$1048576,ROW(),FALSE)</f>
        <v>0</v>
      </c>
      <c r="AD698" s="580">
        <f t="shared" si="86"/>
        <v>5</v>
      </c>
      <c r="AE698" s="580">
        <f t="shared" si="87"/>
        <v>2.5</v>
      </c>
      <c r="AF698" s="580">
        <f t="shared" si="88"/>
        <v>2.5</v>
      </c>
      <c r="AG698" s="580">
        <f t="shared" si="89"/>
        <v>0</v>
      </c>
      <c r="AH698" s="580">
        <f t="shared" si="90"/>
        <v>0</v>
      </c>
    </row>
    <row r="699" spans="28:34">
      <c r="AB699" s="580">
        <f>HLOOKUP("*"&amp;'Output annual'!$AC$2&amp;'Output annual'!$AD$2&amp;"*Zone People Number Of Occupants [](Hourly)",'Eplus results'!$1:$1048576,ROW(),FALSE)</f>
        <v>0</v>
      </c>
      <c r="AC699" s="580">
        <f>HLOOKUP("*"&amp;'Output annual'!$AC$2&amp;'Output annual'!$AD$2&amp;"*FangerPMV(Hourly)",'Eplus results'!$1:$1048576,ROW(),FALSE)</f>
        <v>0</v>
      </c>
      <c r="AD699" s="580">
        <f t="shared" si="86"/>
        <v>5</v>
      </c>
      <c r="AE699" s="580">
        <f t="shared" si="87"/>
        <v>2.5</v>
      </c>
      <c r="AF699" s="580">
        <f t="shared" si="88"/>
        <v>2.5</v>
      </c>
      <c r="AG699" s="580">
        <f t="shared" si="89"/>
        <v>0</v>
      </c>
      <c r="AH699" s="580">
        <f t="shared" si="90"/>
        <v>0</v>
      </c>
    </row>
    <row r="700" spans="28:34">
      <c r="AB700" s="580">
        <f>HLOOKUP("*"&amp;'Output annual'!$AC$2&amp;'Output annual'!$AD$2&amp;"*Zone People Number Of Occupants [](Hourly)",'Eplus results'!$1:$1048576,ROW(),FALSE)</f>
        <v>0</v>
      </c>
      <c r="AC700" s="580">
        <f>HLOOKUP("*"&amp;'Output annual'!$AC$2&amp;'Output annual'!$AD$2&amp;"*FangerPMV(Hourly)",'Eplus results'!$1:$1048576,ROW(),FALSE)</f>
        <v>0</v>
      </c>
      <c r="AD700" s="580">
        <f t="shared" si="86"/>
        <v>5</v>
      </c>
      <c r="AE700" s="580">
        <f t="shared" si="87"/>
        <v>2.5</v>
      </c>
      <c r="AF700" s="580">
        <f t="shared" si="88"/>
        <v>2.5</v>
      </c>
      <c r="AG700" s="580">
        <f t="shared" si="89"/>
        <v>0</v>
      </c>
      <c r="AH700" s="580">
        <f t="shared" si="90"/>
        <v>0</v>
      </c>
    </row>
    <row r="701" spans="28:34">
      <c r="AB701" s="580">
        <f>HLOOKUP("*"&amp;'Output annual'!$AC$2&amp;'Output annual'!$AD$2&amp;"*Zone People Number Of Occupants [](Hourly)",'Eplus results'!$1:$1048576,ROW(),FALSE)</f>
        <v>0</v>
      </c>
      <c r="AC701" s="580">
        <f>HLOOKUP("*"&amp;'Output annual'!$AC$2&amp;'Output annual'!$AD$2&amp;"*FangerPMV(Hourly)",'Eplus results'!$1:$1048576,ROW(),FALSE)</f>
        <v>0</v>
      </c>
      <c r="AD701" s="580">
        <f t="shared" si="86"/>
        <v>5</v>
      </c>
      <c r="AE701" s="580">
        <f t="shared" si="87"/>
        <v>2.5</v>
      </c>
      <c r="AF701" s="580">
        <f t="shared" si="88"/>
        <v>2.5</v>
      </c>
      <c r="AG701" s="580">
        <f t="shared" si="89"/>
        <v>0</v>
      </c>
      <c r="AH701" s="580">
        <f t="shared" si="90"/>
        <v>0</v>
      </c>
    </row>
    <row r="702" spans="28:34">
      <c r="AB702" s="580">
        <f>HLOOKUP("*"&amp;'Output annual'!$AC$2&amp;'Output annual'!$AD$2&amp;"*Zone People Number Of Occupants [](Hourly)",'Eplus results'!$1:$1048576,ROW(),FALSE)</f>
        <v>0</v>
      </c>
      <c r="AC702" s="580">
        <f>HLOOKUP("*"&amp;'Output annual'!$AC$2&amp;'Output annual'!$AD$2&amp;"*FangerPMV(Hourly)",'Eplus results'!$1:$1048576,ROW(),FALSE)</f>
        <v>0</v>
      </c>
      <c r="AD702" s="580">
        <f t="shared" si="86"/>
        <v>5</v>
      </c>
      <c r="AE702" s="580">
        <f t="shared" si="87"/>
        <v>2.5</v>
      </c>
      <c r="AF702" s="580">
        <f t="shared" si="88"/>
        <v>2.5</v>
      </c>
      <c r="AG702" s="580">
        <f t="shared" si="89"/>
        <v>0</v>
      </c>
      <c r="AH702" s="580">
        <f t="shared" si="90"/>
        <v>0</v>
      </c>
    </row>
    <row r="703" spans="28:34">
      <c r="AB703" s="580">
        <f>HLOOKUP("*"&amp;'Output annual'!$AC$2&amp;'Output annual'!$AD$2&amp;"*Zone People Number Of Occupants [](Hourly)",'Eplus results'!$1:$1048576,ROW(),FALSE)</f>
        <v>0</v>
      </c>
      <c r="AC703" s="580">
        <f>HLOOKUP("*"&amp;'Output annual'!$AC$2&amp;'Output annual'!$AD$2&amp;"*FangerPMV(Hourly)",'Eplus results'!$1:$1048576,ROW(),FALSE)</f>
        <v>0</v>
      </c>
      <c r="AD703" s="580">
        <f t="shared" si="86"/>
        <v>5</v>
      </c>
      <c r="AE703" s="580">
        <f t="shared" si="87"/>
        <v>2.5</v>
      </c>
      <c r="AF703" s="580">
        <f t="shared" si="88"/>
        <v>2.5</v>
      </c>
      <c r="AG703" s="580">
        <f t="shared" si="89"/>
        <v>0</v>
      </c>
      <c r="AH703" s="580">
        <f t="shared" si="90"/>
        <v>0</v>
      </c>
    </row>
    <row r="704" spans="28:34">
      <c r="AB704" s="580">
        <f>HLOOKUP("*"&amp;'Output annual'!$AC$2&amp;'Output annual'!$AD$2&amp;"*Zone People Number Of Occupants [](Hourly)",'Eplus results'!$1:$1048576,ROW(),FALSE)</f>
        <v>0</v>
      </c>
      <c r="AC704" s="580">
        <f>HLOOKUP("*"&amp;'Output annual'!$AC$2&amp;'Output annual'!$AD$2&amp;"*FangerPMV(Hourly)",'Eplus results'!$1:$1048576,ROW(),FALSE)</f>
        <v>0</v>
      </c>
      <c r="AD704" s="580">
        <f t="shared" si="86"/>
        <v>5</v>
      </c>
      <c r="AE704" s="580">
        <f t="shared" si="87"/>
        <v>2.5</v>
      </c>
      <c r="AF704" s="580">
        <f t="shared" si="88"/>
        <v>2.5</v>
      </c>
      <c r="AG704" s="580">
        <f t="shared" si="89"/>
        <v>0</v>
      </c>
      <c r="AH704" s="580">
        <f t="shared" si="90"/>
        <v>0</v>
      </c>
    </row>
    <row r="705" spans="28:34">
      <c r="AB705" s="580">
        <f>HLOOKUP("*"&amp;'Output annual'!$AC$2&amp;'Output annual'!$AD$2&amp;"*Zone People Number Of Occupants [](Hourly)",'Eplus results'!$1:$1048576,ROW(),FALSE)</f>
        <v>0</v>
      </c>
      <c r="AC705" s="580">
        <f>HLOOKUP("*"&amp;'Output annual'!$AC$2&amp;'Output annual'!$AD$2&amp;"*FangerPMV(Hourly)",'Eplus results'!$1:$1048576,ROW(),FALSE)</f>
        <v>0</v>
      </c>
      <c r="AD705" s="580">
        <f t="shared" si="86"/>
        <v>5</v>
      </c>
      <c r="AE705" s="580">
        <f t="shared" si="87"/>
        <v>2.5</v>
      </c>
      <c r="AF705" s="580">
        <f t="shared" si="88"/>
        <v>2.5</v>
      </c>
      <c r="AG705" s="580">
        <f t="shared" si="89"/>
        <v>0</v>
      </c>
      <c r="AH705" s="580">
        <f t="shared" si="90"/>
        <v>0</v>
      </c>
    </row>
    <row r="706" spans="28:34">
      <c r="AB706" s="580">
        <f>HLOOKUP("*"&amp;'Output annual'!$AC$2&amp;'Output annual'!$AD$2&amp;"*Zone People Number Of Occupants [](Hourly)",'Eplus results'!$1:$1048576,ROW(),FALSE)</f>
        <v>0</v>
      </c>
      <c r="AC706" s="580">
        <f>HLOOKUP("*"&amp;'Output annual'!$AC$2&amp;'Output annual'!$AD$2&amp;"*FangerPMV(Hourly)",'Eplus results'!$1:$1048576,ROW(),FALSE)</f>
        <v>0</v>
      </c>
      <c r="AD706" s="580">
        <f t="shared" si="86"/>
        <v>5</v>
      </c>
      <c r="AE706" s="580">
        <f t="shared" si="87"/>
        <v>2.5</v>
      </c>
      <c r="AF706" s="580">
        <f t="shared" si="88"/>
        <v>2.5</v>
      </c>
      <c r="AG706" s="580">
        <f t="shared" si="89"/>
        <v>0</v>
      </c>
      <c r="AH706" s="580">
        <f t="shared" si="90"/>
        <v>0</v>
      </c>
    </row>
    <row r="707" spans="28:34">
      <c r="AB707" s="580">
        <f>HLOOKUP("*"&amp;'Output annual'!$AC$2&amp;'Output annual'!$AD$2&amp;"*Zone People Number Of Occupants [](Hourly)",'Eplus results'!$1:$1048576,ROW(),FALSE)</f>
        <v>0</v>
      </c>
      <c r="AC707" s="580">
        <f>HLOOKUP("*"&amp;'Output annual'!$AC$2&amp;'Output annual'!$AD$2&amp;"*FangerPMV(Hourly)",'Eplus results'!$1:$1048576,ROW(),FALSE)</f>
        <v>0</v>
      </c>
      <c r="AD707" s="580">
        <f t="shared" ref="AD707:AD770" si="91">100-95*EXP(-0.03353*AC707^4-0.2179*AC707^2)</f>
        <v>5</v>
      </c>
      <c r="AE707" s="580">
        <f t="shared" ref="AE707:AE770" si="92">AD707*(1/(1+EXP(-6.3*$AC707)))</f>
        <v>2.5</v>
      </c>
      <c r="AF707" s="580">
        <f t="shared" ref="AF707:AF770" si="93">(AD707-AE707)</f>
        <v>2.5</v>
      </c>
      <c r="AG707" s="580">
        <f t="shared" ref="AG707:AG770" si="94">AE707*AB707</f>
        <v>0</v>
      </c>
      <c r="AH707" s="580">
        <f t="shared" ref="AH707:AH770" si="95">AF707*AB707</f>
        <v>0</v>
      </c>
    </row>
    <row r="708" spans="28:34">
      <c r="AB708" s="580">
        <f>HLOOKUP("*"&amp;'Output annual'!$AC$2&amp;'Output annual'!$AD$2&amp;"*Zone People Number Of Occupants [](Hourly)",'Eplus results'!$1:$1048576,ROW(),FALSE)</f>
        <v>0</v>
      </c>
      <c r="AC708" s="580">
        <f>HLOOKUP("*"&amp;'Output annual'!$AC$2&amp;'Output annual'!$AD$2&amp;"*FangerPMV(Hourly)",'Eplus results'!$1:$1048576,ROW(),FALSE)</f>
        <v>0</v>
      </c>
      <c r="AD708" s="580">
        <f t="shared" si="91"/>
        <v>5</v>
      </c>
      <c r="AE708" s="580">
        <f t="shared" si="92"/>
        <v>2.5</v>
      </c>
      <c r="AF708" s="580">
        <f t="shared" si="93"/>
        <v>2.5</v>
      </c>
      <c r="AG708" s="580">
        <f t="shared" si="94"/>
        <v>0</v>
      </c>
      <c r="AH708" s="580">
        <f t="shared" si="95"/>
        <v>0</v>
      </c>
    </row>
    <row r="709" spans="28:34">
      <c r="AB709" s="580">
        <f>HLOOKUP("*"&amp;'Output annual'!$AC$2&amp;'Output annual'!$AD$2&amp;"*Zone People Number Of Occupants [](Hourly)",'Eplus results'!$1:$1048576,ROW(),FALSE)</f>
        <v>0</v>
      </c>
      <c r="AC709" s="580">
        <f>HLOOKUP("*"&amp;'Output annual'!$AC$2&amp;'Output annual'!$AD$2&amp;"*FangerPMV(Hourly)",'Eplus results'!$1:$1048576,ROW(),FALSE)</f>
        <v>0</v>
      </c>
      <c r="AD709" s="580">
        <f t="shared" si="91"/>
        <v>5</v>
      </c>
      <c r="AE709" s="580">
        <f t="shared" si="92"/>
        <v>2.5</v>
      </c>
      <c r="AF709" s="580">
        <f t="shared" si="93"/>
        <v>2.5</v>
      </c>
      <c r="AG709" s="580">
        <f t="shared" si="94"/>
        <v>0</v>
      </c>
      <c r="AH709" s="580">
        <f t="shared" si="95"/>
        <v>0</v>
      </c>
    </row>
    <row r="710" spans="28:34">
      <c r="AB710" s="580">
        <f>HLOOKUP("*"&amp;'Output annual'!$AC$2&amp;'Output annual'!$AD$2&amp;"*Zone People Number Of Occupants [](Hourly)",'Eplus results'!$1:$1048576,ROW(),FALSE)</f>
        <v>0</v>
      </c>
      <c r="AC710" s="580">
        <f>HLOOKUP("*"&amp;'Output annual'!$AC$2&amp;'Output annual'!$AD$2&amp;"*FangerPMV(Hourly)",'Eplus results'!$1:$1048576,ROW(),FALSE)</f>
        <v>0</v>
      </c>
      <c r="AD710" s="580">
        <f t="shared" si="91"/>
        <v>5</v>
      </c>
      <c r="AE710" s="580">
        <f t="shared" si="92"/>
        <v>2.5</v>
      </c>
      <c r="AF710" s="580">
        <f t="shared" si="93"/>
        <v>2.5</v>
      </c>
      <c r="AG710" s="580">
        <f t="shared" si="94"/>
        <v>0</v>
      </c>
      <c r="AH710" s="580">
        <f t="shared" si="95"/>
        <v>0</v>
      </c>
    </row>
    <row r="711" spans="28:34">
      <c r="AB711" s="580">
        <f>HLOOKUP("*"&amp;'Output annual'!$AC$2&amp;'Output annual'!$AD$2&amp;"*Zone People Number Of Occupants [](Hourly)",'Eplus results'!$1:$1048576,ROW(),FALSE)</f>
        <v>0</v>
      </c>
      <c r="AC711" s="580">
        <f>HLOOKUP("*"&amp;'Output annual'!$AC$2&amp;'Output annual'!$AD$2&amp;"*FangerPMV(Hourly)",'Eplus results'!$1:$1048576,ROW(),FALSE)</f>
        <v>0</v>
      </c>
      <c r="AD711" s="580">
        <f t="shared" si="91"/>
        <v>5</v>
      </c>
      <c r="AE711" s="580">
        <f t="shared" si="92"/>
        <v>2.5</v>
      </c>
      <c r="AF711" s="580">
        <f t="shared" si="93"/>
        <v>2.5</v>
      </c>
      <c r="AG711" s="580">
        <f t="shared" si="94"/>
        <v>0</v>
      </c>
      <c r="AH711" s="580">
        <f t="shared" si="95"/>
        <v>0</v>
      </c>
    </row>
    <row r="712" spans="28:34">
      <c r="AB712" s="580">
        <f>HLOOKUP("*"&amp;'Output annual'!$AC$2&amp;'Output annual'!$AD$2&amp;"*Zone People Number Of Occupants [](Hourly)",'Eplus results'!$1:$1048576,ROW(),FALSE)</f>
        <v>0</v>
      </c>
      <c r="AC712" s="580">
        <f>HLOOKUP("*"&amp;'Output annual'!$AC$2&amp;'Output annual'!$AD$2&amp;"*FangerPMV(Hourly)",'Eplus results'!$1:$1048576,ROW(),FALSE)</f>
        <v>0</v>
      </c>
      <c r="AD712" s="580">
        <f t="shared" si="91"/>
        <v>5</v>
      </c>
      <c r="AE712" s="580">
        <f t="shared" si="92"/>
        <v>2.5</v>
      </c>
      <c r="AF712" s="580">
        <f t="shared" si="93"/>
        <v>2.5</v>
      </c>
      <c r="AG712" s="580">
        <f t="shared" si="94"/>
        <v>0</v>
      </c>
      <c r="AH712" s="580">
        <f t="shared" si="95"/>
        <v>0</v>
      </c>
    </row>
    <row r="713" spans="28:34">
      <c r="AB713" s="580">
        <f>HLOOKUP("*"&amp;'Output annual'!$AC$2&amp;'Output annual'!$AD$2&amp;"*Zone People Number Of Occupants [](Hourly)",'Eplus results'!$1:$1048576,ROW(),FALSE)</f>
        <v>0</v>
      </c>
      <c r="AC713" s="580">
        <f>HLOOKUP("*"&amp;'Output annual'!$AC$2&amp;'Output annual'!$AD$2&amp;"*FangerPMV(Hourly)",'Eplus results'!$1:$1048576,ROW(),FALSE)</f>
        <v>0</v>
      </c>
      <c r="AD713" s="580">
        <f t="shared" si="91"/>
        <v>5</v>
      </c>
      <c r="AE713" s="580">
        <f t="shared" si="92"/>
        <v>2.5</v>
      </c>
      <c r="AF713" s="580">
        <f t="shared" si="93"/>
        <v>2.5</v>
      </c>
      <c r="AG713" s="580">
        <f t="shared" si="94"/>
        <v>0</v>
      </c>
      <c r="AH713" s="580">
        <f t="shared" si="95"/>
        <v>0</v>
      </c>
    </row>
    <row r="714" spans="28:34">
      <c r="AB714" s="580">
        <f>HLOOKUP("*"&amp;'Output annual'!$AC$2&amp;'Output annual'!$AD$2&amp;"*Zone People Number Of Occupants [](Hourly)",'Eplus results'!$1:$1048576,ROW(),FALSE)</f>
        <v>0</v>
      </c>
      <c r="AC714" s="580">
        <f>HLOOKUP("*"&amp;'Output annual'!$AC$2&amp;'Output annual'!$AD$2&amp;"*FangerPMV(Hourly)",'Eplus results'!$1:$1048576,ROW(),FALSE)</f>
        <v>0</v>
      </c>
      <c r="AD714" s="580">
        <f t="shared" si="91"/>
        <v>5</v>
      </c>
      <c r="AE714" s="580">
        <f t="shared" si="92"/>
        <v>2.5</v>
      </c>
      <c r="AF714" s="580">
        <f t="shared" si="93"/>
        <v>2.5</v>
      </c>
      <c r="AG714" s="580">
        <f t="shared" si="94"/>
        <v>0</v>
      </c>
      <c r="AH714" s="580">
        <f t="shared" si="95"/>
        <v>0</v>
      </c>
    </row>
    <row r="715" spans="28:34">
      <c r="AB715" s="580">
        <f>HLOOKUP("*"&amp;'Output annual'!$AC$2&amp;'Output annual'!$AD$2&amp;"*Zone People Number Of Occupants [](Hourly)",'Eplus results'!$1:$1048576,ROW(),FALSE)</f>
        <v>0</v>
      </c>
      <c r="AC715" s="580">
        <f>HLOOKUP("*"&amp;'Output annual'!$AC$2&amp;'Output annual'!$AD$2&amp;"*FangerPMV(Hourly)",'Eplus results'!$1:$1048576,ROW(),FALSE)</f>
        <v>0</v>
      </c>
      <c r="AD715" s="580">
        <f t="shared" si="91"/>
        <v>5</v>
      </c>
      <c r="AE715" s="580">
        <f t="shared" si="92"/>
        <v>2.5</v>
      </c>
      <c r="AF715" s="580">
        <f t="shared" si="93"/>
        <v>2.5</v>
      </c>
      <c r="AG715" s="580">
        <f t="shared" si="94"/>
        <v>0</v>
      </c>
      <c r="AH715" s="580">
        <f t="shared" si="95"/>
        <v>0</v>
      </c>
    </row>
    <row r="716" spans="28:34">
      <c r="AB716" s="580">
        <f>HLOOKUP("*"&amp;'Output annual'!$AC$2&amp;'Output annual'!$AD$2&amp;"*Zone People Number Of Occupants [](Hourly)",'Eplus results'!$1:$1048576,ROW(),FALSE)</f>
        <v>0</v>
      </c>
      <c r="AC716" s="580">
        <f>HLOOKUP("*"&amp;'Output annual'!$AC$2&amp;'Output annual'!$AD$2&amp;"*FangerPMV(Hourly)",'Eplus results'!$1:$1048576,ROW(),FALSE)</f>
        <v>0</v>
      </c>
      <c r="AD716" s="580">
        <f t="shared" si="91"/>
        <v>5</v>
      </c>
      <c r="AE716" s="580">
        <f t="shared" si="92"/>
        <v>2.5</v>
      </c>
      <c r="AF716" s="580">
        <f t="shared" si="93"/>
        <v>2.5</v>
      </c>
      <c r="AG716" s="580">
        <f t="shared" si="94"/>
        <v>0</v>
      </c>
      <c r="AH716" s="580">
        <f t="shared" si="95"/>
        <v>0</v>
      </c>
    </row>
    <row r="717" spans="28:34">
      <c r="AB717" s="580">
        <f>HLOOKUP("*"&amp;'Output annual'!$AC$2&amp;'Output annual'!$AD$2&amp;"*Zone People Number Of Occupants [](Hourly)",'Eplus results'!$1:$1048576,ROW(),FALSE)</f>
        <v>0</v>
      </c>
      <c r="AC717" s="580">
        <f>HLOOKUP("*"&amp;'Output annual'!$AC$2&amp;'Output annual'!$AD$2&amp;"*FangerPMV(Hourly)",'Eplus results'!$1:$1048576,ROW(),FALSE)</f>
        <v>0</v>
      </c>
      <c r="AD717" s="580">
        <f t="shared" si="91"/>
        <v>5</v>
      </c>
      <c r="AE717" s="580">
        <f t="shared" si="92"/>
        <v>2.5</v>
      </c>
      <c r="AF717" s="580">
        <f t="shared" si="93"/>
        <v>2.5</v>
      </c>
      <c r="AG717" s="580">
        <f t="shared" si="94"/>
        <v>0</v>
      </c>
      <c r="AH717" s="580">
        <f t="shared" si="95"/>
        <v>0</v>
      </c>
    </row>
    <row r="718" spans="28:34">
      <c r="AB718" s="580">
        <f>HLOOKUP("*"&amp;'Output annual'!$AC$2&amp;'Output annual'!$AD$2&amp;"*Zone People Number Of Occupants [](Hourly)",'Eplus results'!$1:$1048576,ROW(),FALSE)</f>
        <v>0</v>
      </c>
      <c r="AC718" s="580">
        <f>HLOOKUP("*"&amp;'Output annual'!$AC$2&amp;'Output annual'!$AD$2&amp;"*FangerPMV(Hourly)",'Eplus results'!$1:$1048576,ROW(),FALSE)</f>
        <v>0</v>
      </c>
      <c r="AD718" s="580">
        <f t="shared" si="91"/>
        <v>5</v>
      </c>
      <c r="AE718" s="580">
        <f t="shared" si="92"/>
        <v>2.5</v>
      </c>
      <c r="AF718" s="580">
        <f t="shared" si="93"/>
        <v>2.5</v>
      </c>
      <c r="AG718" s="580">
        <f t="shared" si="94"/>
        <v>0</v>
      </c>
      <c r="AH718" s="580">
        <f t="shared" si="95"/>
        <v>0</v>
      </c>
    </row>
    <row r="719" spans="28:34">
      <c r="AB719" s="580">
        <f>HLOOKUP("*"&amp;'Output annual'!$AC$2&amp;'Output annual'!$AD$2&amp;"*Zone People Number Of Occupants [](Hourly)",'Eplus results'!$1:$1048576,ROW(),FALSE)</f>
        <v>0</v>
      </c>
      <c r="AC719" s="580">
        <f>HLOOKUP("*"&amp;'Output annual'!$AC$2&amp;'Output annual'!$AD$2&amp;"*FangerPMV(Hourly)",'Eplus results'!$1:$1048576,ROW(),FALSE)</f>
        <v>0</v>
      </c>
      <c r="AD719" s="580">
        <f t="shared" si="91"/>
        <v>5</v>
      </c>
      <c r="AE719" s="580">
        <f t="shared" si="92"/>
        <v>2.5</v>
      </c>
      <c r="AF719" s="580">
        <f t="shared" si="93"/>
        <v>2.5</v>
      </c>
      <c r="AG719" s="580">
        <f t="shared" si="94"/>
        <v>0</v>
      </c>
      <c r="AH719" s="580">
        <f t="shared" si="95"/>
        <v>0</v>
      </c>
    </row>
    <row r="720" spans="28:34">
      <c r="AB720" s="580">
        <f>HLOOKUP("*"&amp;'Output annual'!$AC$2&amp;'Output annual'!$AD$2&amp;"*Zone People Number Of Occupants [](Hourly)",'Eplus results'!$1:$1048576,ROW(),FALSE)</f>
        <v>0</v>
      </c>
      <c r="AC720" s="580">
        <f>HLOOKUP("*"&amp;'Output annual'!$AC$2&amp;'Output annual'!$AD$2&amp;"*FangerPMV(Hourly)",'Eplus results'!$1:$1048576,ROW(),FALSE)</f>
        <v>0</v>
      </c>
      <c r="AD720" s="580">
        <f t="shared" si="91"/>
        <v>5</v>
      </c>
      <c r="AE720" s="580">
        <f t="shared" si="92"/>
        <v>2.5</v>
      </c>
      <c r="AF720" s="580">
        <f t="shared" si="93"/>
        <v>2.5</v>
      </c>
      <c r="AG720" s="580">
        <f t="shared" si="94"/>
        <v>0</v>
      </c>
      <c r="AH720" s="580">
        <f t="shared" si="95"/>
        <v>0</v>
      </c>
    </row>
    <row r="721" spans="28:34">
      <c r="AB721" s="580">
        <f>HLOOKUP("*"&amp;'Output annual'!$AC$2&amp;'Output annual'!$AD$2&amp;"*Zone People Number Of Occupants [](Hourly)",'Eplus results'!$1:$1048576,ROW(),FALSE)</f>
        <v>0</v>
      </c>
      <c r="AC721" s="580">
        <f>HLOOKUP("*"&amp;'Output annual'!$AC$2&amp;'Output annual'!$AD$2&amp;"*FangerPMV(Hourly)",'Eplus results'!$1:$1048576,ROW(),FALSE)</f>
        <v>0</v>
      </c>
      <c r="AD721" s="580">
        <f t="shared" si="91"/>
        <v>5</v>
      </c>
      <c r="AE721" s="580">
        <f t="shared" si="92"/>
        <v>2.5</v>
      </c>
      <c r="AF721" s="580">
        <f t="shared" si="93"/>
        <v>2.5</v>
      </c>
      <c r="AG721" s="580">
        <f t="shared" si="94"/>
        <v>0</v>
      </c>
      <c r="AH721" s="580">
        <f t="shared" si="95"/>
        <v>0</v>
      </c>
    </row>
    <row r="722" spans="28:34">
      <c r="AB722" s="580">
        <f>HLOOKUP("*"&amp;'Output annual'!$AC$2&amp;'Output annual'!$AD$2&amp;"*Zone People Number Of Occupants [](Hourly)",'Eplus results'!$1:$1048576,ROW(),FALSE)</f>
        <v>0</v>
      </c>
      <c r="AC722" s="580">
        <f>HLOOKUP("*"&amp;'Output annual'!$AC$2&amp;'Output annual'!$AD$2&amp;"*FangerPMV(Hourly)",'Eplus results'!$1:$1048576,ROW(),FALSE)</f>
        <v>0</v>
      </c>
      <c r="AD722" s="580">
        <f t="shared" si="91"/>
        <v>5</v>
      </c>
      <c r="AE722" s="580">
        <f t="shared" si="92"/>
        <v>2.5</v>
      </c>
      <c r="AF722" s="580">
        <f t="shared" si="93"/>
        <v>2.5</v>
      </c>
      <c r="AG722" s="580">
        <f t="shared" si="94"/>
        <v>0</v>
      </c>
      <c r="AH722" s="580">
        <f t="shared" si="95"/>
        <v>0</v>
      </c>
    </row>
    <row r="723" spans="28:34">
      <c r="AB723" s="580">
        <f>HLOOKUP("*"&amp;'Output annual'!$AC$2&amp;'Output annual'!$AD$2&amp;"*Zone People Number Of Occupants [](Hourly)",'Eplus results'!$1:$1048576,ROW(),FALSE)</f>
        <v>0</v>
      </c>
      <c r="AC723" s="580">
        <f>HLOOKUP("*"&amp;'Output annual'!$AC$2&amp;'Output annual'!$AD$2&amp;"*FangerPMV(Hourly)",'Eplus results'!$1:$1048576,ROW(),FALSE)</f>
        <v>0</v>
      </c>
      <c r="AD723" s="580">
        <f t="shared" si="91"/>
        <v>5</v>
      </c>
      <c r="AE723" s="580">
        <f t="shared" si="92"/>
        <v>2.5</v>
      </c>
      <c r="AF723" s="580">
        <f t="shared" si="93"/>
        <v>2.5</v>
      </c>
      <c r="AG723" s="580">
        <f t="shared" si="94"/>
        <v>0</v>
      </c>
      <c r="AH723" s="580">
        <f t="shared" si="95"/>
        <v>0</v>
      </c>
    </row>
    <row r="724" spans="28:34">
      <c r="AB724" s="580">
        <f>HLOOKUP("*"&amp;'Output annual'!$AC$2&amp;'Output annual'!$AD$2&amp;"*Zone People Number Of Occupants [](Hourly)",'Eplus results'!$1:$1048576,ROW(),FALSE)</f>
        <v>0</v>
      </c>
      <c r="AC724" s="580">
        <f>HLOOKUP("*"&amp;'Output annual'!$AC$2&amp;'Output annual'!$AD$2&amp;"*FangerPMV(Hourly)",'Eplus results'!$1:$1048576,ROW(),FALSE)</f>
        <v>0</v>
      </c>
      <c r="AD724" s="580">
        <f t="shared" si="91"/>
        <v>5</v>
      </c>
      <c r="AE724" s="580">
        <f t="shared" si="92"/>
        <v>2.5</v>
      </c>
      <c r="AF724" s="580">
        <f t="shared" si="93"/>
        <v>2.5</v>
      </c>
      <c r="AG724" s="580">
        <f t="shared" si="94"/>
        <v>0</v>
      </c>
      <c r="AH724" s="580">
        <f t="shared" si="95"/>
        <v>0</v>
      </c>
    </row>
    <row r="725" spans="28:34">
      <c r="AB725" s="580">
        <f>HLOOKUP("*"&amp;'Output annual'!$AC$2&amp;'Output annual'!$AD$2&amp;"*Zone People Number Of Occupants [](Hourly)",'Eplus results'!$1:$1048576,ROW(),FALSE)</f>
        <v>0</v>
      </c>
      <c r="AC725" s="580">
        <f>HLOOKUP("*"&amp;'Output annual'!$AC$2&amp;'Output annual'!$AD$2&amp;"*FangerPMV(Hourly)",'Eplus results'!$1:$1048576,ROW(),FALSE)</f>
        <v>0</v>
      </c>
      <c r="AD725" s="580">
        <f t="shared" si="91"/>
        <v>5</v>
      </c>
      <c r="AE725" s="580">
        <f t="shared" si="92"/>
        <v>2.5</v>
      </c>
      <c r="AF725" s="580">
        <f t="shared" si="93"/>
        <v>2.5</v>
      </c>
      <c r="AG725" s="580">
        <f t="shared" si="94"/>
        <v>0</v>
      </c>
      <c r="AH725" s="580">
        <f t="shared" si="95"/>
        <v>0</v>
      </c>
    </row>
    <row r="726" spans="28:34">
      <c r="AB726" s="580">
        <f>HLOOKUP("*"&amp;'Output annual'!$AC$2&amp;'Output annual'!$AD$2&amp;"*Zone People Number Of Occupants [](Hourly)",'Eplus results'!$1:$1048576,ROW(),FALSE)</f>
        <v>0</v>
      </c>
      <c r="AC726" s="580">
        <f>HLOOKUP("*"&amp;'Output annual'!$AC$2&amp;'Output annual'!$AD$2&amp;"*FangerPMV(Hourly)",'Eplus results'!$1:$1048576,ROW(),FALSE)</f>
        <v>0</v>
      </c>
      <c r="AD726" s="580">
        <f t="shared" si="91"/>
        <v>5</v>
      </c>
      <c r="AE726" s="580">
        <f t="shared" si="92"/>
        <v>2.5</v>
      </c>
      <c r="AF726" s="580">
        <f t="shared" si="93"/>
        <v>2.5</v>
      </c>
      <c r="AG726" s="580">
        <f t="shared" si="94"/>
        <v>0</v>
      </c>
      <c r="AH726" s="580">
        <f t="shared" si="95"/>
        <v>0</v>
      </c>
    </row>
    <row r="727" spans="28:34">
      <c r="AB727" s="580">
        <f>HLOOKUP("*"&amp;'Output annual'!$AC$2&amp;'Output annual'!$AD$2&amp;"*Zone People Number Of Occupants [](Hourly)",'Eplus results'!$1:$1048576,ROW(),FALSE)</f>
        <v>0</v>
      </c>
      <c r="AC727" s="580">
        <f>HLOOKUP("*"&amp;'Output annual'!$AC$2&amp;'Output annual'!$AD$2&amp;"*FangerPMV(Hourly)",'Eplus results'!$1:$1048576,ROW(),FALSE)</f>
        <v>0</v>
      </c>
      <c r="AD727" s="580">
        <f t="shared" si="91"/>
        <v>5</v>
      </c>
      <c r="AE727" s="580">
        <f t="shared" si="92"/>
        <v>2.5</v>
      </c>
      <c r="AF727" s="580">
        <f t="shared" si="93"/>
        <v>2.5</v>
      </c>
      <c r="AG727" s="580">
        <f t="shared" si="94"/>
        <v>0</v>
      </c>
      <c r="AH727" s="580">
        <f t="shared" si="95"/>
        <v>0</v>
      </c>
    </row>
    <row r="728" spans="28:34">
      <c r="AB728" s="580">
        <f>HLOOKUP("*"&amp;'Output annual'!$AC$2&amp;'Output annual'!$AD$2&amp;"*Zone People Number Of Occupants [](Hourly)",'Eplus results'!$1:$1048576,ROW(),FALSE)</f>
        <v>0</v>
      </c>
      <c r="AC728" s="580">
        <f>HLOOKUP("*"&amp;'Output annual'!$AC$2&amp;'Output annual'!$AD$2&amp;"*FangerPMV(Hourly)",'Eplus results'!$1:$1048576,ROW(),FALSE)</f>
        <v>0</v>
      </c>
      <c r="AD728" s="580">
        <f t="shared" si="91"/>
        <v>5</v>
      </c>
      <c r="AE728" s="580">
        <f t="shared" si="92"/>
        <v>2.5</v>
      </c>
      <c r="AF728" s="580">
        <f t="shared" si="93"/>
        <v>2.5</v>
      </c>
      <c r="AG728" s="580">
        <f t="shared" si="94"/>
        <v>0</v>
      </c>
      <c r="AH728" s="580">
        <f t="shared" si="95"/>
        <v>0</v>
      </c>
    </row>
    <row r="729" spans="28:34">
      <c r="AB729" s="580">
        <f>HLOOKUP("*"&amp;'Output annual'!$AC$2&amp;'Output annual'!$AD$2&amp;"*Zone People Number Of Occupants [](Hourly)",'Eplus results'!$1:$1048576,ROW(),FALSE)</f>
        <v>0</v>
      </c>
      <c r="AC729" s="580">
        <f>HLOOKUP("*"&amp;'Output annual'!$AC$2&amp;'Output annual'!$AD$2&amp;"*FangerPMV(Hourly)",'Eplus results'!$1:$1048576,ROW(),FALSE)</f>
        <v>0</v>
      </c>
      <c r="AD729" s="580">
        <f t="shared" si="91"/>
        <v>5</v>
      </c>
      <c r="AE729" s="580">
        <f t="shared" si="92"/>
        <v>2.5</v>
      </c>
      <c r="AF729" s="580">
        <f t="shared" si="93"/>
        <v>2.5</v>
      </c>
      <c r="AG729" s="580">
        <f t="shared" si="94"/>
        <v>0</v>
      </c>
      <c r="AH729" s="580">
        <f t="shared" si="95"/>
        <v>0</v>
      </c>
    </row>
    <row r="730" spans="28:34">
      <c r="AB730" s="580">
        <f>HLOOKUP("*"&amp;'Output annual'!$AC$2&amp;'Output annual'!$AD$2&amp;"*Zone People Number Of Occupants [](Hourly)",'Eplus results'!$1:$1048576,ROW(),FALSE)</f>
        <v>0</v>
      </c>
      <c r="AC730" s="580">
        <f>HLOOKUP("*"&amp;'Output annual'!$AC$2&amp;'Output annual'!$AD$2&amp;"*FangerPMV(Hourly)",'Eplus results'!$1:$1048576,ROW(),FALSE)</f>
        <v>0</v>
      </c>
      <c r="AD730" s="580">
        <f t="shared" si="91"/>
        <v>5</v>
      </c>
      <c r="AE730" s="580">
        <f t="shared" si="92"/>
        <v>2.5</v>
      </c>
      <c r="AF730" s="580">
        <f t="shared" si="93"/>
        <v>2.5</v>
      </c>
      <c r="AG730" s="580">
        <f t="shared" si="94"/>
        <v>0</v>
      </c>
      <c r="AH730" s="580">
        <f t="shared" si="95"/>
        <v>0</v>
      </c>
    </row>
    <row r="731" spans="28:34">
      <c r="AB731" s="580">
        <f>HLOOKUP("*"&amp;'Output annual'!$AC$2&amp;'Output annual'!$AD$2&amp;"*Zone People Number Of Occupants [](Hourly)",'Eplus results'!$1:$1048576,ROW(),FALSE)</f>
        <v>0</v>
      </c>
      <c r="AC731" s="580">
        <f>HLOOKUP("*"&amp;'Output annual'!$AC$2&amp;'Output annual'!$AD$2&amp;"*FangerPMV(Hourly)",'Eplus results'!$1:$1048576,ROW(),FALSE)</f>
        <v>0</v>
      </c>
      <c r="AD731" s="580">
        <f t="shared" si="91"/>
        <v>5</v>
      </c>
      <c r="AE731" s="580">
        <f t="shared" si="92"/>
        <v>2.5</v>
      </c>
      <c r="AF731" s="580">
        <f t="shared" si="93"/>
        <v>2.5</v>
      </c>
      <c r="AG731" s="580">
        <f t="shared" si="94"/>
        <v>0</v>
      </c>
      <c r="AH731" s="580">
        <f t="shared" si="95"/>
        <v>0</v>
      </c>
    </row>
    <row r="732" spans="28:34">
      <c r="AB732" s="580">
        <f>HLOOKUP("*"&amp;'Output annual'!$AC$2&amp;'Output annual'!$AD$2&amp;"*Zone People Number Of Occupants [](Hourly)",'Eplus results'!$1:$1048576,ROW(),FALSE)</f>
        <v>0</v>
      </c>
      <c r="AC732" s="580">
        <f>HLOOKUP("*"&amp;'Output annual'!$AC$2&amp;'Output annual'!$AD$2&amp;"*FangerPMV(Hourly)",'Eplus results'!$1:$1048576,ROW(),FALSE)</f>
        <v>0</v>
      </c>
      <c r="AD732" s="580">
        <f t="shared" si="91"/>
        <v>5</v>
      </c>
      <c r="AE732" s="580">
        <f t="shared" si="92"/>
        <v>2.5</v>
      </c>
      <c r="AF732" s="580">
        <f t="shared" si="93"/>
        <v>2.5</v>
      </c>
      <c r="AG732" s="580">
        <f t="shared" si="94"/>
        <v>0</v>
      </c>
      <c r="AH732" s="580">
        <f t="shared" si="95"/>
        <v>0</v>
      </c>
    </row>
    <row r="733" spans="28:34">
      <c r="AB733" s="580">
        <f>HLOOKUP("*"&amp;'Output annual'!$AC$2&amp;'Output annual'!$AD$2&amp;"*Zone People Number Of Occupants [](Hourly)",'Eplus results'!$1:$1048576,ROW(),FALSE)</f>
        <v>0</v>
      </c>
      <c r="AC733" s="580">
        <f>HLOOKUP("*"&amp;'Output annual'!$AC$2&amp;'Output annual'!$AD$2&amp;"*FangerPMV(Hourly)",'Eplus results'!$1:$1048576,ROW(),FALSE)</f>
        <v>0</v>
      </c>
      <c r="AD733" s="580">
        <f t="shared" si="91"/>
        <v>5</v>
      </c>
      <c r="AE733" s="580">
        <f t="shared" si="92"/>
        <v>2.5</v>
      </c>
      <c r="AF733" s="580">
        <f t="shared" si="93"/>
        <v>2.5</v>
      </c>
      <c r="AG733" s="580">
        <f t="shared" si="94"/>
        <v>0</v>
      </c>
      <c r="AH733" s="580">
        <f t="shared" si="95"/>
        <v>0</v>
      </c>
    </row>
    <row r="734" spans="28:34">
      <c r="AB734" s="580">
        <f>HLOOKUP("*"&amp;'Output annual'!$AC$2&amp;'Output annual'!$AD$2&amp;"*Zone People Number Of Occupants [](Hourly)",'Eplus results'!$1:$1048576,ROW(),FALSE)</f>
        <v>0</v>
      </c>
      <c r="AC734" s="580">
        <f>HLOOKUP("*"&amp;'Output annual'!$AC$2&amp;'Output annual'!$AD$2&amp;"*FangerPMV(Hourly)",'Eplus results'!$1:$1048576,ROW(),FALSE)</f>
        <v>0</v>
      </c>
      <c r="AD734" s="580">
        <f t="shared" si="91"/>
        <v>5</v>
      </c>
      <c r="AE734" s="580">
        <f t="shared" si="92"/>
        <v>2.5</v>
      </c>
      <c r="AF734" s="580">
        <f t="shared" si="93"/>
        <v>2.5</v>
      </c>
      <c r="AG734" s="580">
        <f t="shared" si="94"/>
        <v>0</v>
      </c>
      <c r="AH734" s="580">
        <f t="shared" si="95"/>
        <v>0</v>
      </c>
    </row>
    <row r="735" spans="28:34">
      <c r="AB735" s="580">
        <f>HLOOKUP("*"&amp;'Output annual'!$AC$2&amp;'Output annual'!$AD$2&amp;"*Zone People Number Of Occupants [](Hourly)",'Eplus results'!$1:$1048576,ROW(),FALSE)</f>
        <v>0</v>
      </c>
      <c r="AC735" s="580">
        <f>HLOOKUP("*"&amp;'Output annual'!$AC$2&amp;'Output annual'!$AD$2&amp;"*FangerPMV(Hourly)",'Eplus results'!$1:$1048576,ROW(),FALSE)</f>
        <v>0</v>
      </c>
      <c r="AD735" s="580">
        <f t="shared" si="91"/>
        <v>5</v>
      </c>
      <c r="AE735" s="580">
        <f t="shared" si="92"/>
        <v>2.5</v>
      </c>
      <c r="AF735" s="580">
        <f t="shared" si="93"/>
        <v>2.5</v>
      </c>
      <c r="AG735" s="580">
        <f t="shared" si="94"/>
        <v>0</v>
      </c>
      <c r="AH735" s="580">
        <f t="shared" si="95"/>
        <v>0</v>
      </c>
    </row>
    <row r="736" spans="28:34">
      <c r="AB736" s="580">
        <f>HLOOKUP("*"&amp;'Output annual'!$AC$2&amp;'Output annual'!$AD$2&amp;"*Zone People Number Of Occupants [](Hourly)",'Eplus results'!$1:$1048576,ROW(),FALSE)</f>
        <v>0</v>
      </c>
      <c r="AC736" s="580">
        <f>HLOOKUP("*"&amp;'Output annual'!$AC$2&amp;'Output annual'!$AD$2&amp;"*FangerPMV(Hourly)",'Eplus results'!$1:$1048576,ROW(),FALSE)</f>
        <v>0</v>
      </c>
      <c r="AD736" s="580">
        <f t="shared" si="91"/>
        <v>5</v>
      </c>
      <c r="AE736" s="580">
        <f t="shared" si="92"/>
        <v>2.5</v>
      </c>
      <c r="AF736" s="580">
        <f t="shared" si="93"/>
        <v>2.5</v>
      </c>
      <c r="AG736" s="580">
        <f t="shared" si="94"/>
        <v>0</v>
      </c>
      <c r="AH736" s="580">
        <f t="shared" si="95"/>
        <v>0</v>
      </c>
    </row>
    <row r="737" spans="28:34">
      <c r="AB737" s="580">
        <f>HLOOKUP("*"&amp;'Output annual'!$AC$2&amp;'Output annual'!$AD$2&amp;"*Zone People Number Of Occupants [](Hourly)",'Eplus results'!$1:$1048576,ROW(),FALSE)</f>
        <v>0</v>
      </c>
      <c r="AC737" s="580">
        <f>HLOOKUP("*"&amp;'Output annual'!$AC$2&amp;'Output annual'!$AD$2&amp;"*FangerPMV(Hourly)",'Eplus results'!$1:$1048576,ROW(),FALSE)</f>
        <v>0</v>
      </c>
      <c r="AD737" s="580">
        <f t="shared" si="91"/>
        <v>5</v>
      </c>
      <c r="AE737" s="580">
        <f t="shared" si="92"/>
        <v>2.5</v>
      </c>
      <c r="AF737" s="580">
        <f t="shared" si="93"/>
        <v>2.5</v>
      </c>
      <c r="AG737" s="580">
        <f t="shared" si="94"/>
        <v>0</v>
      </c>
      <c r="AH737" s="580">
        <f t="shared" si="95"/>
        <v>0</v>
      </c>
    </row>
    <row r="738" spans="28:34">
      <c r="AB738" s="580">
        <f>HLOOKUP("*"&amp;'Output annual'!$AC$2&amp;'Output annual'!$AD$2&amp;"*Zone People Number Of Occupants [](Hourly)",'Eplus results'!$1:$1048576,ROW(),FALSE)</f>
        <v>0</v>
      </c>
      <c r="AC738" s="580">
        <f>HLOOKUP("*"&amp;'Output annual'!$AC$2&amp;'Output annual'!$AD$2&amp;"*FangerPMV(Hourly)",'Eplus results'!$1:$1048576,ROW(),FALSE)</f>
        <v>0</v>
      </c>
      <c r="AD738" s="580">
        <f t="shared" si="91"/>
        <v>5</v>
      </c>
      <c r="AE738" s="580">
        <f t="shared" si="92"/>
        <v>2.5</v>
      </c>
      <c r="AF738" s="580">
        <f t="shared" si="93"/>
        <v>2.5</v>
      </c>
      <c r="AG738" s="580">
        <f t="shared" si="94"/>
        <v>0</v>
      </c>
      <c r="AH738" s="580">
        <f t="shared" si="95"/>
        <v>0</v>
      </c>
    </row>
    <row r="739" spans="28:34">
      <c r="AB739" s="580">
        <f>HLOOKUP("*"&amp;'Output annual'!$AC$2&amp;'Output annual'!$AD$2&amp;"*Zone People Number Of Occupants [](Hourly)",'Eplus results'!$1:$1048576,ROW(),FALSE)</f>
        <v>0</v>
      </c>
      <c r="AC739" s="580">
        <f>HLOOKUP("*"&amp;'Output annual'!$AC$2&amp;'Output annual'!$AD$2&amp;"*FangerPMV(Hourly)",'Eplus results'!$1:$1048576,ROW(),FALSE)</f>
        <v>0</v>
      </c>
      <c r="AD739" s="580">
        <f t="shared" si="91"/>
        <v>5</v>
      </c>
      <c r="AE739" s="580">
        <f t="shared" si="92"/>
        <v>2.5</v>
      </c>
      <c r="AF739" s="580">
        <f t="shared" si="93"/>
        <v>2.5</v>
      </c>
      <c r="AG739" s="580">
        <f t="shared" si="94"/>
        <v>0</v>
      </c>
      <c r="AH739" s="580">
        <f t="shared" si="95"/>
        <v>0</v>
      </c>
    </row>
    <row r="740" spans="28:34">
      <c r="AB740" s="580">
        <f>HLOOKUP("*"&amp;'Output annual'!$AC$2&amp;'Output annual'!$AD$2&amp;"*Zone People Number Of Occupants [](Hourly)",'Eplus results'!$1:$1048576,ROW(),FALSE)</f>
        <v>0</v>
      </c>
      <c r="AC740" s="580">
        <f>HLOOKUP("*"&amp;'Output annual'!$AC$2&amp;'Output annual'!$AD$2&amp;"*FangerPMV(Hourly)",'Eplus results'!$1:$1048576,ROW(),FALSE)</f>
        <v>0</v>
      </c>
      <c r="AD740" s="580">
        <f t="shared" si="91"/>
        <v>5</v>
      </c>
      <c r="AE740" s="580">
        <f t="shared" si="92"/>
        <v>2.5</v>
      </c>
      <c r="AF740" s="580">
        <f t="shared" si="93"/>
        <v>2.5</v>
      </c>
      <c r="AG740" s="580">
        <f t="shared" si="94"/>
        <v>0</v>
      </c>
      <c r="AH740" s="580">
        <f t="shared" si="95"/>
        <v>0</v>
      </c>
    </row>
    <row r="741" spans="28:34">
      <c r="AB741" s="580">
        <f>HLOOKUP("*"&amp;'Output annual'!$AC$2&amp;'Output annual'!$AD$2&amp;"*Zone People Number Of Occupants [](Hourly)",'Eplus results'!$1:$1048576,ROW(),FALSE)</f>
        <v>0</v>
      </c>
      <c r="AC741" s="580">
        <f>HLOOKUP("*"&amp;'Output annual'!$AC$2&amp;'Output annual'!$AD$2&amp;"*FangerPMV(Hourly)",'Eplus results'!$1:$1048576,ROW(),FALSE)</f>
        <v>0</v>
      </c>
      <c r="AD741" s="580">
        <f t="shared" si="91"/>
        <v>5</v>
      </c>
      <c r="AE741" s="580">
        <f t="shared" si="92"/>
        <v>2.5</v>
      </c>
      <c r="AF741" s="580">
        <f t="shared" si="93"/>
        <v>2.5</v>
      </c>
      <c r="AG741" s="580">
        <f t="shared" si="94"/>
        <v>0</v>
      </c>
      <c r="AH741" s="580">
        <f t="shared" si="95"/>
        <v>0</v>
      </c>
    </row>
    <row r="742" spans="28:34">
      <c r="AB742" s="580">
        <f>HLOOKUP("*"&amp;'Output annual'!$AC$2&amp;'Output annual'!$AD$2&amp;"*Zone People Number Of Occupants [](Hourly)",'Eplus results'!$1:$1048576,ROW(),FALSE)</f>
        <v>0</v>
      </c>
      <c r="AC742" s="580">
        <f>HLOOKUP("*"&amp;'Output annual'!$AC$2&amp;'Output annual'!$AD$2&amp;"*FangerPMV(Hourly)",'Eplus results'!$1:$1048576,ROW(),FALSE)</f>
        <v>0</v>
      </c>
      <c r="AD742" s="580">
        <f t="shared" si="91"/>
        <v>5</v>
      </c>
      <c r="AE742" s="580">
        <f t="shared" si="92"/>
        <v>2.5</v>
      </c>
      <c r="AF742" s="580">
        <f t="shared" si="93"/>
        <v>2.5</v>
      </c>
      <c r="AG742" s="580">
        <f t="shared" si="94"/>
        <v>0</v>
      </c>
      <c r="AH742" s="580">
        <f t="shared" si="95"/>
        <v>0</v>
      </c>
    </row>
    <row r="743" spans="28:34">
      <c r="AB743" s="580">
        <f>HLOOKUP("*"&amp;'Output annual'!$AC$2&amp;'Output annual'!$AD$2&amp;"*Zone People Number Of Occupants [](Hourly)",'Eplus results'!$1:$1048576,ROW(),FALSE)</f>
        <v>0</v>
      </c>
      <c r="AC743" s="580">
        <f>HLOOKUP("*"&amp;'Output annual'!$AC$2&amp;'Output annual'!$AD$2&amp;"*FangerPMV(Hourly)",'Eplus results'!$1:$1048576,ROW(),FALSE)</f>
        <v>0</v>
      </c>
      <c r="AD743" s="580">
        <f t="shared" si="91"/>
        <v>5</v>
      </c>
      <c r="AE743" s="580">
        <f t="shared" si="92"/>
        <v>2.5</v>
      </c>
      <c r="AF743" s="580">
        <f t="shared" si="93"/>
        <v>2.5</v>
      </c>
      <c r="AG743" s="580">
        <f t="shared" si="94"/>
        <v>0</v>
      </c>
      <c r="AH743" s="580">
        <f t="shared" si="95"/>
        <v>0</v>
      </c>
    </row>
    <row r="744" spans="28:34">
      <c r="AB744" s="580">
        <f>HLOOKUP("*"&amp;'Output annual'!$AC$2&amp;'Output annual'!$AD$2&amp;"*Zone People Number Of Occupants [](Hourly)",'Eplus results'!$1:$1048576,ROW(),FALSE)</f>
        <v>0</v>
      </c>
      <c r="AC744" s="580">
        <f>HLOOKUP("*"&amp;'Output annual'!$AC$2&amp;'Output annual'!$AD$2&amp;"*FangerPMV(Hourly)",'Eplus results'!$1:$1048576,ROW(),FALSE)</f>
        <v>0</v>
      </c>
      <c r="AD744" s="580">
        <f t="shared" si="91"/>
        <v>5</v>
      </c>
      <c r="AE744" s="580">
        <f t="shared" si="92"/>
        <v>2.5</v>
      </c>
      <c r="AF744" s="580">
        <f t="shared" si="93"/>
        <v>2.5</v>
      </c>
      <c r="AG744" s="580">
        <f t="shared" si="94"/>
        <v>0</v>
      </c>
      <c r="AH744" s="580">
        <f t="shared" si="95"/>
        <v>0</v>
      </c>
    </row>
    <row r="745" spans="28:34">
      <c r="AB745" s="580">
        <f>HLOOKUP("*"&amp;'Output annual'!$AC$2&amp;'Output annual'!$AD$2&amp;"*Zone People Number Of Occupants [](Hourly)",'Eplus results'!$1:$1048576,ROW(),FALSE)</f>
        <v>0</v>
      </c>
      <c r="AC745" s="580">
        <f>HLOOKUP("*"&amp;'Output annual'!$AC$2&amp;'Output annual'!$AD$2&amp;"*FangerPMV(Hourly)",'Eplus results'!$1:$1048576,ROW(),FALSE)</f>
        <v>0</v>
      </c>
      <c r="AD745" s="580">
        <f t="shared" si="91"/>
        <v>5</v>
      </c>
      <c r="AE745" s="580">
        <f t="shared" si="92"/>
        <v>2.5</v>
      </c>
      <c r="AF745" s="580">
        <f t="shared" si="93"/>
        <v>2.5</v>
      </c>
      <c r="AG745" s="580">
        <f t="shared" si="94"/>
        <v>0</v>
      </c>
      <c r="AH745" s="580">
        <f t="shared" si="95"/>
        <v>0</v>
      </c>
    </row>
    <row r="746" spans="28:34">
      <c r="AB746" s="580">
        <f>HLOOKUP("*"&amp;'Output annual'!$AC$2&amp;'Output annual'!$AD$2&amp;"*Zone People Number Of Occupants [](Hourly)",'Eplus results'!$1:$1048576,ROW(),FALSE)</f>
        <v>0</v>
      </c>
      <c r="AC746" s="580">
        <f>HLOOKUP("*"&amp;'Output annual'!$AC$2&amp;'Output annual'!$AD$2&amp;"*FangerPMV(Hourly)",'Eplus results'!$1:$1048576,ROW(),FALSE)</f>
        <v>0</v>
      </c>
      <c r="AD746" s="580">
        <f t="shared" si="91"/>
        <v>5</v>
      </c>
      <c r="AE746" s="580">
        <f t="shared" si="92"/>
        <v>2.5</v>
      </c>
      <c r="AF746" s="580">
        <f t="shared" si="93"/>
        <v>2.5</v>
      </c>
      <c r="AG746" s="580">
        <f t="shared" si="94"/>
        <v>0</v>
      </c>
      <c r="AH746" s="580">
        <f t="shared" si="95"/>
        <v>0</v>
      </c>
    </row>
    <row r="747" spans="28:34">
      <c r="AB747" s="580">
        <f>HLOOKUP("*"&amp;'Output annual'!$AC$2&amp;'Output annual'!$AD$2&amp;"*Zone People Number Of Occupants [](Hourly)",'Eplus results'!$1:$1048576,ROW(),FALSE)</f>
        <v>0</v>
      </c>
      <c r="AC747" s="580">
        <f>HLOOKUP("*"&amp;'Output annual'!$AC$2&amp;'Output annual'!$AD$2&amp;"*FangerPMV(Hourly)",'Eplus results'!$1:$1048576,ROW(),FALSE)</f>
        <v>0</v>
      </c>
      <c r="AD747" s="580">
        <f t="shared" si="91"/>
        <v>5</v>
      </c>
      <c r="AE747" s="580">
        <f t="shared" si="92"/>
        <v>2.5</v>
      </c>
      <c r="AF747" s="580">
        <f t="shared" si="93"/>
        <v>2.5</v>
      </c>
      <c r="AG747" s="580">
        <f t="shared" si="94"/>
        <v>0</v>
      </c>
      <c r="AH747" s="580">
        <f t="shared" si="95"/>
        <v>0</v>
      </c>
    </row>
    <row r="748" spans="28:34">
      <c r="AB748" s="580">
        <f>HLOOKUP("*"&amp;'Output annual'!$AC$2&amp;'Output annual'!$AD$2&amp;"*Zone People Number Of Occupants [](Hourly)",'Eplus results'!$1:$1048576,ROW(),FALSE)</f>
        <v>0</v>
      </c>
      <c r="AC748" s="580">
        <f>HLOOKUP("*"&amp;'Output annual'!$AC$2&amp;'Output annual'!$AD$2&amp;"*FangerPMV(Hourly)",'Eplus results'!$1:$1048576,ROW(),FALSE)</f>
        <v>0</v>
      </c>
      <c r="AD748" s="580">
        <f t="shared" si="91"/>
        <v>5</v>
      </c>
      <c r="AE748" s="580">
        <f t="shared" si="92"/>
        <v>2.5</v>
      </c>
      <c r="AF748" s="580">
        <f t="shared" si="93"/>
        <v>2.5</v>
      </c>
      <c r="AG748" s="580">
        <f t="shared" si="94"/>
        <v>0</v>
      </c>
      <c r="AH748" s="580">
        <f t="shared" si="95"/>
        <v>0</v>
      </c>
    </row>
    <row r="749" spans="28:34">
      <c r="AB749" s="580">
        <f>HLOOKUP("*"&amp;'Output annual'!$AC$2&amp;'Output annual'!$AD$2&amp;"*Zone People Number Of Occupants [](Hourly)",'Eplus results'!$1:$1048576,ROW(),FALSE)</f>
        <v>0</v>
      </c>
      <c r="AC749" s="580">
        <f>HLOOKUP("*"&amp;'Output annual'!$AC$2&amp;'Output annual'!$AD$2&amp;"*FangerPMV(Hourly)",'Eplus results'!$1:$1048576,ROW(),FALSE)</f>
        <v>0</v>
      </c>
      <c r="AD749" s="580">
        <f t="shared" si="91"/>
        <v>5</v>
      </c>
      <c r="AE749" s="580">
        <f t="shared" si="92"/>
        <v>2.5</v>
      </c>
      <c r="AF749" s="580">
        <f t="shared" si="93"/>
        <v>2.5</v>
      </c>
      <c r="AG749" s="580">
        <f t="shared" si="94"/>
        <v>0</v>
      </c>
      <c r="AH749" s="580">
        <f t="shared" si="95"/>
        <v>0</v>
      </c>
    </row>
    <row r="750" spans="28:34">
      <c r="AB750" s="580">
        <f>HLOOKUP("*"&amp;'Output annual'!$AC$2&amp;'Output annual'!$AD$2&amp;"*Zone People Number Of Occupants [](Hourly)",'Eplus results'!$1:$1048576,ROW(),FALSE)</f>
        <v>0</v>
      </c>
      <c r="AC750" s="580">
        <f>HLOOKUP("*"&amp;'Output annual'!$AC$2&amp;'Output annual'!$AD$2&amp;"*FangerPMV(Hourly)",'Eplus results'!$1:$1048576,ROW(),FALSE)</f>
        <v>0</v>
      </c>
      <c r="AD750" s="580">
        <f t="shared" si="91"/>
        <v>5</v>
      </c>
      <c r="AE750" s="580">
        <f t="shared" si="92"/>
        <v>2.5</v>
      </c>
      <c r="AF750" s="580">
        <f t="shared" si="93"/>
        <v>2.5</v>
      </c>
      <c r="AG750" s="580">
        <f t="shared" si="94"/>
        <v>0</v>
      </c>
      <c r="AH750" s="580">
        <f t="shared" si="95"/>
        <v>0</v>
      </c>
    </row>
    <row r="751" spans="28:34">
      <c r="AB751" s="580">
        <f>HLOOKUP("*"&amp;'Output annual'!$AC$2&amp;'Output annual'!$AD$2&amp;"*Zone People Number Of Occupants [](Hourly)",'Eplus results'!$1:$1048576,ROW(),FALSE)</f>
        <v>0</v>
      </c>
      <c r="AC751" s="580">
        <f>HLOOKUP("*"&amp;'Output annual'!$AC$2&amp;'Output annual'!$AD$2&amp;"*FangerPMV(Hourly)",'Eplus results'!$1:$1048576,ROW(),FALSE)</f>
        <v>0</v>
      </c>
      <c r="AD751" s="580">
        <f t="shared" si="91"/>
        <v>5</v>
      </c>
      <c r="AE751" s="580">
        <f t="shared" si="92"/>
        <v>2.5</v>
      </c>
      <c r="AF751" s="580">
        <f t="shared" si="93"/>
        <v>2.5</v>
      </c>
      <c r="AG751" s="580">
        <f t="shared" si="94"/>
        <v>0</v>
      </c>
      <c r="AH751" s="580">
        <f t="shared" si="95"/>
        <v>0</v>
      </c>
    </row>
    <row r="752" spans="28:34">
      <c r="AB752" s="580">
        <f>HLOOKUP("*"&amp;'Output annual'!$AC$2&amp;'Output annual'!$AD$2&amp;"*Zone People Number Of Occupants [](Hourly)",'Eplus results'!$1:$1048576,ROW(),FALSE)</f>
        <v>0</v>
      </c>
      <c r="AC752" s="580">
        <f>HLOOKUP("*"&amp;'Output annual'!$AC$2&amp;'Output annual'!$AD$2&amp;"*FangerPMV(Hourly)",'Eplus results'!$1:$1048576,ROW(),FALSE)</f>
        <v>0</v>
      </c>
      <c r="AD752" s="580">
        <f t="shared" si="91"/>
        <v>5</v>
      </c>
      <c r="AE752" s="580">
        <f t="shared" si="92"/>
        <v>2.5</v>
      </c>
      <c r="AF752" s="580">
        <f t="shared" si="93"/>
        <v>2.5</v>
      </c>
      <c r="AG752" s="580">
        <f t="shared" si="94"/>
        <v>0</v>
      </c>
      <c r="AH752" s="580">
        <f t="shared" si="95"/>
        <v>0</v>
      </c>
    </row>
    <row r="753" spans="28:34">
      <c r="AB753" s="580">
        <f>HLOOKUP("*"&amp;'Output annual'!$AC$2&amp;'Output annual'!$AD$2&amp;"*Zone People Number Of Occupants [](Hourly)",'Eplus results'!$1:$1048576,ROW(),FALSE)</f>
        <v>0</v>
      </c>
      <c r="AC753" s="580">
        <f>HLOOKUP("*"&amp;'Output annual'!$AC$2&amp;'Output annual'!$AD$2&amp;"*FangerPMV(Hourly)",'Eplus results'!$1:$1048576,ROW(),FALSE)</f>
        <v>0</v>
      </c>
      <c r="AD753" s="580">
        <f t="shared" si="91"/>
        <v>5</v>
      </c>
      <c r="AE753" s="580">
        <f t="shared" si="92"/>
        <v>2.5</v>
      </c>
      <c r="AF753" s="580">
        <f t="shared" si="93"/>
        <v>2.5</v>
      </c>
      <c r="AG753" s="580">
        <f t="shared" si="94"/>
        <v>0</v>
      </c>
      <c r="AH753" s="580">
        <f t="shared" si="95"/>
        <v>0</v>
      </c>
    </row>
    <row r="754" spans="28:34">
      <c r="AB754" s="580">
        <f>HLOOKUP("*"&amp;'Output annual'!$AC$2&amp;'Output annual'!$AD$2&amp;"*Zone People Number Of Occupants [](Hourly)",'Eplus results'!$1:$1048576,ROW(),FALSE)</f>
        <v>0</v>
      </c>
      <c r="AC754" s="580">
        <f>HLOOKUP("*"&amp;'Output annual'!$AC$2&amp;'Output annual'!$AD$2&amp;"*FangerPMV(Hourly)",'Eplus results'!$1:$1048576,ROW(),FALSE)</f>
        <v>0</v>
      </c>
      <c r="AD754" s="580">
        <f t="shared" si="91"/>
        <v>5</v>
      </c>
      <c r="AE754" s="580">
        <f t="shared" si="92"/>
        <v>2.5</v>
      </c>
      <c r="AF754" s="580">
        <f t="shared" si="93"/>
        <v>2.5</v>
      </c>
      <c r="AG754" s="580">
        <f t="shared" si="94"/>
        <v>0</v>
      </c>
      <c r="AH754" s="580">
        <f t="shared" si="95"/>
        <v>0</v>
      </c>
    </row>
    <row r="755" spans="28:34">
      <c r="AB755" s="580">
        <f>HLOOKUP("*"&amp;'Output annual'!$AC$2&amp;'Output annual'!$AD$2&amp;"*Zone People Number Of Occupants [](Hourly)",'Eplus results'!$1:$1048576,ROW(),FALSE)</f>
        <v>0</v>
      </c>
      <c r="AC755" s="580">
        <f>HLOOKUP("*"&amp;'Output annual'!$AC$2&amp;'Output annual'!$AD$2&amp;"*FangerPMV(Hourly)",'Eplus results'!$1:$1048576,ROW(),FALSE)</f>
        <v>0</v>
      </c>
      <c r="AD755" s="580">
        <f t="shared" si="91"/>
        <v>5</v>
      </c>
      <c r="AE755" s="580">
        <f t="shared" si="92"/>
        <v>2.5</v>
      </c>
      <c r="AF755" s="580">
        <f t="shared" si="93"/>
        <v>2.5</v>
      </c>
      <c r="AG755" s="580">
        <f t="shared" si="94"/>
        <v>0</v>
      </c>
      <c r="AH755" s="580">
        <f t="shared" si="95"/>
        <v>0</v>
      </c>
    </row>
    <row r="756" spans="28:34">
      <c r="AB756" s="580">
        <f>HLOOKUP("*"&amp;'Output annual'!$AC$2&amp;'Output annual'!$AD$2&amp;"*Zone People Number Of Occupants [](Hourly)",'Eplus results'!$1:$1048576,ROW(),FALSE)</f>
        <v>0</v>
      </c>
      <c r="AC756" s="580">
        <f>HLOOKUP("*"&amp;'Output annual'!$AC$2&amp;'Output annual'!$AD$2&amp;"*FangerPMV(Hourly)",'Eplus results'!$1:$1048576,ROW(),FALSE)</f>
        <v>0</v>
      </c>
      <c r="AD756" s="580">
        <f t="shared" si="91"/>
        <v>5</v>
      </c>
      <c r="AE756" s="580">
        <f t="shared" si="92"/>
        <v>2.5</v>
      </c>
      <c r="AF756" s="580">
        <f t="shared" si="93"/>
        <v>2.5</v>
      </c>
      <c r="AG756" s="580">
        <f t="shared" si="94"/>
        <v>0</v>
      </c>
      <c r="AH756" s="580">
        <f t="shared" si="95"/>
        <v>0</v>
      </c>
    </row>
    <row r="757" spans="28:34">
      <c r="AB757" s="580">
        <f>HLOOKUP("*"&amp;'Output annual'!$AC$2&amp;'Output annual'!$AD$2&amp;"*Zone People Number Of Occupants [](Hourly)",'Eplus results'!$1:$1048576,ROW(),FALSE)</f>
        <v>0</v>
      </c>
      <c r="AC757" s="580">
        <f>HLOOKUP("*"&amp;'Output annual'!$AC$2&amp;'Output annual'!$AD$2&amp;"*FangerPMV(Hourly)",'Eplus results'!$1:$1048576,ROW(),FALSE)</f>
        <v>0</v>
      </c>
      <c r="AD757" s="580">
        <f t="shared" si="91"/>
        <v>5</v>
      </c>
      <c r="AE757" s="580">
        <f t="shared" si="92"/>
        <v>2.5</v>
      </c>
      <c r="AF757" s="580">
        <f t="shared" si="93"/>
        <v>2.5</v>
      </c>
      <c r="AG757" s="580">
        <f t="shared" si="94"/>
        <v>0</v>
      </c>
      <c r="AH757" s="580">
        <f t="shared" si="95"/>
        <v>0</v>
      </c>
    </row>
    <row r="758" spans="28:34">
      <c r="AB758" s="580">
        <f>HLOOKUP("*"&amp;'Output annual'!$AC$2&amp;'Output annual'!$AD$2&amp;"*Zone People Number Of Occupants [](Hourly)",'Eplus results'!$1:$1048576,ROW(),FALSE)</f>
        <v>0</v>
      </c>
      <c r="AC758" s="580">
        <f>HLOOKUP("*"&amp;'Output annual'!$AC$2&amp;'Output annual'!$AD$2&amp;"*FangerPMV(Hourly)",'Eplus results'!$1:$1048576,ROW(),FALSE)</f>
        <v>0</v>
      </c>
      <c r="AD758" s="580">
        <f t="shared" si="91"/>
        <v>5</v>
      </c>
      <c r="AE758" s="580">
        <f t="shared" si="92"/>
        <v>2.5</v>
      </c>
      <c r="AF758" s="580">
        <f t="shared" si="93"/>
        <v>2.5</v>
      </c>
      <c r="AG758" s="580">
        <f t="shared" si="94"/>
        <v>0</v>
      </c>
      <c r="AH758" s="580">
        <f t="shared" si="95"/>
        <v>0</v>
      </c>
    </row>
    <row r="759" spans="28:34">
      <c r="AB759" s="580">
        <f>HLOOKUP("*"&amp;'Output annual'!$AC$2&amp;'Output annual'!$AD$2&amp;"*Zone People Number Of Occupants [](Hourly)",'Eplus results'!$1:$1048576,ROW(),FALSE)</f>
        <v>0</v>
      </c>
      <c r="AC759" s="580">
        <f>HLOOKUP("*"&amp;'Output annual'!$AC$2&amp;'Output annual'!$AD$2&amp;"*FangerPMV(Hourly)",'Eplus results'!$1:$1048576,ROW(),FALSE)</f>
        <v>0</v>
      </c>
      <c r="AD759" s="580">
        <f t="shared" si="91"/>
        <v>5</v>
      </c>
      <c r="AE759" s="580">
        <f t="shared" si="92"/>
        <v>2.5</v>
      </c>
      <c r="AF759" s="580">
        <f t="shared" si="93"/>
        <v>2.5</v>
      </c>
      <c r="AG759" s="580">
        <f t="shared" si="94"/>
        <v>0</v>
      </c>
      <c r="AH759" s="580">
        <f t="shared" si="95"/>
        <v>0</v>
      </c>
    </row>
    <row r="760" spans="28:34">
      <c r="AB760" s="580">
        <f>HLOOKUP("*"&amp;'Output annual'!$AC$2&amp;'Output annual'!$AD$2&amp;"*Zone People Number Of Occupants [](Hourly)",'Eplus results'!$1:$1048576,ROW(),FALSE)</f>
        <v>0</v>
      </c>
      <c r="AC760" s="580">
        <f>HLOOKUP("*"&amp;'Output annual'!$AC$2&amp;'Output annual'!$AD$2&amp;"*FangerPMV(Hourly)",'Eplus results'!$1:$1048576,ROW(),FALSE)</f>
        <v>0</v>
      </c>
      <c r="AD760" s="580">
        <f t="shared" si="91"/>
        <v>5</v>
      </c>
      <c r="AE760" s="580">
        <f t="shared" si="92"/>
        <v>2.5</v>
      </c>
      <c r="AF760" s="580">
        <f t="shared" si="93"/>
        <v>2.5</v>
      </c>
      <c r="AG760" s="580">
        <f t="shared" si="94"/>
        <v>0</v>
      </c>
      <c r="AH760" s="580">
        <f t="shared" si="95"/>
        <v>0</v>
      </c>
    </row>
    <row r="761" spans="28:34">
      <c r="AB761" s="580">
        <f>HLOOKUP("*"&amp;'Output annual'!$AC$2&amp;'Output annual'!$AD$2&amp;"*Zone People Number Of Occupants [](Hourly)",'Eplus results'!$1:$1048576,ROW(),FALSE)</f>
        <v>0</v>
      </c>
      <c r="AC761" s="580">
        <f>HLOOKUP("*"&amp;'Output annual'!$AC$2&amp;'Output annual'!$AD$2&amp;"*FangerPMV(Hourly)",'Eplus results'!$1:$1048576,ROW(),FALSE)</f>
        <v>0</v>
      </c>
      <c r="AD761" s="580">
        <f t="shared" si="91"/>
        <v>5</v>
      </c>
      <c r="AE761" s="580">
        <f t="shared" si="92"/>
        <v>2.5</v>
      </c>
      <c r="AF761" s="580">
        <f t="shared" si="93"/>
        <v>2.5</v>
      </c>
      <c r="AG761" s="580">
        <f t="shared" si="94"/>
        <v>0</v>
      </c>
      <c r="AH761" s="580">
        <f t="shared" si="95"/>
        <v>0</v>
      </c>
    </row>
    <row r="762" spans="28:34">
      <c r="AB762" s="580">
        <f>HLOOKUP("*"&amp;'Output annual'!$AC$2&amp;'Output annual'!$AD$2&amp;"*Zone People Number Of Occupants [](Hourly)",'Eplus results'!$1:$1048576,ROW(),FALSE)</f>
        <v>0</v>
      </c>
      <c r="AC762" s="580">
        <f>HLOOKUP("*"&amp;'Output annual'!$AC$2&amp;'Output annual'!$AD$2&amp;"*FangerPMV(Hourly)",'Eplus results'!$1:$1048576,ROW(),FALSE)</f>
        <v>0</v>
      </c>
      <c r="AD762" s="580">
        <f t="shared" si="91"/>
        <v>5</v>
      </c>
      <c r="AE762" s="580">
        <f t="shared" si="92"/>
        <v>2.5</v>
      </c>
      <c r="AF762" s="580">
        <f t="shared" si="93"/>
        <v>2.5</v>
      </c>
      <c r="AG762" s="580">
        <f t="shared" si="94"/>
        <v>0</v>
      </c>
      <c r="AH762" s="580">
        <f t="shared" si="95"/>
        <v>0</v>
      </c>
    </row>
    <row r="763" spans="28:34">
      <c r="AB763" s="580">
        <f>HLOOKUP("*"&amp;'Output annual'!$AC$2&amp;'Output annual'!$AD$2&amp;"*Zone People Number Of Occupants [](Hourly)",'Eplus results'!$1:$1048576,ROW(),FALSE)</f>
        <v>0</v>
      </c>
      <c r="AC763" s="580">
        <f>HLOOKUP("*"&amp;'Output annual'!$AC$2&amp;'Output annual'!$AD$2&amp;"*FangerPMV(Hourly)",'Eplus results'!$1:$1048576,ROW(),FALSE)</f>
        <v>0</v>
      </c>
      <c r="AD763" s="580">
        <f t="shared" si="91"/>
        <v>5</v>
      </c>
      <c r="AE763" s="580">
        <f t="shared" si="92"/>
        <v>2.5</v>
      </c>
      <c r="AF763" s="580">
        <f t="shared" si="93"/>
        <v>2.5</v>
      </c>
      <c r="AG763" s="580">
        <f t="shared" si="94"/>
        <v>0</v>
      </c>
      <c r="AH763" s="580">
        <f t="shared" si="95"/>
        <v>0</v>
      </c>
    </row>
    <row r="764" spans="28:34">
      <c r="AB764" s="580">
        <f>HLOOKUP("*"&amp;'Output annual'!$AC$2&amp;'Output annual'!$AD$2&amp;"*Zone People Number Of Occupants [](Hourly)",'Eplus results'!$1:$1048576,ROW(),FALSE)</f>
        <v>0</v>
      </c>
      <c r="AC764" s="580">
        <f>HLOOKUP("*"&amp;'Output annual'!$AC$2&amp;'Output annual'!$AD$2&amp;"*FangerPMV(Hourly)",'Eplus results'!$1:$1048576,ROW(),FALSE)</f>
        <v>0</v>
      </c>
      <c r="AD764" s="580">
        <f t="shared" si="91"/>
        <v>5</v>
      </c>
      <c r="AE764" s="580">
        <f t="shared" si="92"/>
        <v>2.5</v>
      </c>
      <c r="AF764" s="580">
        <f t="shared" si="93"/>
        <v>2.5</v>
      </c>
      <c r="AG764" s="580">
        <f t="shared" si="94"/>
        <v>0</v>
      </c>
      <c r="AH764" s="580">
        <f t="shared" si="95"/>
        <v>0</v>
      </c>
    </row>
    <row r="765" spans="28:34">
      <c r="AB765" s="580">
        <f>HLOOKUP("*"&amp;'Output annual'!$AC$2&amp;'Output annual'!$AD$2&amp;"*Zone People Number Of Occupants [](Hourly)",'Eplus results'!$1:$1048576,ROW(),FALSE)</f>
        <v>0</v>
      </c>
      <c r="AC765" s="580">
        <f>HLOOKUP("*"&amp;'Output annual'!$AC$2&amp;'Output annual'!$AD$2&amp;"*FangerPMV(Hourly)",'Eplus results'!$1:$1048576,ROW(),FALSE)</f>
        <v>0</v>
      </c>
      <c r="AD765" s="580">
        <f t="shared" si="91"/>
        <v>5</v>
      </c>
      <c r="AE765" s="580">
        <f t="shared" si="92"/>
        <v>2.5</v>
      </c>
      <c r="AF765" s="580">
        <f t="shared" si="93"/>
        <v>2.5</v>
      </c>
      <c r="AG765" s="580">
        <f t="shared" si="94"/>
        <v>0</v>
      </c>
      <c r="AH765" s="580">
        <f t="shared" si="95"/>
        <v>0</v>
      </c>
    </row>
    <row r="766" spans="28:34">
      <c r="AB766" s="580">
        <f>HLOOKUP("*"&amp;'Output annual'!$AC$2&amp;'Output annual'!$AD$2&amp;"*Zone People Number Of Occupants [](Hourly)",'Eplus results'!$1:$1048576,ROW(),FALSE)</f>
        <v>0</v>
      </c>
      <c r="AC766" s="580">
        <f>HLOOKUP("*"&amp;'Output annual'!$AC$2&amp;'Output annual'!$AD$2&amp;"*FangerPMV(Hourly)",'Eplus results'!$1:$1048576,ROW(),FALSE)</f>
        <v>0</v>
      </c>
      <c r="AD766" s="580">
        <f t="shared" si="91"/>
        <v>5</v>
      </c>
      <c r="AE766" s="580">
        <f t="shared" si="92"/>
        <v>2.5</v>
      </c>
      <c r="AF766" s="580">
        <f t="shared" si="93"/>
        <v>2.5</v>
      </c>
      <c r="AG766" s="580">
        <f t="shared" si="94"/>
        <v>0</v>
      </c>
      <c r="AH766" s="580">
        <f t="shared" si="95"/>
        <v>0</v>
      </c>
    </row>
    <row r="767" spans="28:34">
      <c r="AB767" s="580">
        <f>HLOOKUP("*"&amp;'Output annual'!$AC$2&amp;'Output annual'!$AD$2&amp;"*Zone People Number Of Occupants [](Hourly)",'Eplus results'!$1:$1048576,ROW(),FALSE)</f>
        <v>0</v>
      </c>
      <c r="AC767" s="580">
        <f>HLOOKUP("*"&amp;'Output annual'!$AC$2&amp;'Output annual'!$AD$2&amp;"*FangerPMV(Hourly)",'Eplus results'!$1:$1048576,ROW(),FALSE)</f>
        <v>0</v>
      </c>
      <c r="AD767" s="580">
        <f t="shared" si="91"/>
        <v>5</v>
      </c>
      <c r="AE767" s="580">
        <f t="shared" si="92"/>
        <v>2.5</v>
      </c>
      <c r="AF767" s="580">
        <f t="shared" si="93"/>
        <v>2.5</v>
      </c>
      <c r="AG767" s="580">
        <f t="shared" si="94"/>
        <v>0</v>
      </c>
      <c r="AH767" s="580">
        <f t="shared" si="95"/>
        <v>0</v>
      </c>
    </row>
    <row r="768" spans="28:34">
      <c r="AB768" s="580">
        <f>HLOOKUP("*"&amp;'Output annual'!$AC$2&amp;'Output annual'!$AD$2&amp;"*Zone People Number Of Occupants [](Hourly)",'Eplus results'!$1:$1048576,ROW(),FALSE)</f>
        <v>0</v>
      </c>
      <c r="AC768" s="580">
        <f>HLOOKUP("*"&amp;'Output annual'!$AC$2&amp;'Output annual'!$AD$2&amp;"*FangerPMV(Hourly)",'Eplus results'!$1:$1048576,ROW(),FALSE)</f>
        <v>0</v>
      </c>
      <c r="AD768" s="580">
        <f t="shared" si="91"/>
        <v>5</v>
      </c>
      <c r="AE768" s="580">
        <f t="shared" si="92"/>
        <v>2.5</v>
      </c>
      <c r="AF768" s="580">
        <f t="shared" si="93"/>
        <v>2.5</v>
      </c>
      <c r="AG768" s="580">
        <f t="shared" si="94"/>
        <v>0</v>
      </c>
      <c r="AH768" s="580">
        <f t="shared" si="95"/>
        <v>0</v>
      </c>
    </row>
    <row r="769" spans="28:34">
      <c r="AB769" s="580">
        <f>HLOOKUP("*"&amp;'Output annual'!$AC$2&amp;'Output annual'!$AD$2&amp;"*Zone People Number Of Occupants [](Hourly)",'Eplus results'!$1:$1048576,ROW(),FALSE)</f>
        <v>0</v>
      </c>
      <c r="AC769" s="580">
        <f>HLOOKUP("*"&amp;'Output annual'!$AC$2&amp;'Output annual'!$AD$2&amp;"*FangerPMV(Hourly)",'Eplus results'!$1:$1048576,ROW(),FALSE)</f>
        <v>0</v>
      </c>
      <c r="AD769" s="580">
        <f t="shared" si="91"/>
        <v>5</v>
      </c>
      <c r="AE769" s="580">
        <f t="shared" si="92"/>
        <v>2.5</v>
      </c>
      <c r="AF769" s="580">
        <f t="shared" si="93"/>
        <v>2.5</v>
      </c>
      <c r="AG769" s="580">
        <f t="shared" si="94"/>
        <v>0</v>
      </c>
      <c r="AH769" s="580">
        <f t="shared" si="95"/>
        <v>0</v>
      </c>
    </row>
    <row r="770" spans="28:34">
      <c r="AB770" s="580">
        <f>HLOOKUP("*"&amp;'Output annual'!$AC$2&amp;'Output annual'!$AD$2&amp;"*Zone People Number Of Occupants [](Hourly)",'Eplus results'!$1:$1048576,ROW(),FALSE)</f>
        <v>0</v>
      </c>
      <c r="AC770" s="580">
        <f>HLOOKUP("*"&amp;'Output annual'!$AC$2&amp;'Output annual'!$AD$2&amp;"*FangerPMV(Hourly)",'Eplus results'!$1:$1048576,ROW(),FALSE)</f>
        <v>0</v>
      </c>
      <c r="AD770" s="580">
        <f t="shared" si="91"/>
        <v>5</v>
      </c>
      <c r="AE770" s="580">
        <f t="shared" si="92"/>
        <v>2.5</v>
      </c>
      <c r="AF770" s="580">
        <f t="shared" si="93"/>
        <v>2.5</v>
      </c>
      <c r="AG770" s="580">
        <f t="shared" si="94"/>
        <v>0</v>
      </c>
      <c r="AH770" s="580">
        <f t="shared" si="95"/>
        <v>0</v>
      </c>
    </row>
    <row r="771" spans="28:34">
      <c r="AB771" s="580">
        <f>HLOOKUP("*"&amp;'Output annual'!$AC$2&amp;'Output annual'!$AD$2&amp;"*Zone People Number Of Occupants [](Hourly)",'Eplus results'!$1:$1048576,ROW(),FALSE)</f>
        <v>0</v>
      </c>
      <c r="AC771" s="580">
        <f>HLOOKUP("*"&amp;'Output annual'!$AC$2&amp;'Output annual'!$AD$2&amp;"*FangerPMV(Hourly)",'Eplus results'!$1:$1048576,ROW(),FALSE)</f>
        <v>0</v>
      </c>
      <c r="AD771" s="580">
        <f t="shared" ref="AD771:AD834" si="96">100-95*EXP(-0.03353*AC771^4-0.2179*AC771^2)</f>
        <v>5</v>
      </c>
      <c r="AE771" s="580">
        <f t="shared" ref="AE771:AE834" si="97">AD771*(1/(1+EXP(-6.3*$AC771)))</f>
        <v>2.5</v>
      </c>
      <c r="AF771" s="580">
        <f t="shared" ref="AF771:AF834" si="98">(AD771-AE771)</f>
        <v>2.5</v>
      </c>
      <c r="AG771" s="580">
        <f t="shared" ref="AG771:AG834" si="99">AE771*AB771</f>
        <v>0</v>
      </c>
      <c r="AH771" s="580">
        <f t="shared" ref="AH771:AH834" si="100">AF771*AB771</f>
        <v>0</v>
      </c>
    </row>
    <row r="772" spans="28:34">
      <c r="AB772" s="580">
        <f>HLOOKUP("*"&amp;'Output annual'!$AC$2&amp;'Output annual'!$AD$2&amp;"*Zone People Number Of Occupants [](Hourly)",'Eplus results'!$1:$1048576,ROW(),FALSE)</f>
        <v>0</v>
      </c>
      <c r="AC772" s="580">
        <f>HLOOKUP("*"&amp;'Output annual'!$AC$2&amp;'Output annual'!$AD$2&amp;"*FangerPMV(Hourly)",'Eplus results'!$1:$1048576,ROW(),FALSE)</f>
        <v>0</v>
      </c>
      <c r="AD772" s="580">
        <f t="shared" si="96"/>
        <v>5</v>
      </c>
      <c r="AE772" s="580">
        <f t="shared" si="97"/>
        <v>2.5</v>
      </c>
      <c r="AF772" s="580">
        <f t="shared" si="98"/>
        <v>2.5</v>
      </c>
      <c r="AG772" s="580">
        <f t="shared" si="99"/>
        <v>0</v>
      </c>
      <c r="AH772" s="580">
        <f t="shared" si="100"/>
        <v>0</v>
      </c>
    </row>
    <row r="773" spans="28:34">
      <c r="AB773" s="580">
        <f>HLOOKUP("*"&amp;'Output annual'!$AC$2&amp;'Output annual'!$AD$2&amp;"*Zone People Number Of Occupants [](Hourly)",'Eplus results'!$1:$1048576,ROW(),FALSE)</f>
        <v>0</v>
      </c>
      <c r="AC773" s="580">
        <f>HLOOKUP("*"&amp;'Output annual'!$AC$2&amp;'Output annual'!$AD$2&amp;"*FangerPMV(Hourly)",'Eplus results'!$1:$1048576,ROW(),FALSE)</f>
        <v>0</v>
      </c>
      <c r="AD773" s="580">
        <f t="shared" si="96"/>
        <v>5</v>
      </c>
      <c r="AE773" s="580">
        <f t="shared" si="97"/>
        <v>2.5</v>
      </c>
      <c r="AF773" s="580">
        <f t="shared" si="98"/>
        <v>2.5</v>
      </c>
      <c r="AG773" s="580">
        <f t="shared" si="99"/>
        <v>0</v>
      </c>
      <c r="AH773" s="580">
        <f t="shared" si="100"/>
        <v>0</v>
      </c>
    </row>
    <row r="774" spans="28:34">
      <c r="AB774" s="580">
        <f>HLOOKUP("*"&amp;'Output annual'!$AC$2&amp;'Output annual'!$AD$2&amp;"*Zone People Number Of Occupants [](Hourly)",'Eplus results'!$1:$1048576,ROW(),FALSE)</f>
        <v>0</v>
      </c>
      <c r="AC774" s="580">
        <f>HLOOKUP("*"&amp;'Output annual'!$AC$2&amp;'Output annual'!$AD$2&amp;"*FangerPMV(Hourly)",'Eplus results'!$1:$1048576,ROW(),FALSE)</f>
        <v>0</v>
      </c>
      <c r="AD774" s="580">
        <f t="shared" si="96"/>
        <v>5</v>
      </c>
      <c r="AE774" s="580">
        <f t="shared" si="97"/>
        <v>2.5</v>
      </c>
      <c r="AF774" s="580">
        <f t="shared" si="98"/>
        <v>2.5</v>
      </c>
      <c r="AG774" s="580">
        <f t="shared" si="99"/>
        <v>0</v>
      </c>
      <c r="AH774" s="580">
        <f t="shared" si="100"/>
        <v>0</v>
      </c>
    </row>
    <row r="775" spans="28:34">
      <c r="AB775" s="580">
        <f>HLOOKUP("*"&amp;'Output annual'!$AC$2&amp;'Output annual'!$AD$2&amp;"*Zone People Number Of Occupants [](Hourly)",'Eplus results'!$1:$1048576,ROW(),FALSE)</f>
        <v>0</v>
      </c>
      <c r="AC775" s="580">
        <f>HLOOKUP("*"&amp;'Output annual'!$AC$2&amp;'Output annual'!$AD$2&amp;"*FangerPMV(Hourly)",'Eplus results'!$1:$1048576,ROW(),FALSE)</f>
        <v>0</v>
      </c>
      <c r="AD775" s="580">
        <f t="shared" si="96"/>
        <v>5</v>
      </c>
      <c r="AE775" s="580">
        <f t="shared" si="97"/>
        <v>2.5</v>
      </c>
      <c r="AF775" s="580">
        <f t="shared" si="98"/>
        <v>2.5</v>
      </c>
      <c r="AG775" s="580">
        <f t="shared" si="99"/>
        <v>0</v>
      </c>
      <c r="AH775" s="580">
        <f t="shared" si="100"/>
        <v>0</v>
      </c>
    </row>
    <row r="776" spans="28:34">
      <c r="AB776" s="580">
        <f>HLOOKUP("*"&amp;'Output annual'!$AC$2&amp;'Output annual'!$AD$2&amp;"*Zone People Number Of Occupants [](Hourly)",'Eplus results'!$1:$1048576,ROW(),FALSE)</f>
        <v>0</v>
      </c>
      <c r="AC776" s="580">
        <f>HLOOKUP("*"&amp;'Output annual'!$AC$2&amp;'Output annual'!$AD$2&amp;"*FangerPMV(Hourly)",'Eplus results'!$1:$1048576,ROW(),FALSE)</f>
        <v>0</v>
      </c>
      <c r="AD776" s="580">
        <f t="shared" si="96"/>
        <v>5</v>
      </c>
      <c r="AE776" s="580">
        <f t="shared" si="97"/>
        <v>2.5</v>
      </c>
      <c r="AF776" s="580">
        <f t="shared" si="98"/>
        <v>2.5</v>
      </c>
      <c r="AG776" s="580">
        <f t="shared" si="99"/>
        <v>0</v>
      </c>
      <c r="AH776" s="580">
        <f t="shared" si="100"/>
        <v>0</v>
      </c>
    </row>
    <row r="777" spans="28:34">
      <c r="AB777" s="580">
        <f>HLOOKUP("*"&amp;'Output annual'!$AC$2&amp;'Output annual'!$AD$2&amp;"*Zone People Number Of Occupants [](Hourly)",'Eplus results'!$1:$1048576,ROW(),FALSE)</f>
        <v>0</v>
      </c>
      <c r="AC777" s="580">
        <f>HLOOKUP("*"&amp;'Output annual'!$AC$2&amp;'Output annual'!$AD$2&amp;"*FangerPMV(Hourly)",'Eplus results'!$1:$1048576,ROW(),FALSE)</f>
        <v>0</v>
      </c>
      <c r="AD777" s="580">
        <f t="shared" si="96"/>
        <v>5</v>
      </c>
      <c r="AE777" s="580">
        <f t="shared" si="97"/>
        <v>2.5</v>
      </c>
      <c r="AF777" s="580">
        <f t="shared" si="98"/>
        <v>2.5</v>
      </c>
      <c r="AG777" s="580">
        <f t="shared" si="99"/>
        <v>0</v>
      </c>
      <c r="AH777" s="580">
        <f t="shared" si="100"/>
        <v>0</v>
      </c>
    </row>
    <row r="778" spans="28:34">
      <c r="AB778" s="580">
        <f>HLOOKUP("*"&amp;'Output annual'!$AC$2&amp;'Output annual'!$AD$2&amp;"*Zone People Number Of Occupants [](Hourly)",'Eplus results'!$1:$1048576,ROW(),FALSE)</f>
        <v>0</v>
      </c>
      <c r="AC778" s="580">
        <f>HLOOKUP("*"&amp;'Output annual'!$AC$2&amp;'Output annual'!$AD$2&amp;"*FangerPMV(Hourly)",'Eplus results'!$1:$1048576,ROW(),FALSE)</f>
        <v>0</v>
      </c>
      <c r="AD778" s="580">
        <f t="shared" si="96"/>
        <v>5</v>
      </c>
      <c r="AE778" s="580">
        <f t="shared" si="97"/>
        <v>2.5</v>
      </c>
      <c r="AF778" s="580">
        <f t="shared" si="98"/>
        <v>2.5</v>
      </c>
      <c r="AG778" s="580">
        <f t="shared" si="99"/>
        <v>0</v>
      </c>
      <c r="AH778" s="580">
        <f t="shared" si="100"/>
        <v>0</v>
      </c>
    </row>
    <row r="779" spans="28:34">
      <c r="AB779" s="580">
        <f>HLOOKUP("*"&amp;'Output annual'!$AC$2&amp;'Output annual'!$AD$2&amp;"*Zone People Number Of Occupants [](Hourly)",'Eplus results'!$1:$1048576,ROW(),FALSE)</f>
        <v>0</v>
      </c>
      <c r="AC779" s="580">
        <f>HLOOKUP("*"&amp;'Output annual'!$AC$2&amp;'Output annual'!$AD$2&amp;"*FangerPMV(Hourly)",'Eplus results'!$1:$1048576,ROW(),FALSE)</f>
        <v>0</v>
      </c>
      <c r="AD779" s="580">
        <f t="shared" si="96"/>
        <v>5</v>
      </c>
      <c r="AE779" s="580">
        <f t="shared" si="97"/>
        <v>2.5</v>
      </c>
      <c r="AF779" s="580">
        <f t="shared" si="98"/>
        <v>2.5</v>
      </c>
      <c r="AG779" s="580">
        <f t="shared" si="99"/>
        <v>0</v>
      </c>
      <c r="AH779" s="580">
        <f t="shared" si="100"/>
        <v>0</v>
      </c>
    </row>
    <row r="780" spans="28:34">
      <c r="AB780" s="580">
        <f>HLOOKUP("*"&amp;'Output annual'!$AC$2&amp;'Output annual'!$AD$2&amp;"*Zone People Number Of Occupants [](Hourly)",'Eplus results'!$1:$1048576,ROW(),FALSE)</f>
        <v>0</v>
      </c>
      <c r="AC780" s="580">
        <f>HLOOKUP("*"&amp;'Output annual'!$AC$2&amp;'Output annual'!$AD$2&amp;"*FangerPMV(Hourly)",'Eplus results'!$1:$1048576,ROW(),FALSE)</f>
        <v>0</v>
      </c>
      <c r="AD780" s="580">
        <f t="shared" si="96"/>
        <v>5</v>
      </c>
      <c r="AE780" s="580">
        <f t="shared" si="97"/>
        <v>2.5</v>
      </c>
      <c r="AF780" s="580">
        <f t="shared" si="98"/>
        <v>2.5</v>
      </c>
      <c r="AG780" s="580">
        <f t="shared" si="99"/>
        <v>0</v>
      </c>
      <c r="AH780" s="580">
        <f t="shared" si="100"/>
        <v>0</v>
      </c>
    </row>
    <row r="781" spans="28:34">
      <c r="AB781" s="580">
        <f>HLOOKUP("*"&amp;'Output annual'!$AC$2&amp;'Output annual'!$AD$2&amp;"*Zone People Number Of Occupants [](Hourly)",'Eplus results'!$1:$1048576,ROW(),FALSE)</f>
        <v>0</v>
      </c>
      <c r="AC781" s="580">
        <f>HLOOKUP("*"&amp;'Output annual'!$AC$2&amp;'Output annual'!$AD$2&amp;"*FangerPMV(Hourly)",'Eplus results'!$1:$1048576,ROW(),FALSE)</f>
        <v>0</v>
      </c>
      <c r="AD781" s="580">
        <f t="shared" si="96"/>
        <v>5</v>
      </c>
      <c r="AE781" s="580">
        <f t="shared" si="97"/>
        <v>2.5</v>
      </c>
      <c r="AF781" s="580">
        <f t="shared" si="98"/>
        <v>2.5</v>
      </c>
      <c r="AG781" s="580">
        <f t="shared" si="99"/>
        <v>0</v>
      </c>
      <c r="AH781" s="580">
        <f t="shared" si="100"/>
        <v>0</v>
      </c>
    </row>
    <row r="782" spans="28:34">
      <c r="AB782" s="580">
        <f>HLOOKUP("*"&amp;'Output annual'!$AC$2&amp;'Output annual'!$AD$2&amp;"*Zone People Number Of Occupants [](Hourly)",'Eplus results'!$1:$1048576,ROW(),FALSE)</f>
        <v>0</v>
      </c>
      <c r="AC782" s="580">
        <f>HLOOKUP("*"&amp;'Output annual'!$AC$2&amp;'Output annual'!$AD$2&amp;"*FangerPMV(Hourly)",'Eplus results'!$1:$1048576,ROW(),FALSE)</f>
        <v>0</v>
      </c>
      <c r="AD782" s="580">
        <f t="shared" si="96"/>
        <v>5</v>
      </c>
      <c r="AE782" s="580">
        <f t="shared" si="97"/>
        <v>2.5</v>
      </c>
      <c r="AF782" s="580">
        <f t="shared" si="98"/>
        <v>2.5</v>
      </c>
      <c r="AG782" s="580">
        <f t="shared" si="99"/>
        <v>0</v>
      </c>
      <c r="AH782" s="580">
        <f t="shared" si="100"/>
        <v>0</v>
      </c>
    </row>
    <row r="783" spans="28:34">
      <c r="AB783" s="580">
        <f>HLOOKUP("*"&amp;'Output annual'!$AC$2&amp;'Output annual'!$AD$2&amp;"*Zone People Number Of Occupants [](Hourly)",'Eplus results'!$1:$1048576,ROW(),FALSE)</f>
        <v>0</v>
      </c>
      <c r="AC783" s="580">
        <f>HLOOKUP("*"&amp;'Output annual'!$AC$2&amp;'Output annual'!$AD$2&amp;"*FangerPMV(Hourly)",'Eplus results'!$1:$1048576,ROW(),FALSE)</f>
        <v>0</v>
      </c>
      <c r="AD783" s="580">
        <f t="shared" si="96"/>
        <v>5</v>
      </c>
      <c r="AE783" s="580">
        <f t="shared" si="97"/>
        <v>2.5</v>
      </c>
      <c r="AF783" s="580">
        <f t="shared" si="98"/>
        <v>2.5</v>
      </c>
      <c r="AG783" s="580">
        <f t="shared" si="99"/>
        <v>0</v>
      </c>
      <c r="AH783" s="580">
        <f t="shared" si="100"/>
        <v>0</v>
      </c>
    </row>
    <row r="784" spans="28:34">
      <c r="AB784" s="580">
        <f>HLOOKUP("*"&amp;'Output annual'!$AC$2&amp;'Output annual'!$AD$2&amp;"*Zone People Number Of Occupants [](Hourly)",'Eplus results'!$1:$1048576,ROW(),FALSE)</f>
        <v>0</v>
      </c>
      <c r="AC784" s="580">
        <f>HLOOKUP("*"&amp;'Output annual'!$AC$2&amp;'Output annual'!$AD$2&amp;"*FangerPMV(Hourly)",'Eplus results'!$1:$1048576,ROW(),FALSE)</f>
        <v>0</v>
      </c>
      <c r="AD784" s="580">
        <f t="shared" si="96"/>
        <v>5</v>
      </c>
      <c r="AE784" s="580">
        <f t="shared" si="97"/>
        <v>2.5</v>
      </c>
      <c r="AF784" s="580">
        <f t="shared" si="98"/>
        <v>2.5</v>
      </c>
      <c r="AG784" s="580">
        <f t="shared" si="99"/>
        <v>0</v>
      </c>
      <c r="AH784" s="580">
        <f t="shared" si="100"/>
        <v>0</v>
      </c>
    </row>
    <row r="785" spans="28:34">
      <c r="AB785" s="580">
        <f>HLOOKUP("*"&amp;'Output annual'!$AC$2&amp;'Output annual'!$AD$2&amp;"*Zone People Number Of Occupants [](Hourly)",'Eplus results'!$1:$1048576,ROW(),FALSE)</f>
        <v>0</v>
      </c>
      <c r="AC785" s="580">
        <f>HLOOKUP("*"&amp;'Output annual'!$AC$2&amp;'Output annual'!$AD$2&amp;"*FangerPMV(Hourly)",'Eplus results'!$1:$1048576,ROW(),FALSE)</f>
        <v>0</v>
      </c>
      <c r="AD785" s="580">
        <f t="shared" si="96"/>
        <v>5</v>
      </c>
      <c r="AE785" s="580">
        <f t="shared" si="97"/>
        <v>2.5</v>
      </c>
      <c r="AF785" s="580">
        <f t="shared" si="98"/>
        <v>2.5</v>
      </c>
      <c r="AG785" s="580">
        <f t="shared" si="99"/>
        <v>0</v>
      </c>
      <c r="AH785" s="580">
        <f t="shared" si="100"/>
        <v>0</v>
      </c>
    </row>
    <row r="786" spans="28:34">
      <c r="AB786" s="580">
        <f>HLOOKUP("*"&amp;'Output annual'!$AC$2&amp;'Output annual'!$AD$2&amp;"*Zone People Number Of Occupants [](Hourly)",'Eplus results'!$1:$1048576,ROW(),FALSE)</f>
        <v>0</v>
      </c>
      <c r="AC786" s="580">
        <f>HLOOKUP("*"&amp;'Output annual'!$AC$2&amp;'Output annual'!$AD$2&amp;"*FangerPMV(Hourly)",'Eplus results'!$1:$1048576,ROW(),FALSE)</f>
        <v>0</v>
      </c>
      <c r="AD786" s="580">
        <f t="shared" si="96"/>
        <v>5</v>
      </c>
      <c r="AE786" s="580">
        <f t="shared" si="97"/>
        <v>2.5</v>
      </c>
      <c r="AF786" s="580">
        <f t="shared" si="98"/>
        <v>2.5</v>
      </c>
      <c r="AG786" s="580">
        <f t="shared" si="99"/>
        <v>0</v>
      </c>
      <c r="AH786" s="580">
        <f t="shared" si="100"/>
        <v>0</v>
      </c>
    </row>
    <row r="787" spans="28:34">
      <c r="AB787" s="580">
        <f>HLOOKUP("*"&amp;'Output annual'!$AC$2&amp;'Output annual'!$AD$2&amp;"*Zone People Number Of Occupants [](Hourly)",'Eplus results'!$1:$1048576,ROW(),FALSE)</f>
        <v>0</v>
      </c>
      <c r="AC787" s="580">
        <f>HLOOKUP("*"&amp;'Output annual'!$AC$2&amp;'Output annual'!$AD$2&amp;"*FangerPMV(Hourly)",'Eplus results'!$1:$1048576,ROW(),FALSE)</f>
        <v>0</v>
      </c>
      <c r="AD787" s="580">
        <f t="shared" si="96"/>
        <v>5</v>
      </c>
      <c r="AE787" s="580">
        <f t="shared" si="97"/>
        <v>2.5</v>
      </c>
      <c r="AF787" s="580">
        <f t="shared" si="98"/>
        <v>2.5</v>
      </c>
      <c r="AG787" s="580">
        <f t="shared" si="99"/>
        <v>0</v>
      </c>
      <c r="AH787" s="580">
        <f t="shared" si="100"/>
        <v>0</v>
      </c>
    </row>
    <row r="788" spans="28:34">
      <c r="AB788" s="580">
        <f>HLOOKUP("*"&amp;'Output annual'!$AC$2&amp;'Output annual'!$AD$2&amp;"*Zone People Number Of Occupants [](Hourly)",'Eplus results'!$1:$1048576,ROW(),FALSE)</f>
        <v>0</v>
      </c>
      <c r="AC788" s="580">
        <f>HLOOKUP("*"&amp;'Output annual'!$AC$2&amp;'Output annual'!$AD$2&amp;"*FangerPMV(Hourly)",'Eplus results'!$1:$1048576,ROW(),FALSE)</f>
        <v>0</v>
      </c>
      <c r="AD788" s="580">
        <f t="shared" si="96"/>
        <v>5</v>
      </c>
      <c r="AE788" s="580">
        <f t="shared" si="97"/>
        <v>2.5</v>
      </c>
      <c r="AF788" s="580">
        <f t="shared" si="98"/>
        <v>2.5</v>
      </c>
      <c r="AG788" s="580">
        <f t="shared" si="99"/>
        <v>0</v>
      </c>
      <c r="AH788" s="580">
        <f t="shared" si="100"/>
        <v>0</v>
      </c>
    </row>
    <row r="789" spans="28:34">
      <c r="AB789" s="580">
        <f>HLOOKUP("*"&amp;'Output annual'!$AC$2&amp;'Output annual'!$AD$2&amp;"*Zone People Number Of Occupants [](Hourly)",'Eplus results'!$1:$1048576,ROW(),FALSE)</f>
        <v>0</v>
      </c>
      <c r="AC789" s="580">
        <f>HLOOKUP("*"&amp;'Output annual'!$AC$2&amp;'Output annual'!$AD$2&amp;"*FangerPMV(Hourly)",'Eplus results'!$1:$1048576,ROW(),FALSE)</f>
        <v>0</v>
      </c>
      <c r="AD789" s="580">
        <f t="shared" si="96"/>
        <v>5</v>
      </c>
      <c r="AE789" s="580">
        <f t="shared" si="97"/>
        <v>2.5</v>
      </c>
      <c r="AF789" s="580">
        <f t="shared" si="98"/>
        <v>2.5</v>
      </c>
      <c r="AG789" s="580">
        <f t="shared" si="99"/>
        <v>0</v>
      </c>
      <c r="AH789" s="580">
        <f t="shared" si="100"/>
        <v>0</v>
      </c>
    </row>
    <row r="790" spans="28:34">
      <c r="AB790" s="580">
        <f>HLOOKUP("*"&amp;'Output annual'!$AC$2&amp;'Output annual'!$AD$2&amp;"*Zone People Number Of Occupants [](Hourly)",'Eplus results'!$1:$1048576,ROW(),FALSE)</f>
        <v>0</v>
      </c>
      <c r="AC790" s="580">
        <f>HLOOKUP("*"&amp;'Output annual'!$AC$2&amp;'Output annual'!$AD$2&amp;"*FangerPMV(Hourly)",'Eplus results'!$1:$1048576,ROW(),FALSE)</f>
        <v>0</v>
      </c>
      <c r="AD790" s="580">
        <f t="shared" si="96"/>
        <v>5</v>
      </c>
      <c r="AE790" s="580">
        <f t="shared" si="97"/>
        <v>2.5</v>
      </c>
      <c r="AF790" s="580">
        <f t="shared" si="98"/>
        <v>2.5</v>
      </c>
      <c r="AG790" s="580">
        <f t="shared" si="99"/>
        <v>0</v>
      </c>
      <c r="AH790" s="580">
        <f t="shared" si="100"/>
        <v>0</v>
      </c>
    </row>
    <row r="791" spans="28:34">
      <c r="AB791" s="580">
        <f>HLOOKUP("*"&amp;'Output annual'!$AC$2&amp;'Output annual'!$AD$2&amp;"*Zone People Number Of Occupants [](Hourly)",'Eplus results'!$1:$1048576,ROW(),FALSE)</f>
        <v>0</v>
      </c>
      <c r="AC791" s="580">
        <f>HLOOKUP("*"&amp;'Output annual'!$AC$2&amp;'Output annual'!$AD$2&amp;"*FangerPMV(Hourly)",'Eplus results'!$1:$1048576,ROW(),FALSE)</f>
        <v>0</v>
      </c>
      <c r="AD791" s="580">
        <f t="shared" si="96"/>
        <v>5</v>
      </c>
      <c r="AE791" s="580">
        <f t="shared" si="97"/>
        <v>2.5</v>
      </c>
      <c r="AF791" s="580">
        <f t="shared" si="98"/>
        <v>2.5</v>
      </c>
      <c r="AG791" s="580">
        <f t="shared" si="99"/>
        <v>0</v>
      </c>
      <c r="AH791" s="580">
        <f t="shared" si="100"/>
        <v>0</v>
      </c>
    </row>
    <row r="792" spans="28:34">
      <c r="AB792" s="580">
        <f>HLOOKUP("*"&amp;'Output annual'!$AC$2&amp;'Output annual'!$AD$2&amp;"*Zone People Number Of Occupants [](Hourly)",'Eplus results'!$1:$1048576,ROW(),FALSE)</f>
        <v>0</v>
      </c>
      <c r="AC792" s="580">
        <f>HLOOKUP("*"&amp;'Output annual'!$AC$2&amp;'Output annual'!$AD$2&amp;"*FangerPMV(Hourly)",'Eplus results'!$1:$1048576,ROW(),FALSE)</f>
        <v>0</v>
      </c>
      <c r="AD792" s="580">
        <f t="shared" si="96"/>
        <v>5</v>
      </c>
      <c r="AE792" s="580">
        <f t="shared" si="97"/>
        <v>2.5</v>
      </c>
      <c r="AF792" s="580">
        <f t="shared" si="98"/>
        <v>2.5</v>
      </c>
      <c r="AG792" s="580">
        <f t="shared" si="99"/>
        <v>0</v>
      </c>
      <c r="AH792" s="580">
        <f t="shared" si="100"/>
        <v>0</v>
      </c>
    </row>
    <row r="793" spans="28:34">
      <c r="AB793" s="580">
        <f>HLOOKUP("*"&amp;'Output annual'!$AC$2&amp;'Output annual'!$AD$2&amp;"*Zone People Number Of Occupants [](Hourly)",'Eplus results'!$1:$1048576,ROW(),FALSE)</f>
        <v>0</v>
      </c>
      <c r="AC793" s="580">
        <f>HLOOKUP("*"&amp;'Output annual'!$AC$2&amp;'Output annual'!$AD$2&amp;"*FangerPMV(Hourly)",'Eplus results'!$1:$1048576,ROW(),FALSE)</f>
        <v>0</v>
      </c>
      <c r="AD793" s="580">
        <f t="shared" si="96"/>
        <v>5</v>
      </c>
      <c r="AE793" s="580">
        <f t="shared" si="97"/>
        <v>2.5</v>
      </c>
      <c r="AF793" s="580">
        <f t="shared" si="98"/>
        <v>2.5</v>
      </c>
      <c r="AG793" s="580">
        <f t="shared" si="99"/>
        <v>0</v>
      </c>
      <c r="AH793" s="580">
        <f t="shared" si="100"/>
        <v>0</v>
      </c>
    </row>
    <row r="794" spans="28:34">
      <c r="AB794" s="580">
        <f>HLOOKUP("*"&amp;'Output annual'!$AC$2&amp;'Output annual'!$AD$2&amp;"*Zone People Number Of Occupants [](Hourly)",'Eplus results'!$1:$1048576,ROW(),FALSE)</f>
        <v>0</v>
      </c>
      <c r="AC794" s="580">
        <f>HLOOKUP("*"&amp;'Output annual'!$AC$2&amp;'Output annual'!$AD$2&amp;"*FangerPMV(Hourly)",'Eplus results'!$1:$1048576,ROW(),FALSE)</f>
        <v>0</v>
      </c>
      <c r="AD794" s="580">
        <f t="shared" si="96"/>
        <v>5</v>
      </c>
      <c r="AE794" s="580">
        <f t="shared" si="97"/>
        <v>2.5</v>
      </c>
      <c r="AF794" s="580">
        <f t="shared" si="98"/>
        <v>2.5</v>
      </c>
      <c r="AG794" s="580">
        <f t="shared" si="99"/>
        <v>0</v>
      </c>
      <c r="AH794" s="580">
        <f t="shared" si="100"/>
        <v>0</v>
      </c>
    </row>
    <row r="795" spans="28:34">
      <c r="AB795" s="580">
        <f>HLOOKUP("*"&amp;'Output annual'!$AC$2&amp;'Output annual'!$AD$2&amp;"*Zone People Number Of Occupants [](Hourly)",'Eplus results'!$1:$1048576,ROW(),FALSE)</f>
        <v>0</v>
      </c>
      <c r="AC795" s="580">
        <f>HLOOKUP("*"&amp;'Output annual'!$AC$2&amp;'Output annual'!$AD$2&amp;"*FangerPMV(Hourly)",'Eplus results'!$1:$1048576,ROW(),FALSE)</f>
        <v>0</v>
      </c>
      <c r="AD795" s="580">
        <f t="shared" si="96"/>
        <v>5</v>
      </c>
      <c r="AE795" s="580">
        <f t="shared" si="97"/>
        <v>2.5</v>
      </c>
      <c r="AF795" s="580">
        <f t="shared" si="98"/>
        <v>2.5</v>
      </c>
      <c r="AG795" s="580">
        <f t="shared" si="99"/>
        <v>0</v>
      </c>
      <c r="AH795" s="580">
        <f t="shared" si="100"/>
        <v>0</v>
      </c>
    </row>
    <row r="796" spans="28:34">
      <c r="AB796" s="580">
        <f>HLOOKUP("*"&amp;'Output annual'!$AC$2&amp;'Output annual'!$AD$2&amp;"*Zone People Number Of Occupants [](Hourly)",'Eplus results'!$1:$1048576,ROW(),FALSE)</f>
        <v>0</v>
      </c>
      <c r="AC796" s="580">
        <f>HLOOKUP("*"&amp;'Output annual'!$AC$2&amp;'Output annual'!$AD$2&amp;"*FangerPMV(Hourly)",'Eplus results'!$1:$1048576,ROW(),FALSE)</f>
        <v>0</v>
      </c>
      <c r="AD796" s="580">
        <f t="shared" si="96"/>
        <v>5</v>
      </c>
      <c r="AE796" s="580">
        <f t="shared" si="97"/>
        <v>2.5</v>
      </c>
      <c r="AF796" s="580">
        <f t="shared" si="98"/>
        <v>2.5</v>
      </c>
      <c r="AG796" s="580">
        <f t="shared" si="99"/>
        <v>0</v>
      </c>
      <c r="AH796" s="580">
        <f t="shared" si="100"/>
        <v>0</v>
      </c>
    </row>
    <row r="797" spans="28:34">
      <c r="AB797" s="580">
        <f>HLOOKUP("*"&amp;'Output annual'!$AC$2&amp;'Output annual'!$AD$2&amp;"*Zone People Number Of Occupants [](Hourly)",'Eplus results'!$1:$1048576,ROW(),FALSE)</f>
        <v>0</v>
      </c>
      <c r="AC797" s="580">
        <f>HLOOKUP("*"&amp;'Output annual'!$AC$2&amp;'Output annual'!$AD$2&amp;"*FangerPMV(Hourly)",'Eplus results'!$1:$1048576,ROW(),FALSE)</f>
        <v>0</v>
      </c>
      <c r="AD797" s="580">
        <f t="shared" si="96"/>
        <v>5</v>
      </c>
      <c r="AE797" s="580">
        <f t="shared" si="97"/>
        <v>2.5</v>
      </c>
      <c r="AF797" s="580">
        <f t="shared" si="98"/>
        <v>2.5</v>
      </c>
      <c r="AG797" s="580">
        <f t="shared" si="99"/>
        <v>0</v>
      </c>
      <c r="AH797" s="580">
        <f t="shared" si="100"/>
        <v>0</v>
      </c>
    </row>
    <row r="798" spans="28:34">
      <c r="AB798" s="580">
        <f>HLOOKUP("*"&amp;'Output annual'!$AC$2&amp;'Output annual'!$AD$2&amp;"*Zone People Number Of Occupants [](Hourly)",'Eplus results'!$1:$1048576,ROW(),FALSE)</f>
        <v>0</v>
      </c>
      <c r="AC798" s="580">
        <f>HLOOKUP("*"&amp;'Output annual'!$AC$2&amp;'Output annual'!$AD$2&amp;"*FangerPMV(Hourly)",'Eplus results'!$1:$1048576,ROW(),FALSE)</f>
        <v>0</v>
      </c>
      <c r="AD798" s="580">
        <f t="shared" si="96"/>
        <v>5</v>
      </c>
      <c r="AE798" s="580">
        <f t="shared" si="97"/>
        <v>2.5</v>
      </c>
      <c r="AF798" s="580">
        <f t="shared" si="98"/>
        <v>2.5</v>
      </c>
      <c r="AG798" s="580">
        <f t="shared" si="99"/>
        <v>0</v>
      </c>
      <c r="AH798" s="580">
        <f t="shared" si="100"/>
        <v>0</v>
      </c>
    </row>
    <row r="799" spans="28:34">
      <c r="AB799" s="580">
        <f>HLOOKUP("*"&amp;'Output annual'!$AC$2&amp;'Output annual'!$AD$2&amp;"*Zone People Number Of Occupants [](Hourly)",'Eplus results'!$1:$1048576,ROW(),FALSE)</f>
        <v>0</v>
      </c>
      <c r="AC799" s="580">
        <f>HLOOKUP("*"&amp;'Output annual'!$AC$2&amp;'Output annual'!$AD$2&amp;"*FangerPMV(Hourly)",'Eplus results'!$1:$1048576,ROW(),FALSE)</f>
        <v>0</v>
      </c>
      <c r="AD799" s="580">
        <f t="shared" si="96"/>
        <v>5</v>
      </c>
      <c r="AE799" s="580">
        <f t="shared" si="97"/>
        <v>2.5</v>
      </c>
      <c r="AF799" s="580">
        <f t="shared" si="98"/>
        <v>2.5</v>
      </c>
      <c r="AG799" s="580">
        <f t="shared" si="99"/>
        <v>0</v>
      </c>
      <c r="AH799" s="580">
        <f t="shared" si="100"/>
        <v>0</v>
      </c>
    </row>
    <row r="800" spans="28:34">
      <c r="AB800" s="580">
        <f>HLOOKUP("*"&amp;'Output annual'!$AC$2&amp;'Output annual'!$AD$2&amp;"*Zone People Number Of Occupants [](Hourly)",'Eplus results'!$1:$1048576,ROW(),FALSE)</f>
        <v>0</v>
      </c>
      <c r="AC800" s="580">
        <f>HLOOKUP("*"&amp;'Output annual'!$AC$2&amp;'Output annual'!$AD$2&amp;"*FangerPMV(Hourly)",'Eplus results'!$1:$1048576,ROW(),FALSE)</f>
        <v>0</v>
      </c>
      <c r="AD800" s="580">
        <f t="shared" si="96"/>
        <v>5</v>
      </c>
      <c r="AE800" s="580">
        <f t="shared" si="97"/>
        <v>2.5</v>
      </c>
      <c r="AF800" s="580">
        <f t="shared" si="98"/>
        <v>2.5</v>
      </c>
      <c r="AG800" s="580">
        <f t="shared" si="99"/>
        <v>0</v>
      </c>
      <c r="AH800" s="580">
        <f t="shared" si="100"/>
        <v>0</v>
      </c>
    </row>
    <row r="801" spans="28:34">
      <c r="AB801" s="580">
        <f>HLOOKUP("*"&amp;'Output annual'!$AC$2&amp;'Output annual'!$AD$2&amp;"*Zone People Number Of Occupants [](Hourly)",'Eplus results'!$1:$1048576,ROW(),FALSE)</f>
        <v>0</v>
      </c>
      <c r="AC801" s="580">
        <f>HLOOKUP("*"&amp;'Output annual'!$AC$2&amp;'Output annual'!$AD$2&amp;"*FangerPMV(Hourly)",'Eplus results'!$1:$1048576,ROW(),FALSE)</f>
        <v>0</v>
      </c>
      <c r="AD801" s="580">
        <f t="shared" si="96"/>
        <v>5</v>
      </c>
      <c r="AE801" s="580">
        <f t="shared" si="97"/>
        <v>2.5</v>
      </c>
      <c r="AF801" s="580">
        <f t="shared" si="98"/>
        <v>2.5</v>
      </c>
      <c r="AG801" s="580">
        <f t="shared" si="99"/>
        <v>0</v>
      </c>
      <c r="AH801" s="580">
        <f t="shared" si="100"/>
        <v>0</v>
      </c>
    </row>
    <row r="802" spans="28:34">
      <c r="AB802" s="580">
        <f>HLOOKUP("*"&amp;'Output annual'!$AC$2&amp;'Output annual'!$AD$2&amp;"*Zone People Number Of Occupants [](Hourly)",'Eplus results'!$1:$1048576,ROW(),FALSE)</f>
        <v>0</v>
      </c>
      <c r="AC802" s="580">
        <f>HLOOKUP("*"&amp;'Output annual'!$AC$2&amp;'Output annual'!$AD$2&amp;"*FangerPMV(Hourly)",'Eplus results'!$1:$1048576,ROW(),FALSE)</f>
        <v>0</v>
      </c>
      <c r="AD802" s="580">
        <f t="shared" si="96"/>
        <v>5</v>
      </c>
      <c r="AE802" s="580">
        <f t="shared" si="97"/>
        <v>2.5</v>
      </c>
      <c r="AF802" s="580">
        <f t="shared" si="98"/>
        <v>2.5</v>
      </c>
      <c r="AG802" s="580">
        <f t="shared" si="99"/>
        <v>0</v>
      </c>
      <c r="AH802" s="580">
        <f t="shared" si="100"/>
        <v>0</v>
      </c>
    </row>
    <row r="803" spans="28:34">
      <c r="AB803" s="580">
        <f>HLOOKUP("*"&amp;'Output annual'!$AC$2&amp;'Output annual'!$AD$2&amp;"*Zone People Number Of Occupants [](Hourly)",'Eplus results'!$1:$1048576,ROW(),FALSE)</f>
        <v>0</v>
      </c>
      <c r="AC803" s="580">
        <f>HLOOKUP("*"&amp;'Output annual'!$AC$2&amp;'Output annual'!$AD$2&amp;"*FangerPMV(Hourly)",'Eplus results'!$1:$1048576,ROW(),FALSE)</f>
        <v>0</v>
      </c>
      <c r="AD803" s="580">
        <f t="shared" si="96"/>
        <v>5</v>
      </c>
      <c r="AE803" s="580">
        <f t="shared" si="97"/>
        <v>2.5</v>
      </c>
      <c r="AF803" s="580">
        <f t="shared" si="98"/>
        <v>2.5</v>
      </c>
      <c r="AG803" s="580">
        <f t="shared" si="99"/>
        <v>0</v>
      </c>
      <c r="AH803" s="580">
        <f t="shared" si="100"/>
        <v>0</v>
      </c>
    </row>
    <row r="804" spans="28:34">
      <c r="AB804" s="580">
        <f>HLOOKUP("*"&amp;'Output annual'!$AC$2&amp;'Output annual'!$AD$2&amp;"*Zone People Number Of Occupants [](Hourly)",'Eplus results'!$1:$1048576,ROW(),FALSE)</f>
        <v>0</v>
      </c>
      <c r="AC804" s="580">
        <f>HLOOKUP("*"&amp;'Output annual'!$AC$2&amp;'Output annual'!$AD$2&amp;"*FangerPMV(Hourly)",'Eplus results'!$1:$1048576,ROW(),FALSE)</f>
        <v>0</v>
      </c>
      <c r="AD804" s="580">
        <f t="shared" si="96"/>
        <v>5</v>
      </c>
      <c r="AE804" s="580">
        <f t="shared" si="97"/>
        <v>2.5</v>
      </c>
      <c r="AF804" s="580">
        <f t="shared" si="98"/>
        <v>2.5</v>
      </c>
      <c r="AG804" s="580">
        <f t="shared" si="99"/>
        <v>0</v>
      </c>
      <c r="AH804" s="580">
        <f t="shared" si="100"/>
        <v>0</v>
      </c>
    </row>
    <row r="805" spans="28:34">
      <c r="AB805" s="580">
        <f>HLOOKUP("*"&amp;'Output annual'!$AC$2&amp;'Output annual'!$AD$2&amp;"*Zone People Number Of Occupants [](Hourly)",'Eplus results'!$1:$1048576,ROW(),FALSE)</f>
        <v>0</v>
      </c>
      <c r="AC805" s="580">
        <f>HLOOKUP("*"&amp;'Output annual'!$AC$2&amp;'Output annual'!$AD$2&amp;"*FangerPMV(Hourly)",'Eplus results'!$1:$1048576,ROW(),FALSE)</f>
        <v>0</v>
      </c>
      <c r="AD805" s="580">
        <f t="shared" si="96"/>
        <v>5</v>
      </c>
      <c r="AE805" s="580">
        <f t="shared" si="97"/>
        <v>2.5</v>
      </c>
      <c r="AF805" s="580">
        <f t="shared" si="98"/>
        <v>2.5</v>
      </c>
      <c r="AG805" s="580">
        <f t="shared" si="99"/>
        <v>0</v>
      </c>
      <c r="AH805" s="580">
        <f t="shared" si="100"/>
        <v>0</v>
      </c>
    </row>
    <row r="806" spans="28:34">
      <c r="AB806" s="580">
        <f>HLOOKUP("*"&amp;'Output annual'!$AC$2&amp;'Output annual'!$AD$2&amp;"*Zone People Number Of Occupants [](Hourly)",'Eplus results'!$1:$1048576,ROW(),FALSE)</f>
        <v>0</v>
      </c>
      <c r="AC806" s="580">
        <f>HLOOKUP("*"&amp;'Output annual'!$AC$2&amp;'Output annual'!$AD$2&amp;"*FangerPMV(Hourly)",'Eplus results'!$1:$1048576,ROW(),FALSE)</f>
        <v>0</v>
      </c>
      <c r="AD806" s="580">
        <f t="shared" si="96"/>
        <v>5</v>
      </c>
      <c r="AE806" s="580">
        <f t="shared" si="97"/>
        <v>2.5</v>
      </c>
      <c r="AF806" s="580">
        <f t="shared" si="98"/>
        <v>2.5</v>
      </c>
      <c r="AG806" s="580">
        <f t="shared" si="99"/>
        <v>0</v>
      </c>
      <c r="AH806" s="580">
        <f t="shared" si="100"/>
        <v>0</v>
      </c>
    </row>
    <row r="807" spans="28:34">
      <c r="AB807" s="580">
        <f>HLOOKUP("*"&amp;'Output annual'!$AC$2&amp;'Output annual'!$AD$2&amp;"*Zone People Number Of Occupants [](Hourly)",'Eplus results'!$1:$1048576,ROW(),FALSE)</f>
        <v>0</v>
      </c>
      <c r="AC807" s="580">
        <f>HLOOKUP("*"&amp;'Output annual'!$AC$2&amp;'Output annual'!$AD$2&amp;"*FangerPMV(Hourly)",'Eplus results'!$1:$1048576,ROW(),FALSE)</f>
        <v>0</v>
      </c>
      <c r="AD807" s="580">
        <f t="shared" si="96"/>
        <v>5</v>
      </c>
      <c r="AE807" s="580">
        <f t="shared" si="97"/>
        <v>2.5</v>
      </c>
      <c r="AF807" s="580">
        <f t="shared" si="98"/>
        <v>2.5</v>
      </c>
      <c r="AG807" s="580">
        <f t="shared" si="99"/>
        <v>0</v>
      </c>
      <c r="AH807" s="580">
        <f t="shared" si="100"/>
        <v>0</v>
      </c>
    </row>
    <row r="808" spans="28:34">
      <c r="AB808" s="580">
        <f>HLOOKUP("*"&amp;'Output annual'!$AC$2&amp;'Output annual'!$AD$2&amp;"*Zone People Number Of Occupants [](Hourly)",'Eplus results'!$1:$1048576,ROW(),FALSE)</f>
        <v>0</v>
      </c>
      <c r="AC808" s="580">
        <f>HLOOKUP("*"&amp;'Output annual'!$AC$2&amp;'Output annual'!$AD$2&amp;"*FangerPMV(Hourly)",'Eplus results'!$1:$1048576,ROW(),FALSE)</f>
        <v>0</v>
      </c>
      <c r="AD808" s="580">
        <f t="shared" si="96"/>
        <v>5</v>
      </c>
      <c r="AE808" s="580">
        <f t="shared" si="97"/>
        <v>2.5</v>
      </c>
      <c r="AF808" s="580">
        <f t="shared" si="98"/>
        <v>2.5</v>
      </c>
      <c r="AG808" s="580">
        <f t="shared" si="99"/>
        <v>0</v>
      </c>
      <c r="AH808" s="580">
        <f t="shared" si="100"/>
        <v>0</v>
      </c>
    </row>
    <row r="809" spans="28:34">
      <c r="AB809" s="580">
        <f>HLOOKUP("*"&amp;'Output annual'!$AC$2&amp;'Output annual'!$AD$2&amp;"*Zone People Number Of Occupants [](Hourly)",'Eplus results'!$1:$1048576,ROW(),FALSE)</f>
        <v>0</v>
      </c>
      <c r="AC809" s="580">
        <f>HLOOKUP("*"&amp;'Output annual'!$AC$2&amp;'Output annual'!$AD$2&amp;"*FangerPMV(Hourly)",'Eplus results'!$1:$1048576,ROW(),FALSE)</f>
        <v>0</v>
      </c>
      <c r="AD809" s="580">
        <f t="shared" si="96"/>
        <v>5</v>
      </c>
      <c r="AE809" s="580">
        <f t="shared" si="97"/>
        <v>2.5</v>
      </c>
      <c r="AF809" s="580">
        <f t="shared" si="98"/>
        <v>2.5</v>
      </c>
      <c r="AG809" s="580">
        <f t="shared" si="99"/>
        <v>0</v>
      </c>
      <c r="AH809" s="580">
        <f t="shared" si="100"/>
        <v>0</v>
      </c>
    </row>
    <row r="810" spans="28:34">
      <c r="AB810" s="580">
        <f>HLOOKUP("*"&amp;'Output annual'!$AC$2&amp;'Output annual'!$AD$2&amp;"*Zone People Number Of Occupants [](Hourly)",'Eplus results'!$1:$1048576,ROW(),FALSE)</f>
        <v>0</v>
      </c>
      <c r="AC810" s="580">
        <f>HLOOKUP("*"&amp;'Output annual'!$AC$2&amp;'Output annual'!$AD$2&amp;"*FangerPMV(Hourly)",'Eplus results'!$1:$1048576,ROW(),FALSE)</f>
        <v>0</v>
      </c>
      <c r="AD810" s="580">
        <f t="shared" si="96"/>
        <v>5</v>
      </c>
      <c r="AE810" s="580">
        <f t="shared" si="97"/>
        <v>2.5</v>
      </c>
      <c r="AF810" s="580">
        <f t="shared" si="98"/>
        <v>2.5</v>
      </c>
      <c r="AG810" s="580">
        <f t="shared" si="99"/>
        <v>0</v>
      </c>
      <c r="AH810" s="580">
        <f t="shared" si="100"/>
        <v>0</v>
      </c>
    </row>
    <row r="811" spans="28:34">
      <c r="AB811" s="580">
        <f>HLOOKUP("*"&amp;'Output annual'!$AC$2&amp;'Output annual'!$AD$2&amp;"*Zone People Number Of Occupants [](Hourly)",'Eplus results'!$1:$1048576,ROW(),FALSE)</f>
        <v>0</v>
      </c>
      <c r="AC811" s="580">
        <f>HLOOKUP("*"&amp;'Output annual'!$AC$2&amp;'Output annual'!$AD$2&amp;"*FangerPMV(Hourly)",'Eplus results'!$1:$1048576,ROW(),FALSE)</f>
        <v>0</v>
      </c>
      <c r="AD811" s="580">
        <f t="shared" si="96"/>
        <v>5</v>
      </c>
      <c r="AE811" s="580">
        <f t="shared" si="97"/>
        <v>2.5</v>
      </c>
      <c r="AF811" s="580">
        <f t="shared" si="98"/>
        <v>2.5</v>
      </c>
      <c r="AG811" s="580">
        <f t="shared" si="99"/>
        <v>0</v>
      </c>
      <c r="AH811" s="580">
        <f t="shared" si="100"/>
        <v>0</v>
      </c>
    </row>
    <row r="812" spans="28:34">
      <c r="AB812" s="580">
        <f>HLOOKUP("*"&amp;'Output annual'!$AC$2&amp;'Output annual'!$AD$2&amp;"*Zone People Number Of Occupants [](Hourly)",'Eplus results'!$1:$1048576,ROW(),FALSE)</f>
        <v>0</v>
      </c>
      <c r="AC812" s="580">
        <f>HLOOKUP("*"&amp;'Output annual'!$AC$2&amp;'Output annual'!$AD$2&amp;"*FangerPMV(Hourly)",'Eplus results'!$1:$1048576,ROW(),FALSE)</f>
        <v>0</v>
      </c>
      <c r="AD812" s="580">
        <f t="shared" si="96"/>
        <v>5</v>
      </c>
      <c r="AE812" s="580">
        <f t="shared" si="97"/>
        <v>2.5</v>
      </c>
      <c r="AF812" s="580">
        <f t="shared" si="98"/>
        <v>2.5</v>
      </c>
      <c r="AG812" s="580">
        <f t="shared" si="99"/>
        <v>0</v>
      </c>
      <c r="AH812" s="580">
        <f t="shared" si="100"/>
        <v>0</v>
      </c>
    </row>
    <row r="813" spans="28:34">
      <c r="AB813" s="580">
        <f>HLOOKUP("*"&amp;'Output annual'!$AC$2&amp;'Output annual'!$AD$2&amp;"*Zone People Number Of Occupants [](Hourly)",'Eplus results'!$1:$1048576,ROW(),FALSE)</f>
        <v>0</v>
      </c>
      <c r="AC813" s="580">
        <f>HLOOKUP("*"&amp;'Output annual'!$AC$2&amp;'Output annual'!$AD$2&amp;"*FangerPMV(Hourly)",'Eplus results'!$1:$1048576,ROW(),FALSE)</f>
        <v>0</v>
      </c>
      <c r="AD813" s="580">
        <f t="shared" si="96"/>
        <v>5</v>
      </c>
      <c r="AE813" s="580">
        <f t="shared" si="97"/>
        <v>2.5</v>
      </c>
      <c r="AF813" s="580">
        <f t="shared" si="98"/>
        <v>2.5</v>
      </c>
      <c r="AG813" s="580">
        <f t="shared" si="99"/>
        <v>0</v>
      </c>
      <c r="AH813" s="580">
        <f t="shared" si="100"/>
        <v>0</v>
      </c>
    </row>
    <row r="814" spans="28:34">
      <c r="AB814" s="580">
        <f>HLOOKUP("*"&amp;'Output annual'!$AC$2&amp;'Output annual'!$AD$2&amp;"*Zone People Number Of Occupants [](Hourly)",'Eplus results'!$1:$1048576,ROW(),FALSE)</f>
        <v>0</v>
      </c>
      <c r="AC814" s="580">
        <f>HLOOKUP("*"&amp;'Output annual'!$AC$2&amp;'Output annual'!$AD$2&amp;"*FangerPMV(Hourly)",'Eplus results'!$1:$1048576,ROW(),FALSE)</f>
        <v>0</v>
      </c>
      <c r="AD814" s="580">
        <f t="shared" si="96"/>
        <v>5</v>
      </c>
      <c r="AE814" s="580">
        <f t="shared" si="97"/>
        <v>2.5</v>
      </c>
      <c r="AF814" s="580">
        <f t="shared" si="98"/>
        <v>2.5</v>
      </c>
      <c r="AG814" s="580">
        <f t="shared" si="99"/>
        <v>0</v>
      </c>
      <c r="AH814" s="580">
        <f t="shared" si="100"/>
        <v>0</v>
      </c>
    </row>
    <row r="815" spans="28:34">
      <c r="AB815" s="580">
        <f>HLOOKUP("*"&amp;'Output annual'!$AC$2&amp;'Output annual'!$AD$2&amp;"*Zone People Number Of Occupants [](Hourly)",'Eplus results'!$1:$1048576,ROW(),FALSE)</f>
        <v>0</v>
      </c>
      <c r="AC815" s="580">
        <f>HLOOKUP("*"&amp;'Output annual'!$AC$2&amp;'Output annual'!$AD$2&amp;"*FangerPMV(Hourly)",'Eplus results'!$1:$1048576,ROW(),FALSE)</f>
        <v>0</v>
      </c>
      <c r="AD815" s="580">
        <f t="shared" si="96"/>
        <v>5</v>
      </c>
      <c r="AE815" s="580">
        <f t="shared" si="97"/>
        <v>2.5</v>
      </c>
      <c r="AF815" s="580">
        <f t="shared" si="98"/>
        <v>2.5</v>
      </c>
      <c r="AG815" s="580">
        <f t="shared" si="99"/>
        <v>0</v>
      </c>
      <c r="AH815" s="580">
        <f t="shared" si="100"/>
        <v>0</v>
      </c>
    </row>
    <row r="816" spans="28:34">
      <c r="AB816" s="580">
        <f>HLOOKUP("*"&amp;'Output annual'!$AC$2&amp;'Output annual'!$AD$2&amp;"*Zone People Number Of Occupants [](Hourly)",'Eplus results'!$1:$1048576,ROW(),FALSE)</f>
        <v>0</v>
      </c>
      <c r="AC816" s="580">
        <f>HLOOKUP("*"&amp;'Output annual'!$AC$2&amp;'Output annual'!$AD$2&amp;"*FangerPMV(Hourly)",'Eplus results'!$1:$1048576,ROW(),FALSE)</f>
        <v>0</v>
      </c>
      <c r="AD816" s="580">
        <f t="shared" si="96"/>
        <v>5</v>
      </c>
      <c r="AE816" s="580">
        <f t="shared" si="97"/>
        <v>2.5</v>
      </c>
      <c r="AF816" s="580">
        <f t="shared" si="98"/>
        <v>2.5</v>
      </c>
      <c r="AG816" s="580">
        <f t="shared" si="99"/>
        <v>0</v>
      </c>
      <c r="AH816" s="580">
        <f t="shared" si="100"/>
        <v>0</v>
      </c>
    </row>
    <row r="817" spans="28:34">
      <c r="AB817" s="580">
        <f>HLOOKUP("*"&amp;'Output annual'!$AC$2&amp;'Output annual'!$AD$2&amp;"*Zone People Number Of Occupants [](Hourly)",'Eplus results'!$1:$1048576,ROW(),FALSE)</f>
        <v>0</v>
      </c>
      <c r="AC817" s="580">
        <f>HLOOKUP("*"&amp;'Output annual'!$AC$2&amp;'Output annual'!$AD$2&amp;"*FangerPMV(Hourly)",'Eplus results'!$1:$1048576,ROW(),FALSE)</f>
        <v>0</v>
      </c>
      <c r="AD817" s="580">
        <f t="shared" si="96"/>
        <v>5</v>
      </c>
      <c r="AE817" s="580">
        <f t="shared" si="97"/>
        <v>2.5</v>
      </c>
      <c r="AF817" s="580">
        <f t="shared" si="98"/>
        <v>2.5</v>
      </c>
      <c r="AG817" s="580">
        <f t="shared" si="99"/>
        <v>0</v>
      </c>
      <c r="AH817" s="580">
        <f t="shared" si="100"/>
        <v>0</v>
      </c>
    </row>
    <row r="818" spans="28:34">
      <c r="AB818" s="580">
        <f>HLOOKUP("*"&amp;'Output annual'!$AC$2&amp;'Output annual'!$AD$2&amp;"*Zone People Number Of Occupants [](Hourly)",'Eplus results'!$1:$1048576,ROW(),FALSE)</f>
        <v>0</v>
      </c>
      <c r="AC818" s="580">
        <f>HLOOKUP("*"&amp;'Output annual'!$AC$2&amp;'Output annual'!$AD$2&amp;"*FangerPMV(Hourly)",'Eplus results'!$1:$1048576,ROW(),FALSE)</f>
        <v>0</v>
      </c>
      <c r="AD818" s="580">
        <f t="shared" si="96"/>
        <v>5</v>
      </c>
      <c r="AE818" s="580">
        <f t="shared" si="97"/>
        <v>2.5</v>
      </c>
      <c r="AF818" s="580">
        <f t="shared" si="98"/>
        <v>2.5</v>
      </c>
      <c r="AG818" s="580">
        <f t="shared" si="99"/>
        <v>0</v>
      </c>
      <c r="AH818" s="580">
        <f t="shared" si="100"/>
        <v>0</v>
      </c>
    </row>
    <row r="819" spans="28:34">
      <c r="AB819" s="580">
        <f>HLOOKUP("*"&amp;'Output annual'!$AC$2&amp;'Output annual'!$AD$2&amp;"*Zone People Number Of Occupants [](Hourly)",'Eplus results'!$1:$1048576,ROW(),FALSE)</f>
        <v>0</v>
      </c>
      <c r="AC819" s="580">
        <f>HLOOKUP("*"&amp;'Output annual'!$AC$2&amp;'Output annual'!$AD$2&amp;"*FangerPMV(Hourly)",'Eplus results'!$1:$1048576,ROW(),FALSE)</f>
        <v>0</v>
      </c>
      <c r="AD819" s="580">
        <f t="shared" si="96"/>
        <v>5</v>
      </c>
      <c r="AE819" s="580">
        <f t="shared" si="97"/>
        <v>2.5</v>
      </c>
      <c r="AF819" s="580">
        <f t="shared" si="98"/>
        <v>2.5</v>
      </c>
      <c r="AG819" s="580">
        <f t="shared" si="99"/>
        <v>0</v>
      </c>
      <c r="AH819" s="580">
        <f t="shared" si="100"/>
        <v>0</v>
      </c>
    </row>
    <row r="820" spans="28:34">
      <c r="AB820" s="580">
        <f>HLOOKUP("*"&amp;'Output annual'!$AC$2&amp;'Output annual'!$AD$2&amp;"*Zone People Number Of Occupants [](Hourly)",'Eplus results'!$1:$1048576,ROW(),FALSE)</f>
        <v>0</v>
      </c>
      <c r="AC820" s="580">
        <f>HLOOKUP("*"&amp;'Output annual'!$AC$2&amp;'Output annual'!$AD$2&amp;"*FangerPMV(Hourly)",'Eplus results'!$1:$1048576,ROW(),FALSE)</f>
        <v>0</v>
      </c>
      <c r="AD820" s="580">
        <f t="shared" si="96"/>
        <v>5</v>
      </c>
      <c r="AE820" s="580">
        <f t="shared" si="97"/>
        <v>2.5</v>
      </c>
      <c r="AF820" s="580">
        <f t="shared" si="98"/>
        <v>2.5</v>
      </c>
      <c r="AG820" s="580">
        <f t="shared" si="99"/>
        <v>0</v>
      </c>
      <c r="AH820" s="580">
        <f t="shared" si="100"/>
        <v>0</v>
      </c>
    </row>
    <row r="821" spans="28:34">
      <c r="AB821" s="580">
        <f>HLOOKUP("*"&amp;'Output annual'!$AC$2&amp;'Output annual'!$AD$2&amp;"*Zone People Number Of Occupants [](Hourly)",'Eplus results'!$1:$1048576,ROW(),FALSE)</f>
        <v>0</v>
      </c>
      <c r="AC821" s="580">
        <f>HLOOKUP("*"&amp;'Output annual'!$AC$2&amp;'Output annual'!$AD$2&amp;"*FangerPMV(Hourly)",'Eplus results'!$1:$1048576,ROW(),FALSE)</f>
        <v>0</v>
      </c>
      <c r="AD821" s="580">
        <f t="shared" si="96"/>
        <v>5</v>
      </c>
      <c r="AE821" s="580">
        <f t="shared" si="97"/>
        <v>2.5</v>
      </c>
      <c r="AF821" s="580">
        <f t="shared" si="98"/>
        <v>2.5</v>
      </c>
      <c r="AG821" s="580">
        <f t="shared" si="99"/>
        <v>0</v>
      </c>
      <c r="AH821" s="580">
        <f t="shared" si="100"/>
        <v>0</v>
      </c>
    </row>
    <row r="822" spans="28:34">
      <c r="AB822" s="580">
        <f>HLOOKUP("*"&amp;'Output annual'!$AC$2&amp;'Output annual'!$AD$2&amp;"*Zone People Number Of Occupants [](Hourly)",'Eplus results'!$1:$1048576,ROW(),FALSE)</f>
        <v>0</v>
      </c>
      <c r="AC822" s="580">
        <f>HLOOKUP("*"&amp;'Output annual'!$AC$2&amp;'Output annual'!$AD$2&amp;"*FangerPMV(Hourly)",'Eplus results'!$1:$1048576,ROW(),FALSE)</f>
        <v>0</v>
      </c>
      <c r="AD822" s="580">
        <f t="shared" si="96"/>
        <v>5</v>
      </c>
      <c r="AE822" s="580">
        <f t="shared" si="97"/>
        <v>2.5</v>
      </c>
      <c r="AF822" s="580">
        <f t="shared" si="98"/>
        <v>2.5</v>
      </c>
      <c r="AG822" s="580">
        <f t="shared" si="99"/>
        <v>0</v>
      </c>
      <c r="AH822" s="580">
        <f t="shared" si="100"/>
        <v>0</v>
      </c>
    </row>
    <row r="823" spans="28:34">
      <c r="AB823" s="580">
        <f>HLOOKUP("*"&amp;'Output annual'!$AC$2&amp;'Output annual'!$AD$2&amp;"*Zone People Number Of Occupants [](Hourly)",'Eplus results'!$1:$1048576,ROW(),FALSE)</f>
        <v>0</v>
      </c>
      <c r="AC823" s="580">
        <f>HLOOKUP("*"&amp;'Output annual'!$AC$2&amp;'Output annual'!$AD$2&amp;"*FangerPMV(Hourly)",'Eplus results'!$1:$1048576,ROW(),FALSE)</f>
        <v>0</v>
      </c>
      <c r="AD823" s="580">
        <f t="shared" si="96"/>
        <v>5</v>
      </c>
      <c r="AE823" s="580">
        <f t="shared" si="97"/>
        <v>2.5</v>
      </c>
      <c r="AF823" s="580">
        <f t="shared" si="98"/>
        <v>2.5</v>
      </c>
      <c r="AG823" s="580">
        <f t="shared" si="99"/>
        <v>0</v>
      </c>
      <c r="AH823" s="580">
        <f t="shared" si="100"/>
        <v>0</v>
      </c>
    </row>
    <row r="824" spans="28:34">
      <c r="AB824" s="580">
        <f>HLOOKUP("*"&amp;'Output annual'!$AC$2&amp;'Output annual'!$AD$2&amp;"*Zone People Number Of Occupants [](Hourly)",'Eplus results'!$1:$1048576,ROW(),FALSE)</f>
        <v>0</v>
      </c>
      <c r="AC824" s="580">
        <f>HLOOKUP("*"&amp;'Output annual'!$AC$2&amp;'Output annual'!$AD$2&amp;"*FangerPMV(Hourly)",'Eplus results'!$1:$1048576,ROW(),FALSE)</f>
        <v>0</v>
      </c>
      <c r="AD824" s="580">
        <f t="shared" si="96"/>
        <v>5</v>
      </c>
      <c r="AE824" s="580">
        <f t="shared" si="97"/>
        <v>2.5</v>
      </c>
      <c r="AF824" s="580">
        <f t="shared" si="98"/>
        <v>2.5</v>
      </c>
      <c r="AG824" s="580">
        <f t="shared" si="99"/>
        <v>0</v>
      </c>
      <c r="AH824" s="580">
        <f t="shared" si="100"/>
        <v>0</v>
      </c>
    </row>
    <row r="825" spans="28:34">
      <c r="AB825" s="580">
        <f>HLOOKUP("*"&amp;'Output annual'!$AC$2&amp;'Output annual'!$AD$2&amp;"*Zone People Number Of Occupants [](Hourly)",'Eplus results'!$1:$1048576,ROW(),FALSE)</f>
        <v>0</v>
      </c>
      <c r="AC825" s="580">
        <f>HLOOKUP("*"&amp;'Output annual'!$AC$2&amp;'Output annual'!$AD$2&amp;"*FangerPMV(Hourly)",'Eplus results'!$1:$1048576,ROW(),FALSE)</f>
        <v>0</v>
      </c>
      <c r="AD825" s="580">
        <f t="shared" si="96"/>
        <v>5</v>
      </c>
      <c r="AE825" s="580">
        <f t="shared" si="97"/>
        <v>2.5</v>
      </c>
      <c r="AF825" s="580">
        <f t="shared" si="98"/>
        <v>2.5</v>
      </c>
      <c r="AG825" s="580">
        <f t="shared" si="99"/>
        <v>0</v>
      </c>
      <c r="AH825" s="580">
        <f t="shared" si="100"/>
        <v>0</v>
      </c>
    </row>
    <row r="826" spans="28:34">
      <c r="AB826" s="580">
        <f>HLOOKUP("*"&amp;'Output annual'!$AC$2&amp;'Output annual'!$AD$2&amp;"*Zone People Number Of Occupants [](Hourly)",'Eplus results'!$1:$1048576,ROW(),FALSE)</f>
        <v>0</v>
      </c>
      <c r="AC826" s="580">
        <f>HLOOKUP("*"&amp;'Output annual'!$AC$2&amp;'Output annual'!$AD$2&amp;"*FangerPMV(Hourly)",'Eplus results'!$1:$1048576,ROW(),FALSE)</f>
        <v>0</v>
      </c>
      <c r="AD826" s="580">
        <f t="shared" si="96"/>
        <v>5</v>
      </c>
      <c r="AE826" s="580">
        <f t="shared" si="97"/>
        <v>2.5</v>
      </c>
      <c r="AF826" s="580">
        <f t="shared" si="98"/>
        <v>2.5</v>
      </c>
      <c r="AG826" s="580">
        <f t="shared" si="99"/>
        <v>0</v>
      </c>
      <c r="AH826" s="580">
        <f t="shared" si="100"/>
        <v>0</v>
      </c>
    </row>
    <row r="827" spans="28:34">
      <c r="AB827" s="580">
        <f>HLOOKUP("*"&amp;'Output annual'!$AC$2&amp;'Output annual'!$AD$2&amp;"*Zone People Number Of Occupants [](Hourly)",'Eplus results'!$1:$1048576,ROW(),FALSE)</f>
        <v>0</v>
      </c>
      <c r="AC827" s="580">
        <f>HLOOKUP("*"&amp;'Output annual'!$AC$2&amp;'Output annual'!$AD$2&amp;"*FangerPMV(Hourly)",'Eplus results'!$1:$1048576,ROW(),FALSE)</f>
        <v>0</v>
      </c>
      <c r="AD827" s="580">
        <f t="shared" si="96"/>
        <v>5</v>
      </c>
      <c r="AE827" s="580">
        <f t="shared" si="97"/>
        <v>2.5</v>
      </c>
      <c r="AF827" s="580">
        <f t="shared" si="98"/>
        <v>2.5</v>
      </c>
      <c r="AG827" s="580">
        <f t="shared" si="99"/>
        <v>0</v>
      </c>
      <c r="AH827" s="580">
        <f t="shared" si="100"/>
        <v>0</v>
      </c>
    </row>
    <row r="828" spans="28:34">
      <c r="AB828" s="580">
        <f>HLOOKUP("*"&amp;'Output annual'!$AC$2&amp;'Output annual'!$AD$2&amp;"*Zone People Number Of Occupants [](Hourly)",'Eplus results'!$1:$1048576,ROW(),FALSE)</f>
        <v>0</v>
      </c>
      <c r="AC828" s="580">
        <f>HLOOKUP("*"&amp;'Output annual'!$AC$2&amp;'Output annual'!$AD$2&amp;"*FangerPMV(Hourly)",'Eplus results'!$1:$1048576,ROW(),FALSE)</f>
        <v>0</v>
      </c>
      <c r="AD828" s="580">
        <f t="shared" si="96"/>
        <v>5</v>
      </c>
      <c r="AE828" s="580">
        <f t="shared" si="97"/>
        <v>2.5</v>
      </c>
      <c r="AF828" s="580">
        <f t="shared" si="98"/>
        <v>2.5</v>
      </c>
      <c r="AG828" s="580">
        <f t="shared" si="99"/>
        <v>0</v>
      </c>
      <c r="AH828" s="580">
        <f t="shared" si="100"/>
        <v>0</v>
      </c>
    </row>
    <row r="829" spans="28:34">
      <c r="AB829" s="580">
        <f>HLOOKUP("*"&amp;'Output annual'!$AC$2&amp;'Output annual'!$AD$2&amp;"*Zone People Number Of Occupants [](Hourly)",'Eplus results'!$1:$1048576,ROW(),FALSE)</f>
        <v>0</v>
      </c>
      <c r="AC829" s="580">
        <f>HLOOKUP("*"&amp;'Output annual'!$AC$2&amp;'Output annual'!$AD$2&amp;"*FangerPMV(Hourly)",'Eplus results'!$1:$1048576,ROW(),FALSE)</f>
        <v>0</v>
      </c>
      <c r="AD829" s="580">
        <f t="shared" si="96"/>
        <v>5</v>
      </c>
      <c r="AE829" s="580">
        <f t="shared" si="97"/>
        <v>2.5</v>
      </c>
      <c r="AF829" s="580">
        <f t="shared" si="98"/>
        <v>2.5</v>
      </c>
      <c r="AG829" s="580">
        <f t="shared" si="99"/>
        <v>0</v>
      </c>
      <c r="AH829" s="580">
        <f t="shared" si="100"/>
        <v>0</v>
      </c>
    </row>
    <row r="830" spans="28:34">
      <c r="AB830" s="580">
        <f>HLOOKUP("*"&amp;'Output annual'!$AC$2&amp;'Output annual'!$AD$2&amp;"*Zone People Number Of Occupants [](Hourly)",'Eplus results'!$1:$1048576,ROW(),FALSE)</f>
        <v>0</v>
      </c>
      <c r="AC830" s="580">
        <f>HLOOKUP("*"&amp;'Output annual'!$AC$2&amp;'Output annual'!$AD$2&amp;"*FangerPMV(Hourly)",'Eplus results'!$1:$1048576,ROW(),FALSE)</f>
        <v>0</v>
      </c>
      <c r="AD830" s="580">
        <f t="shared" si="96"/>
        <v>5</v>
      </c>
      <c r="AE830" s="580">
        <f t="shared" si="97"/>
        <v>2.5</v>
      </c>
      <c r="AF830" s="580">
        <f t="shared" si="98"/>
        <v>2.5</v>
      </c>
      <c r="AG830" s="580">
        <f t="shared" si="99"/>
        <v>0</v>
      </c>
      <c r="AH830" s="580">
        <f t="shared" si="100"/>
        <v>0</v>
      </c>
    </row>
    <row r="831" spans="28:34">
      <c r="AB831" s="580">
        <f>HLOOKUP("*"&amp;'Output annual'!$AC$2&amp;'Output annual'!$AD$2&amp;"*Zone People Number Of Occupants [](Hourly)",'Eplus results'!$1:$1048576,ROW(),FALSE)</f>
        <v>0</v>
      </c>
      <c r="AC831" s="580">
        <f>HLOOKUP("*"&amp;'Output annual'!$AC$2&amp;'Output annual'!$AD$2&amp;"*FangerPMV(Hourly)",'Eplus results'!$1:$1048576,ROW(),FALSE)</f>
        <v>0</v>
      </c>
      <c r="AD831" s="580">
        <f t="shared" si="96"/>
        <v>5</v>
      </c>
      <c r="AE831" s="580">
        <f t="shared" si="97"/>
        <v>2.5</v>
      </c>
      <c r="AF831" s="580">
        <f t="shared" si="98"/>
        <v>2.5</v>
      </c>
      <c r="AG831" s="580">
        <f t="shared" si="99"/>
        <v>0</v>
      </c>
      <c r="AH831" s="580">
        <f t="shared" si="100"/>
        <v>0</v>
      </c>
    </row>
    <row r="832" spans="28:34">
      <c r="AB832" s="580">
        <f>HLOOKUP("*"&amp;'Output annual'!$AC$2&amp;'Output annual'!$AD$2&amp;"*Zone People Number Of Occupants [](Hourly)",'Eplus results'!$1:$1048576,ROW(),FALSE)</f>
        <v>0</v>
      </c>
      <c r="AC832" s="580">
        <f>HLOOKUP("*"&amp;'Output annual'!$AC$2&amp;'Output annual'!$AD$2&amp;"*FangerPMV(Hourly)",'Eplus results'!$1:$1048576,ROW(),FALSE)</f>
        <v>0</v>
      </c>
      <c r="AD832" s="580">
        <f t="shared" si="96"/>
        <v>5</v>
      </c>
      <c r="AE832" s="580">
        <f t="shared" si="97"/>
        <v>2.5</v>
      </c>
      <c r="AF832" s="580">
        <f t="shared" si="98"/>
        <v>2.5</v>
      </c>
      <c r="AG832" s="580">
        <f t="shared" si="99"/>
        <v>0</v>
      </c>
      <c r="AH832" s="580">
        <f t="shared" si="100"/>
        <v>0</v>
      </c>
    </row>
    <row r="833" spans="28:34">
      <c r="AB833" s="580">
        <f>HLOOKUP("*"&amp;'Output annual'!$AC$2&amp;'Output annual'!$AD$2&amp;"*Zone People Number Of Occupants [](Hourly)",'Eplus results'!$1:$1048576,ROW(),FALSE)</f>
        <v>0</v>
      </c>
      <c r="AC833" s="580">
        <f>HLOOKUP("*"&amp;'Output annual'!$AC$2&amp;'Output annual'!$AD$2&amp;"*FangerPMV(Hourly)",'Eplus results'!$1:$1048576,ROW(),FALSE)</f>
        <v>0</v>
      </c>
      <c r="AD833" s="580">
        <f t="shared" si="96"/>
        <v>5</v>
      </c>
      <c r="AE833" s="580">
        <f t="shared" si="97"/>
        <v>2.5</v>
      </c>
      <c r="AF833" s="580">
        <f t="shared" si="98"/>
        <v>2.5</v>
      </c>
      <c r="AG833" s="580">
        <f t="shared" si="99"/>
        <v>0</v>
      </c>
      <c r="AH833" s="580">
        <f t="shared" si="100"/>
        <v>0</v>
      </c>
    </row>
    <row r="834" spans="28:34">
      <c r="AB834" s="580">
        <f>HLOOKUP("*"&amp;'Output annual'!$AC$2&amp;'Output annual'!$AD$2&amp;"*Zone People Number Of Occupants [](Hourly)",'Eplus results'!$1:$1048576,ROW(),FALSE)</f>
        <v>0</v>
      </c>
      <c r="AC834" s="580">
        <f>HLOOKUP("*"&amp;'Output annual'!$AC$2&amp;'Output annual'!$AD$2&amp;"*FangerPMV(Hourly)",'Eplus results'!$1:$1048576,ROW(),FALSE)</f>
        <v>0</v>
      </c>
      <c r="AD834" s="580">
        <f t="shared" si="96"/>
        <v>5</v>
      </c>
      <c r="AE834" s="580">
        <f t="shared" si="97"/>
        <v>2.5</v>
      </c>
      <c r="AF834" s="580">
        <f t="shared" si="98"/>
        <v>2.5</v>
      </c>
      <c r="AG834" s="580">
        <f t="shared" si="99"/>
        <v>0</v>
      </c>
      <c r="AH834" s="580">
        <f t="shared" si="100"/>
        <v>0</v>
      </c>
    </row>
    <row r="835" spans="28:34">
      <c r="AB835" s="580">
        <f>HLOOKUP("*"&amp;'Output annual'!$AC$2&amp;'Output annual'!$AD$2&amp;"*Zone People Number Of Occupants [](Hourly)",'Eplus results'!$1:$1048576,ROW(),FALSE)</f>
        <v>0</v>
      </c>
      <c r="AC835" s="580">
        <f>HLOOKUP("*"&amp;'Output annual'!$AC$2&amp;'Output annual'!$AD$2&amp;"*FangerPMV(Hourly)",'Eplus results'!$1:$1048576,ROW(),FALSE)</f>
        <v>0</v>
      </c>
      <c r="AD835" s="580">
        <f t="shared" ref="AD835:AD898" si="101">100-95*EXP(-0.03353*AC835^4-0.2179*AC835^2)</f>
        <v>5</v>
      </c>
      <c r="AE835" s="580">
        <f t="shared" ref="AE835:AE898" si="102">AD835*(1/(1+EXP(-6.3*$AC835)))</f>
        <v>2.5</v>
      </c>
      <c r="AF835" s="580">
        <f t="shared" ref="AF835:AF898" si="103">(AD835-AE835)</f>
        <v>2.5</v>
      </c>
      <c r="AG835" s="580">
        <f t="shared" ref="AG835:AG898" si="104">AE835*AB835</f>
        <v>0</v>
      </c>
      <c r="AH835" s="580">
        <f t="shared" ref="AH835:AH898" si="105">AF835*AB835</f>
        <v>0</v>
      </c>
    </row>
    <row r="836" spans="28:34">
      <c r="AB836" s="580">
        <f>HLOOKUP("*"&amp;'Output annual'!$AC$2&amp;'Output annual'!$AD$2&amp;"*Zone People Number Of Occupants [](Hourly)",'Eplus results'!$1:$1048576,ROW(),FALSE)</f>
        <v>0</v>
      </c>
      <c r="AC836" s="580">
        <f>HLOOKUP("*"&amp;'Output annual'!$AC$2&amp;'Output annual'!$AD$2&amp;"*FangerPMV(Hourly)",'Eplus results'!$1:$1048576,ROW(),FALSE)</f>
        <v>0</v>
      </c>
      <c r="AD836" s="580">
        <f t="shared" si="101"/>
        <v>5</v>
      </c>
      <c r="AE836" s="580">
        <f t="shared" si="102"/>
        <v>2.5</v>
      </c>
      <c r="AF836" s="580">
        <f t="shared" si="103"/>
        <v>2.5</v>
      </c>
      <c r="AG836" s="580">
        <f t="shared" si="104"/>
        <v>0</v>
      </c>
      <c r="AH836" s="580">
        <f t="shared" si="105"/>
        <v>0</v>
      </c>
    </row>
    <row r="837" spans="28:34">
      <c r="AB837" s="580">
        <f>HLOOKUP("*"&amp;'Output annual'!$AC$2&amp;'Output annual'!$AD$2&amp;"*Zone People Number Of Occupants [](Hourly)",'Eplus results'!$1:$1048576,ROW(),FALSE)</f>
        <v>0</v>
      </c>
      <c r="AC837" s="580">
        <f>HLOOKUP("*"&amp;'Output annual'!$AC$2&amp;'Output annual'!$AD$2&amp;"*FangerPMV(Hourly)",'Eplus results'!$1:$1048576,ROW(),FALSE)</f>
        <v>0</v>
      </c>
      <c r="AD837" s="580">
        <f t="shared" si="101"/>
        <v>5</v>
      </c>
      <c r="AE837" s="580">
        <f t="shared" si="102"/>
        <v>2.5</v>
      </c>
      <c r="AF837" s="580">
        <f t="shared" si="103"/>
        <v>2.5</v>
      </c>
      <c r="AG837" s="580">
        <f t="shared" si="104"/>
        <v>0</v>
      </c>
      <c r="AH837" s="580">
        <f t="shared" si="105"/>
        <v>0</v>
      </c>
    </row>
    <row r="838" spans="28:34">
      <c r="AB838" s="580">
        <f>HLOOKUP("*"&amp;'Output annual'!$AC$2&amp;'Output annual'!$AD$2&amp;"*Zone People Number Of Occupants [](Hourly)",'Eplus results'!$1:$1048576,ROW(),FALSE)</f>
        <v>0</v>
      </c>
      <c r="AC838" s="580">
        <f>HLOOKUP("*"&amp;'Output annual'!$AC$2&amp;'Output annual'!$AD$2&amp;"*FangerPMV(Hourly)",'Eplus results'!$1:$1048576,ROW(),FALSE)</f>
        <v>0</v>
      </c>
      <c r="AD838" s="580">
        <f t="shared" si="101"/>
        <v>5</v>
      </c>
      <c r="AE838" s="580">
        <f t="shared" si="102"/>
        <v>2.5</v>
      </c>
      <c r="AF838" s="580">
        <f t="shared" si="103"/>
        <v>2.5</v>
      </c>
      <c r="AG838" s="580">
        <f t="shared" si="104"/>
        <v>0</v>
      </c>
      <c r="AH838" s="580">
        <f t="shared" si="105"/>
        <v>0</v>
      </c>
    </row>
    <row r="839" spans="28:34">
      <c r="AB839" s="580">
        <f>HLOOKUP("*"&amp;'Output annual'!$AC$2&amp;'Output annual'!$AD$2&amp;"*Zone People Number Of Occupants [](Hourly)",'Eplus results'!$1:$1048576,ROW(),FALSE)</f>
        <v>0</v>
      </c>
      <c r="AC839" s="580">
        <f>HLOOKUP("*"&amp;'Output annual'!$AC$2&amp;'Output annual'!$AD$2&amp;"*FangerPMV(Hourly)",'Eplus results'!$1:$1048576,ROW(),FALSE)</f>
        <v>0</v>
      </c>
      <c r="AD839" s="580">
        <f t="shared" si="101"/>
        <v>5</v>
      </c>
      <c r="AE839" s="580">
        <f t="shared" si="102"/>
        <v>2.5</v>
      </c>
      <c r="AF839" s="580">
        <f t="shared" si="103"/>
        <v>2.5</v>
      </c>
      <c r="AG839" s="580">
        <f t="shared" si="104"/>
        <v>0</v>
      </c>
      <c r="AH839" s="580">
        <f t="shared" si="105"/>
        <v>0</v>
      </c>
    </row>
    <row r="840" spans="28:34">
      <c r="AB840" s="580">
        <f>HLOOKUP("*"&amp;'Output annual'!$AC$2&amp;'Output annual'!$AD$2&amp;"*Zone People Number Of Occupants [](Hourly)",'Eplus results'!$1:$1048576,ROW(),FALSE)</f>
        <v>0</v>
      </c>
      <c r="AC840" s="580">
        <f>HLOOKUP("*"&amp;'Output annual'!$AC$2&amp;'Output annual'!$AD$2&amp;"*FangerPMV(Hourly)",'Eplus results'!$1:$1048576,ROW(),FALSE)</f>
        <v>0</v>
      </c>
      <c r="AD840" s="580">
        <f t="shared" si="101"/>
        <v>5</v>
      </c>
      <c r="AE840" s="580">
        <f t="shared" si="102"/>
        <v>2.5</v>
      </c>
      <c r="AF840" s="580">
        <f t="shared" si="103"/>
        <v>2.5</v>
      </c>
      <c r="AG840" s="580">
        <f t="shared" si="104"/>
        <v>0</v>
      </c>
      <c r="AH840" s="580">
        <f t="shared" si="105"/>
        <v>0</v>
      </c>
    </row>
    <row r="841" spans="28:34">
      <c r="AB841" s="580">
        <f>HLOOKUP("*"&amp;'Output annual'!$AC$2&amp;'Output annual'!$AD$2&amp;"*Zone People Number Of Occupants [](Hourly)",'Eplus results'!$1:$1048576,ROW(),FALSE)</f>
        <v>0</v>
      </c>
      <c r="AC841" s="580">
        <f>HLOOKUP("*"&amp;'Output annual'!$AC$2&amp;'Output annual'!$AD$2&amp;"*FangerPMV(Hourly)",'Eplus results'!$1:$1048576,ROW(),FALSE)</f>
        <v>0</v>
      </c>
      <c r="AD841" s="580">
        <f t="shared" si="101"/>
        <v>5</v>
      </c>
      <c r="AE841" s="580">
        <f t="shared" si="102"/>
        <v>2.5</v>
      </c>
      <c r="AF841" s="580">
        <f t="shared" si="103"/>
        <v>2.5</v>
      </c>
      <c r="AG841" s="580">
        <f t="shared" si="104"/>
        <v>0</v>
      </c>
      <c r="AH841" s="580">
        <f t="shared" si="105"/>
        <v>0</v>
      </c>
    </row>
    <row r="842" spans="28:34">
      <c r="AB842" s="580">
        <f>HLOOKUP("*"&amp;'Output annual'!$AC$2&amp;'Output annual'!$AD$2&amp;"*Zone People Number Of Occupants [](Hourly)",'Eplus results'!$1:$1048576,ROW(),FALSE)</f>
        <v>0</v>
      </c>
      <c r="AC842" s="580">
        <f>HLOOKUP("*"&amp;'Output annual'!$AC$2&amp;'Output annual'!$AD$2&amp;"*FangerPMV(Hourly)",'Eplus results'!$1:$1048576,ROW(),FALSE)</f>
        <v>0</v>
      </c>
      <c r="AD842" s="580">
        <f t="shared" si="101"/>
        <v>5</v>
      </c>
      <c r="AE842" s="580">
        <f t="shared" si="102"/>
        <v>2.5</v>
      </c>
      <c r="AF842" s="580">
        <f t="shared" si="103"/>
        <v>2.5</v>
      </c>
      <c r="AG842" s="580">
        <f t="shared" si="104"/>
        <v>0</v>
      </c>
      <c r="AH842" s="580">
        <f t="shared" si="105"/>
        <v>0</v>
      </c>
    </row>
    <row r="843" spans="28:34">
      <c r="AB843" s="580">
        <f>HLOOKUP("*"&amp;'Output annual'!$AC$2&amp;'Output annual'!$AD$2&amp;"*Zone People Number Of Occupants [](Hourly)",'Eplus results'!$1:$1048576,ROW(),FALSE)</f>
        <v>0</v>
      </c>
      <c r="AC843" s="580">
        <f>HLOOKUP("*"&amp;'Output annual'!$AC$2&amp;'Output annual'!$AD$2&amp;"*FangerPMV(Hourly)",'Eplus results'!$1:$1048576,ROW(),FALSE)</f>
        <v>0</v>
      </c>
      <c r="AD843" s="580">
        <f t="shared" si="101"/>
        <v>5</v>
      </c>
      <c r="AE843" s="580">
        <f t="shared" si="102"/>
        <v>2.5</v>
      </c>
      <c r="AF843" s="580">
        <f t="shared" si="103"/>
        <v>2.5</v>
      </c>
      <c r="AG843" s="580">
        <f t="shared" si="104"/>
        <v>0</v>
      </c>
      <c r="AH843" s="580">
        <f t="shared" si="105"/>
        <v>0</v>
      </c>
    </row>
    <row r="844" spans="28:34">
      <c r="AB844" s="580">
        <f>HLOOKUP("*"&amp;'Output annual'!$AC$2&amp;'Output annual'!$AD$2&amp;"*Zone People Number Of Occupants [](Hourly)",'Eplus results'!$1:$1048576,ROW(),FALSE)</f>
        <v>0</v>
      </c>
      <c r="AC844" s="580">
        <f>HLOOKUP("*"&amp;'Output annual'!$AC$2&amp;'Output annual'!$AD$2&amp;"*FangerPMV(Hourly)",'Eplus results'!$1:$1048576,ROW(),FALSE)</f>
        <v>0</v>
      </c>
      <c r="AD844" s="580">
        <f t="shared" si="101"/>
        <v>5</v>
      </c>
      <c r="AE844" s="580">
        <f t="shared" si="102"/>
        <v>2.5</v>
      </c>
      <c r="AF844" s="580">
        <f t="shared" si="103"/>
        <v>2.5</v>
      </c>
      <c r="AG844" s="580">
        <f t="shared" si="104"/>
        <v>0</v>
      </c>
      <c r="AH844" s="580">
        <f t="shared" si="105"/>
        <v>0</v>
      </c>
    </row>
    <row r="845" spans="28:34">
      <c r="AB845" s="580">
        <f>HLOOKUP("*"&amp;'Output annual'!$AC$2&amp;'Output annual'!$AD$2&amp;"*Zone People Number Of Occupants [](Hourly)",'Eplus results'!$1:$1048576,ROW(),FALSE)</f>
        <v>0</v>
      </c>
      <c r="AC845" s="580">
        <f>HLOOKUP("*"&amp;'Output annual'!$AC$2&amp;'Output annual'!$AD$2&amp;"*FangerPMV(Hourly)",'Eplus results'!$1:$1048576,ROW(),FALSE)</f>
        <v>0</v>
      </c>
      <c r="AD845" s="580">
        <f t="shared" si="101"/>
        <v>5</v>
      </c>
      <c r="AE845" s="580">
        <f t="shared" si="102"/>
        <v>2.5</v>
      </c>
      <c r="AF845" s="580">
        <f t="shared" si="103"/>
        <v>2.5</v>
      </c>
      <c r="AG845" s="580">
        <f t="shared" si="104"/>
        <v>0</v>
      </c>
      <c r="AH845" s="580">
        <f t="shared" si="105"/>
        <v>0</v>
      </c>
    </row>
    <row r="846" spans="28:34">
      <c r="AB846" s="580">
        <f>HLOOKUP("*"&amp;'Output annual'!$AC$2&amp;'Output annual'!$AD$2&amp;"*Zone People Number Of Occupants [](Hourly)",'Eplus results'!$1:$1048576,ROW(),FALSE)</f>
        <v>0</v>
      </c>
      <c r="AC846" s="580">
        <f>HLOOKUP("*"&amp;'Output annual'!$AC$2&amp;'Output annual'!$AD$2&amp;"*FangerPMV(Hourly)",'Eplus results'!$1:$1048576,ROW(),FALSE)</f>
        <v>0</v>
      </c>
      <c r="AD846" s="580">
        <f t="shared" si="101"/>
        <v>5</v>
      </c>
      <c r="AE846" s="580">
        <f t="shared" si="102"/>
        <v>2.5</v>
      </c>
      <c r="AF846" s="580">
        <f t="shared" si="103"/>
        <v>2.5</v>
      </c>
      <c r="AG846" s="580">
        <f t="shared" si="104"/>
        <v>0</v>
      </c>
      <c r="AH846" s="580">
        <f t="shared" si="105"/>
        <v>0</v>
      </c>
    </row>
    <row r="847" spans="28:34">
      <c r="AB847" s="580">
        <f>HLOOKUP("*"&amp;'Output annual'!$AC$2&amp;'Output annual'!$AD$2&amp;"*Zone People Number Of Occupants [](Hourly)",'Eplus results'!$1:$1048576,ROW(),FALSE)</f>
        <v>0</v>
      </c>
      <c r="AC847" s="580">
        <f>HLOOKUP("*"&amp;'Output annual'!$AC$2&amp;'Output annual'!$AD$2&amp;"*FangerPMV(Hourly)",'Eplus results'!$1:$1048576,ROW(),FALSE)</f>
        <v>0</v>
      </c>
      <c r="AD847" s="580">
        <f t="shared" si="101"/>
        <v>5</v>
      </c>
      <c r="AE847" s="580">
        <f t="shared" si="102"/>
        <v>2.5</v>
      </c>
      <c r="AF847" s="580">
        <f t="shared" si="103"/>
        <v>2.5</v>
      </c>
      <c r="AG847" s="580">
        <f t="shared" si="104"/>
        <v>0</v>
      </c>
      <c r="AH847" s="580">
        <f t="shared" si="105"/>
        <v>0</v>
      </c>
    </row>
    <row r="848" spans="28:34">
      <c r="AB848" s="580">
        <f>HLOOKUP("*"&amp;'Output annual'!$AC$2&amp;'Output annual'!$AD$2&amp;"*Zone People Number Of Occupants [](Hourly)",'Eplus results'!$1:$1048576,ROW(),FALSE)</f>
        <v>0</v>
      </c>
      <c r="AC848" s="580">
        <f>HLOOKUP("*"&amp;'Output annual'!$AC$2&amp;'Output annual'!$AD$2&amp;"*FangerPMV(Hourly)",'Eplus results'!$1:$1048576,ROW(),FALSE)</f>
        <v>0</v>
      </c>
      <c r="AD848" s="580">
        <f t="shared" si="101"/>
        <v>5</v>
      </c>
      <c r="AE848" s="580">
        <f t="shared" si="102"/>
        <v>2.5</v>
      </c>
      <c r="AF848" s="580">
        <f t="shared" si="103"/>
        <v>2.5</v>
      </c>
      <c r="AG848" s="580">
        <f t="shared" si="104"/>
        <v>0</v>
      </c>
      <c r="AH848" s="580">
        <f t="shared" si="105"/>
        <v>0</v>
      </c>
    </row>
    <row r="849" spans="28:34">
      <c r="AB849" s="580">
        <f>HLOOKUP("*"&amp;'Output annual'!$AC$2&amp;'Output annual'!$AD$2&amp;"*Zone People Number Of Occupants [](Hourly)",'Eplus results'!$1:$1048576,ROW(),FALSE)</f>
        <v>0</v>
      </c>
      <c r="AC849" s="580">
        <f>HLOOKUP("*"&amp;'Output annual'!$AC$2&amp;'Output annual'!$AD$2&amp;"*FangerPMV(Hourly)",'Eplus results'!$1:$1048576,ROW(),FALSE)</f>
        <v>0</v>
      </c>
      <c r="AD849" s="580">
        <f t="shared" si="101"/>
        <v>5</v>
      </c>
      <c r="AE849" s="580">
        <f t="shared" si="102"/>
        <v>2.5</v>
      </c>
      <c r="AF849" s="580">
        <f t="shared" si="103"/>
        <v>2.5</v>
      </c>
      <c r="AG849" s="580">
        <f t="shared" si="104"/>
        <v>0</v>
      </c>
      <c r="AH849" s="580">
        <f t="shared" si="105"/>
        <v>0</v>
      </c>
    </row>
    <row r="850" spans="28:34">
      <c r="AB850" s="580">
        <f>HLOOKUP("*"&amp;'Output annual'!$AC$2&amp;'Output annual'!$AD$2&amp;"*Zone People Number Of Occupants [](Hourly)",'Eplus results'!$1:$1048576,ROW(),FALSE)</f>
        <v>0</v>
      </c>
      <c r="AC850" s="580">
        <f>HLOOKUP("*"&amp;'Output annual'!$AC$2&amp;'Output annual'!$AD$2&amp;"*FangerPMV(Hourly)",'Eplus results'!$1:$1048576,ROW(),FALSE)</f>
        <v>0</v>
      </c>
      <c r="AD850" s="580">
        <f t="shared" si="101"/>
        <v>5</v>
      </c>
      <c r="AE850" s="580">
        <f t="shared" si="102"/>
        <v>2.5</v>
      </c>
      <c r="AF850" s="580">
        <f t="shared" si="103"/>
        <v>2.5</v>
      </c>
      <c r="AG850" s="580">
        <f t="shared" si="104"/>
        <v>0</v>
      </c>
      <c r="AH850" s="580">
        <f t="shared" si="105"/>
        <v>0</v>
      </c>
    </row>
    <row r="851" spans="28:34">
      <c r="AB851" s="580">
        <f>HLOOKUP("*"&amp;'Output annual'!$AC$2&amp;'Output annual'!$AD$2&amp;"*Zone People Number Of Occupants [](Hourly)",'Eplus results'!$1:$1048576,ROW(),FALSE)</f>
        <v>0</v>
      </c>
      <c r="AC851" s="580">
        <f>HLOOKUP("*"&amp;'Output annual'!$AC$2&amp;'Output annual'!$AD$2&amp;"*FangerPMV(Hourly)",'Eplus results'!$1:$1048576,ROW(),FALSE)</f>
        <v>0</v>
      </c>
      <c r="AD851" s="580">
        <f t="shared" si="101"/>
        <v>5</v>
      </c>
      <c r="AE851" s="580">
        <f t="shared" si="102"/>
        <v>2.5</v>
      </c>
      <c r="AF851" s="580">
        <f t="shared" si="103"/>
        <v>2.5</v>
      </c>
      <c r="AG851" s="580">
        <f t="shared" si="104"/>
        <v>0</v>
      </c>
      <c r="AH851" s="580">
        <f t="shared" si="105"/>
        <v>0</v>
      </c>
    </row>
    <row r="852" spans="28:34">
      <c r="AB852" s="580">
        <f>HLOOKUP("*"&amp;'Output annual'!$AC$2&amp;'Output annual'!$AD$2&amp;"*Zone People Number Of Occupants [](Hourly)",'Eplus results'!$1:$1048576,ROW(),FALSE)</f>
        <v>0</v>
      </c>
      <c r="AC852" s="580">
        <f>HLOOKUP("*"&amp;'Output annual'!$AC$2&amp;'Output annual'!$AD$2&amp;"*FangerPMV(Hourly)",'Eplus results'!$1:$1048576,ROW(),FALSE)</f>
        <v>0</v>
      </c>
      <c r="AD852" s="580">
        <f t="shared" si="101"/>
        <v>5</v>
      </c>
      <c r="AE852" s="580">
        <f t="shared" si="102"/>
        <v>2.5</v>
      </c>
      <c r="AF852" s="580">
        <f t="shared" si="103"/>
        <v>2.5</v>
      </c>
      <c r="AG852" s="580">
        <f t="shared" si="104"/>
        <v>0</v>
      </c>
      <c r="AH852" s="580">
        <f t="shared" si="105"/>
        <v>0</v>
      </c>
    </row>
    <row r="853" spans="28:34">
      <c r="AB853" s="580">
        <f>HLOOKUP("*"&amp;'Output annual'!$AC$2&amp;'Output annual'!$AD$2&amp;"*Zone People Number Of Occupants [](Hourly)",'Eplus results'!$1:$1048576,ROW(),FALSE)</f>
        <v>0</v>
      </c>
      <c r="AC853" s="580">
        <f>HLOOKUP("*"&amp;'Output annual'!$AC$2&amp;'Output annual'!$AD$2&amp;"*FangerPMV(Hourly)",'Eplus results'!$1:$1048576,ROW(),FALSE)</f>
        <v>0</v>
      </c>
      <c r="AD853" s="580">
        <f t="shared" si="101"/>
        <v>5</v>
      </c>
      <c r="AE853" s="580">
        <f t="shared" si="102"/>
        <v>2.5</v>
      </c>
      <c r="AF853" s="580">
        <f t="shared" si="103"/>
        <v>2.5</v>
      </c>
      <c r="AG853" s="580">
        <f t="shared" si="104"/>
        <v>0</v>
      </c>
      <c r="AH853" s="580">
        <f t="shared" si="105"/>
        <v>0</v>
      </c>
    </row>
    <row r="854" spans="28:34">
      <c r="AB854" s="580">
        <f>HLOOKUP("*"&amp;'Output annual'!$AC$2&amp;'Output annual'!$AD$2&amp;"*Zone People Number Of Occupants [](Hourly)",'Eplus results'!$1:$1048576,ROW(),FALSE)</f>
        <v>0</v>
      </c>
      <c r="AC854" s="580">
        <f>HLOOKUP("*"&amp;'Output annual'!$AC$2&amp;'Output annual'!$AD$2&amp;"*FangerPMV(Hourly)",'Eplus results'!$1:$1048576,ROW(),FALSE)</f>
        <v>0</v>
      </c>
      <c r="AD854" s="580">
        <f t="shared" si="101"/>
        <v>5</v>
      </c>
      <c r="AE854" s="580">
        <f t="shared" si="102"/>
        <v>2.5</v>
      </c>
      <c r="AF854" s="580">
        <f t="shared" si="103"/>
        <v>2.5</v>
      </c>
      <c r="AG854" s="580">
        <f t="shared" si="104"/>
        <v>0</v>
      </c>
      <c r="AH854" s="580">
        <f t="shared" si="105"/>
        <v>0</v>
      </c>
    </row>
    <row r="855" spans="28:34">
      <c r="AB855" s="580">
        <f>HLOOKUP("*"&amp;'Output annual'!$AC$2&amp;'Output annual'!$AD$2&amp;"*Zone People Number Of Occupants [](Hourly)",'Eplus results'!$1:$1048576,ROW(),FALSE)</f>
        <v>0</v>
      </c>
      <c r="AC855" s="580">
        <f>HLOOKUP("*"&amp;'Output annual'!$AC$2&amp;'Output annual'!$AD$2&amp;"*FangerPMV(Hourly)",'Eplus results'!$1:$1048576,ROW(),FALSE)</f>
        <v>0</v>
      </c>
      <c r="AD855" s="580">
        <f t="shared" si="101"/>
        <v>5</v>
      </c>
      <c r="AE855" s="580">
        <f t="shared" si="102"/>
        <v>2.5</v>
      </c>
      <c r="AF855" s="580">
        <f t="shared" si="103"/>
        <v>2.5</v>
      </c>
      <c r="AG855" s="580">
        <f t="shared" si="104"/>
        <v>0</v>
      </c>
      <c r="AH855" s="580">
        <f t="shared" si="105"/>
        <v>0</v>
      </c>
    </row>
    <row r="856" spans="28:34">
      <c r="AB856" s="580">
        <f>HLOOKUP("*"&amp;'Output annual'!$AC$2&amp;'Output annual'!$AD$2&amp;"*Zone People Number Of Occupants [](Hourly)",'Eplus results'!$1:$1048576,ROW(),FALSE)</f>
        <v>0</v>
      </c>
      <c r="AC856" s="580">
        <f>HLOOKUP("*"&amp;'Output annual'!$AC$2&amp;'Output annual'!$AD$2&amp;"*FangerPMV(Hourly)",'Eplus results'!$1:$1048576,ROW(),FALSE)</f>
        <v>0</v>
      </c>
      <c r="AD856" s="580">
        <f t="shared" si="101"/>
        <v>5</v>
      </c>
      <c r="AE856" s="580">
        <f t="shared" si="102"/>
        <v>2.5</v>
      </c>
      <c r="AF856" s="580">
        <f t="shared" si="103"/>
        <v>2.5</v>
      </c>
      <c r="AG856" s="580">
        <f t="shared" si="104"/>
        <v>0</v>
      </c>
      <c r="AH856" s="580">
        <f t="shared" si="105"/>
        <v>0</v>
      </c>
    </row>
    <row r="857" spans="28:34">
      <c r="AB857" s="580">
        <f>HLOOKUP("*"&amp;'Output annual'!$AC$2&amp;'Output annual'!$AD$2&amp;"*Zone People Number Of Occupants [](Hourly)",'Eplus results'!$1:$1048576,ROW(),FALSE)</f>
        <v>0</v>
      </c>
      <c r="AC857" s="580">
        <f>HLOOKUP("*"&amp;'Output annual'!$AC$2&amp;'Output annual'!$AD$2&amp;"*FangerPMV(Hourly)",'Eplus results'!$1:$1048576,ROW(),FALSE)</f>
        <v>0</v>
      </c>
      <c r="AD857" s="580">
        <f t="shared" si="101"/>
        <v>5</v>
      </c>
      <c r="AE857" s="580">
        <f t="shared" si="102"/>
        <v>2.5</v>
      </c>
      <c r="AF857" s="580">
        <f t="shared" si="103"/>
        <v>2.5</v>
      </c>
      <c r="AG857" s="580">
        <f t="shared" si="104"/>
        <v>0</v>
      </c>
      <c r="AH857" s="580">
        <f t="shared" si="105"/>
        <v>0</v>
      </c>
    </row>
    <row r="858" spans="28:34">
      <c r="AB858" s="580">
        <f>HLOOKUP("*"&amp;'Output annual'!$AC$2&amp;'Output annual'!$AD$2&amp;"*Zone People Number Of Occupants [](Hourly)",'Eplus results'!$1:$1048576,ROW(),FALSE)</f>
        <v>0</v>
      </c>
      <c r="AC858" s="580">
        <f>HLOOKUP("*"&amp;'Output annual'!$AC$2&amp;'Output annual'!$AD$2&amp;"*FangerPMV(Hourly)",'Eplus results'!$1:$1048576,ROW(),FALSE)</f>
        <v>0</v>
      </c>
      <c r="AD858" s="580">
        <f t="shared" si="101"/>
        <v>5</v>
      </c>
      <c r="AE858" s="580">
        <f t="shared" si="102"/>
        <v>2.5</v>
      </c>
      <c r="AF858" s="580">
        <f t="shared" si="103"/>
        <v>2.5</v>
      </c>
      <c r="AG858" s="580">
        <f t="shared" si="104"/>
        <v>0</v>
      </c>
      <c r="AH858" s="580">
        <f t="shared" si="105"/>
        <v>0</v>
      </c>
    </row>
    <row r="859" spans="28:34">
      <c r="AB859" s="580">
        <f>HLOOKUP("*"&amp;'Output annual'!$AC$2&amp;'Output annual'!$AD$2&amp;"*Zone People Number Of Occupants [](Hourly)",'Eplus results'!$1:$1048576,ROW(),FALSE)</f>
        <v>0</v>
      </c>
      <c r="AC859" s="580">
        <f>HLOOKUP("*"&amp;'Output annual'!$AC$2&amp;'Output annual'!$AD$2&amp;"*FangerPMV(Hourly)",'Eplus results'!$1:$1048576,ROW(),FALSE)</f>
        <v>0</v>
      </c>
      <c r="AD859" s="580">
        <f t="shared" si="101"/>
        <v>5</v>
      </c>
      <c r="AE859" s="580">
        <f t="shared" si="102"/>
        <v>2.5</v>
      </c>
      <c r="AF859" s="580">
        <f t="shared" si="103"/>
        <v>2.5</v>
      </c>
      <c r="AG859" s="580">
        <f t="shared" si="104"/>
        <v>0</v>
      </c>
      <c r="AH859" s="580">
        <f t="shared" si="105"/>
        <v>0</v>
      </c>
    </row>
    <row r="860" spans="28:34">
      <c r="AB860" s="580">
        <f>HLOOKUP("*"&amp;'Output annual'!$AC$2&amp;'Output annual'!$AD$2&amp;"*Zone People Number Of Occupants [](Hourly)",'Eplus results'!$1:$1048576,ROW(),FALSE)</f>
        <v>0</v>
      </c>
      <c r="AC860" s="580">
        <f>HLOOKUP("*"&amp;'Output annual'!$AC$2&amp;'Output annual'!$AD$2&amp;"*FangerPMV(Hourly)",'Eplus results'!$1:$1048576,ROW(),FALSE)</f>
        <v>0</v>
      </c>
      <c r="AD860" s="580">
        <f t="shared" si="101"/>
        <v>5</v>
      </c>
      <c r="AE860" s="580">
        <f t="shared" si="102"/>
        <v>2.5</v>
      </c>
      <c r="AF860" s="580">
        <f t="shared" si="103"/>
        <v>2.5</v>
      </c>
      <c r="AG860" s="580">
        <f t="shared" si="104"/>
        <v>0</v>
      </c>
      <c r="AH860" s="580">
        <f t="shared" si="105"/>
        <v>0</v>
      </c>
    </row>
    <row r="861" spans="28:34">
      <c r="AB861" s="580">
        <f>HLOOKUP("*"&amp;'Output annual'!$AC$2&amp;'Output annual'!$AD$2&amp;"*Zone People Number Of Occupants [](Hourly)",'Eplus results'!$1:$1048576,ROW(),FALSE)</f>
        <v>0</v>
      </c>
      <c r="AC861" s="580">
        <f>HLOOKUP("*"&amp;'Output annual'!$AC$2&amp;'Output annual'!$AD$2&amp;"*FangerPMV(Hourly)",'Eplus results'!$1:$1048576,ROW(),FALSE)</f>
        <v>0</v>
      </c>
      <c r="AD861" s="580">
        <f t="shared" si="101"/>
        <v>5</v>
      </c>
      <c r="AE861" s="580">
        <f t="shared" si="102"/>
        <v>2.5</v>
      </c>
      <c r="AF861" s="580">
        <f t="shared" si="103"/>
        <v>2.5</v>
      </c>
      <c r="AG861" s="580">
        <f t="shared" si="104"/>
        <v>0</v>
      </c>
      <c r="AH861" s="580">
        <f t="shared" si="105"/>
        <v>0</v>
      </c>
    </row>
    <row r="862" spans="28:34">
      <c r="AB862" s="580">
        <f>HLOOKUP("*"&amp;'Output annual'!$AC$2&amp;'Output annual'!$AD$2&amp;"*Zone People Number Of Occupants [](Hourly)",'Eplus results'!$1:$1048576,ROW(),FALSE)</f>
        <v>0</v>
      </c>
      <c r="AC862" s="580">
        <f>HLOOKUP("*"&amp;'Output annual'!$AC$2&amp;'Output annual'!$AD$2&amp;"*FangerPMV(Hourly)",'Eplus results'!$1:$1048576,ROW(),FALSE)</f>
        <v>0</v>
      </c>
      <c r="AD862" s="580">
        <f t="shared" si="101"/>
        <v>5</v>
      </c>
      <c r="AE862" s="580">
        <f t="shared" si="102"/>
        <v>2.5</v>
      </c>
      <c r="AF862" s="580">
        <f t="shared" si="103"/>
        <v>2.5</v>
      </c>
      <c r="AG862" s="580">
        <f t="shared" si="104"/>
        <v>0</v>
      </c>
      <c r="AH862" s="580">
        <f t="shared" si="105"/>
        <v>0</v>
      </c>
    </row>
    <row r="863" spans="28:34">
      <c r="AB863" s="580">
        <f>HLOOKUP("*"&amp;'Output annual'!$AC$2&amp;'Output annual'!$AD$2&amp;"*Zone People Number Of Occupants [](Hourly)",'Eplus results'!$1:$1048576,ROW(),FALSE)</f>
        <v>0</v>
      </c>
      <c r="AC863" s="580">
        <f>HLOOKUP("*"&amp;'Output annual'!$AC$2&amp;'Output annual'!$AD$2&amp;"*FangerPMV(Hourly)",'Eplus results'!$1:$1048576,ROW(),FALSE)</f>
        <v>0</v>
      </c>
      <c r="AD863" s="580">
        <f t="shared" si="101"/>
        <v>5</v>
      </c>
      <c r="AE863" s="580">
        <f t="shared" si="102"/>
        <v>2.5</v>
      </c>
      <c r="AF863" s="580">
        <f t="shared" si="103"/>
        <v>2.5</v>
      </c>
      <c r="AG863" s="580">
        <f t="shared" si="104"/>
        <v>0</v>
      </c>
      <c r="AH863" s="580">
        <f t="shared" si="105"/>
        <v>0</v>
      </c>
    </row>
    <row r="864" spans="28:34">
      <c r="AB864" s="580">
        <f>HLOOKUP("*"&amp;'Output annual'!$AC$2&amp;'Output annual'!$AD$2&amp;"*Zone People Number Of Occupants [](Hourly)",'Eplus results'!$1:$1048576,ROW(),FALSE)</f>
        <v>0</v>
      </c>
      <c r="AC864" s="580">
        <f>HLOOKUP("*"&amp;'Output annual'!$AC$2&amp;'Output annual'!$AD$2&amp;"*FangerPMV(Hourly)",'Eplus results'!$1:$1048576,ROW(),FALSE)</f>
        <v>0</v>
      </c>
      <c r="AD864" s="580">
        <f t="shared" si="101"/>
        <v>5</v>
      </c>
      <c r="AE864" s="580">
        <f t="shared" si="102"/>
        <v>2.5</v>
      </c>
      <c r="AF864" s="580">
        <f t="shared" si="103"/>
        <v>2.5</v>
      </c>
      <c r="AG864" s="580">
        <f t="shared" si="104"/>
        <v>0</v>
      </c>
      <c r="AH864" s="580">
        <f t="shared" si="105"/>
        <v>0</v>
      </c>
    </row>
    <row r="865" spans="28:34">
      <c r="AB865" s="580">
        <f>HLOOKUP("*"&amp;'Output annual'!$AC$2&amp;'Output annual'!$AD$2&amp;"*Zone People Number Of Occupants [](Hourly)",'Eplus results'!$1:$1048576,ROW(),FALSE)</f>
        <v>0</v>
      </c>
      <c r="AC865" s="580">
        <f>HLOOKUP("*"&amp;'Output annual'!$AC$2&amp;'Output annual'!$AD$2&amp;"*FangerPMV(Hourly)",'Eplus results'!$1:$1048576,ROW(),FALSE)</f>
        <v>0</v>
      </c>
      <c r="AD865" s="580">
        <f t="shared" si="101"/>
        <v>5</v>
      </c>
      <c r="AE865" s="580">
        <f t="shared" si="102"/>
        <v>2.5</v>
      </c>
      <c r="AF865" s="580">
        <f t="shared" si="103"/>
        <v>2.5</v>
      </c>
      <c r="AG865" s="580">
        <f t="shared" si="104"/>
        <v>0</v>
      </c>
      <c r="AH865" s="580">
        <f t="shared" si="105"/>
        <v>0</v>
      </c>
    </row>
    <row r="866" spans="28:34">
      <c r="AB866" s="580">
        <f>HLOOKUP("*"&amp;'Output annual'!$AC$2&amp;'Output annual'!$AD$2&amp;"*Zone People Number Of Occupants [](Hourly)",'Eplus results'!$1:$1048576,ROW(),FALSE)</f>
        <v>0</v>
      </c>
      <c r="AC866" s="580">
        <f>HLOOKUP("*"&amp;'Output annual'!$AC$2&amp;'Output annual'!$AD$2&amp;"*FangerPMV(Hourly)",'Eplus results'!$1:$1048576,ROW(),FALSE)</f>
        <v>0</v>
      </c>
      <c r="AD866" s="580">
        <f t="shared" si="101"/>
        <v>5</v>
      </c>
      <c r="AE866" s="580">
        <f t="shared" si="102"/>
        <v>2.5</v>
      </c>
      <c r="AF866" s="580">
        <f t="shared" si="103"/>
        <v>2.5</v>
      </c>
      <c r="AG866" s="580">
        <f t="shared" si="104"/>
        <v>0</v>
      </c>
      <c r="AH866" s="580">
        <f t="shared" si="105"/>
        <v>0</v>
      </c>
    </row>
    <row r="867" spans="28:34">
      <c r="AB867" s="580">
        <f>HLOOKUP("*"&amp;'Output annual'!$AC$2&amp;'Output annual'!$AD$2&amp;"*Zone People Number Of Occupants [](Hourly)",'Eplus results'!$1:$1048576,ROW(),FALSE)</f>
        <v>0</v>
      </c>
      <c r="AC867" s="580">
        <f>HLOOKUP("*"&amp;'Output annual'!$AC$2&amp;'Output annual'!$AD$2&amp;"*FangerPMV(Hourly)",'Eplus results'!$1:$1048576,ROW(),FALSE)</f>
        <v>0</v>
      </c>
      <c r="AD867" s="580">
        <f t="shared" si="101"/>
        <v>5</v>
      </c>
      <c r="AE867" s="580">
        <f t="shared" si="102"/>
        <v>2.5</v>
      </c>
      <c r="AF867" s="580">
        <f t="shared" si="103"/>
        <v>2.5</v>
      </c>
      <c r="AG867" s="580">
        <f t="shared" si="104"/>
        <v>0</v>
      </c>
      <c r="AH867" s="580">
        <f t="shared" si="105"/>
        <v>0</v>
      </c>
    </row>
    <row r="868" spans="28:34">
      <c r="AB868" s="580">
        <f>HLOOKUP("*"&amp;'Output annual'!$AC$2&amp;'Output annual'!$AD$2&amp;"*Zone People Number Of Occupants [](Hourly)",'Eplus results'!$1:$1048576,ROW(),FALSE)</f>
        <v>0</v>
      </c>
      <c r="AC868" s="580">
        <f>HLOOKUP("*"&amp;'Output annual'!$AC$2&amp;'Output annual'!$AD$2&amp;"*FangerPMV(Hourly)",'Eplus results'!$1:$1048576,ROW(),FALSE)</f>
        <v>0</v>
      </c>
      <c r="AD868" s="580">
        <f t="shared" si="101"/>
        <v>5</v>
      </c>
      <c r="AE868" s="580">
        <f t="shared" si="102"/>
        <v>2.5</v>
      </c>
      <c r="AF868" s="580">
        <f t="shared" si="103"/>
        <v>2.5</v>
      </c>
      <c r="AG868" s="580">
        <f t="shared" si="104"/>
        <v>0</v>
      </c>
      <c r="AH868" s="580">
        <f t="shared" si="105"/>
        <v>0</v>
      </c>
    </row>
    <row r="869" spans="28:34">
      <c r="AB869" s="580">
        <f>HLOOKUP("*"&amp;'Output annual'!$AC$2&amp;'Output annual'!$AD$2&amp;"*Zone People Number Of Occupants [](Hourly)",'Eplus results'!$1:$1048576,ROW(),FALSE)</f>
        <v>0</v>
      </c>
      <c r="AC869" s="580">
        <f>HLOOKUP("*"&amp;'Output annual'!$AC$2&amp;'Output annual'!$AD$2&amp;"*FangerPMV(Hourly)",'Eplus results'!$1:$1048576,ROW(),FALSE)</f>
        <v>0</v>
      </c>
      <c r="AD869" s="580">
        <f t="shared" si="101"/>
        <v>5</v>
      </c>
      <c r="AE869" s="580">
        <f t="shared" si="102"/>
        <v>2.5</v>
      </c>
      <c r="AF869" s="580">
        <f t="shared" si="103"/>
        <v>2.5</v>
      </c>
      <c r="AG869" s="580">
        <f t="shared" si="104"/>
        <v>0</v>
      </c>
      <c r="AH869" s="580">
        <f t="shared" si="105"/>
        <v>0</v>
      </c>
    </row>
    <row r="870" spans="28:34">
      <c r="AB870" s="580">
        <f>HLOOKUP("*"&amp;'Output annual'!$AC$2&amp;'Output annual'!$AD$2&amp;"*Zone People Number Of Occupants [](Hourly)",'Eplus results'!$1:$1048576,ROW(),FALSE)</f>
        <v>0</v>
      </c>
      <c r="AC870" s="580">
        <f>HLOOKUP("*"&amp;'Output annual'!$AC$2&amp;'Output annual'!$AD$2&amp;"*FangerPMV(Hourly)",'Eplus results'!$1:$1048576,ROW(),FALSE)</f>
        <v>0</v>
      </c>
      <c r="AD870" s="580">
        <f t="shared" si="101"/>
        <v>5</v>
      </c>
      <c r="AE870" s="580">
        <f t="shared" si="102"/>
        <v>2.5</v>
      </c>
      <c r="AF870" s="580">
        <f t="shared" si="103"/>
        <v>2.5</v>
      </c>
      <c r="AG870" s="580">
        <f t="shared" si="104"/>
        <v>0</v>
      </c>
      <c r="AH870" s="580">
        <f t="shared" si="105"/>
        <v>0</v>
      </c>
    </row>
    <row r="871" spans="28:34">
      <c r="AB871" s="580">
        <f>HLOOKUP("*"&amp;'Output annual'!$AC$2&amp;'Output annual'!$AD$2&amp;"*Zone People Number Of Occupants [](Hourly)",'Eplus results'!$1:$1048576,ROW(),FALSE)</f>
        <v>0</v>
      </c>
      <c r="AC871" s="580">
        <f>HLOOKUP("*"&amp;'Output annual'!$AC$2&amp;'Output annual'!$AD$2&amp;"*FangerPMV(Hourly)",'Eplus results'!$1:$1048576,ROW(),FALSE)</f>
        <v>0</v>
      </c>
      <c r="AD871" s="580">
        <f t="shared" si="101"/>
        <v>5</v>
      </c>
      <c r="AE871" s="580">
        <f t="shared" si="102"/>
        <v>2.5</v>
      </c>
      <c r="AF871" s="580">
        <f t="shared" si="103"/>
        <v>2.5</v>
      </c>
      <c r="AG871" s="580">
        <f t="shared" si="104"/>
        <v>0</v>
      </c>
      <c r="AH871" s="580">
        <f t="shared" si="105"/>
        <v>0</v>
      </c>
    </row>
    <row r="872" spans="28:34">
      <c r="AB872" s="580">
        <f>HLOOKUP("*"&amp;'Output annual'!$AC$2&amp;'Output annual'!$AD$2&amp;"*Zone People Number Of Occupants [](Hourly)",'Eplus results'!$1:$1048576,ROW(),FALSE)</f>
        <v>0</v>
      </c>
      <c r="AC872" s="580">
        <f>HLOOKUP("*"&amp;'Output annual'!$AC$2&amp;'Output annual'!$AD$2&amp;"*FangerPMV(Hourly)",'Eplus results'!$1:$1048576,ROW(),FALSE)</f>
        <v>0</v>
      </c>
      <c r="AD872" s="580">
        <f t="shared" si="101"/>
        <v>5</v>
      </c>
      <c r="AE872" s="580">
        <f t="shared" si="102"/>
        <v>2.5</v>
      </c>
      <c r="AF872" s="580">
        <f t="shared" si="103"/>
        <v>2.5</v>
      </c>
      <c r="AG872" s="580">
        <f t="shared" si="104"/>
        <v>0</v>
      </c>
      <c r="AH872" s="580">
        <f t="shared" si="105"/>
        <v>0</v>
      </c>
    </row>
    <row r="873" spans="28:34">
      <c r="AB873" s="580">
        <f>HLOOKUP("*"&amp;'Output annual'!$AC$2&amp;'Output annual'!$AD$2&amp;"*Zone People Number Of Occupants [](Hourly)",'Eplus results'!$1:$1048576,ROW(),FALSE)</f>
        <v>0</v>
      </c>
      <c r="AC873" s="580">
        <f>HLOOKUP("*"&amp;'Output annual'!$AC$2&amp;'Output annual'!$AD$2&amp;"*FangerPMV(Hourly)",'Eplus results'!$1:$1048576,ROW(),FALSE)</f>
        <v>0</v>
      </c>
      <c r="AD873" s="580">
        <f t="shared" si="101"/>
        <v>5</v>
      </c>
      <c r="AE873" s="580">
        <f t="shared" si="102"/>
        <v>2.5</v>
      </c>
      <c r="AF873" s="580">
        <f t="shared" si="103"/>
        <v>2.5</v>
      </c>
      <c r="AG873" s="580">
        <f t="shared" si="104"/>
        <v>0</v>
      </c>
      <c r="AH873" s="580">
        <f t="shared" si="105"/>
        <v>0</v>
      </c>
    </row>
    <row r="874" spans="28:34">
      <c r="AB874" s="580">
        <f>HLOOKUP("*"&amp;'Output annual'!$AC$2&amp;'Output annual'!$AD$2&amp;"*Zone People Number Of Occupants [](Hourly)",'Eplus results'!$1:$1048576,ROW(),FALSE)</f>
        <v>0</v>
      </c>
      <c r="AC874" s="580">
        <f>HLOOKUP("*"&amp;'Output annual'!$AC$2&amp;'Output annual'!$AD$2&amp;"*FangerPMV(Hourly)",'Eplus results'!$1:$1048576,ROW(),FALSE)</f>
        <v>0</v>
      </c>
      <c r="AD874" s="580">
        <f t="shared" si="101"/>
        <v>5</v>
      </c>
      <c r="AE874" s="580">
        <f t="shared" si="102"/>
        <v>2.5</v>
      </c>
      <c r="AF874" s="580">
        <f t="shared" si="103"/>
        <v>2.5</v>
      </c>
      <c r="AG874" s="580">
        <f t="shared" si="104"/>
        <v>0</v>
      </c>
      <c r="AH874" s="580">
        <f t="shared" si="105"/>
        <v>0</v>
      </c>
    </row>
    <row r="875" spans="28:34">
      <c r="AB875" s="580">
        <f>HLOOKUP("*"&amp;'Output annual'!$AC$2&amp;'Output annual'!$AD$2&amp;"*Zone People Number Of Occupants [](Hourly)",'Eplus results'!$1:$1048576,ROW(),FALSE)</f>
        <v>0</v>
      </c>
      <c r="AC875" s="580">
        <f>HLOOKUP("*"&amp;'Output annual'!$AC$2&amp;'Output annual'!$AD$2&amp;"*FangerPMV(Hourly)",'Eplus results'!$1:$1048576,ROW(),FALSE)</f>
        <v>0</v>
      </c>
      <c r="AD875" s="580">
        <f t="shared" si="101"/>
        <v>5</v>
      </c>
      <c r="AE875" s="580">
        <f t="shared" si="102"/>
        <v>2.5</v>
      </c>
      <c r="AF875" s="580">
        <f t="shared" si="103"/>
        <v>2.5</v>
      </c>
      <c r="AG875" s="580">
        <f t="shared" si="104"/>
        <v>0</v>
      </c>
      <c r="AH875" s="580">
        <f t="shared" si="105"/>
        <v>0</v>
      </c>
    </row>
    <row r="876" spans="28:34">
      <c r="AB876" s="580">
        <f>HLOOKUP("*"&amp;'Output annual'!$AC$2&amp;'Output annual'!$AD$2&amp;"*Zone People Number Of Occupants [](Hourly)",'Eplus results'!$1:$1048576,ROW(),FALSE)</f>
        <v>0</v>
      </c>
      <c r="AC876" s="580">
        <f>HLOOKUP("*"&amp;'Output annual'!$AC$2&amp;'Output annual'!$AD$2&amp;"*FangerPMV(Hourly)",'Eplus results'!$1:$1048576,ROW(),FALSE)</f>
        <v>0</v>
      </c>
      <c r="AD876" s="580">
        <f t="shared" si="101"/>
        <v>5</v>
      </c>
      <c r="AE876" s="580">
        <f t="shared" si="102"/>
        <v>2.5</v>
      </c>
      <c r="AF876" s="580">
        <f t="shared" si="103"/>
        <v>2.5</v>
      </c>
      <c r="AG876" s="580">
        <f t="shared" si="104"/>
        <v>0</v>
      </c>
      <c r="AH876" s="580">
        <f t="shared" si="105"/>
        <v>0</v>
      </c>
    </row>
    <row r="877" spans="28:34">
      <c r="AB877" s="580">
        <f>HLOOKUP("*"&amp;'Output annual'!$AC$2&amp;'Output annual'!$AD$2&amp;"*Zone People Number Of Occupants [](Hourly)",'Eplus results'!$1:$1048576,ROW(),FALSE)</f>
        <v>0</v>
      </c>
      <c r="AC877" s="580">
        <f>HLOOKUP("*"&amp;'Output annual'!$AC$2&amp;'Output annual'!$AD$2&amp;"*FangerPMV(Hourly)",'Eplus results'!$1:$1048576,ROW(),FALSE)</f>
        <v>0</v>
      </c>
      <c r="AD877" s="580">
        <f t="shared" si="101"/>
        <v>5</v>
      </c>
      <c r="AE877" s="580">
        <f t="shared" si="102"/>
        <v>2.5</v>
      </c>
      <c r="AF877" s="580">
        <f t="shared" si="103"/>
        <v>2.5</v>
      </c>
      <c r="AG877" s="580">
        <f t="shared" si="104"/>
        <v>0</v>
      </c>
      <c r="AH877" s="580">
        <f t="shared" si="105"/>
        <v>0</v>
      </c>
    </row>
    <row r="878" spans="28:34">
      <c r="AB878" s="580">
        <f>HLOOKUP("*"&amp;'Output annual'!$AC$2&amp;'Output annual'!$AD$2&amp;"*Zone People Number Of Occupants [](Hourly)",'Eplus results'!$1:$1048576,ROW(),FALSE)</f>
        <v>0</v>
      </c>
      <c r="AC878" s="580">
        <f>HLOOKUP("*"&amp;'Output annual'!$AC$2&amp;'Output annual'!$AD$2&amp;"*FangerPMV(Hourly)",'Eplus results'!$1:$1048576,ROW(),FALSE)</f>
        <v>0</v>
      </c>
      <c r="AD878" s="580">
        <f t="shared" si="101"/>
        <v>5</v>
      </c>
      <c r="AE878" s="580">
        <f t="shared" si="102"/>
        <v>2.5</v>
      </c>
      <c r="AF878" s="580">
        <f t="shared" si="103"/>
        <v>2.5</v>
      </c>
      <c r="AG878" s="580">
        <f t="shared" si="104"/>
        <v>0</v>
      </c>
      <c r="AH878" s="580">
        <f t="shared" si="105"/>
        <v>0</v>
      </c>
    </row>
    <row r="879" spans="28:34">
      <c r="AB879" s="580">
        <f>HLOOKUP("*"&amp;'Output annual'!$AC$2&amp;'Output annual'!$AD$2&amp;"*Zone People Number Of Occupants [](Hourly)",'Eplus results'!$1:$1048576,ROW(),FALSE)</f>
        <v>0</v>
      </c>
      <c r="AC879" s="580">
        <f>HLOOKUP("*"&amp;'Output annual'!$AC$2&amp;'Output annual'!$AD$2&amp;"*FangerPMV(Hourly)",'Eplus results'!$1:$1048576,ROW(),FALSE)</f>
        <v>0</v>
      </c>
      <c r="AD879" s="580">
        <f t="shared" si="101"/>
        <v>5</v>
      </c>
      <c r="AE879" s="580">
        <f t="shared" si="102"/>
        <v>2.5</v>
      </c>
      <c r="AF879" s="580">
        <f t="shared" si="103"/>
        <v>2.5</v>
      </c>
      <c r="AG879" s="580">
        <f t="shared" si="104"/>
        <v>0</v>
      </c>
      <c r="AH879" s="580">
        <f t="shared" si="105"/>
        <v>0</v>
      </c>
    </row>
    <row r="880" spans="28:34">
      <c r="AB880" s="580">
        <f>HLOOKUP("*"&amp;'Output annual'!$AC$2&amp;'Output annual'!$AD$2&amp;"*Zone People Number Of Occupants [](Hourly)",'Eplus results'!$1:$1048576,ROW(),FALSE)</f>
        <v>0</v>
      </c>
      <c r="AC880" s="580">
        <f>HLOOKUP("*"&amp;'Output annual'!$AC$2&amp;'Output annual'!$AD$2&amp;"*FangerPMV(Hourly)",'Eplus results'!$1:$1048576,ROW(),FALSE)</f>
        <v>0</v>
      </c>
      <c r="AD880" s="580">
        <f t="shared" si="101"/>
        <v>5</v>
      </c>
      <c r="AE880" s="580">
        <f t="shared" si="102"/>
        <v>2.5</v>
      </c>
      <c r="AF880" s="580">
        <f t="shared" si="103"/>
        <v>2.5</v>
      </c>
      <c r="AG880" s="580">
        <f t="shared" si="104"/>
        <v>0</v>
      </c>
      <c r="AH880" s="580">
        <f t="shared" si="105"/>
        <v>0</v>
      </c>
    </row>
    <row r="881" spans="28:34">
      <c r="AB881" s="580">
        <f>HLOOKUP("*"&amp;'Output annual'!$AC$2&amp;'Output annual'!$AD$2&amp;"*Zone People Number Of Occupants [](Hourly)",'Eplus results'!$1:$1048576,ROW(),FALSE)</f>
        <v>0</v>
      </c>
      <c r="AC881" s="580">
        <f>HLOOKUP("*"&amp;'Output annual'!$AC$2&amp;'Output annual'!$AD$2&amp;"*FangerPMV(Hourly)",'Eplus results'!$1:$1048576,ROW(),FALSE)</f>
        <v>0</v>
      </c>
      <c r="AD881" s="580">
        <f t="shared" si="101"/>
        <v>5</v>
      </c>
      <c r="AE881" s="580">
        <f t="shared" si="102"/>
        <v>2.5</v>
      </c>
      <c r="AF881" s="580">
        <f t="shared" si="103"/>
        <v>2.5</v>
      </c>
      <c r="AG881" s="580">
        <f t="shared" si="104"/>
        <v>0</v>
      </c>
      <c r="AH881" s="580">
        <f t="shared" si="105"/>
        <v>0</v>
      </c>
    </row>
    <row r="882" spans="28:34">
      <c r="AB882" s="580">
        <f>HLOOKUP("*"&amp;'Output annual'!$AC$2&amp;'Output annual'!$AD$2&amp;"*Zone People Number Of Occupants [](Hourly)",'Eplus results'!$1:$1048576,ROW(),FALSE)</f>
        <v>0</v>
      </c>
      <c r="AC882" s="580">
        <f>HLOOKUP("*"&amp;'Output annual'!$AC$2&amp;'Output annual'!$AD$2&amp;"*FangerPMV(Hourly)",'Eplus results'!$1:$1048576,ROW(),FALSE)</f>
        <v>0</v>
      </c>
      <c r="AD882" s="580">
        <f t="shared" si="101"/>
        <v>5</v>
      </c>
      <c r="AE882" s="580">
        <f t="shared" si="102"/>
        <v>2.5</v>
      </c>
      <c r="AF882" s="580">
        <f t="shared" si="103"/>
        <v>2.5</v>
      </c>
      <c r="AG882" s="580">
        <f t="shared" si="104"/>
        <v>0</v>
      </c>
      <c r="AH882" s="580">
        <f t="shared" si="105"/>
        <v>0</v>
      </c>
    </row>
    <row r="883" spans="28:34">
      <c r="AB883" s="580">
        <f>HLOOKUP("*"&amp;'Output annual'!$AC$2&amp;'Output annual'!$AD$2&amp;"*Zone People Number Of Occupants [](Hourly)",'Eplus results'!$1:$1048576,ROW(),FALSE)</f>
        <v>0</v>
      </c>
      <c r="AC883" s="580">
        <f>HLOOKUP("*"&amp;'Output annual'!$AC$2&amp;'Output annual'!$AD$2&amp;"*FangerPMV(Hourly)",'Eplus results'!$1:$1048576,ROW(),FALSE)</f>
        <v>0</v>
      </c>
      <c r="AD883" s="580">
        <f t="shared" si="101"/>
        <v>5</v>
      </c>
      <c r="AE883" s="580">
        <f t="shared" si="102"/>
        <v>2.5</v>
      </c>
      <c r="AF883" s="580">
        <f t="shared" si="103"/>
        <v>2.5</v>
      </c>
      <c r="AG883" s="580">
        <f t="shared" si="104"/>
        <v>0</v>
      </c>
      <c r="AH883" s="580">
        <f t="shared" si="105"/>
        <v>0</v>
      </c>
    </row>
    <row r="884" spans="28:34">
      <c r="AB884" s="580">
        <f>HLOOKUP("*"&amp;'Output annual'!$AC$2&amp;'Output annual'!$AD$2&amp;"*Zone People Number Of Occupants [](Hourly)",'Eplus results'!$1:$1048576,ROW(),FALSE)</f>
        <v>0</v>
      </c>
      <c r="AC884" s="580">
        <f>HLOOKUP("*"&amp;'Output annual'!$AC$2&amp;'Output annual'!$AD$2&amp;"*FangerPMV(Hourly)",'Eplus results'!$1:$1048576,ROW(),FALSE)</f>
        <v>0</v>
      </c>
      <c r="AD884" s="580">
        <f t="shared" si="101"/>
        <v>5</v>
      </c>
      <c r="AE884" s="580">
        <f t="shared" si="102"/>
        <v>2.5</v>
      </c>
      <c r="AF884" s="580">
        <f t="shared" si="103"/>
        <v>2.5</v>
      </c>
      <c r="AG884" s="580">
        <f t="shared" si="104"/>
        <v>0</v>
      </c>
      <c r="AH884" s="580">
        <f t="shared" si="105"/>
        <v>0</v>
      </c>
    </row>
    <row r="885" spans="28:34">
      <c r="AB885" s="580">
        <f>HLOOKUP("*"&amp;'Output annual'!$AC$2&amp;'Output annual'!$AD$2&amp;"*Zone People Number Of Occupants [](Hourly)",'Eplus results'!$1:$1048576,ROW(),FALSE)</f>
        <v>0</v>
      </c>
      <c r="AC885" s="580">
        <f>HLOOKUP("*"&amp;'Output annual'!$AC$2&amp;'Output annual'!$AD$2&amp;"*FangerPMV(Hourly)",'Eplus results'!$1:$1048576,ROW(),FALSE)</f>
        <v>0</v>
      </c>
      <c r="AD885" s="580">
        <f t="shared" si="101"/>
        <v>5</v>
      </c>
      <c r="AE885" s="580">
        <f t="shared" si="102"/>
        <v>2.5</v>
      </c>
      <c r="AF885" s="580">
        <f t="shared" si="103"/>
        <v>2.5</v>
      </c>
      <c r="AG885" s="580">
        <f t="shared" si="104"/>
        <v>0</v>
      </c>
      <c r="AH885" s="580">
        <f t="shared" si="105"/>
        <v>0</v>
      </c>
    </row>
    <row r="886" spans="28:34">
      <c r="AB886" s="580">
        <f>HLOOKUP("*"&amp;'Output annual'!$AC$2&amp;'Output annual'!$AD$2&amp;"*Zone People Number Of Occupants [](Hourly)",'Eplus results'!$1:$1048576,ROW(),FALSE)</f>
        <v>0</v>
      </c>
      <c r="AC886" s="580">
        <f>HLOOKUP("*"&amp;'Output annual'!$AC$2&amp;'Output annual'!$AD$2&amp;"*FangerPMV(Hourly)",'Eplus results'!$1:$1048576,ROW(),FALSE)</f>
        <v>0</v>
      </c>
      <c r="AD886" s="580">
        <f t="shared" si="101"/>
        <v>5</v>
      </c>
      <c r="AE886" s="580">
        <f t="shared" si="102"/>
        <v>2.5</v>
      </c>
      <c r="AF886" s="580">
        <f t="shared" si="103"/>
        <v>2.5</v>
      </c>
      <c r="AG886" s="580">
        <f t="shared" si="104"/>
        <v>0</v>
      </c>
      <c r="AH886" s="580">
        <f t="shared" si="105"/>
        <v>0</v>
      </c>
    </row>
    <row r="887" spans="28:34">
      <c r="AB887" s="580">
        <f>HLOOKUP("*"&amp;'Output annual'!$AC$2&amp;'Output annual'!$AD$2&amp;"*Zone People Number Of Occupants [](Hourly)",'Eplus results'!$1:$1048576,ROW(),FALSE)</f>
        <v>0</v>
      </c>
      <c r="AC887" s="580">
        <f>HLOOKUP("*"&amp;'Output annual'!$AC$2&amp;'Output annual'!$AD$2&amp;"*FangerPMV(Hourly)",'Eplus results'!$1:$1048576,ROW(),FALSE)</f>
        <v>0</v>
      </c>
      <c r="AD887" s="580">
        <f t="shared" si="101"/>
        <v>5</v>
      </c>
      <c r="AE887" s="580">
        <f t="shared" si="102"/>
        <v>2.5</v>
      </c>
      <c r="AF887" s="580">
        <f t="shared" si="103"/>
        <v>2.5</v>
      </c>
      <c r="AG887" s="580">
        <f t="shared" si="104"/>
        <v>0</v>
      </c>
      <c r="AH887" s="580">
        <f t="shared" si="105"/>
        <v>0</v>
      </c>
    </row>
    <row r="888" spans="28:34">
      <c r="AB888" s="580">
        <f>HLOOKUP("*"&amp;'Output annual'!$AC$2&amp;'Output annual'!$AD$2&amp;"*Zone People Number Of Occupants [](Hourly)",'Eplus results'!$1:$1048576,ROW(),FALSE)</f>
        <v>0</v>
      </c>
      <c r="AC888" s="580">
        <f>HLOOKUP("*"&amp;'Output annual'!$AC$2&amp;'Output annual'!$AD$2&amp;"*FangerPMV(Hourly)",'Eplus results'!$1:$1048576,ROW(),FALSE)</f>
        <v>0</v>
      </c>
      <c r="AD888" s="580">
        <f t="shared" si="101"/>
        <v>5</v>
      </c>
      <c r="AE888" s="580">
        <f t="shared" si="102"/>
        <v>2.5</v>
      </c>
      <c r="AF888" s="580">
        <f t="shared" si="103"/>
        <v>2.5</v>
      </c>
      <c r="AG888" s="580">
        <f t="shared" si="104"/>
        <v>0</v>
      </c>
      <c r="AH888" s="580">
        <f t="shared" si="105"/>
        <v>0</v>
      </c>
    </row>
    <row r="889" spans="28:34">
      <c r="AB889" s="580">
        <f>HLOOKUP("*"&amp;'Output annual'!$AC$2&amp;'Output annual'!$AD$2&amp;"*Zone People Number Of Occupants [](Hourly)",'Eplus results'!$1:$1048576,ROW(),FALSE)</f>
        <v>0</v>
      </c>
      <c r="AC889" s="580">
        <f>HLOOKUP("*"&amp;'Output annual'!$AC$2&amp;'Output annual'!$AD$2&amp;"*FangerPMV(Hourly)",'Eplus results'!$1:$1048576,ROW(),FALSE)</f>
        <v>0</v>
      </c>
      <c r="AD889" s="580">
        <f t="shared" si="101"/>
        <v>5</v>
      </c>
      <c r="AE889" s="580">
        <f t="shared" si="102"/>
        <v>2.5</v>
      </c>
      <c r="AF889" s="580">
        <f t="shared" si="103"/>
        <v>2.5</v>
      </c>
      <c r="AG889" s="580">
        <f t="shared" si="104"/>
        <v>0</v>
      </c>
      <c r="AH889" s="580">
        <f t="shared" si="105"/>
        <v>0</v>
      </c>
    </row>
    <row r="890" spans="28:34">
      <c r="AB890" s="580">
        <f>HLOOKUP("*"&amp;'Output annual'!$AC$2&amp;'Output annual'!$AD$2&amp;"*Zone People Number Of Occupants [](Hourly)",'Eplus results'!$1:$1048576,ROW(),FALSE)</f>
        <v>0</v>
      </c>
      <c r="AC890" s="580">
        <f>HLOOKUP("*"&amp;'Output annual'!$AC$2&amp;'Output annual'!$AD$2&amp;"*FangerPMV(Hourly)",'Eplus results'!$1:$1048576,ROW(),FALSE)</f>
        <v>0</v>
      </c>
      <c r="AD890" s="580">
        <f t="shared" si="101"/>
        <v>5</v>
      </c>
      <c r="AE890" s="580">
        <f t="shared" si="102"/>
        <v>2.5</v>
      </c>
      <c r="AF890" s="580">
        <f t="shared" si="103"/>
        <v>2.5</v>
      </c>
      <c r="AG890" s="580">
        <f t="shared" si="104"/>
        <v>0</v>
      </c>
      <c r="AH890" s="580">
        <f t="shared" si="105"/>
        <v>0</v>
      </c>
    </row>
    <row r="891" spans="28:34">
      <c r="AB891" s="580">
        <f>HLOOKUP("*"&amp;'Output annual'!$AC$2&amp;'Output annual'!$AD$2&amp;"*Zone People Number Of Occupants [](Hourly)",'Eplus results'!$1:$1048576,ROW(),FALSE)</f>
        <v>0</v>
      </c>
      <c r="AC891" s="580">
        <f>HLOOKUP("*"&amp;'Output annual'!$AC$2&amp;'Output annual'!$AD$2&amp;"*FangerPMV(Hourly)",'Eplus results'!$1:$1048576,ROW(),FALSE)</f>
        <v>0</v>
      </c>
      <c r="AD891" s="580">
        <f t="shared" si="101"/>
        <v>5</v>
      </c>
      <c r="AE891" s="580">
        <f t="shared" si="102"/>
        <v>2.5</v>
      </c>
      <c r="AF891" s="580">
        <f t="shared" si="103"/>
        <v>2.5</v>
      </c>
      <c r="AG891" s="580">
        <f t="shared" si="104"/>
        <v>0</v>
      </c>
      <c r="AH891" s="580">
        <f t="shared" si="105"/>
        <v>0</v>
      </c>
    </row>
    <row r="892" spans="28:34">
      <c r="AB892" s="580">
        <f>HLOOKUP("*"&amp;'Output annual'!$AC$2&amp;'Output annual'!$AD$2&amp;"*Zone People Number Of Occupants [](Hourly)",'Eplus results'!$1:$1048576,ROW(),FALSE)</f>
        <v>0</v>
      </c>
      <c r="AC892" s="580">
        <f>HLOOKUP("*"&amp;'Output annual'!$AC$2&amp;'Output annual'!$AD$2&amp;"*FangerPMV(Hourly)",'Eplus results'!$1:$1048576,ROW(),FALSE)</f>
        <v>0</v>
      </c>
      <c r="AD892" s="580">
        <f t="shared" si="101"/>
        <v>5</v>
      </c>
      <c r="AE892" s="580">
        <f t="shared" si="102"/>
        <v>2.5</v>
      </c>
      <c r="AF892" s="580">
        <f t="shared" si="103"/>
        <v>2.5</v>
      </c>
      <c r="AG892" s="580">
        <f t="shared" si="104"/>
        <v>0</v>
      </c>
      <c r="AH892" s="580">
        <f t="shared" si="105"/>
        <v>0</v>
      </c>
    </row>
    <row r="893" spans="28:34">
      <c r="AB893" s="580">
        <f>HLOOKUP("*"&amp;'Output annual'!$AC$2&amp;'Output annual'!$AD$2&amp;"*Zone People Number Of Occupants [](Hourly)",'Eplus results'!$1:$1048576,ROW(),FALSE)</f>
        <v>0</v>
      </c>
      <c r="AC893" s="580">
        <f>HLOOKUP("*"&amp;'Output annual'!$AC$2&amp;'Output annual'!$AD$2&amp;"*FangerPMV(Hourly)",'Eplus results'!$1:$1048576,ROW(),FALSE)</f>
        <v>0</v>
      </c>
      <c r="AD893" s="580">
        <f t="shared" si="101"/>
        <v>5</v>
      </c>
      <c r="AE893" s="580">
        <f t="shared" si="102"/>
        <v>2.5</v>
      </c>
      <c r="AF893" s="580">
        <f t="shared" si="103"/>
        <v>2.5</v>
      </c>
      <c r="AG893" s="580">
        <f t="shared" si="104"/>
        <v>0</v>
      </c>
      <c r="AH893" s="580">
        <f t="shared" si="105"/>
        <v>0</v>
      </c>
    </row>
    <row r="894" spans="28:34">
      <c r="AB894" s="580">
        <f>HLOOKUP("*"&amp;'Output annual'!$AC$2&amp;'Output annual'!$AD$2&amp;"*Zone People Number Of Occupants [](Hourly)",'Eplus results'!$1:$1048576,ROW(),FALSE)</f>
        <v>0</v>
      </c>
      <c r="AC894" s="580">
        <f>HLOOKUP("*"&amp;'Output annual'!$AC$2&amp;'Output annual'!$AD$2&amp;"*FangerPMV(Hourly)",'Eplus results'!$1:$1048576,ROW(),FALSE)</f>
        <v>0</v>
      </c>
      <c r="AD894" s="580">
        <f t="shared" si="101"/>
        <v>5</v>
      </c>
      <c r="AE894" s="580">
        <f t="shared" si="102"/>
        <v>2.5</v>
      </c>
      <c r="AF894" s="580">
        <f t="shared" si="103"/>
        <v>2.5</v>
      </c>
      <c r="AG894" s="580">
        <f t="shared" si="104"/>
        <v>0</v>
      </c>
      <c r="AH894" s="580">
        <f t="shared" si="105"/>
        <v>0</v>
      </c>
    </row>
    <row r="895" spans="28:34">
      <c r="AB895" s="580">
        <f>HLOOKUP("*"&amp;'Output annual'!$AC$2&amp;'Output annual'!$AD$2&amp;"*Zone People Number Of Occupants [](Hourly)",'Eplus results'!$1:$1048576,ROW(),FALSE)</f>
        <v>0</v>
      </c>
      <c r="AC895" s="580">
        <f>HLOOKUP("*"&amp;'Output annual'!$AC$2&amp;'Output annual'!$AD$2&amp;"*FangerPMV(Hourly)",'Eplus results'!$1:$1048576,ROW(),FALSE)</f>
        <v>0</v>
      </c>
      <c r="AD895" s="580">
        <f t="shared" si="101"/>
        <v>5</v>
      </c>
      <c r="AE895" s="580">
        <f t="shared" si="102"/>
        <v>2.5</v>
      </c>
      <c r="AF895" s="580">
        <f t="shared" si="103"/>
        <v>2.5</v>
      </c>
      <c r="AG895" s="580">
        <f t="shared" si="104"/>
        <v>0</v>
      </c>
      <c r="AH895" s="580">
        <f t="shared" si="105"/>
        <v>0</v>
      </c>
    </row>
    <row r="896" spans="28:34">
      <c r="AB896" s="580">
        <f>HLOOKUP("*"&amp;'Output annual'!$AC$2&amp;'Output annual'!$AD$2&amp;"*Zone People Number Of Occupants [](Hourly)",'Eplus results'!$1:$1048576,ROW(),FALSE)</f>
        <v>0</v>
      </c>
      <c r="AC896" s="580">
        <f>HLOOKUP("*"&amp;'Output annual'!$AC$2&amp;'Output annual'!$AD$2&amp;"*FangerPMV(Hourly)",'Eplus results'!$1:$1048576,ROW(),FALSE)</f>
        <v>0</v>
      </c>
      <c r="AD896" s="580">
        <f t="shared" si="101"/>
        <v>5</v>
      </c>
      <c r="AE896" s="580">
        <f t="shared" si="102"/>
        <v>2.5</v>
      </c>
      <c r="AF896" s="580">
        <f t="shared" si="103"/>
        <v>2.5</v>
      </c>
      <c r="AG896" s="580">
        <f t="shared" si="104"/>
        <v>0</v>
      </c>
      <c r="AH896" s="580">
        <f t="shared" si="105"/>
        <v>0</v>
      </c>
    </row>
    <row r="897" spans="28:34">
      <c r="AB897" s="580">
        <f>HLOOKUP("*"&amp;'Output annual'!$AC$2&amp;'Output annual'!$AD$2&amp;"*Zone People Number Of Occupants [](Hourly)",'Eplus results'!$1:$1048576,ROW(),FALSE)</f>
        <v>0</v>
      </c>
      <c r="AC897" s="580">
        <f>HLOOKUP("*"&amp;'Output annual'!$AC$2&amp;'Output annual'!$AD$2&amp;"*FangerPMV(Hourly)",'Eplus results'!$1:$1048576,ROW(),FALSE)</f>
        <v>0</v>
      </c>
      <c r="AD897" s="580">
        <f t="shared" si="101"/>
        <v>5</v>
      </c>
      <c r="AE897" s="580">
        <f t="shared" si="102"/>
        <v>2.5</v>
      </c>
      <c r="AF897" s="580">
        <f t="shared" si="103"/>
        <v>2.5</v>
      </c>
      <c r="AG897" s="580">
        <f t="shared" si="104"/>
        <v>0</v>
      </c>
      <c r="AH897" s="580">
        <f t="shared" si="105"/>
        <v>0</v>
      </c>
    </row>
    <row r="898" spans="28:34">
      <c r="AB898" s="580">
        <f>HLOOKUP("*"&amp;'Output annual'!$AC$2&amp;'Output annual'!$AD$2&amp;"*Zone People Number Of Occupants [](Hourly)",'Eplus results'!$1:$1048576,ROW(),FALSE)</f>
        <v>0</v>
      </c>
      <c r="AC898" s="580">
        <f>HLOOKUP("*"&amp;'Output annual'!$AC$2&amp;'Output annual'!$AD$2&amp;"*FangerPMV(Hourly)",'Eplus results'!$1:$1048576,ROW(),FALSE)</f>
        <v>0</v>
      </c>
      <c r="AD898" s="580">
        <f t="shared" si="101"/>
        <v>5</v>
      </c>
      <c r="AE898" s="580">
        <f t="shared" si="102"/>
        <v>2.5</v>
      </c>
      <c r="AF898" s="580">
        <f t="shared" si="103"/>
        <v>2.5</v>
      </c>
      <c r="AG898" s="580">
        <f t="shared" si="104"/>
        <v>0</v>
      </c>
      <c r="AH898" s="580">
        <f t="shared" si="105"/>
        <v>0</v>
      </c>
    </row>
    <row r="899" spans="28:34">
      <c r="AB899" s="580">
        <f>HLOOKUP("*"&amp;'Output annual'!$AC$2&amp;'Output annual'!$AD$2&amp;"*Zone People Number Of Occupants [](Hourly)",'Eplus results'!$1:$1048576,ROW(),FALSE)</f>
        <v>0</v>
      </c>
      <c r="AC899" s="580">
        <f>HLOOKUP("*"&amp;'Output annual'!$AC$2&amp;'Output annual'!$AD$2&amp;"*FangerPMV(Hourly)",'Eplus results'!$1:$1048576,ROW(),FALSE)</f>
        <v>0</v>
      </c>
      <c r="AD899" s="580">
        <f t="shared" ref="AD899:AD962" si="106">100-95*EXP(-0.03353*AC899^4-0.2179*AC899^2)</f>
        <v>5</v>
      </c>
      <c r="AE899" s="580">
        <f t="shared" ref="AE899:AE962" si="107">AD899*(1/(1+EXP(-6.3*$AC899)))</f>
        <v>2.5</v>
      </c>
      <c r="AF899" s="580">
        <f t="shared" ref="AF899:AF962" si="108">(AD899-AE899)</f>
        <v>2.5</v>
      </c>
      <c r="AG899" s="580">
        <f t="shared" ref="AG899:AG962" si="109">AE899*AB899</f>
        <v>0</v>
      </c>
      <c r="AH899" s="580">
        <f t="shared" ref="AH899:AH962" si="110">AF899*AB899</f>
        <v>0</v>
      </c>
    </row>
    <row r="900" spans="28:34">
      <c r="AB900" s="580">
        <f>HLOOKUP("*"&amp;'Output annual'!$AC$2&amp;'Output annual'!$AD$2&amp;"*Zone People Number Of Occupants [](Hourly)",'Eplus results'!$1:$1048576,ROW(),FALSE)</f>
        <v>0</v>
      </c>
      <c r="AC900" s="580">
        <f>HLOOKUP("*"&amp;'Output annual'!$AC$2&amp;'Output annual'!$AD$2&amp;"*FangerPMV(Hourly)",'Eplus results'!$1:$1048576,ROW(),FALSE)</f>
        <v>0</v>
      </c>
      <c r="AD900" s="580">
        <f t="shared" si="106"/>
        <v>5</v>
      </c>
      <c r="AE900" s="580">
        <f t="shared" si="107"/>
        <v>2.5</v>
      </c>
      <c r="AF900" s="580">
        <f t="shared" si="108"/>
        <v>2.5</v>
      </c>
      <c r="AG900" s="580">
        <f t="shared" si="109"/>
        <v>0</v>
      </c>
      <c r="AH900" s="580">
        <f t="shared" si="110"/>
        <v>0</v>
      </c>
    </row>
    <row r="901" spans="28:34">
      <c r="AB901" s="580">
        <f>HLOOKUP("*"&amp;'Output annual'!$AC$2&amp;'Output annual'!$AD$2&amp;"*Zone People Number Of Occupants [](Hourly)",'Eplus results'!$1:$1048576,ROW(),FALSE)</f>
        <v>0</v>
      </c>
      <c r="AC901" s="580">
        <f>HLOOKUP("*"&amp;'Output annual'!$AC$2&amp;'Output annual'!$AD$2&amp;"*FangerPMV(Hourly)",'Eplus results'!$1:$1048576,ROW(),FALSE)</f>
        <v>0</v>
      </c>
      <c r="AD901" s="580">
        <f t="shared" si="106"/>
        <v>5</v>
      </c>
      <c r="AE901" s="580">
        <f t="shared" si="107"/>
        <v>2.5</v>
      </c>
      <c r="AF901" s="580">
        <f t="shared" si="108"/>
        <v>2.5</v>
      </c>
      <c r="AG901" s="580">
        <f t="shared" si="109"/>
        <v>0</v>
      </c>
      <c r="AH901" s="580">
        <f t="shared" si="110"/>
        <v>0</v>
      </c>
    </row>
    <row r="902" spans="28:34">
      <c r="AB902" s="580">
        <f>HLOOKUP("*"&amp;'Output annual'!$AC$2&amp;'Output annual'!$AD$2&amp;"*Zone People Number Of Occupants [](Hourly)",'Eplus results'!$1:$1048576,ROW(),FALSE)</f>
        <v>0</v>
      </c>
      <c r="AC902" s="580">
        <f>HLOOKUP("*"&amp;'Output annual'!$AC$2&amp;'Output annual'!$AD$2&amp;"*FangerPMV(Hourly)",'Eplus results'!$1:$1048576,ROW(),FALSE)</f>
        <v>0</v>
      </c>
      <c r="AD902" s="580">
        <f t="shared" si="106"/>
        <v>5</v>
      </c>
      <c r="AE902" s="580">
        <f t="shared" si="107"/>
        <v>2.5</v>
      </c>
      <c r="AF902" s="580">
        <f t="shared" si="108"/>
        <v>2.5</v>
      </c>
      <c r="AG902" s="580">
        <f t="shared" si="109"/>
        <v>0</v>
      </c>
      <c r="AH902" s="580">
        <f t="shared" si="110"/>
        <v>0</v>
      </c>
    </row>
    <row r="903" spans="28:34">
      <c r="AB903" s="580">
        <f>HLOOKUP("*"&amp;'Output annual'!$AC$2&amp;'Output annual'!$AD$2&amp;"*Zone People Number Of Occupants [](Hourly)",'Eplus results'!$1:$1048576,ROW(),FALSE)</f>
        <v>0</v>
      </c>
      <c r="AC903" s="580">
        <f>HLOOKUP("*"&amp;'Output annual'!$AC$2&amp;'Output annual'!$AD$2&amp;"*FangerPMV(Hourly)",'Eplus results'!$1:$1048576,ROW(),FALSE)</f>
        <v>0</v>
      </c>
      <c r="AD903" s="580">
        <f t="shared" si="106"/>
        <v>5</v>
      </c>
      <c r="AE903" s="580">
        <f t="shared" si="107"/>
        <v>2.5</v>
      </c>
      <c r="AF903" s="580">
        <f t="shared" si="108"/>
        <v>2.5</v>
      </c>
      <c r="AG903" s="580">
        <f t="shared" si="109"/>
        <v>0</v>
      </c>
      <c r="AH903" s="580">
        <f t="shared" si="110"/>
        <v>0</v>
      </c>
    </row>
    <row r="904" spans="28:34">
      <c r="AB904" s="580">
        <f>HLOOKUP("*"&amp;'Output annual'!$AC$2&amp;'Output annual'!$AD$2&amp;"*Zone People Number Of Occupants [](Hourly)",'Eplus results'!$1:$1048576,ROW(),FALSE)</f>
        <v>0</v>
      </c>
      <c r="AC904" s="580">
        <f>HLOOKUP("*"&amp;'Output annual'!$AC$2&amp;'Output annual'!$AD$2&amp;"*FangerPMV(Hourly)",'Eplus results'!$1:$1048576,ROW(),FALSE)</f>
        <v>0</v>
      </c>
      <c r="AD904" s="580">
        <f t="shared" si="106"/>
        <v>5</v>
      </c>
      <c r="AE904" s="580">
        <f t="shared" si="107"/>
        <v>2.5</v>
      </c>
      <c r="AF904" s="580">
        <f t="shared" si="108"/>
        <v>2.5</v>
      </c>
      <c r="AG904" s="580">
        <f t="shared" si="109"/>
        <v>0</v>
      </c>
      <c r="AH904" s="580">
        <f t="shared" si="110"/>
        <v>0</v>
      </c>
    </row>
    <row r="905" spans="28:34">
      <c r="AB905" s="580">
        <f>HLOOKUP("*"&amp;'Output annual'!$AC$2&amp;'Output annual'!$AD$2&amp;"*Zone People Number Of Occupants [](Hourly)",'Eplus results'!$1:$1048576,ROW(),FALSE)</f>
        <v>0</v>
      </c>
      <c r="AC905" s="580">
        <f>HLOOKUP("*"&amp;'Output annual'!$AC$2&amp;'Output annual'!$AD$2&amp;"*FangerPMV(Hourly)",'Eplus results'!$1:$1048576,ROW(),FALSE)</f>
        <v>0</v>
      </c>
      <c r="AD905" s="580">
        <f t="shared" si="106"/>
        <v>5</v>
      </c>
      <c r="AE905" s="580">
        <f t="shared" si="107"/>
        <v>2.5</v>
      </c>
      <c r="AF905" s="580">
        <f t="shared" si="108"/>
        <v>2.5</v>
      </c>
      <c r="AG905" s="580">
        <f t="shared" si="109"/>
        <v>0</v>
      </c>
      <c r="AH905" s="580">
        <f t="shared" si="110"/>
        <v>0</v>
      </c>
    </row>
    <row r="906" spans="28:34">
      <c r="AB906" s="580">
        <f>HLOOKUP("*"&amp;'Output annual'!$AC$2&amp;'Output annual'!$AD$2&amp;"*Zone People Number Of Occupants [](Hourly)",'Eplus results'!$1:$1048576,ROW(),FALSE)</f>
        <v>0</v>
      </c>
      <c r="AC906" s="580">
        <f>HLOOKUP("*"&amp;'Output annual'!$AC$2&amp;'Output annual'!$AD$2&amp;"*FangerPMV(Hourly)",'Eplus results'!$1:$1048576,ROW(),FALSE)</f>
        <v>0</v>
      </c>
      <c r="AD906" s="580">
        <f t="shared" si="106"/>
        <v>5</v>
      </c>
      <c r="AE906" s="580">
        <f t="shared" si="107"/>
        <v>2.5</v>
      </c>
      <c r="AF906" s="580">
        <f t="shared" si="108"/>
        <v>2.5</v>
      </c>
      <c r="AG906" s="580">
        <f t="shared" si="109"/>
        <v>0</v>
      </c>
      <c r="AH906" s="580">
        <f t="shared" si="110"/>
        <v>0</v>
      </c>
    </row>
    <row r="907" spans="28:34">
      <c r="AB907" s="580">
        <f>HLOOKUP("*"&amp;'Output annual'!$AC$2&amp;'Output annual'!$AD$2&amp;"*Zone People Number Of Occupants [](Hourly)",'Eplus results'!$1:$1048576,ROW(),FALSE)</f>
        <v>0</v>
      </c>
      <c r="AC907" s="580">
        <f>HLOOKUP("*"&amp;'Output annual'!$AC$2&amp;'Output annual'!$AD$2&amp;"*FangerPMV(Hourly)",'Eplus results'!$1:$1048576,ROW(),FALSE)</f>
        <v>0</v>
      </c>
      <c r="AD907" s="580">
        <f t="shared" si="106"/>
        <v>5</v>
      </c>
      <c r="AE907" s="580">
        <f t="shared" si="107"/>
        <v>2.5</v>
      </c>
      <c r="AF907" s="580">
        <f t="shared" si="108"/>
        <v>2.5</v>
      </c>
      <c r="AG907" s="580">
        <f t="shared" si="109"/>
        <v>0</v>
      </c>
      <c r="AH907" s="580">
        <f t="shared" si="110"/>
        <v>0</v>
      </c>
    </row>
    <row r="908" spans="28:34">
      <c r="AB908" s="580">
        <f>HLOOKUP("*"&amp;'Output annual'!$AC$2&amp;'Output annual'!$AD$2&amp;"*Zone People Number Of Occupants [](Hourly)",'Eplus results'!$1:$1048576,ROW(),FALSE)</f>
        <v>0</v>
      </c>
      <c r="AC908" s="580">
        <f>HLOOKUP("*"&amp;'Output annual'!$AC$2&amp;'Output annual'!$AD$2&amp;"*FangerPMV(Hourly)",'Eplus results'!$1:$1048576,ROW(),FALSE)</f>
        <v>0</v>
      </c>
      <c r="AD908" s="580">
        <f t="shared" si="106"/>
        <v>5</v>
      </c>
      <c r="AE908" s="580">
        <f t="shared" si="107"/>
        <v>2.5</v>
      </c>
      <c r="AF908" s="580">
        <f t="shared" si="108"/>
        <v>2.5</v>
      </c>
      <c r="AG908" s="580">
        <f t="shared" si="109"/>
        <v>0</v>
      </c>
      <c r="AH908" s="580">
        <f t="shared" si="110"/>
        <v>0</v>
      </c>
    </row>
    <row r="909" spans="28:34">
      <c r="AB909" s="580">
        <f>HLOOKUP("*"&amp;'Output annual'!$AC$2&amp;'Output annual'!$AD$2&amp;"*Zone People Number Of Occupants [](Hourly)",'Eplus results'!$1:$1048576,ROW(),FALSE)</f>
        <v>0</v>
      </c>
      <c r="AC909" s="580">
        <f>HLOOKUP("*"&amp;'Output annual'!$AC$2&amp;'Output annual'!$AD$2&amp;"*FangerPMV(Hourly)",'Eplus results'!$1:$1048576,ROW(),FALSE)</f>
        <v>0</v>
      </c>
      <c r="AD909" s="580">
        <f t="shared" si="106"/>
        <v>5</v>
      </c>
      <c r="AE909" s="580">
        <f t="shared" si="107"/>
        <v>2.5</v>
      </c>
      <c r="AF909" s="580">
        <f t="shared" si="108"/>
        <v>2.5</v>
      </c>
      <c r="AG909" s="580">
        <f t="shared" si="109"/>
        <v>0</v>
      </c>
      <c r="AH909" s="580">
        <f t="shared" si="110"/>
        <v>0</v>
      </c>
    </row>
    <row r="910" spans="28:34">
      <c r="AB910" s="580">
        <f>HLOOKUP("*"&amp;'Output annual'!$AC$2&amp;'Output annual'!$AD$2&amp;"*Zone People Number Of Occupants [](Hourly)",'Eplus results'!$1:$1048576,ROW(),FALSE)</f>
        <v>0</v>
      </c>
      <c r="AC910" s="580">
        <f>HLOOKUP("*"&amp;'Output annual'!$AC$2&amp;'Output annual'!$AD$2&amp;"*FangerPMV(Hourly)",'Eplus results'!$1:$1048576,ROW(),FALSE)</f>
        <v>0</v>
      </c>
      <c r="AD910" s="580">
        <f t="shared" si="106"/>
        <v>5</v>
      </c>
      <c r="AE910" s="580">
        <f t="shared" si="107"/>
        <v>2.5</v>
      </c>
      <c r="AF910" s="580">
        <f t="shared" si="108"/>
        <v>2.5</v>
      </c>
      <c r="AG910" s="580">
        <f t="shared" si="109"/>
        <v>0</v>
      </c>
      <c r="AH910" s="580">
        <f t="shared" si="110"/>
        <v>0</v>
      </c>
    </row>
    <row r="911" spans="28:34">
      <c r="AB911" s="580">
        <f>HLOOKUP("*"&amp;'Output annual'!$AC$2&amp;'Output annual'!$AD$2&amp;"*Zone People Number Of Occupants [](Hourly)",'Eplus results'!$1:$1048576,ROW(),FALSE)</f>
        <v>0</v>
      </c>
      <c r="AC911" s="580">
        <f>HLOOKUP("*"&amp;'Output annual'!$AC$2&amp;'Output annual'!$AD$2&amp;"*FangerPMV(Hourly)",'Eplus results'!$1:$1048576,ROW(),FALSE)</f>
        <v>0</v>
      </c>
      <c r="AD911" s="580">
        <f t="shared" si="106"/>
        <v>5</v>
      </c>
      <c r="AE911" s="580">
        <f t="shared" si="107"/>
        <v>2.5</v>
      </c>
      <c r="AF911" s="580">
        <f t="shared" si="108"/>
        <v>2.5</v>
      </c>
      <c r="AG911" s="580">
        <f t="shared" si="109"/>
        <v>0</v>
      </c>
      <c r="AH911" s="580">
        <f t="shared" si="110"/>
        <v>0</v>
      </c>
    </row>
    <row r="912" spans="28:34">
      <c r="AB912" s="580">
        <f>HLOOKUP("*"&amp;'Output annual'!$AC$2&amp;'Output annual'!$AD$2&amp;"*Zone People Number Of Occupants [](Hourly)",'Eplus results'!$1:$1048576,ROW(),FALSE)</f>
        <v>0</v>
      </c>
      <c r="AC912" s="580">
        <f>HLOOKUP("*"&amp;'Output annual'!$AC$2&amp;'Output annual'!$AD$2&amp;"*FangerPMV(Hourly)",'Eplus results'!$1:$1048576,ROW(),FALSE)</f>
        <v>0</v>
      </c>
      <c r="AD912" s="580">
        <f t="shared" si="106"/>
        <v>5</v>
      </c>
      <c r="AE912" s="580">
        <f t="shared" si="107"/>
        <v>2.5</v>
      </c>
      <c r="AF912" s="580">
        <f t="shared" si="108"/>
        <v>2.5</v>
      </c>
      <c r="AG912" s="580">
        <f t="shared" si="109"/>
        <v>0</v>
      </c>
      <c r="AH912" s="580">
        <f t="shared" si="110"/>
        <v>0</v>
      </c>
    </row>
    <row r="913" spans="28:34">
      <c r="AB913" s="580">
        <f>HLOOKUP("*"&amp;'Output annual'!$AC$2&amp;'Output annual'!$AD$2&amp;"*Zone People Number Of Occupants [](Hourly)",'Eplus results'!$1:$1048576,ROW(),FALSE)</f>
        <v>0</v>
      </c>
      <c r="AC913" s="580">
        <f>HLOOKUP("*"&amp;'Output annual'!$AC$2&amp;'Output annual'!$AD$2&amp;"*FangerPMV(Hourly)",'Eplus results'!$1:$1048576,ROW(),FALSE)</f>
        <v>0</v>
      </c>
      <c r="AD913" s="580">
        <f t="shared" si="106"/>
        <v>5</v>
      </c>
      <c r="AE913" s="580">
        <f t="shared" si="107"/>
        <v>2.5</v>
      </c>
      <c r="AF913" s="580">
        <f t="shared" si="108"/>
        <v>2.5</v>
      </c>
      <c r="AG913" s="580">
        <f t="shared" si="109"/>
        <v>0</v>
      </c>
      <c r="AH913" s="580">
        <f t="shared" si="110"/>
        <v>0</v>
      </c>
    </row>
    <row r="914" spans="28:34">
      <c r="AB914" s="580">
        <f>HLOOKUP("*"&amp;'Output annual'!$AC$2&amp;'Output annual'!$AD$2&amp;"*Zone People Number Of Occupants [](Hourly)",'Eplus results'!$1:$1048576,ROW(),FALSE)</f>
        <v>0</v>
      </c>
      <c r="AC914" s="580">
        <f>HLOOKUP("*"&amp;'Output annual'!$AC$2&amp;'Output annual'!$AD$2&amp;"*FangerPMV(Hourly)",'Eplus results'!$1:$1048576,ROW(),FALSE)</f>
        <v>0</v>
      </c>
      <c r="AD914" s="580">
        <f t="shared" si="106"/>
        <v>5</v>
      </c>
      <c r="AE914" s="580">
        <f t="shared" si="107"/>
        <v>2.5</v>
      </c>
      <c r="AF914" s="580">
        <f t="shared" si="108"/>
        <v>2.5</v>
      </c>
      <c r="AG914" s="580">
        <f t="shared" si="109"/>
        <v>0</v>
      </c>
      <c r="AH914" s="580">
        <f t="shared" si="110"/>
        <v>0</v>
      </c>
    </row>
    <row r="915" spans="28:34">
      <c r="AB915" s="580">
        <f>HLOOKUP("*"&amp;'Output annual'!$AC$2&amp;'Output annual'!$AD$2&amp;"*Zone People Number Of Occupants [](Hourly)",'Eplus results'!$1:$1048576,ROW(),FALSE)</f>
        <v>0</v>
      </c>
      <c r="AC915" s="580">
        <f>HLOOKUP("*"&amp;'Output annual'!$AC$2&amp;'Output annual'!$AD$2&amp;"*FangerPMV(Hourly)",'Eplus results'!$1:$1048576,ROW(),FALSE)</f>
        <v>0</v>
      </c>
      <c r="AD915" s="580">
        <f t="shared" si="106"/>
        <v>5</v>
      </c>
      <c r="AE915" s="580">
        <f t="shared" si="107"/>
        <v>2.5</v>
      </c>
      <c r="AF915" s="580">
        <f t="shared" si="108"/>
        <v>2.5</v>
      </c>
      <c r="AG915" s="580">
        <f t="shared" si="109"/>
        <v>0</v>
      </c>
      <c r="AH915" s="580">
        <f t="shared" si="110"/>
        <v>0</v>
      </c>
    </row>
    <row r="916" spans="28:34">
      <c r="AB916" s="580">
        <f>HLOOKUP("*"&amp;'Output annual'!$AC$2&amp;'Output annual'!$AD$2&amp;"*Zone People Number Of Occupants [](Hourly)",'Eplus results'!$1:$1048576,ROW(),FALSE)</f>
        <v>0</v>
      </c>
      <c r="AC916" s="580">
        <f>HLOOKUP("*"&amp;'Output annual'!$AC$2&amp;'Output annual'!$AD$2&amp;"*FangerPMV(Hourly)",'Eplus results'!$1:$1048576,ROW(),FALSE)</f>
        <v>0</v>
      </c>
      <c r="AD916" s="580">
        <f t="shared" si="106"/>
        <v>5</v>
      </c>
      <c r="AE916" s="580">
        <f t="shared" si="107"/>
        <v>2.5</v>
      </c>
      <c r="AF916" s="580">
        <f t="shared" si="108"/>
        <v>2.5</v>
      </c>
      <c r="AG916" s="580">
        <f t="shared" si="109"/>
        <v>0</v>
      </c>
      <c r="AH916" s="580">
        <f t="shared" si="110"/>
        <v>0</v>
      </c>
    </row>
    <row r="917" spans="28:34">
      <c r="AB917" s="580">
        <f>HLOOKUP("*"&amp;'Output annual'!$AC$2&amp;'Output annual'!$AD$2&amp;"*Zone People Number Of Occupants [](Hourly)",'Eplus results'!$1:$1048576,ROW(),FALSE)</f>
        <v>0</v>
      </c>
      <c r="AC917" s="580">
        <f>HLOOKUP("*"&amp;'Output annual'!$AC$2&amp;'Output annual'!$AD$2&amp;"*FangerPMV(Hourly)",'Eplus results'!$1:$1048576,ROW(),FALSE)</f>
        <v>0</v>
      </c>
      <c r="AD917" s="580">
        <f t="shared" si="106"/>
        <v>5</v>
      </c>
      <c r="AE917" s="580">
        <f t="shared" si="107"/>
        <v>2.5</v>
      </c>
      <c r="AF917" s="580">
        <f t="shared" si="108"/>
        <v>2.5</v>
      </c>
      <c r="AG917" s="580">
        <f t="shared" si="109"/>
        <v>0</v>
      </c>
      <c r="AH917" s="580">
        <f t="shared" si="110"/>
        <v>0</v>
      </c>
    </row>
    <row r="918" spans="28:34">
      <c r="AB918" s="580">
        <f>HLOOKUP("*"&amp;'Output annual'!$AC$2&amp;'Output annual'!$AD$2&amp;"*Zone People Number Of Occupants [](Hourly)",'Eplus results'!$1:$1048576,ROW(),FALSE)</f>
        <v>0</v>
      </c>
      <c r="AC918" s="580">
        <f>HLOOKUP("*"&amp;'Output annual'!$AC$2&amp;'Output annual'!$AD$2&amp;"*FangerPMV(Hourly)",'Eplus results'!$1:$1048576,ROW(),FALSE)</f>
        <v>0</v>
      </c>
      <c r="AD918" s="580">
        <f t="shared" si="106"/>
        <v>5</v>
      </c>
      <c r="AE918" s="580">
        <f t="shared" si="107"/>
        <v>2.5</v>
      </c>
      <c r="AF918" s="580">
        <f t="shared" si="108"/>
        <v>2.5</v>
      </c>
      <c r="AG918" s="580">
        <f t="shared" si="109"/>
        <v>0</v>
      </c>
      <c r="AH918" s="580">
        <f t="shared" si="110"/>
        <v>0</v>
      </c>
    </row>
    <row r="919" spans="28:34">
      <c r="AB919" s="580">
        <f>HLOOKUP("*"&amp;'Output annual'!$AC$2&amp;'Output annual'!$AD$2&amp;"*Zone People Number Of Occupants [](Hourly)",'Eplus results'!$1:$1048576,ROW(),FALSE)</f>
        <v>0</v>
      </c>
      <c r="AC919" s="580">
        <f>HLOOKUP("*"&amp;'Output annual'!$AC$2&amp;'Output annual'!$AD$2&amp;"*FangerPMV(Hourly)",'Eplus results'!$1:$1048576,ROW(),FALSE)</f>
        <v>0</v>
      </c>
      <c r="AD919" s="580">
        <f t="shared" si="106"/>
        <v>5</v>
      </c>
      <c r="AE919" s="580">
        <f t="shared" si="107"/>
        <v>2.5</v>
      </c>
      <c r="AF919" s="580">
        <f t="shared" si="108"/>
        <v>2.5</v>
      </c>
      <c r="AG919" s="580">
        <f t="shared" si="109"/>
        <v>0</v>
      </c>
      <c r="AH919" s="580">
        <f t="shared" si="110"/>
        <v>0</v>
      </c>
    </row>
    <row r="920" spans="28:34">
      <c r="AB920" s="580">
        <f>HLOOKUP("*"&amp;'Output annual'!$AC$2&amp;'Output annual'!$AD$2&amp;"*Zone People Number Of Occupants [](Hourly)",'Eplus results'!$1:$1048576,ROW(),FALSE)</f>
        <v>0</v>
      </c>
      <c r="AC920" s="580">
        <f>HLOOKUP("*"&amp;'Output annual'!$AC$2&amp;'Output annual'!$AD$2&amp;"*FangerPMV(Hourly)",'Eplus results'!$1:$1048576,ROW(),FALSE)</f>
        <v>0</v>
      </c>
      <c r="AD920" s="580">
        <f t="shared" si="106"/>
        <v>5</v>
      </c>
      <c r="AE920" s="580">
        <f t="shared" si="107"/>
        <v>2.5</v>
      </c>
      <c r="AF920" s="580">
        <f t="shared" si="108"/>
        <v>2.5</v>
      </c>
      <c r="AG920" s="580">
        <f t="shared" si="109"/>
        <v>0</v>
      </c>
      <c r="AH920" s="580">
        <f t="shared" si="110"/>
        <v>0</v>
      </c>
    </row>
    <row r="921" spans="28:34">
      <c r="AB921" s="580">
        <f>HLOOKUP("*"&amp;'Output annual'!$AC$2&amp;'Output annual'!$AD$2&amp;"*Zone People Number Of Occupants [](Hourly)",'Eplus results'!$1:$1048576,ROW(),FALSE)</f>
        <v>0</v>
      </c>
      <c r="AC921" s="580">
        <f>HLOOKUP("*"&amp;'Output annual'!$AC$2&amp;'Output annual'!$AD$2&amp;"*FangerPMV(Hourly)",'Eplus results'!$1:$1048576,ROW(),FALSE)</f>
        <v>0</v>
      </c>
      <c r="AD921" s="580">
        <f t="shared" si="106"/>
        <v>5</v>
      </c>
      <c r="AE921" s="580">
        <f t="shared" si="107"/>
        <v>2.5</v>
      </c>
      <c r="AF921" s="580">
        <f t="shared" si="108"/>
        <v>2.5</v>
      </c>
      <c r="AG921" s="580">
        <f t="shared" si="109"/>
        <v>0</v>
      </c>
      <c r="AH921" s="580">
        <f t="shared" si="110"/>
        <v>0</v>
      </c>
    </row>
    <row r="922" spans="28:34">
      <c r="AB922" s="580">
        <f>HLOOKUP("*"&amp;'Output annual'!$AC$2&amp;'Output annual'!$AD$2&amp;"*Zone People Number Of Occupants [](Hourly)",'Eplus results'!$1:$1048576,ROW(),FALSE)</f>
        <v>0</v>
      </c>
      <c r="AC922" s="580">
        <f>HLOOKUP("*"&amp;'Output annual'!$AC$2&amp;'Output annual'!$AD$2&amp;"*FangerPMV(Hourly)",'Eplus results'!$1:$1048576,ROW(),FALSE)</f>
        <v>0</v>
      </c>
      <c r="AD922" s="580">
        <f t="shared" si="106"/>
        <v>5</v>
      </c>
      <c r="AE922" s="580">
        <f t="shared" si="107"/>
        <v>2.5</v>
      </c>
      <c r="AF922" s="580">
        <f t="shared" si="108"/>
        <v>2.5</v>
      </c>
      <c r="AG922" s="580">
        <f t="shared" si="109"/>
        <v>0</v>
      </c>
      <c r="AH922" s="580">
        <f t="shared" si="110"/>
        <v>0</v>
      </c>
    </row>
    <row r="923" spans="28:34">
      <c r="AB923" s="580">
        <f>HLOOKUP("*"&amp;'Output annual'!$AC$2&amp;'Output annual'!$AD$2&amp;"*Zone People Number Of Occupants [](Hourly)",'Eplus results'!$1:$1048576,ROW(),FALSE)</f>
        <v>0</v>
      </c>
      <c r="AC923" s="580">
        <f>HLOOKUP("*"&amp;'Output annual'!$AC$2&amp;'Output annual'!$AD$2&amp;"*FangerPMV(Hourly)",'Eplus results'!$1:$1048576,ROW(),FALSE)</f>
        <v>0</v>
      </c>
      <c r="AD923" s="580">
        <f t="shared" si="106"/>
        <v>5</v>
      </c>
      <c r="AE923" s="580">
        <f t="shared" si="107"/>
        <v>2.5</v>
      </c>
      <c r="AF923" s="580">
        <f t="shared" si="108"/>
        <v>2.5</v>
      </c>
      <c r="AG923" s="580">
        <f t="shared" si="109"/>
        <v>0</v>
      </c>
      <c r="AH923" s="580">
        <f t="shared" si="110"/>
        <v>0</v>
      </c>
    </row>
    <row r="924" spans="28:34">
      <c r="AB924" s="580">
        <f>HLOOKUP("*"&amp;'Output annual'!$AC$2&amp;'Output annual'!$AD$2&amp;"*Zone People Number Of Occupants [](Hourly)",'Eplus results'!$1:$1048576,ROW(),FALSE)</f>
        <v>0</v>
      </c>
      <c r="AC924" s="580">
        <f>HLOOKUP("*"&amp;'Output annual'!$AC$2&amp;'Output annual'!$AD$2&amp;"*FangerPMV(Hourly)",'Eplus results'!$1:$1048576,ROW(),FALSE)</f>
        <v>0</v>
      </c>
      <c r="AD924" s="580">
        <f t="shared" si="106"/>
        <v>5</v>
      </c>
      <c r="AE924" s="580">
        <f t="shared" si="107"/>
        <v>2.5</v>
      </c>
      <c r="AF924" s="580">
        <f t="shared" si="108"/>
        <v>2.5</v>
      </c>
      <c r="AG924" s="580">
        <f t="shared" si="109"/>
        <v>0</v>
      </c>
      <c r="AH924" s="580">
        <f t="shared" si="110"/>
        <v>0</v>
      </c>
    </row>
    <row r="925" spans="28:34">
      <c r="AB925" s="580">
        <f>HLOOKUP("*"&amp;'Output annual'!$AC$2&amp;'Output annual'!$AD$2&amp;"*Zone People Number Of Occupants [](Hourly)",'Eplus results'!$1:$1048576,ROW(),FALSE)</f>
        <v>0</v>
      </c>
      <c r="AC925" s="580">
        <f>HLOOKUP("*"&amp;'Output annual'!$AC$2&amp;'Output annual'!$AD$2&amp;"*FangerPMV(Hourly)",'Eplus results'!$1:$1048576,ROW(),FALSE)</f>
        <v>0</v>
      </c>
      <c r="AD925" s="580">
        <f t="shared" si="106"/>
        <v>5</v>
      </c>
      <c r="AE925" s="580">
        <f t="shared" si="107"/>
        <v>2.5</v>
      </c>
      <c r="AF925" s="580">
        <f t="shared" si="108"/>
        <v>2.5</v>
      </c>
      <c r="AG925" s="580">
        <f t="shared" si="109"/>
        <v>0</v>
      </c>
      <c r="AH925" s="580">
        <f t="shared" si="110"/>
        <v>0</v>
      </c>
    </row>
    <row r="926" spans="28:34">
      <c r="AB926" s="580">
        <f>HLOOKUP("*"&amp;'Output annual'!$AC$2&amp;'Output annual'!$AD$2&amp;"*Zone People Number Of Occupants [](Hourly)",'Eplus results'!$1:$1048576,ROW(),FALSE)</f>
        <v>0</v>
      </c>
      <c r="AC926" s="580">
        <f>HLOOKUP("*"&amp;'Output annual'!$AC$2&amp;'Output annual'!$AD$2&amp;"*FangerPMV(Hourly)",'Eplus results'!$1:$1048576,ROW(),FALSE)</f>
        <v>0</v>
      </c>
      <c r="AD926" s="580">
        <f t="shared" si="106"/>
        <v>5</v>
      </c>
      <c r="AE926" s="580">
        <f t="shared" si="107"/>
        <v>2.5</v>
      </c>
      <c r="AF926" s="580">
        <f t="shared" si="108"/>
        <v>2.5</v>
      </c>
      <c r="AG926" s="580">
        <f t="shared" si="109"/>
        <v>0</v>
      </c>
      <c r="AH926" s="580">
        <f t="shared" si="110"/>
        <v>0</v>
      </c>
    </row>
    <row r="927" spans="28:34">
      <c r="AB927" s="580">
        <f>HLOOKUP("*"&amp;'Output annual'!$AC$2&amp;'Output annual'!$AD$2&amp;"*Zone People Number Of Occupants [](Hourly)",'Eplus results'!$1:$1048576,ROW(),FALSE)</f>
        <v>0</v>
      </c>
      <c r="AC927" s="580">
        <f>HLOOKUP("*"&amp;'Output annual'!$AC$2&amp;'Output annual'!$AD$2&amp;"*FangerPMV(Hourly)",'Eplus results'!$1:$1048576,ROW(),FALSE)</f>
        <v>0</v>
      </c>
      <c r="AD927" s="580">
        <f t="shared" si="106"/>
        <v>5</v>
      </c>
      <c r="AE927" s="580">
        <f t="shared" si="107"/>
        <v>2.5</v>
      </c>
      <c r="AF927" s="580">
        <f t="shared" si="108"/>
        <v>2.5</v>
      </c>
      <c r="AG927" s="580">
        <f t="shared" si="109"/>
        <v>0</v>
      </c>
      <c r="AH927" s="580">
        <f t="shared" si="110"/>
        <v>0</v>
      </c>
    </row>
    <row r="928" spans="28:34">
      <c r="AB928" s="580">
        <f>HLOOKUP("*"&amp;'Output annual'!$AC$2&amp;'Output annual'!$AD$2&amp;"*Zone People Number Of Occupants [](Hourly)",'Eplus results'!$1:$1048576,ROW(),FALSE)</f>
        <v>0</v>
      </c>
      <c r="AC928" s="580">
        <f>HLOOKUP("*"&amp;'Output annual'!$AC$2&amp;'Output annual'!$AD$2&amp;"*FangerPMV(Hourly)",'Eplus results'!$1:$1048576,ROW(),FALSE)</f>
        <v>0</v>
      </c>
      <c r="AD928" s="580">
        <f t="shared" si="106"/>
        <v>5</v>
      </c>
      <c r="AE928" s="580">
        <f t="shared" si="107"/>
        <v>2.5</v>
      </c>
      <c r="AF928" s="580">
        <f t="shared" si="108"/>
        <v>2.5</v>
      </c>
      <c r="AG928" s="580">
        <f t="shared" si="109"/>
        <v>0</v>
      </c>
      <c r="AH928" s="580">
        <f t="shared" si="110"/>
        <v>0</v>
      </c>
    </row>
    <row r="929" spans="28:34">
      <c r="AB929" s="580">
        <f>HLOOKUP("*"&amp;'Output annual'!$AC$2&amp;'Output annual'!$AD$2&amp;"*Zone People Number Of Occupants [](Hourly)",'Eplus results'!$1:$1048576,ROW(),FALSE)</f>
        <v>0</v>
      </c>
      <c r="AC929" s="580">
        <f>HLOOKUP("*"&amp;'Output annual'!$AC$2&amp;'Output annual'!$AD$2&amp;"*FangerPMV(Hourly)",'Eplus results'!$1:$1048576,ROW(),FALSE)</f>
        <v>0</v>
      </c>
      <c r="AD929" s="580">
        <f t="shared" si="106"/>
        <v>5</v>
      </c>
      <c r="AE929" s="580">
        <f t="shared" si="107"/>
        <v>2.5</v>
      </c>
      <c r="AF929" s="580">
        <f t="shared" si="108"/>
        <v>2.5</v>
      </c>
      <c r="AG929" s="580">
        <f t="shared" si="109"/>
        <v>0</v>
      </c>
      <c r="AH929" s="580">
        <f t="shared" si="110"/>
        <v>0</v>
      </c>
    </row>
    <row r="930" spans="28:34">
      <c r="AB930" s="580">
        <f>HLOOKUP("*"&amp;'Output annual'!$AC$2&amp;'Output annual'!$AD$2&amp;"*Zone People Number Of Occupants [](Hourly)",'Eplus results'!$1:$1048576,ROW(),FALSE)</f>
        <v>0</v>
      </c>
      <c r="AC930" s="580">
        <f>HLOOKUP("*"&amp;'Output annual'!$AC$2&amp;'Output annual'!$AD$2&amp;"*FangerPMV(Hourly)",'Eplus results'!$1:$1048576,ROW(),FALSE)</f>
        <v>0</v>
      </c>
      <c r="AD930" s="580">
        <f t="shared" si="106"/>
        <v>5</v>
      </c>
      <c r="AE930" s="580">
        <f t="shared" si="107"/>
        <v>2.5</v>
      </c>
      <c r="AF930" s="580">
        <f t="shared" si="108"/>
        <v>2.5</v>
      </c>
      <c r="AG930" s="580">
        <f t="shared" si="109"/>
        <v>0</v>
      </c>
      <c r="AH930" s="580">
        <f t="shared" si="110"/>
        <v>0</v>
      </c>
    </row>
    <row r="931" spans="28:34">
      <c r="AB931" s="580">
        <f>HLOOKUP("*"&amp;'Output annual'!$AC$2&amp;'Output annual'!$AD$2&amp;"*Zone People Number Of Occupants [](Hourly)",'Eplus results'!$1:$1048576,ROW(),FALSE)</f>
        <v>0</v>
      </c>
      <c r="AC931" s="580">
        <f>HLOOKUP("*"&amp;'Output annual'!$AC$2&amp;'Output annual'!$AD$2&amp;"*FangerPMV(Hourly)",'Eplus results'!$1:$1048576,ROW(),FALSE)</f>
        <v>0</v>
      </c>
      <c r="AD931" s="580">
        <f t="shared" si="106"/>
        <v>5</v>
      </c>
      <c r="AE931" s="580">
        <f t="shared" si="107"/>
        <v>2.5</v>
      </c>
      <c r="AF931" s="580">
        <f t="shared" si="108"/>
        <v>2.5</v>
      </c>
      <c r="AG931" s="580">
        <f t="shared" si="109"/>
        <v>0</v>
      </c>
      <c r="AH931" s="580">
        <f t="shared" si="110"/>
        <v>0</v>
      </c>
    </row>
    <row r="932" spans="28:34">
      <c r="AB932" s="580">
        <f>HLOOKUP("*"&amp;'Output annual'!$AC$2&amp;'Output annual'!$AD$2&amp;"*Zone People Number Of Occupants [](Hourly)",'Eplus results'!$1:$1048576,ROW(),FALSE)</f>
        <v>0</v>
      </c>
      <c r="AC932" s="580">
        <f>HLOOKUP("*"&amp;'Output annual'!$AC$2&amp;'Output annual'!$AD$2&amp;"*FangerPMV(Hourly)",'Eplus results'!$1:$1048576,ROW(),FALSE)</f>
        <v>0</v>
      </c>
      <c r="AD932" s="580">
        <f t="shared" si="106"/>
        <v>5</v>
      </c>
      <c r="AE932" s="580">
        <f t="shared" si="107"/>
        <v>2.5</v>
      </c>
      <c r="AF932" s="580">
        <f t="shared" si="108"/>
        <v>2.5</v>
      </c>
      <c r="AG932" s="580">
        <f t="shared" si="109"/>
        <v>0</v>
      </c>
      <c r="AH932" s="580">
        <f t="shared" si="110"/>
        <v>0</v>
      </c>
    </row>
    <row r="933" spans="28:34">
      <c r="AB933" s="580">
        <f>HLOOKUP("*"&amp;'Output annual'!$AC$2&amp;'Output annual'!$AD$2&amp;"*Zone People Number Of Occupants [](Hourly)",'Eplus results'!$1:$1048576,ROW(),FALSE)</f>
        <v>0</v>
      </c>
      <c r="AC933" s="580">
        <f>HLOOKUP("*"&amp;'Output annual'!$AC$2&amp;'Output annual'!$AD$2&amp;"*FangerPMV(Hourly)",'Eplus results'!$1:$1048576,ROW(),FALSE)</f>
        <v>0</v>
      </c>
      <c r="AD933" s="580">
        <f t="shared" si="106"/>
        <v>5</v>
      </c>
      <c r="AE933" s="580">
        <f t="shared" si="107"/>
        <v>2.5</v>
      </c>
      <c r="AF933" s="580">
        <f t="shared" si="108"/>
        <v>2.5</v>
      </c>
      <c r="AG933" s="580">
        <f t="shared" si="109"/>
        <v>0</v>
      </c>
      <c r="AH933" s="580">
        <f t="shared" si="110"/>
        <v>0</v>
      </c>
    </row>
    <row r="934" spans="28:34">
      <c r="AB934" s="580">
        <f>HLOOKUP("*"&amp;'Output annual'!$AC$2&amp;'Output annual'!$AD$2&amp;"*Zone People Number Of Occupants [](Hourly)",'Eplus results'!$1:$1048576,ROW(),FALSE)</f>
        <v>0</v>
      </c>
      <c r="AC934" s="580">
        <f>HLOOKUP("*"&amp;'Output annual'!$AC$2&amp;'Output annual'!$AD$2&amp;"*FangerPMV(Hourly)",'Eplus results'!$1:$1048576,ROW(),FALSE)</f>
        <v>0</v>
      </c>
      <c r="AD934" s="580">
        <f t="shared" si="106"/>
        <v>5</v>
      </c>
      <c r="AE934" s="580">
        <f t="shared" si="107"/>
        <v>2.5</v>
      </c>
      <c r="AF934" s="580">
        <f t="shared" si="108"/>
        <v>2.5</v>
      </c>
      <c r="AG934" s="580">
        <f t="shared" si="109"/>
        <v>0</v>
      </c>
      <c r="AH934" s="580">
        <f t="shared" si="110"/>
        <v>0</v>
      </c>
    </row>
    <row r="935" spans="28:34">
      <c r="AB935" s="580">
        <f>HLOOKUP("*"&amp;'Output annual'!$AC$2&amp;'Output annual'!$AD$2&amp;"*Zone People Number Of Occupants [](Hourly)",'Eplus results'!$1:$1048576,ROW(),FALSE)</f>
        <v>0</v>
      </c>
      <c r="AC935" s="580">
        <f>HLOOKUP("*"&amp;'Output annual'!$AC$2&amp;'Output annual'!$AD$2&amp;"*FangerPMV(Hourly)",'Eplus results'!$1:$1048576,ROW(),FALSE)</f>
        <v>0</v>
      </c>
      <c r="AD935" s="580">
        <f t="shared" si="106"/>
        <v>5</v>
      </c>
      <c r="AE935" s="580">
        <f t="shared" si="107"/>
        <v>2.5</v>
      </c>
      <c r="AF935" s="580">
        <f t="shared" si="108"/>
        <v>2.5</v>
      </c>
      <c r="AG935" s="580">
        <f t="shared" si="109"/>
        <v>0</v>
      </c>
      <c r="AH935" s="580">
        <f t="shared" si="110"/>
        <v>0</v>
      </c>
    </row>
    <row r="936" spans="28:34">
      <c r="AB936" s="580">
        <f>HLOOKUP("*"&amp;'Output annual'!$AC$2&amp;'Output annual'!$AD$2&amp;"*Zone People Number Of Occupants [](Hourly)",'Eplus results'!$1:$1048576,ROW(),FALSE)</f>
        <v>0</v>
      </c>
      <c r="AC936" s="580">
        <f>HLOOKUP("*"&amp;'Output annual'!$AC$2&amp;'Output annual'!$AD$2&amp;"*FangerPMV(Hourly)",'Eplus results'!$1:$1048576,ROW(),FALSE)</f>
        <v>0</v>
      </c>
      <c r="AD936" s="580">
        <f t="shared" si="106"/>
        <v>5</v>
      </c>
      <c r="AE936" s="580">
        <f t="shared" si="107"/>
        <v>2.5</v>
      </c>
      <c r="AF936" s="580">
        <f t="shared" si="108"/>
        <v>2.5</v>
      </c>
      <c r="AG936" s="580">
        <f t="shared" si="109"/>
        <v>0</v>
      </c>
      <c r="AH936" s="580">
        <f t="shared" si="110"/>
        <v>0</v>
      </c>
    </row>
    <row r="937" spans="28:34">
      <c r="AB937" s="580">
        <f>HLOOKUP("*"&amp;'Output annual'!$AC$2&amp;'Output annual'!$AD$2&amp;"*Zone People Number Of Occupants [](Hourly)",'Eplus results'!$1:$1048576,ROW(),FALSE)</f>
        <v>0</v>
      </c>
      <c r="AC937" s="580">
        <f>HLOOKUP("*"&amp;'Output annual'!$AC$2&amp;'Output annual'!$AD$2&amp;"*FangerPMV(Hourly)",'Eplus results'!$1:$1048576,ROW(),FALSE)</f>
        <v>0</v>
      </c>
      <c r="AD937" s="580">
        <f t="shared" si="106"/>
        <v>5</v>
      </c>
      <c r="AE937" s="580">
        <f t="shared" si="107"/>
        <v>2.5</v>
      </c>
      <c r="AF937" s="580">
        <f t="shared" si="108"/>
        <v>2.5</v>
      </c>
      <c r="AG937" s="580">
        <f t="shared" si="109"/>
        <v>0</v>
      </c>
      <c r="AH937" s="580">
        <f t="shared" si="110"/>
        <v>0</v>
      </c>
    </row>
    <row r="938" spans="28:34">
      <c r="AB938" s="580">
        <f>HLOOKUP("*"&amp;'Output annual'!$AC$2&amp;'Output annual'!$AD$2&amp;"*Zone People Number Of Occupants [](Hourly)",'Eplus results'!$1:$1048576,ROW(),FALSE)</f>
        <v>0</v>
      </c>
      <c r="AC938" s="580">
        <f>HLOOKUP("*"&amp;'Output annual'!$AC$2&amp;'Output annual'!$AD$2&amp;"*FangerPMV(Hourly)",'Eplus results'!$1:$1048576,ROW(),FALSE)</f>
        <v>0</v>
      </c>
      <c r="AD938" s="580">
        <f t="shared" si="106"/>
        <v>5</v>
      </c>
      <c r="AE938" s="580">
        <f t="shared" si="107"/>
        <v>2.5</v>
      </c>
      <c r="AF938" s="580">
        <f t="shared" si="108"/>
        <v>2.5</v>
      </c>
      <c r="AG938" s="580">
        <f t="shared" si="109"/>
        <v>0</v>
      </c>
      <c r="AH938" s="580">
        <f t="shared" si="110"/>
        <v>0</v>
      </c>
    </row>
    <row r="939" spans="28:34">
      <c r="AB939" s="580">
        <f>HLOOKUP("*"&amp;'Output annual'!$AC$2&amp;'Output annual'!$AD$2&amp;"*Zone People Number Of Occupants [](Hourly)",'Eplus results'!$1:$1048576,ROW(),FALSE)</f>
        <v>0</v>
      </c>
      <c r="AC939" s="580">
        <f>HLOOKUP("*"&amp;'Output annual'!$AC$2&amp;'Output annual'!$AD$2&amp;"*FangerPMV(Hourly)",'Eplus results'!$1:$1048576,ROW(),FALSE)</f>
        <v>0</v>
      </c>
      <c r="AD939" s="580">
        <f t="shared" si="106"/>
        <v>5</v>
      </c>
      <c r="AE939" s="580">
        <f t="shared" si="107"/>
        <v>2.5</v>
      </c>
      <c r="AF939" s="580">
        <f t="shared" si="108"/>
        <v>2.5</v>
      </c>
      <c r="AG939" s="580">
        <f t="shared" si="109"/>
        <v>0</v>
      </c>
      <c r="AH939" s="580">
        <f t="shared" si="110"/>
        <v>0</v>
      </c>
    </row>
    <row r="940" spans="28:34">
      <c r="AB940" s="580">
        <f>HLOOKUP("*"&amp;'Output annual'!$AC$2&amp;'Output annual'!$AD$2&amp;"*Zone People Number Of Occupants [](Hourly)",'Eplus results'!$1:$1048576,ROW(),FALSE)</f>
        <v>0</v>
      </c>
      <c r="AC940" s="580">
        <f>HLOOKUP("*"&amp;'Output annual'!$AC$2&amp;'Output annual'!$AD$2&amp;"*FangerPMV(Hourly)",'Eplus results'!$1:$1048576,ROW(),FALSE)</f>
        <v>0</v>
      </c>
      <c r="AD940" s="580">
        <f t="shared" si="106"/>
        <v>5</v>
      </c>
      <c r="AE940" s="580">
        <f t="shared" si="107"/>
        <v>2.5</v>
      </c>
      <c r="AF940" s="580">
        <f t="shared" si="108"/>
        <v>2.5</v>
      </c>
      <c r="AG940" s="580">
        <f t="shared" si="109"/>
        <v>0</v>
      </c>
      <c r="AH940" s="580">
        <f t="shared" si="110"/>
        <v>0</v>
      </c>
    </row>
    <row r="941" spans="28:34">
      <c r="AB941" s="580">
        <f>HLOOKUP("*"&amp;'Output annual'!$AC$2&amp;'Output annual'!$AD$2&amp;"*Zone People Number Of Occupants [](Hourly)",'Eplus results'!$1:$1048576,ROW(),FALSE)</f>
        <v>0</v>
      </c>
      <c r="AC941" s="580">
        <f>HLOOKUP("*"&amp;'Output annual'!$AC$2&amp;'Output annual'!$AD$2&amp;"*FangerPMV(Hourly)",'Eplus results'!$1:$1048576,ROW(),FALSE)</f>
        <v>0</v>
      </c>
      <c r="AD941" s="580">
        <f t="shared" si="106"/>
        <v>5</v>
      </c>
      <c r="AE941" s="580">
        <f t="shared" si="107"/>
        <v>2.5</v>
      </c>
      <c r="AF941" s="580">
        <f t="shared" si="108"/>
        <v>2.5</v>
      </c>
      <c r="AG941" s="580">
        <f t="shared" si="109"/>
        <v>0</v>
      </c>
      <c r="AH941" s="580">
        <f t="shared" si="110"/>
        <v>0</v>
      </c>
    </row>
    <row r="942" spans="28:34">
      <c r="AB942" s="580">
        <f>HLOOKUP("*"&amp;'Output annual'!$AC$2&amp;'Output annual'!$AD$2&amp;"*Zone People Number Of Occupants [](Hourly)",'Eplus results'!$1:$1048576,ROW(),FALSE)</f>
        <v>0</v>
      </c>
      <c r="AC942" s="580">
        <f>HLOOKUP("*"&amp;'Output annual'!$AC$2&amp;'Output annual'!$AD$2&amp;"*FangerPMV(Hourly)",'Eplus results'!$1:$1048576,ROW(),FALSE)</f>
        <v>0</v>
      </c>
      <c r="AD942" s="580">
        <f t="shared" si="106"/>
        <v>5</v>
      </c>
      <c r="AE942" s="580">
        <f t="shared" si="107"/>
        <v>2.5</v>
      </c>
      <c r="AF942" s="580">
        <f t="shared" si="108"/>
        <v>2.5</v>
      </c>
      <c r="AG942" s="580">
        <f t="shared" si="109"/>
        <v>0</v>
      </c>
      <c r="AH942" s="580">
        <f t="shared" si="110"/>
        <v>0</v>
      </c>
    </row>
    <row r="943" spans="28:34">
      <c r="AB943" s="580">
        <f>HLOOKUP("*"&amp;'Output annual'!$AC$2&amp;'Output annual'!$AD$2&amp;"*Zone People Number Of Occupants [](Hourly)",'Eplus results'!$1:$1048576,ROW(),FALSE)</f>
        <v>0</v>
      </c>
      <c r="AC943" s="580">
        <f>HLOOKUP("*"&amp;'Output annual'!$AC$2&amp;'Output annual'!$AD$2&amp;"*FangerPMV(Hourly)",'Eplus results'!$1:$1048576,ROW(),FALSE)</f>
        <v>0</v>
      </c>
      <c r="AD943" s="580">
        <f t="shared" si="106"/>
        <v>5</v>
      </c>
      <c r="AE943" s="580">
        <f t="shared" si="107"/>
        <v>2.5</v>
      </c>
      <c r="AF943" s="580">
        <f t="shared" si="108"/>
        <v>2.5</v>
      </c>
      <c r="AG943" s="580">
        <f t="shared" si="109"/>
        <v>0</v>
      </c>
      <c r="AH943" s="580">
        <f t="shared" si="110"/>
        <v>0</v>
      </c>
    </row>
    <row r="944" spans="28:34">
      <c r="AB944" s="580">
        <f>HLOOKUP("*"&amp;'Output annual'!$AC$2&amp;'Output annual'!$AD$2&amp;"*Zone People Number Of Occupants [](Hourly)",'Eplus results'!$1:$1048576,ROW(),FALSE)</f>
        <v>0</v>
      </c>
      <c r="AC944" s="580">
        <f>HLOOKUP("*"&amp;'Output annual'!$AC$2&amp;'Output annual'!$AD$2&amp;"*FangerPMV(Hourly)",'Eplus results'!$1:$1048576,ROW(),FALSE)</f>
        <v>0</v>
      </c>
      <c r="AD944" s="580">
        <f t="shared" si="106"/>
        <v>5</v>
      </c>
      <c r="AE944" s="580">
        <f t="shared" si="107"/>
        <v>2.5</v>
      </c>
      <c r="AF944" s="580">
        <f t="shared" si="108"/>
        <v>2.5</v>
      </c>
      <c r="AG944" s="580">
        <f t="shared" si="109"/>
        <v>0</v>
      </c>
      <c r="AH944" s="580">
        <f t="shared" si="110"/>
        <v>0</v>
      </c>
    </row>
    <row r="945" spans="28:34">
      <c r="AB945" s="580">
        <f>HLOOKUP("*"&amp;'Output annual'!$AC$2&amp;'Output annual'!$AD$2&amp;"*Zone People Number Of Occupants [](Hourly)",'Eplus results'!$1:$1048576,ROW(),FALSE)</f>
        <v>0</v>
      </c>
      <c r="AC945" s="580">
        <f>HLOOKUP("*"&amp;'Output annual'!$AC$2&amp;'Output annual'!$AD$2&amp;"*FangerPMV(Hourly)",'Eplus results'!$1:$1048576,ROW(),FALSE)</f>
        <v>0</v>
      </c>
      <c r="AD945" s="580">
        <f t="shared" si="106"/>
        <v>5</v>
      </c>
      <c r="AE945" s="580">
        <f t="shared" si="107"/>
        <v>2.5</v>
      </c>
      <c r="AF945" s="580">
        <f t="shared" si="108"/>
        <v>2.5</v>
      </c>
      <c r="AG945" s="580">
        <f t="shared" si="109"/>
        <v>0</v>
      </c>
      <c r="AH945" s="580">
        <f t="shared" si="110"/>
        <v>0</v>
      </c>
    </row>
    <row r="946" spans="28:34">
      <c r="AB946" s="580">
        <f>HLOOKUP("*"&amp;'Output annual'!$AC$2&amp;'Output annual'!$AD$2&amp;"*Zone People Number Of Occupants [](Hourly)",'Eplus results'!$1:$1048576,ROW(),FALSE)</f>
        <v>0</v>
      </c>
      <c r="AC946" s="580">
        <f>HLOOKUP("*"&amp;'Output annual'!$AC$2&amp;'Output annual'!$AD$2&amp;"*FangerPMV(Hourly)",'Eplus results'!$1:$1048576,ROW(),FALSE)</f>
        <v>0</v>
      </c>
      <c r="AD946" s="580">
        <f t="shared" si="106"/>
        <v>5</v>
      </c>
      <c r="AE946" s="580">
        <f t="shared" si="107"/>
        <v>2.5</v>
      </c>
      <c r="AF946" s="580">
        <f t="shared" si="108"/>
        <v>2.5</v>
      </c>
      <c r="AG946" s="580">
        <f t="shared" si="109"/>
        <v>0</v>
      </c>
      <c r="AH946" s="580">
        <f t="shared" si="110"/>
        <v>0</v>
      </c>
    </row>
    <row r="947" spans="28:34">
      <c r="AB947" s="580">
        <f>HLOOKUP("*"&amp;'Output annual'!$AC$2&amp;'Output annual'!$AD$2&amp;"*Zone People Number Of Occupants [](Hourly)",'Eplus results'!$1:$1048576,ROW(),FALSE)</f>
        <v>0</v>
      </c>
      <c r="AC947" s="580">
        <f>HLOOKUP("*"&amp;'Output annual'!$AC$2&amp;'Output annual'!$AD$2&amp;"*FangerPMV(Hourly)",'Eplus results'!$1:$1048576,ROW(),FALSE)</f>
        <v>0</v>
      </c>
      <c r="AD947" s="580">
        <f t="shared" si="106"/>
        <v>5</v>
      </c>
      <c r="AE947" s="580">
        <f t="shared" si="107"/>
        <v>2.5</v>
      </c>
      <c r="AF947" s="580">
        <f t="shared" si="108"/>
        <v>2.5</v>
      </c>
      <c r="AG947" s="580">
        <f t="shared" si="109"/>
        <v>0</v>
      </c>
      <c r="AH947" s="580">
        <f t="shared" si="110"/>
        <v>0</v>
      </c>
    </row>
    <row r="948" spans="28:34">
      <c r="AB948" s="580">
        <f>HLOOKUP("*"&amp;'Output annual'!$AC$2&amp;'Output annual'!$AD$2&amp;"*Zone People Number Of Occupants [](Hourly)",'Eplus results'!$1:$1048576,ROW(),FALSE)</f>
        <v>0</v>
      </c>
      <c r="AC948" s="580">
        <f>HLOOKUP("*"&amp;'Output annual'!$AC$2&amp;'Output annual'!$AD$2&amp;"*FangerPMV(Hourly)",'Eplus results'!$1:$1048576,ROW(),FALSE)</f>
        <v>0</v>
      </c>
      <c r="AD948" s="580">
        <f t="shared" si="106"/>
        <v>5</v>
      </c>
      <c r="AE948" s="580">
        <f t="shared" si="107"/>
        <v>2.5</v>
      </c>
      <c r="AF948" s="580">
        <f t="shared" si="108"/>
        <v>2.5</v>
      </c>
      <c r="AG948" s="580">
        <f t="shared" si="109"/>
        <v>0</v>
      </c>
      <c r="AH948" s="580">
        <f t="shared" si="110"/>
        <v>0</v>
      </c>
    </row>
    <row r="949" spans="28:34">
      <c r="AB949" s="580">
        <f>HLOOKUP("*"&amp;'Output annual'!$AC$2&amp;'Output annual'!$AD$2&amp;"*Zone People Number Of Occupants [](Hourly)",'Eplus results'!$1:$1048576,ROW(),FALSE)</f>
        <v>0</v>
      </c>
      <c r="AC949" s="580">
        <f>HLOOKUP("*"&amp;'Output annual'!$AC$2&amp;'Output annual'!$AD$2&amp;"*FangerPMV(Hourly)",'Eplus results'!$1:$1048576,ROW(),FALSE)</f>
        <v>0</v>
      </c>
      <c r="AD949" s="580">
        <f t="shared" si="106"/>
        <v>5</v>
      </c>
      <c r="AE949" s="580">
        <f t="shared" si="107"/>
        <v>2.5</v>
      </c>
      <c r="AF949" s="580">
        <f t="shared" si="108"/>
        <v>2.5</v>
      </c>
      <c r="AG949" s="580">
        <f t="shared" si="109"/>
        <v>0</v>
      </c>
      <c r="AH949" s="580">
        <f t="shared" si="110"/>
        <v>0</v>
      </c>
    </row>
    <row r="950" spans="28:34">
      <c r="AB950" s="580">
        <f>HLOOKUP("*"&amp;'Output annual'!$AC$2&amp;'Output annual'!$AD$2&amp;"*Zone People Number Of Occupants [](Hourly)",'Eplus results'!$1:$1048576,ROW(),FALSE)</f>
        <v>0</v>
      </c>
      <c r="AC950" s="580">
        <f>HLOOKUP("*"&amp;'Output annual'!$AC$2&amp;'Output annual'!$AD$2&amp;"*FangerPMV(Hourly)",'Eplus results'!$1:$1048576,ROW(),FALSE)</f>
        <v>0</v>
      </c>
      <c r="AD950" s="580">
        <f t="shared" si="106"/>
        <v>5</v>
      </c>
      <c r="AE950" s="580">
        <f t="shared" si="107"/>
        <v>2.5</v>
      </c>
      <c r="AF950" s="580">
        <f t="shared" si="108"/>
        <v>2.5</v>
      </c>
      <c r="AG950" s="580">
        <f t="shared" si="109"/>
        <v>0</v>
      </c>
      <c r="AH950" s="580">
        <f t="shared" si="110"/>
        <v>0</v>
      </c>
    </row>
    <row r="951" spans="28:34">
      <c r="AB951" s="580">
        <f>HLOOKUP("*"&amp;'Output annual'!$AC$2&amp;'Output annual'!$AD$2&amp;"*Zone People Number Of Occupants [](Hourly)",'Eplus results'!$1:$1048576,ROW(),FALSE)</f>
        <v>0</v>
      </c>
      <c r="AC951" s="580">
        <f>HLOOKUP("*"&amp;'Output annual'!$AC$2&amp;'Output annual'!$AD$2&amp;"*FangerPMV(Hourly)",'Eplus results'!$1:$1048576,ROW(),FALSE)</f>
        <v>0</v>
      </c>
      <c r="AD951" s="580">
        <f t="shared" si="106"/>
        <v>5</v>
      </c>
      <c r="AE951" s="580">
        <f t="shared" si="107"/>
        <v>2.5</v>
      </c>
      <c r="AF951" s="580">
        <f t="shared" si="108"/>
        <v>2.5</v>
      </c>
      <c r="AG951" s="580">
        <f t="shared" si="109"/>
        <v>0</v>
      </c>
      <c r="AH951" s="580">
        <f t="shared" si="110"/>
        <v>0</v>
      </c>
    </row>
    <row r="952" spans="28:34">
      <c r="AB952" s="580">
        <f>HLOOKUP("*"&amp;'Output annual'!$AC$2&amp;'Output annual'!$AD$2&amp;"*Zone People Number Of Occupants [](Hourly)",'Eplus results'!$1:$1048576,ROW(),FALSE)</f>
        <v>0</v>
      </c>
      <c r="AC952" s="580">
        <f>HLOOKUP("*"&amp;'Output annual'!$AC$2&amp;'Output annual'!$AD$2&amp;"*FangerPMV(Hourly)",'Eplus results'!$1:$1048576,ROW(),FALSE)</f>
        <v>0</v>
      </c>
      <c r="AD952" s="580">
        <f t="shared" si="106"/>
        <v>5</v>
      </c>
      <c r="AE952" s="580">
        <f t="shared" si="107"/>
        <v>2.5</v>
      </c>
      <c r="AF952" s="580">
        <f t="shared" si="108"/>
        <v>2.5</v>
      </c>
      <c r="AG952" s="580">
        <f t="shared" si="109"/>
        <v>0</v>
      </c>
      <c r="AH952" s="580">
        <f t="shared" si="110"/>
        <v>0</v>
      </c>
    </row>
    <row r="953" spans="28:34">
      <c r="AB953" s="580">
        <f>HLOOKUP("*"&amp;'Output annual'!$AC$2&amp;'Output annual'!$AD$2&amp;"*Zone People Number Of Occupants [](Hourly)",'Eplus results'!$1:$1048576,ROW(),FALSE)</f>
        <v>0</v>
      </c>
      <c r="AC953" s="580">
        <f>HLOOKUP("*"&amp;'Output annual'!$AC$2&amp;'Output annual'!$AD$2&amp;"*FangerPMV(Hourly)",'Eplus results'!$1:$1048576,ROW(),FALSE)</f>
        <v>0</v>
      </c>
      <c r="AD953" s="580">
        <f t="shared" si="106"/>
        <v>5</v>
      </c>
      <c r="AE953" s="580">
        <f t="shared" si="107"/>
        <v>2.5</v>
      </c>
      <c r="AF953" s="580">
        <f t="shared" si="108"/>
        <v>2.5</v>
      </c>
      <c r="AG953" s="580">
        <f t="shared" si="109"/>
        <v>0</v>
      </c>
      <c r="AH953" s="580">
        <f t="shared" si="110"/>
        <v>0</v>
      </c>
    </row>
    <row r="954" spans="28:34">
      <c r="AB954" s="580">
        <f>HLOOKUP("*"&amp;'Output annual'!$AC$2&amp;'Output annual'!$AD$2&amp;"*Zone People Number Of Occupants [](Hourly)",'Eplus results'!$1:$1048576,ROW(),FALSE)</f>
        <v>0</v>
      </c>
      <c r="AC954" s="580">
        <f>HLOOKUP("*"&amp;'Output annual'!$AC$2&amp;'Output annual'!$AD$2&amp;"*FangerPMV(Hourly)",'Eplus results'!$1:$1048576,ROW(),FALSE)</f>
        <v>0</v>
      </c>
      <c r="AD954" s="580">
        <f t="shared" si="106"/>
        <v>5</v>
      </c>
      <c r="AE954" s="580">
        <f t="shared" si="107"/>
        <v>2.5</v>
      </c>
      <c r="AF954" s="580">
        <f t="shared" si="108"/>
        <v>2.5</v>
      </c>
      <c r="AG954" s="580">
        <f t="shared" si="109"/>
        <v>0</v>
      </c>
      <c r="AH954" s="580">
        <f t="shared" si="110"/>
        <v>0</v>
      </c>
    </row>
    <row r="955" spans="28:34">
      <c r="AB955" s="580">
        <f>HLOOKUP("*"&amp;'Output annual'!$AC$2&amp;'Output annual'!$AD$2&amp;"*Zone People Number Of Occupants [](Hourly)",'Eplus results'!$1:$1048576,ROW(),FALSE)</f>
        <v>0</v>
      </c>
      <c r="AC955" s="580">
        <f>HLOOKUP("*"&amp;'Output annual'!$AC$2&amp;'Output annual'!$AD$2&amp;"*FangerPMV(Hourly)",'Eplus results'!$1:$1048576,ROW(),FALSE)</f>
        <v>0</v>
      </c>
      <c r="AD955" s="580">
        <f t="shared" si="106"/>
        <v>5</v>
      </c>
      <c r="AE955" s="580">
        <f t="shared" si="107"/>
        <v>2.5</v>
      </c>
      <c r="AF955" s="580">
        <f t="shared" si="108"/>
        <v>2.5</v>
      </c>
      <c r="AG955" s="580">
        <f t="shared" si="109"/>
        <v>0</v>
      </c>
      <c r="AH955" s="580">
        <f t="shared" si="110"/>
        <v>0</v>
      </c>
    </row>
    <row r="956" spans="28:34">
      <c r="AB956" s="580">
        <f>HLOOKUP("*"&amp;'Output annual'!$AC$2&amp;'Output annual'!$AD$2&amp;"*Zone People Number Of Occupants [](Hourly)",'Eplus results'!$1:$1048576,ROW(),FALSE)</f>
        <v>0</v>
      </c>
      <c r="AC956" s="580">
        <f>HLOOKUP("*"&amp;'Output annual'!$AC$2&amp;'Output annual'!$AD$2&amp;"*FangerPMV(Hourly)",'Eplus results'!$1:$1048576,ROW(),FALSE)</f>
        <v>0</v>
      </c>
      <c r="AD956" s="580">
        <f t="shared" si="106"/>
        <v>5</v>
      </c>
      <c r="AE956" s="580">
        <f t="shared" si="107"/>
        <v>2.5</v>
      </c>
      <c r="AF956" s="580">
        <f t="shared" si="108"/>
        <v>2.5</v>
      </c>
      <c r="AG956" s="580">
        <f t="shared" si="109"/>
        <v>0</v>
      </c>
      <c r="AH956" s="580">
        <f t="shared" si="110"/>
        <v>0</v>
      </c>
    </row>
    <row r="957" spans="28:34">
      <c r="AB957" s="580">
        <f>HLOOKUP("*"&amp;'Output annual'!$AC$2&amp;'Output annual'!$AD$2&amp;"*Zone People Number Of Occupants [](Hourly)",'Eplus results'!$1:$1048576,ROW(),FALSE)</f>
        <v>0</v>
      </c>
      <c r="AC957" s="580">
        <f>HLOOKUP("*"&amp;'Output annual'!$AC$2&amp;'Output annual'!$AD$2&amp;"*FangerPMV(Hourly)",'Eplus results'!$1:$1048576,ROW(),FALSE)</f>
        <v>0</v>
      </c>
      <c r="AD957" s="580">
        <f t="shared" si="106"/>
        <v>5</v>
      </c>
      <c r="AE957" s="580">
        <f t="shared" si="107"/>
        <v>2.5</v>
      </c>
      <c r="AF957" s="580">
        <f t="shared" si="108"/>
        <v>2.5</v>
      </c>
      <c r="AG957" s="580">
        <f t="shared" si="109"/>
        <v>0</v>
      </c>
      <c r="AH957" s="580">
        <f t="shared" si="110"/>
        <v>0</v>
      </c>
    </row>
    <row r="958" spans="28:34">
      <c r="AB958" s="580">
        <f>HLOOKUP("*"&amp;'Output annual'!$AC$2&amp;'Output annual'!$AD$2&amp;"*Zone People Number Of Occupants [](Hourly)",'Eplus results'!$1:$1048576,ROW(),FALSE)</f>
        <v>0</v>
      </c>
      <c r="AC958" s="580">
        <f>HLOOKUP("*"&amp;'Output annual'!$AC$2&amp;'Output annual'!$AD$2&amp;"*FangerPMV(Hourly)",'Eplus results'!$1:$1048576,ROW(),FALSE)</f>
        <v>0</v>
      </c>
      <c r="AD958" s="580">
        <f t="shared" si="106"/>
        <v>5</v>
      </c>
      <c r="AE958" s="580">
        <f t="shared" si="107"/>
        <v>2.5</v>
      </c>
      <c r="AF958" s="580">
        <f t="shared" si="108"/>
        <v>2.5</v>
      </c>
      <c r="AG958" s="580">
        <f t="shared" si="109"/>
        <v>0</v>
      </c>
      <c r="AH958" s="580">
        <f t="shared" si="110"/>
        <v>0</v>
      </c>
    </row>
    <row r="959" spans="28:34">
      <c r="AB959" s="580">
        <f>HLOOKUP("*"&amp;'Output annual'!$AC$2&amp;'Output annual'!$AD$2&amp;"*Zone People Number Of Occupants [](Hourly)",'Eplus results'!$1:$1048576,ROW(),FALSE)</f>
        <v>0</v>
      </c>
      <c r="AC959" s="580">
        <f>HLOOKUP("*"&amp;'Output annual'!$AC$2&amp;'Output annual'!$AD$2&amp;"*FangerPMV(Hourly)",'Eplus results'!$1:$1048576,ROW(),FALSE)</f>
        <v>0</v>
      </c>
      <c r="AD959" s="580">
        <f t="shared" si="106"/>
        <v>5</v>
      </c>
      <c r="AE959" s="580">
        <f t="shared" si="107"/>
        <v>2.5</v>
      </c>
      <c r="AF959" s="580">
        <f t="shared" si="108"/>
        <v>2.5</v>
      </c>
      <c r="AG959" s="580">
        <f t="shared" si="109"/>
        <v>0</v>
      </c>
      <c r="AH959" s="580">
        <f t="shared" si="110"/>
        <v>0</v>
      </c>
    </row>
    <row r="960" spans="28:34">
      <c r="AB960" s="580">
        <f>HLOOKUP("*"&amp;'Output annual'!$AC$2&amp;'Output annual'!$AD$2&amp;"*Zone People Number Of Occupants [](Hourly)",'Eplus results'!$1:$1048576,ROW(),FALSE)</f>
        <v>0</v>
      </c>
      <c r="AC960" s="580">
        <f>HLOOKUP("*"&amp;'Output annual'!$AC$2&amp;'Output annual'!$AD$2&amp;"*FangerPMV(Hourly)",'Eplus results'!$1:$1048576,ROW(),FALSE)</f>
        <v>0</v>
      </c>
      <c r="AD960" s="580">
        <f t="shared" si="106"/>
        <v>5</v>
      </c>
      <c r="AE960" s="580">
        <f t="shared" si="107"/>
        <v>2.5</v>
      </c>
      <c r="AF960" s="580">
        <f t="shared" si="108"/>
        <v>2.5</v>
      </c>
      <c r="AG960" s="580">
        <f t="shared" si="109"/>
        <v>0</v>
      </c>
      <c r="AH960" s="580">
        <f t="shared" si="110"/>
        <v>0</v>
      </c>
    </row>
    <row r="961" spans="28:34">
      <c r="AB961" s="580">
        <f>HLOOKUP("*"&amp;'Output annual'!$AC$2&amp;'Output annual'!$AD$2&amp;"*Zone People Number Of Occupants [](Hourly)",'Eplus results'!$1:$1048576,ROW(),FALSE)</f>
        <v>0</v>
      </c>
      <c r="AC961" s="580">
        <f>HLOOKUP("*"&amp;'Output annual'!$AC$2&amp;'Output annual'!$AD$2&amp;"*FangerPMV(Hourly)",'Eplus results'!$1:$1048576,ROW(),FALSE)</f>
        <v>0</v>
      </c>
      <c r="AD961" s="580">
        <f t="shared" si="106"/>
        <v>5</v>
      </c>
      <c r="AE961" s="580">
        <f t="shared" si="107"/>
        <v>2.5</v>
      </c>
      <c r="AF961" s="580">
        <f t="shared" si="108"/>
        <v>2.5</v>
      </c>
      <c r="AG961" s="580">
        <f t="shared" si="109"/>
        <v>0</v>
      </c>
      <c r="AH961" s="580">
        <f t="shared" si="110"/>
        <v>0</v>
      </c>
    </row>
    <row r="962" spans="28:34">
      <c r="AB962" s="580">
        <f>HLOOKUP("*"&amp;'Output annual'!$AC$2&amp;'Output annual'!$AD$2&amp;"*Zone People Number Of Occupants [](Hourly)",'Eplus results'!$1:$1048576,ROW(),FALSE)</f>
        <v>0</v>
      </c>
      <c r="AC962" s="580">
        <f>HLOOKUP("*"&amp;'Output annual'!$AC$2&amp;'Output annual'!$AD$2&amp;"*FangerPMV(Hourly)",'Eplus results'!$1:$1048576,ROW(),FALSE)</f>
        <v>0</v>
      </c>
      <c r="AD962" s="580">
        <f t="shared" si="106"/>
        <v>5</v>
      </c>
      <c r="AE962" s="580">
        <f t="shared" si="107"/>
        <v>2.5</v>
      </c>
      <c r="AF962" s="580">
        <f t="shared" si="108"/>
        <v>2.5</v>
      </c>
      <c r="AG962" s="580">
        <f t="shared" si="109"/>
        <v>0</v>
      </c>
      <c r="AH962" s="580">
        <f t="shared" si="110"/>
        <v>0</v>
      </c>
    </row>
    <row r="963" spans="28:34">
      <c r="AB963" s="580">
        <f>HLOOKUP("*"&amp;'Output annual'!$AC$2&amp;'Output annual'!$AD$2&amp;"*Zone People Number Of Occupants [](Hourly)",'Eplus results'!$1:$1048576,ROW(),FALSE)</f>
        <v>0</v>
      </c>
      <c r="AC963" s="580">
        <f>HLOOKUP("*"&amp;'Output annual'!$AC$2&amp;'Output annual'!$AD$2&amp;"*FangerPMV(Hourly)",'Eplus results'!$1:$1048576,ROW(),FALSE)</f>
        <v>0</v>
      </c>
      <c r="AD963" s="580">
        <f t="shared" ref="AD963:AD1026" si="111">100-95*EXP(-0.03353*AC963^4-0.2179*AC963^2)</f>
        <v>5</v>
      </c>
      <c r="AE963" s="580">
        <f t="shared" ref="AE963:AE1026" si="112">AD963*(1/(1+EXP(-6.3*$AC963)))</f>
        <v>2.5</v>
      </c>
      <c r="AF963" s="580">
        <f t="shared" ref="AF963:AF1026" si="113">(AD963-AE963)</f>
        <v>2.5</v>
      </c>
      <c r="AG963" s="580">
        <f t="shared" ref="AG963:AG1026" si="114">AE963*AB963</f>
        <v>0</v>
      </c>
      <c r="AH963" s="580">
        <f t="shared" ref="AH963:AH1026" si="115">AF963*AB963</f>
        <v>0</v>
      </c>
    </row>
    <row r="964" spans="28:34">
      <c r="AB964" s="580">
        <f>HLOOKUP("*"&amp;'Output annual'!$AC$2&amp;'Output annual'!$AD$2&amp;"*Zone People Number Of Occupants [](Hourly)",'Eplus results'!$1:$1048576,ROW(),FALSE)</f>
        <v>0</v>
      </c>
      <c r="AC964" s="580">
        <f>HLOOKUP("*"&amp;'Output annual'!$AC$2&amp;'Output annual'!$AD$2&amp;"*FangerPMV(Hourly)",'Eplus results'!$1:$1048576,ROW(),FALSE)</f>
        <v>0</v>
      </c>
      <c r="AD964" s="580">
        <f t="shared" si="111"/>
        <v>5</v>
      </c>
      <c r="AE964" s="580">
        <f t="shared" si="112"/>
        <v>2.5</v>
      </c>
      <c r="AF964" s="580">
        <f t="shared" si="113"/>
        <v>2.5</v>
      </c>
      <c r="AG964" s="580">
        <f t="shared" si="114"/>
        <v>0</v>
      </c>
      <c r="AH964" s="580">
        <f t="shared" si="115"/>
        <v>0</v>
      </c>
    </row>
    <row r="965" spans="28:34">
      <c r="AB965" s="580">
        <f>HLOOKUP("*"&amp;'Output annual'!$AC$2&amp;'Output annual'!$AD$2&amp;"*Zone People Number Of Occupants [](Hourly)",'Eplus results'!$1:$1048576,ROW(),FALSE)</f>
        <v>0</v>
      </c>
      <c r="AC965" s="580">
        <f>HLOOKUP("*"&amp;'Output annual'!$AC$2&amp;'Output annual'!$AD$2&amp;"*FangerPMV(Hourly)",'Eplus results'!$1:$1048576,ROW(),FALSE)</f>
        <v>0</v>
      </c>
      <c r="AD965" s="580">
        <f t="shared" si="111"/>
        <v>5</v>
      </c>
      <c r="AE965" s="580">
        <f t="shared" si="112"/>
        <v>2.5</v>
      </c>
      <c r="AF965" s="580">
        <f t="shared" si="113"/>
        <v>2.5</v>
      </c>
      <c r="AG965" s="580">
        <f t="shared" si="114"/>
        <v>0</v>
      </c>
      <c r="AH965" s="580">
        <f t="shared" si="115"/>
        <v>0</v>
      </c>
    </row>
    <row r="966" spans="28:34">
      <c r="AB966" s="580">
        <f>HLOOKUP("*"&amp;'Output annual'!$AC$2&amp;'Output annual'!$AD$2&amp;"*Zone People Number Of Occupants [](Hourly)",'Eplus results'!$1:$1048576,ROW(),FALSE)</f>
        <v>0</v>
      </c>
      <c r="AC966" s="580">
        <f>HLOOKUP("*"&amp;'Output annual'!$AC$2&amp;'Output annual'!$AD$2&amp;"*FangerPMV(Hourly)",'Eplus results'!$1:$1048576,ROW(),FALSE)</f>
        <v>0</v>
      </c>
      <c r="AD966" s="580">
        <f t="shared" si="111"/>
        <v>5</v>
      </c>
      <c r="AE966" s="580">
        <f t="shared" si="112"/>
        <v>2.5</v>
      </c>
      <c r="AF966" s="580">
        <f t="shared" si="113"/>
        <v>2.5</v>
      </c>
      <c r="AG966" s="580">
        <f t="shared" si="114"/>
        <v>0</v>
      </c>
      <c r="AH966" s="580">
        <f t="shared" si="115"/>
        <v>0</v>
      </c>
    </row>
    <row r="967" spans="28:34">
      <c r="AB967" s="580">
        <f>HLOOKUP("*"&amp;'Output annual'!$AC$2&amp;'Output annual'!$AD$2&amp;"*Zone People Number Of Occupants [](Hourly)",'Eplus results'!$1:$1048576,ROW(),FALSE)</f>
        <v>0</v>
      </c>
      <c r="AC967" s="580">
        <f>HLOOKUP("*"&amp;'Output annual'!$AC$2&amp;'Output annual'!$AD$2&amp;"*FangerPMV(Hourly)",'Eplus results'!$1:$1048576,ROW(),FALSE)</f>
        <v>0</v>
      </c>
      <c r="AD967" s="580">
        <f t="shared" si="111"/>
        <v>5</v>
      </c>
      <c r="AE967" s="580">
        <f t="shared" si="112"/>
        <v>2.5</v>
      </c>
      <c r="AF967" s="580">
        <f t="shared" si="113"/>
        <v>2.5</v>
      </c>
      <c r="AG967" s="580">
        <f t="shared" si="114"/>
        <v>0</v>
      </c>
      <c r="AH967" s="580">
        <f t="shared" si="115"/>
        <v>0</v>
      </c>
    </row>
    <row r="968" spans="28:34">
      <c r="AB968" s="580">
        <f>HLOOKUP("*"&amp;'Output annual'!$AC$2&amp;'Output annual'!$AD$2&amp;"*Zone People Number Of Occupants [](Hourly)",'Eplus results'!$1:$1048576,ROW(),FALSE)</f>
        <v>0</v>
      </c>
      <c r="AC968" s="580">
        <f>HLOOKUP("*"&amp;'Output annual'!$AC$2&amp;'Output annual'!$AD$2&amp;"*FangerPMV(Hourly)",'Eplus results'!$1:$1048576,ROW(),FALSE)</f>
        <v>0</v>
      </c>
      <c r="AD968" s="580">
        <f t="shared" si="111"/>
        <v>5</v>
      </c>
      <c r="AE968" s="580">
        <f t="shared" si="112"/>
        <v>2.5</v>
      </c>
      <c r="AF968" s="580">
        <f t="shared" si="113"/>
        <v>2.5</v>
      </c>
      <c r="AG968" s="580">
        <f t="shared" si="114"/>
        <v>0</v>
      </c>
      <c r="AH968" s="580">
        <f t="shared" si="115"/>
        <v>0</v>
      </c>
    </row>
    <row r="969" spans="28:34">
      <c r="AB969" s="580">
        <f>HLOOKUP("*"&amp;'Output annual'!$AC$2&amp;'Output annual'!$AD$2&amp;"*Zone People Number Of Occupants [](Hourly)",'Eplus results'!$1:$1048576,ROW(),FALSE)</f>
        <v>0</v>
      </c>
      <c r="AC969" s="580">
        <f>HLOOKUP("*"&amp;'Output annual'!$AC$2&amp;'Output annual'!$AD$2&amp;"*FangerPMV(Hourly)",'Eplus results'!$1:$1048576,ROW(),FALSE)</f>
        <v>0</v>
      </c>
      <c r="AD969" s="580">
        <f t="shared" si="111"/>
        <v>5</v>
      </c>
      <c r="AE969" s="580">
        <f t="shared" si="112"/>
        <v>2.5</v>
      </c>
      <c r="AF969" s="580">
        <f t="shared" si="113"/>
        <v>2.5</v>
      </c>
      <c r="AG969" s="580">
        <f t="shared" si="114"/>
        <v>0</v>
      </c>
      <c r="AH969" s="580">
        <f t="shared" si="115"/>
        <v>0</v>
      </c>
    </row>
    <row r="970" spans="28:34">
      <c r="AB970" s="580">
        <f>HLOOKUP("*"&amp;'Output annual'!$AC$2&amp;'Output annual'!$AD$2&amp;"*Zone People Number Of Occupants [](Hourly)",'Eplus results'!$1:$1048576,ROW(),FALSE)</f>
        <v>0</v>
      </c>
      <c r="AC970" s="580">
        <f>HLOOKUP("*"&amp;'Output annual'!$AC$2&amp;'Output annual'!$AD$2&amp;"*FangerPMV(Hourly)",'Eplus results'!$1:$1048576,ROW(),FALSE)</f>
        <v>0</v>
      </c>
      <c r="AD970" s="580">
        <f t="shared" si="111"/>
        <v>5</v>
      </c>
      <c r="AE970" s="580">
        <f t="shared" si="112"/>
        <v>2.5</v>
      </c>
      <c r="AF970" s="580">
        <f t="shared" si="113"/>
        <v>2.5</v>
      </c>
      <c r="AG970" s="580">
        <f t="shared" si="114"/>
        <v>0</v>
      </c>
      <c r="AH970" s="580">
        <f t="shared" si="115"/>
        <v>0</v>
      </c>
    </row>
    <row r="971" spans="28:34">
      <c r="AB971" s="580">
        <f>HLOOKUP("*"&amp;'Output annual'!$AC$2&amp;'Output annual'!$AD$2&amp;"*Zone People Number Of Occupants [](Hourly)",'Eplus results'!$1:$1048576,ROW(),FALSE)</f>
        <v>0</v>
      </c>
      <c r="AC971" s="580">
        <f>HLOOKUP("*"&amp;'Output annual'!$AC$2&amp;'Output annual'!$AD$2&amp;"*FangerPMV(Hourly)",'Eplus results'!$1:$1048576,ROW(),FALSE)</f>
        <v>0</v>
      </c>
      <c r="AD971" s="580">
        <f t="shared" si="111"/>
        <v>5</v>
      </c>
      <c r="AE971" s="580">
        <f t="shared" si="112"/>
        <v>2.5</v>
      </c>
      <c r="AF971" s="580">
        <f t="shared" si="113"/>
        <v>2.5</v>
      </c>
      <c r="AG971" s="580">
        <f t="shared" si="114"/>
        <v>0</v>
      </c>
      <c r="AH971" s="580">
        <f t="shared" si="115"/>
        <v>0</v>
      </c>
    </row>
    <row r="972" spans="28:34">
      <c r="AB972" s="580">
        <f>HLOOKUP("*"&amp;'Output annual'!$AC$2&amp;'Output annual'!$AD$2&amp;"*Zone People Number Of Occupants [](Hourly)",'Eplus results'!$1:$1048576,ROW(),FALSE)</f>
        <v>0</v>
      </c>
      <c r="AC972" s="580">
        <f>HLOOKUP("*"&amp;'Output annual'!$AC$2&amp;'Output annual'!$AD$2&amp;"*FangerPMV(Hourly)",'Eplus results'!$1:$1048576,ROW(),FALSE)</f>
        <v>0</v>
      </c>
      <c r="AD972" s="580">
        <f t="shared" si="111"/>
        <v>5</v>
      </c>
      <c r="AE972" s="580">
        <f t="shared" si="112"/>
        <v>2.5</v>
      </c>
      <c r="AF972" s="580">
        <f t="shared" si="113"/>
        <v>2.5</v>
      </c>
      <c r="AG972" s="580">
        <f t="shared" si="114"/>
        <v>0</v>
      </c>
      <c r="AH972" s="580">
        <f t="shared" si="115"/>
        <v>0</v>
      </c>
    </row>
    <row r="973" spans="28:34">
      <c r="AB973" s="580">
        <f>HLOOKUP("*"&amp;'Output annual'!$AC$2&amp;'Output annual'!$AD$2&amp;"*Zone People Number Of Occupants [](Hourly)",'Eplus results'!$1:$1048576,ROW(),FALSE)</f>
        <v>0</v>
      </c>
      <c r="AC973" s="580">
        <f>HLOOKUP("*"&amp;'Output annual'!$AC$2&amp;'Output annual'!$AD$2&amp;"*FangerPMV(Hourly)",'Eplus results'!$1:$1048576,ROW(),FALSE)</f>
        <v>0</v>
      </c>
      <c r="AD973" s="580">
        <f t="shared" si="111"/>
        <v>5</v>
      </c>
      <c r="AE973" s="580">
        <f t="shared" si="112"/>
        <v>2.5</v>
      </c>
      <c r="AF973" s="580">
        <f t="shared" si="113"/>
        <v>2.5</v>
      </c>
      <c r="AG973" s="580">
        <f t="shared" si="114"/>
        <v>0</v>
      </c>
      <c r="AH973" s="580">
        <f t="shared" si="115"/>
        <v>0</v>
      </c>
    </row>
    <row r="974" spans="28:34">
      <c r="AB974" s="580">
        <f>HLOOKUP("*"&amp;'Output annual'!$AC$2&amp;'Output annual'!$AD$2&amp;"*Zone People Number Of Occupants [](Hourly)",'Eplus results'!$1:$1048576,ROW(),FALSE)</f>
        <v>0</v>
      </c>
      <c r="AC974" s="580">
        <f>HLOOKUP("*"&amp;'Output annual'!$AC$2&amp;'Output annual'!$AD$2&amp;"*FangerPMV(Hourly)",'Eplus results'!$1:$1048576,ROW(),FALSE)</f>
        <v>0</v>
      </c>
      <c r="AD974" s="580">
        <f t="shared" si="111"/>
        <v>5</v>
      </c>
      <c r="AE974" s="580">
        <f t="shared" si="112"/>
        <v>2.5</v>
      </c>
      <c r="AF974" s="580">
        <f t="shared" si="113"/>
        <v>2.5</v>
      </c>
      <c r="AG974" s="580">
        <f t="shared" si="114"/>
        <v>0</v>
      </c>
      <c r="AH974" s="580">
        <f t="shared" si="115"/>
        <v>0</v>
      </c>
    </row>
    <row r="975" spans="28:34">
      <c r="AB975" s="580">
        <f>HLOOKUP("*"&amp;'Output annual'!$AC$2&amp;'Output annual'!$AD$2&amp;"*Zone People Number Of Occupants [](Hourly)",'Eplus results'!$1:$1048576,ROW(),FALSE)</f>
        <v>0</v>
      </c>
      <c r="AC975" s="580">
        <f>HLOOKUP("*"&amp;'Output annual'!$AC$2&amp;'Output annual'!$AD$2&amp;"*FangerPMV(Hourly)",'Eplus results'!$1:$1048576,ROW(),FALSE)</f>
        <v>0</v>
      </c>
      <c r="AD975" s="580">
        <f t="shared" si="111"/>
        <v>5</v>
      </c>
      <c r="AE975" s="580">
        <f t="shared" si="112"/>
        <v>2.5</v>
      </c>
      <c r="AF975" s="580">
        <f t="shared" si="113"/>
        <v>2.5</v>
      </c>
      <c r="AG975" s="580">
        <f t="shared" si="114"/>
        <v>0</v>
      </c>
      <c r="AH975" s="580">
        <f t="shared" si="115"/>
        <v>0</v>
      </c>
    </row>
    <row r="976" spans="28:34">
      <c r="AB976" s="580">
        <f>HLOOKUP("*"&amp;'Output annual'!$AC$2&amp;'Output annual'!$AD$2&amp;"*Zone People Number Of Occupants [](Hourly)",'Eplus results'!$1:$1048576,ROW(),FALSE)</f>
        <v>0</v>
      </c>
      <c r="AC976" s="580">
        <f>HLOOKUP("*"&amp;'Output annual'!$AC$2&amp;'Output annual'!$AD$2&amp;"*FangerPMV(Hourly)",'Eplus results'!$1:$1048576,ROW(),FALSE)</f>
        <v>0</v>
      </c>
      <c r="AD976" s="580">
        <f t="shared" si="111"/>
        <v>5</v>
      </c>
      <c r="AE976" s="580">
        <f t="shared" si="112"/>
        <v>2.5</v>
      </c>
      <c r="AF976" s="580">
        <f t="shared" si="113"/>
        <v>2.5</v>
      </c>
      <c r="AG976" s="580">
        <f t="shared" si="114"/>
        <v>0</v>
      </c>
      <c r="AH976" s="580">
        <f t="shared" si="115"/>
        <v>0</v>
      </c>
    </row>
    <row r="977" spans="28:34">
      <c r="AB977" s="580">
        <f>HLOOKUP("*"&amp;'Output annual'!$AC$2&amp;'Output annual'!$AD$2&amp;"*Zone People Number Of Occupants [](Hourly)",'Eplus results'!$1:$1048576,ROW(),FALSE)</f>
        <v>0</v>
      </c>
      <c r="AC977" s="580">
        <f>HLOOKUP("*"&amp;'Output annual'!$AC$2&amp;'Output annual'!$AD$2&amp;"*FangerPMV(Hourly)",'Eplus results'!$1:$1048576,ROW(),FALSE)</f>
        <v>0</v>
      </c>
      <c r="AD977" s="580">
        <f t="shared" si="111"/>
        <v>5</v>
      </c>
      <c r="AE977" s="580">
        <f t="shared" si="112"/>
        <v>2.5</v>
      </c>
      <c r="AF977" s="580">
        <f t="shared" si="113"/>
        <v>2.5</v>
      </c>
      <c r="AG977" s="580">
        <f t="shared" si="114"/>
        <v>0</v>
      </c>
      <c r="AH977" s="580">
        <f t="shared" si="115"/>
        <v>0</v>
      </c>
    </row>
    <row r="978" spans="28:34">
      <c r="AB978" s="580">
        <f>HLOOKUP("*"&amp;'Output annual'!$AC$2&amp;'Output annual'!$AD$2&amp;"*Zone People Number Of Occupants [](Hourly)",'Eplus results'!$1:$1048576,ROW(),FALSE)</f>
        <v>0</v>
      </c>
      <c r="AC978" s="580">
        <f>HLOOKUP("*"&amp;'Output annual'!$AC$2&amp;'Output annual'!$AD$2&amp;"*FangerPMV(Hourly)",'Eplus results'!$1:$1048576,ROW(),FALSE)</f>
        <v>0</v>
      </c>
      <c r="AD978" s="580">
        <f t="shared" si="111"/>
        <v>5</v>
      </c>
      <c r="AE978" s="580">
        <f t="shared" si="112"/>
        <v>2.5</v>
      </c>
      <c r="AF978" s="580">
        <f t="shared" si="113"/>
        <v>2.5</v>
      </c>
      <c r="AG978" s="580">
        <f t="shared" si="114"/>
        <v>0</v>
      </c>
      <c r="AH978" s="580">
        <f t="shared" si="115"/>
        <v>0</v>
      </c>
    </row>
    <row r="979" spans="28:34">
      <c r="AB979" s="580">
        <f>HLOOKUP("*"&amp;'Output annual'!$AC$2&amp;'Output annual'!$AD$2&amp;"*Zone People Number Of Occupants [](Hourly)",'Eplus results'!$1:$1048576,ROW(),FALSE)</f>
        <v>0</v>
      </c>
      <c r="AC979" s="580">
        <f>HLOOKUP("*"&amp;'Output annual'!$AC$2&amp;'Output annual'!$AD$2&amp;"*FangerPMV(Hourly)",'Eplus results'!$1:$1048576,ROW(),FALSE)</f>
        <v>0</v>
      </c>
      <c r="AD979" s="580">
        <f t="shared" si="111"/>
        <v>5</v>
      </c>
      <c r="AE979" s="580">
        <f t="shared" si="112"/>
        <v>2.5</v>
      </c>
      <c r="AF979" s="580">
        <f t="shared" si="113"/>
        <v>2.5</v>
      </c>
      <c r="AG979" s="580">
        <f t="shared" si="114"/>
        <v>0</v>
      </c>
      <c r="AH979" s="580">
        <f t="shared" si="115"/>
        <v>0</v>
      </c>
    </row>
    <row r="980" spans="28:34">
      <c r="AB980" s="580">
        <f>HLOOKUP("*"&amp;'Output annual'!$AC$2&amp;'Output annual'!$AD$2&amp;"*Zone People Number Of Occupants [](Hourly)",'Eplus results'!$1:$1048576,ROW(),FALSE)</f>
        <v>0</v>
      </c>
      <c r="AC980" s="580">
        <f>HLOOKUP("*"&amp;'Output annual'!$AC$2&amp;'Output annual'!$AD$2&amp;"*FangerPMV(Hourly)",'Eplus results'!$1:$1048576,ROW(),FALSE)</f>
        <v>0</v>
      </c>
      <c r="AD980" s="580">
        <f t="shared" si="111"/>
        <v>5</v>
      </c>
      <c r="AE980" s="580">
        <f t="shared" si="112"/>
        <v>2.5</v>
      </c>
      <c r="AF980" s="580">
        <f t="shared" si="113"/>
        <v>2.5</v>
      </c>
      <c r="AG980" s="580">
        <f t="shared" si="114"/>
        <v>0</v>
      </c>
      <c r="AH980" s="580">
        <f t="shared" si="115"/>
        <v>0</v>
      </c>
    </row>
    <row r="981" spans="28:34">
      <c r="AB981" s="580">
        <f>HLOOKUP("*"&amp;'Output annual'!$AC$2&amp;'Output annual'!$AD$2&amp;"*Zone People Number Of Occupants [](Hourly)",'Eplus results'!$1:$1048576,ROW(),FALSE)</f>
        <v>0</v>
      </c>
      <c r="AC981" s="580">
        <f>HLOOKUP("*"&amp;'Output annual'!$AC$2&amp;'Output annual'!$AD$2&amp;"*FangerPMV(Hourly)",'Eplus results'!$1:$1048576,ROW(),FALSE)</f>
        <v>0</v>
      </c>
      <c r="AD981" s="580">
        <f t="shared" si="111"/>
        <v>5</v>
      </c>
      <c r="AE981" s="580">
        <f t="shared" si="112"/>
        <v>2.5</v>
      </c>
      <c r="AF981" s="580">
        <f t="shared" si="113"/>
        <v>2.5</v>
      </c>
      <c r="AG981" s="580">
        <f t="shared" si="114"/>
        <v>0</v>
      </c>
      <c r="AH981" s="580">
        <f t="shared" si="115"/>
        <v>0</v>
      </c>
    </row>
    <row r="982" spans="28:34">
      <c r="AB982" s="580">
        <f>HLOOKUP("*"&amp;'Output annual'!$AC$2&amp;'Output annual'!$AD$2&amp;"*Zone People Number Of Occupants [](Hourly)",'Eplus results'!$1:$1048576,ROW(),FALSE)</f>
        <v>0</v>
      </c>
      <c r="AC982" s="580">
        <f>HLOOKUP("*"&amp;'Output annual'!$AC$2&amp;'Output annual'!$AD$2&amp;"*FangerPMV(Hourly)",'Eplus results'!$1:$1048576,ROW(),FALSE)</f>
        <v>0</v>
      </c>
      <c r="AD982" s="580">
        <f t="shared" si="111"/>
        <v>5</v>
      </c>
      <c r="AE982" s="580">
        <f t="shared" si="112"/>
        <v>2.5</v>
      </c>
      <c r="AF982" s="580">
        <f t="shared" si="113"/>
        <v>2.5</v>
      </c>
      <c r="AG982" s="580">
        <f t="shared" si="114"/>
        <v>0</v>
      </c>
      <c r="AH982" s="580">
        <f t="shared" si="115"/>
        <v>0</v>
      </c>
    </row>
    <row r="983" spans="28:34">
      <c r="AB983" s="580">
        <f>HLOOKUP("*"&amp;'Output annual'!$AC$2&amp;'Output annual'!$AD$2&amp;"*Zone People Number Of Occupants [](Hourly)",'Eplus results'!$1:$1048576,ROW(),FALSE)</f>
        <v>0</v>
      </c>
      <c r="AC983" s="580">
        <f>HLOOKUP("*"&amp;'Output annual'!$AC$2&amp;'Output annual'!$AD$2&amp;"*FangerPMV(Hourly)",'Eplus results'!$1:$1048576,ROW(),FALSE)</f>
        <v>0</v>
      </c>
      <c r="AD983" s="580">
        <f t="shared" si="111"/>
        <v>5</v>
      </c>
      <c r="AE983" s="580">
        <f t="shared" si="112"/>
        <v>2.5</v>
      </c>
      <c r="AF983" s="580">
        <f t="shared" si="113"/>
        <v>2.5</v>
      </c>
      <c r="AG983" s="580">
        <f t="shared" si="114"/>
        <v>0</v>
      </c>
      <c r="AH983" s="580">
        <f t="shared" si="115"/>
        <v>0</v>
      </c>
    </row>
    <row r="984" spans="28:34">
      <c r="AB984" s="580">
        <f>HLOOKUP("*"&amp;'Output annual'!$AC$2&amp;'Output annual'!$AD$2&amp;"*Zone People Number Of Occupants [](Hourly)",'Eplus results'!$1:$1048576,ROW(),FALSE)</f>
        <v>0</v>
      </c>
      <c r="AC984" s="580">
        <f>HLOOKUP("*"&amp;'Output annual'!$AC$2&amp;'Output annual'!$AD$2&amp;"*FangerPMV(Hourly)",'Eplus results'!$1:$1048576,ROW(),FALSE)</f>
        <v>0</v>
      </c>
      <c r="AD984" s="580">
        <f t="shared" si="111"/>
        <v>5</v>
      </c>
      <c r="AE984" s="580">
        <f t="shared" si="112"/>
        <v>2.5</v>
      </c>
      <c r="AF984" s="580">
        <f t="shared" si="113"/>
        <v>2.5</v>
      </c>
      <c r="AG984" s="580">
        <f t="shared" si="114"/>
        <v>0</v>
      </c>
      <c r="AH984" s="580">
        <f t="shared" si="115"/>
        <v>0</v>
      </c>
    </row>
    <row r="985" spans="28:34">
      <c r="AB985" s="580">
        <f>HLOOKUP("*"&amp;'Output annual'!$AC$2&amp;'Output annual'!$AD$2&amp;"*Zone People Number Of Occupants [](Hourly)",'Eplus results'!$1:$1048576,ROW(),FALSE)</f>
        <v>0</v>
      </c>
      <c r="AC985" s="580">
        <f>HLOOKUP("*"&amp;'Output annual'!$AC$2&amp;'Output annual'!$AD$2&amp;"*FangerPMV(Hourly)",'Eplus results'!$1:$1048576,ROW(),FALSE)</f>
        <v>0</v>
      </c>
      <c r="AD985" s="580">
        <f t="shared" si="111"/>
        <v>5</v>
      </c>
      <c r="AE985" s="580">
        <f t="shared" si="112"/>
        <v>2.5</v>
      </c>
      <c r="AF985" s="580">
        <f t="shared" si="113"/>
        <v>2.5</v>
      </c>
      <c r="AG985" s="580">
        <f t="shared" si="114"/>
        <v>0</v>
      </c>
      <c r="AH985" s="580">
        <f t="shared" si="115"/>
        <v>0</v>
      </c>
    </row>
    <row r="986" spans="28:34">
      <c r="AB986" s="580">
        <f>HLOOKUP("*"&amp;'Output annual'!$AC$2&amp;'Output annual'!$AD$2&amp;"*Zone People Number Of Occupants [](Hourly)",'Eplus results'!$1:$1048576,ROW(),FALSE)</f>
        <v>0</v>
      </c>
      <c r="AC986" s="580">
        <f>HLOOKUP("*"&amp;'Output annual'!$AC$2&amp;'Output annual'!$AD$2&amp;"*FangerPMV(Hourly)",'Eplus results'!$1:$1048576,ROW(),FALSE)</f>
        <v>0</v>
      </c>
      <c r="AD986" s="580">
        <f t="shared" si="111"/>
        <v>5</v>
      </c>
      <c r="AE986" s="580">
        <f t="shared" si="112"/>
        <v>2.5</v>
      </c>
      <c r="AF986" s="580">
        <f t="shared" si="113"/>
        <v>2.5</v>
      </c>
      <c r="AG986" s="580">
        <f t="shared" si="114"/>
        <v>0</v>
      </c>
      <c r="AH986" s="580">
        <f t="shared" si="115"/>
        <v>0</v>
      </c>
    </row>
    <row r="987" spans="28:34">
      <c r="AB987" s="580">
        <f>HLOOKUP("*"&amp;'Output annual'!$AC$2&amp;'Output annual'!$AD$2&amp;"*Zone People Number Of Occupants [](Hourly)",'Eplus results'!$1:$1048576,ROW(),FALSE)</f>
        <v>0</v>
      </c>
      <c r="AC987" s="580">
        <f>HLOOKUP("*"&amp;'Output annual'!$AC$2&amp;'Output annual'!$AD$2&amp;"*FangerPMV(Hourly)",'Eplus results'!$1:$1048576,ROW(),FALSE)</f>
        <v>0</v>
      </c>
      <c r="AD987" s="580">
        <f t="shared" si="111"/>
        <v>5</v>
      </c>
      <c r="AE987" s="580">
        <f t="shared" si="112"/>
        <v>2.5</v>
      </c>
      <c r="AF987" s="580">
        <f t="shared" si="113"/>
        <v>2.5</v>
      </c>
      <c r="AG987" s="580">
        <f t="shared" si="114"/>
        <v>0</v>
      </c>
      <c r="AH987" s="580">
        <f t="shared" si="115"/>
        <v>0</v>
      </c>
    </row>
    <row r="988" spans="28:34">
      <c r="AB988" s="580">
        <f>HLOOKUP("*"&amp;'Output annual'!$AC$2&amp;'Output annual'!$AD$2&amp;"*Zone People Number Of Occupants [](Hourly)",'Eplus results'!$1:$1048576,ROW(),FALSE)</f>
        <v>0</v>
      </c>
      <c r="AC988" s="580">
        <f>HLOOKUP("*"&amp;'Output annual'!$AC$2&amp;'Output annual'!$AD$2&amp;"*FangerPMV(Hourly)",'Eplus results'!$1:$1048576,ROW(),FALSE)</f>
        <v>0</v>
      </c>
      <c r="AD988" s="580">
        <f t="shared" si="111"/>
        <v>5</v>
      </c>
      <c r="AE988" s="580">
        <f t="shared" si="112"/>
        <v>2.5</v>
      </c>
      <c r="AF988" s="580">
        <f t="shared" si="113"/>
        <v>2.5</v>
      </c>
      <c r="AG988" s="580">
        <f t="shared" si="114"/>
        <v>0</v>
      </c>
      <c r="AH988" s="580">
        <f t="shared" si="115"/>
        <v>0</v>
      </c>
    </row>
    <row r="989" spans="28:34">
      <c r="AB989" s="580">
        <f>HLOOKUP("*"&amp;'Output annual'!$AC$2&amp;'Output annual'!$AD$2&amp;"*Zone People Number Of Occupants [](Hourly)",'Eplus results'!$1:$1048576,ROW(),FALSE)</f>
        <v>0</v>
      </c>
      <c r="AC989" s="580">
        <f>HLOOKUP("*"&amp;'Output annual'!$AC$2&amp;'Output annual'!$AD$2&amp;"*FangerPMV(Hourly)",'Eplus results'!$1:$1048576,ROW(),FALSE)</f>
        <v>0</v>
      </c>
      <c r="AD989" s="580">
        <f t="shared" si="111"/>
        <v>5</v>
      </c>
      <c r="AE989" s="580">
        <f t="shared" si="112"/>
        <v>2.5</v>
      </c>
      <c r="AF989" s="580">
        <f t="shared" si="113"/>
        <v>2.5</v>
      </c>
      <c r="AG989" s="580">
        <f t="shared" si="114"/>
        <v>0</v>
      </c>
      <c r="AH989" s="580">
        <f t="shared" si="115"/>
        <v>0</v>
      </c>
    </row>
    <row r="990" spans="28:34">
      <c r="AB990" s="580">
        <f>HLOOKUP("*"&amp;'Output annual'!$AC$2&amp;'Output annual'!$AD$2&amp;"*Zone People Number Of Occupants [](Hourly)",'Eplus results'!$1:$1048576,ROW(),FALSE)</f>
        <v>0</v>
      </c>
      <c r="AC990" s="580">
        <f>HLOOKUP("*"&amp;'Output annual'!$AC$2&amp;'Output annual'!$AD$2&amp;"*FangerPMV(Hourly)",'Eplus results'!$1:$1048576,ROW(),FALSE)</f>
        <v>0</v>
      </c>
      <c r="AD990" s="580">
        <f t="shared" si="111"/>
        <v>5</v>
      </c>
      <c r="AE990" s="580">
        <f t="shared" si="112"/>
        <v>2.5</v>
      </c>
      <c r="AF990" s="580">
        <f t="shared" si="113"/>
        <v>2.5</v>
      </c>
      <c r="AG990" s="580">
        <f t="shared" si="114"/>
        <v>0</v>
      </c>
      <c r="AH990" s="580">
        <f t="shared" si="115"/>
        <v>0</v>
      </c>
    </row>
    <row r="991" spans="28:34">
      <c r="AB991" s="580">
        <f>HLOOKUP("*"&amp;'Output annual'!$AC$2&amp;'Output annual'!$AD$2&amp;"*Zone People Number Of Occupants [](Hourly)",'Eplus results'!$1:$1048576,ROW(),FALSE)</f>
        <v>0</v>
      </c>
      <c r="AC991" s="580">
        <f>HLOOKUP("*"&amp;'Output annual'!$AC$2&amp;'Output annual'!$AD$2&amp;"*FangerPMV(Hourly)",'Eplus results'!$1:$1048576,ROW(),FALSE)</f>
        <v>0</v>
      </c>
      <c r="AD991" s="580">
        <f t="shared" si="111"/>
        <v>5</v>
      </c>
      <c r="AE991" s="580">
        <f t="shared" si="112"/>
        <v>2.5</v>
      </c>
      <c r="AF991" s="580">
        <f t="shared" si="113"/>
        <v>2.5</v>
      </c>
      <c r="AG991" s="580">
        <f t="shared" si="114"/>
        <v>0</v>
      </c>
      <c r="AH991" s="580">
        <f t="shared" si="115"/>
        <v>0</v>
      </c>
    </row>
    <row r="992" spans="28:34">
      <c r="AB992" s="580">
        <f>HLOOKUP("*"&amp;'Output annual'!$AC$2&amp;'Output annual'!$AD$2&amp;"*Zone People Number Of Occupants [](Hourly)",'Eplus results'!$1:$1048576,ROW(),FALSE)</f>
        <v>0</v>
      </c>
      <c r="AC992" s="580">
        <f>HLOOKUP("*"&amp;'Output annual'!$AC$2&amp;'Output annual'!$AD$2&amp;"*FangerPMV(Hourly)",'Eplus results'!$1:$1048576,ROW(),FALSE)</f>
        <v>0</v>
      </c>
      <c r="AD992" s="580">
        <f t="shared" si="111"/>
        <v>5</v>
      </c>
      <c r="AE992" s="580">
        <f t="shared" si="112"/>
        <v>2.5</v>
      </c>
      <c r="AF992" s="580">
        <f t="shared" si="113"/>
        <v>2.5</v>
      </c>
      <c r="AG992" s="580">
        <f t="shared" si="114"/>
        <v>0</v>
      </c>
      <c r="AH992" s="580">
        <f t="shared" si="115"/>
        <v>0</v>
      </c>
    </row>
    <row r="993" spans="28:34">
      <c r="AB993" s="580">
        <f>HLOOKUP("*"&amp;'Output annual'!$AC$2&amp;'Output annual'!$AD$2&amp;"*Zone People Number Of Occupants [](Hourly)",'Eplus results'!$1:$1048576,ROW(),FALSE)</f>
        <v>0</v>
      </c>
      <c r="AC993" s="580">
        <f>HLOOKUP("*"&amp;'Output annual'!$AC$2&amp;'Output annual'!$AD$2&amp;"*FangerPMV(Hourly)",'Eplus results'!$1:$1048576,ROW(),FALSE)</f>
        <v>0</v>
      </c>
      <c r="AD993" s="580">
        <f t="shared" si="111"/>
        <v>5</v>
      </c>
      <c r="AE993" s="580">
        <f t="shared" si="112"/>
        <v>2.5</v>
      </c>
      <c r="AF993" s="580">
        <f t="shared" si="113"/>
        <v>2.5</v>
      </c>
      <c r="AG993" s="580">
        <f t="shared" si="114"/>
        <v>0</v>
      </c>
      <c r="AH993" s="580">
        <f t="shared" si="115"/>
        <v>0</v>
      </c>
    </row>
    <row r="994" spans="28:34">
      <c r="AB994" s="580">
        <f>HLOOKUP("*"&amp;'Output annual'!$AC$2&amp;'Output annual'!$AD$2&amp;"*Zone People Number Of Occupants [](Hourly)",'Eplus results'!$1:$1048576,ROW(),FALSE)</f>
        <v>0</v>
      </c>
      <c r="AC994" s="580">
        <f>HLOOKUP("*"&amp;'Output annual'!$AC$2&amp;'Output annual'!$AD$2&amp;"*FangerPMV(Hourly)",'Eplus results'!$1:$1048576,ROW(),FALSE)</f>
        <v>0</v>
      </c>
      <c r="AD994" s="580">
        <f t="shared" si="111"/>
        <v>5</v>
      </c>
      <c r="AE994" s="580">
        <f t="shared" si="112"/>
        <v>2.5</v>
      </c>
      <c r="AF994" s="580">
        <f t="shared" si="113"/>
        <v>2.5</v>
      </c>
      <c r="AG994" s="580">
        <f t="shared" si="114"/>
        <v>0</v>
      </c>
      <c r="AH994" s="580">
        <f t="shared" si="115"/>
        <v>0</v>
      </c>
    </row>
    <row r="995" spans="28:34">
      <c r="AB995" s="580">
        <f>HLOOKUP("*"&amp;'Output annual'!$AC$2&amp;'Output annual'!$AD$2&amp;"*Zone People Number Of Occupants [](Hourly)",'Eplus results'!$1:$1048576,ROW(),FALSE)</f>
        <v>0</v>
      </c>
      <c r="AC995" s="580">
        <f>HLOOKUP("*"&amp;'Output annual'!$AC$2&amp;'Output annual'!$AD$2&amp;"*FangerPMV(Hourly)",'Eplus results'!$1:$1048576,ROW(),FALSE)</f>
        <v>0</v>
      </c>
      <c r="AD995" s="580">
        <f t="shared" si="111"/>
        <v>5</v>
      </c>
      <c r="AE995" s="580">
        <f t="shared" si="112"/>
        <v>2.5</v>
      </c>
      <c r="AF995" s="580">
        <f t="shared" si="113"/>
        <v>2.5</v>
      </c>
      <c r="AG995" s="580">
        <f t="shared" si="114"/>
        <v>0</v>
      </c>
      <c r="AH995" s="580">
        <f t="shared" si="115"/>
        <v>0</v>
      </c>
    </row>
    <row r="996" spans="28:34">
      <c r="AB996" s="580">
        <f>HLOOKUP("*"&amp;'Output annual'!$AC$2&amp;'Output annual'!$AD$2&amp;"*Zone People Number Of Occupants [](Hourly)",'Eplus results'!$1:$1048576,ROW(),FALSE)</f>
        <v>0</v>
      </c>
      <c r="AC996" s="580">
        <f>HLOOKUP("*"&amp;'Output annual'!$AC$2&amp;'Output annual'!$AD$2&amp;"*FangerPMV(Hourly)",'Eplus results'!$1:$1048576,ROW(),FALSE)</f>
        <v>0</v>
      </c>
      <c r="AD996" s="580">
        <f t="shared" si="111"/>
        <v>5</v>
      </c>
      <c r="AE996" s="580">
        <f t="shared" si="112"/>
        <v>2.5</v>
      </c>
      <c r="AF996" s="580">
        <f t="shared" si="113"/>
        <v>2.5</v>
      </c>
      <c r="AG996" s="580">
        <f t="shared" si="114"/>
        <v>0</v>
      </c>
      <c r="AH996" s="580">
        <f t="shared" si="115"/>
        <v>0</v>
      </c>
    </row>
    <row r="997" spans="28:34">
      <c r="AB997" s="580">
        <f>HLOOKUP("*"&amp;'Output annual'!$AC$2&amp;'Output annual'!$AD$2&amp;"*Zone People Number Of Occupants [](Hourly)",'Eplus results'!$1:$1048576,ROW(),FALSE)</f>
        <v>0</v>
      </c>
      <c r="AC997" s="580">
        <f>HLOOKUP("*"&amp;'Output annual'!$AC$2&amp;'Output annual'!$AD$2&amp;"*FangerPMV(Hourly)",'Eplus results'!$1:$1048576,ROW(),FALSE)</f>
        <v>0</v>
      </c>
      <c r="AD997" s="580">
        <f t="shared" si="111"/>
        <v>5</v>
      </c>
      <c r="AE997" s="580">
        <f t="shared" si="112"/>
        <v>2.5</v>
      </c>
      <c r="AF997" s="580">
        <f t="shared" si="113"/>
        <v>2.5</v>
      </c>
      <c r="AG997" s="580">
        <f t="shared" si="114"/>
        <v>0</v>
      </c>
      <c r="AH997" s="580">
        <f t="shared" si="115"/>
        <v>0</v>
      </c>
    </row>
    <row r="998" spans="28:34">
      <c r="AB998" s="580">
        <f>HLOOKUP("*"&amp;'Output annual'!$AC$2&amp;'Output annual'!$AD$2&amp;"*Zone People Number Of Occupants [](Hourly)",'Eplus results'!$1:$1048576,ROW(),FALSE)</f>
        <v>0</v>
      </c>
      <c r="AC998" s="580">
        <f>HLOOKUP("*"&amp;'Output annual'!$AC$2&amp;'Output annual'!$AD$2&amp;"*FangerPMV(Hourly)",'Eplus results'!$1:$1048576,ROW(),FALSE)</f>
        <v>0</v>
      </c>
      <c r="AD998" s="580">
        <f t="shared" si="111"/>
        <v>5</v>
      </c>
      <c r="AE998" s="580">
        <f t="shared" si="112"/>
        <v>2.5</v>
      </c>
      <c r="AF998" s="580">
        <f t="shared" si="113"/>
        <v>2.5</v>
      </c>
      <c r="AG998" s="580">
        <f t="shared" si="114"/>
        <v>0</v>
      </c>
      <c r="AH998" s="580">
        <f t="shared" si="115"/>
        <v>0</v>
      </c>
    </row>
    <row r="999" spans="28:34">
      <c r="AB999" s="580">
        <f>HLOOKUP("*"&amp;'Output annual'!$AC$2&amp;'Output annual'!$AD$2&amp;"*Zone People Number Of Occupants [](Hourly)",'Eplus results'!$1:$1048576,ROW(),FALSE)</f>
        <v>0</v>
      </c>
      <c r="AC999" s="580">
        <f>HLOOKUP("*"&amp;'Output annual'!$AC$2&amp;'Output annual'!$AD$2&amp;"*FangerPMV(Hourly)",'Eplus results'!$1:$1048576,ROW(),FALSE)</f>
        <v>0</v>
      </c>
      <c r="AD999" s="580">
        <f t="shared" si="111"/>
        <v>5</v>
      </c>
      <c r="AE999" s="580">
        <f t="shared" si="112"/>
        <v>2.5</v>
      </c>
      <c r="AF999" s="580">
        <f t="shared" si="113"/>
        <v>2.5</v>
      </c>
      <c r="AG999" s="580">
        <f t="shared" si="114"/>
        <v>0</v>
      </c>
      <c r="AH999" s="580">
        <f t="shared" si="115"/>
        <v>0</v>
      </c>
    </row>
    <row r="1000" spans="28:34">
      <c r="AB1000" s="580">
        <f>HLOOKUP("*"&amp;'Output annual'!$AC$2&amp;'Output annual'!$AD$2&amp;"*Zone People Number Of Occupants [](Hourly)",'Eplus results'!$1:$1048576,ROW(),FALSE)</f>
        <v>0</v>
      </c>
      <c r="AC1000" s="580">
        <f>HLOOKUP("*"&amp;'Output annual'!$AC$2&amp;'Output annual'!$AD$2&amp;"*FangerPMV(Hourly)",'Eplus results'!$1:$1048576,ROW(),FALSE)</f>
        <v>0</v>
      </c>
      <c r="AD1000" s="580">
        <f t="shared" si="111"/>
        <v>5</v>
      </c>
      <c r="AE1000" s="580">
        <f t="shared" si="112"/>
        <v>2.5</v>
      </c>
      <c r="AF1000" s="580">
        <f t="shared" si="113"/>
        <v>2.5</v>
      </c>
      <c r="AG1000" s="580">
        <f t="shared" si="114"/>
        <v>0</v>
      </c>
      <c r="AH1000" s="580">
        <f t="shared" si="115"/>
        <v>0</v>
      </c>
    </row>
    <row r="1001" spans="28:34">
      <c r="AB1001" s="580">
        <f>HLOOKUP("*"&amp;'Output annual'!$AC$2&amp;'Output annual'!$AD$2&amp;"*Zone People Number Of Occupants [](Hourly)",'Eplus results'!$1:$1048576,ROW(),FALSE)</f>
        <v>0</v>
      </c>
      <c r="AC1001" s="580">
        <f>HLOOKUP("*"&amp;'Output annual'!$AC$2&amp;'Output annual'!$AD$2&amp;"*FangerPMV(Hourly)",'Eplus results'!$1:$1048576,ROW(),FALSE)</f>
        <v>0</v>
      </c>
      <c r="AD1001" s="580">
        <f t="shared" si="111"/>
        <v>5</v>
      </c>
      <c r="AE1001" s="580">
        <f t="shared" si="112"/>
        <v>2.5</v>
      </c>
      <c r="AF1001" s="580">
        <f t="shared" si="113"/>
        <v>2.5</v>
      </c>
      <c r="AG1001" s="580">
        <f t="shared" si="114"/>
        <v>0</v>
      </c>
      <c r="AH1001" s="580">
        <f t="shared" si="115"/>
        <v>0</v>
      </c>
    </row>
    <row r="1002" spans="28:34">
      <c r="AB1002" s="580">
        <f>HLOOKUP("*"&amp;'Output annual'!$AC$2&amp;'Output annual'!$AD$2&amp;"*Zone People Number Of Occupants [](Hourly)",'Eplus results'!$1:$1048576,ROW(),FALSE)</f>
        <v>0</v>
      </c>
      <c r="AC1002" s="580">
        <f>HLOOKUP("*"&amp;'Output annual'!$AC$2&amp;'Output annual'!$AD$2&amp;"*FangerPMV(Hourly)",'Eplus results'!$1:$1048576,ROW(),FALSE)</f>
        <v>0</v>
      </c>
      <c r="AD1002" s="580">
        <f t="shared" si="111"/>
        <v>5</v>
      </c>
      <c r="AE1002" s="580">
        <f t="shared" si="112"/>
        <v>2.5</v>
      </c>
      <c r="AF1002" s="580">
        <f t="shared" si="113"/>
        <v>2.5</v>
      </c>
      <c r="AG1002" s="580">
        <f t="shared" si="114"/>
        <v>0</v>
      </c>
      <c r="AH1002" s="580">
        <f t="shared" si="115"/>
        <v>0</v>
      </c>
    </row>
    <row r="1003" spans="28:34">
      <c r="AB1003" s="580">
        <f>HLOOKUP("*"&amp;'Output annual'!$AC$2&amp;'Output annual'!$AD$2&amp;"*Zone People Number Of Occupants [](Hourly)",'Eplus results'!$1:$1048576,ROW(),FALSE)</f>
        <v>0</v>
      </c>
      <c r="AC1003" s="580">
        <f>HLOOKUP("*"&amp;'Output annual'!$AC$2&amp;'Output annual'!$AD$2&amp;"*FangerPMV(Hourly)",'Eplus results'!$1:$1048576,ROW(),FALSE)</f>
        <v>0</v>
      </c>
      <c r="AD1003" s="580">
        <f t="shared" si="111"/>
        <v>5</v>
      </c>
      <c r="AE1003" s="580">
        <f t="shared" si="112"/>
        <v>2.5</v>
      </c>
      <c r="AF1003" s="580">
        <f t="shared" si="113"/>
        <v>2.5</v>
      </c>
      <c r="AG1003" s="580">
        <f t="shared" si="114"/>
        <v>0</v>
      </c>
      <c r="AH1003" s="580">
        <f t="shared" si="115"/>
        <v>0</v>
      </c>
    </row>
    <row r="1004" spans="28:34">
      <c r="AB1004" s="580">
        <f>HLOOKUP("*"&amp;'Output annual'!$AC$2&amp;'Output annual'!$AD$2&amp;"*Zone People Number Of Occupants [](Hourly)",'Eplus results'!$1:$1048576,ROW(),FALSE)</f>
        <v>0</v>
      </c>
      <c r="AC1004" s="580">
        <f>HLOOKUP("*"&amp;'Output annual'!$AC$2&amp;'Output annual'!$AD$2&amp;"*FangerPMV(Hourly)",'Eplus results'!$1:$1048576,ROW(),FALSE)</f>
        <v>0</v>
      </c>
      <c r="AD1004" s="580">
        <f t="shared" si="111"/>
        <v>5</v>
      </c>
      <c r="AE1004" s="580">
        <f t="shared" si="112"/>
        <v>2.5</v>
      </c>
      <c r="AF1004" s="580">
        <f t="shared" si="113"/>
        <v>2.5</v>
      </c>
      <c r="AG1004" s="580">
        <f t="shared" si="114"/>
        <v>0</v>
      </c>
      <c r="AH1004" s="580">
        <f t="shared" si="115"/>
        <v>0</v>
      </c>
    </row>
    <row r="1005" spans="28:34">
      <c r="AB1005" s="580">
        <f>HLOOKUP("*"&amp;'Output annual'!$AC$2&amp;'Output annual'!$AD$2&amp;"*Zone People Number Of Occupants [](Hourly)",'Eplus results'!$1:$1048576,ROW(),FALSE)</f>
        <v>0</v>
      </c>
      <c r="AC1005" s="580">
        <f>HLOOKUP("*"&amp;'Output annual'!$AC$2&amp;'Output annual'!$AD$2&amp;"*FangerPMV(Hourly)",'Eplus results'!$1:$1048576,ROW(),FALSE)</f>
        <v>0</v>
      </c>
      <c r="AD1005" s="580">
        <f t="shared" si="111"/>
        <v>5</v>
      </c>
      <c r="AE1005" s="580">
        <f t="shared" si="112"/>
        <v>2.5</v>
      </c>
      <c r="AF1005" s="580">
        <f t="shared" si="113"/>
        <v>2.5</v>
      </c>
      <c r="AG1005" s="580">
        <f t="shared" si="114"/>
        <v>0</v>
      </c>
      <c r="AH1005" s="580">
        <f t="shared" si="115"/>
        <v>0</v>
      </c>
    </row>
    <row r="1006" spans="28:34">
      <c r="AB1006" s="580">
        <f>HLOOKUP("*"&amp;'Output annual'!$AC$2&amp;'Output annual'!$AD$2&amp;"*Zone People Number Of Occupants [](Hourly)",'Eplus results'!$1:$1048576,ROW(),FALSE)</f>
        <v>0</v>
      </c>
      <c r="AC1006" s="580">
        <f>HLOOKUP("*"&amp;'Output annual'!$AC$2&amp;'Output annual'!$AD$2&amp;"*FangerPMV(Hourly)",'Eplus results'!$1:$1048576,ROW(),FALSE)</f>
        <v>0</v>
      </c>
      <c r="AD1006" s="580">
        <f t="shared" si="111"/>
        <v>5</v>
      </c>
      <c r="AE1006" s="580">
        <f t="shared" si="112"/>
        <v>2.5</v>
      </c>
      <c r="AF1006" s="580">
        <f t="shared" si="113"/>
        <v>2.5</v>
      </c>
      <c r="AG1006" s="580">
        <f t="shared" si="114"/>
        <v>0</v>
      </c>
      <c r="AH1006" s="580">
        <f t="shared" si="115"/>
        <v>0</v>
      </c>
    </row>
    <row r="1007" spans="28:34">
      <c r="AB1007" s="580">
        <f>HLOOKUP("*"&amp;'Output annual'!$AC$2&amp;'Output annual'!$AD$2&amp;"*Zone People Number Of Occupants [](Hourly)",'Eplus results'!$1:$1048576,ROW(),FALSE)</f>
        <v>0</v>
      </c>
      <c r="AC1007" s="580">
        <f>HLOOKUP("*"&amp;'Output annual'!$AC$2&amp;'Output annual'!$AD$2&amp;"*FangerPMV(Hourly)",'Eplus results'!$1:$1048576,ROW(),FALSE)</f>
        <v>0</v>
      </c>
      <c r="AD1007" s="580">
        <f t="shared" si="111"/>
        <v>5</v>
      </c>
      <c r="AE1007" s="580">
        <f t="shared" si="112"/>
        <v>2.5</v>
      </c>
      <c r="AF1007" s="580">
        <f t="shared" si="113"/>
        <v>2.5</v>
      </c>
      <c r="AG1007" s="580">
        <f t="shared" si="114"/>
        <v>0</v>
      </c>
      <c r="AH1007" s="580">
        <f t="shared" si="115"/>
        <v>0</v>
      </c>
    </row>
    <row r="1008" spans="28:34">
      <c r="AB1008" s="580">
        <f>HLOOKUP("*"&amp;'Output annual'!$AC$2&amp;'Output annual'!$AD$2&amp;"*Zone People Number Of Occupants [](Hourly)",'Eplus results'!$1:$1048576,ROW(),FALSE)</f>
        <v>0</v>
      </c>
      <c r="AC1008" s="580">
        <f>HLOOKUP("*"&amp;'Output annual'!$AC$2&amp;'Output annual'!$AD$2&amp;"*FangerPMV(Hourly)",'Eplus results'!$1:$1048576,ROW(),FALSE)</f>
        <v>0</v>
      </c>
      <c r="AD1008" s="580">
        <f t="shared" si="111"/>
        <v>5</v>
      </c>
      <c r="AE1008" s="580">
        <f t="shared" si="112"/>
        <v>2.5</v>
      </c>
      <c r="AF1008" s="580">
        <f t="shared" si="113"/>
        <v>2.5</v>
      </c>
      <c r="AG1008" s="580">
        <f t="shared" si="114"/>
        <v>0</v>
      </c>
      <c r="AH1008" s="580">
        <f t="shared" si="115"/>
        <v>0</v>
      </c>
    </row>
    <row r="1009" spans="28:34">
      <c r="AB1009" s="580">
        <f>HLOOKUP("*"&amp;'Output annual'!$AC$2&amp;'Output annual'!$AD$2&amp;"*Zone People Number Of Occupants [](Hourly)",'Eplus results'!$1:$1048576,ROW(),FALSE)</f>
        <v>0</v>
      </c>
      <c r="AC1009" s="580">
        <f>HLOOKUP("*"&amp;'Output annual'!$AC$2&amp;'Output annual'!$AD$2&amp;"*FangerPMV(Hourly)",'Eplus results'!$1:$1048576,ROW(),FALSE)</f>
        <v>0</v>
      </c>
      <c r="AD1009" s="580">
        <f t="shared" si="111"/>
        <v>5</v>
      </c>
      <c r="AE1009" s="580">
        <f t="shared" si="112"/>
        <v>2.5</v>
      </c>
      <c r="AF1009" s="580">
        <f t="shared" si="113"/>
        <v>2.5</v>
      </c>
      <c r="AG1009" s="580">
        <f t="shared" si="114"/>
        <v>0</v>
      </c>
      <c r="AH1009" s="580">
        <f t="shared" si="115"/>
        <v>0</v>
      </c>
    </row>
    <row r="1010" spans="28:34">
      <c r="AB1010" s="580">
        <f>HLOOKUP("*"&amp;'Output annual'!$AC$2&amp;'Output annual'!$AD$2&amp;"*Zone People Number Of Occupants [](Hourly)",'Eplus results'!$1:$1048576,ROW(),FALSE)</f>
        <v>0</v>
      </c>
      <c r="AC1010" s="580">
        <f>HLOOKUP("*"&amp;'Output annual'!$AC$2&amp;'Output annual'!$AD$2&amp;"*FangerPMV(Hourly)",'Eplus results'!$1:$1048576,ROW(),FALSE)</f>
        <v>0</v>
      </c>
      <c r="AD1010" s="580">
        <f t="shared" si="111"/>
        <v>5</v>
      </c>
      <c r="AE1010" s="580">
        <f t="shared" si="112"/>
        <v>2.5</v>
      </c>
      <c r="AF1010" s="580">
        <f t="shared" si="113"/>
        <v>2.5</v>
      </c>
      <c r="AG1010" s="580">
        <f t="shared" si="114"/>
        <v>0</v>
      </c>
      <c r="AH1010" s="580">
        <f t="shared" si="115"/>
        <v>0</v>
      </c>
    </row>
    <row r="1011" spans="28:34">
      <c r="AB1011" s="580">
        <f>HLOOKUP("*"&amp;'Output annual'!$AC$2&amp;'Output annual'!$AD$2&amp;"*Zone People Number Of Occupants [](Hourly)",'Eplus results'!$1:$1048576,ROW(),FALSE)</f>
        <v>0</v>
      </c>
      <c r="AC1011" s="580">
        <f>HLOOKUP("*"&amp;'Output annual'!$AC$2&amp;'Output annual'!$AD$2&amp;"*FangerPMV(Hourly)",'Eplus results'!$1:$1048576,ROW(),FALSE)</f>
        <v>0</v>
      </c>
      <c r="AD1011" s="580">
        <f t="shared" si="111"/>
        <v>5</v>
      </c>
      <c r="AE1011" s="580">
        <f t="shared" si="112"/>
        <v>2.5</v>
      </c>
      <c r="AF1011" s="580">
        <f t="shared" si="113"/>
        <v>2.5</v>
      </c>
      <c r="AG1011" s="580">
        <f t="shared" si="114"/>
        <v>0</v>
      </c>
      <c r="AH1011" s="580">
        <f t="shared" si="115"/>
        <v>0</v>
      </c>
    </row>
    <row r="1012" spans="28:34">
      <c r="AB1012" s="580">
        <f>HLOOKUP("*"&amp;'Output annual'!$AC$2&amp;'Output annual'!$AD$2&amp;"*Zone People Number Of Occupants [](Hourly)",'Eplus results'!$1:$1048576,ROW(),FALSE)</f>
        <v>0</v>
      </c>
      <c r="AC1012" s="580">
        <f>HLOOKUP("*"&amp;'Output annual'!$AC$2&amp;'Output annual'!$AD$2&amp;"*FangerPMV(Hourly)",'Eplus results'!$1:$1048576,ROW(),FALSE)</f>
        <v>0</v>
      </c>
      <c r="AD1012" s="580">
        <f t="shared" si="111"/>
        <v>5</v>
      </c>
      <c r="AE1012" s="580">
        <f t="shared" si="112"/>
        <v>2.5</v>
      </c>
      <c r="AF1012" s="580">
        <f t="shared" si="113"/>
        <v>2.5</v>
      </c>
      <c r="AG1012" s="580">
        <f t="shared" si="114"/>
        <v>0</v>
      </c>
      <c r="AH1012" s="580">
        <f t="shared" si="115"/>
        <v>0</v>
      </c>
    </row>
    <row r="1013" spans="28:34">
      <c r="AB1013" s="580">
        <f>HLOOKUP("*"&amp;'Output annual'!$AC$2&amp;'Output annual'!$AD$2&amp;"*Zone People Number Of Occupants [](Hourly)",'Eplus results'!$1:$1048576,ROW(),FALSE)</f>
        <v>0</v>
      </c>
      <c r="AC1013" s="580">
        <f>HLOOKUP("*"&amp;'Output annual'!$AC$2&amp;'Output annual'!$AD$2&amp;"*FangerPMV(Hourly)",'Eplus results'!$1:$1048576,ROW(),FALSE)</f>
        <v>0</v>
      </c>
      <c r="AD1013" s="580">
        <f t="shared" si="111"/>
        <v>5</v>
      </c>
      <c r="AE1013" s="580">
        <f t="shared" si="112"/>
        <v>2.5</v>
      </c>
      <c r="AF1013" s="580">
        <f t="shared" si="113"/>
        <v>2.5</v>
      </c>
      <c r="AG1013" s="580">
        <f t="shared" si="114"/>
        <v>0</v>
      </c>
      <c r="AH1013" s="580">
        <f t="shared" si="115"/>
        <v>0</v>
      </c>
    </row>
    <row r="1014" spans="28:34">
      <c r="AB1014" s="580">
        <f>HLOOKUP("*"&amp;'Output annual'!$AC$2&amp;'Output annual'!$AD$2&amp;"*Zone People Number Of Occupants [](Hourly)",'Eplus results'!$1:$1048576,ROW(),FALSE)</f>
        <v>0</v>
      </c>
      <c r="AC1014" s="580">
        <f>HLOOKUP("*"&amp;'Output annual'!$AC$2&amp;'Output annual'!$AD$2&amp;"*FangerPMV(Hourly)",'Eplus results'!$1:$1048576,ROW(),FALSE)</f>
        <v>0</v>
      </c>
      <c r="AD1014" s="580">
        <f t="shared" si="111"/>
        <v>5</v>
      </c>
      <c r="AE1014" s="580">
        <f t="shared" si="112"/>
        <v>2.5</v>
      </c>
      <c r="AF1014" s="580">
        <f t="shared" si="113"/>
        <v>2.5</v>
      </c>
      <c r="AG1014" s="580">
        <f t="shared" si="114"/>
        <v>0</v>
      </c>
      <c r="AH1014" s="580">
        <f t="shared" si="115"/>
        <v>0</v>
      </c>
    </row>
    <row r="1015" spans="28:34">
      <c r="AB1015" s="580">
        <f>HLOOKUP("*"&amp;'Output annual'!$AC$2&amp;'Output annual'!$AD$2&amp;"*Zone People Number Of Occupants [](Hourly)",'Eplus results'!$1:$1048576,ROW(),FALSE)</f>
        <v>0</v>
      </c>
      <c r="AC1015" s="580">
        <f>HLOOKUP("*"&amp;'Output annual'!$AC$2&amp;'Output annual'!$AD$2&amp;"*FangerPMV(Hourly)",'Eplus results'!$1:$1048576,ROW(),FALSE)</f>
        <v>0</v>
      </c>
      <c r="AD1015" s="580">
        <f t="shared" si="111"/>
        <v>5</v>
      </c>
      <c r="AE1015" s="580">
        <f t="shared" si="112"/>
        <v>2.5</v>
      </c>
      <c r="AF1015" s="580">
        <f t="shared" si="113"/>
        <v>2.5</v>
      </c>
      <c r="AG1015" s="580">
        <f t="shared" si="114"/>
        <v>0</v>
      </c>
      <c r="AH1015" s="580">
        <f t="shared" si="115"/>
        <v>0</v>
      </c>
    </row>
    <row r="1016" spans="28:34">
      <c r="AB1016" s="580">
        <f>HLOOKUP("*"&amp;'Output annual'!$AC$2&amp;'Output annual'!$AD$2&amp;"*Zone People Number Of Occupants [](Hourly)",'Eplus results'!$1:$1048576,ROW(),FALSE)</f>
        <v>0</v>
      </c>
      <c r="AC1016" s="580">
        <f>HLOOKUP("*"&amp;'Output annual'!$AC$2&amp;'Output annual'!$AD$2&amp;"*FangerPMV(Hourly)",'Eplus results'!$1:$1048576,ROW(),FALSE)</f>
        <v>0</v>
      </c>
      <c r="AD1016" s="580">
        <f t="shared" si="111"/>
        <v>5</v>
      </c>
      <c r="AE1016" s="580">
        <f t="shared" si="112"/>
        <v>2.5</v>
      </c>
      <c r="AF1016" s="580">
        <f t="shared" si="113"/>
        <v>2.5</v>
      </c>
      <c r="AG1016" s="580">
        <f t="shared" si="114"/>
        <v>0</v>
      </c>
      <c r="AH1016" s="580">
        <f t="shared" si="115"/>
        <v>0</v>
      </c>
    </row>
    <row r="1017" spans="28:34">
      <c r="AB1017" s="580">
        <f>HLOOKUP("*"&amp;'Output annual'!$AC$2&amp;'Output annual'!$AD$2&amp;"*Zone People Number Of Occupants [](Hourly)",'Eplus results'!$1:$1048576,ROW(),FALSE)</f>
        <v>0</v>
      </c>
      <c r="AC1017" s="580">
        <f>HLOOKUP("*"&amp;'Output annual'!$AC$2&amp;'Output annual'!$AD$2&amp;"*FangerPMV(Hourly)",'Eplus results'!$1:$1048576,ROW(),FALSE)</f>
        <v>0</v>
      </c>
      <c r="AD1017" s="580">
        <f t="shared" si="111"/>
        <v>5</v>
      </c>
      <c r="AE1017" s="580">
        <f t="shared" si="112"/>
        <v>2.5</v>
      </c>
      <c r="AF1017" s="580">
        <f t="shared" si="113"/>
        <v>2.5</v>
      </c>
      <c r="AG1017" s="580">
        <f t="shared" si="114"/>
        <v>0</v>
      </c>
      <c r="AH1017" s="580">
        <f t="shared" si="115"/>
        <v>0</v>
      </c>
    </row>
    <row r="1018" spans="28:34">
      <c r="AB1018" s="580">
        <f>HLOOKUP("*"&amp;'Output annual'!$AC$2&amp;'Output annual'!$AD$2&amp;"*Zone People Number Of Occupants [](Hourly)",'Eplus results'!$1:$1048576,ROW(),FALSE)</f>
        <v>0</v>
      </c>
      <c r="AC1018" s="580">
        <f>HLOOKUP("*"&amp;'Output annual'!$AC$2&amp;'Output annual'!$AD$2&amp;"*FangerPMV(Hourly)",'Eplus results'!$1:$1048576,ROW(),FALSE)</f>
        <v>0</v>
      </c>
      <c r="AD1018" s="580">
        <f t="shared" si="111"/>
        <v>5</v>
      </c>
      <c r="AE1018" s="580">
        <f t="shared" si="112"/>
        <v>2.5</v>
      </c>
      <c r="AF1018" s="580">
        <f t="shared" si="113"/>
        <v>2.5</v>
      </c>
      <c r="AG1018" s="580">
        <f t="shared" si="114"/>
        <v>0</v>
      </c>
      <c r="AH1018" s="580">
        <f t="shared" si="115"/>
        <v>0</v>
      </c>
    </row>
    <row r="1019" spans="28:34">
      <c r="AB1019" s="580">
        <f>HLOOKUP("*"&amp;'Output annual'!$AC$2&amp;'Output annual'!$AD$2&amp;"*Zone People Number Of Occupants [](Hourly)",'Eplus results'!$1:$1048576,ROW(),FALSE)</f>
        <v>0</v>
      </c>
      <c r="AC1019" s="580">
        <f>HLOOKUP("*"&amp;'Output annual'!$AC$2&amp;'Output annual'!$AD$2&amp;"*FangerPMV(Hourly)",'Eplus results'!$1:$1048576,ROW(),FALSE)</f>
        <v>0</v>
      </c>
      <c r="AD1019" s="580">
        <f t="shared" si="111"/>
        <v>5</v>
      </c>
      <c r="AE1019" s="580">
        <f t="shared" si="112"/>
        <v>2.5</v>
      </c>
      <c r="AF1019" s="580">
        <f t="shared" si="113"/>
        <v>2.5</v>
      </c>
      <c r="AG1019" s="580">
        <f t="shared" si="114"/>
        <v>0</v>
      </c>
      <c r="AH1019" s="580">
        <f t="shared" si="115"/>
        <v>0</v>
      </c>
    </row>
    <row r="1020" spans="28:34">
      <c r="AB1020" s="580">
        <f>HLOOKUP("*"&amp;'Output annual'!$AC$2&amp;'Output annual'!$AD$2&amp;"*Zone People Number Of Occupants [](Hourly)",'Eplus results'!$1:$1048576,ROW(),FALSE)</f>
        <v>0</v>
      </c>
      <c r="AC1020" s="580">
        <f>HLOOKUP("*"&amp;'Output annual'!$AC$2&amp;'Output annual'!$AD$2&amp;"*FangerPMV(Hourly)",'Eplus results'!$1:$1048576,ROW(),FALSE)</f>
        <v>0</v>
      </c>
      <c r="AD1020" s="580">
        <f t="shared" si="111"/>
        <v>5</v>
      </c>
      <c r="AE1020" s="580">
        <f t="shared" si="112"/>
        <v>2.5</v>
      </c>
      <c r="AF1020" s="580">
        <f t="shared" si="113"/>
        <v>2.5</v>
      </c>
      <c r="AG1020" s="580">
        <f t="shared" si="114"/>
        <v>0</v>
      </c>
      <c r="AH1020" s="580">
        <f t="shared" si="115"/>
        <v>0</v>
      </c>
    </row>
    <row r="1021" spans="28:34">
      <c r="AB1021" s="580">
        <f>HLOOKUP("*"&amp;'Output annual'!$AC$2&amp;'Output annual'!$AD$2&amp;"*Zone People Number Of Occupants [](Hourly)",'Eplus results'!$1:$1048576,ROW(),FALSE)</f>
        <v>0</v>
      </c>
      <c r="AC1021" s="580">
        <f>HLOOKUP("*"&amp;'Output annual'!$AC$2&amp;'Output annual'!$AD$2&amp;"*FangerPMV(Hourly)",'Eplus results'!$1:$1048576,ROW(),FALSE)</f>
        <v>0</v>
      </c>
      <c r="AD1021" s="580">
        <f t="shared" si="111"/>
        <v>5</v>
      </c>
      <c r="AE1021" s="580">
        <f t="shared" si="112"/>
        <v>2.5</v>
      </c>
      <c r="AF1021" s="580">
        <f t="shared" si="113"/>
        <v>2.5</v>
      </c>
      <c r="AG1021" s="580">
        <f t="shared" si="114"/>
        <v>0</v>
      </c>
      <c r="AH1021" s="580">
        <f t="shared" si="115"/>
        <v>0</v>
      </c>
    </row>
    <row r="1022" spans="28:34">
      <c r="AB1022" s="580">
        <f>HLOOKUP("*"&amp;'Output annual'!$AC$2&amp;'Output annual'!$AD$2&amp;"*Zone People Number Of Occupants [](Hourly)",'Eplus results'!$1:$1048576,ROW(),FALSE)</f>
        <v>0</v>
      </c>
      <c r="AC1022" s="580">
        <f>HLOOKUP("*"&amp;'Output annual'!$AC$2&amp;'Output annual'!$AD$2&amp;"*FangerPMV(Hourly)",'Eplus results'!$1:$1048576,ROW(),FALSE)</f>
        <v>0</v>
      </c>
      <c r="AD1022" s="580">
        <f t="shared" si="111"/>
        <v>5</v>
      </c>
      <c r="AE1022" s="580">
        <f t="shared" si="112"/>
        <v>2.5</v>
      </c>
      <c r="AF1022" s="580">
        <f t="shared" si="113"/>
        <v>2.5</v>
      </c>
      <c r="AG1022" s="580">
        <f t="shared" si="114"/>
        <v>0</v>
      </c>
      <c r="AH1022" s="580">
        <f t="shared" si="115"/>
        <v>0</v>
      </c>
    </row>
    <row r="1023" spans="28:34">
      <c r="AB1023" s="580">
        <f>HLOOKUP("*"&amp;'Output annual'!$AC$2&amp;'Output annual'!$AD$2&amp;"*Zone People Number Of Occupants [](Hourly)",'Eplus results'!$1:$1048576,ROW(),FALSE)</f>
        <v>0</v>
      </c>
      <c r="AC1023" s="580">
        <f>HLOOKUP("*"&amp;'Output annual'!$AC$2&amp;'Output annual'!$AD$2&amp;"*FangerPMV(Hourly)",'Eplus results'!$1:$1048576,ROW(),FALSE)</f>
        <v>0</v>
      </c>
      <c r="AD1023" s="580">
        <f t="shared" si="111"/>
        <v>5</v>
      </c>
      <c r="AE1023" s="580">
        <f t="shared" si="112"/>
        <v>2.5</v>
      </c>
      <c r="AF1023" s="580">
        <f t="shared" si="113"/>
        <v>2.5</v>
      </c>
      <c r="AG1023" s="580">
        <f t="shared" si="114"/>
        <v>0</v>
      </c>
      <c r="AH1023" s="580">
        <f t="shared" si="115"/>
        <v>0</v>
      </c>
    </row>
    <row r="1024" spans="28:34">
      <c r="AB1024" s="580">
        <f>HLOOKUP("*"&amp;'Output annual'!$AC$2&amp;'Output annual'!$AD$2&amp;"*Zone People Number Of Occupants [](Hourly)",'Eplus results'!$1:$1048576,ROW(),FALSE)</f>
        <v>0</v>
      </c>
      <c r="AC1024" s="580">
        <f>HLOOKUP("*"&amp;'Output annual'!$AC$2&amp;'Output annual'!$AD$2&amp;"*FangerPMV(Hourly)",'Eplus results'!$1:$1048576,ROW(),FALSE)</f>
        <v>0</v>
      </c>
      <c r="AD1024" s="580">
        <f t="shared" si="111"/>
        <v>5</v>
      </c>
      <c r="AE1024" s="580">
        <f t="shared" si="112"/>
        <v>2.5</v>
      </c>
      <c r="AF1024" s="580">
        <f t="shared" si="113"/>
        <v>2.5</v>
      </c>
      <c r="AG1024" s="580">
        <f t="shared" si="114"/>
        <v>0</v>
      </c>
      <c r="AH1024" s="580">
        <f t="shared" si="115"/>
        <v>0</v>
      </c>
    </row>
    <row r="1025" spans="28:34">
      <c r="AB1025" s="580">
        <f>HLOOKUP("*"&amp;'Output annual'!$AC$2&amp;'Output annual'!$AD$2&amp;"*Zone People Number Of Occupants [](Hourly)",'Eplus results'!$1:$1048576,ROW(),FALSE)</f>
        <v>0</v>
      </c>
      <c r="AC1025" s="580">
        <f>HLOOKUP("*"&amp;'Output annual'!$AC$2&amp;'Output annual'!$AD$2&amp;"*FangerPMV(Hourly)",'Eplus results'!$1:$1048576,ROW(),FALSE)</f>
        <v>0</v>
      </c>
      <c r="AD1025" s="580">
        <f t="shared" si="111"/>
        <v>5</v>
      </c>
      <c r="AE1025" s="580">
        <f t="shared" si="112"/>
        <v>2.5</v>
      </c>
      <c r="AF1025" s="580">
        <f t="shared" si="113"/>
        <v>2.5</v>
      </c>
      <c r="AG1025" s="580">
        <f t="shared" si="114"/>
        <v>0</v>
      </c>
      <c r="AH1025" s="580">
        <f t="shared" si="115"/>
        <v>0</v>
      </c>
    </row>
    <row r="1026" spans="28:34">
      <c r="AB1026" s="580">
        <f>HLOOKUP("*"&amp;'Output annual'!$AC$2&amp;'Output annual'!$AD$2&amp;"*Zone People Number Of Occupants [](Hourly)",'Eplus results'!$1:$1048576,ROW(),FALSE)</f>
        <v>0</v>
      </c>
      <c r="AC1026" s="580">
        <f>HLOOKUP("*"&amp;'Output annual'!$AC$2&amp;'Output annual'!$AD$2&amp;"*FangerPMV(Hourly)",'Eplus results'!$1:$1048576,ROW(),FALSE)</f>
        <v>0</v>
      </c>
      <c r="AD1026" s="580">
        <f t="shared" si="111"/>
        <v>5</v>
      </c>
      <c r="AE1026" s="580">
        <f t="shared" si="112"/>
        <v>2.5</v>
      </c>
      <c r="AF1026" s="580">
        <f t="shared" si="113"/>
        <v>2.5</v>
      </c>
      <c r="AG1026" s="580">
        <f t="shared" si="114"/>
        <v>0</v>
      </c>
      <c r="AH1026" s="580">
        <f t="shared" si="115"/>
        <v>0</v>
      </c>
    </row>
    <row r="1027" spans="28:34">
      <c r="AB1027" s="580">
        <f>HLOOKUP("*"&amp;'Output annual'!$AC$2&amp;'Output annual'!$AD$2&amp;"*Zone People Number Of Occupants [](Hourly)",'Eplus results'!$1:$1048576,ROW(),FALSE)</f>
        <v>0</v>
      </c>
      <c r="AC1027" s="580">
        <f>HLOOKUP("*"&amp;'Output annual'!$AC$2&amp;'Output annual'!$AD$2&amp;"*FangerPMV(Hourly)",'Eplus results'!$1:$1048576,ROW(),FALSE)</f>
        <v>0</v>
      </c>
      <c r="AD1027" s="580">
        <f t="shared" ref="AD1027:AD1090" si="116">100-95*EXP(-0.03353*AC1027^4-0.2179*AC1027^2)</f>
        <v>5</v>
      </c>
      <c r="AE1027" s="580">
        <f t="shared" ref="AE1027:AE1090" si="117">AD1027*(1/(1+EXP(-6.3*$AC1027)))</f>
        <v>2.5</v>
      </c>
      <c r="AF1027" s="580">
        <f t="shared" ref="AF1027:AF1090" si="118">(AD1027-AE1027)</f>
        <v>2.5</v>
      </c>
      <c r="AG1027" s="580">
        <f t="shared" ref="AG1027:AG1090" si="119">AE1027*AB1027</f>
        <v>0</v>
      </c>
      <c r="AH1027" s="580">
        <f t="shared" ref="AH1027:AH1090" si="120">AF1027*AB1027</f>
        <v>0</v>
      </c>
    </row>
    <row r="1028" spans="28:34">
      <c r="AB1028" s="580">
        <f>HLOOKUP("*"&amp;'Output annual'!$AC$2&amp;'Output annual'!$AD$2&amp;"*Zone People Number Of Occupants [](Hourly)",'Eplus results'!$1:$1048576,ROW(),FALSE)</f>
        <v>0</v>
      </c>
      <c r="AC1028" s="580">
        <f>HLOOKUP("*"&amp;'Output annual'!$AC$2&amp;'Output annual'!$AD$2&amp;"*FangerPMV(Hourly)",'Eplus results'!$1:$1048576,ROW(),FALSE)</f>
        <v>0</v>
      </c>
      <c r="AD1028" s="580">
        <f t="shared" si="116"/>
        <v>5</v>
      </c>
      <c r="AE1028" s="580">
        <f t="shared" si="117"/>
        <v>2.5</v>
      </c>
      <c r="AF1028" s="580">
        <f t="shared" si="118"/>
        <v>2.5</v>
      </c>
      <c r="AG1028" s="580">
        <f t="shared" si="119"/>
        <v>0</v>
      </c>
      <c r="AH1028" s="580">
        <f t="shared" si="120"/>
        <v>0</v>
      </c>
    </row>
    <row r="1029" spans="28:34">
      <c r="AB1029" s="580">
        <f>HLOOKUP("*"&amp;'Output annual'!$AC$2&amp;'Output annual'!$AD$2&amp;"*Zone People Number Of Occupants [](Hourly)",'Eplus results'!$1:$1048576,ROW(),FALSE)</f>
        <v>0</v>
      </c>
      <c r="AC1029" s="580">
        <f>HLOOKUP("*"&amp;'Output annual'!$AC$2&amp;'Output annual'!$AD$2&amp;"*FangerPMV(Hourly)",'Eplus results'!$1:$1048576,ROW(),FALSE)</f>
        <v>0</v>
      </c>
      <c r="AD1029" s="580">
        <f t="shared" si="116"/>
        <v>5</v>
      </c>
      <c r="AE1029" s="580">
        <f t="shared" si="117"/>
        <v>2.5</v>
      </c>
      <c r="AF1029" s="580">
        <f t="shared" si="118"/>
        <v>2.5</v>
      </c>
      <c r="AG1029" s="580">
        <f t="shared" si="119"/>
        <v>0</v>
      </c>
      <c r="AH1029" s="580">
        <f t="shared" si="120"/>
        <v>0</v>
      </c>
    </row>
    <row r="1030" spans="28:34">
      <c r="AB1030" s="580">
        <f>HLOOKUP("*"&amp;'Output annual'!$AC$2&amp;'Output annual'!$AD$2&amp;"*Zone People Number Of Occupants [](Hourly)",'Eplus results'!$1:$1048576,ROW(),FALSE)</f>
        <v>0</v>
      </c>
      <c r="AC1030" s="580">
        <f>HLOOKUP("*"&amp;'Output annual'!$AC$2&amp;'Output annual'!$AD$2&amp;"*FangerPMV(Hourly)",'Eplus results'!$1:$1048576,ROW(),FALSE)</f>
        <v>0</v>
      </c>
      <c r="AD1030" s="580">
        <f t="shared" si="116"/>
        <v>5</v>
      </c>
      <c r="AE1030" s="580">
        <f t="shared" si="117"/>
        <v>2.5</v>
      </c>
      <c r="AF1030" s="580">
        <f t="shared" si="118"/>
        <v>2.5</v>
      </c>
      <c r="AG1030" s="580">
        <f t="shared" si="119"/>
        <v>0</v>
      </c>
      <c r="AH1030" s="580">
        <f t="shared" si="120"/>
        <v>0</v>
      </c>
    </row>
    <row r="1031" spans="28:34">
      <c r="AB1031" s="580">
        <f>HLOOKUP("*"&amp;'Output annual'!$AC$2&amp;'Output annual'!$AD$2&amp;"*Zone People Number Of Occupants [](Hourly)",'Eplus results'!$1:$1048576,ROW(),FALSE)</f>
        <v>0</v>
      </c>
      <c r="AC1031" s="580">
        <f>HLOOKUP("*"&amp;'Output annual'!$AC$2&amp;'Output annual'!$AD$2&amp;"*FangerPMV(Hourly)",'Eplus results'!$1:$1048576,ROW(),FALSE)</f>
        <v>0</v>
      </c>
      <c r="AD1031" s="580">
        <f t="shared" si="116"/>
        <v>5</v>
      </c>
      <c r="AE1031" s="580">
        <f t="shared" si="117"/>
        <v>2.5</v>
      </c>
      <c r="AF1031" s="580">
        <f t="shared" si="118"/>
        <v>2.5</v>
      </c>
      <c r="AG1031" s="580">
        <f t="shared" si="119"/>
        <v>0</v>
      </c>
      <c r="AH1031" s="580">
        <f t="shared" si="120"/>
        <v>0</v>
      </c>
    </row>
    <row r="1032" spans="28:34">
      <c r="AB1032" s="580">
        <f>HLOOKUP("*"&amp;'Output annual'!$AC$2&amp;'Output annual'!$AD$2&amp;"*Zone People Number Of Occupants [](Hourly)",'Eplus results'!$1:$1048576,ROW(),FALSE)</f>
        <v>0</v>
      </c>
      <c r="AC1032" s="580">
        <f>HLOOKUP("*"&amp;'Output annual'!$AC$2&amp;'Output annual'!$AD$2&amp;"*FangerPMV(Hourly)",'Eplus results'!$1:$1048576,ROW(),FALSE)</f>
        <v>0</v>
      </c>
      <c r="AD1032" s="580">
        <f t="shared" si="116"/>
        <v>5</v>
      </c>
      <c r="AE1032" s="580">
        <f t="shared" si="117"/>
        <v>2.5</v>
      </c>
      <c r="AF1032" s="580">
        <f t="shared" si="118"/>
        <v>2.5</v>
      </c>
      <c r="AG1032" s="580">
        <f t="shared" si="119"/>
        <v>0</v>
      </c>
      <c r="AH1032" s="580">
        <f t="shared" si="120"/>
        <v>0</v>
      </c>
    </row>
    <row r="1033" spans="28:34">
      <c r="AB1033" s="580">
        <f>HLOOKUP("*"&amp;'Output annual'!$AC$2&amp;'Output annual'!$AD$2&amp;"*Zone People Number Of Occupants [](Hourly)",'Eplus results'!$1:$1048576,ROW(),FALSE)</f>
        <v>0</v>
      </c>
      <c r="AC1033" s="580">
        <f>HLOOKUP("*"&amp;'Output annual'!$AC$2&amp;'Output annual'!$AD$2&amp;"*FangerPMV(Hourly)",'Eplus results'!$1:$1048576,ROW(),FALSE)</f>
        <v>0</v>
      </c>
      <c r="AD1033" s="580">
        <f t="shared" si="116"/>
        <v>5</v>
      </c>
      <c r="AE1033" s="580">
        <f t="shared" si="117"/>
        <v>2.5</v>
      </c>
      <c r="AF1033" s="580">
        <f t="shared" si="118"/>
        <v>2.5</v>
      </c>
      <c r="AG1033" s="580">
        <f t="shared" si="119"/>
        <v>0</v>
      </c>
      <c r="AH1033" s="580">
        <f t="shared" si="120"/>
        <v>0</v>
      </c>
    </row>
    <row r="1034" spans="28:34">
      <c r="AB1034" s="580">
        <f>HLOOKUP("*"&amp;'Output annual'!$AC$2&amp;'Output annual'!$AD$2&amp;"*Zone People Number Of Occupants [](Hourly)",'Eplus results'!$1:$1048576,ROW(),FALSE)</f>
        <v>0</v>
      </c>
      <c r="AC1034" s="580">
        <f>HLOOKUP("*"&amp;'Output annual'!$AC$2&amp;'Output annual'!$AD$2&amp;"*FangerPMV(Hourly)",'Eplus results'!$1:$1048576,ROW(),FALSE)</f>
        <v>0</v>
      </c>
      <c r="AD1034" s="580">
        <f t="shared" si="116"/>
        <v>5</v>
      </c>
      <c r="AE1034" s="580">
        <f t="shared" si="117"/>
        <v>2.5</v>
      </c>
      <c r="AF1034" s="580">
        <f t="shared" si="118"/>
        <v>2.5</v>
      </c>
      <c r="AG1034" s="580">
        <f t="shared" si="119"/>
        <v>0</v>
      </c>
      <c r="AH1034" s="580">
        <f t="shared" si="120"/>
        <v>0</v>
      </c>
    </row>
    <row r="1035" spans="28:34">
      <c r="AB1035" s="580">
        <f>HLOOKUP("*"&amp;'Output annual'!$AC$2&amp;'Output annual'!$AD$2&amp;"*Zone People Number Of Occupants [](Hourly)",'Eplus results'!$1:$1048576,ROW(),FALSE)</f>
        <v>0</v>
      </c>
      <c r="AC1035" s="580">
        <f>HLOOKUP("*"&amp;'Output annual'!$AC$2&amp;'Output annual'!$AD$2&amp;"*FangerPMV(Hourly)",'Eplus results'!$1:$1048576,ROW(),FALSE)</f>
        <v>0</v>
      </c>
      <c r="AD1035" s="580">
        <f t="shared" si="116"/>
        <v>5</v>
      </c>
      <c r="AE1035" s="580">
        <f t="shared" si="117"/>
        <v>2.5</v>
      </c>
      <c r="AF1035" s="580">
        <f t="shared" si="118"/>
        <v>2.5</v>
      </c>
      <c r="AG1035" s="580">
        <f t="shared" si="119"/>
        <v>0</v>
      </c>
      <c r="AH1035" s="580">
        <f t="shared" si="120"/>
        <v>0</v>
      </c>
    </row>
    <row r="1036" spans="28:34">
      <c r="AB1036" s="580">
        <f>HLOOKUP("*"&amp;'Output annual'!$AC$2&amp;'Output annual'!$AD$2&amp;"*Zone People Number Of Occupants [](Hourly)",'Eplus results'!$1:$1048576,ROW(),FALSE)</f>
        <v>0</v>
      </c>
      <c r="AC1036" s="580">
        <f>HLOOKUP("*"&amp;'Output annual'!$AC$2&amp;'Output annual'!$AD$2&amp;"*FangerPMV(Hourly)",'Eplus results'!$1:$1048576,ROW(),FALSE)</f>
        <v>0</v>
      </c>
      <c r="AD1036" s="580">
        <f t="shared" si="116"/>
        <v>5</v>
      </c>
      <c r="AE1036" s="580">
        <f t="shared" si="117"/>
        <v>2.5</v>
      </c>
      <c r="AF1036" s="580">
        <f t="shared" si="118"/>
        <v>2.5</v>
      </c>
      <c r="AG1036" s="580">
        <f t="shared" si="119"/>
        <v>0</v>
      </c>
      <c r="AH1036" s="580">
        <f t="shared" si="120"/>
        <v>0</v>
      </c>
    </row>
    <row r="1037" spans="28:34">
      <c r="AB1037" s="580">
        <f>HLOOKUP("*"&amp;'Output annual'!$AC$2&amp;'Output annual'!$AD$2&amp;"*Zone People Number Of Occupants [](Hourly)",'Eplus results'!$1:$1048576,ROW(),FALSE)</f>
        <v>0</v>
      </c>
      <c r="AC1037" s="580">
        <f>HLOOKUP("*"&amp;'Output annual'!$AC$2&amp;'Output annual'!$AD$2&amp;"*FangerPMV(Hourly)",'Eplus results'!$1:$1048576,ROW(),FALSE)</f>
        <v>0</v>
      </c>
      <c r="AD1037" s="580">
        <f t="shared" si="116"/>
        <v>5</v>
      </c>
      <c r="AE1037" s="580">
        <f t="shared" si="117"/>
        <v>2.5</v>
      </c>
      <c r="AF1037" s="580">
        <f t="shared" si="118"/>
        <v>2.5</v>
      </c>
      <c r="AG1037" s="580">
        <f t="shared" si="119"/>
        <v>0</v>
      </c>
      <c r="AH1037" s="580">
        <f t="shared" si="120"/>
        <v>0</v>
      </c>
    </row>
    <row r="1038" spans="28:34">
      <c r="AB1038" s="580">
        <f>HLOOKUP("*"&amp;'Output annual'!$AC$2&amp;'Output annual'!$AD$2&amp;"*Zone People Number Of Occupants [](Hourly)",'Eplus results'!$1:$1048576,ROW(),FALSE)</f>
        <v>0</v>
      </c>
      <c r="AC1038" s="580">
        <f>HLOOKUP("*"&amp;'Output annual'!$AC$2&amp;'Output annual'!$AD$2&amp;"*FangerPMV(Hourly)",'Eplus results'!$1:$1048576,ROW(),FALSE)</f>
        <v>0</v>
      </c>
      <c r="AD1038" s="580">
        <f t="shared" si="116"/>
        <v>5</v>
      </c>
      <c r="AE1038" s="580">
        <f t="shared" si="117"/>
        <v>2.5</v>
      </c>
      <c r="AF1038" s="580">
        <f t="shared" si="118"/>
        <v>2.5</v>
      </c>
      <c r="AG1038" s="580">
        <f t="shared" si="119"/>
        <v>0</v>
      </c>
      <c r="AH1038" s="580">
        <f t="shared" si="120"/>
        <v>0</v>
      </c>
    </row>
    <row r="1039" spans="28:34">
      <c r="AB1039" s="580">
        <f>HLOOKUP("*"&amp;'Output annual'!$AC$2&amp;'Output annual'!$AD$2&amp;"*Zone People Number Of Occupants [](Hourly)",'Eplus results'!$1:$1048576,ROW(),FALSE)</f>
        <v>0</v>
      </c>
      <c r="AC1039" s="580">
        <f>HLOOKUP("*"&amp;'Output annual'!$AC$2&amp;'Output annual'!$AD$2&amp;"*FangerPMV(Hourly)",'Eplus results'!$1:$1048576,ROW(),FALSE)</f>
        <v>0</v>
      </c>
      <c r="AD1039" s="580">
        <f t="shared" si="116"/>
        <v>5</v>
      </c>
      <c r="AE1039" s="580">
        <f t="shared" si="117"/>
        <v>2.5</v>
      </c>
      <c r="AF1039" s="580">
        <f t="shared" si="118"/>
        <v>2.5</v>
      </c>
      <c r="AG1039" s="580">
        <f t="shared" si="119"/>
        <v>0</v>
      </c>
      <c r="AH1039" s="580">
        <f t="shared" si="120"/>
        <v>0</v>
      </c>
    </row>
    <row r="1040" spans="28:34">
      <c r="AB1040" s="580">
        <f>HLOOKUP("*"&amp;'Output annual'!$AC$2&amp;'Output annual'!$AD$2&amp;"*Zone People Number Of Occupants [](Hourly)",'Eplus results'!$1:$1048576,ROW(),FALSE)</f>
        <v>0</v>
      </c>
      <c r="AC1040" s="580">
        <f>HLOOKUP("*"&amp;'Output annual'!$AC$2&amp;'Output annual'!$AD$2&amp;"*FangerPMV(Hourly)",'Eplus results'!$1:$1048576,ROW(),FALSE)</f>
        <v>0</v>
      </c>
      <c r="AD1040" s="580">
        <f t="shared" si="116"/>
        <v>5</v>
      </c>
      <c r="AE1040" s="580">
        <f t="shared" si="117"/>
        <v>2.5</v>
      </c>
      <c r="AF1040" s="580">
        <f t="shared" si="118"/>
        <v>2.5</v>
      </c>
      <c r="AG1040" s="580">
        <f t="shared" si="119"/>
        <v>0</v>
      </c>
      <c r="AH1040" s="580">
        <f t="shared" si="120"/>
        <v>0</v>
      </c>
    </row>
    <row r="1041" spans="28:34">
      <c r="AB1041" s="580">
        <f>HLOOKUP("*"&amp;'Output annual'!$AC$2&amp;'Output annual'!$AD$2&amp;"*Zone People Number Of Occupants [](Hourly)",'Eplus results'!$1:$1048576,ROW(),FALSE)</f>
        <v>0</v>
      </c>
      <c r="AC1041" s="580">
        <f>HLOOKUP("*"&amp;'Output annual'!$AC$2&amp;'Output annual'!$AD$2&amp;"*FangerPMV(Hourly)",'Eplus results'!$1:$1048576,ROW(),FALSE)</f>
        <v>0</v>
      </c>
      <c r="AD1041" s="580">
        <f t="shared" si="116"/>
        <v>5</v>
      </c>
      <c r="AE1041" s="580">
        <f t="shared" si="117"/>
        <v>2.5</v>
      </c>
      <c r="AF1041" s="580">
        <f t="shared" si="118"/>
        <v>2.5</v>
      </c>
      <c r="AG1041" s="580">
        <f t="shared" si="119"/>
        <v>0</v>
      </c>
      <c r="AH1041" s="580">
        <f t="shared" si="120"/>
        <v>0</v>
      </c>
    </row>
    <row r="1042" spans="28:34">
      <c r="AB1042" s="580">
        <f>HLOOKUP("*"&amp;'Output annual'!$AC$2&amp;'Output annual'!$AD$2&amp;"*Zone People Number Of Occupants [](Hourly)",'Eplus results'!$1:$1048576,ROW(),FALSE)</f>
        <v>0</v>
      </c>
      <c r="AC1042" s="580">
        <f>HLOOKUP("*"&amp;'Output annual'!$AC$2&amp;'Output annual'!$AD$2&amp;"*FangerPMV(Hourly)",'Eplus results'!$1:$1048576,ROW(),FALSE)</f>
        <v>0</v>
      </c>
      <c r="AD1042" s="580">
        <f t="shared" si="116"/>
        <v>5</v>
      </c>
      <c r="AE1042" s="580">
        <f t="shared" si="117"/>
        <v>2.5</v>
      </c>
      <c r="AF1042" s="580">
        <f t="shared" si="118"/>
        <v>2.5</v>
      </c>
      <c r="AG1042" s="580">
        <f t="shared" si="119"/>
        <v>0</v>
      </c>
      <c r="AH1042" s="580">
        <f t="shared" si="120"/>
        <v>0</v>
      </c>
    </row>
    <row r="1043" spans="28:34">
      <c r="AB1043" s="580">
        <f>HLOOKUP("*"&amp;'Output annual'!$AC$2&amp;'Output annual'!$AD$2&amp;"*Zone People Number Of Occupants [](Hourly)",'Eplus results'!$1:$1048576,ROW(),FALSE)</f>
        <v>0</v>
      </c>
      <c r="AC1043" s="580">
        <f>HLOOKUP("*"&amp;'Output annual'!$AC$2&amp;'Output annual'!$AD$2&amp;"*FangerPMV(Hourly)",'Eplus results'!$1:$1048576,ROW(),FALSE)</f>
        <v>0</v>
      </c>
      <c r="AD1043" s="580">
        <f t="shared" si="116"/>
        <v>5</v>
      </c>
      <c r="AE1043" s="580">
        <f t="shared" si="117"/>
        <v>2.5</v>
      </c>
      <c r="AF1043" s="580">
        <f t="shared" si="118"/>
        <v>2.5</v>
      </c>
      <c r="AG1043" s="580">
        <f t="shared" si="119"/>
        <v>0</v>
      </c>
      <c r="AH1043" s="580">
        <f t="shared" si="120"/>
        <v>0</v>
      </c>
    </row>
    <row r="1044" spans="28:34">
      <c r="AB1044" s="580">
        <f>HLOOKUP("*"&amp;'Output annual'!$AC$2&amp;'Output annual'!$AD$2&amp;"*Zone People Number Of Occupants [](Hourly)",'Eplus results'!$1:$1048576,ROW(),FALSE)</f>
        <v>0</v>
      </c>
      <c r="AC1044" s="580">
        <f>HLOOKUP("*"&amp;'Output annual'!$AC$2&amp;'Output annual'!$AD$2&amp;"*FangerPMV(Hourly)",'Eplus results'!$1:$1048576,ROW(),FALSE)</f>
        <v>0</v>
      </c>
      <c r="AD1044" s="580">
        <f t="shared" si="116"/>
        <v>5</v>
      </c>
      <c r="AE1044" s="580">
        <f t="shared" si="117"/>
        <v>2.5</v>
      </c>
      <c r="AF1044" s="580">
        <f t="shared" si="118"/>
        <v>2.5</v>
      </c>
      <c r="AG1044" s="580">
        <f t="shared" si="119"/>
        <v>0</v>
      </c>
      <c r="AH1044" s="580">
        <f t="shared" si="120"/>
        <v>0</v>
      </c>
    </row>
    <row r="1045" spans="28:34">
      <c r="AB1045" s="580">
        <f>HLOOKUP("*"&amp;'Output annual'!$AC$2&amp;'Output annual'!$AD$2&amp;"*Zone People Number Of Occupants [](Hourly)",'Eplus results'!$1:$1048576,ROW(),FALSE)</f>
        <v>0</v>
      </c>
      <c r="AC1045" s="580">
        <f>HLOOKUP("*"&amp;'Output annual'!$AC$2&amp;'Output annual'!$AD$2&amp;"*FangerPMV(Hourly)",'Eplus results'!$1:$1048576,ROW(),FALSE)</f>
        <v>0</v>
      </c>
      <c r="AD1045" s="580">
        <f t="shared" si="116"/>
        <v>5</v>
      </c>
      <c r="AE1045" s="580">
        <f t="shared" si="117"/>
        <v>2.5</v>
      </c>
      <c r="AF1045" s="580">
        <f t="shared" si="118"/>
        <v>2.5</v>
      </c>
      <c r="AG1045" s="580">
        <f t="shared" si="119"/>
        <v>0</v>
      </c>
      <c r="AH1045" s="580">
        <f t="shared" si="120"/>
        <v>0</v>
      </c>
    </row>
    <row r="1046" spans="28:34">
      <c r="AB1046" s="580">
        <f>HLOOKUP("*"&amp;'Output annual'!$AC$2&amp;'Output annual'!$AD$2&amp;"*Zone People Number Of Occupants [](Hourly)",'Eplus results'!$1:$1048576,ROW(),FALSE)</f>
        <v>0</v>
      </c>
      <c r="AC1046" s="580">
        <f>HLOOKUP("*"&amp;'Output annual'!$AC$2&amp;'Output annual'!$AD$2&amp;"*FangerPMV(Hourly)",'Eplus results'!$1:$1048576,ROW(),FALSE)</f>
        <v>0</v>
      </c>
      <c r="AD1046" s="580">
        <f t="shared" si="116"/>
        <v>5</v>
      </c>
      <c r="AE1046" s="580">
        <f t="shared" si="117"/>
        <v>2.5</v>
      </c>
      <c r="AF1046" s="580">
        <f t="shared" si="118"/>
        <v>2.5</v>
      </c>
      <c r="AG1046" s="580">
        <f t="shared" si="119"/>
        <v>0</v>
      </c>
      <c r="AH1046" s="580">
        <f t="shared" si="120"/>
        <v>0</v>
      </c>
    </row>
    <row r="1047" spans="28:34">
      <c r="AB1047" s="580">
        <f>HLOOKUP("*"&amp;'Output annual'!$AC$2&amp;'Output annual'!$AD$2&amp;"*Zone People Number Of Occupants [](Hourly)",'Eplus results'!$1:$1048576,ROW(),FALSE)</f>
        <v>0</v>
      </c>
      <c r="AC1047" s="580">
        <f>HLOOKUP("*"&amp;'Output annual'!$AC$2&amp;'Output annual'!$AD$2&amp;"*FangerPMV(Hourly)",'Eplus results'!$1:$1048576,ROW(),FALSE)</f>
        <v>0</v>
      </c>
      <c r="AD1047" s="580">
        <f t="shared" si="116"/>
        <v>5</v>
      </c>
      <c r="AE1047" s="580">
        <f t="shared" si="117"/>
        <v>2.5</v>
      </c>
      <c r="AF1047" s="580">
        <f t="shared" si="118"/>
        <v>2.5</v>
      </c>
      <c r="AG1047" s="580">
        <f t="shared" si="119"/>
        <v>0</v>
      </c>
      <c r="AH1047" s="580">
        <f t="shared" si="120"/>
        <v>0</v>
      </c>
    </row>
    <row r="1048" spans="28:34">
      <c r="AB1048" s="580">
        <f>HLOOKUP("*"&amp;'Output annual'!$AC$2&amp;'Output annual'!$AD$2&amp;"*Zone People Number Of Occupants [](Hourly)",'Eplus results'!$1:$1048576,ROW(),FALSE)</f>
        <v>0</v>
      </c>
      <c r="AC1048" s="580">
        <f>HLOOKUP("*"&amp;'Output annual'!$AC$2&amp;'Output annual'!$AD$2&amp;"*FangerPMV(Hourly)",'Eplus results'!$1:$1048576,ROW(),FALSE)</f>
        <v>0</v>
      </c>
      <c r="AD1048" s="580">
        <f t="shared" si="116"/>
        <v>5</v>
      </c>
      <c r="AE1048" s="580">
        <f t="shared" si="117"/>
        <v>2.5</v>
      </c>
      <c r="AF1048" s="580">
        <f t="shared" si="118"/>
        <v>2.5</v>
      </c>
      <c r="AG1048" s="580">
        <f t="shared" si="119"/>
        <v>0</v>
      </c>
      <c r="AH1048" s="580">
        <f t="shared" si="120"/>
        <v>0</v>
      </c>
    </row>
    <row r="1049" spans="28:34">
      <c r="AB1049" s="580">
        <f>HLOOKUP("*"&amp;'Output annual'!$AC$2&amp;'Output annual'!$AD$2&amp;"*Zone People Number Of Occupants [](Hourly)",'Eplus results'!$1:$1048576,ROW(),FALSE)</f>
        <v>0</v>
      </c>
      <c r="AC1049" s="580">
        <f>HLOOKUP("*"&amp;'Output annual'!$AC$2&amp;'Output annual'!$AD$2&amp;"*FangerPMV(Hourly)",'Eplus results'!$1:$1048576,ROW(),FALSE)</f>
        <v>0</v>
      </c>
      <c r="AD1049" s="580">
        <f t="shared" si="116"/>
        <v>5</v>
      </c>
      <c r="AE1049" s="580">
        <f t="shared" si="117"/>
        <v>2.5</v>
      </c>
      <c r="AF1049" s="580">
        <f t="shared" si="118"/>
        <v>2.5</v>
      </c>
      <c r="AG1049" s="580">
        <f t="shared" si="119"/>
        <v>0</v>
      </c>
      <c r="AH1049" s="580">
        <f t="shared" si="120"/>
        <v>0</v>
      </c>
    </row>
    <row r="1050" spans="28:34">
      <c r="AB1050" s="580">
        <f>HLOOKUP("*"&amp;'Output annual'!$AC$2&amp;'Output annual'!$AD$2&amp;"*Zone People Number Of Occupants [](Hourly)",'Eplus results'!$1:$1048576,ROW(),FALSE)</f>
        <v>0</v>
      </c>
      <c r="AC1050" s="580">
        <f>HLOOKUP("*"&amp;'Output annual'!$AC$2&amp;'Output annual'!$AD$2&amp;"*FangerPMV(Hourly)",'Eplus results'!$1:$1048576,ROW(),FALSE)</f>
        <v>0</v>
      </c>
      <c r="AD1050" s="580">
        <f t="shared" si="116"/>
        <v>5</v>
      </c>
      <c r="AE1050" s="580">
        <f t="shared" si="117"/>
        <v>2.5</v>
      </c>
      <c r="AF1050" s="580">
        <f t="shared" si="118"/>
        <v>2.5</v>
      </c>
      <c r="AG1050" s="580">
        <f t="shared" si="119"/>
        <v>0</v>
      </c>
      <c r="AH1050" s="580">
        <f t="shared" si="120"/>
        <v>0</v>
      </c>
    </row>
    <row r="1051" spans="28:34">
      <c r="AB1051" s="580">
        <f>HLOOKUP("*"&amp;'Output annual'!$AC$2&amp;'Output annual'!$AD$2&amp;"*Zone People Number Of Occupants [](Hourly)",'Eplus results'!$1:$1048576,ROW(),FALSE)</f>
        <v>0</v>
      </c>
      <c r="AC1051" s="580">
        <f>HLOOKUP("*"&amp;'Output annual'!$AC$2&amp;'Output annual'!$AD$2&amp;"*FangerPMV(Hourly)",'Eplus results'!$1:$1048576,ROW(),FALSE)</f>
        <v>0</v>
      </c>
      <c r="AD1051" s="580">
        <f t="shared" si="116"/>
        <v>5</v>
      </c>
      <c r="AE1051" s="580">
        <f t="shared" si="117"/>
        <v>2.5</v>
      </c>
      <c r="AF1051" s="580">
        <f t="shared" si="118"/>
        <v>2.5</v>
      </c>
      <c r="AG1051" s="580">
        <f t="shared" si="119"/>
        <v>0</v>
      </c>
      <c r="AH1051" s="580">
        <f t="shared" si="120"/>
        <v>0</v>
      </c>
    </row>
    <row r="1052" spans="28:34">
      <c r="AB1052" s="580">
        <f>HLOOKUP("*"&amp;'Output annual'!$AC$2&amp;'Output annual'!$AD$2&amp;"*Zone People Number Of Occupants [](Hourly)",'Eplus results'!$1:$1048576,ROW(),FALSE)</f>
        <v>0</v>
      </c>
      <c r="AC1052" s="580">
        <f>HLOOKUP("*"&amp;'Output annual'!$AC$2&amp;'Output annual'!$AD$2&amp;"*FangerPMV(Hourly)",'Eplus results'!$1:$1048576,ROW(),FALSE)</f>
        <v>0</v>
      </c>
      <c r="AD1052" s="580">
        <f t="shared" si="116"/>
        <v>5</v>
      </c>
      <c r="AE1052" s="580">
        <f t="shared" si="117"/>
        <v>2.5</v>
      </c>
      <c r="AF1052" s="580">
        <f t="shared" si="118"/>
        <v>2.5</v>
      </c>
      <c r="AG1052" s="580">
        <f t="shared" si="119"/>
        <v>0</v>
      </c>
      <c r="AH1052" s="580">
        <f t="shared" si="120"/>
        <v>0</v>
      </c>
    </row>
    <row r="1053" spans="28:34">
      <c r="AB1053" s="580">
        <f>HLOOKUP("*"&amp;'Output annual'!$AC$2&amp;'Output annual'!$AD$2&amp;"*Zone People Number Of Occupants [](Hourly)",'Eplus results'!$1:$1048576,ROW(),FALSE)</f>
        <v>0</v>
      </c>
      <c r="AC1053" s="580">
        <f>HLOOKUP("*"&amp;'Output annual'!$AC$2&amp;'Output annual'!$AD$2&amp;"*FangerPMV(Hourly)",'Eplus results'!$1:$1048576,ROW(),FALSE)</f>
        <v>0</v>
      </c>
      <c r="AD1053" s="580">
        <f t="shared" si="116"/>
        <v>5</v>
      </c>
      <c r="AE1053" s="580">
        <f t="shared" si="117"/>
        <v>2.5</v>
      </c>
      <c r="AF1053" s="580">
        <f t="shared" si="118"/>
        <v>2.5</v>
      </c>
      <c r="AG1053" s="580">
        <f t="shared" si="119"/>
        <v>0</v>
      </c>
      <c r="AH1053" s="580">
        <f t="shared" si="120"/>
        <v>0</v>
      </c>
    </row>
    <row r="1054" spans="28:34">
      <c r="AB1054" s="580">
        <f>HLOOKUP("*"&amp;'Output annual'!$AC$2&amp;'Output annual'!$AD$2&amp;"*Zone People Number Of Occupants [](Hourly)",'Eplus results'!$1:$1048576,ROW(),FALSE)</f>
        <v>0</v>
      </c>
      <c r="AC1054" s="580">
        <f>HLOOKUP("*"&amp;'Output annual'!$AC$2&amp;'Output annual'!$AD$2&amp;"*FangerPMV(Hourly)",'Eplus results'!$1:$1048576,ROW(),FALSE)</f>
        <v>0</v>
      </c>
      <c r="AD1054" s="580">
        <f t="shared" si="116"/>
        <v>5</v>
      </c>
      <c r="AE1054" s="580">
        <f t="shared" si="117"/>
        <v>2.5</v>
      </c>
      <c r="AF1054" s="580">
        <f t="shared" si="118"/>
        <v>2.5</v>
      </c>
      <c r="AG1054" s="580">
        <f t="shared" si="119"/>
        <v>0</v>
      </c>
      <c r="AH1054" s="580">
        <f t="shared" si="120"/>
        <v>0</v>
      </c>
    </row>
    <row r="1055" spans="28:34">
      <c r="AB1055" s="580">
        <f>HLOOKUP("*"&amp;'Output annual'!$AC$2&amp;'Output annual'!$AD$2&amp;"*Zone People Number Of Occupants [](Hourly)",'Eplus results'!$1:$1048576,ROW(),FALSE)</f>
        <v>0</v>
      </c>
      <c r="AC1055" s="580">
        <f>HLOOKUP("*"&amp;'Output annual'!$AC$2&amp;'Output annual'!$AD$2&amp;"*FangerPMV(Hourly)",'Eplus results'!$1:$1048576,ROW(),FALSE)</f>
        <v>0</v>
      </c>
      <c r="AD1055" s="580">
        <f t="shared" si="116"/>
        <v>5</v>
      </c>
      <c r="AE1055" s="580">
        <f t="shared" si="117"/>
        <v>2.5</v>
      </c>
      <c r="AF1055" s="580">
        <f t="shared" si="118"/>
        <v>2.5</v>
      </c>
      <c r="AG1055" s="580">
        <f t="shared" si="119"/>
        <v>0</v>
      </c>
      <c r="AH1055" s="580">
        <f t="shared" si="120"/>
        <v>0</v>
      </c>
    </row>
    <row r="1056" spans="28:34">
      <c r="AB1056" s="580">
        <f>HLOOKUP("*"&amp;'Output annual'!$AC$2&amp;'Output annual'!$AD$2&amp;"*Zone People Number Of Occupants [](Hourly)",'Eplus results'!$1:$1048576,ROW(),FALSE)</f>
        <v>0</v>
      </c>
      <c r="AC1056" s="580">
        <f>HLOOKUP("*"&amp;'Output annual'!$AC$2&amp;'Output annual'!$AD$2&amp;"*FangerPMV(Hourly)",'Eplus results'!$1:$1048576,ROW(),FALSE)</f>
        <v>0</v>
      </c>
      <c r="AD1056" s="580">
        <f t="shared" si="116"/>
        <v>5</v>
      </c>
      <c r="AE1056" s="580">
        <f t="shared" si="117"/>
        <v>2.5</v>
      </c>
      <c r="AF1056" s="580">
        <f t="shared" si="118"/>
        <v>2.5</v>
      </c>
      <c r="AG1056" s="580">
        <f t="shared" si="119"/>
        <v>0</v>
      </c>
      <c r="AH1056" s="580">
        <f t="shared" si="120"/>
        <v>0</v>
      </c>
    </row>
    <row r="1057" spans="28:34">
      <c r="AB1057" s="580">
        <f>HLOOKUP("*"&amp;'Output annual'!$AC$2&amp;'Output annual'!$AD$2&amp;"*Zone People Number Of Occupants [](Hourly)",'Eplus results'!$1:$1048576,ROW(),FALSE)</f>
        <v>0</v>
      </c>
      <c r="AC1057" s="580">
        <f>HLOOKUP("*"&amp;'Output annual'!$AC$2&amp;'Output annual'!$AD$2&amp;"*FangerPMV(Hourly)",'Eplus results'!$1:$1048576,ROW(),FALSE)</f>
        <v>0</v>
      </c>
      <c r="AD1057" s="580">
        <f t="shared" si="116"/>
        <v>5</v>
      </c>
      <c r="AE1057" s="580">
        <f t="shared" si="117"/>
        <v>2.5</v>
      </c>
      <c r="AF1057" s="580">
        <f t="shared" si="118"/>
        <v>2.5</v>
      </c>
      <c r="AG1057" s="580">
        <f t="shared" si="119"/>
        <v>0</v>
      </c>
      <c r="AH1057" s="580">
        <f t="shared" si="120"/>
        <v>0</v>
      </c>
    </row>
    <row r="1058" spans="28:34">
      <c r="AB1058" s="580">
        <f>HLOOKUP("*"&amp;'Output annual'!$AC$2&amp;'Output annual'!$AD$2&amp;"*Zone People Number Of Occupants [](Hourly)",'Eplus results'!$1:$1048576,ROW(),FALSE)</f>
        <v>0</v>
      </c>
      <c r="AC1058" s="580">
        <f>HLOOKUP("*"&amp;'Output annual'!$AC$2&amp;'Output annual'!$AD$2&amp;"*FangerPMV(Hourly)",'Eplus results'!$1:$1048576,ROW(),FALSE)</f>
        <v>0</v>
      </c>
      <c r="AD1058" s="580">
        <f t="shared" si="116"/>
        <v>5</v>
      </c>
      <c r="AE1058" s="580">
        <f t="shared" si="117"/>
        <v>2.5</v>
      </c>
      <c r="AF1058" s="580">
        <f t="shared" si="118"/>
        <v>2.5</v>
      </c>
      <c r="AG1058" s="580">
        <f t="shared" si="119"/>
        <v>0</v>
      </c>
      <c r="AH1058" s="580">
        <f t="shared" si="120"/>
        <v>0</v>
      </c>
    </row>
    <row r="1059" spans="28:34">
      <c r="AB1059" s="580">
        <f>HLOOKUP("*"&amp;'Output annual'!$AC$2&amp;'Output annual'!$AD$2&amp;"*Zone People Number Of Occupants [](Hourly)",'Eplus results'!$1:$1048576,ROW(),FALSE)</f>
        <v>0</v>
      </c>
      <c r="AC1059" s="580">
        <f>HLOOKUP("*"&amp;'Output annual'!$AC$2&amp;'Output annual'!$AD$2&amp;"*FangerPMV(Hourly)",'Eplus results'!$1:$1048576,ROW(),FALSE)</f>
        <v>0</v>
      </c>
      <c r="AD1059" s="580">
        <f t="shared" si="116"/>
        <v>5</v>
      </c>
      <c r="AE1059" s="580">
        <f t="shared" si="117"/>
        <v>2.5</v>
      </c>
      <c r="AF1059" s="580">
        <f t="shared" si="118"/>
        <v>2.5</v>
      </c>
      <c r="AG1059" s="580">
        <f t="shared" si="119"/>
        <v>0</v>
      </c>
      <c r="AH1059" s="580">
        <f t="shared" si="120"/>
        <v>0</v>
      </c>
    </row>
    <row r="1060" spans="28:34">
      <c r="AB1060" s="580">
        <f>HLOOKUP("*"&amp;'Output annual'!$AC$2&amp;'Output annual'!$AD$2&amp;"*Zone People Number Of Occupants [](Hourly)",'Eplus results'!$1:$1048576,ROW(),FALSE)</f>
        <v>0</v>
      </c>
      <c r="AC1060" s="580">
        <f>HLOOKUP("*"&amp;'Output annual'!$AC$2&amp;'Output annual'!$AD$2&amp;"*FangerPMV(Hourly)",'Eplus results'!$1:$1048576,ROW(),FALSE)</f>
        <v>0</v>
      </c>
      <c r="AD1060" s="580">
        <f t="shared" si="116"/>
        <v>5</v>
      </c>
      <c r="AE1060" s="580">
        <f t="shared" si="117"/>
        <v>2.5</v>
      </c>
      <c r="AF1060" s="580">
        <f t="shared" si="118"/>
        <v>2.5</v>
      </c>
      <c r="AG1060" s="580">
        <f t="shared" si="119"/>
        <v>0</v>
      </c>
      <c r="AH1060" s="580">
        <f t="shared" si="120"/>
        <v>0</v>
      </c>
    </row>
    <row r="1061" spans="28:34">
      <c r="AB1061" s="580">
        <f>HLOOKUP("*"&amp;'Output annual'!$AC$2&amp;'Output annual'!$AD$2&amp;"*Zone People Number Of Occupants [](Hourly)",'Eplus results'!$1:$1048576,ROW(),FALSE)</f>
        <v>0</v>
      </c>
      <c r="AC1061" s="580">
        <f>HLOOKUP("*"&amp;'Output annual'!$AC$2&amp;'Output annual'!$AD$2&amp;"*FangerPMV(Hourly)",'Eplus results'!$1:$1048576,ROW(),FALSE)</f>
        <v>0</v>
      </c>
      <c r="AD1061" s="580">
        <f t="shared" si="116"/>
        <v>5</v>
      </c>
      <c r="AE1061" s="580">
        <f t="shared" si="117"/>
        <v>2.5</v>
      </c>
      <c r="AF1061" s="580">
        <f t="shared" si="118"/>
        <v>2.5</v>
      </c>
      <c r="AG1061" s="580">
        <f t="shared" si="119"/>
        <v>0</v>
      </c>
      <c r="AH1061" s="580">
        <f t="shared" si="120"/>
        <v>0</v>
      </c>
    </row>
    <row r="1062" spans="28:34">
      <c r="AB1062" s="580">
        <f>HLOOKUP("*"&amp;'Output annual'!$AC$2&amp;'Output annual'!$AD$2&amp;"*Zone People Number Of Occupants [](Hourly)",'Eplus results'!$1:$1048576,ROW(),FALSE)</f>
        <v>0</v>
      </c>
      <c r="AC1062" s="580">
        <f>HLOOKUP("*"&amp;'Output annual'!$AC$2&amp;'Output annual'!$AD$2&amp;"*FangerPMV(Hourly)",'Eplus results'!$1:$1048576,ROW(),FALSE)</f>
        <v>0</v>
      </c>
      <c r="AD1062" s="580">
        <f t="shared" si="116"/>
        <v>5</v>
      </c>
      <c r="AE1062" s="580">
        <f t="shared" si="117"/>
        <v>2.5</v>
      </c>
      <c r="AF1062" s="580">
        <f t="shared" si="118"/>
        <v>2.5</v>
      </c>
      <c r="AG1062" s="580">
        <f t="shared" si="119"/>
        <v>0</v>
      </c>
      <c r="AH1062" s="580">
        <f t="shared" si="120"/>
        <v>0</v>
      </c>
    </row>
    <row r="1063" spans="28:34">
      <c r="AB1063" s="580">
        <f>HLOOKUP("*"&amp;'Output annual'!$AC$2&amp;'Output annual'!$AD$2&amp;"*Zone People Number Of Occupants [](Hourly)",'Eplus results'!$1:$1048576,ROW(),FALSE)</f>
        <v>0</v>
      </c>
      <c r="AC1063" s="580">
        <f>HLOOKUP("*"&amp;'Output annual'!$AC$2&amp;'Output annual'!$AD$2&amp;"*FangerPMV(Hourly)",'Eplus results'!$1:$1048576,ROW(),FALSE)</f>
        <v>0</v>
      </c>
      <c r="AD1063" s="580">
        <f t="shared" si="116"/>
        <v>5</v>
      </c>
      <c r="AE1063" s="580">
        <f t="shared" si="117"/>
        <v>2.5</v>
      </c>
      <c r="AF1063" s="580">
        <f t="shared" si="118"/>
        <v>2.5</v>
      </c>
      <c r="AG1063" s="580">
        <f t="shared" si="119"/>
        <v>0</v>
      </c>
      <c r="AH1063" s="580">
        <f t="shared" si="120"/>
        <v>0</v>
      </c>
    </row>
    <row r="1064" spans="28:34">
      <c r="AB1064" s="580">
        <f>HLOOKUP("*"&amp;'Output annual'!$AC$2&amp;'Output annual'!$AD$2&amp;"*Zone People Number Of Occupants [](Hourly)",'Eplus results'!$1:$1048576,ROW(),FALSE)</f>
        <v>0</v>
      </c>
      <c r="AC1064" s="580">
        <f>HLOOKUP("*"&amp;'Output annual'!$AC$2&amp;'Output annual'!$AD$2&amp;"*FangerPMV(Hourly)",'Eplus results'!$1:$1048576,ROW(),FALSE)</f>
        <v>0</v>
      </c>
      <c r="AD1064" s="580">
        <f t="shared" si="116"/>
        <v>5</v>
      </c>
      <c r="AE1064" s="580">
        <f t="shared" si="117"/>
        <v>2.5</v>
      </c>
      <c r="AF1064" s="580">
        <f t="shared" si="118"/>
        <v>2.5</v>
      </c>
      <c r="AG1064" s="580">
        <f t="shared" si="119"/>
        <v>0</v>
      </c>
      <c r="AH1064" s="580">
        <f t="shared" si="120"/>
        <v>0</v>
      </c>
    </row>
    <row r="1065" spans="28:34">
      <c r="AB1065" s="580">
        <f>HLOOKUP("*"&amp;'Output annual'!$AC$2&amp;'Output annual'!$AD$2&amp;"*Zone People Number Of Occupants [](Hourly)",'Eplus results'!$1:$1048576,ROW(),FALSE)</f>
        <v>0</v>
      </c>
      <c r="AC1065" s="580">
        <f>HLOOKUP("*"&amp;'Output annual'!$AC$2&amp;'Output annual'!$AD$2&amp;"*FangerPMV(Hourly)",'Eplus results'!$1:$1048576,ROW(),FALSE)</f>
        <v>0</v>
      </c>
      <c r="AD1065" s="580">
        <f t="shared" si="116"/>
        <v>5</v>
      </c>
      <c r="AE1065" s="580">
        <f t="shared" si="117"/>
        <v>2.5</v>
      </c>
      <c r="AF1065" s="580">
        <f t="shared" si="118"/>
        <v>2.5</v>
      </c>
      <c r="AG1065" s="580">
        <f t="shared" si="119"/>
        <v>0</v>
      </c>
      <c r="AH1065" s="580">
        <f t="shared" si="120"/>
        <v>0</v>
      </c>
    </row>
    <row r="1066" spans="28:34">
      <c r="AB1066" s="580">
        <f>HLOOKUP("*"&amp;'Output annual'!$AC$2&amp;'Output annual'!$AD$2&amp;"*Zone People Number Of Occupants [](Hourly)",'Eplus results'!$1:$1048576,ROW(),FALSE)</f>
        <v>0</v>
      </c>
      <c r="AC1066" s="580">
        <f>HLOOKUP("*"&amp;'Output annual'!$AC$2&amp;'Output annual'!$AD$2&amp;"*FangerPMV(Hourly)",'Eplus results'!$1:$1048576,ROW(),FALSE)</f>
        <v>0</v>
      </c>
      <c r="AD1066" s="580">
        <f t="shared" si="116"/>
        <v>5</v>
      </c>
      <c r="AE1066" s="580">
        <f t="shared" si="117"/>
        <v>2.5</v>
      </c>
      <c r="AF1066" s="580">
        <f t="shared" si="118"/>
        <v>2.5</v>
      </c>
      <c r="AG1066" s="580">
        <f t="shared" si="119"/>
        <v>0</v>
      </c>
      <c r="AH1066" s="580">
        <f t="shared" si="120"/>
        <v>0</v>
      </c>
    </row>
    <row r="1067" spans="28:34">
      <c r="AB1067" s="580">
        <f>HLOOKUP("*"&amp;'Output annual'!$AC$2&amp;'Output annual'!$AD$2&amp;"*Zone People Number Of Occupants [](Hourly)",'Eplus results'!$1:$1048576,ROW(),FALSE)</f>
        <v>0</v>
      </c>
      <c r="AC1067" s="580">
        <f>HLOOKUP("*"&amp;'Output annual'!$AC$2&amp;'Output annual'!$AD$2&amp;"*FangerPMV(Hourly)",'Eplus results'!$1:$1048576,ROW(),FALSE)</f>
        <v>0</v>
      </c>
      <c r="AD1067" s="580">
        <f t="shared" si="116"/>
        <v>5</v>
      </c>
      <c r="AE1067" s="580">
        <f t="shared" si="117"/>
        <v>2.5</v>
      </c>
      <c r="AF1067" s="580">
        <f t="shared" si="118"/>
        <v>2.5</v>
      </c>
      <c r="AG1067" s="580">
        <f t="shared" si="119"/>
        <v>0</v>
      </c>
      <c r="AH1067" s="580">
        <f t="shared" si="120"/>
        <v>0</v>
      </c>
    </row>
    <row r="1068" spans="28:34">
      <c r="AB1068" s="580">
        <f>HLOOKUP("*"&amp;'Output annual'!$AC$2&amp;'Output annual'!$AD$2&amp;"*Zone People Number Of Occupants [](Hourly)",'Eplus results'!$1:$1048576,ROW(),FALSE)</f>
        <v>0</v>
      </c>
      <c r="AC1068" s="580">
        <f>HLOOKUP("*"&amp;'Output annual'!$AC$2&amp;'Output annual'!$AD$2&amp;"*FangerPMV(Hourly)",'Eplus results'!$1:$1048576,ROW(),FALSE)</f>
        <v>0</v>
      </c>
      <c r="AD1068" s="580">
        <f t="shared" si="116"/>
        <v>5</v>
      </c>
      <c r="AE1068" s="580">
        <f t="shared" si="117"/>
        <v>2.5</v>
      </c>
      <c r="AF1068" s="580">
        <f t="shared" si="118"/>
        <v>2.5</v>
      </c>
      <c r="AG1068" s="580">
        <f t="shared" si="119"/>
        <v>0</v>
      </c>
      <c r="AH1068" s="580">
        <f t="shared" si="120"/>
        <v>0</v>
      </c>
    </row>
    <row r="1069" spans="28:34">
      <c r="AB1069" s="580">
        <f>HLOOKUP("*"&amp;'Output annual'!$AC$2&amp;'Output annual'!$AD$2&amp;"*Zone People Number Of Occupants [](Hourly)",'Eplus results'!$1:$1048576,ROW(),FALSE)</f>
        <v>0</v>
      </c>
      <c r="AC1069" s="580">
        <f>HLOOKUP("*"&amp;'Output annual'!$AC$2&amp;'Output annual'!$AD$2&amp;"*FangerPMV(Hourly)",'Eplus results'!$1:$1048576,ROW(),FALSE)</f>
        <v>0</v>
      </c>
      <c r="AD1069" s="580">
        <f t="shared" si="116"/>
        <v>5</v>
      </c>
      <c r="AE1069" s="580">
        <f t="shared" si="117"/>
        <v>2.5</v>
      </c>
      <c r="AF1069" s="580">
        <f t="shared" si="118"/>
        <v>2.5</v>
      </c>
      <c r="AG1069" s="580">
        <f t="shared" si="119"/>
        <v>0</v>
      </c>
      <c r="AH1069" s="580">
        <f t="shared" si="120"/>
        <v>0</v>
      </c>
    </row>
    <row r="1070" spans="28:34">
      <c r="AB1070" s="580">
        <f>HLOOKUP("*"&amp;'Output annual'!$AC$2&amp;'Output annual'!$AD$2&amp;"*Zone People Number Of Occupants [](Hourly)",'Eplus results'!$1:$1048576,ROW(),FALSE)</f>
        <v>0</v>
      </c>
      <c r="AC1070" s="580">
        <f>HLOOKUP("*"&amp;'Output annual'!$AC$2&amp;'Output annual'!$AD$2&amp;"*FangerPMV(Hourly)",'Eplus results'!$1:$1048576,ROW(),FALSE)</f>
        <v>0</v>
      </c>
      <c r="AD1070" s="580">
        <f t="shared" si="116"/>
        <v>5</v>
      </c>
      <c r="AE1070" s="580">
        <f t="shared" si="117"/>
        <v>2.5</v>
      </c>
      <c r="AF1070" s="580">
        <f t="shared" si="118"/>
        <v>2.5</v>
      </c>
      <c r="AG1070" s="580">
        <f t="shared" si="119"/>
        <v>0</v>
      </c>
      <c r="AH1070" s="580">
        <f t="shared" si="120"/>
        <v>0</v>
      </c>
    </row>
    <row r="1071" spans="28:34">
      <c r="AB1071" s="580">
        <f>HLOOKUP("*"&amp;'Output annual'!$AC$2&amp;'Output annual'!$AD$2&amp;"*Zone People Number Of Occupants [](Hourly)",'Eplus results'!$1:$1048576,ROW(),FALSE)</f>
        <v>0</v>
      </c>
      <c r="AC1071" s="580">
        <f>HLOOKUP("*"&amp;'Output annual'!$AC$2&amp;'Output annual'!$AD$2&amp;"*FangerPMV(Hourly)",'Eplus results'!$1:$1048576,ROW(),FALSE)</f>
        <v>0</v>
      </c>
      <c r="AD1071" s="580">
        <f t="shared" si="116"/>
        <v>5</v>
      </c>
      <c r="AE1071" s="580">
        <f t="shared" si="117"/>
        <v>2.5</v>
      </c>
      <c r="AF1071" s="580">
        <f t="shared" si="118"/>
        <v>2.5</v>
      </c>
      <c r="AG1071" s="580">
        <f t="shared" si="119"/>
        <v>0</v>
      </c>
      <c r="AH1071" s="580">
        <f t="shared" si="120"/>
        <v>0</v>
      </c>
    </row>
    <row r="1072" spans="28:34">
      <c r="AB1072" s="580">
        <f>HLOOKUP("*"&amp;'Output annual'!$AC$2&amp;'Output annual'!$AD$2&amp;"*Zone People Number Of Occupants [](Hourly)",'Eplus results'!$1:$1048576,ROW(),FALSE)</f>
        <v>0</v>
      </c>
      <c r="AC1072" s="580">
        <f>HLOOKUP("*"&amp;'Output annual'!$AC$2&amp;'Output annual'!$AD$2&amp;"*FangerPMV(Hourly)",'Eplus results'!$1:$1048576,ROW(),FALSE)</f>
        <v>0</v>
      </c>
      <c r="AD1072" s="580">
        <f t="shared" si="116"/>
        <v>5</v>
      </c>
      <c r="AE1072" s="580">
        <f t="shared" si="117"/>
        <v>2.5</v>
      </c>
      <c r="AF1072" s="580">
        <f t="shared" si="118"/>
        <v>2.5</v>
      </c>
      <c r="AG1072" s="580">
        <f t="shared" si="119"/>
        <v>0</v>
      </c>
      <c r="AH1072" s="580">
        <f t="shared" si="120"/>
        <v>0</v>
      </c>
    </row>
    <row r="1073" spans="28:34">
      <c r="AB1073" s="580">
        <f>HLOOKUP("*"&amp;'Output annual'!$AC$2&amp;'Output annual'!$AD$2&amp;"*Zone People Number Of Occupants [](Hourly)",'Eplus results'!$1:$1048576,ROW(),FALSE)</f>
        <v>0</v>
      </c>
      <c r="AC1073" s="580">
        <f>HLOOKUP("*"&amp;'Output annual'!$AC$2&amp;'Output annual'!$AD$2&amp;"*FangerPMV(Hourly)",'Eplus results'!$1:$1048576,ROW(),FALSE)</f>
        <v>0</v>
      </c>
      <c r="AD1073" s="580">
        <f t="shared" si="116"/>
        <v>5</v>
      </c>
      <c r="AE1073" s="580">
        <f t="shared" si="117"/>
        <v>2.5</v>
      </c>
      <c r="AF1073" s="580">
        <f t="shared" si="118"/>
        <v>2.5</v>
      </c>
      <c r="AG1073" s="580">
        <f t="shared" si="119"/>
        <v>0</v>
      </c>
      <c r="AH1073" s="580">
        <f t="shared" si="120"/>
        <v>0</v>
      </c>
    </row>
    <row r="1074" spans="28:34">
      <c r="AB1074" s="580">
        <f>HLOOKUP("*"&amp;'Output annual'!$AC$2&amp;'Output annual'!$AD$2&amp;"*Zone People Number Of Occupants [](Hourly)",'Eplus results'!$1:$1048576,ROW(),FALSE)</f>
        <v>0</v>
      </c>
      <c r="AC1074" s="580">
        <f>HLOOKUP("*"&amp;'Output annual'!$AC$2&amp;'Output annual'!$AD$2&amp;"*FangerPMV(Hourly)",'Eplus results'!$1:$1048576,ROW(),FALSE)</f>
        <v>0</v>
      </c>
      <c r="AD1074" s="580">
        <f t="shared" si="116"/>
        <v>5</v>
      </c>
      <c r="AE1074" s="580">
        <f t="shared" si="117"/>
        <v>2.5</v>
      </c>
      <c r="AF1074" s="580">
        <f t="shared" si="118"/>
        <v>2.5</v>
      </c>
      <c r="AG1074" s="580">
        <f t="shared" si="119"/>
        <v>0</v>
      </c>
      <c r="AH1074" s="580">
        <f t="shared" si="120"/>
        <v>0</v>
      </c>
    </row>
    <row r="1075" spans="28:34">
      <c r="AB1075" s="580">
        <f>HLOOKUP("*"&amp;'Output annual'!$AC$2&amp;'Output annual'!$AD$2&amp;"*Zone People Number Of Occupants [](Hourly)",'Eplus results'!$1:$1048576,ROW(),FALSE)</f>
        <v>0</v>
      </c>
      <c r="AC1075" s="580">
        <f>HLOOKUP("*"&amp;'Output annual'!$AC$2&amp;'Output annual'!$AD$2&amp;"*FangerPMV(Hourly)",'Eplus results'!$1:$1048576,ROW(),FALSE)</f>
        <v>0</v>
      </c>
      <c r="AD1075" s="580">
        <f t="shared" si="116"/>
        <v>5</v>
      </c>
      <c r="AE1075" s="580">
        <f t="shared" si="117"/>
        <v>2.5</v>
      </c>
      <c r="AF1075" s="580">
        <f t="shared" si="118"/>
        <v>2.5</v>
      </c>
      <c r="AG1075" s="580">
        <f t="shared" si="119"/>
        <v>0</v>
      </c>
      <c r="AH1075" s="580">
        <f t="shared" si="120"/>
        <v>0</v>
      </c>
    </row>
    <row r="1076" spans="28:34">
      <c r="AB1076" s="580">
        <f>HLOOKUP("*"&amp;'Output annual'!$AC$2&amp;'Output annual'!$AD$2&amp;"*Zone People Number Of Occupants [](Hourly)",'Eplus results'!$1:$1048576,ROW(),FALSE)</f>
        <v>0</v>
      </c>
      <c r="AC1076" s="580">
        <f>HLOOKUP("*"&amp;'Output annual'!$AC$2&amp;'Output annual'!$AD$2&amp;"*FangerPMV(Hourly)",'Eplus results'!$1:$1048576,ROW(),FALSE)</f>
        <v>0</v>
      </c>
      <c r="AD1076" s="580">
        <f t="shared" si="116"/>
        <v>5</v>
      </c>
      <c r="AE1076" s="580">
        <f t="shared" si="117"/>
        <v>2.5</v>
      </c>
      <c r="AF1076" s="580">
        <f t="shared" si="118"/>
        <v>2.5</v>
      </c>
      <c r="AG1076" s="580">
        <f t="shared" si="119"/>
        <v>0</v>
      </c>
      <c r="AH1076" s="580">
        <f t="shared" si="120"/>
        <v>0</v>
      </c>
    </row>
    <row r="1077" spans="28:34">
      <c r="AB1077" s="580">
        <f>HLOOKUP("*"&amp;'Output annual'!$AC$2&amp;'Output annual'!$AD$2&amp;"*Zone People Number Of Occupants [](Hourly)",'Eplus results'!$1:$1048576,ROW(),FALSE)</f>
        <v>0</v>
      </c>
      <c r="AC1077" s="580">
        <f>HLOOKUP("*"&amp;'Output annual'!$AC$2&amp;'Output annual'!$AD$2&amp;"*FangerPMV(Hourly)",'Eplus results'!$1:$1048576,ROW(),FALSE)</f>
        <v>0</v>
      </c>
      <c r="AD1077" s="580">
        <f t="shared" si="116"/>
        <v>5</v>
      </c>
      <c r="AE1077" s="580">
        <f t="shared" si="117"/>
        <v>2.5</v>
      </c>
      <c r="AF1077" s="580">
        <f t="shared" si="118"/>
        <v>2.5</v>
      </c>
      <c r="AG1077" s="580">
        <f t="shared" si="119"/>
        <v>0</v>
      </c>
      <c r="AH1077" s="580">
        <f t="shared" si="120"/>
        <v>0</v>
      </c>
    </row>
    <row r="1078" spans="28:34">
      <c r="AB1078" s="580">
        <f>HLOOKUP("*"&amp;'Output annual'!$AC$2&amp;'Output annual'!$AD$2&amp;"*Zone People Number Of Occupants [](Hourly)",'Eplus results'!$1:$1048576,ROW(),FALSE)</f>
        <v>0</v>
      </c>
      <c r="AC1078" s="580">
        <f>HLOOKUP("*"&amp;'Output annual'!$AC$2&amp;'Output annual'!$AD$2&amp;"*FangerPMV(Hourly)",'Eplus results'!$1:$1048576,ROW(),FALSE)</f>
        <v>0</v>
      </c>
      <c r="AD1078" s="580">
        <f t="shared" si="116"/>
        <v>5</v>
      </c>
      <c r="AE1078" s="580">
        <f t="shared" si="117"/>
        <v>2.5</v>
      </c>
      <c r="AF1078" s="580">
        <f t="shared" si="118"/>
        <v>2.5</v>
      </c>
      <c r="AG1078" s="580">
        <f t="shared" si="119"/>
        <v>0</v>
      </c>
      <c r="AH1078" s="580">
        <f t="shared" si="120"/>
        <v>0</v>
      </c>
    </row>
    <row r="1079" spans="28:34">
      <c r="AB1079" s="580">
        <f>HLOOKUP("*"&amp;'Output annual'!$AC$2&amp;'Output annual'!$AD$2&amp;"*Zone People Number Of Occupants [](Hourly)",'Eplus results'!$1:$1048576,ROW(),FALSE)</f>
        <v>0</v>
      </c>
      <c r="AC1079" s="580">
        <f>HLOOKUP("*"&amp;'Output annual'!$AC$2&amp;'Output annual'!$AD$2&amp;"*FangerPMV(Hourly)",'Eplus results'!$1:$1048576,ROW(),FALSE)</f>
        <v>0</v>
      </c>
      <c r="AD1079" s="580">
        <f t="shared" si="116"/>
        <v>5</v>
      </c>
      <c r="AE1079" s="580">
        <f t="shared" si="117"/>
        <v>2.5</v>
      </c>
      <c r="AF1079" s="580">
        <f t="shared" si="118"/>
        <v>2.5</v>
      </c>
      <c r="AG1079" s="580">
        <f t="shared" si="119"/>
        <v>0</v>
      </c>
      <c r="AH1079" s="580">
        <f t="shared" si="120"/>
        <v>0</v>
      </c>
    </row>
    <row r="1080" spans="28:34">
      <c r="AB1080" s="580">
        <f>HLOOKUP("*"&amp;'Output annual'!$AC$2&amp;'Output annual'!$AD$2&amp;"*Zone People Number Of Occupants [](Hourly)",'Eplus results'!$1:$1048576,ROW(),FALSE)</f>
        <v>0</v>
      </c>
      <c r="AC1080" s="580">
        <f>HLOOKUP("*"&amp;'Output annual'!$AC$2&amp;'Output annual'!$AD$2&amp;"*FangerPMV(Hourly)",'Eplus results'!$1:$1048576,ROW(),FALSE)</f>
        <v>0</v>
      </c>
      <c r="AD1080" s="580">
        <f t="shared" si="116"/>
        <v>5</v>
      </c>
      <c r="AE1080" s="580">
        <f t="shared" si="117"/>
        <v>2.5</v>
      </c>
      <c r="AF1080" s="580">
        <f t="shared" si="118"/>
        <v>2.5</v>
      </c>
      <c r="AG1080" s="580">
        <f t="shared" si="119"/>
        <v>0</v>
      </c>
      <c r="AH1080" s="580">
        <f t="shared" si="120"/>
        <v>0</v>
      </c>
    </row>
    <row r="1081" spans="28:34">
      <c r="AB1081" s="580">
        <f>HLOOKUP("*"&amp;'Output annual'!$AC$2&amp;'Output annual'!$AD$2&amp;"*Zone People Number Of Occupants [](Hourly)",'Eplus results'!$1:$1048576,ROW(),FALSE)</f>
        <v>0</v>
      </c>
      <c r="AC1081" s="580">
        <f>HLOOKUP("*"&amp;'Output annual'!$AC$2&amp;'Output annual'!$AD$2&amp;"*FangerPMV(Hourly)",'Eplus results'!$1:$1048576,ROW(),FALSE)</f>
        <v>0</v>
      </c>
      <c r="AD1081" s="580">
        <f t="shared" si="116"/>
        <v>5</v>
      </c>
      <c r="AE1081" s="580">
        <f t="shared" si="117"/>
        <v>2.5</v>
      </c>
      <c r="AF1081" s="580">
        <f t="shared" si="118"/>
        <v>2.5</v>
      </c>
      <c r="AG1081" s="580">
        <f t="shared" si="119"/>
        <v>0</v>
      </c>
      <c r="AH1081" s="580">
        <f t="shared" si="120"/>
        <v>0</v>
      </c>
    </row>
    <row r="1082" spans="28:34">
      <c r="AB1082" s="580">
        <f>HLOOKUP("*"&amp;'Output annual'!$AC$2&amp;'Output annual'!$AD$2&amp;"*Zone People Number Of Occupants [](Hourly)",'Eplus results'!$1:$1048576,ROW(),FALSE)</f>
        <v>0</v>
      </c>
      <c r="AC1082" s="580">
        <f>HLOOKUP("*"&amp;'Output annual'!$AC$2&amp;'Output annual'!$AD$2&amp;"*FangerPMV(Hourly)",'Eplus results'!$1:$1048576,ROW(),FALSE)</f>
        <v>0</v>
      </c>
      <c r="AD1082" s="580">
        <f t="shared" si="116"/>
        <v>5</v>
      </c>
      <c r="AE1082" s="580">
        <f t="shared" si="117"/>
        <v>2.5</v>
      </c>
      <c r="AF1082" s="580">
        <f t="shared" si="118"/>
        <v>2.5</v>
      </c>
      <c r="AG1082" s="580">
        <f t="shared" si="119"/>
        <v>0</v>
      </c>
      <c r="AH1082" s="580">
        <f t="shared" si="120"/>
        <v>0</v>
      </c>
    </row>
    <row r="1083" spans="28:34">
      <c r="AB1083" s="580">
        <f>HLOOKUP("*"&amp;'Output annual'!$AC$2&amp;'Output annual'!$AD$2&amp;"*Zone People Number Of Occupants [](Hourly)",'Eplus results'!$1:$1048576,ROW(),FALSE)</f>
        <v>0</v>
      </c>
      <c r="AC1083" s="580">
        <f>HLOOKUP("*"&amp;'Output annual'!$AC$2&amp;'Output annual'!$AD$2&amp;"*FangerPMV(Hourly)",'Eplus results'!$1:$1048576,ROW(),FALSE)</f>
        <v>0</v>
      </c>
      <c r="AD1083" s="580">
        <f t="shared" si="116"/>
        <v>5</v>
      </c>
      <c r="AE1083" s="580">
        <f t="shared" si="117"/>
        <v>2.5</v>
      </c>
      <c r="AF1083" s="580">
        <f t="shared" si="118"/>
        <v>2.5</v>
      </c>
      <c r="AG1083" s="580">
        <f t="shared" si="119"/>
        <v>0</v>
      </c>
      <c r="AH1083" s="580">
        <f t="shared" si="120"/>
        <v>0</v>
      </c>
    </row>
    <row r="1084" spans="28:34">
      <c r="AB1084" s="580">
        <f>HLOOKUP("*"&amp;'Output annual'!$AC$2&amp;'Output annual'!$AD$2&amp;"*Zone People Number Of Occupants [](Hourly)",'Eplus results'!$1:$1048576,ROW(),FALSE)</f>
        <v>0</v>
      </c>
      <c r="AC1084" s="580">
        <f>HLOOKUP("*"&amp;'Output annual'!$AC$2&amp;'Output annual'!$AD$2&amp;"*FangerPMV(Hourly)",'Eplus results'!$1:$1048576,ROW(),FALSE)</f>
        <v>0</v>
      </c>
      <c r="AD1084" s="580">
        <f t="shared" si="116"/>
        <v>5</v>
      </c>
      <c r="AE1084" s="580">
        <f t="shared" si="117"/>
        <v>2.5</v>
      </c>
      <c r="AF1084" s="580">
        <f t="shared" si="118"/>
        <v>2.5</v>
      </c>
      <c r="AG1084" s="580">
        <f t="shared" si="119"/>
        <v>0</v>
      </c>
      <c r="AH1084" s="580">
        <f t="shared" si="120"/>
        <v>0</v>
      </c>
    </row>
    <row r="1085" spans="28:34">
      <c r="AB1085" s="580">
        <f>HLOOKUP("*"&amp;'Output annual'!$AC$2&amp;'Output annual'!$AD$2&amp;"*Zone People Number Of Occupants [](Hourly)",'Eplus results'!$1:$1048576,ROW(),FALSE)</f>
        <v>0</v>
      </c>
      <c r="AC1085" s="580">
        <f>HLOOKUP("*"&amp;'Output annual'!$AC$2&amp;'Output annual'!$AD$2&amp;"*FangerPMV(Hourly)",'Eplus results'!$1:$1048576,ROW(),FALSE)</f>
        <v>0</v>
      </c>
      <c r="AD1085" s="580">
        <f t="shared" si="116"/>
        <v>5</v>
      </c>
      <c r="AE1085" s="580">
        <f t="shared" si="117"/>
        <v>2.5</v>
      </c>
      <c r="AF1085" s="580">
        <f t="shared" si="118"/>
        <v>2.5</v>
      </c>
      <c r="AG1085" s="580">
        <f t="shared" si="119"/>
        <v>0</v>
      </c>
      <c r="AH1085" s="580">
        <f t="shared" si="120"/>
        <v>0</v>
      </c>
    </row>
    <row r="1086" spans="28:34">
      <c r="AB1086" s="580">
        <f>HLOOKUP("*"&amp;'Output annual'!$AC$2&amp;'Output annual'!$AD$2&amp;"*Zone People Number Of Occupants [](Hourly)",'Eplus results'!$1:$1048576,ROW(),FALSE)</f>
        <v>0</v>
      </c>
      <c r="AC1086" s="580">
        <f>HLOOKUP("*"&amp;'Output annual'!$AC$2&amp;'Output annual'!$AD$2&amp;"*FangerPMV(Hourly)",'Eplus results'!$1:$1048576,ROW(),FALSE)</f>
        <v>0</v>
      </c>
      <c r="AD1086" s="580">
        <f t="shared" si="116"/>
        <v>5</v>
      </c>
      <c r="AE1086" s="580">
        <f t="shared" si="117"/>
        <v>2.5</v>
      </c>
      <c r="AF1086" s="580">
        <f t="shared" si="118"/>
        <v>2.5</v>
      </c>
      <c r="AG1086" s="580">
        <f t="shared" si="119"/>
        <v>0</v>
      </c>
      <c r="AH1086" s="580">
        <f t="shared" si="120"/>
        <v>0</v>
      </c>
    </row>
    <row r="1087" spans="28:34">
      <c r="AB1087" s="580">
        <f>HLOOKUP("*"&amp;'Output annual'!$AC$2&amp;'Output annual'!$AD$2&amp;"*Zone People Number Of Occupants [](Hourly)",'Eplus results'!$1:$1048576,ROW(),FALSE)</f>
        <v>0</v>
      </c>
      <c r="AC1087" s="580">
        <f>HLOOKUP("*"&amp;'Output annual'!$AC$2&amp;'Output annual'!$AD$2&amp;"*FangerPMV(Hourly)",'Eplus results'!$1:$1048576,ROW(),FALSE)</f>
        <v>0</v>
      </c>
      <c r="AD1087" s="580">
        <f t="shared" si="116"/>
        <v>5</v>
      </c>
      <c r="AE1087" s="580">
        <f t="shared" si="117"/>
        <v>2.5</v>
      </c>
      <c r="AF1087" s="580">
        <f t="shared" si="118"/>
        <v>2.5</v>
      </c>
      <c r="AG1087" s="580">
        <f t="shared" si="119"/>
        <v>0</v>
      </c>
      <c r="AH1087" s="580">
        <f t="shared" si="120"/>
        <v>0</v>
      </c>
    </row>
    <row r="1088" spans="28:34">
      <c r="AB1088" s="580">
        <f>HLOOKUP("*"&amp;'Output annual'!$AC$2&amp;'Output annual'!$AD$2&amp;"*Zone People Number Of Occupants [](Hourly)",'Eplus results'!$1:$1048576,ROW(),FALSE)</f>
        <v>0</v>
      </c>
      <c r="AC1088" s="580">
        <f>HLOOKUP("*"&amp;'Output annual'!$AC$2&amp;'Output annual'!$AD$2&amp;"*FangerPMV(Hourly)",'Eplus results'!$1:$1048576,ROW(),FALSE)</f>
        <v>0</v>
      </c>
      <c r="AD1088" s="580">
        <f t="shared" si="116"/>
        <v>5</v>
      </c>
      <c r="AE1088" s="580">
        <f t="shared" si="117"/>
        <v>2.5</v>
      </c>
      <c r="AF1088" s="580">
        <f t="shared" si="118"/>
        <v>2.5</v>
      </c>
      <c r="AG1088" s="580">
        <f t="shared" si="119"/>
        <v>0</v>
      </c>
      <c r="AH1088" s="580">
        <f t="shared" si="120"/>
        <v>0</v>
      </c>
    </row>
    <row r="1089" spans="28:34">
      <c r="AB1089" s="580">
        <f>HLOOKUP("*"&amp;'Output annual'!$AC$2&amp;'Output annual'!$AD$2&amp;"*Zone People Number Of Occupants [](Hourly)",'Eplus results'!$1:$1048576,ROW(),FALSE)</f>
        <v>0</v>
      </c>
      <c r="AC1089" s="580">
        <f>HLOOKUP("*"&amp;'Output annual'!$AC$2&amp;'Output annual'!$AD$2&amp;"*FangerPMV(Hourly)",'Eplus results'!$1:$1048576,ROW(),FALSE)</f>
        <v>0</v>
      </c>
      <c r="AD1089" s="580">
        <f t="shared" si="116"/>
        <v>5</v>
      </c>
      <c r="AE1089" s="580">
        <f t="shared" si="117"/>
        <v>2.5</v>
      </c>
      <c r="AF1089" s="580">
        <f t="shared" si="118"/>
        <v>2.5</v>
      </c>
      <c r="AG1089" s="580">
        <f t="shared" si="119"/>
        <v>0</v>
      </c>
      <c r="AH1089" s="580">
        <f t="shared" si="120"/>
        <v>0</v>
      </c>
    </row>
    <row r="1090" spans="28:34">
      <c r="AB1090" s="580">
        <f>HLOOKUP("*"&amp;'Output annual'!$AC$2&amp;'Output annual'!$AD$2&amp;"*Zone People Number Of Occupants [](Hourly)",'Eplus results'!$1:$1048576,ROW(),FALSE)</f>
        <v>0</v>
      </c>
      <c r="AC1090" s="580">
        <f>HLOOKUP("*"&amp;'Output annual'!$AC$2&amp;'Output annual'!$AD$2&amp;"*FangerPMV(Hourly)",'Eplus results'!$1:$1048576,ROW(),FALSE)</f>
        <v>0</v>
      </c>
      <c r="AD1090" s="580">
        <f t="shared" si="116"/>
        <v>5</v>
      </c>
      <c r="AE1090" s="580">
        <f t="shared" si="117"/>
        <v>2.5</v>
      </c>
      <c r="AF1090" s="580">
        <f t="shared" si="118"/>
        <v>2.5</v>
      </c>
      <c r="AG1090" s="580">
        <f t="shared" si="119"/>
        <v>0</v>
      </c>
      <c r="AH1090" s="580">
        <f t="shared" si="120"/>
        <v>0</v>
      </c>
    </row>
    <row r="1091" spans="28:34">
      <c r="AB1091" s="580">
        <f>HLOOKUP("*"&amp;'Output annual'!$AC$2&amp;'Output annual'!$AD$2&amp;"*Zone People Number Of Occupants [](Hourly)",'Eplus results'!$1:$1048576,ROW(),FALSE)</f>
        <v>0</v>
      </c>
      <c r="AC1091" s="580">
        <f>HLOOKUP("*"&amp;'Output annual'!$AC$2&amp;'Output annual'!$AD$2&amp;"*FangerPMV(Hourly)",'Eplus results'!$1:$1048576,ROW(),FALSE)</f>
        <v>0</v>
      </c>
      <c r="AD1091" s="580">
        <f t="shared" ref="AD1091:AD1154" si="121">100-95*EXP(-0.03353*AC1091^4-0.2179*AC1091^2)</f>
        <v>5</v>
      </c>
      <c r="AE1091" s="580">
        <f t="shared" ref="AE1091:AE1154" si="122">AD1091*(1/(1+EXP(-6.3*$AC1091)))</f>
        <v>2.5</v>
      </c>
      <c r="AF1091" s="580">
        <f t="shared" ref="AF1091:AF1154" si="123">(AD1091-AE1091)</f>
        <v>2.5</v>
      </c>
      <c r="AG1091" s="580">
        <f t="shared" ref="AG1091:AG1154" si="124">AE1091*AB1091</f>
        <v>0</v>
      </c>
      <c r="AH1091" s="580">
        <f t="shared" ref="AH1091:AH1154" si="125">AF1091*AB1091</f>
        <v>0</v>
      </c>
    </row>
    <row r="1092" spans="28:34">
      <c r="AB1092" s="580">
        <f>HLOOKUP("*"&amp;'Output annual'!$AC$2&amp;'Output annual'!$AD$2&amp;"*Zone People Number Of Occupants [](Hourly)",'Eplus results'!$1:$1048576,ROW(),FALSE)</f>
        <v>0</v>
      </c>
      <c r="AC1092" s="580">
        <f>HLOOKUP("*"&amp;'Output annual'!$AC$2&amp;'Output annual'!$AD$2&amp;"*FangerPMV(Hourly)",'Eplus results'!$1:$1048576,ROW(),FALSE)</f>
        <v>0</v>
      </c>
      <c r="AD1092" s="580">
        <f t="shared" si="121"/>
        <v>5</v>
      </c>
      <c r="AE1092" s="580">
        <f t="shared" si="122"/>
        <v>2.5</v>
      </c>
      <c r="AF1092" s="580">
        <f t="shared" si="123"/>
        <v>2.5</v>
      </c>
      <c r="AG1092" s="580">
        <f t="shared" si="124"/>
        <v>0</v>
      </c>
      <c r="AH1092" s="580">
        <f t="shared" si="125"/>
        <v>0</v>
      </c>
    </row>
    <row r="1093" spans="28:34">
      <c r="AB1093" s="580">
        <f>HLOOKUP("*"&amp;'Output annual'!$AC$2&amp;'Output annual'!$AD$2&amp;"*Zone People Number Of Occupants [](Hourly)",'Eplus results'!$1:$1048576,ROW(),FALSE)</f>
        <v>0</v>
      </c>
      <c r="AC1093" s="580">
        <f>HLOOKUP("*"&amp;'Output annual'!$AC$2&amp;'Output annual'!$AD$2&amp;"*FangerPMV(Hourly)",'Eplus results'!$1:$1048576,ROW(),FALSE)</f>
        <v>0</v>
      </c>
      <c r="AD1093" s="580">
        <f t="shared" si="121"/>
        <v>5</v>
      </c>
      <c r="AE1093" s="580">
        <f t="shared" si="122"/>
        <v>2.5</v>
      </c>
      <c r="AF1093" s="580">
        <f t="shared" si="123"/>
        <v>2.5</v>
      </c>
      <c r="AG1093" s="580">
        <f t="shared" si="124"/>
        <v>0</v>
      </c>
      <c r="AH1093" s="580">
        <f t="shared" si="125"/>
        <v>0</v>
      </c>
    </row>
    <row r="1094" spans="28:34">
      <c r="AB1094" s="580">
        <f>HLOOKUP("*"&amp;'Output annual'!$AC$2&amp;'Output annual'!$AD$2&amp;"*Zone People Number Of Occupants [](Hourly)",'Eplus results'!$1:$1048576,ROW(),FALSE)</f>
        <v>0</v>
      </c>
      <c r="AC1094" s="580">
        <f>HLOOKUP("*"&amp;'Output annual'!$AC$2&amp;'Output annual'!$AD$2&amp;"*FangerPMV(Hourly)",'Eplus results'!$1:$1048576,ROW(),FALSE)</f>
        <v>0</v>
      </c>
      <c r="AD1094" s="580">
        <f t="shared" si="121"/>
        <v>5</v>
      </c>
      <c r="AE1094" s="580">
        <f t="shared" si="122"/>
        <v>2.5</v>
      </c>
      <c r="AF1094" s="580">
        <f t="shared" si="123"/>
        <v>2.5</v>
      </c>
      <c r="AG1094" s="580">
        <f t="shared" si="124"/>
        <v>0</v>
      </c>
      <c r="AH1094" s="580">
        <f t="shared" si="125"/>
        <v>0</v>
      </c>
    </row>
    <row r="1095" spans="28:34">
      <c r="AB1095" s="580">
        <f>HLOOKUP("*"&amp;'Output annual'!$AC$2&amp;'Output annual'!$AD$2&amp;"*Zone People Number Of Occupants [](Hourly)",'Eplus results'!$1:$1048576,ROW(),FALSE)</f>
        <v>0</v>
      </c>
      <c r="AC1095" s="580">
        <f>HLOOKUP("*"&amp;'Output annual'!$AC$2&amp;'Output annual'!$AD$2&amp;"*FangerPMV(Hourly)",'Eplus results'!$1:$1048576,ROW(),FALSE)</f>
        <v>0</v>
      </c>
      <c r="AD1095" s="580">
        <f t="shared" si="121"/>
        <v>5</v>
      </c>
      <c r="AE1095" s="580">
        <f t="shared" si="122"/>
        <v>2.5</v>
      </c>
      <c r="AF1095" s="580">
        <f t="shared" si="123"/>
        <v>2.5</v>
      </c>
      <c r="AG1095" s="580">
        <f t="shared" si="124"/>
        <v>0</v>
      </c>
      <c r="AH1095" s="580">
        <f t="shared" si="125"/>
        <v>0</v>
      </c>
    </row>
    <row r="1096" spans="28:34">
      <c r="AB1096" s="580">
        <f>HLOOKUP("*"&amp;'Output annual'!$AC$2&amp;'Output annual'!$AD$2&amp;"*Zone People Number Of Occupants [](Hourly)",'Eplus results'!$1:$1048576,ROW(),FALSE)</f>
        <v>0</v>
      </c>
      <c r="AC1096" s="580">
        <f>HLOOKUP("*"&amp;'Output annual'!$AC$2&amp;'Output annual'!$AD$2&amp;"*FangerPMV(Hourly)",'Eplus results'!$1:$1048576,ROW(),FALSE)</f>
        <v>0</v>
      </c>
      <c r="AD1096" s="580">
        <f t="shared" si="121"/>
        <v>5</v>
      </c>
      <c r="AE1096" s="580">
        <f t="shared" si="122"/>
        <v>2.5</v>
      </c>
      <c r="AF1096" s="580">
        <f t="shared" si="123"/>
        <v>2.5</v>
      </c>
      <c r="AG1096" s="580">
        <f t="shared" si="124"/>
        <v>0</v>
      </c>
      <c r="AH1096" s="580">
        <f t="shared" si="125"/>
        <v>0</v>
      </c>
    </row>
    <row r="1097" spans="28:34">
      <c r="AB1097" s="580">
        <f>HLOOKUP("*"&amp;'Output annual'!$AC$2&amp;'Output annual'!$AD$2&amp;"*Zone People Number Of Occupants [](Hourly)",'Eplus results'!$1:$1048576,ROW(),FALSE)</f>
        <v>0</v>
      </c>
      <c r="AC1097" s="580">
        <f>HLOOKUP("*"&amp;'Output annual'!$AC$2&amp;'Output annual'!$AD$2&amp;"*FangerPMV(Hourly)",'Eplus results'!$1:$1048576,ROW(),FALSE)</f>
        <v>0</v>
      </c>
      <c r="AD1097" s="580">
        <f t="shared" si="121"/>
        <v>5</v>
      </c>
      <c r="AE1097" s="580">
        <f t="shared" si="122"/>
        <v>2.5</v>
      </c>
      <c r="AF1097" s="580">
        <f t="shared" si="123"/>
        <v>2.5</v>
      </c>
      <c r="AG1097" s="580">
        <f t="shared" si="124"/>
        <v>0</v>
      </c>
      <c r="AH1097" s="580">
        <f t="shared" si="125"/>
        <v>0</v>
      </c>
    </row>
    <row r="1098" spans="28:34">
      <c r="AB1098" s="580">
        <f>HLOOKUP("*"&amp;'Output annual'!$AC$2&amp;'Output annual'!$AD$2&amp;"*Zone People Number Of Occupants [](Hourly)",'Eplus results'!$1:$1048576,ROW(),FALSE)</f>
        <v>0</v>
      </c>
      <c r="AC1098" s="580">
        <f>HLOOKUP("*"&amp;'Output annual'!$AC$2&amp;'Output annual'!$AD$2&amp;"*FangerPMV(Hourly)",'Eplus results'!$1:$1048576,ROW(),FALSE)</f>
        <v>0</v>
      </c>
      <c r="AD1098" s="580">
        <f t="shared" si="121"/>
        <v>5</v>
      </c>
      <c r="AE1098" s="580">
        <f t="shared" si="122"/>
        <v>2.5</v>
      </c>
      <c r="AF1098" s="580">
        <f t="shared" si="123"/>
        <v>2.5</v>
      </c>
      <c r="AG1098" s="580">
        <f t="shared" si="124"/>
        <v>0</v>
      </c>
      <c r="AH1098" s="580">
        <f t="shared" si="125"/>
        <v>0</v>
      </c>
    </row>
    <row r="1099" spans="28:34">
      <c r="AB1099" s="580">
        <f>HLOOKUP("*"&amp;'Output annual'!$AC$2&amp;'Output annual'!$AD$2&amp;"*Zone People Number Of Occupants [](Hourly)",'Eplus results'!$1:$1048576,ROW(),FALSE)</f>
        <v>0</v>
      </c>
      <c r="AC1099" s="580">
        <f>HLOOKUP("*"&amp;'Output annual'!$AC$2&amp;'Output annual'!$AD$2&amp;"*FangerPMV(Hourly)",'Eplus results'!$1:$1048576,ROW(),FALSE)</f>
        <v>0</v>
      </c>
      <c r="AD1099" s="580">
        <f t="shared" si="121"/>
        <v>5</v>
      </c>
      <c r="AE1099" s="580">
        <f t="shared" si="122"/>
        <v>2.5</v>
      </c>
      <c r="AF1099" s="580">
        <f t="shared" si="123"/>
        <v>2.5</v>
      </c>
      <c r="AG1099" s="580">
        <f t="shared" si="124"/>
        <v>0</v>
      </c>
      <c r="AH1099" s="580">
        <f t="shared" si="125"/>
        <v>0</v>
      </c>
    </row>
    <row r="1100" spans="28:34">
      <c r="AB1100" s="580">
        <f>HLOOKUP("*"&amp;'Output annual'!$AC$2&amp;'Output annual'!$AD$2&amp;"*Zone People Number Of Occupants [](Hourly)",'Eplus results'!$1:$1048576,ROW(),FALSE)</f>
        <v>0</v>
      </c>
      <c r="AC1100" s="580">
        <f>HLOOKUP("*"&amp;'Output annual'!$AC$2&amp;'Output annual'!$AD$2&amp;"*FangerPMV(Hourly)",'Eplus results'!$1:$1048576,ROW(),FALSE)</f>
        <v>0</v>
      </c>
      <c r="AD1100" s="580">
        <f t="shared" si="121"/>
        <v>5</v>
      </c>
      <c r="AE1100" s="580">
        <f t="shared" si="122"/>
        <v>2.5</v>
      </c>
      <c r="AF1100" s="580">
        <f t="shared" si="123"/>
        <v>2.5</v>
      </c>
      <c r="AG1100" s="580">
        <f t="shared" si="124"/>
        <v>0</v>
      </c>
      <c r="AH1100" s="580">
        <f t="shared" si="125"/>
        <v>0</v>
      </c>
    </row>
    <row r="1101" spans="28:34">
      <c r="AB1101" s="580">
        <f>HLOOKUP("*"&amp;'Output annual'!$AC$2&amp;'Output annual'!$AD$2&amp;"*Zone People Number Of Occupants [](Hourly)",'Eplus results'!$1:$1048576,ROW(),FALSE)</f>
        <v>0</v>
      </c>
      <c r="AC1101" s="580">
        <f>HLOOKUP("*"&amp;'Output annual'!$AC$2&amp;'Output annual'!$AD$2&amp;"*FangerPMV(Hourly)",'Eplus results'!$1:$1048576,ROW(),FALSE)</f>
        <v>0</v>
      </c>
      <c r="AD1101" s="580">
        <f t="shared" si="121"/>
        <v>5</v>
      </c>
      <c r="AE1101" s="580">
        <f t="shared" si="122"/>
        <v>2.5</v>
      </c>
      <c r="AF1101" s="580">
        <f t="shared" si="123"/>
        <v>2.5</v>
      </c>
      <c r="AG1101" s="580">
        <f t="shared" si="124"/>
        <v>0</v>
      </c>
      <c r="AH1101" s="580">
        <f t="shared" si="125"/>
        <v>0</v>
      </c>
    </row>
    <row r="1102" spans="28:34">
      <c r="AB1102" s="580">
        <f>HLOOKUP("*"&amp;'Output annual'!$AC$2&amp;'Output annual'!$AD$2&amp;"*Zone People Number Of Occupants [](Hourly)",'Eplus results'!$1:$1048576,ROW(),FALSE)</f>
        <v>0</v>
      </c>
      <c r="AC1102" s="580">
        <f>HLOOKUP("*"&amp;'Output annual'!$AC$2&amp;'Output annual'!$AD$2&amp;"*FangerPMV(Hourly)",'Eplus results'!$1:$1048576,ROW(),FALSE)</f>
        <v>0</v>
      </c>
      <c r="AD1102" s="580">
        <f t="shared" si="121"/>
        <v>5</v>
      </c>
      <c r="AE1102" s="580">
        <f t="shared" si="122"/>
        <v>2.5</v>
      </c>
      <c r="AF1102" s="580">
        <f t="shared" si="123"/>
        <v>2.5</v>
      </c>
      <c r="AG1102" s="580">
        <f t="shared" si="124"/>
        <v>0</v>
      </c>
      <c r="AH1102" s="580">
        <f t="shared" si="125"/>
        <v>0</v>
      </c>
    </row>
    <row r="1103" spans="28:34">
      <c r="AB1103" s="580">
        <f>HLOOKUP("*"&amp;'Output annual'!$AC$2&amp;'Output annual'!$AD$2&amp;"*Zone People Number Of Occupants [](Hourly)",'Eplus results'!$1:$1048576,ROW(),FALSE)</f>
        <v>0</v>
      </c>
      <c r="AC1103" s="580">
        <f>HLOOKUP("*"&amp;'Output annual'!$AC$2&amp;'Output annual'!$AD$2&amp;"*FangerPMV(Hourly)",'Eplus results'!$1:$1048576,ROW(),FALSE)</f>
        <v>0</v>
      </c>
      <c r="AD1103" s="580">
        <f t="shared" si="121"/>
        <v>5</v>
      </c>
      <c r="AE1103" s="580">
        <f t="shared" si="122"/>
        <v>2.5</v>
      </c>
      <c r="AF1103" s="580">
        <f t="shared" si="123"/>
        <v>2.5</v>
      </c>
      <c r="AG1103" s="580">
        <f t="shared" si="124"/>
        <v>0</v>
      </c>
      <c r="AH1103" s="580">
        <f t="shared" si="125"/>
        <v>0</v>
      </c>
    </row>
    <row r="1104" spans="28:34">
      <c r="AB1104" s="580">
        <f>HLOOKUP("*"&amp;'Output annual'!$AC$2&amp;'Output annual'!$AD$2&amp;"*Zone People Number Of Occupants [](Hourly)",'Eplus results'!$1:$1048576,ROW(),FALSE)</f>
        <v>0</v>
      </c>
      <c r="AC1104" s="580">
        <f>HLOOKUP("*"&amp;'Output annual'!$AC$2&amp;'Output annual'!$AD$2&amp;"*FangerPMV(Hourly)",'Eplus results'!$1:$1048576,ROW(),FALSE)</f>
        <v>0</v>
      </c>
      <c r="AD1104" s="580">
        <f t="shared" si="121"/>
        <v>5</v>
      </c>
      <c r="AE1104" s="580">
        <f t="shared" si="122"/>
        <v>2.5</v>
      </c>
      <c r="AF1104" s="580">
        <f t="shared" si="123"/>
        <v>2.5</v>
      </c>
      <c r="AG1104" s="580">
        <f t="shared" si="124"/>
        <v>0</v>
      </c>
      <c r="AH1104" s="580">
        <f t="shared" si="125"/>
        <v>0</v>
      </c>
    </row>
    <row r="1105" spans="28:34">
      <c r="AB1105" s="580">
        <f>HLOOKUP("*"&amp;'Output annual'!$AC$2&amp;'Output annual'!$AD$2&amp;"*Zone People Number Of Occupants [](Hourly)",'Eplus results'!$1:$1048576,ROW(),FALSE)</f>
        <v>0</v>
      </c>
      <c r="AC1105" s="580">
        <f>HLOOKUP("*"&amp;'Output annual'!$AC$2&amp;'Output annual'!$AD$2&amp;"*FangerPMV(Hourly)",'Eplus results'!$1:$1048576,ROW(),FALSE)</f>
        <v>0</v>
      </c>
      <c r="AD1105" s="580">
        <f t="shared" si="121"/>
        <v>5</v>
      </c>
      <c r="AE1105" s="580">
        <f t="shared" si="122"/>
        <v>2.5</v>
      </c>
      <c r="AF1105" s="580">
        <f t="shared" si="123"/>
        <v>2.5</v>
      </c>
      <c r="AG1105" s="580">
        <f t="shared" si="124"/>
        <v>0</v>
      </c>
      <c r="AH1105" s="580">
        <f t="shared" si="125"/>
        <v>0</v>
      </c>
    </row>
    <row r="1106" spans="28:34">
      <c r="AB1106" s="580">
        <f>HLOOKUP("*"&amp;'Output annual'!$AC$2&amp;'Output annual'!$AD$2&amp;"*Zone People Number Of Occupants [](Hourly)",'Eplus results'!$1:$1048576,ROW(),FALSE)</f>
        <v>0</v>
      </c>
      <c r="AC1106" s="580">
        <f>HLOOKUP("*"&amp;'Output annual'!$AC$2&amp;'Output annual'!$AD$2&amp;"*FangerPMV(Hourly)",'Eplus results'!$1:$1048576,ROW(),FALSE)</f>
        <v>0</v>
      </c>
      <c r="AD1106" s="580">
        <f t="shared" si="121"/>
        <v>5</v>
      </c>
      <c r="AE1106" s="580">
        <f t="shared" si="122"/>
        <v>2.5</v>
      </c>
      <c r="AF1106" s="580">
        <f t="shared" si="123"/>
        <v>2.5</v>
      </c>
      <c r="AG1106" s="580">
        <f t="shared" si="124"/>
        <v>0</v>
      </c>
      <c r="AH1106" s="580">
        <f t="shared" si="125"/>
        <v>0</v>
      </c>
    </row>
    <row r="1107" spans="28:34">
      <c r="AB1107" s="580">
        <f>HLOOKUP("*"&amp;'Output annual'!$AC$2&amp;'Output annual'!$AD$2&amp;"*Zone People Number Of Occupants [](Hourly)",'Eplus results'!$1:$1048576,ROW(),FALSE)</f>
        <v>0</v>
      </c>
      <c r="AC1107" s="580">
        <f>HLOOKUP("*"&amp;'Output annual'!$AC$2&amp;'Output annual'!$AD$2&amp;"*FangerPMV(Hourly)",'Eplus results'!$1:$1048576,ROW(),FALSE)</f>
        <v>0</v>
      </c>
      <c r="AD1107" s="580">
        <f t="shared" si="121"/>
        <v>5</v>
      </c>
      <c r="AE1107" s="580">
        <f t="shared" si="122"/>
        <v>2.5</v>
      </c>
      <c r="AF1107" s="580">
        <f t="shared" si="123"/>
        <v>2.5</v>
      </c>
      <c r="AG1107" s="580">
        <f t="shared" si="124"/>
        <v>0</v>
      </c>
      <c r="AH1107" s="580">
        <f t="shared" si="125"/>
        <v>0</v>
      </c>
    </row>
    <row r="1108" spans="28:34">
      <c r="AB1108" s="580">
        <f>HLOOKUP("*"&amp;'Output annual'!$AC$2&amp;'Output annual'!$AD$2&amp;"*Zone People Number Of Occupants [](Hourly)",'Eplus results'!$1:$1048576,ROW(),FALSE)</f>
        <v>0</v>
      </c>
      <c r="AC1108" s="580">
        <f>HLOOKUP("*"&amp;'Output annual'!$AC$2&amp;'Output annual'!$AD$2&amp;"*FangerPMV(Hourly)",'Eplus results'!$1:$1048576,ROW(),FALSE)</f>
        <v>0</v>
      </c>
      <c r="AD1108" s="580">
        <f t="shared" si="121"/>
        <v>5</v>
      </c>
      <c r="AE1108" s="580">
        <f t="shared" si="122"/>
        <v>2.5</v>
      </c>
      <c r="AF1108" s="580">
        <f t="shared" si="123"/>
        <v>2.5</v>
      </c>
      <c r="AG1108" s="580">
        <f t="shared" si="124"/>
        <v>0</v>
      </c>
      <c r="AH1108" s="580">
        <f t="shared" si="125"/>
        <v>0</v>
      </c>
    </row>
    <row r="1109" spans="28:34">
      <c r="AB1109" s="580">
        <f>HLOOKUP("*"&amp;'Output annual'!$AC$2&amp;'Output annual'!$AD$2&amp;"*Zone People Number Of Occupants [](Hourly)",'Eplus results'!$1:$1048576,ROW(),FALSE)</f>
        <v>0</v>
      </c>
      <c r="AC1109" s="580">
        <f>HLOOKUP("*"&amp;'Output annual'!$AC$2&amp;'Output annual'!$AD$2&amp;"*FangerPMV(Hourly)",'Eplus results'!$1:$1048576,ROW(),FALSE)</f>
        <v>0</v>
      </c>
      <c r="AD1109" s="580">
        <f t="shared" si="121"/>
        <v>5</v>
      </c>
      <c r="AE1109" s="580">
        <f t="shared" si="122"/>
        <v>2.5</v>
      </c>
      <c r="AF1109" s="580">
        <f t="shared" si="123"/>
        <v>2.5</v>
      </c>
      <c r="AG1109" s="580">
        <f t="shared" si="124"/>
        <v>0</v>
      </c>
      <c r="AH1109" s="580">
        <f t="shared" si="125"/>
        <v>0</v>
      </c>
    </row>
    <row r="1110" spans="28:34">
      <c r="AB1110" s="580">
        <f>HLOOKUP("*"&amp;'Output annual'!$AC$2&amp;'Output annual'!$AD$2&amp;"*Zone People Number Of Occupants [](Hourly)",'Eplus results'!$1:$1048576,ROW(),FALSE)</f>
        <v>0</v>
      </c>
      <c r="AC1110" s="580">
        <f>HLOOKUP("*"&amp;'Output annual'!$AC$2&amp;'Output annual'!$AD$2&amp;"*FangerPMV(Hourly)",'Eplus results'!$1:$1048576,ROW(),FALSE)</f>
        <v>0</v>
      </c>
      <c r="AD1110" s="580">
        <f t="shared" si="121"/>
        <v>5</v>
      </c>
      <c r="AE1110" s="580">
        <f t="shared" si="122"/>
        <v>2.5</v>
      </c>
      <c r="AF1110" s="580">
        <f t="shared" si="123"/>
        <v>2.5</v>
      </c>
      <c r="AG1110" s="580">
        <f t="shared" si="124"/>
        <v>0</v>
      </c>
      <c r="AH1110" s="580">
        <f t="shared" si="125"/>
        <v>0</v>
      </c>
    </row>
    <row r="1111" spans="28:34">
      <c r="AB1111" s="580">
        <f>HLOOKUP("*"&amp;'Output annual'!$AC$2&amp;'Output annual'!$AD$2&amp;"*Zone People Number Of Occupants [](Hourly)",'Eplus results'!$1:$1048576,ROW(),FALSE)</f>
        <v>0</v>
      </c>
      <c r="AC1111" s="580">
        <f>HLOOKUP("*"&amp;'Output annual'!$AC$2&amp;'Output annual'!$AD$2&amp;"*FangerPMV(Hourly)",'Eplus results'!$1:$1048576,ROW(),FALSE)</f>
        <v>0</v>
      </c>
      <c r="AD1111" s="580">
        <f t="shared" si="121"/>
        <v>5</v>
      </c>
      <c r="AE1111" s="580">
        <f t="shared" si="122"/>
        <v>2.5</v>
      </c>
      <c r="AF1111" s="580">
        <f t="shared" si="123"/>
        <v>2.5</v>
      </c>
      <c r="AG1111" s="580">
        <f t="shared" si="124"/>
        <v>0</v>
      </c>
      <c r="AH1111" s="580">
        <f t="shared" si="125"/>
        <v>0</v>
      </c>
    </row>
    <row r="1112" spans="28:34">
      <c r="AB1112" s="580">
        <f>HLOOKUP("*"&amp;'Output annual'!$AC$2&amp;'Output annual'!$AD$2&amp;"*Zone People Number Of Occupants [](Hourly)",'Eplus results'!$1:$1048576,ROW(),FALSE)</f>
        <v>0</v>
      </c>
      <c r="AC1112" s="580">
        <f>HLOOKUP("*"&amp;'Output annual'!$AC$2&amp;'Output annual'!$AD$2&amp;"*FangerPMV(Hourly)",'Eplus results'!$1:$1048576,ROW(),FALSE)</f>
        <v>0</v>
      </c>
      <c r="AD1112" s="580">
        <f t="shared" si="121"/>
        <v>5</v>
      </c>
      <c r="AE1112" s="580">
        <f t="shared" si="122"/>
        <v>2.5</v>
      </c>
      <c r="AF1112" s="580">
        <f t="shared" si="123"/>
        <v>2.5</v>
      </c>
      <c r="AG1112" s="580">
        <f t="shared" si="124"/>
        <v>0</v>
      </c>
      <c r="AH1112" s="580">
        <f t="shared" si="125"/>
        <v>0</v>
      </c>
    </row>
    <row r="1113" spans="28:34">
      <c r="AB1113" s="580">
        <f>HLOOKUP("*"&amp;'Output annual'!$AC$2&amp;'Output annual'!$AD$2&amp;"*Zone People Number Of Occupants [](Hourly)",'Eplus results'!$1:$1048576,ROW(),FALSE)</f>
        <v>0</v>
      </c>
      <c r="AC1113" s="580">
        <f>HLOOKUP("*"&amp;'Output annual'!$AC$2&amp;'Output annual'!$AD$2&amp;"*FangerPMV(Hourly)",'Eplus results'!$1:$1048576,ROW(),FALSE)</f>
        <v>0</v>
      </c>
      <c r="AD1113" s="580">
        <f t="shared" si="121"/>
        <v>5</v>
      </c>
      <c r="AE1113" s="580">
        <f t="shared" si="122"/>
        <v>2.5</v>
      </c>
      <c r="AF1113" s="580">
        <f t="shared" si="123"/>
        <v>2.5</v>
      </c>
      <c r="AG1113" s="580">
        <f t="shared" si="124"/>
        <v>0</v>
      </c>
      <c r="AH1113" s="580">
        <f t="shared" si="125"/>
        <v>0</v>
      </c>
    </row>
    <row r="1114" spans="28:34">
      <c r="AB1114" s="580">
        <f>HLOOKUP("*"&amp;'Output annual'!$AC$2&amp;'Output annual'!$AD$2&amp;"*Zone People Number Of Occupants [](Hourly)",'Eplus results'!$1:$1048576,ROW(),FALSE)</f>
        <v>0</v>
      </c>
      <c r="AC1114" s="580">
        <f>HLOOKUP("*"&amp;'Output annual'!$AC$2&amp;'Output annual'!$AD$2&amp;"*FangerPMV(Hourly)",'Eplus results'!$1:$1048576,ROW(),FALSE)</f>
        <v>0</v>
      </c>
      <c r="AD1114" s="580">
        <f t="shared" si="121"/>
        <v>5</v>
      </c>
      <c r="AE1114" s="580">
        <f t="shared" si="122"/>
        <v>2.5</v>
      </c>
      <c r="AF1114" s="580">
        <f t="shared" si="123"/>
        <v>2.5</v>
      </c>
      <c r="AG1114" s="580">
        <f t="shared" si="124"/>
        <v>0</v>
      </c>
      <c r="AH1114" s="580">
        <f t="shared" si="125"/>
        <v>0</v>
      </c>
    </row>
    <row r="1115" spans="28:34">
      <c r="AB1115" s="580">
        <f>HLOOKUP("*"&amp;'Output annual'!$AC$2&amp;'Output annual'!$AD$2&amp;"*Zone People Number Of Occupants [](Hourly)",'Eplus results'!$1:$1048576,ROW(),FALSE)</f>
        <v>0</v>
      </c>
      <c r="AC1115" s="580">
        <f>HLOOKUP("*"&amp;'Output annual'!$AC$2&amp;'Output annual'!$AD$2&amp;"*FangerPMV(Hourly)",'Eplus results'!$1:$1048576,ROW(),FALSE)</f>
        <v>0</v>
      </c>
      <c r="AD1115" s="580">
        <f t="shared" si="121"/>
        <v>5</v>
      </c>
      <c r="AE1115" s="580">
        <f t="shared" si="122"/>
        <v>2.5</v>
      </c>
      <c r="AF1115" s="580">
        <f t="shared" si="123"/>
        <v>2.5</v>
      </c>
      <c r="AG1115" s="580">
        <f t="shared" si="124"/>
        <v>0</v>
      </c>
      <c r="AH1115" s="580">
        <f t="shared" si="125"/>
        <v>0</v>
      </c>
    </row>
    <row r="1116" spans="28:34">
      <c r="AB1116" s="580">
        <f>HLOOKUP("*"&amp;'Output annual'!$AC$2&amp;'Output annual'!$AD$2&amp;"*Zone People Number Of Occupants [](Hourly)",'Eplus results'!$1:$1048576,ROW(),FALSE)</f>
        <v>0</v>
      </c>
      <c r="AC1116" s="580">
        <f>HLOOKUP("*"&amp;'Output annual'!$AC$2&amp;'Output annual'!$AD$2&amp;"*FangerPMV(Hourly)",'Eplus results'!$1:$1048576,ROW(),FALSE)</f>
        <v>0</v>
      </c>
      <c r="AD1116" s="580">
        <f t="shared" si="121"/>
        <v>5</v>
      </c>
      <c r="AE1116" s="580">
        <f t="shared" si="122"/>
        <v>2.5</v>
      </c>
      <c r="AF1116" s="580">
        <f t="shared" si="123"/>
        <v>2.5</v>
      </c>
      <c r="AG1116" s="580">
        <f t="shared" si="124"/>
        <v>0</v>
      </c>
      <c r="AH1116" s="580">
        <f t="shared" si="125"/>
        <v>0</v>
      </c>
    </row>
    <row r="1117" spans="28:34">
      <c r="AB1117" s="580">
        <f>HLOOKUP("*"&amp;'Output annual'!$AC$2&amp;'Output annual'!$AD$2&amp;"*Zone People Number Of Occupants [](Hourly)",'Eplus results'!$1:$1048576,ROW(),FALSE)</f>
        <v>0</v>
      </c>
      <c r="AC1117" s="580">
        <f>HLOOKUP("*"&amp;'Output annual'!$AC$2&amp;'Output annual'!$AD$2&amp;"*FangerPMV(Hourly)",'Eplus results'!$1:$1048576,ROW(),FALSE)</f>
        <v>0</v>
      </c>
      <c r="AD1117" s="580">
        <f t="shared" si="121"/>
        <v>5</v>
      </c>
      <c r="AE1117" s="580">
        <f t="shared" si="122"/>
        <v>2.5</v>
      </c>
      <c r="AF1117" s="580">
        <f t="shared" si="123"/>
        <v>2.5</v>
      </c>
      <c r="AG1117" s="580">
        <f t="shared" si="124"/>
        <v>0</v>
      </c>
      <c r="AH1117" s="580">
        <f t="shared" si="125"/>
        <v>0</v>
      </c>
    </row>
    <row r="1118" spans="28:34">
      <c r="AB1118" s="580">
        <f>HLOOKUP("*"&amp;'Output annual'!$AC$2&amp;'Output annual'!$AD$2&amp;"*Zone People Number Of Occupants [](Hourly)",'Eplus results'!$1:$1048576,ROW(),FALSE)</f>
        <v>0</v>
      </c>
      <c r="AC1118" s="580">
        <f>HLOOKUP("*"&amp;'Output annual'!$AC$2&amp;'Output annual'!$AD$2&amp;"*FangerPMV(Hourly)",'Eplus results'!$1:$1048576,ROW(),FALSE)</f>
        <v>0</v>
      </c>
      <c r="AD1118" s="580">
        <f t="shared" si="121"/>
        <v>5</v>
      </c>
      <c r="AE1118" s="580">
        <f t="shared" si="122"/>
        <v>2.5</v>
      </c>
      <c r="AF1118" s="580">
        <f t="shared" si="123"/>
        <v>2.5</v>
      </c>
      <c r="AG1118" s="580">
        <f t="shared" si="124"/>
        <v>0</v>
      </c>
      <c r="AH1118" s="580">
        <f t="shared" si="125"/>
        <v>0</v>
      </c>
    </row>
    <row r="1119" spans="28:34">
      <c r="AB1119" s="580">
        <f>HLOOKUP("*"&amp;'Output annual'!$AC$2&amp;'Output annual'!$AD$2&amp;"*Zone People Number Of Occupants [](Hourly)",'Eplus results'!$1:$1048576,ROW(),FALSE)</f>
        <v>0</v>
      </c>
      <c r="AC1119" s="580">
        <f>HLOOKUP("*"&amp;'Output annual'!$AC$2&amp;'Output annual'!$AD$2&amp;"*FangerPMV(Hourly)",'Eplus results'!$1:$1048576,ROW(),FALSE)</f>
        <v>0</v>
      </c>
      <c r="AD1119" s="580">
        <f t="shared" si="121"/>
        <v>5</v>
      </c>
      <c r="AE1119" s="580">
        <f t="shared" si="122"/>
        <v>2.5</v>
      </c>
      <c r="AF1119" s="580">
        <f t="shared" si="123"/>
        <v>2.5</v>
      </c>
      <c r="AG1119" s="580">
        <f t="shared" si="124"/>
        <v>0</v>
      </c>
      <c r="AH1119" s="580">
        <f t="shared" si="125"/>
        <v>0</v>
      </c>
    </row>
    <row r="1120" spans="28:34">
      <c r="AB1120" s="580">
        <f>HLOOKUP("*"&amp;'Output annual'!$AC$2&amp;'Output annual'!$AD$2&amp;"*Zone People Number Of Occupants [](Hourly)",'Eplus results'!$1:$1048576,ROW(),FALSE)</f>
        <v>0</v>
      </c>
      <c r="AC1120" s="580">
        <f>HLOOKUP("*"&amp;'Output annual'!$AC$2&amp;'Output annual'!$AD$2&amp;"*FangerPMV(Hourly)",'Eplus results'!$1:$1048576,ROW(),FALSE)</f>
        <v>0</v>
      </c>
      <c r="AD1120" s="580">
        <f t="shared" si="121"/>
        <v>5</v>
      </c>
      <c r="AE1120" s="580">
        <f t="shared" si="122"/>
        <v>2.5</v>
      </c>
      <c r="AF1120" s="580">
        <f t="shared" si="123"/>
        <v>2.5</v>
      </c>
      <c r="AG1120" s="580">
        <f t="shared" si="124"/>
        <v>0</v>
      </c>
      <c r="AH1120" s="580">
        <f t="shared" si="125"/>
        <v>0</v>
      </c>
    </row>
    <row r="1121" spans="28:34">
      <c r="AB1121" s="580">
        <f>HLOOKUP("*"&amp;'Output annual'!$AC$2&amp;'Output annual'!$AD$2&amp;"*Zone People Number Of Occupants [](Hourly)",'Eplus results'!$1:$1048576,ROW(),FALSE)</f>
        <v>0</v>
      </c>
      <c r="AC1121" s="580">
        <f>HLOOKUP("*"&amp;'Output annual'!$AC$2&amp;'Output annual'!$AD$2&amp;"*FangerPMV(Hourly)",'Eplus results'!$1:$1048576,ROW(),FALSE)</f>
        <v>0</v>
      </c>
      <c r="AD1121" s="580">
        <f t="shared" si="121"/>
        <v>5</v>
      </c>
      <c r="AE1121" s="580">
        <f t="shared" si="122"/>
        <v>2.5</v>
      </c>
      <c r="AF1121" s="580">
        <f t="shared" si="123"/>
        <v>2.5</v>
      </c>
      <c r="AG1121" s="580">
        <f t="shared" si="124"/>
        <v>0</v>
      </c>
      <c r="AH1121" s="580">
        <f t="shared" si="125"/>
        <v>0</v>
      </c>
    </row>
    <row r="1122" spans="28:34">
      <c r="AB1122" s="580">
        <f>HLOOKUP("*"&amp;'Output annual'!$AC$2&amp;'Output annual'!$AD$2&amp;"*Zone People Number Of Occupants [](Hourly)",'Eplus results'!$1:$1048576,ROW(),FALSE)</f>
        <v>0</v>
      </c>
      <c r="AC1122" s="580">
        <f>HLOOKUP("*"&amp;'Output annual'!$AC$2&amp;'Output annual'!$AD$2&amp;"*FangerPMV(Hourly)",'Eplus results'!$1:$1048576,ROW(),FALSE)</f>
        <v>0</v>
      </c>
      <c r="AD1122" s="580">
        <f t="shared" si="121"/>
        <v>5</v>
      </c>
      <c r="AE1122" s="580">
        <f t="shared" si="122"/>
        <v>2.5</v>
      </c>
      <c r="AF1122" s="580">
        <f t="shared" si="123"/>
        <v>2.5</v>
      </c>
      <c r="AG1122" s="580">
        <f t="shared" si="124"/>
        <v>0</v>
      </c>
      <c r="AH1122" s="580">
        <f t="shared" si="125"/>
        <v>0</v>
      </c>
    </row>
    <row r="1123" spans="28:34">
      <c r="AB1123" s="580">
        <f>HLOOKUP("*"&amp;'Output annual'!$AC$2&amp;'Output annual'!$AD$2&amp;"*Zone People Number Of Occupants [](Hourly)",'Eplus results'!$1:$1048576,ROW(),FALSE)</f>
        <v>0</v>
      </c>
      <c r="AC1123" s="580">
        <f>HLOOKUP("*"&amp;'Output annual'!$AC$2&amp;'Output annual'!$AD$2&amp;"*FangerPMV(Hourly)",'Eplus results'!$1:$1048576,ROW(),FALSE)</f>
        <v>0</v>
      </c>
      <c r="AD1123" s="580">
        <f t="shared" si="121"/>
        <v>5</v>
      </c>
      <c r="AE1123" s="580">
        <f t="shared" si="122"/>
        <v>2.5</v>
      </c>
      <c r="AF1123" s="580">
        <f t="shared" si="123"/>
        <v>2.5</v>
      </c>
      <c r="AG1123" s="580">
        <f t="shared" si="124"/>
        <v>0</v>
      </c>
      <c r="AH1123" s="580">
        <f t="shared" si="125"/>
        <v>0</v>
      </c>
    </row>
    <row r="1124" spans="28:34">
      <c r="AB1124" s="580">
        <f>HLOOKUP("*"&amp;'Output annual'!$AC$2&amp;'Output annual'!$AD$2&amp;"*Zone People Number Of Occupants [](Hourly)",'Eplus results'!$1:$1048576,ROW(),FALSE)</f>
        <v>0</v>
      </c>
      <c r="AC1124" s="580">
        <f>HLOOKUP("*"&amp;'Output annual'!$AC$2&amp;'Output annual'!$AD$2&amp;"*FangerPMV(Hourly)",'Eplus results'!$1:$1048576,ROW(),FALSE)</f>
        <v>0</v>
      </c>
      <c r="AD1124" s="580">
        <f t="shared" si="121"/>
        <v>5</v>
      </c>
      <c r="AE1124" s="580">
        <f t="shared" si="122"/>
        <v>2.5</v>
      </c>
      <c r="AF1124" s="580">
        <f t="shared" si="123"/>
        <v>2.5</v>
      </c>
      <c r="AG1124" s="580">
        <f t="shared" si="124"/>
        <v>0</v>
      </c>
      <c r="AH1124" s="580">
        <f t="shared" si="125"/>
        <v>0</v>
      </c>
    </row>
    <row r="1125" spans="28:34">
      <c r="AB1125" s="580">
        <f>HLOOKUP("*"&amp;'Output annual'!$AC$2&amp;'Output annual'!$AD$2&amp;"*Zone People Number Of Occupants [](Hourly)",'Eplus results'!$1:$1048576,ROW(),FALSE)</f>
        <v>0</v>
      </c>
      <c r="AC1125" s="580">
        <f>HLOOKUP("*"&amp;'Output annual'!$AC$2&amp;'Output annual'!$AD$2&amp;"*FangerPMV(Hourly)",'Eplus results'!$1:$1048576,ROW(),FALSE)</f>
        <v>0</v>
      </c>
      <c r="AD1125" s="580">
        <f t="shared" si="121"/>
        <v>5</v>
      </c>
      <c r="AE1125" s="580">
        <f t="shared" si="122"/>
        <v>2.5</v>
      </c>
      <c r="AF1125" s="580">
        <f t="shared" si="123"/>
        <v>2.5</v>
      </c>
      <c r="AG1125" s="580">
        <f t="shared" si="124"/>
        <v>0</v>
      </c>
      <c r="AH1125" s="580">
        <f t="shared" si="125"/>
        <v>0</v>
      </c>
    </row>
    <row r="1126" spans="28:34">
      <c r="AB1126" s="580">
        <f>HLOOKUP("*"&amp;'Output annual'!$AC$2&amp;'Output annual'!$AD$2&amp;"*Zone People Number Of Occupants [](Hourly)",'Eplus results'!$1:$1048576,ROW(),FALSE)</f>
        <v>0</v>
      </c>
      <c r="AC1126" s="580">
        <f>HLOOKUP("*"&amp;'Output annual'!$AC$2&amp;'Output annual'!$AD$2&amp;"*FangerPMV(Hourly)",'Eplus results'!$1:$1048576,ROW(),FALSE)</f>
        <v>0</v>
      </c>
      <c r="AD1126" s="580">
        <f t="shared" si="121"/>
        <v>5</v>
      </c>
      <c r="AE1126" s="580">
        <f t="shared" si="122"/>
        <v>2.5</v>
      </c>
      <c r="AF1126" s="580">
        <f t="shared" si="123"/>
        <v>2.5</v>
      </c>
      <c r="AG1126" s="580">
        <f t="shared" si="124"/>
        <v>0</v>
      </c>
      <c r="AH1126" s="580">
        <f t="shared" si="125"/>
        <v>0</v>
      </c>
    </row>
    <row r="1127" spans="28:34">
      <c r="AB1127" s="580">
        <f>HLOOKUP("*"&amp;'Output annual'!$AC$2&amp;'Output annual'!$AD$2&amp;"*Zone People Number Of Occupants [](Hourly)",'Eplus results'!$1:$1048576,ROW(),FALSE)</f>
        <v>0</v>
      </c>
      <c r="AC1127" s="580">
        <f>HLOOKUP("*"&amp;'Output annual'!$AC$2&amp;'Output annual'!$AD$2&amp;"*FangerPMV(Hourly)",'Eplus results'!$1:$1048576,ROW(),FALSE)</f>
        <v>0</v>
      </c>
      <c r="AD1127" s="580">
        <f t="shared" si="121"/>
        <v>5</v>
      </c>
      <c r="AE1127" s="580">
        <f t="shared" si="122"/>
        <v>2.5</v>
      </c>
      <c r="AF1127" s="580">
        <f t="shared" si="123"/>
        <v>2.5</v>
      </c>
      <c r="AG1127" s="580">
        <f t="shared" si="124"/>
        <v>0</v>
      </c>
      <c r="AH1127" s="580">
        <f t="shared" si="125"/>
        <v>0</v>
      </c>
    </row>
    <row r="1128" spans="28:34">
      <c r="AB1128" s="580">
        <f>HLOOKUP("*"&amp;'Output annual'!$AC$2&amp;'Output annual'!$AD$2&amp;"*Zone People Number Of Occupants [](Hourly)",'Eplus results'!$1:$1048576,ROW(),FALSE)</f>
        <v>0</v>
      </c>
      <c r="AC1128" s="580">
        <f>HLOOKUP("*"&amp;'Output annual'!$AC$2&amp;'Output annual'!$AD$2&amp;"*FangerPMV(Hourly)",'Eplus results'!$1:$1048576,ROW(),FALSE)</f>
        <v>0</v>
      </c>
      <c r="AD1128" s="580">
        <f t="shared" si="121"/>
        <v>5</v>
      </c>
      <c r="AE1128" s="580">
        <f t="shared" si="122"/>
        <v>2.5</v>
      </c>
      <c r="AF1128" s="580">
        <f t="shared" si="123"/>
        <v>2.5</v>
      </c>
      <c r="AG1128" s="580">
        <f t="shared" si="124"/>
        <v>0</v>
      </c>
      <c r="AH1128" s="580">
        <f t="shared" si="125"/>
        <v>0</v>
      </c>
    </row>
    <row r="1129" spans="28:34">
      <c r="AB1129" s="580">
        <f>HLOOKUP("*"&amp;'Output annual'!$AC$2&amp;'Output annual'!$AD$2&amp;"*Zone People Number Of Occupants [](Hourly)",'Eplus results'!$1:$1048576,ROW(),FALSE)</f>
        <v>0</v>
      </c>
      <c r="AC1129" s="580">
        <f>HLOOKUP("*"&amp;'Output annual'!$AC$2&amp;'Output annual'!$AD$2&amp;"*FangerPMV(Hourly)",'Eplus results'!$1:$1048576,ROW(),FALSE)</f>
        <v>0</v>
      </c>
      <c r="AD1129" s="580">
        <f t="shared" si="121"/>
        <v>5</v>
      </c>
      <c r="AE1129" s="580">
        <f t="shared" si="122"/>
        <v>2.5</v>
      </c>
      <c r="AF1129" s="580">
        <f t="shared" si="123"/>
        <v>2.5</v>
      </c>
      <c r="AG1129" s="580">
        <f t="shared" si="124"/>
        <v>0</v>
      </c>
      <c r="AH1129" s="580">
        <f t="shared" si="125"/>
        <v>0</v>
      </c>
    </row>
    <row r="1130" spans="28:34">
      <c r="AB1130" s="580">
        <f>HLOOKUP("*"&amp;'Output annual'!$AC$2&amp;'Output annual'!$AD$2&amp;"*Zone People Number Of Occupants [](Hourly)",'Eplus results'!$1:$1048576,ROW(),FALSE)</f>
        <v>0</v>
      </c>
      <c r="AC1130" s="580">
        <f>HLOOKUP("*"&amp;'Output annual'!$AC$2&amp;'Output annual'!$AD$2&amp;"*FangerPMV(Hourly)",'Eplus results'!$1:$1048576,ROW(),FALSE)</f>
        <v>0</v>
      </c>
      <c r="AD1130" s="580">
        <f t="shared" si="121"/>
        <v>5</v>
      </c>
      <c r="AE1130" s="580">
        <f t="shared" si="122"/>
        <v>2.5</v>
      </c>
      <c r="AF1130" s="580">
        <f t="shared" si="123"/>
        <v>2.5</v>
      </c>
      <c r="AG1130" s="580">
        <f t="shared" si="124"/>
        <v>0</v>
      </c>
      <c r="AH1130" s="580">
        <f t="shared" si="125"/>
        <v>0</v>
      </c>
    </row>
    <row r="1131" spans="28:34">
      <c r="AB1131" s="580">
        <f>HLOOKUP("*"&amp;'Output annual'!$AC$2&amp;'Output annual'!$AD$2&amp;"*Zone People Number Of Occupants [](Hourly)",'Eplus results'!$1:$1048576,ROW(),FALSE)</f>
        <v>0</v>
      </c>
      <c r="AC1131" s="580">
        <f>HLOOKUP("*"&amp;'Output annual'!$AC$2&amp;'Output annual'!$AD$2&amp;"*FangerPMV(Hourly)",'Eplus results'!$1:$1048576,ROW(),FALSE)</f>
        <v>0</v>
      </c>
      <c r="AD1131" s="580">
        <f t="shared" si="121"/>
        <v>5</v>
      </c>
      <c r="AE1131" s="580">
        <f t="shared" si="122"/>
        <v>2.5</v>
      </c>
      <c r="AF1131" s="580">
        <f t="shared" si="123"/>
        <v>2.5</v>
      </c>
      <c r="AG1131" s="580">
        <f t="shared" si="124"/>
        <v>0</v>
      </c>
      <c r="AH1131" s="580">
        <f t="shared" si="125"/>
        <v>0</v>
      </c>
    </row>
    <row r="1132" spans="28:34">
      <c r="AB1132" s="580">
        <f>HLOOKUP("*"&amp;'Output annual'!$AC$2&amp;'Output annual'!$AD$2&amp;"*Zone People Number Of Occupants [](Hourly)",'Eplus results'!$1:$1048576,ROW(),FALSE)</f>
        <v>0</v>
      </c>
      <c r="AC1132" s="580">
        <f>HLOOKUP("*"&amp;'Output annual'!$AC$2&amp;'Output annual'!$AD$2&amp;"*FangerPMV(Hourly)",'Eplus results'!$1:$1048576,ROW(),FALSE)</f>
        <v>0</v>
      </c>
      <c r="AD1132" s="580">
        <f t="shared" si="121"/>
        <v>5</v>
      </c>
      <c r="AE1132" s="580">
        <f t="shared" si="122"/>
        <v>2.5</v>
      </c>
      <c r="AF1132" s="580">
        <f t="shared" si="123"/>
        <v>2.5</v>
      </c>
      <c r="AG1132" s="580">
        <f t="shared" si="124"/>
        <v>0</v>
      </c>
      <c r="AH1132" s="580">
        <f t="shared" si="125"/>
        <v>0</v>
      </c>
    </row>
    <row r="1133" spans="28:34">
      <c r="AB1133" s="580">
        <f>HLOOKUP("*"&amp;'Output annual'!$AC$2&amp;'Output annual'!$AD$2&amp;"*Zone People Number Of Occupants [](Hourly)",'Eplus results'!$1:$1048576,ROW(),FALSE)</f>
        <v>0</v>
      </c>
      <c r="AC1133" s="580">
        <f>HLOOKUP("*"&amp;'Output annual'!$AC$2&amp;'Output annual'!$AD$2&amp;"*FangerPMV(Hourly)",'Eplus results'!$1:$1048576,ROW(),FALSE)</f>
        <v>0</v>
      </c>
      <c r="AD1133" s="580">
        <f t="shared" si="121"/>
        <v>5</v>
      </c>
      <c r="AE1133" s="580">
        <f t="shared" si="122"/>
        <v>2.5</v>
      </c>
      <c r="AF1133" s="580">
        <f t="shared" si="123"/>
        <v>2.5</v>
      </c>
      <c r="AG1133" s="580">
        <f t="shared" si="124"/>
        <v>0</v>
      </c>
      <c r="AH1133" s="580">
        <f t="shared" si="125"/>
        <v>0</v>
      </c>
    </row>
    <row r="1134" spans="28:34">
      <c r="AB1134" s="580">
        <f>HLOOKUP("*"&amp;'Output annual'!$AC$2&amp;'Output annual'!$AD$2&amp;"*Zone People Number Of Occupants [](Hourly)",'Eplus results'!$1:$1048576,ROW(),FALSE)</f>
        <v>0</v>
      </c>
      <c r="AC1134" s="580">
        <f>HLOOKUP("*"&amp;'Output annual'!$AC$2&amp;'Output annual'!$AD$2&amp;"*FangerPMV(Hourly)",'Eplus results'!$1:$1048576,ROW(),FALSE)</f>
        <v>0</v>
      </c>
      <c r="AD1134" s="580">
        <f t="shared" si="121"/>
        <v>5</v>
      </c>
      <c r="AE1134" s="580">
        <f t="shared" si="122"/>
        <v>2.5</v>
      </c>
      <c r="AF1134" s="580">
        <f t="shared" si="123"/>
        <v>2.5</v>
      </c>
      <c r="AG1134" s="580">
        <f t="shared" si="124"/>
        <v>0</v>
      </c>
      <c r="AH1134" s="580">
        <f t="shared" si="125"/>
        <v>0</v>
      </c>
    </row>
    <row r="1135" spans="28:34">
      <c r="AB1135" s="580">
        <f>HLOOKUP("*"&amp;'Output annual'!$AC$2&amp;'Output annual'!$AD$2&amp;"*Zone People Number Of Occupants [](Hourly)",'Eplus results'!$1:$1048576,ROW(),FALSE)</f>
        <v>0</v>
      </c>
      <c r="AC1135" s="580">
        <f>HLOOKUP("*"&amp;'Output annual'!$AC$2&amp;'Output annual'!$AD$2&amp;"*FangerPMV(Hourly)",'Eplus results'!$1:$1048576,ROW(),FALSE)</f>
        <v>0</v>
      </c>
      <c r="AD1135" s="580">
        <f t="shared" si="121"/>
        <v>5</v>
      </c>
      <c r="AE1135" s="580">
        <f t="shared" si="122"/>
        <v>2.5</v>
      </c>
      <c r="AF1135" s="580">
        <f t="shared" si="123"/>
        <v>2.5</v>
      </c>
      <c r="AG1135" s="580">
        <f t="shared" si="124"/>
        <v>0</v>
      </c>
      <c r="AH1135" s="580">
        <f t="shared" si="125"/>
        <v>0</v>
      </c>
    </row>
    <row r="1136" spans="28:34">
      <c r="AB1136" s="580">
        <f>HLOOKUP("*"&amp;'Output annual'!$AC$2&amp;'Output annual'!$AD$2&amp;"*Zone People Number Of Occupants [](Hourly)",'Eplus results'!$1:$1048576,ROW(),FALSE)</f>
        <v>0</v>
      </c>
      <c r="AC1136" s="580">
        <f>HLOOKUP("*"&amp;'Output annual'!$AC$2&amp;'Output annual'!$AD$2&amp;"*FangerPMV(Hourly)",'Eplus results'!$1:$1048576,ROW(),FALSE)</f>
        <v>0</v>
      </c>
      <c r="AD1136" s="580">
        <f t="shared" si="121"/>
        <v>5</v>
      </c>
      <c r="AE1136" s="580">
        <f t="shared" si="122"/>
        <v>2.5</v>
      </c>
      <c r="AF1136" s="580">
        <f t="shared" si="123"/>
        <v>2.5</v>
      </c>
      <c r="AG1136" s="580">
        <f t="shared" si="124"/>
        <v>0</v>
      </c>
      <c r="AH1136" s="580">
        <f t="shared" si="125"/>
        <v>0</v>
      </c>
    </row>
    <row r="1137" spans="28:34">
      <c r="AB1137" s="580">
        <f>HLOOKUP("*"&amp;'Output annual'!$AC$2&amp;'Output annual'!$AD$2&amp;"*Zone People Number Of Occupants [](Hourly)",'Eplus results'!$1:$1048576,ROW(),FALSE)</f>
        <v>0</v>
      </c>
      <c r="AC1137" s="580">
        <f>HLOOKUP("*"&amp;'Output annual'!$AC$2&amp;'Output annual'!$AD$2&amp;"*FangerPMV(Hourly)",'Eplus results'!$1:$1048576,ROW(),FALSE)</f>
        <v>0</v>
      </c>
      <c r="AD1137" s="580">
        <f t="shared" si="121"/>
        <v>5</v>
      </c>
      <c r="AE1137" s="580">
        <f t="shared" si="122"/>
        <v>2.5</v>
      </c>
      <c r="AF1137" s="580">
        <f t="shared" si="123"/>
        <v>2.5</v>
      </c>
      <c r="AG1137" s="580">
        <f t="shared" si="124"/>
        <v>0</v>
      </c>
      <c r="AH1137" s="580">
        <f t="shared" si="125"/>
        <v>0</v>
      </c>
    </row>
    <row r="1138" spans="28:34">
      <c r="AB1138" s="580">
        <f>HLOOKUP("*"&amp;'Output annual'!$AC$2&amp;'Output annual'!$AD$2&amp;"*Zone People Number Of Occupants [](Hourly)",'Eplus results'!$1:$1048576,ROW(),FALSE)</f>
        <v>0</v>
      </c>
      <c r="AC1138" s="580">
        <f>HLOOKUP("*"&amp;'Output annual'!$AC$2&amp;'Output annual'!$AD$2&amp;"*FangerPMV(Hourly)",'Eplus results'!$1:$1048576,ROW(),FALSE)</f>
        <v>0</v>
      </c>
      <c r="AD1138" s="580">
        <f t="shared" si="121"/>
        <v>5</v>
      </c>
      <c r="AE1138" s="580">
        <f t="shared" si="122"/>
        <v>2.5</v>
      </c>
      <c r="AF1138" s="580">
        <f t="shared" si="123"/>
        <v>2.5</v>
      </c>
      <c r="AG1138" s="580">
        <f t="shared" si="124"/>
        <v>0</v>
      </c>
      <c r="AH1138" s="580">
        <f t="shared" si="125"/>
        <v>0</v>
      </c>
    </row>
    <row r="1139" spans="28:34">
      <c r="AB1139" s="580">
        <f>HLOOKUP("*"&amp;'Output annual'!$AC$2&amp;'Output annual'!$AD$2&amp;"*Zone People Number Of Occupants [](Hourly)",'Eplus results'!$1:$1048576,ROW(),FALSE)</f>
        <v>0</v>
      </c>
      <c r="AC1139" s="580">
        <f>HLOOKUP("*"&amp;'Output annual'!$AC$2&amp;'Output annual'!$AD$2&amp;"*FangerPMV(Hourly)",'Eplus results'!$1:$1048576,ROW(),FALSE)</f>
        <v>0</v>
      </c>
      <c r="AD1139" s="580">
        <f t="shared" si="121"/>
        <v>5</v>
      </c>
      <c r="AE1139" s="580">
        <f t="shared" si="122"/>
        <v>2.5</v>
      </c>
      <c r="AF1139" s="580">
        <f t="shared" si="123"/>
        <v>2.5</v>
      </c>
      <c r="AG1139" s="580">
        <f t="shared" si="124"/>
        <v>0</v>
      </c>
      <c r="AH1139" s="580">
        <f t="shared" si="125"/>
        <v>0</v>
      </c>
    </row>
    <row r="1140" spans="28:34">
      <c r="AB1140" s="580">
        <f>HLOOKUP("*"&amp;'Output annual'!$AC$2&amp;'Output annual'!$AD$2&amp;"*Zone People Number Of Occupants [](Hourly)",'Eplus results'!$1:$1048576,ROW(),FALSE)</f>
        <v>0</v>
      </c>
      <c r="AC1140" s="580">
        <f>HLOOKUP("*"&amp;'Output annual'!$AC$2&amp;'Output annual'!$AD$2&amp;"*FangerPMV(Hourly)",'Eplus results'!$1:$1048576,ROW(),FALSE)</f>
        <v>0</v>
      </c>
      <c r="AD1140" s="580">
        <f t="shared" si="121"/>
        <v>5</v>
      </c>
      <c r="AE1140" s="580">
        <f t="shared" si="122"/>
        <v>2.5</v>
      </c>
      <c r="AF1140" s="580">
        <f t="shared" si="123"/>
        <v>2.5</v>
      </c>
      <c r="AG1140" s="580">
        <f t="shared" si="124"/>
        <v>0</v>
      </c>
      <c r="AH1140" s="580">
        <f t="shared" si="125"/>
        <v>0</v>
      </c>
    </row>
    <row r="1141" spans="28:34">
      <c r="AB1141" s="580">
        <f>HLOOKUP("*"&amp;'Output annual'!$AC$2&amp;'Output annual'!$AD$2&amp;"*Zone People Number Of Occupants [](Hourly)",'Eplus results'!$1:$1048576,ROW(),FALSE)</f>
        <v>0</v>
      </c>
      <c r="AC1141" s="580">
        <f>HLOOKUP("*"&amp;'Output annual'!$AC$2&amp;'Output annual'!$AD$2&amp;"*FangerPMV(Hourly)",'Eplus results'!$1:$1048576,ROW(),FALSE)</f>
        <v>0</v>
      </c>
      <c r="AD1141" s="580">
        <f t="shared" si="121"/>
        <v>5</v>
      </c>
      <c r="AE1141" s="580">
        <f t="shared" si="122"/>
        <v>2.5</v>
      </c>
      <c r="AF1141" s="580">
        <f t="shared" si="123"/>
        <v>2.5</v>
      </c>
      <c r="AG1141" s="580">
        <f t="shared" si="124"/>
        <v>0</v>
      </c>
      <c r="AH1141" s="580">
        <f t="shared" si="125"/>
        <v>0</v>
      </c>
    </row>
    <row r="1142" spans="28:34">
      <c r="AB1142" s="580">
        <f>HLOOKUP("*"&amp;'Output annual'!$AC$2&amp;'Output annual'!$AD$2&amp;"*Zone People Number Of Occupants [](Hourly)",'Eplus results'!$1:$1048576,ROW(),FALSE)</f>
        <v>0</v>
      </c>
      <c r="AC1142" s="580">
        <f>HLOOKUP("*"&amp;'Output annual'!$AC$2&amp;'Output annual'!$AD$2&amp;"*FangerPMV(Hourly)",'Eplus results'!$1:$1048576,ROW(),FALSE)</f>
        <v>0</v>
      </c>
      <c r="AD1142" s="580">
        <f t="shared" si="121"/>
        <v>5</v>
      </c>
      <c r="AE1142" s="580">
        <f t="shared" si="122"/>
        <v>2.5</v>
      </c>
      <c r="AF1142" s="580">
        <f t="shared" si="123"/>
        <v>2.5</v>
      </c>
      <c r="AG1142" s="580">
        <f t="shared" si="124"/>
        <v>0</v>
      </c>
      <c r="AH1142" s="580">
        <f t="shared" si="125"/>
        <v>0</v>
      </c>
    </row>
    <row r="1143" spans="28:34">
      <c r="AB1143" s="580">
        <f>HLOOKUP("*"&amp;'Output annual'!$AC$2&amp;'Output annual'!$AD$2&amp;"*Zone People Number Of Occupants [](Hourly)",'Eplus results'!$1:$1048576,ROW(),FALSE)</f>
        <v>0</v>
      </c>
      <c r="AC1143" s="580">
        <f>HLOOKUP("*"&amp;'Output annual'!$AC$2&amp;'Output annual'!$AD$2&amp;"*FangerPMV(Hourly)",'Eplus results'!$1:$1048576,ROW(),FALSE)</f>
        <v>0</v>
      </c>
      <c r="AD1143" s="580">
        <f t="shared" si="121"/>
        <v>5</v>
      </c>
      <c r="AE1143" s="580">
        <f t="shared" si="122"/>
        <v>2.5</v>
      </c>
      <c r="AF1143" s="580">
        <f t="shared" si="123"/>
        <v>2.5</v>
      </c>
      <c r="AG1143" s="580">
        <f t="shared" si="124"/>
        <v>0</v>
      </c>
      <c r="AH1143" s="580">
        <f t="shared" si="125"/>
        <v>0</v>
      </c>
    </row>
    <row r="1144" spans="28:34">
      <c r="AB1144" s="580">
        <f>HLOOKUP("*"&amp;'Output annual'!$AC$2&amp;'Output annual'!$AD$2&amp;"*Zone People Number Of Occupants [](Hourly)",'Eplus results'!$1:$1048576,ROW(),FALSE)</f>
        <v>0</v>
      </c>
      <c r="AC1144" s="580">
        <f>HLOOKUP("*"&amp;'Output annual'!$AC$2&amp;'Output annual'!$AD$2&amp;"*FangerPMV(Hourly)",'Eplus results'!$1:$1048576,ROW(),FALSE)</f>
        <v>0</v>
      </c>
      <c r="AD1144" s="580">
        <f t="shared" si="121"/>
        <v>5</v>
      </c>
      <c r="AE1144" s="580">
        <f t="shared" si="122"/>
        <v>2.5</v>
      </c>
      <c r="AF1144" s="580">
        <f t="shared" si="123"/>
        <v>2.5</v>
      </c>
      <c r="AG1144" s="580">
        <f t="shared" si="124"/>
        <v>0</v>
      </c>
      <c r="AH1144" s="580">
        <f t="shared" si="125"/>
        <v>0</v>
      </c>
    </row>
    <row r="1145" spans="28:34">
      <c r="AB1145" s="580">
        <f>HLOOKUP("*"&amp;'Output annual'!$AC$2&amp;'Output annual'!$AD$2&amp;"*Zone People Number Of Occupants [](Hourly)",'Eplus results'!$1:$1048576,ROW(),FALSE)</f>
        <v>0</v>
      </c>
      <c r="AC1145" s="580">
        <f>HLOOKUP("*"&amp;'Output annual'!$AC$2&amp;'Output annual'!$AD$2&amp;"*FangerPMV(Hourly)",'Eplus results'!$1:$1048576,ROW(),FALSE)</f>
        <v>0</v>
      </c>
      <c r="AD1145" s="580">
        <f t="shared" si="121"/>
        <v>5</v>
      </c>
      <c r="AE1145" s="580">
        <f t="shared" si="122"/>
        <v>2.5</v>
      </c>
      <c r="AF1145" s="580">
        <f t="shared" si="123"/>
        <v>2.5</v>
      </c>
      <c r="AG1145" s="580">
        <f t="shared" si="124"/>
        <v>0</v>
      </c>
      <c r="AH1145" s="580">
        <f t="shared" si="125"/>
        <v>0</v>
      </c>
    </row>
    <row r="1146" spans="28:34">
      <c r="AB1146" s="580">
        <f>HLOOKUP("*"&amp;'Output annual'!$AC$2&amp;'Output annual'!$AD$2&amp;"*Zone People Number Of Occupants [](Hourly)",'Eplus results'!$1:$1048576,ROW(),FALSE)</f>
        <v>0</v>
      </c>
      <c r="AC1146" s="580">
        <f>HLOOKUP("*"&amp;'Output annual'!$AC$2&amp;'Output annual'!$AD$2&amp;"*FangerPMV(Hourly)",'Eplus results'!$1:$1048576,ROW(),FALSE)</f>
        <v>0</v>
      </c>
      <c r="AD1146" s="580">
        <f t="shared" si="121"/>
        <v>5</v>
      </c>
      <c r="AE1146" s="580">
        <f t="shared" si="122"/>
        <v>2.5</v>
      </c>
      <c r="AF1146" s="580">
        <f t="shared" si="123"/>
        <v>2.5</v>
      </c>
      <c r="AG1146" s="580">
        <f t="shared" si="124"/>
        <v>0</v>
      </c>
      <c r="AH1146" s="580">
        <f t="shared" si="125"/>
        <v>0</v>
      </c>
    </row>
    <row r="1147" spans="28:34">
      <c r="AB1147" s="580">
        <f>HLOOKUP("*"&amp;'Output annual'!$AC$2&amp;'Output annual'!$AD$2&amp;"*Zone People Number Of Occupants [](Hourly)",'Eplus results'!$1:$1048576,ROW(),FALSE)</f>
        <v>0</v>
      </c>
      <c r="AC1147" s="580">
        <f>HLOOKUP("*"&amp;'Output annual'!$AC$2&amp;'Output annual'!$AD$2&amp;"*FangerPMV(Hourly)",'Eplus results'!$1:$1048576,ROW(),FALSE)</f>
        <v>0</v>
      </c>
      <c r="AD1147" s="580">
        <f t="shared" si="121"/>
        <v>5</v>
      </c>
      <c r="AE1147" s="580">
        <f t="shared" si="122"/>
        <v>2.5</v>
      </c>
      <c r="AF1147" s="580">
        <f t="shared" si="123"/>
        <v>2.5</v>
      </c>
      <c r="AG1147" s="580">
        <f t="shared" si="124"/>
        <v>0</v>
      </c>
      <c r="AH1147" s="580">
        <f t="shared" si="125"/>
        <v>0</v>
      </c>
    </row>
    <row r="1148" spans="28:34">
      <c r="AB1148" s="580">
        <f>HLOOKUP("*"&amp;'Output annual'!$AC$2&amp;'Output annual'!$AD$2&amp;"*Zone People Number Of Occupants [](Hourly)",'Eplus results'!$1:$1048576,ROW(),FALSE)</f>
        <v>0</v>
      </c>
      <c r="AC1148" s="580">
        <f>HLOOKUP("*"&amp;'Output annual'!$AC$2&amp;'Output annual'!$AD$2&amp;"*FangerPMV(Hourly)",'Eplus results'!$1:$1048576,ROW(),FALSE)</f>
        <v>0</v>
      </c>
      <c r="AD1148" s="580">
        <f t="shared" si="121"/>
        <v>5</v>
      </c>
      <c r="AE1148" s="580">
        <f t="shared" si="122"/>
        <v>2.5</v>
      </c>
      <c r="AF1148" s="580">
        <f t="shared" si="123"/>
        <v>2.5</v>
      </c>
      <c r="AG1148" s="580">
        <f t="shared" si="124"/>
        <v>0</v>
      </c>
      <c r="AH1148" s="580">
        <f t="shared" si="125"/>
        <v>0</v>
      </c>
    </row>
    <row r="1149" spans="28:34">
      <c r="AB1149" s="580">
        <f>HLOOKUP("*"&amp;'Output annual'!$AC$2&amp;'Output annual'!$AD$2&amp;"*Zone People Number Of Occupants [](Hourly)",'Eplus results'!$1:$1048576,ROW(),FALSE)</f>
        <v>0</v>
      </c>
      <c r="AC1149" s="580">
        <f>HLOOKUP("*"&amp;'Output annual'!$AC$2&amp;'Output annual'!$AD$2&amp;"*FangerPMV(Hourly)",'Eplus results'!$1:$1048576,ROW(),FALSE)</f>
        <v>0</v>
      </c>
      <c r="AD1149" s="580">
        <f t="shared" si="121"/>
        <v>5</v>
      </c>
      <c r="AE1149" s="580">
        <f t="shared" si="122"/>
        <v>2.5</v>
      </c>
      <c r="AF1149" s="580">
        <f t="shared" si="123"/>
        <v>2.5</v>
      </c>
      <c r="AG1149" s="580">
        <f t="shared" si="124"/>
        <v>0</v>
      </c>
      <c r="AH1149" s="580">
        <f t="shared" si="125"/>
        <v>0</v>
      </c>
    </row>
    <row r="1150" spans="28:34">
      <c r="AB1150" s="580">
        <f>HLOOKUP("*"&amp;'Output annual'!$AC$2&amp;'Output annual'!$AD$2&amp;"*Zone People Number Of Occupants [](Hourly)",'Eplus results'!$1:$1048576,ROW(),FALSE)</f>
        <v>0</v>
      </c>
      <c r="AC1150" s="580">
        <f>HLOOKUP("*"&amp;'Output annual'!$AC$2&amp;'Output annual'!$AD$2&amp;"*FangerPMV(Hourly)",'Eplus results'!$1:$1048576,ROW(),FALSE)</f>
        <v>0</v>
      </c>
      <c r="AD1150" s="580">
        <f t="shared" si="121"/>
        <v>5</v>
      </c>
      <c r="AE1150" s="580">
        <f t="shared" si="122"/>
        <v>2.5</v>
      </c>
      <c r="AF1150" s="580">
        <f t="shared" si="123"/>
        <v>2.5</v>
      </c>
      <c r="AG1150" s="580">
        <f t="shared" si="124"/>
        <v>0</v>
      </c>
      <c r="AH1150" s="580">
        <f t="shared" si="125"/>
        <v>0</v>
      </c>
    </row>
    <row r="1151" spans="28:34">
      <c r="AB1151" s="580">
        <f>HLOOKUP("*"&amp;'Output annual'!$AC$2&amp;'Output annual'!$AD$2&amp;"*Zone People Number Of Occupants [](Hourly)",'Eplus results'!$1:$1048576,ROW(),FALSE)</f>
        <v>0</v>
      </c>
      <c r="AC1151" s="580">
        <f>HLOOKUP("*"&amp;'Output annual'!$AC$2&amp;'Output annual'!$AD$2&amp;"*FangerPMV(Hourly)",'Eplus results'!$1:$1048576,ROW(),FALSE)</f>
        <v>0</v>
      </c>
      <c r="AD1151" s="580">
        <f t="shared" si="121"/>
        <v>5</v>
      </c>
      <c r="AE1151" s="580">
        <f t="shared" si="122"/>
        <v>2.5</v>
      </c>
      <c r="AF1151" s="580">
        <f t="shared" si="123"/>
        <v>2.5</v>
      </c>
      <c r="AG1151" s="580">
        <f t="shared" si="124"/>
        <v>0</v>
      </c>
      <c r="AH1151" s="580">
        <f t="shared" si="125"/>
        <v>0</v>
      </c>
    </row>
    <row r="1152" spans="28:34">
      <c r="AB1152" s="580">
        <f>HLOOKUP("*"&amp;'Output annual'!$AC$2&amp;'Output annual'!$AD$2&amp;"*Zone People Number Of Occupants [](Hourly)",'Eplus results'!$1:$1048576,ROW(),FALSE)</f>
        <v>0</v>
      </c>
      <c r="AC1152" s="580">
        <f>HLOOKUP("*"&amp;'Output annual'!$AC$2&amp;'Output annual'!$AD$2&amp;"*FangerPMV(Hourly)",'Eplus results'!$1:$1048576,ROW(),FALSE)</f>
        <v>0</v>
      </c>
      <c r="AD1152" s="580">
        <f t="shared" si="121"/>
        <v>5</v>
      </c>
      <c r="AE1152" s="580">
        <f t="shared" si="122"/>
        <v>2.5</v>
      </c>
      <c r="AF1152" s="580">
        <f t="shared" si="123"/>
        <v>2.5</v>
      </c>
      <c r="AG1152" s="580">
        <f t="shared" si="124"/>
        <v>0</v>
      </c>
      <c r="AH1152" s="580">
        <f t="shared" si="125"/>
        <v>0</v>
      </c>
    </row>
    <row r="1153" spans="28:34">
      <c r="AB1153" s="580">
        <f>HLOOKUP("*"&amp;'Output annual'!$AC$2&amp;'Output annual'!$AD$2&amp;"*Zone People Number Of Occupants [](Hourly)",'Eplus results'!$1:$1048576,ROW(),FALSE)</f>
        <v>0</v>
      </c>
      <c r="AC1153" s="580">
        <f>HLOOKUP("*"&amp;'Output annual'!$AC$2&amp;'Output annual'!$AD$2&amp;"*FangerPMV(Hourly)",'Eplus results'!$1:$1048576,ROW(),FALSE)</f>
        <v>0</v>
      </c>
      <c r="AD1153" s="580">
        <f t="shared" si="121"/>
        <v>5</v>
      </c>
      <c r="AE1153" s="580">
        <f t="shared" si="122"/>
        <v>2.5</v>
      </c>
      <c r="AF1153" s="580">
        <f t="shared" si="123"/>
        <v>2.5</v>
      </c>
      <c r="AG1153" s="580">
        <f t="shared" si="124"/>
        <v>0</v>
      </c>
      <c r="AH1153" s="580">
        <f t="shared" si="125"/>
        <v>0</v>
      </c>
    </row>
    <row r="1154" spans="28:34">
      <c r="AB1154" s="580">
        <f>HLOOKUP("*"&amp;'Output annual'!$AC$2&amp;'Output annual'!$AD$2&amp;"*Zone People Number Of Occupants [](Hourly)",'Eplus results'!$1:$1048576,ROW(),FALSE)</f>
        <v>0</v>
      </c>
      <c r="AC1154" s="580">
        <f>HLOOKUP("*"&amp;'Output annual'!$AC$2&amp;'Output annual'!$AD$2&amp;"*FangerPMV(Hourly)",'Eplus results'!$1:$1048576,ROW(),FALSE)</f>
        <v>0</v>
      </c>
      <c r="AD1154" s="580">
        <f t="shared" si="121"/>
        <v>5</v>
      </c>
      <c r="AE1154" s="580">
        <f t="shared" si="122"/>
        <v>2.5</v>
      </c>
      <c r="AF1154" s="580">
        <f t="shared" si="123"/>
        <v>2.5</v>
      </c>
      <c r="AG1154" s="580">
        <f t="shared" si="124"/>
        <v>0</v>
      </c>
      <c r="AH1154" s="580">
        <f t="shared" si="125"/>
        <v>0</v>
      </c>
    </row>
    <row r="1155" spans="28:34">
      <c r="AB1155" s="580">
        <f>HLOOKUP("*"&amp;'Output annual'!$AC$2&amp;'Output annual'!$AD$2&amp;"*Zone People Number Of Occupants [](Hourly)",'Eplus results'!$1:$1048576,ROW(),FALSE)</f>
        <v>0</v>
      </c>
      <c r="AC1155" s="580">
        <f>HLOOKUP("*"&amp;'Output annual'!$AC$2&amp;'Output annual'!$AD$2&amp;"*FangerPMV(Hourly)",'Eplus results'!$1:$1048576,ROW(),FALSE)</f>
        <v>0</v>
      </c>
      <c r="AD1155" s="580">
        <f t="shared" ref="AD1155:AD1218" si="126">100-95*EXP(-0.03353*AC1155^4-0.2179*AC1155^2)</f>
        <v>5</v>
      </c>
      <c r="AE1155" s="580">
        <f t="shared" ref="AE1155:AE1218" si="127">AD1155*(1/(1+EXP(-6.3*$AC1155)))</f>
        <v>2.5</v>
      </c>
      <c r="AF1155" s="580">
        <f t="shared" ref="AF1155:AF1218" si="128">(AD1155-AE1155)</f>
        <v>2.5</v>
      </c>
      <c r="AG1155" s="580">
        <f t="shared" ref="AG1155:AG1218" si="129">AE1155*AB1155</f>
        <v>0</v>
      </c>
      <c r="AH1155" s="580">
        <f t="shared" ref="AH1155:AH1218" si="130">AF1155*AB1155</f>
        <v>0</v>
      </c>
    </row>
    <row r="1156" spans="28:34">
      <c r="AB1156" s="580">
        <f>HLOOKUP("*"&amp;'Output annual'!$AC$2&amp;'Output annual'!$AD$2&amp;"*Zone People Number Of Occupants [](Hourly)",'Eplus results'!$1:$1048576,ROW(),FALSE)</f>
        <v>0</v>
      </c>
      <c r="AC1156" s="580">
        <f>HLOOKUP("*"&amp;'Output annual'!$AC$2&amp;'Output annual'!$AD$2&amp;"*FangerPMV(Hourly)",'Eplus results'!$1:$1048576,ROW(),FALSE)</f>
        <v>0</v>
      </c>
      <c r="AD1156" s="580">
        <f t="shared" si="126"/>
        <v>5</v>
      </c>
      <c r="AE1156" s="580">
        <f t="shared" si="127"/>
        <v>2.5</v>
      </c>
      <c r="AF1156" s="580">
        <f t="shared" si="128"/>
        <v>2.5</v>
      </c>
      <c r="AG1156" s="580">
        <f t="shared" si="129"/>
        <v>0</v>
      </c>
      <c r="AH1156" s="580">
        <f t="shared" si="130"/>
        <v>0</v>
      </c>
    </row>
    <row r="1157" spans="28:34">
      <c r="AB1157" s="580">
        <f>HLOOKUP("*"&amp;'Output annual'!$AC$2&amp;'Output annual'!$AD$2&amp;"*Zone People Number Of Occupants [](Hourly)",'Eplus results'!$1:$1048576,ROW(),FALSE)</f>
        <v>0</v>
      </c>
      <c r="AC1157" s="580">
        <f>HLOOKUP("*"&amp;'Output annual'!$AC$2&amp;'Output annual'!$AD$2&amp;"*FangerPMV(Hourly)",'Eplus results'!$1:$1048576,ROW(),FALSE)</f>
        <v>0</v>
      </c>
      <c r="AD1157" s="580">
        <f t="shared" si="126"/>
        <v>5</v>
      </c>
      <c r="AE1157" s="580">
        <f t="shared" si="127"/>
        <v>2.5</v>
      </c>
      <c r="AF1157" s="580">
        <f t="shared" si="128"/>
        <v>2.5</v>
      </c>
      <c r="AG1157" s="580">
        <f t="shared" si="129"/>
        <v>0</v>
      </c>
      <c r="AH1157" s="580">
        <f t="shared" si="130"/>
        <v>0</v>
      </c>
    </row>
    <row r="1158" spans="28:34">
      <c r="AB1158" s="580">
        <f>HLOOKUP("*"&amp;'Output annual'!$AC$2&amp;'Output annual'!$AD$2&amp;"*Zone People Number Of Occupants [](Hourly)",'Eplus results'!$1:$1048576,ROW(),FALSE)</f>
        <v>0</v>
      </c>
      <c r="AC1158" s="580">
        <f>HLOOKUP("*"&amp;'Output annual'!$AC$2&amp;'Output annual'!$AD$2&amp;"*FangerPMV(Hourly)",'Eplus results'!$1:$1048576,ROW(),FALSE)</f>
        <v>0</v>
      </c>
      <c r="AD1158" s="580">
        <f t="shared" si="126"/>
        <v>5</v>
      </c>
      <c r="AE1158" s="580">
        <f t="shared" si="127"/>
        <v>2.5</v>
      </c>
      <c r="AF1158" s="580">
        <f t="shared" si="128"/>
        <v>2.5</v>
      </c>
      <c r="AG1158" s="580">
        <f t="shared" si="129"/>
        <v>0</v>
      </c>
      <c r="AH1158" s="580">
        <f t="shared" si="130"/>
        <v>0</v>
      </c>
    </row>
    <row r="1159" spans="28:34">
      <c r="AB1159" s="580">
        <f>HLOOKUP("*"&amp;'Output annual'!$AC$2&amp;'Output annual'!$AD$2&amp;"*Zone People Number Of Occupants [](Hourly)",'Eplus results'!$1:$1048576,ROW(),FALSE)</f>
        <v>0</v>
      </c>
      <c r="AC1159" s="580">
        <f>HLOOKUP("*"&amp;'Output annual'!$AC$2&amp;'Output annual'!$AD$2&amp;"*FangerPMV(Hourly)",'Eplus results'!$1:$1048576,ROW(),FALSE)</f>
        <v>0</v>
      </c>
      <c r="AD1159" s="580">
        <f t="shared" si="126"/>
        <v>5</v>
      </c>
      <c r="AE1159" s="580">
        <f t="shared" si="127"/>
        <v>2.5</v>
      </c>
      <c r="AF1159" s="580">
        <f t="shared" si="128"/>
        <v>2.5</v>
      </c>
      <c r="AG1159" s="580">
        <f t="shared" si="129"/>
        <v>0</v>
      </c>
      <c r="AH1159" s="580">
        <f t="shared" si="130"/>
        <v>0</v>
      </c>
    </row>
    <row r="1160" spans="28:34">
      <c r="AB1160" s="580">
        <f>HLOOKUP("*"&amp;'Output annual'!$AC$2&amp;'Output annual'!$AD$2&amp;"*Zone People Number Of Occupants [](Hourly)",'Eplus results'!$1:$1048576,ROW(),FALSE)</f>
        <v>0</v>
      </c>
      <c r="AC1160" s="580">
        <f>HLOOKUP("*"&amp;'Output annual'!$AC$2&amp;'Output annual'!$AD$2&amp;"*FangerPMV(Hourly)",'Eplus results'!$1:$1048576,ROW(),FALSE)</f>
        <v>0</v>
      </c>
      <c r="AD1160" s="580">
        <f t="shared" si="126"/>
        <v>5</v>
      </c>
      <c r="AE1160" s="580">
        <f t="shared" si="127"/>
        <v>2.5</v>
      </c>
      <c r="AF1160" s="580">
        <f t="shared" si="128"/>
        <v>2.5</v>
      </c>
      <c r="AG1160" s="580">
        <f t="shared" si="129"/>
        <v>0</v>
      </c>
      <c r="AH1160" s="580">
        <f t="shared" si="130"/>
        <v>0</v>
      </c>
    </row>
    <row r="1161" spans="28:34">
      <c r="AB1161" s="580">
        <f>HLOOKUP("*"&amp;'Output annual'!$AC$2&amp;'Output annual'!$AD$2&amp;"*Zone People Number Of Occupants [](Hourly)",'Eplus results'!$1:$1048576,ROW(),FALSE)</f>
        <v>0</v>
      </c>
      <c r="AC1161" s="580">
        <f>HLOOKUP("*"&amp;'Output annual'!$AC$2&amp;'Output annual'!$AD$2&amp;"*FangerPMV(Hourly)",'Eplus results'!$1:$1048576,ROW(),FALSE)</f>
        <v>0</v>
      </c>
      <c r="AD1161" s="580">
        <f t="shared" si="126"/>
        <v>5</v>
      </c>
      <c r="AE1161" s="580">
        <f t="shared" si="127"/>
        <v>2.5</v>
      </c>
      <c r="AF1161" s="580">
        <f t="shared" si="128"/>
        <v>2.5</v>
      </c>
      <c r="AG1161" s="580">
        <f t="shared" si="129"/>
        <v>0</v>
      </c>
      <c r="AH1161" s="580">
        <f t="shared" si="130"/>
        <v>0</v>
      </c>
    </row>
    <row r="1162" spans="28:34">
      <c r="AB1162" s="580">
        <f>HLOOKUP("*"&amp;'Output annual'!$AC$2&amp;'Output annual'!$AD$2&amp;"*Zone People Number Of Occupants [](Hourly)",'Eplus results'!$1:$1048576,ROW(),FALSE)</f>
        <v>0</v>
      </c>
      <c r="AC1162" s="580">
        <f>HLOOKUP("*"&amp;'Output annual'!$AC$2&amp;'Output annual'!$AD$2&amp;"*FangerPMV(Hourly)",'Eplus results'!$1:$1048576,ROW(),FALSE)</f>
        <v>0</v>
      </c>
      <c r="AD1162" s="580">
        <f t="shared" si="126"/>
        <v>5</v>
      </c>
      <c r="AE1162" s="580">
        <f t="shared" si="127"/>
        <v>2.5</v>
      </c>
      <c r="AF1162" s="580">
        <f t="shared" si="128"/>
        <v>2.5</v>
      </c>
      <c r="AG1162" s="580">
        <f t="shared" si="129"/>
        <v>0</v>
      </c>
      <c r="AH1162" s="580">
        <f t="shared" si="130"/>
        <v>0</v>
      </c>
    </row>
    <row r="1163" spans="28:34">
      <c r="AB1163" s="580">
        <f>HLOOKUP("*"&amp;'Output annual'!$AC$2&amp;'Output annual'!$AD$2&amp;"*Zone People Number Of Occupants [](Hourly)",'Eplus results'!$1:$1048576,ROW(),FALSE)</f>
        <v>0</v>
      </c>
      <c r="AC1163" s="580">
        <f>HLOOKUP("*"&amp;'Output annual'!$AC$2&amp;'Output annual'!$AD$2&amp;"*FangerPMV(Hourly)",'Eplus results'!$1:$1048576,ROW(),FALSE)</f>
        <v>0</v>
      </c>
      <c r="AD1163" s="580">
        <f t="shared" si="126"/>
        <v>5</v>
      </c>
      <c r="AE1163" s="580">
        <f t="shared" si="127"/>
        <v>2.5</v>
      </c>
      <c r="AF1163" s="580">
        <f t="shared" si="128"/>
        <v>2.5</v>
      </c>
      <c r="AG1163" s="580">
        <f t="shared" si="129"/>
        <v>0</v>
      </c>
      <c r="AH1163" s="580">
        <f t="shared" si="130"/>
        <v>0</v>
      </c>
    </row>
    <row r="1164" spans="28:34">
      <c r="AB1164" s="580">
        <f>HLOOKUP("*"&amp;'Output annual'!$AC$2&amp;'Output annual'!$AD$2&amp;"*Zone People Number Of Occupants [](Hourly)",'Eplus results'!$1:$1048576,ROW(),FALSE)</f>
        <v>0</v>
      </c>
      <c r="AC1164" s="580">
        <f>HLOOKUP("*"&amp;'Output annual'!$AC$2&amp;'Output annual'!$AD$2&amp;"*FangerPMV(Hourly)",'Eplus results'!$1:$1048576,ROW(),FALSE)</f>
        <v>0</v>
      </c>
      <c r="AD1164" s="580">
        <f t="shared" si="126"/>
        <v>5</v>
      </c>
      <c r="AE1164" s="580">
        <f t="shared" si="127"/>
        <v>2.5</v>
      </c>
      <c r="AF1164" s="580">
        <f t="shared" si="128"/>
        <v>2.5</v>
      </c>
      <c r="AG1164" s="580">
        <f t="shared" si="129"/>
        <v>0</v>
      </c>
      <c r="AH1164" s="580">
        <f t="shared" si="130"/>
        <v>0</v>
      </c>
    </row>
    <row r="1165" spans="28:34">
      <c r="AB1165" s="580">
        <f>HLOOKUP("*"&amp;'Output annual'!$AC$2&amp;'Output annual'!$AD$2&amp;"*Zone People Number Of Occupants [](Hourly)",'Eplus results'!$1:$1048576,ROW(),FALSE)</f>
        <v>0</v>
      </c>
      <c r="AC1165" s="580">
        <f>HLOOKUP("*"&amp;'Output annual'!$AC$2&amp;'Output annual'!$AD$2&amp;"*FangerPMV(Hourly)",'Eplus results'!$1:$1048576,ROW(),FALSE)</f>
        <v>0</v>
      </c>
      <c r="AD1165" s="580">
        <f t="shared" si="126"/>
        <v>5</v>
      </c>
      <c r="AE1165" s="580">
        <f t="shared" si="127"/>
        <v>2.5</v>
      </c>
      <c r="AF1165" s="580">
        <f t="shared" si="128"/>
        <v>2.5</v>
      </c>
      <c r="AG1165" s="580">
        <f t="shared" si="129"/>
        <v>0</v>
      </c>
      <c r="AH1165" s="580">
        <f t="shared" si="130"/>
        <v>0</v>
      </c>
    </row>
    <row r="1166" spans="28:34">
      <c r="AB1166" s="580">
        <f>HLOOKUP("*"&amp;'Output annual'!$AC$2&amp;'Output annual'!$AD$2&amp;"*Zone People Number Of Occupants [](Hourly)",'Eplus results'!$1:$1048576,ROW(),FALSE)</f>
        <v>0</v>
      </c>
      <c r="AC1166" s="580">
        <f>HLOOKUP("*"&amp;'Output annual'!$AC$2&amp;'Output annual'!$AD$2&amp;"*FangerPMV(Hourly)",'Eplus results'!$1:$1048576,ROW(),FALSE)</f>
        <v>0</v>
      </c>
      <c r="AD1166" s="580">
        <f t="shared" si="126"/>
        <v>5</v>
      </c>
      <c r="AE1166" s="580">
        <f t="shared" si="127"/>
        <v>2.5</v>
      </c>
      <c r="AF1166" s="580">
        <f t="shared" si="128"/>
        <v>2.5</v>
      </c>
      <c r="AG1166" s="580">
        <f t="shared" si="129"/>
        <v>0</v>
      </c>
      <c r="AH1166" s="580">
        <f t="shared" si="130"/>
        <v>0</v>
      </c>
    </row>
    <row r="1167" spans="28:34">
      <c r="AB1167" s="580">
        <f>HLOOKUP("*"&amp;'Output annual'!$AC$2&amp;'Output annual'!$AD$2&amp;"*Zone People Number Of Occupants [](Hourly)",'Eplus results'!$1:$1048576,ROW(),FALSE)</f>
        <v>0</v>
      </c>
      <c r="AC1167" s="580">
        <f>HLOOKUP("*"&amp;'Output annual'!$AC$2&amp;'Output annual'!$AD$2&amp;"*FangerPMV(Hourly)",'Eplus results'!$1:$1048576,ROW(),FALSE)</f>
        <v>0</v>
      </c>
      <c r="AD1167" s="580">
        <f t="shared" si="126"/>
        <v>5</v>
      </c>
      <c r="AE1167" s="580">
        <f t="shared" si="127"/>
        <v>2.5</v>
      </c>
      <c r="AF1167" s="580">
        <f t="shared" si="128"/>
        <v>2.5</v>
      </c>
      <c r="AG1167" s="580">
        <f t="shared" si="129"/>
        <v>0</v>
      </c>
      <c r="AH1167" s="580">
        <f t="shared" si="130"/>
        <v>0</v>
      </c>
    </row>
    <row r="1168" spans="28:34">
      <c r="AB1168" s="580">
        <f>HLOOKUP("*"&amp;'Output annual'!$AC$2&amp;'Output annual'!$AD$2&amp;"*Zone People Number Of Occupants [](Hourly)",'Eplus results'!$1:$1048576,ROW(),FALSE)</f>
        <v>0</v>
      </c>
      <c r="AC1168" s="580">
        <f>HLOOKUP("*"&amp;'Output annual'!$AC$2&amp;'Output annual'!$AD$2&amp;"*FangerPMV(Hourly)",'Eplus results'!$1:$1048576,ROW(),FALSE)</f>
        <v>0</v>
      </c>
      <c r="AD1168" s="580">
        <f t="shared" si="126"/>
        <v>5</v>
      </c>
      <c r="AE1168" s="580">
        <f t="shared" si="127"/>
        <v>2.5</v>
      </c>
      <c r="AF1168" s="580">
        <f t="shared" si="128"/>
        <v>2.5</v>
      </c>
      <c r="AG1168" s="580">
        <f t="shared" si="129"/>
        <v>0</v>
      </c>
      <c r="AH1168" s="580">
        <f t="shared" si="130"/>
        <v>0</v>
      </c>
    </row>
    <row r="1169" spans="28:34">
      <c r="AB1169" s="580">
        <f>HLOOKUP("*"&amp;'Output annual'!$AC$2&amp;'Output annual'!$AD$2&amp;"*Zone People Number Of Occupants [](Hourly)",'Eplus results'!$1:$1048576,ROW(),FALSE)</f>
        <v>0</v>
      </c>
      <c r="AC1169" s="580">
        <f>HLOOKUP("*"&amp;'Output annual'!$AC$2&amp;'Output annual'!$AD$2&amp;"*FangerPMV(Hourly)",'Eplus results'!$1:$1048576,ROW(),FALSE)</f>
        <v>0</v>
      </c>
      <c r="AD1169" s="580">
        <f t="shared" si="126"/>
        <v>5</v>
      </c>
      <c r="AE1169" s="580">
        <f t="shared" si="127"/>
        <v>2.5</v>
      </c>
      <c r="AF1169" s="580">
        <f t="shared" si="128"/>
        <v>2.5</v>
      </c>
      <c r="AG1169" s="580">
        <f t="shared" si="129"/>
        <v>0</v>
      </c>
      <c r="AH1169" s="580">
        <f t="shared" si="130"/>
        <v>0</v>
      </c>
    </row>
    <row r="1170" spans="28:34">
      <c r="AB1170" s="580">
        <f>HLOOKUP("*"&amp;'Output annual'!$AC$2&amp;'Output annual'!$AD$2&amp;"*Zone People Number Of Occupants [](Hourly)",'Eplus results'!$1:$1048576,ROW(),FALSE)</f>
        <v>0</v>
      </c>
      <c r="AC1170" s="580">
        <f>HLOOKUP("*"&amp;'Output annual'!$AC$2&amp;'Output annual'!$AD$2&amp;"*FangerPMV(Hourly)",'Eplus results'!$1:$1048576,ROW(),FALSE)</f>
        <v>0</v>
      </c>
      <c r="AD1170" s="580">
        <f t="shared" si="126"/>
        <v>5</v>
      </c>
      <c r="AE1170" s="580">
        <f t="shared" si="127"/>
        <v>2.5</v>
      </c>
      <c r="AF1170" s="580">
        <f t="shared" si="128"/>
        <v>2.5</v>
      </c>
      <c r="AG1170" s="580">
        <f t="shared" si="129"/>
        <v>0</v>
      </c>
      <c r="AH1170" s="580">
        <f t="shared" si="130"/>
        <v>0</v>
      </c>
    </row>
    <row r="1171" spans="28:34">
      <c r="AB1171" s="580">
        <f>HLOOKUP("*"&amp;'Output annual'!$AC$2&amp;'Output annual'!$AD$2&amp;"*Zone People Number Of Occupants [](Hourly)",'Eplus results'!$1:$1048576,ROW(),FALSE)</f>
        <v>0</v>
      </c>
      <c r="AC1171" s="580">
        <f>HLOOKUP("*"&amp;'Output annual'!$AC$2&amp;'Output annual'!$AD$2&amp;"*FangerPMV(Hourly)",'Eplus results'!$1:$1048576,ROW(),FALSE)</f>
        <v>0</v>
      </c>
      <c r="AD1171" s="580">
        <f t="shared" si="126"/>
        <v>5</v>
      </c>
      <c r="AE1171" s="580">
        <f t="shared" si="127"/>
        <v>2.5</v>
      </c>
      <c r="AF1171" s="580">
        <f t="shared" si="128"/>
        <v>2.5</v>
      </c>
      <c r="AG1171" s="580">
        <f t="shared" si="129"/>
        <v>0</v>
      </c>
      <c r="AH1171" s="580">
        <f t="shared" si="130"/>
        <v>0</v>
      </c>
    </row>
    <row r="1172" spans="28:34">
      <c r="AB1172" s="580">
        <f>HLOOKUP("*"&amp;'Output annual'!$AC$2&amp;'Output annual'!$AD$2&amp;"*Zone People Number Of Occupants [](Hourly)",'Eplus results'!$1:$1048576,ROW(),FALSE)</f>
        <v>0</v>
      </c>
      <c r="AC1172" s="580">
        <f>HLOOKUP("*"&amp;'Output annual'!$AC$2&amp;'Output annual'!$AD$2&amp;"*FangerPMV(Hourly)",'Eplus results'!$1:$1048576,ROW(),FALSE)</f>
        <v>0</v>
      </c>
      <c r="AD1172" s="580">
        <f t="shared" si="126"/>
        <v>5</v>
      </c>
      <c r="AE1172" s="580">
        <f t="shared" si="127"/>
        <v>2.5</v>
      </c>
      <c r="AF1172" s="580">
        <f t="shared" si="128"/>
        <v>2.5</v>
      </c>
      <c r="AG1172" s="580">
        <f t="shared" si="129"/>
        <v>0</v>
      </c>
      <c r="AH1172" s="580">
        <f t="shared" si="130"/>
        <v>0</v>
      </c>
    </row>
    <row r="1173" spans="28:34">
      <c r="AB1173" s="580">
        <f>HLOOKUP("*"&amp;'Output annual'!$AC$2&amp;'Output annual'!$AD$2&amp;"*Zone People Number Of Occupants [](Hourly)",'Eplus results'!$1:$1048576,ROW(),FALSE)</f>
        <v>0</v>
      </c>
      <c r="AC1173" s="580">
        <f>HLOOKUP("*"&amp;'Output annual'!$AC$2&amp;'Output annual'!$AD$2&amp;"*FangerPMV(Hourly)",'Eplus results'!$1:$1048576,ROW(),FALSE)</f>
        <v>0</v>
      </c>
      <c r="AD1173" s="580">
        <f t="shared" si="126"/>
        <v>5</v>
      </c>
      <c r="AE1173" s="580">
        <f t="shared" si="127"/>
        <v>2.5</v>
      </c>
      <c r="AF1173" s="580">
        <f t="shared" si="128"/>
        <v>2.5</v>
      </c>
      <c r="AG1173" s="580">
        <f t="shared" si="129"/>
        <v>0</v>
      </c>
      <c r="AH1173" s="580">
        <f t="shared" si="130"/>
        <v>0</v>
      </c>
    </row>
    <row r="1174" spans="28:34">
      <c r="AB1174" s="580">
        <f>HLOOKUP("*"&amp;'Output annual'!$AC$2&amp;'Output annual'!$AD$2&amp;"*Zone People Number Of Occupants [](Hourly)",'Eplus results'!$1:$1048576,ROW(),FALSE)</f>
        <v>0</v>
      </c>
      <c r="AC1174" s="580">
        <f>HLOOKUP("*"&amp;'Output annual'!$AC$2&amp;'Output annual'!$AD$2&amp;"*FangerPMV(Hourly)",'Eplus results'!$1:$1048576,ROW(),FALSE)</f>
        <v>0</v>
      </c>
      <c r="AD1174" s="580">
        <f t="shared" si="126"/>
        <v>5</v>
      </c>
      <c r="AE1174" s="580">
        <f t="shared" si="127"/>
        <v>2.5</v>
      </c>
      <c r="AF1174" s="580">
        <f t="shared" si="128"/>
        <v>2.5</v>
      </c>
      <c r="AG1174" s="580">
        <f t="shared" si="129"/>
        <v>0</v>
      </c>
      <c r="AH1174" s="580">
        <f t="shared" si="130"/>
        <v>0</v>
      </c>
    </row>
    <row r="1175" spans="28:34">
      <c r="AB1175" s="580">
        <f>HLOOKUP("*"&amp;'Output annual'!$AC$2&amp;'Output annual'!$AD$2&amp;"*Zone People Number Of Occupants [](Hourly)",'Eplus results'!$1:$1048576,ROW(),FALSE)</f>
        <v>0</v>
      </c>
      <c r="AC1175" s="580">
        <f>HLOOKUP("*"&amp;'Output annual'!$AC$2&amp;'Output annual'!$AD$2&amp;"*FangerPMV(Hourly)",'Eplus results'!$1:$1048576,ROW(),FALSE)</f>
        <v>0</v>
      </c>
      <c r="AD1175" s="580">
        <f t="shared" si="126"/>
        <v>5</v>
      </c>
      <c r="AE1175" s="580">
        <f t="shared" si="127"/>
        <v>2.5</v>
      </c>
      <c r="AF1175" s="580">
        <f t="shared" si="128"/>
        <v>2.5</v>
      </c>
      <c r="AG1175" s="580">
        <f t="shared" si="129"/>
        <v>0</v>
      </c>
      <c r="AH1175" s="580">
        <f t="shared" si="130"/>
        <v>0</v>
      </c>
    </row>
    <row r="1176" spans="28:34">
      <c r="AB1176" s="580">
        <f>HLOOKUP("*"&amp;'Output annual'!$AC$2&amp;'Output annual'!$AD$2&amp;"*Zone People Number Of Occupants [](Hourly)",'Eplus results'!$1:$1048576,ROW(),FALSE)</f>
        <v>0</v>
      </c>
      <c r="AC1176" s="580">
        <f>HLOOKUP("*"&amp;'Output annual'!$AC$2&amp;'Output annual'!$AD$2&amp;"*FangerPMV(Hourly)",'Eplus results'!$1:$1048576,ROW(),FALSE)</f>
        <v>0</v>
      </c>
      <c r="AD1176" s="580">
        <f t="shared" si="126"/>
        <v>5</v>
      </c>
      <c r="AE1176" s="580">
        <f t="shared" si="127"/>
        <v>2.5</v>
      </c>
      <c r="AF1176" s="580">
        <f t="shared" si="128"/>
        <v>2.5</v>
      </c>
      <c r="AG1176" s="580">
        <f t="shared" si="129"/>
        <v>0</v>
      </c>
      <c r="AH1176" s="580">
        <f t="shared" si="130"/>
        <v>0</v>
      </c>
    </row>
    <row r="1177" spans="28:34">
      <c r="AB1177" s="580">
        <f>HLOOKUP("*"&amp;'Output annual'!$AC$2&amp;'Output annual'!$AD$2&amp;"*Zone People Number Of Occupants [](Hourly)",'Eplus results'!$1:$1048576,ROW(),FALSE)</f>
        <v>0</v>
      </c>
      <c r="AC1177" s="580">
        <f>HLOOKUP("*"&amp;'Output annual'!$AC$2&amp;'Output annual'!$AD$2&amp;"*FangerPMV(Hourly)",'Eplus results'!$1:$1048576,ROW(),FALSE)</f>
        <v>0</v>
      </c>
      <c r="AD1177" s="580">
        <f t="shared" si="126"/>
        <v>5</v>
      </c>
      <c r="AE1177" s="580">
        <f t="shared" si="127"/>
        <v>2.5</v>
      </c>
      <c r="AF1177" s="580">
        <f t="shared" si="128"/>
        <v>2.5</v>
      </c>
      <c r="AG1177" s="580">
        <f t="shared" si="129"/>
        <v>0</v>
      </c>
      <c r="AH1177" s="580">
        <f t="shared" si="130"/>
        <v>0</v>
      </c>
    </row>
    <row r="1178" spans="28:34">
      <c r="AB1178" s="580">
        <f>HLOOKUP("*"&amp;'Output annual'!$AC$2&amp;'Output annual'!$AD$2&amp;"*Zone People Number Of Occupants [](Hourly)",'Eplus results'!$1:$1048576,ROW(),FALSE)</f>
        <v>0</v>
      </c>
      <c r="AC1178" s="580">
        <f>HLOOKUP("*"&amp;'Output annual'!$AC$2&amp;'Output annual'!$AD$2&amp;"*FangerPMV(Hourly)",'Eplus results'!$1:$1048576,ROW(),FALSE)</f>
        <v>0</v>
      </c>
      <c r="AD1178" s="580">
        <f t="shared" si="126"/>
        <v>5</v>
      </c>
      <c r="AE1178" s="580">
        <f t="shared" si="127"/>
        <v>2.5</v>
      </c>
      <c r="AF1178" s="580">
        <f t="shared" si="128"/>
        <v>2.5</v>
      </c>
      <c r="AG1178" s="580">
        <f t="shared" si="129"/>
        <v>0</v>
      </c>
      <c r="AH1178" s="580">
        <f t="shared" si="130"/>
        <v>0</v>
      </c>
    </row>
    <row r="1179" spans="28:34">
      <c r="AB1179" s="580">
        <f>HLOOKUP("*"&amp;'Output annual'!$AC$2&amp;'Output annual'!$AD$2&amp;"*Zone People Number Of Occupants [](Hourly)",'Eplus results'!$1:$1048576,ROW(),FALSE)</f>
        <v>0</v>
      </c>
      <c r="AC1179" s="580">
        <f>HLOOKUP("*"&amp;'Output annual'!$AC$2&amp;'Output annual'!$AD$2&amp;"*FangerPMV(Hourly)",'Eplus results'!$1:$1048576,ROW(),FALSE)</f>
        <v>0</v>
      </c>
      <c r="AD1179" s="580">
        <f t="shared" si="126"/>
        <v>5</v>
      </c>
      <c r="AE1179" s="580">
        <f t="shared" si="127"/>
        <v>2.5</v>
      </c>
      <c r="AF1179" s="580">
        <f t="shared" si="128"/>
        <v>2.5</v>
      </c>
      <c r="AG1179" s="580">
        <f t="shared" si="129"/>
        <v>0</v>
      </c>
      <c r="AH1179" s="580">
        <f t="shared" si="130"/>
        <v>0</v>
      </c>
    </row>
    <row r="1180" spans="28:34">
      <c r="AB1180" s="580">
        <f>HLOOKUP("*"&amp;'Output annual'!$AC$2&amp;'Output annual'!$AD$2&amp;"*Zone People Number Of Occupants [](Hourly)",'Eplus results'!$1:$1048576,ROW(),FALSE)</f>
        <v>0</v>
      </c>
      <c r="AC1180" s="580">
        <f>HLOOKUP("*"&amp;'Output annual'!$AC$2&amp;'Output annual'!$AD$2&amp;"*FangerPMV(Hourly)",'Eplus results'!$1:$1048576,ROW(),FALSE)</f>
        <v>0</v>
      </c>
      <c r="AD1180" s="580">
        <f t="shared" si="126"/>
        <v>5</v>
      </c>
      <c r="AE1180" s="580">
        <f t="shared" si="127"/>
        <v>2.5</v>
      </c>
      <c r="AF1180" s="580">
        <f t="shared" si="128"/>
        <v>2.5</v>
      </c>
      <c r="AG1180" s="580">
        <f t="shared" si="129"/>
        <v>0</v>
      </c>
      <c r="AH1180" s="580">
        <f t="shared" si="130"/>
        <v>0</v>
      </c>
    </row>
    <row r="1181" spans="28:34">
      <c r="AB1181" s="580">
        <f>HLOOKUP("*"&amp;'Output annual'!$AC$2&amp;'Output annual'!$AD$2&amp;"*Zone People Number Of Occupants [](Hourly)",'Eplus results'!$1:$1048576,ROW(),FALSE)</f>
        <v>0</v>
      </c>
      <c r="AC1181" s="580">
        <f>HLOOKUP("*"&amp;'Output annual'!$AC$2&amp;'Output annual'!$AD$2&amp;"*FangerPMV(Hourly)",'Eplus results'!$1:$1048576,ROW(),FALSE)</f>
        <v>0</v>
      </c>
      <c r="AD1181" s="580">
        <f t="shared" si="126"/>
        <v>5</v>
      </c>
      <c r="AE1181" s="580">
        <f t="shared" si="127"/>
        <v>2.5</v>
      </c>
      <c r="AF1181" s="580">
        <f t="shared" si="128"/>
        <v>2.5</v>
      </c>
      <c r="AG1181" s="580">
        <f t="shared" si="129"/>
        <v>0</v>
      </c>
      <c r="AH1181" s="580">
        <f t="shared" si="130"/>
        <v>0</v>
      </c>
    </row>
    <row r="1182" spans="28:34">
      <c r="AB1182" s="580">
        <f>HLOOKUP("*"&amp;'Output annual'!$AC$2&amp;'Output annual'!$AD$2&amp;"*Zone People Number Of Occupants [](Hourly)",'Eplus results'!$1:$1048576,ROW(),FALSE)</f>
        <v>0</v>
      </c>
      <c r="AC1182" s="580">
        <f>HLOOKUP("*"&amp;'Output annual'!$AC$2&amp;'Output annual'!$AD$2&amp;"*FangerPMV(Hourly)",'Eplus results'!$1:$1048576,ROW(),FALSE)</f>
        <v>0</v>
      </c>
      <c r="AD1182" s="580">
        <f t="shared" si="126"/>
        <v>5</v>
      </c>
      <c r="AE1182" s="580">
        <f t="shared" si="127"/>
        <v>2.5</v>
      </c>
      <c r="AF1182" s="580">
        <f t="shared" si="128"/>
        <v>2.5</v>
      </c>
      <c r="AG1182" s="580">
        <f t="shared" si="129"/>
        <v>0</v>
      </c>
      <c r="AH1182" s="580">
        <f t="shared" si="130"/>
        <v>0</v>
      </c>
    </row>
    <row r="1183" spans="28:34">
      <c r="AB1183" s="580">
        <f>HLOOKUP("*"&amp;'Output annual'!$AC$2&amp;'Output annual'!$AD$2&amp;"*Zone People Number Of Occupants [](Hourly)",'Eplus results'!$1:$1048576,ROW(),FALSE)</f>
        <v>0</v>
      </c>
      <c r="AC1183" s="580">
        <f>HLOOKUP("*"&amp;'Output annual'!$AC$2&amp;'Output annual'!$AD$2&amp;"*FangerPMV(Hourly)",'Eplus results'!$1:$1048576,ROW(),FALSE)</f>
        <v>0</v>
      </c>
      <c r="AD1183" s="580">
        <f t="shared" si="126"/>
        <v>5</v>
      </c>
      <c r="AE1183" s="580">
        <f t="shared" si="127"/>
        <v>2.5</v>
      </c>
      <c r="AF1183" s="580">
        <f t="shared" si="128"/>
        <v>2.5</v>
      </c>
      <c r="AG1183" s="580">
        <f t="shared" si="129"/>
        <v>0</v>
      </c>
      <c r="AH1183" s="580">
        <f t="shared" si="130"/>
        <v>0</v>
      </c>
    </row>
    <row r="1184" spans="28:34">
      <c r="AB1184" s="580">
        <f>HLOOKUP("*"&amp;'Output annual'!$AC$2&amp;'Output annual'!$AD$2&amp;"*Zone People Number Of Occupants [](Hourly)",'Eplus results'!$1:$1048576,ROW(),FALSE)</f>
        <v>0</v>
      </c>
      <c r="AC1184" s="580">
        <f>HLOOKUP("*"&amp;'Output annual'!$AC$2&amp;'Output annual'!$AD$2&amp;"*FangerPMV(Hourly)",'Eplus results'!$1:$1048576,ROW(),FALSE)</f>
        <v>0</v>
      </c>
      <c r="AD1184" s="580">
        <f t="shared" si="126"/>
        <v>5</v>
      </c>
      <c r="AE1184" s="580">
        <f t="shared" si="127"/>
        <v>2.5</v>
      </c>
      <c r="AF1184" s="580">
        <f t="shared" si="128"/>
        <v>2.5</v>
      </c>
      <c r="AG1184" s="580">
        <f t="shared" si="129"/>
        <v>0</v>
      </c>
      <c r="AH1184" s="580">
        <f t="shared" si="130"/>
        <v>0</v>
      </c>
    </row>
    <row r="1185" spans="28:34">
      <c r="AB1185" s="580">
        <f>HLOOKUP("*"&amp;'Output annual'!$AC$2&amp;'Output annual'!$AD$2&amp;"*Zone People Number Of Occupants [](Hourly)",'Eplus results'!$1:$1048576,ROW(),FALSE)</f>
        <v>0</v>
      </c>
      <c r="AC1185" s="580">
        <f>HLOOKUP("*"&amp;'Output annual'!$AC$2&amp;'Output annual'!$AD$2&amp;"*FangerPMV(Hourly)",'Eplus results'!$1:$1048576,ROW(),FALSE)</f>
        <v>0</v>
      </c>
      <c r="AD1185" s="580">
        <f t="shared" si="126"/>
        <v>5</v>
      </c>
      <c r="AE1185" s="580">
        <f t="shared" si="127"/>
        <v>2.5</v>
      </c>
      <c r="AF1185" s="580">
        <f t="shared" si="128"/>
        <v>2.5</v>
      </c>
      <c r="AG1185" s="580">
        <f t="shared" si="129"/>
        <v>0</v>
      </c>
      <c r="AH1185" s="580">
        <f t="shared" si="130"/>
        <v>0</v>
      </c>
    </row>
    <row r="1186" spans="28:34">
      <c r="AB1186" s="580">
        <f>HLOOKUP("*"&amp;'Output annual'!$AC$2&amp;'Output annual'!$AD$2&amp;"*Zone People Number Of Occupants [](Hourly)",'Eplus results'!$1:$1048576,ROW(),FALSE)</f>
        <v>0</v>
      </c>
      <c r="AC1186" s="580">
        <f>HLOOKUP("*"&amp;'Output annual'!$AC$2&amp;'Output annual'!$AD$2&amp;"*FangerPMV(Hourly)",'Eplus results'!$1:$1048576,ROW(),FALSE)</f>
        <v>0</v>
      </c>
      <c r="AD1186" s="580">
        <f t="shared" si="126"/>
        <v>5</v>
      </c>
      <c r="AE1186" s="580">
        <f t="shared" si="127"/>
        <v>2.5</v>
      </c>
      <c r="AF1186" s="580">
        <f t="shared" si="128"/>
        <v>2.5</v>
      </c>
      <c r="AG1186" s="580">
        <f t="shared" si="129"/>
        <v>0</v>
      </c>
      <c r="AH1186" s="580">
        <f t="shared" si="130"/>
        <v>0</v>
      </c>
    </row>
    <row r="1187" spans="28:34">
      <c r="AB1187" s="580">
        <f>HLOOKUP("*"&amp;'Output annual'!$AC$2&amp;'Output annual'!$AD$2&amp;"*Zone People Number Of Occupants [](Hourly)",'Eplus results'!$1:$1048576,ROW(),FALSE)</f>
        <v>0</v>
      </c>
      <c r="AC1187" s="580">
        <f>HLOOKUP("*"&amp;'Output annual'!$AC$2&amp;'Output annual'!$AD$2&amp;"*FangerPMV(Hourly)",'Eplus results'!$1:$1048576,ROW(),FALSE)</f>
        <v>0</v>
      </c>
      <c r="AD1187" s="580">
        <f t="shared" si="126"/>
        <v>5</v>
      </c>
      <c r="AE1187" s="580">
        <f t="shared" si="127"/>
        <v>2.5</v>
      </c>
      <c r="AF1187" s="580">
        <f t="shared" si="128"/>
        <v>2.5</v>
      </c>
      <c r="AG1187" s="580">
        <f t="shared" si="129"/>
        <v>0</v>
      </c>
      <c r="AH1187" s="580">
        <f t="shared" si="130"/>
        <v>0</v>
      </c>
    </row>
    <row r="1188" spans="28:34">
      <c r="AB1188" s="580">
        <f>HLOOKUP("*"&amp;'Output annual'!$AC$2&amp;'Output annual'!$AD$2&amp;"*Zone People Number Of Occupants [](Hourly)",'Eplus results'!$1:$1048576,ROW(),FALSE)</f>
        <v>0</v>
      </c>
      <c r="AC1188" s="580">
        <f>HLOOKUP("*"&amp;'Output annual'!$AC$2&amp;'Output annual'!$AD$2&amp;"*FangerPMV(Hourly)",'Eplus results'!$1:$1048576,ROW(),FALSE)</f>
        <v>0</v>
      </c>
      <c r="AD1188" s="580">
        <f t="shared" si="126"/>
        <v>5</v>
      </c>
      <c r="AE1188" s="580">
        <f t="shared" si="127"/>
        <v>2.5</v>
      </c>
      <c r="AF1188" s="580">
        <f t="shared" si="128"/>
        <v>2.5</v>
      </c>
      <c r="AG1188" s="580">
        <f t="shared" si="129"/>
        <v>0</v>
      </c>
      <c r="AH1188" s="580">
        <f t="shared" si="130"/>
        <v>0</v>
      </c>
    </row>
    <row r="1189" spans="28:34">
      <c r="AB1189" s="580">
        <f>HLOOKUP("*"&amp;'Output annual'!$AC$2&amp;'Output annual'!$AD$2&amp;"*Zone People Number Of Occupants [](Hourly)",'Eplus results'!$1:$1048576,ROW(),FALSE)</f>
        <v>0</v>
      </c>
      <c r="AC1189" s="580">
        <f>HLOOKUP("*"&amp;'Output annual'!$AC$2&amp;'Output annual'!$AD$2&amp;"*FangerPMV(Hourly)",'Eplus results'!$1:$1048576,ROW(),FALSE)</f>
        <v>0</v>
      </c>
      <c r="AD1189" s="580">
        <f t="shared" si="126"/>
        <v>5</v>
      </c>
      <c r="AE1189" s="580">
        <f t="shared" si="127"/>
        <v>2.5</v>
      </c>
      <c r="AF1189" s="580">
        <f t="shared" si="128"/>
        <v>2.5</v>
      </c>
      <c r="AG1189" s="580">
        <f t="shared" si="129"/>
        <v>0</v>
      </c>
      <c r="AH1189" s="580">
        <f t="shared" si="130"/>
        <v>0</v>
      </c>
    </row>
    <row r="1190" spans="28:34">
      <c r="AB1190" s="580">
        <f>HLOOKUP("*"&amp;'Output annual'!$AC$2&amp;'Output annual'!$AD$2&amp;"*Zone People Number Of Occupants [](Hourly)",'Eplus results'!$1:$1048576,ROW(),FALSE)</f>
        <v>0</v>
      </c>
      <c r="AC1190" s="580">
        <f>HLOOKUP("*"&amp;'Output annual'!$AC$2&amp;'Output annual'!$AD$2&amp;"*FangerPMV(Hourly)",'Eplus results'!$1:$1048576,ROW(),FALSE)</f>
        <v>0</v>
      </c>
      <c r="AD1190" s="580">
        <f t="shared" si="126"/>
        <v>5</v>
      </c>
      <c r="AE1190" s="580">
        <f t="shared" si="127"/>
        <v>2.5</v>
      </c>
      <c r="AF1190" s="580">
        <f t="shared" si="128"/>
        <v>2.5</v>
      </c>
      <c r="AG1190" s="580">
        <f t="shared" si="129"/>
        <v>0</v>
      </c>
      <c r="AH1190" s="580">
        <f t="shared" si="130"/>
        <v>0</v>
      </c>
    </row>
    <row r="1191" spans="28:34">
      <c r="AB1191" s="580">
        <f>HLOOKUP("*"&amp;'Output annual'!$AC$2&amp;'Output annual'!$AD$2&amp;"*Zone People Number Of Occupants [](Hourly)",'Eplus results'!$1:$1048576,ROW(),FALSE)</f>
        <v>0</v>
      </c>
      <c r="AC1191" s="580">
        <f>HLOOKUP("*"&amp;'Output annual'!$AC$2&amp;'Output annual'!$AD$2&amp;"*FangerPMV(Hourly)",'Eplus results'!$1:$1048576,ROW(),FALSE)</f>
        <v>0</v>
      </c>
      <c r="AD1191" s="580">
        <f t="shared" si="126"/>
        <v>5</v>
      </c>
      <c r="AE1191" s="580">
        <f t="shared" si="127"/>
        <v>2.5</v>
      </c>
      <c r="AF1191" s="580">
        <f t="shared" si="128"/>
        <v>2.5</v>
      </c>
      <c r="AG1191" s="580">
        <f t="shared" si="129"/>
        <v>0</v>
      </c>
      <c r="AH1191" s="580">
        <f t="shared" si="130"/>
        <v>0</v>
      </c>
    </row>
    <row r="1192" spans="28:34">
      <c r="AB1192" s="580">
        <f>HLOOKUP("*"&amp;'Output annual'!$AC$2&amp;'Output annual'!$AD$2&amp;"*Zone People Number Of Occupants [](Hourly)",'Eplus results'!$1:$1048576,ROW(),FALSE)</f>
        <v>0</v>
      </c>
      <c r="AC1192" s="580">
        <f>HLOOKUP("*"&amp;'Output annual'!$AC$2&amp;'Output annual'!$AD$2&amp;"*FangerPMV(Hourly)",'Eplus results'!$1:$1048576,ROW(),FALSE)</f>
        <v>0</v>
      </c>
      <c r="AD1192" s="580">
        <f t="shared" si="126"/>
        <v>5</v>
      </c>
      <c r="AE1192" s="580">
        <f t="shared" si="127"/>
        <v>2.5</v>
      </c>
      <c r="AF1192" s="580">
        <f t="shared" si="128"/>
        <v>2.5</v>
      </c>
      <c r="AG1192" s="580">
        <f t="shared" si="129"/>
        <v>0</v>
      </c>
      <c r="AH1192" s="580">
        <f t="shared" si="130"/>
        <v>0</v>
      </c>
    </row>
    <row r="1193" spans="28:34">
      <c r="AB1193" s="580">
        <f>HLOOKUP("*"&amp;'Output annual'!$AC$2&amp;'Output annual'!$AD$2&amp;"*Zone People Number Of Occupants [](Hourly)",'Eplus results'!$1:$1048576,ROW(),FALSE)</f>
        <v>0</v>
      </c>
      <c r="AC1193" s="580">
        <f>HLOOKUP("*"&amp;'Output annual'!$AC$2&amp;'Output annual'!$AD$2&amp;"*FangerPMV(Hourly)",'Eplus results'!$1:$1048576,ROW(),FALSE)</f>
        <v>0</v>
      </c>
      <c r="AD1193" s="580">
        <f t="shared" si="126"/>
        <v>5</v>
      </c>
      <c r="AE1193" s="580">
        <f t="shared" si="127"/>
        <v>2.5</v>
      </c>
      <c r="AF1193" s="580">
        <f t="shared" si="128"/>
        <v>2.5</v>
      </c>
      <c r="AG1193" s="580">
        <f t="shared" si="129"/>
        <v>0</v>
      </c>
      <c r="AH1193" s="580">
        <f t="shared" si="130"/>
        <v>0</v>
      </c>
    </row>
    <row r="1194" spans="28:34">
      <c r="AB1194" s="580">
        <f>HLOOKUP("*"&amp;'Output annual'!$AC$2&amp;'Output annual'!$AD$2&amp;"*Zone People Number Of Occupants [](Hourly)",'Eplus results'!$1:$1048576,ROW(),FALSE)</f>
        <v>0</v>
      </c>
      <c r="AC1194" s="580">
        <f>HLOOKUP("*"&amp;'Output annual'!$AC$2&amp;'Output annual'!$AD$2&amp;"*FangerPMV(Hourly)",'Eplus results'!$1:$1048576,ROW(),FALSE)</f>
        <v>0</v>
      </c>
      <c r="AD1194" s="580">
        <f t="shared" si="126"/>
        <v>5</v>
      </c>
      <c r="AE1194" s="580">
        <f t="shared" si="127"/>
        <v>2.5</v>
      </c>
      <c r="AF1194" s="580">
        <f t="shared" si="128"/>
        <v>2.5</v>
      </c>
      <c r="AG1194" s="580">
        <f t="shared" si="129"/>
        <v>0</v>
      </c>
      <c r="AH1194" s="580">
        <f t="shared" si="130"/>
        <v>0</v>
      </c>
    </row>
    <row r="1195" spans="28:34">
      <c r="AB1195" s="580">
        <f>HLOOKUP("*"&amp;'Output annual'!$AC$2&amp;'Output annual'!$AD$2&amp;"*Zone People Number Of Occupants [](Hourly)",'Eplus results'!$1:$1048576,ROW(),FALSE)</f>
        <v>0</v>
      </c>
      <c r="AC1195" s="580">
        <f>HLOOKUP("*"&amp;'Output annual'!$AC$2&amp;'Output annual'!$AD$2&amp;"*FangerPMV(Hourly)",'Eplus results'!$1:$1048576,ROW(),FALSE)</f>
        <v>0</v>
      </c>
      <c r="AD1195" s="580">
        <f t="shared" si="126"/>
        <v>5</v>
      </c>
      <c r="AE1195" s="580">
        <f t="shared" si="127"/>
        <v>2.5</v>
      </c>
      <c r="AF1195" s="580">
        <f t="shared" si="128"/>
        <v>2.5</v>
      </c>
      <c r="AG1195" s="580">
        <f t="shared" si="129"/>
        <v>0</v>
      </c>
      <c r="AH1195" s="580">
        <f t="shared" si="130"/>
        <v>0</v>
      </c>
    </row>
    <row r="1196" spans="28:34">
      <c r="AB1196" s="580">
        <f>HLOOKUP("*"&amp;'Output annual'!$AC$2&amp;'Output annual'!$AD$2&amp;"*Zone People Number Of Occupants [](Hourly)",'Eplus results'!$1:$1048576,ROW(),FALSE)</f>
        <v>0</v>
      </c>
      <c r="AC1196" s="580">
        <f>HLOOKUP("*"&amp;'Output annual'!$AC$2&amp;'Output annual'!$AD$2&amp;"*FangerPMV(Hourly)",'Eplus results'!$1:$1048576,ROW(),FALSE)</f>
        <v>0</v>
      </c>
      <c r="AD1196" s="580">
        <f t="shared" si="126"/>
        <v>5</v>
      </c>
      <c r="AE1196" s="580">
        <f t="shared" si="127"/>
        <v>2.5</v>
      </c>
      <c r="AF1196" s="580">
        <f t="shared" si="128"/>
        <v>2.5</v>
      </c>
      <c r="AG1196" s="580">
        <f t="shared" si="129"/>
        <v>0</v>
      </c>
      <c r="AH1196" s="580">
        <f t="shared" si="130"/>
        <v>0</v>
      </c>
    </row>
    <row r="1197" spans="28:34">
      <c r="AB1197" s="580">
        <f>HLOOKUP("*"&amp;'Output annual'!$AC$2&amp;'Output annual'!$AD$2&amp;"*Zone People Number Of Occupants [](Hourly)",'Eplus results'!$1:$1048576,ROW(),FALSE)</f>
        <v>0</v>
      </c>
      <c r="AC1197" s="580">
        <f>HLOOKUP("*"&amp;'Output annual'!$AC$2&amp;'Output annual'!$AD$2&amp;"*FangerPMV(Hourly)",'Eplus results'!$1:$1048576,ROW(),FALSE)</f>
        <v>0</v>
      </c>
      <c r="AD1197" s="580">
        <f t="shared" si="126"/>
        <v>5</v>
      </c>
      <c r="AE1197" s="580">
        <f t="shared" si="127"/>
        <v>2.5</v>
      </c>
      <c r="AF1197" s="580">
        <f t="shared" si="128"/>
        <v>2.5</v>
      </c>
      <c r="AG1197" s="580">
        <f t="shared" si="129"/>
        <v>0</v>
      </c>
      <c r="AH1197" s="580">
        <f t="shared" si="130"/>
        <v>0</v>
      </c>
    </row>
    <row r="1198" spans="28:34">
      <c r="AB1198" s="580">
        <f>HLOOKUP("*"&amp;'Output annual'!$AC$2&amp;'Output annual'!$AD$2&amp;"*Zone People Number Of Occupants [](Hourly)",'Eplus results'!$1:$1048576,ROW(),FALSE)</f>
        <v>0</v>
      </c>
      <c r="AC1198" s="580">
        <f>HLOOKUP("*"&amp;'Output annual'!$AC$2&amp;'Output annual'!$AD$2&amp;"*FangerPMV(Hourly)",'Eplus results'!$1:$1048576,ROW(),FALSE)</f>
        <v>0</v>
      </c>
      <c r="AD1198" s="580">
        <f t="shared" si="126"/>
        <v>5</v>
      </c>
      <c r="AE1198" s="580">
        <f t="shared" si="127"/>
        <v>2.5</v>
      </c>
      <c r="AF1198" s="580">
        <f t="shared" si="128"/>
        <v>2.5</v>
      </c>
      <c r="AG1198" s="580">
        <f t="shared" si="129"/>
        <v>0</v>
      </c>
      <c r="AH1198" s="580">
        <f t="shared" si="130"/>
        <v>0</v>
      </c>
    </row>
    <row r="1199" spans="28:34">
      <c r="AB1199" s="580">
        <f>HLOOKUP("*"&amp;'Output annual'!$AC$2&amp;'Output annual'!$AD$2&amp;"*Zone People Number Of Occupants [](Hourly)",'Eplus results'!$1:$1048576,ROW(),FALSE)</f>
        <v>0</v>
      </c>
      <c r="AC1199" s="580">
        <f>HLOOKUP("*"&amp;'Output annual'!$AC$2&amp;'Output annual'!$AD$2&amp;"*FangerPMV(Hourly)",'Eplus results'!$1:$1048576,ROW(),FALSE)</f>
        <v>0</v>
      </c>
      <c r="AD1199" s="580">
        <f t="shared" si="126"/>
        <v>5</v>
      </c>
      <c r="AE1199" s="580">
        <f t="shared" si="127"/>
        <v>2.5</v>
      </c>
      <c r="AF1199" s="580">
        <f t="shared" si="128"/>
        <v>2.5</v>
      </c>
      <c r="AG1199" s="580">
        <f t="shared" si="129"/>
        <v>0</v>
      </c>
      <c r="AH1199" s="580">
        <f t="shared" si="130"/>
        <v>0</v>
      </c>
    </row>
    <row r="1200" spans="28:34">
      <c r="AB1200" s="580">
        <f>HLOOKUP("*"&amp;'Output annual'!$AC$2&amp;'Output annual'!$AD$2&amp;"*Zone People Number Of Occupants [](Hourly)",'Eplus results'!$1:$1048576,ROW(),FALSE)</f>
        <v>0</v>
      </c>
      <c r="AC1200" s="580">
        <f>HLOOKUP("*"&amp;'Output annual'!$AC$2&amp;'Output annual'!$AD$2&amp;"*FangerPMV(Hourly)",'Eplus results'!$1:$1048576,ROW(),FALSE)</f>
        <v>0</v>
      </c>
      <c r="AD1200" s="580">
        <f t="shared" si="126"/>
        <v>5</v>
      </c>
      <c r="AE1200" s="580">
        <f t="shared" si="127"/>
        <v>2.5</v>
      </c>
      <c r="AF1200" s="580">
        <f t="shared" si="128"/>
        <v>2.5</v>
      </c>
      <c r="AG1200" s="580">
        <f t="shared" si="129"/>
        <v>0</v>
      </c>
      <c r="AH1200" s="580">
        <f t="shared" si="130"/>
        <v>0</v>
      </c>
    </row>
    <row r="1201" spans="28:34">
      <c r="AB1201" s="580">
        <f>HLOOKUP("*"&amp;'Output annual'!$AC$2&amp;'Output annual'!$AD$2&amp;"*Zone People Number Of Occupants [](Hourly)",'Eplus results'!$1:$1048576,ROW(),FALSE)</f>
        <v>0</v>
      </c>
      <c r="AC1201" s="580">
        <f>HLOOKUP("*"&amp;'Output annual'!$AC$2&amp;'Output annual'!$AD$2&amp;"*FangerPMV(Hourly)",'Eplus results'!$1:$1048576,ROW(),FALSE)</f>
        <v>0</v>
      </c>
      <c r="AD1201" s="580">
        <f t="shared" si="126"/>
        <v>5</v>
      </c>
      <c r="AE1201" s="580">
        <f t="shared" si="127"/>
        <v>2.5</v>
      </c>
      <c r="AF1201" s="580">
        <f t="shared" si="128"/>
        <v>2.5</v>
      </c>
      <c r="AG1201" s="580">
        <f t="shared" si="129"/>
        <v>0</v>
      </c>
      <c r="AH1201" s="580">
        <f t="shared" si="130"/>
        <v>0</v>
      </c>
    </row>
    <row r="1202" spans="28:34">
      <c r="AB1202" s="580">
        <f>HLOOKUP("*"&amp;'Output annual'!$AC$2&amp;'Output annual'!$AD$2&amp;"*Zone People Number Of Occupants [](Hourly)",'Eplus results'!$1:$1048576,ROW(),FALSE)</f>
        <v>0</v>
      </c>
      <c r="AC1202" s="580">
        <f>HLOOKUP("*"&amp;'Output annual'!$AC$2&amp;'Output annual'!$AD$2&amp;"*FangerPMV(Hourly)",'Eplus results'!$1:$1048576,ROW(),FALSE)</f>
        <v>0</v>
      </c>
      <c r="AD1202" s="580">
        <f t="shared" si="126"/>
        <v>5</v>
      </c>
      <c r="AE1202" s="580">
        <f t="shared" si="127"/>
        <v>2.5</v>
      </c>
      <c r="AF1202" s="580">
        <f t="shared" si="128"/>
        <v>2.5</v>
      </c>
      <c r="AG1202" s="580">
        <f t="shared" si="129"/>
        <v>0</v>
      </c>
      <c r="AH1202" s="580">
        <f t="shared" si="130"/>
        <v>0</v>
      </c>
    </row>
    <row r="1203" spans="28:34">
      <c r="AB1203" s="580">
        <f>HLOOKUP("*"&amp;'Output annual'!$AC$2&amp;'Output annual'!$AD$2&amp;"*Zone People Number Of Occupants [](Hourly)",'Eplus results'!$1:$1048576,ROW(),FALSE)</f>
        <v>0</v>
      </c>
      <c r="AC1203" s="580">
        <f>HLOOKUP("*"&amp;'Output annual'!$AC$2&amp;'Output annual'!$AD$2&amp;"*FangerPMV(Hourly)",'Eplus results'!$1:$1048576,ROW(),FALSE)</f>
        <v>0</v>
      </c>
      <c r="AD1203" s="580">
        <f t="shared" si="126"/>
        <v>5</v>
      </c>
      <c r="AE1203" s="580">
        <f t="shared" si="127"/>
        <v>2.5</v>
      </c>
      <c r="AF1203" s="580">
        <f t="shared" si="128"/>
        <v>2.5</v>
      </c>
      <c r="AG1203" s="580">
        <f t="shared" si="129"/>
        <v>0</v>
      </c>
      <c r="AH1203" s="580">
        <f t="shared" si="130"/>
        <v>0</v>
      </c>
    </row>
    <row r="1204" spans="28:34">
      <c r="AB1204" s="580">
        <f>HLOOKUP("*"&amp;'Output annual'!$AC$2&amp;'Output annual'!$AD$2&amp;"*Zone People Number Of Occupants [](Hourly)",'Eplus results'!$1:$1048576,ROW(),FALSE)</f>
        <v>0</v>
      </c>
      <c r="AC1204" s="580">
        <f>HLOOKUP("*"&amp;'Output annual'!$AC$2&amp;'Output annual'!$AD$2&amp;"*FangerPMV(Hourly)",'Eplus results'!$1:$1048576,ROW(),FALSE)</f>
        <v>0</v>
      </c>
      <c r="AD1204" s="580">
        <f t="shared" si="126"/>
        <v>5</v>
      </c>
      <c r="AE1204" s="580">
        <f t="shared" si="127"/>
        <v>2.5</v>
      </c>
      <c r="AF1204" s="580">
        <f t="shared" si="128"/>
        <v>2.5</v>
      </c>
      <c r="AG1204" s="580">
        <f t="shared" si="129"/>
        <v>0</v>
      </c>
      <c r="AH1204" s="580">
        <f t="shared" si="130"/>
        <v>0</v>
      </c>
    </row>
    <row r="1205" spans="28:34">
      <c r="AB1205" s="580">
        <f>HLOOKUP("*"&amp;'Output annual'!$AC$2&amp;'Output annual'!$AD$2&amp;"*Zone People Number Of Occupants [](Hourly)",'Eplus results'!$1:$1048576,ROW(),FALSE)</f>
        <v>0</v>
      </c>
      <c r="AC1205" s="580">
        <f>HLOOKUP("*"&amp;'Output annual'!$AC$2&amp;'Output annual'!$AD$2&amp;"*FangerPMV(Hourly)",'Eplus results'!$1:$1048576,ROW(),FALSE)</f>
        <v>0</v>
      </c>
      <c r="AD1205" s="580">
        <f t="shared" si="126"/>
        <v>5</v>
      </c>
      <c r="AE1205" s="580">
        <f t="shared" si="127"/>
        <v>2.5</v>
      </c>
      <c r="AF1205" s="580">
        <f t="shared" si="128"/>
        <v>2.5</v>
      </c>
      <c r="AG1205" s="580">
        <f t="shared" si="129"/>
        <v>0</v>
      </c>
      <c r="AH1205" s="580">
        <f t="shared" si="130"/>
        <v>0</v>
      </c>
    </row>
    <row r="1206" spans="28:34">
      <c r="AB1206" s="580">
        <f>HLOOKUP("*"&amp;'Output annual'!$AC$2&amp;'Output annual'!$AD$2&amp;"*Zone People Number Of Occupants [](Hourly)",'Eplus results'!$1:$1048576,ROW(),FALSE)</f>
        <v>0</v>
      </c>
      <c r="AC1206" s="580">
        <f>HLOOKUP("*"&amp;'Output annual'!$AC$2&amp;'Output annual'!$AD$2&amp;"*FangerPMV(Hourly)",'Eplus results'!$1:$1048576,ROW(),FALSE)</f>
        <v>0</v>
      </c>
      <c r="AD1206" s="580">
        <f t="shared" si="126"/>
        <v>5</v>
      </c>
      <c r="AE1206" s="580">
        <f t="shared" si="127"/>
        <v>2.5</v>
      </c>
      <c r="AF1206" s="580">
        <f t="shared" si="128"/>
        <v>2.5</v>
      </c>
      <c r="AG1206" s="580">
        <f t="shared" si="129"/>
        <v>0</v>
      </c>
      <c r="AH1206" s="580">
        <f t="shared" si="130"/>
        <v>0</v>
      </c>
    </row>
    <row r="1207" spans="28:34">
      <c r="AB1207" s="580">
        <f>HLOOKUP("*"&amp;'Output annual'!$AC$2&amp;'Output annual'!$AD$2&amp;"*Zone People Number Of Occupants [](Hourly)",'Eplus results'!$1:$1048576,ROW(),FALSE)</f>
        <v>0</v>
      </c>
      <c r="AC1207" s="580">
        <f>HLOOKUP("*"&amp;'Output annual'!$AC$2&amp;'Output annual'!$AD$2&amp;"*FangerPMV(Hourly)",'Eplus results'!$1:$1048576,ROW(),FALSE)</f>
        <v>0</v>
      </c>
      <c r="AD1207" s="580">
        <f t="shared" si="126"/>
        <v>5</v>
      </c>
      <c r="AE1207" s="580">
        <f t="shared" si="127"/>
        <v>2.5</v>
      </c>
      <c r="AF1207" s="580">
        <f t="shared" si="128"/>
        <v>2.5</v>
      </c>
      <c r="AG1207" s="580">
        <f t="shared" si="129"/>
        <v>0</v>
      </c>
      <c r="AH1207" s="580">
        <f t="shared" si="130"/>
        <v>0</v>
      </c>
    </row>
    <row r="1208" spans="28:34">
      <c r="AB1208" s="580">
        <f>HLOOKUP("*"&amp;'Output annual'!$AC$2&amp;'Output annual'!$AD$2&amp;"*Zone People Number Of Occupants [](Hourly)",'Eplus results'!$1:$1048576,ROW(),FALSE)</f>
        <v>0</v>
      </c>
      <c r="AC1208" s="580">
        <f>HLOOKUP("*"&amp;'Output annual'!$AC$2&amp;'Output annual'!$AD$2&amp;"*FangerPMV(Hourly)",'Eplus results'!$1:$1048576,ROW(),FALSE)</f>
        <v>0</v>
      </c>
      <c r="AD1208" s="580">
        <f t="shared" si="126"/>
        <v>5</v>
      </c>
      <c r="AE1208" s="580">
        <f t="shared" si="127"/>
        <v>2.5</v>
      </c>
      <c r="AF1208" s="580">
        <f t="shared" si="128"/>
        <v>2.5</v>
      </c>
      <c r="AG1208" s="580">
        <f t="shared" si="129"/>
        <v>0</v>
      </c>
      <c r="AH1208" s="580">
        <f t="shared" si="130"/>
        <v>0</v>
      </c>
    </row>
    <row r="1209" spans="28:34">
      <c r="AB1209" s="580">
        <f>HLOOKUP("*"&amp;'Output annual'!$AC$2&amp;'Output annual'!$AD$2&amp;"*Zone People Number Of Occupants [](Hourly)",'Eplus results'!$1:$1048576,ROW(),FALSE)</f>
        <v>0</v>
      </c>
      <c r="AC1209" s="580">
        <f>HLOOKUP("*"&amp;'Output annual'!$AC$2&amp;'Output annual'!$AD$2&amp;"*FangerPMV(Hourly)",'Eplus results'!$1:$1048576,ROW(),FALSE)</f>
        <v>0</v>
      </c>
      <c r="AD1209" s="580">
        <f t="shared" si="126"/>
        <v>5</v>
      </c>
      <c r="AE1209" s="580">
        <f t="shared" si="127"/>
        <v>2.5</v>
      </c>
      <c r="AF1209" s="580">
        <f t="shared" si="128"/>
        <v>2.5</v>
      </c>
      <c r="AG1209" s="580">
        <f t="shared" si="129"/>
        <v>0</v>
      </c>
      <c r="AH1209" s="580">
        <f t="shared" si="130"/>
        <v>0</v>
      </c>
    </row>
    <row r="1210" spans="28:34">
      <c r="AB1210" s="580">
        <f>HLOOKUP("*"&amp;'Output annual'!$AC$2&amp;'Output annual'!$AD$2&amp;"*Zone People Number Of Occupants [](Hourly)",'Eplus results'!$1:$1048576,ROW(),FALSE)</f>
        <v>0</v>
      </c>
      <c r="AC1210" s="580">
        <f>HLOOKUP("*"&amp;'Output annual'!$AC$2&amp;'Output annual'!$AD$2&amp;"*FangerPMV(Hourly)",'Eplus results'!$1:$1048576,ROW(),FALSE)</f>
        <v>0</v>
      </c>
      <c r="AD1210" s="580">
        <f t="shared" si="126"/>
        <v>5</v>
      </c>
      <c r="AE1210" s="580">
        <f t="shared" si="127"/>
        <v>2.5</v>
      </c>
      <c r="AF1210" s="580">
        <f t="shared" si="128"/>
        <v>2.5</v>
      </c>
      <c r="AG1210" s="580">
        <f t="shared" si="129"/>
        <v>0</v>
      </c>
      <c r="AH1210" s="580">
        <f t="shared" si="130"/>
        <v>0</v>
      </c>
    </row>
    <row r="1211" spans="28:34">
      <c r="AB1211" s="580">
        <f>HLOOKUP("*"&amp;'Output annual'!$AC$2&amp;'Output annual'!$AD$2&amp;"*Zone People Number Of Occupants [](Hourly)",'Eplus results'!$1:$1048576,ROW(),FALSE)</f>
        <v>0</v>
      </c>
      <c r="AC1211" s="580">
        <f>HLOOKUP("*"&amp;'Output annual'!$AC$2&amp;'Output annual'!$AD$2&amp;"*FangerPMV(Hourly)",'Eplus results'!$1:$1048576,ROW(),FALSE)</f>
        <v>0</v>
      </c>
      <c r="AD1211" s="580">
        <f t="shared" si="126"/>
        <v>5</v>
      </c>
      <c r="AE1211" s="580">
        <f t="shared" si="127"/>
        <v>2.5</v>
      </c>
      <c r="AF1211" s="580">
        <f t="shared" si="128"/>
        <v>2.5</v>
      </c>
      <c r="AG1211" s="580">
        <f t="shared" si="129"/>
        <v>0</v>
      </c>
      <c r="AH1211" s="580">
        <f t="shared" si="130"/>
        <v>0</v>
      </c>
    </row>
    <row r="1212" spans="28:34">
      <c r="AB1212" s="580">
        <f>HLOOKUP("*"&amp;'Output annual'!$AC$2&amp;'Output annual'!$AD$2&amp;"*Zone People Number Of Occupants [](Hourly)",'Eplus results'!$1:$1048576,ROW(),FALSE)</f>
        <v>0</v>
      </c>
      <c r="AC1212" s="580">
        <f>HLOOKUP("*"&amp;'Output annual'!$AC$2&amp;'Output annual'!$AD$2&amp;"*FangerPMV(Hourly)",'Eplus results'!$1:$1048576,ROW(),FALSE)</f>
        <v>0</v>
      </c>
      <c r="AD1212" s="580">
        <f t="shared" si="126"/>
        <v>5</v>
      </c>
      <c r="AE1212" s="580">
        <f t="shared" si="127"/>
        <v>2.5</v>
      </c>
      <c r="AF1212" s="580">
        <f t="shared" si="128"/>
        <v>2.5</v>
      </c>
      <c r="AG1212" s="580">
        <f t="shared" si="129"/>
        <v>0</v>
      </c>
      <c r="AH1212" s="580">
        <f t="shared" si="130"/>
        <v>0</v>
      </c>
    </row>
    <row r="1213" spans="28:34">
      <c r="AB1213" s="580">
        <f>HLOOKUP("*"&amp;'Output annual'!$AC$2&amp;'Output annual'!$AD$2&amp;"*Zone People Number Of Occupants [](Hourly)",'Eplus results'!$1:$1048576,ROW(),FALSE)</f>
        <v>0</v>
      </c>
      <c r="AC1213" s="580">
        <f>HLOOKUP("*"&amp;'Output annual'!$AC$2&amp;'Output annual'!$AD$2&amp;"*FangerPMV(Hourly)",'Eplus results'!$1:$1048576,ROW(),FALSE)</f>
        <v>0</v>
      </c>
      <c r="AD1213" s="580">
        <f t="shared" si="126"/>
        <v>5</v>
      </c>
      <c r="AE1213" s="580">
        <f t="shared" si="127"/>
        <v>2.5</v>
      </c>
      <c r="AF1213" s="580">
        <f t="shared" si="128"/>
        <v>2.5</v>
      </c>
      <c r="AG1213" s="580">
        <f t="shared" si="129"/>
        <v>0</v>
      </c>
      <c r="AH1213" s="580">
        <f t="shared" si="130"/>
        <v>0</v>
      </c>
    </row>
    <row r="1214" spans="28:34">
      <c r="AB1214" s="580">
        <f>HLOOKUP("*"&amp;'Output annual'!$AC$2&amp;'Output annual'!$AD$2&amp;"*Zone People Number Of Occupants [](Hourly)",'Eplus results'!$1:$1048576,ROW(),FALSE)</f>
        <v>0</v>
      </c>
      <c r="AC1214" s="580">
        <f>HLOOKUP("*"&amp;'Output annual'!$AC$2&amp;'Output annual'!$AD$2&amp;"*FangerPMV(Hourly)",'Eplus results'!$1:$1048576,ROW(),FALSE)</f>
        <v>0</v>
      </c>
      <c r="AD1214" s="580">
        <f t="shared" si="126"/>
        <v>5</v>
      </c>
      <c r="AE1214" s="580">
        <f t="shared" si="127"/>
        <v>2.5</v>
      </c>
      <c r="AF1214" s="580">
        <f t="shared" si="128"/>
        <v>2.5</v>
      </c>
      <c r="AG1214" s="580">
        <f t="shared" si="129"/>
        <v>0</v>
      </c>
      <c r="AH1214" s="580">
        <f t="shared" si="130"/>
        <v>0</v>
      </c>
    </row>
    <row r="1215" spans="28:34">
      <c r="AB1215" s="580">
        <f>HLOOKUP("*"&amp;'Output annual'!$AC$2&amp;'Output annual'!$AD$2&amp;"*Zone People Number Of Occupants [](Hourly)",'Eplus results'!$1:$1048576,ROW(),FALSE)</f>
        <v>0</v>
      </c>
      <c r="AC1215" s="580">
        <f>HLOOKUP("*"&amp;'Output annual'!$AC$2&amp;'Output annual'!$AD$2&amp;"*FangerPMV(Hourly)",'Eplus results'!$1:$1048576,ROW(),FALSE)</f>
        <v>0</v>
      </c>
      <c r="AD1215" s="580">
        <f t="shared" si="126"/>
        <v>5</v>
      </c>
      <c r="AE1215" s="580">
        <f t="shared" si="127"/>
        <v>2.5</v>
      </c>
      <c r="AF1215" s="580">
        <f t="shared" si="128"/>
        <v>2.5</v>
      </c>
      <c r="AG1215" s="580">
        <f t="shared" si="129"/>
        <v>0</v>
      </c>
      <c r="AH1215" s="580">
        <f t="shared" si="130"/>
        <v>0</v>
      </c>
    </row>
    <row r="1216" spans="28:34">
      <c r="AB1216" s="580">
        <f>HLOOKUP("*"&amp;'Output annual'!$AC$2&amp;'Output annual'!$AD$2&amp;"*Zone People Number Of Occupants [](Hourly)",'Eplus results'!$1:$1048576,ROW(),FALSE)</f>
        <v>0</v>
      </c>
      <c r="AC1216" s="580">
        <f>HLOOKUP("*"&amp;'Output annual'!$AC$2&amp;'Output annual'!$AD$2&amp;"*FangerPMV(Hourly)",'Eplus results'!$1:$1048576,ROW(),FALSE)</f>
        <v>0</v>
      </c>
      <c r="AD1216" s="580">
        <f t="shared" si="126"/>
        <v>5</v>
      </c>
      <c r="AE1216" s="580">
        <f t="shared" si="127"/>
        <v>2.5</v>
      </c>
      <c r="AF1216" s="580">
        <f t="shared" si="128"/>
        <v>2.5</v>
      </c>
      <c r="AG1216" s="580">
        <f t="shared" si="129"/>
        <v>0</v>
      </c>
      <c r="AH1216" s="580">
        <f t="shared" si="130"/>
        <v>0</v>
      </c>
    </row>
    <row r="1217" spans="28:34">
      <c r="AB1217" s="580">
        <f>HLOOKUP("*"&amp;'Output annual'!$AC$2&amp;'Output annual'!$AD$2&amp;"*Zone People Number Of Occupants [](Hourly)",'Eplus results'!$1:$1048576,ROW(),FALSE)</f>
        <v>0</v>
      </c>
      <c r="AC1217" s="580">
        <f>HLOOKUP("*"&amp;'Output annual'!$AC$2&amp;'Output annual'!$AD$2&amp;"*FangerPMV(Hourly)",'Eplus results'!$1:$1048576,ROW(),FALSE)</f>
        <v>0</v>
      </c>
      <c r="AD1217" s="580">
        <f t="shared" si="126"/>
        <v>5</v>
      </c>
      <c r="AE1217" s="580">
        <f t="shared" si="127"/>
        <v>2.5</v>
      </c>
      <c r="AF1217" s="580">
        <f t="shared" si="128"/>
        <v>2.5</v>
      </c>
      <c r="AG1217" s="580">
        <f t="shared" si="129"/>
        <v>0</v>
      </c>
      <c r="AH1217" s="580">
        <f t="shared" si="130"/>
        <v>0</v>
      </c>
    </row>
    <row r="1218" spans="28:34">
      <c r="AB1218" s="580">
        <f>HLOOKUP("*"&amp;'Output annual'!$AC$2&amp;'Output annual'!$AD$2&amp;"*Zone People Number Of Occupants [](Hourly)",'Eplus results'!$1:$1048576,ROW(),FALSE)</f>
        <v>0</v>
      </c>
      <c r="AC1218" s="580">
        <f>HLOOKUP("*"&amp;'Output annual'!$AC$2&amp;'Output annual'!$AD$2&amp;"*FangerPMV(Hourly)",'Eplus results'!$1:$1048576,ROW(),FALSE)</f>
        <v>0</v>
      </c>
      <c r="AD1218" s="580">
        <f t="shared" si="126"/>
        <v>5</v>
      </c>
      <c r="AE1218" s="580">
        <f t="shared" si="127"/>
        <v>2.5</v>
      </c>
      <c r="AF1218" s="580">
        <f t="shared" si="128"/>
        <v>2.5</v>
      </c>
      <c r="AG1218" s="580">
        <f t="shared" si="129"/>
        <v>0</v>
      </c>
      <c r="AH1218" s="580">
        <f t="shared" si="130"/>
        <v>0</v>
      </c>
    </row>
    <row r="1219" spans="28:34">
      <c r="AB1219" s="580">
        <f>HLOOKUP("*"&amp;'Output annual'!$AC$2&amp;'Output annual'!$AD$2&amp;"*Zone People Number Of Occupants [](Hourly)",'Eplus results'!$1:$1048576,ROW(),FALSE)</f>
        <v>0</v>
      </c>
      <c r="AC1219" s="580">
        <f>HLOOKUP("*"&amp;'Output annual'!$AC$2&amp;'Output annual'!$AD$2&amp;"*FangerPMV(Hourly)",'Eplus results'!$1:$1048576,ROW(),FALSE)</f>
        <v>0</v>
      </c>
      <c r="AD1219" s="580">
        <f t="shared" ref="AD1219:AD1282" si="131">100-95*EXP(-0.03353*AC1219^4-0.2179*AC1219^2)</f>
        <v>5</v>
      </c>
      <c r="AE1219" s="580">
        <f t="shared" ref="AE1219:AE1282" si="132">AD1219*(1/(1+EXP(-6.3*$AC1219)))</f>
        <v>2.5</v>
      </c>
      <c r="AF1219" s="580">
        <f t="shared" ref="AF1219:AF1282" si="133">(AD1219-AE1219)</f>
        <v>2.5</v>
      </c>
      <c r="AG1219" s="580">
        <f t="shared" ref="AG1219:AG1282" si="134">AE1219*AB1219</f>
        <v>0</v>
      </c>
      <c r="AH1219" s="580">
        <f t="shared" ref="AH1219:AH1282" si="135">AF1219*AB1219</f>
        <v>0</v>
      </c>
    </row>
    <row r="1220" spans="28:34">
      <c r="AB1220" s="580">
        <f>HLOOKUP("*"&amp;'Output annual'!$AC$2&amp;'Output annual'!$AD$2&amp;"*Zone People Number Of Occupants [](Hourly)",'Eplus results'!$1:$1048576,ROW(),FALSE)</f>
        <v>0</v>
      </c>
      <c r="AC1220" s="580">
        <f>HLOOKUP("*"&amp;'Output annual'!$AC$2&amp;'Output annual'!$AD$2&amp;"*FangerPMV(Hourly)",'Eplus results'!$1:$1048576,ROW(),FALSE)</f>
        <v>0</v>
      </c>
      <c r="AD1220" s="580">
        <f t="shared" si="131"/>
        <v>5</v>
      </c>
      <c r="AE1220" s="580">
        <f t="shared" si="132"/>
        <v>2.5</v>
      </c>
      <c r="AF1220" s="580">
        <f t="shared" si="133"/>
        <v>2.5</v>
      </c>
      <c r="AG1220" s="580">
        <f t="shared" si="134"/>
        <v>0</v>
      </c>
      <c r="AH1220" s="580">
        <f t="shared" si="135"/>
        <v>0</v>
      </c>
    </row>
    <row r="1221" spans="28:34">
      <c r="AB1221" s="580">
        <f>HLOOKUP("*"&amp;'Output annual'!$AC$2&amp;'Output annual'!$AD$2&amp;"*Zone People Number Of Occupants [](Hourly)",'Eplus results'!$1:$1048576,ROW(),FALSE)</f>
        <v>0</v>
      </c>
      <c r="AC1221" s="580">
        <f>HLOOKUP("*"&amp;'Output annual'!$AC$2&amp;'Output annual'!$AD$2&amp;"*FangerPMV(Hourly)",'Eplus results'!$1:$1048576,ROW(),FALSE)</f>
        <v>0</v>
      </c>
      <c r="AD1221" s="580">
        <f t="shared" si="131"/>
        <v>5</v>
      </c>
      <c r="AE1221" s="580">
        <f t="shared" si="132"/>
        <v>2.5</v>
      </c>
      <c r="AF1221" s="580">
        <f t="shared" si="133"/>
        <v>2.5</v>
      </c>
      <c r="AG1221" s="580">
        <f t="shared" si="134"/>
        <v>0</v>
      </c>
      <c r="AH1221" s="580">
        <f t="shared" si="135"/>
        <v>0</v>
      </c>
    </row>
    <row r="1222" spans="28:34">
      <c r="AB1222" s="580">
        <f>HLOOKUP("*"&amp;'Output annual'!$AC$2&amp;'Output annual'!$AD$2&amp;"*Zone People Number Of Occupants [](Hourly)",'Eplus results'!$1:$1048576,ROW(),FALSE)</f>
        <v>0</v>
      </c>
      <c r="AC1222" s="580">
        <f>HLOOKUP("*"&amp;'Output annual'!$AC$2&amp;'Output annual'!$AD$2&amp;"*FangerPMV(Hourly)",'Eplus results'!$1:$1048576,ROW(),FALSE)</f>
        <v>0</v>
      </c>
      <c r="AD1222" s="580">
        <f t="shared" si="131"/>
        <v>5</v>
      </c>
      <c r="AE1222" s="580">
        <f t="shared" si="132"/>
        <v>2.5</v>
      </c>
      <c r="AF1222" s="580">
        <f t="shared" si="133"/>
        <v>2.5</v>
      </c>
      <c r="AG1222" s="580">
        <f t="shared" si="134"/>
        <v>0</v>
      </c>
      <c r="AH1222" s="580">
        <f t="shared" si="135"/>
        <v>0</v>
      </c>
    </row>
    <row r="1223" spans="28:34">
      <c r="AB1223" s="580">
        <f>HLOOKUP("*"&amp;'Output annual'!$AC$2&amp;'Output annual'!$AD$2&amp;"*Zone People Number Of Occupants [](Hourly)",'Eplus results'!$1:$1048576,ROW(),FALSE)</f>
        <v>0</v>
      </c>
      <c r="AC1223" s="580">
        <f>HLOOKUP("*"&amp;'Output annual'!$AC$2&amp;'Output annual'!$AD$2&amp;"*FangerPMV(Hourly)",'Eplus results'!$1:$1048576,ROW(),FALSE)</f>
        <v>0</v>
      </c>
      <c r="AD1223" s="580">
        <f t="shared" si="131"/>
        <v>5</v>
      </c>
      <c r="AE1223" s="580">
        <f t="shared" si="132"/>
        <v>2.5</v>
      </c>
      <c r="AF1223" s="580">
        <f t="shared" si="133"/>
        <v>2.5</v>
      </c>
      <c r="AG1223" s="580">
        <f t="shared" si="134"/>
        <v>0</v>
      </c>
      <c r="AH1223" s="580">
        <f t="shared" si="135"/>
        <v>0</v>
      </c>
    </row>
    <row r="1224" spans="28:34">
      <c r="AB1224" s="580">
        <f>HLOOKUP("*"&amp;'Output annual'!$AC$2&amp;'Output annual'!$AD$2&amp;"*Zone People Number Of Occupants [](Hourly)",'Eplus results'!$1:$1048576,ROW(),FALSE)</f>
        <v>0</v>
      </c>
      <c r="AC1224" s="580">
        <f>HLOOKUP("*"&amp;'Output annual'!$AC$2&amp;'Output annual'!$AD$2&amp;"*FangerPMV(Hourly)",'Eplus results'!$1:$1048576,ROW(),FALSE)</f>
        <v>0</v>
      </c>
      <c r="AD1224" s="580">
        <f t="shared" si="131"/>
        <v>5</v>
      </c>
      <c r="AE1224" s="580">
        <f t="shared" si="132"/>
        <v>2.5</v>
      </c>
      <c r="AF1224" s="580">
        <f t="shared" si="133"/>
        <v>2.5</v>
      </c>
      <c r="AG1224" s="580">
        <f t="shared" si="134"/>
        <v>0</v>
      </c>
      <c r="AH1224" s="580">
        <f t="shared" si="135"/>
        <v>0</v>
      </c>
    </row>
    <row r="1225" spans="28:34">
      <c r="AB1225" s="580">
        <f>HLOOKUP("*"&amp;'Output annual'!$AC$2&amp;'Output annual'!$AD$2&amp;"*Zone People Number Of Occupants [](Hourly)",'Eplus results'!$1:$1048576,ROW(),FALSE)</f>
        <v>0</v>
      </c>
      <c r="AC1225" s="580">
        <f>HLOOKUP("*"&amp;'Output annual'!$AC$2&amp;'Output annual'!$AD$2&amp;"*FangerPMV(Hourly)",'Eplus results'!$1:$1048576,ROW(),FALSE)</f>
        <v>0</v>
      </c>
      <c r="AD1225" s="580">
        <f t="shared" si="131"/>
        <v>5</v>
      </c>
      <c r="AE1225" s="580">
        <f t="shared" si="132"/>
        <v>2.5</v>
      </c>
      <c r="AF1225" s="580">
        <f t="shared" si="133"/>
        <v>2.5</v>
      </c>
      <c r="AG1225" s="580">
        <f t="shared" si="134"/>
        <v>0</v>
      </c>
      <c r="AH1225" s="580">
        <f t="shared" si="135"/>
        <v>0</v>
      </c>
    </row>
    <row r="1226" spans="28:34">
      <c r="AB1226" s="580">
        <f>HLOOKUP("*"&amp;'Output annual'!$AC$2&amp;'Output annual'!$AD$2&amp;"*Zone People Number Of Occupants [](Hourly)",'Eplus results'!$1:$1048576,ROW(),FALSE)</f>
        <v>0</v>
      </c>
      <c r="AC1226" s="580">
        <f>HLOOKUP("*"&amp;'Output annual'!$AC$2&amp;'Output annual'!$AD$2&amp;"*FangerPMV(Hourly)",'Eplus results'!$1:$1048576,ROW(),FALSE)</f>
        <v>0</v>
      </c>
      <c r="AD1226" s="580">
        <f t="shared" si="131"/>
        <v>5</v>
      </c>
      <c r="AE1226" s="580">
        <f t="shared" si="132"/>
        <v>2.5</v>
      </c>
      <c r="AF1226" s="580">
        <f t="shared" si="133"/>
        <v>2.5</v>
      </c>
      <c r="AG1226" s="580">
        <f t="shared" si="134"/>
        <v>0</v>
      </c>
      <c r="AH1226" s="580">
        <f t="shared" si="135"/>
        <v>0</v>
      </c>
    </row>
    <row r="1227" spans="28:34">
      <c r="AB1227" s="580">
        <f>HLOOKUP("*"&amp;'Output annual'!$AC$2&amp;'Output annual'!$AD$2&amp;"*Zone People Number Of Occupants [](Hourly)",'Eplus results'!$1:$1048576,ROW(),FALSE)</f>
        <v>0</v>
      </c>
      <c r="AC1227" s="580">
        <f>HLOOKUP("*"&amp;'Output annual'!$AC$2&amp;'Output annual'!$AD$2&amp;"*FangerPMV(Hourly)",'Eplus results'!$1:$1048576,ROW(),FALSE)</f>
        <v>0</v>
      </c>
      <c r="AD1227" s="580">
        <f t="shared" si="131"/>
        <v>5</v>
      </c>
      <c r="AE1227" s="580">
        <f t="shared" si="132"/>
        <v>2.5</v>
      </c>
      <c r="AF1227" s="580">
        <f t="shared" si="133"/>
        <v>2.5</v>
      </c>
      <c r="AG1227" s="580">
        <f t="shared" si="134"/>
        <v>0</v>
      </c>
      <c r="AH1227" s="580">
        <f t="shared" si="135"/>
        <v>0</v>
      </c>
    </row>
    <row r="1228" spans="28:34">
      <c r="AB1228" s="580">
        <f>HLOOKUP("*"&amp;'Output annual'!$AC$2&amp;'Output annual'!$AD$2&amp;"*Zone People Number Of Occupants [](Hourly)",'Eplus results'!$1:$1048576,ROW(),FALSE)</f>
        <v>0</v>
      </c>
      <c r="AC1228" s="580">
        <f>HLOOKUP("*"&amp;'Output annual'!$AC$2&amp;'Output annual'!$AD$2&amp;"*FangerPMV(Hourly)",'Eplus results'!$1:$1048576,ROW(),FALSE)</f>
        <v>0</v>
      </c>
      <c r="AD1228" s="580">
        <f t="shared" si="131"/>
        <v>5</v>
      </c>
      <c r="AE1228" s="580">
        <f t="shared" si="132"/>
        <v>2.5</v>
      </c>
      <c r="AF1228" s="580">
        <f t="shared" si="133"/>
        <v>2.5</v>
      </c>
      <c r="AG1228" s="580">
        <f t="shared" si="134"/>
        <v>0</v>
      </c>
      <c r="AH1228" s="580">
        <f t="shared" si="135"/>
        <v>0</v>
      </c>
    </row>
    <row r="1229" spans="28:34">
      <c r="AB1229" s="580">
        <f>HLOOKUP("*"&amp;'Output annual'!$AC$2&amp;'Output annual'!$AD$2&amp;"*Zone People Number Of Occupants [](Hourly)",'Eplus results'!$1:$1048576,ROW(),FALSE)</f>
        <v>0</v>
      </c>
      <c r="AC1229" s="580">
        <f>HLOOKUP("*"&amp;'Output annual'!$AC$2&amp;'Output annual'!$AD$2&amp;"*FangerPMV(Hourly)",'Eplus results'!$1:$1048576,ROW(),FALSE)</f>
        <v>0</v>
      </c>
      <c r="AD1229" s="580">
        <f t="shared" si="131"/>
        <v>5</v>
      </c>
      <c r="AE1229" s="580">
        <f t="shared" si="132"/>
        <v>2.5</v>
      </c>
      <c r="AF1229" s="580">
        <f t="shared" si="133"/>
        <v>2.5</v>
      </c>
      <c r="AG1229" s="580">
        <f t="shared" si="134"/>
        <v>0</v>
      </c>
      <c r="AH1229" s="580">
        <f t="shared" si="135"/>
        <v>0</v>
      </c>
    </row>
    <row r="1230" spans="28:34">
      <c r="AB1230" s="580">
        <f>HLOOKUP("*"&amp;'Output annual'!$AC$2&amp;'Output annual'!$AD$2&amp;"*Zone People Number Of Occupants [](Hourly)",'Eplus results'!$1:$1048576,ROW(),FALSE)</f>
        <v>0</v>
      </c>
      <c r="AC1230" s="580">
        <f>HLOOKUP("*"&amp;'Output annual'!$AC$2&amp;'Output annual'!$AD$2&amp;"*FangerPMV(Hourly)",'Eplus results'!$1:$1048576,ROW(),FALSE)</f>
        <v>0</v>
      </c>
      <c r="AD1230" s="580">
        <f t="shared" si="131"/>
        <v>5</v>
      </c>
      <c r="AE1230" s="580">
        <f t="shared" si="132"/>
        <v>2.5</v>
      </c>
      <c r="AF1230" s="580">
        <f t="shared" si="133"/>
        <v>2.5</v>
      </c>
      <c r="AG1230" s="580">
        <f t="shared" si="134"/>
        <v>0</v>
      </c>
      <c r="AH1230" s="580">
        <f t="shared" si="135"/>
        <v>0</v>
      </c>
    </row>
    <row r="1231" spans="28:34">
      <c r="AB1231" s="580">
        <f>HLOOKUP("*"&amp;'Output annual'!$AC$2&amp;'Output annual'!$AD$2&amp;"*Zone People Number Of Occupants [](Hourly)",'Eplus results'!$1:$1048576,ROW(),FALSE)</f>
        <v>0</v>
      </c>
      <c r="AC1231" s="580">
        <f>HLOOKUP("*"&amp;'Output annual'!$AC$2&amp;'Output annual'!$AD$2&amp;"*FangerPMV(Hourly)",'Eplus results'!$1:$1048576,ROW(),FALSE)</f>
        <v>0</v>
      </c>
      <c r="AD1231" s="580">
        <f t="shared" si="131"/>
        <v>5</v>
      </c>
      <c r="AE1231" s="580">
        <f t="shared" si="132"/>
        <v>2.5</v>
      </c>
      <c r="AF1231" s="580">
        <f t="shared" si="133"/>
        <v>2.5</v>
      </c>
      <c r="AG1231" s="580">
        <f t="shared" si="134"/>
        <v>0</v>
      </c>
      <c r="AH1231" s="580">
        <f t="shared" si="135"/>
        <v>0</v>
      </c>
    </row>
    <row r="1232" spans="28:34">
      <c r="AB1232" s="580">
        <f>HLOOKUP("*"&amp;'Output annual'!$AC$2&amp;'Output annual'!$AD$2&amp;"*Zone People Number Of Occupants [](Hourly)",'Eplus results'!$1:$1048576,ROW(),FALSE)</f>
        <v>0</v>
      </c>
      <c r="AC1232" s="580">
        <f>HLOOKUP("*"&amp;'Output annual'!$AC$2&amp;'Output annual'!$AD$2&amp;"*FangerPMV(Hourly)",'Eplus results'!$1:$1048576,ROW(),FALSE)</f>
        <v>0</v>
      </c>
      <c r="AD1232" s="580">
        <f t="shared" si="131"/>
        <v>5</v>
      </c>
      <c r="AE1232" s="580">
        <f t="shared" si="132"/>
        <v>2.5</v>
      </c>
      <c r="AF1232" s="580">
        <f t="shared" si="133"/>
        <v>2.5</v>
      </c>
      <c r="AG1232" s="580">
        <f t="shared" si="134"/>
        <v>0</v>
      </c>
      <c r="AH1232" s="580">
        <f t="shared" si="135"/>
        <v>0</v>
      </c>
    </row>
    <row r="1233" spans="28:34">
      <c r="AB1233" s="580">
        <f>HLOOKUP("*"&amp;'Output annual'!$AC$2&amp;'Output annual'!$AD$2&amp;"*Zone People Number Of Occupants [](Hourly)",'Eplus results'!$1:$1048576,ROW(),FALSE)</f>
        <v>0</v>
      </c>
      <c r="AC1233" s="580">
        <f>HLOOKUP("*"&amp;'Output annual'!$AC$2&amp;'Output annual'!$AD$2&amp;"*FangerPMV(Hourly)",'Eplus results'!$1:$1048576,ROW(),FALSE)</f>
        <v>0</v>
      </c>
      <c r="AD1233" s="580">
        <f t="shared" si="131"/>
        <v>5</v>
      </c>
      <c r="AE1233" s="580">
        <f t="shared" si="132"/>
        <v>2.5</v>
      </c>
      <c r="AF1233" s="580">
        <f t="shared" si="133"/>
        <v>2.5</v>
      </c>
      <c r="AG1233" s="580">
        <f t="shared" si="134"/>
        <v>0</v>
      </c>
      <c r="AH1233" s="580">
        <f t="shared" si="135"/>
        <v>0</v>
      </c>
    </row>
    <row r="1234" spans="28:34">
      <c r="AB1234" s="580">
        <f>HLOOKUP("*"&amp;'Output annual'!$AC$2&amp;'Output annual'!$AD$2&amp;"*Zone People Number Of Occupants [](Hourly)",'Eplus results'!$1:$1048576,ROW(),FALSE)</f>
        <v>0</v>
      </c>
      <c r="AC1234" s="580">
        <f>HLOOKUP("*"&amp;'Output annual'!$AC$2&amp;'Output annual'!$AD$2&amp;"*FangerPMV(Hourly)",'Eplus results'!$1:$1048576,ROW(),FALSE)</f>
        <v>0</v>
      </c>
      <c r="AD1234" s="580">
        <f t="shared" si="131"/>
        <v>5</v>
      </c>
      <c r="AE1234" s="580">
        <f t="shared" si="132"/>
        <v>2.5</v>
      </c>
      <c r="AF1234" s="580">
        <f t="shared" si="133"/>
        <v>2.5</v>
      </c>
      <c r="AG1234" s="580">
        <f t="shared" si="134"/>
        <v>0</v>
      </c>
      <c r="AH1234" s="580">
        <f t="shared" si="135"/>
        <v>0</v>
      </c>
    </row>
    <row r="1235" spans="28:34">
      <c r="AB1235" s="580">
        <f>HLOOKUP("*"&amp;'Output annual'!$AC$2&amp;'Output annual'!$AD$2&amp;"*Zone People Number Of Occupants [](Hourly)",'Eplus results'!$1:$1048576,ROW(),FALSE)</f>
        <v>0</v>
      </c>
      <c r="AC1235" s="580">
        <f>HLOOKUP("*"&amp;'Output annual'!$AC$2&amp;'Output annual'!$AD$2&amp;"*FangerPMV(Hourly)",'Eplus results'!$1:$1048576,ROW(),FALSE)</f>
        <v>0</v>
      </c>
      <c r="AD1235" s="580">
        <f t="shared" si="131"/>
        <v>5</v>
      </c>
      <c r="AE1235" s="580">
        <f t="shared" si="132"/>
        <v>2.5</v>
      </c>
      <c r="AF1235" s="580">
        <f t="shared" si="133"/>
        <v>2.5</v>
      </c>
      <c r="AG1235" s="580">
        <f t="shared" si="134"/>
        <v>0</v>
      </c>
      <c r="AH1235" s="580">
        <f t="shared" si="135"/>
        <v>0</v>
      </c>
    </row>
    <row r="1236" spans="28:34">
      <c r="AB1236" s="580">
        <f>HLOOKUP("*"&amp;'Output annual'!$AC$2&amp;'Output annual'!$AD$2&amp;"*Zone People Number Of Occupants [](Hourly)",'Eplus results'!$1:$1048576,ROW(),FALSE)</f>
        <v>0</v>
      </c>
      <c r="AC1236" s="580">
        <f>HLOOKUP("*"&amp;'Output annual'!$AC$2&amp;'Output annual'!$AD$2&amp;"*FangerPMV(Hourly)",'Eplus results'!$1:$1048576,ROW(),FALSE)</f>
        <v>0</v>
      </c>
      <c r="AD1236" s="580">
        <f t="shared" si="131"/>
        <v>5</v>
      </c>
      <c r="AE1236" s="580">
        <f t="shared" si="132"/>
        <v>2.5</v>
      </c>
      <c r="AF1236" s="580">
        <f t="shared" si="133"/>
        <v>2.5</v>
      </c>
      <c r="AG1236" s="580">
        <f t="shared" si="134"/>
        <v>0</v>
      </c>
      <c r="AH1236" s="580">
        <f t="shared" si="135"/>
        <v>0</v>
      </c>
    </row>
    <row r="1237" spans="28:34">
      <c r="AB1237" s="580">
        <f>HLOOKUP("*"&amp;'Output annual'!$AC$2&amp;'Output annual'!$AD$2&amp;"*Zone People Number Of Occupants [](Hourly)",'Eplus results'!$1:$1048576,ROW(),FALSE)</f>
        <v>0</v>
      </c>
      <c r="AC1237" s="580">
        <f>HLOOKUP("*"&amp;'Output annual'!$AC$2&amp;'Output annual'!$AD$2&amp;"*FangerPMV(Hourly)",'Eplus results'!$1:$1048576,ROW(),FALSE)</f>
        <v>0</v>
      </c>
      <c r="AD1237" s="580">
        <f t="shared" si="131"/>
        <v>5</v>
      </c>
      <c r="AE1237" s="580">
        <f t="shared" si="132"/>
        <v>2.5</v>
      </c>
      <c r="AF1237" s="580">
        <f t="shared" si="133"/>
        <v>2.5</v>
      </c>
      <c r="AG1237" s="580">
        <f t="shared" si="134"/>
        <v>0</v>
      </c>
      <c r="AH1237" s="580">
        <f t="shared" si="135"/>
        <v>0</v>
      </c>
    </row>
    <row r="1238" spans="28:34">
      <c r="AB1238" s="580">
        <f>HLOOKUP("*"&amp;'Output annual'!$AC$2&amp;'Output annual'!$AD$2&amp;"*Zone People Number Of Occupants [](Hourly)",'Eplus results'!$1:$1048576,ROW(),FALSE)</f>
        <v>0</v>
      </c>
      <c r="AC1238" s="580">
        <f>HLOOKUP("*"&amp;'Output annual'!$AC$2&amp;'Output annual'!$AD$2&amp;"*FangerPMV(Hourly)",'Eplus results'!$1:$1048576,ROW(),FALSE)</f>
        <v>0</v>
      </c>
      <c r="AD1238" s="580">
        <f t="shared" si="131"/>
        <v>5</v>
      </c>
      <c r="AE1238" s="580">
        <f t="shared" si="132"/>
        <v>2.5</v>
      </c>
      <c r="AF1238" s="580">
        <f t="shared" si="133"/>
        <v>2.5</v>
      </c>
      <c r="AG1238" s="580">
        <f t="shared" si="134"/>
        <v>0</v>
      </c>
      <c r="AH1238" s="580">
        <f t="shared" si="135"/>
        <v>0</v>
      </c>
    </row>
    <row r="1239" spans="28:34">
      <c r="AB1239" s="580">
        <f>HLOOKUP("*"&amp;'Output annual'!$AC$2&amp;'Output annual'!$AD$2&amp;"*Zone People Number Of Occupants [](Hourly)",'Eplus results'!$1:$1048576,ROW(),FALSE)</f>
        <v>0</v>
      </c>
      <c r="AC1239" s="580">
        <f>HLOOKUP("*"&amp;'Output annual'!$AC$2&amp;'Output annual'!$AD$2&amp;"*FangerPMV(Hourly)",'Eplus results'!$1:$1048576,ROW(),FALSE)</f>
        <v>0</v>
      </c>
      <c r="AD1239" s="580">
        <f t="shared" si="131"/>
        <v>5</v>
      </c>
      <c r="AE1239" s="580">
        <f t="shared" si="132"/>
        <v>2.5</v>
      </c>
      <c r="AF1239" s="580">
        <f t="shared" si="133"/>
        <v>2.5</v>
      </c>
      <c r="AG1239" s="580">
        <f t="shared" si="134"/>
        <v>0</v>
      </c>
      <c r="AH1239" s="580">
        <f t="shared" si="135"/>
        <v>0</v>
      </c>
    </row>
    <row r="1240" spans="28:34">
      <c r="AB1240" s="580">
        <f>HLOOKUP("*"&amp;'Output annual'!$AC$2&amp;'Output annual'!$AD$2&amp;"*Zone People Number Of Occupants [](Hourly)",'Eplus results'!$1:$1048576,ROW(),FALSE)</f>
        <v>0</v>
      </c>
      <c r="AC1240" s="580">
        <f>HLOOKUP("*"&amp;'Output annual'!$AC$2&amp;'Output annual'!$AD$2&amp;"*FangerPMV(Hourly)",'Eplus results'!$1:$1048576,ROW(),FALSE)</f>
        <v>0</v>
      </c>
      <c r="AD1240" s="580">
        <f t="shared" si="131"/>
        <v>5</v>
      </c>
      <c r="AE1240" s="580">
        <f t="shared" si="132"/>
        <v>2.5</v>
      </c>
      <c r="AF1240" s="580">
        <f t="shared" si="133"/>
        <v>2.5</v>
      </c>
      <c r="AG1240" s="580">
        <f t="shared" si="134"/>
        <v>0</v>
      </c>
      <c r="AH1240" s="580">
        <f t="shared" si="135"/>
        <v>0</v>
      </c>
    </row>
    <row r="1241" spans="28:34">
      <c r="AB1241" s="580">
        <f>HLOOKUP("*"&amp;'Output annual'!$AC$2&amp;'Output annual'!$AD$2&amp;"*Zone People Number Of Occupants [](Hourly)",'Eplus results'!$1:$1048576,ROW(),FALSE)</f>
        <v>0</v>
      </c>
      <c r="AC1241" s="580">
        <f>HLOOKUP("*"&amp;'Output annual'!$AC$2&amp;'Output annual'!$AD$2&amp;"*FangerPMV(Hourly)",'Eplus results'!$1:$1048576,ROW(),FALSE)</f>
        <v>0</v>
      </c>
      <c r="AD1241" s="580">
        <f t="shared" si="131"/>
        <v>5</v>
      </c>
      <c r="AE1241" s="580">
        <f t="shared" si="132"/>
        <v>2.5</v>
      </c>
      <c r="AF1241" s="580">
        <f t="shared" si="133"/>
        <v>2.5</v>
      </c>
      <c r="AG1241" s="580">
        <f t="shared" si="134"/>
        <v>0</v>
      </c>
      <c r="AH1241" s="580">
        <f t="shared" si="135"/>
        <v>0</v>
      </c>
    </row>
    <row r="1242" spans="28:34">
      <c r="AB1242" s="580">
        <f>HLOOKUP("*"&amp;'Output annual'!$AC$2&amp;'Output annual'!$AD$2&amp;"*Zone People Number Of Occupants [](Hourly)",'Eplus results'!$1:$1048576,ROW(),FALSE)</f>
        <v>0</v>
      </c>
      <c r="AC1242" s="580">
        <f>HLOOKUP("*"&amp;'Output annual'!$AC$2&amp;'Output annual'!$AD$2&amp;"*FangerPMV(Hourly)",'Eplus results'!$1:$1048576,ROW(),FALSE)</f>
        <v>0</v>
      </c>
      <c r="AD1242" s="580">
        <f t="shared" si="131"/>
        <v>5</v>
      </c>
      <c r="AE1242" s="580">
        <f t="shared" si="132"/>
        <v>2.5</v>
      </c>
      <c r="AF1242" s="580">
        <f t="shared" si="133"/>
        <v>2.5</v>
      </c>
      <c r="AG1242" s="580">
        <f t="shared" si="134"/>
        <v>0</v>
      </c>
      <c r="AH1242" s="580">
        <f t="shared" si="135"/>
        <v>0</v>
      </c>
    </row>
    <row r="1243" spans="28:34">
      <c r="AB1243" s="580">
        <f>HLOOKUP("*"&amp;'Output annual'!$AC$2&amp;'Output annual'!$AD$2&amp;"*Zone People Number Of Occupants [](Hourly)",'Eplus results'!$1:$1048576,ROW(),FALSE)</f>
        <v>0</v>
      </c>
      <c r="AC1243" s="580">
        <f>HLOOKUP("*"&amp;'Output annual'!$AC$2&amp;'Output annual'!$AD$2&amp;"*FangerPMV(Hourly)",'Eplus results'!$1:$1048576,ROW(),FALSE)</f>
        <v>0</v>
      </c>
      <c r="AD1243" s="580">
        <f t="shared" si="131"/>
        <v>5</v>
      </c>
      <c r="AE1243" s="580">
        <f t="shared" si="132"/>
        <v>2.5</v>
      </c>
      <c r="AF1243" s="580">
        <f t="shared" si="133"/>
        <v>2.5</v>
      </c>
      <c r="AG1243" s="580">
        <f t="shared" si="134"/>
        <v>0</v>
      </c>
      <c r="AH1243" s="580">
        <f t="shared" si="135"/>
        <v>0</v>
      </c>
    </row>
    <row r="1244" spans="28:34">
      <c r="AB1244" s="580">
        <f>HLOOKUP("*"&amp;'Output annual'!$AC$2&amp;'Output annual'!$AD$2&amp;"*Zone People Number Of Occupants [](Hourly)",'Eplus results'!$1:$1048576,ROW(),FALSE)</f>
        <v>0</v>
      </c>
      <c r="AC1244" s="580">
        <f>HLOOKUP("*"&amp;'Output annual'!$AC$2&amp;'Output annual'!$AD$2&amp;"*FangerPMV(Hourly)",'Eplus results'!$1:$1048576,ROW(),FALSE)</f>
        <v>0</v>
      </c>
      <c r="AD1244" s="580">
        <f t="shared" si="131"/>
        <v>5</v>
      </c>
      <c r="AE1244" s="580">
        <f t="shared" si="132"/>
        <v>2.5</v>
      </c>
      <c r="AF1244" s="580">
        <f t="shared" si="133"/>
        <v>2.5</v>
      </c>
      <c r="AG1244" s="580">
        <f t="shared" si="134"/>
        <v>0</v>
      </c>
      <c r="AH1244" s="580">
        <f t="shared" si="135"/>
        <v>0</v>
      </c>
    </row>
    <row r="1245" spans="28:34">
      <c r="AB1245" s="580">
        <f>HLOOKUP("*"&amp;'Output annual'!$AC$2&amp;'Output annual'!$AD$2&amp;"*Zone People Number Of Occupants [](Hourly)",'Eplus results'!$1:$1048576,ROW(),FALSE)</f>
        <v>0</v>
      </c>
      <c r="AC1245" s="580">
        <f>HLOOKUP("*"&amp;'Output annual'!$AC$2&amp;'Output annual'!$AD$2&amp;"*FangerPMV(Hourly)",'Eplus results'!$1:$1048576,ROW(),FALSE)</f>
        <v>0</v>
      </c>
      <c r="AD1245" s="580">
        <f t="shared" si="131"/>
        <v>5</v>
      </c>
      <c r="AE1245" s="580">
        <f t="shared" si="132"/>
        <v>2.5</v>
      </c>
      <c r="AF1245" s="580">
        <f t="shared" si="133"/>
        <v>2.5</v>
      </c>
      <c r="AG1245" s="580">
        <f t="shared" si="134"/>
        <v>0</v>
      </c>
      <c r="AH1245" s="580">
        <f t="shared" si="135"/>
        <v>0</v>
      </c>
    </row>
    <row r="1246" spans="28:34">
      <c r="AB1246" s="580">
        <f>HLOOKUP("*"&amp;'Output annual'!$AC$2&amp;'Output annual'!$AD$2&amp;"*Zone People Number Of Occupants [](Hourly)",'Eplus results'!$1:$1048576,ROW(),FALSE)</f>
        <v>0</v>
      </c>
      <c r="AC1246" s="580">
        <f>HLOOKUP("*"&amp;'Output annual'!$AC$2&amp;'Output annual'!$AD$2&amp;"*FangerPMV(Hourly)",'Eplus results'!$1:$1048576,ROW(),FALSE)</f>
        <v>0</v>
      </c>
      <c r="AD1246" s="580">
        <f t="shared" si="131"/>
        <v>5</v>
      </c>
      <c r="AE1246" s="580">
        <f t="shared" si="132"/>
        <v>2.5</v>
      </c>
      <c r="AF1246" s="580">
        <f t="shared" si="133"/>
        <v>2.5</v>
      </c>
      <c r="AG1246" s="580">
        <f t="shared" si="134"/>
        <v>0</v>
      </c>
      <c r="AH1246" s="580">
        <f t="shared" si="135"/>
        <v>0</v>
      </c>
    </row>
    <row r="1247" spans="28:34">
      <c r="AB1247" s="580">
        <f>HLOOKUP("*"&amp;'Output annual'!$AC$2&amp;'Output annual'!$AD$2&amp;"*Zone People Number Of Occupants [](Hourly)",'Eplus results'!$1:$1048576,ROW(),FALSE)</f>
        <v>0</v>
      </c>
      <c r="AC1247" s="580">
        <f>HLOOKUP("*"&amp;'Output annual'!$AC$2&amp;'Output annual'!$AD$2&amp;"*FangerPMV(Hourly)",'Eplus results'!$1:$1048576,ROW(),FALSE)</f>
        <v>0</v>
      </c>
      <c r="AD1247" s="580">
        <f t="shared" si="131"/>
        <v>5</v>
      </c>
      <c r="AE1247" s="580">
        <f t="shared" si="132"/>
        <v>2.5</v>
      </c>
      <c r="AF1247" s="580">
        <f t="shared" si="133"/>
        <v>2.5</v>
      </c>
      <c r="AG1247" s="580">
        <f t="shared" si="134"/>
        <v>0</v>
      </c>
      <c r="AH1247" s="580">
        <f t="shared" si="135"/>
        <v>0</v>
      </c>
    </row>
    <row r="1248" spans="28:34">
      <c r="AB1248" s="580">
        <f>HLOOKUP("*"&amp;'Output annual'!$AC$2&amp;'Output annual'!$AD$2&amp;"*Zone People Number Of Occupants [](Hourly)",'Eplus results'!$1:$1048576,ROW(),FALSE)</f>
        <v>0</v>
      </c>
      <c r="AC1248" s="580">
        <f>HLOOKUP("*"&amp;'Output annual'!$AC$2&amp;'Output annual'!$AD$2&amp;"*FangerPMV(Hourly)",'Eplus results'!$1:$1048576,ROW(),FALSE)</f>
        <v>0</v>
      </c>
      <c r="AD1248" s="580">
        <f t="shared" si="131"/>
        <v>5</v>
      </c>
      <c r="AE1248" s="580">
        <f t="shared" si="132"/>
        <v>2.5</v>
      </c>
      <c r="AF1248" s="580">
        <f t="shared" si="133"/>
        <v>2.5</v>
      </c>
      <c r="AG1248" s="580">
        <f t="shared" si="134"/>
        <v>0</v>
      </c>
      <c r="AH1248" s="580">
        <f t="shared" si="135"/>
        <v>0</v>
      </c>
    </row>
    <row r="1249" spans="28:34">
      <c r="AB1249" s="580">
        <f>HLOOKUP("*"&amp;'Output annual'!$AC$2&amp;'Output annual'!$AD$2&amp;"*Zone People Number Of Occupants [](Hourly)",'Eplus results'!$1:$1048576,ROW(),FALSE)</f>
        <v>0</v>
      </c>
      <c r="AC1249" s="580">
        <f>HLOOKUP("*"&amp;'Output annual'!$AC$2&amp;'Output annual'!$AD$2&amp;"*FangerPMV(Hourly)",'Eplus results'!$1:$1048576,ROW(),FALSE)</f>
        <v>0</v>
      </c>
      <c r="AD1249" s="580">
        <f t="shared" si="131"/>
        <v>5</v>
      </c>
      <c r="AE1249" s="580">
        <f t="shared" si="132"/>
        <v>2.5</v>
      </c>
      <c r="AF1249" s="580">
        <f t="shared" si="133"/>
        <v>2.5</v>
      </c>
      <c r="AG1249" s="580">
        <f t="shared" si="134"/>
        <v>0</v>
      </c>
      <c r="AH1249" s="580">
        <f t="shared" si="135"/>
        <v>0</v>
      </c>
    </row>
    <row r="1250" spans="28:34">
      <c r="AB1250" s="580">
        <f>HLOOKUP("*"&amp;'Output annual'!$AC$2&amp;'Output annual'!$AD$2&amp;"*Zone People Number Of Occupants [](Hourly)",'Eplus results'!$1:$1048576,ROW(),FALSE)</f>
        <v>0</v>
      </c>
      <c r="AC1250" s="580">
        <f>HLOOKUP("*"&amp;'Output annual'!$AC$2&amp;'Output annual'!$AD$2&amp;"*FangerPMV(Hourly)",'Eplus results'!$1:$1048576,ROW(),FALSE)</f>
        <v>0</v>
      </c>
      <c r="AD1250" s="580">
        <f t="shared" si="131"/>
        <v>5</v>
      </c>
      <c r="AE1250" s="580">
        <f t="shared" si="132"/>
        <v>2.5</v>
      </c>
      <c r="AF1250" s="580">
        <f t="shared" si="133"/>
        <v>2.5</v>
      </c>
      <c r="AG1250" s="580">
        <f t="shared" si="134"/>
        <v>0</v>
      </c>
      <c r="AH1250" s="580">
        <f t="shared" si="135"/>
        <v>0</v>
      </c>
    </row>
    <row r="1251" spans="28:34">
      <c r="AB1251" s="580">
        <f>HLOOKUP("*"&amp;'Output annual'!$AC$2&amp;'Output annual'!$AD$2&amp;"*Zone People Number Of Occupants [](Hourly)",'Eplus results'!$1:$1048576,ROW(),FALSE)</f>
        <v>0</v>
      </c>
      <c r="AC1251" s="580">
        <f>HLOOKUP("*"&amp;'Output annual'!$AC$2&amp;'Output annual'!$AD$2&amp;"*FangerPMV(Hourly)",'Eplus results'!$1:$1048576,ROW(),FALSE)</f>
        <v>0</v>
      </c>
      <c r="AD1251" s="580">
        <f t="shared" si="131"/>
        <v>5</v>
      </c>
      <c r="AE1251" s="580">
        <f t="shared" si="132"/>
        <v>2.5</v>
      </c>
      <c r="AF1251" s="580">
        <f t="shared" si="133"/>
        <v>2.5</v>
      </c>
      <c r="AG1251" s="580">
        <f t="shared" si="134"/>
        <v>0</v>
      </c>
      <c r="AH1251" s="580">
        <f t="shared" si="135"/>
        <v>0</v>
      </c>
    </row>
    <row r="1252" spans="28:34">
      <c r="AB1252" s="580">
        <f>HLOOKUP("*"&amp;'Output annual'!$AC$2&amp;'Output annual'!$AD$2&amp;"*Zone People Number Of Occupants [](Hourly)",'Eplus results'!$1:$1048576,ROW(),FALSE)</f>
        <v>0</v>
      </c>
      <c r="AC1252" s="580">
        <f>HLOOKUP("*"&amp;'Output annual'!$AC$2&amp;'Output annual'!$AD$2&amp;"*FangerPMV(Hourly)",'Eplus results'!$1:$1048576,ROW(),FALSE)</f>
        <v>0</v>
      </c>
      <c r="AD1252" s="580">
        <f t="shared" si="131"/>
        <v>5</v>
      </c>
      <c r="AE1252" s="580">
        <f t="shared" si="132"/>
        <v>2.5</v>
      </c>
      <c r="AF1252" s="580">
        <f t="shared" si="133"/>
        <v>2.5</v>
      </c>
      <c r="AG1252" s="580">
        <f t="shared" si="134"/>
        <v>0</v>
      </c>
      <c r="AH1252" s="580">
        <f t="shared" si="135"/>
        <v>0</v>
      </c>
    </row>
    <row r="1253" spans="28:34">
      <c r="AB1253" s="580">
        <f>HLOOKUP("*"&amp;'Output annual'!$AC$2&amp;'Output annual'!$AD$2&amp;"*Zone People Number Of Occupants [](Hourly)",'Eplus results'!$1:$1048576,ROW(),FALSE)</f>
        <v>0</v>
      </c>
      <c r="AC1253" s="580">
        <f>HLOOKUP("*"&amp;'Output annual'!$AC$2&amp;'Output annual'!$AD$2&amp;"*FangerPMV(Hourly)",'Eplus results'!$1:$1048576,ROW(),FALSE)</f>
        <v>0</v>
      </c>
      <c r="AD1253" s="580">
        <f t="shared" si="131"/>
        <v>5</v>
      </c>
      <c r="AE1253" s="580">
        <f t="shared" si="132"/>
        <v>2.5</v>
      </c>
      <c r="AF1253" s="580">
        <f t="shared" si="133"/>
        <v>2.5</v>
      </c>
      <c r="AG1253" s="580">
        <f t="shared" si="134"/>
        <v>0</v>
      </c>
      <c r="AH1253" s="580">
        <f t="shared" si="135"/>
        <v>0</v>
      </c>
    </row>
    <row r="1254" spans="28:34">
      <c r="AB1254" s="580">
        <f>HLOOKUP("*"&amp;'Output annual'!$AC$2&amp;'Output annual'!$AD$2&amp;"*Zone People Number Of Occupants [](Hourly)",'Eplus results'!$1:$1048576,ROW(),FALSE)</f>
        <v>0</v>
      </c>
      <c r="AC1254" s="580">
        <f>HLOOKUP("*"&amp;'Output annual'!$AC$2&amp;'Output annual'!$AD$2&amp;"*FangerPMV(Hourly)",'Eplus results'!$1:$1048576,ROW(),FALSE)</f>
        <v>0</v>
      </c>
      <c r="AD1254" s="580">
        <f t="shared" si="131"/>
        <v>5</v>
      </c>
      <c r="AE1254" s="580">
        <f t="shared" si="132"/>
        <v>2.5</v>
      </c>
      <c r="AF1254" s="580">
        <f t="shared" si="133"/>
        <v>2.5</v>
      </c>
      <c r="AG1254" s="580">
        <f t="shared" si="134"/>
        <v>0</v>
      </c>
      <c r="AH1254" s="580">
        <f t="shared" si="135"/>
        <v>0</v>
      </c>
    </row>
    <row r="1255" spans="28:34">
      <c r="AB1255" s="580">
        <f>HLOOKUP("*"&amp;'Output annual'!$AC$2&amp;'Output annual'!$AD$2&amp;"*Zone People Number Of Occupants [](Hourly)",'Eplus results'!$1:$1048576,ROW(),FALSE)</f>
        <v>0</v>
      </c>
      <c r="AC1255" s="580">
        <f>HLOOKUP("*"&amp;'Output annual'!$AC$2&amp;'Output annual'!$AD$2&amp;"*FangerPMV(Hourly)",'Eplus results'!$1:$1048576,ROW(),FALSE)</f>
        <v>0</v>
      </c>
      <c r="AD1255" s="580">
        <f t="shared" si="131"/>
        <v>5</v>
      </c>
      <c r="AE1255" s="580">
        <f t="shared" si="132"/>
        <v>2.5</v>
      </c>
      <c r="AF1255" s="580">
        <f t="shared" si="133"/>
        <v>2.5</v>
      </c>
      <c r="AG1255" s="580">
        <f t="shared" si="134"/>
        <v>0</v>
      </c>
      <c r="AH1255" s="580">
        <f t="shared" si="135"/>
        <v>0</v>
      </c>
    </row>
    <row r="1256" spans="28:34">
      <c r="AB1256" s="580">
        <f>HLOOKUP("*"&amp;'Output annual'!$AC$2&amp;'Output annual'!$AD$2&amp;"*Zone People Number Of Occupants [](Hourly)",'Eplus results'!$1:$1048576,ROW(),FALSE)</f>
        <v>0</v>
      </c>
      <c r="AC1256" s="580">
        <f>HLOOKUP("*"&amp;'Output annual'!$AC$2&amp;'Output annual'!$AD$2&amp;"*FangerPMV(Hourly)",'Eplus results'!$1:$1048576,ROW(),FALSE)</f>
        <v>0</v>
      </c>
      <c r="AD1256" s="580">
        <f t="shared" si="131"/>
        <v>5</v>
      </c>
      <c r="AE1256" s="580">
        <f t="shared" si="132"/>
        <v>2.5</v>
      </c>
      <c r="AF1256" s="580">
        <f t="shared" si="133"/>
        <v>2.5</v>
      </c>
      <c r="AG1256" s="580">
        <f t="shared" si="134"/>
        <v>0</v>
      </c>
      <c r="AH1256" s="580">
        <f t="shared" si="135"/>
        <v>0</v>
      </c>
    </row>
    <row r="1257" spans="28:34">
      <c r="AB1257" s="580">
        <f>HLOOKUP("*"&amp;'Output annual'!$AC$2&amp;'Output annual'!$AD$2&amp;"*Zone People Number Of Occupants [](Hourly)",'Eplus results'!$1:$1048576,ROW(),FALSE)</f>
        <v>0</v>
      </c>
      <c r="AC1257" s="580">
        <f>HLOOKUP("*"&amp;'Output annual'!$AC$2&amp;'Output annual'!$AD$2&amp;"*FangerPMV(Hourly)",'Eplus results'!$1:$1048576,ROW(),FALSE)</f>
        <v>0</v>
      </c>
      <c r="AD1257" s="580">
        <f t="shared" si="131"/>
        <v>5</v>
      </c>
      <c r="AE1257" s="580">
        <f t="shared" si="132"/>
        <v>2.5</v>
      </c>
      <c r="AF1257" s="580">
        <f t="shared" si="133"/>
        <v>2.5</v>
      </c>
      <c r="AG1257" s="580">
        <f t="shared" si="134"/>
        <v>0</v>
      </c>
      <c r="AH1257" s="580">
        <f t="shared" si="135"/>
        <v>0</v>
      </c>
    </row>
    <row r="1258" spans="28:34">
      <c r="AB1258" s="580">
        <f>HLOOKUP("*"&amp;'Output annual'!$AC$2&amp;'Output annual'!$AD$2&amp;"*Zone People Number Of Occupants [](Hourly)",'Eplus results'!$1:$1048576,ROW(),FALSE)</f>
        <v>0</v>
      </c>
      <c r="AC1258" s="580">
        <f>HLOOKUP("*"&amp;'Output annual'!$AC$2&amp;'Output annual'!$AD$2&amp;"*FangerPMV(Hourly)",'Eplus results'!$1:$1048576,ROW(),FALSE)</f>
        <v>0</v>
      </c>
      <c r="AD1258" s="580">
        <f t="shared" si="131"/>
        <v>5</v>
      </c>
      <c r="AE1258" s="580">
        <f t="shared" si="132"/>
        <v>2.5</v>
      </c>
      <c r="AF1258" s="580">
        <f t="shared" si="133"/>
        <v>2.5</v>
      </c>
      <c r="AG1258" s="580">
        <f t="shared" si="134"/>
        <v>0</v>
      </c>
      <c r="AH1258" s="580">
        <f t="shared" si="135"/>
        <v>0</v>
      </c>
    </row>
    <row r="1259" spans="28:34">
      <c r="AB1259" s="580">
        <f>HLOOKUP("*"&amp;'Output annual'!$AC$2&amp;'Output annual'!$AD$2&amp;"*Zone People Number Of Occupants [](Hourly)",'Eplus results'!$1:$1048576,ROW(),FALSE)</f>
        <v>0</v>
      </c>
      <c r="AC1259" s="580">
        <f>HLOOKUP("*"&amp;'Output annual'!$AC$2&amp;'Output annual'!$AD$2&amp;"*FangerPMV(Hourly)",'Eplus results'!$1:$1048576,ROW(),FALSE)</f>
        <v>0</v>
      </c>
      <c r="AD1259" s="580">
        <f t="shared" si="131"/>
        <v>5</v>
      </c>
      <c r="AE1259" s="580">
        <f t="shared" si="132"/>
        <v>2.5</v>
      </c>
      <c r="AF1259" s="580">
        <f t="shared" si="133"/>
        <v>2.5</v>
      </c>
      <c r="AG1259" s="580">
        <f t="shared" si="134"/>
        <v>0</v>
      </c>
      <c r="AH1259" s="580">
        <f t="shared" si="135"/>
        <v>0</v>
      </c>
    </row>
    <row r="1260" spans="28:34">
      <c r="AB1260" s="580">
        <f>HLOOKUP("*"&amp;'Output annual'!$AC$2&amp;'Output annual'!$AD$2&amp;"*Zone People Number Of Occupants [](Hourly)",'Eplus results'!$1:$1048576,ROW(),FALSE)</f>
        <v>0</v>
      </c>
      <c r="AC1260" s="580">
        <f>HLOOKUP("*"&amp;'Output annual'!$AC$2&amp;'Output annual'!$AD$2&amp;"*FangerPMV(Hourly)",'Eplus results'!$1:$1048576,ROW(),FALSE)</f>
        <v>0</v>
      </c>
      <c r="AD1260" s="580">
        <f t="shared" si="131"/>
        <v>5</v>
      </c>
      <c r="AE1260" s="580">
        <f t="shared" si="132"/>
        <v>2.5</v>
      </c>
      <c r="AF1260" s="580">
        <f t="shared" si="133"/>
        <v>2.5</v>
      </c>
      <c r="AG1260" s="580">
        <f t="shared" si="134"/>
        <v>0</v>
      </c>
      <c r="AH1260" s="580">
        <f t="shared" si="135"/>
        <v>0</v>
      </c>
    </row>
    <row r="1261" spans="28:34">
      <c r="AB1261" s="580">
        <f>HLOOKUP("*"&amp;'Output annual'!$AC$2&amp;'Output annual'!$AD$2&amp;"*Zone People Number Of Occupants [](Hourly)",'Eplus results'!$1:$1048576,ROW(),FALSE)</f>
        <v>0</v>
      </c>
      <c r="AC1261" s="580">
        <f>HLOOKUP("*"&amp;'Output annual'!$AC$2&amp;'Output annual'!$AD$2&amp;"*FangerPMV(Hourly)",'Eplus results'!$1:$1048576,ROW(),FALSE)</f>
        <v>0</v>
      </c>
      <c r="AD1261" s="580">
        <f t="shared" si="131"/>
        <v>5</v>
      </c>
      <c r="AE1261" s="580">
        <f t="shared" si="132"/>
        <v>2.5</v>
      </c>
      <c r="AF1261" s="580">
        <f t="shared" si="133"/>
        <v>2.5</v>
      </c>
      <c r="AG1261" s="580">
        <f t="shared" si="134"/>
        <v>0</v>
      </c>
      <c r="AH1261" s="580">
        <f t="shared" si="135"/>
        <v>0</v>
      </c>
    </row>
    <row r="1262" spans="28:34">
      <c r="AB1262" s="580">
        <f>HLOOKUP("*"&amp;'Output annual'!$AC$2&amp;'Output annual'!$AD$2&amp;"*Zone People Number Of Occupants [](Hourly)",'Eplus results'!$1:$1048576,ROW(),FALSE)</f>
        <v>0</v>
      </c>
      <c r="AC1262" s="580">
        <f>HLOOKUP("*"&amp;'Output annual'!$AC$2&amp;'Output annual'!$AD$2&amp;"*FangerPMV(Hourly)",'Eplus results'!$1:$1048576,ROW(),FALSE)</f>
        <v>0</v>
      </c>
      <c r="AD1262" s="580">
        <f t="shared" si="131"/>
        <v>5</v>
      </c>
      <c r="AE1262" s="580">
        <f t="shared" si="132"/>
        <v>2.5</v>
      </c>
      <c r="AF1262" s="580">
        <f t="shared" si="133"/>
        <v>2.5</v>
      </c>
      <c r="AG1262" s="580">
        <f t="shared" si="134"/>
        <v>0</v>
      </c>
      <c r="AH1262" s="580">
        <f t="shared" si="135"/>
        <v>0</v>
      </c>
    </row>
    <row r="1263" spans="28:34">
      <c r="AB1263" s="580">
        <f>HLOOKUP("*"&amp;'Output annual'!$AC$2&amp;'Output annual'!$AD$2&amp;"*Zone People Number Of Occupants [](Hourly)",'Eplus results'!$1:$1048576,ROW(),FALSE)</f>
        <v>0</v>
      </c>
      <c r="AC1263" s="580">
        <f>HLOOKUP("*"&amp;'Output annual'!$AC$2&amp;'Output annual'!$AD$2&amp;"*FangerPMV(Hourly)",'Eplus results'!$1:$1048576,ROW(),FALSE)</f>
        <v>0</v>
      </c>
      <c r="AD1263" s="580">
        <f t="shared" si="131"/>
        <v>5</v>
      </c>
      <c r="AE1263" s="580">
        <f t="shared" si="132"/>
        <v>2.5</v>
      </c>
      <c r="AF1263" s="580">
        <f t="shared" si="133"/>
        <v>2.5</v>
      </c>
      <c r="AG1263" s="580">
        <f t="shared" si="134"/>
        <v>0</v>
      </c>
      <c r="AH1263" s="580">
        <f t="shared" si="135"/>
        <v>0</v>
      </c>
    </row>
    <row r="1264" spans="28:34">
      <c r="AB1264" s="580">
        <f>HLOOKUP("*"&amp;'Output annual'!$AC$2&amp;'Output annual'!$AD$2&amp;"*Zone People Number Of Occupants [](Hourly)",'Eplus results'!$1:$1048576,ROW(),FALSE)</f>
        <v>0</v>
      </c>
      <c r="AC1264" s="580">
        <f>HLOOKUP("*"&amp;'Output annual'!$AC$2&amp;'Output annual'!$AD$2&amp;"*FangerPMV(Hourly)",'Eplus results'!$1:$1048576,ROW(),FALSE)</f>
        <v>0</v>
      </c>
      <c r="AD1264" s="580">
        <f t="shared" si="131"/>
        <v>5</v>
      </c>
      <c r="AE1264" s="580">
        <f t="shared" si="132"/>
        <v>2.5</v>
      </c>
      <c r="AF1264" s="580">
        <f t="shared" si="133"/>
        <v>2.5</v>
      </c>
      <c r="AG1264" s="580">
        <f t="shared" si="134"/>
        <v>0</v>
      </c>
      <c r="AH1264" s="580">
        <f t="shared" si="135"/>
        <v>0</v>
      </c>
    </row>
    <row r="1265" spans="28:34">
      <c r="AB1265" s="580">
        <f>HLOOKUP("*"&amp;'Output annual'!$AC$2&amp;'Output annual'!$AD$2&amp;"*Zone People Number Of Occupants [](Hourly)",'Eplus results'!$1:$1048576,ROW(),FALSE)</f>
        <v>0</v>
      </c>
      <c r="AC1265" s="580">
        <f>HLOOKUP("*"&amp;'Output annual'!$AC$2&amp;'Output annual'!$AD$2&amp;"*FangerPMV(Hourly)",'Eplus results'!$1:$1048576,ROW(),FALSE)</f>
        <v>0</v>
      </c>
      <c r="AD1265" s="580">
        <f t="shared" si="131"/>
        <v>5</v>
      </c>
      <c r="AE1265" s="580">
        <f t="shared" si="132"/>
        <v>2.5</v>
      </c>
      <c r="AF1265" s="580">
        <f t="shared" si="133"/>
        <v>2.5</v>
      </c>
      <c r="AG1265" s="580">
        <f t="shared" si="134"/>
        <v>0</v>
      </c>
      <c r="AH1265" s="580">
        <f t="shared" si="135"/>
        <v>0</v>
      </c>
    </row>
    <row r="1266" spans="28:34">
      <c r="AB1266" s="580">
        <f>HLOOKUP("*"&amp;'Output annual'!$AC$2&amp;'Output annual'!$AD$2&amp;"*Zone People Number Of Occupants [](Hourly)",'Eplus results'!$1:$1048576,ROW(),FALSE)</f>
        <v>0</v>
      </c>
      <c r="AC1266" s="580">
        <f>HLOOKUP("*"&amp;'Output annual'!$AC$2&amp;'Output annual'!$AD$2&amp;"*FangerPMV(Hourly)",'Eplus results'!$1:$1048576,ROW(),FALSE)</f>
        <v>0</v>
      </c>
      <c r="AD1266" s="580">
        <f t="shared" si="131"/>
        <v>5</v>
      </c>
      <c r="AE1266" s="580">
        <f t="shared" si="132"/>
        <v>2.5</v>
      </c>
      <c r="AF1266" s="580">
        <f t="shared" si="133"/>
        <v>2.5</v>
      </c>
      <c r="AG1266" s="580">
        <f t="shared" si="134"/>
        <v>0</v>
      </c>
      <c r="AH1266" s="580">
        <f t="shared" si="135"/>
        <v>0</v>
      </c>
    </row>
    <row r="1267" spans="28:34">
      <c r="AB1267" s="580">
        <f>HLOOKUP("*"&amp;'Output annual'!$AC$2&amp;'Output annual'!$AD$2&amp;"*Zone People Number Of Occupants [](Hourly)",'Eplus results'!$1:$1048576,ROW(),FALSE)</f>
        <v>0</v>
      </c>
      <c r="AC1267" s="580">
        <f>HLOOKUP("*"&amp;'Output annual'!$AC$2&amp;'Output annual'!$AD$2&amp;"*FangerPMV(Hourly)",'Eplus results'!$1:$1048576,ROW(),FALSE)</f>
        <v>0</v>
      </c>
      <c r="AD1267" s="580">
        <f t="shared" si="131"/>
        <v>5</v>
      </c>
      <c r="AE1267" s="580">
        <f t="shared" si="132"/>
        <v>2.5</v>
      </c>
      <c r="AF1267" s="580">
        <f t="shared" si="133"/>
        <v>2.5</v>
      </c>
      <c r="AG1267" s="580">
        <f t="shared" si="134"/>
        <v>0</v>
      </c>
      <c r="AH1267" s="580">
        <f t="shared" si="135"/>
        <v>0</v>
      </c>
    </row>
    <row r="1268" spans="28:34">
      <c r="AB1268" s="580">
        <f>HLOOKUP("*"&amp;'Output annual'!$AC$2&amp;'Output annual'!$AD$2&amp;"*Zone People Number Of Occupants [](Hourly)",'Eplus results'!$1:$1048576,ROW(),FALSE)</f>
        <v>0</v>
      </c>
      <c r="AC1268" s="580">
        <f>HLOOKUP("*"&amp;'Output annual'!$AC$2&amp;'Output annual'!$AD$2&amp;"*FangerPMV(Hourly)",'Eplus results'!$1:$1048576,ROW(),FALSE)</f>
        <v>0</v>
      </c>
      <c r="AD1268" s="580">
        <f t="shared" si="131"/>
        <v>5</v>
      </c>
      <c r="AE1268" s="580">
        <f t="shared" si="132"/>
        <v>2.5</v>
      </c>
      <c r="AF1268" s="580">
        <f t="shared" si="133"/>
        <v>2.5</v>
      </c>
      <c r="AG1268" s="580">
        <f t="shared" si="134"/>
        <v>0</v>
      </c>
      <c r="AH1268" s="580">
        <f t="shared" si="135"/>
        <v>0</v>
      </c>
    </row>
    <row r="1269" spans="28:34">
      <c r="AB1269" s="580">
        <f>HLOOKUP("*"&amp;'Output annual'!$AC$2&amp;'Output annual'!$AD$2&amp;"*Zone People Number Of Occupants [](Hourly)",'Eplus results'!$1:$1048576,ROW(),FALSE)</f>
        <v>0</v>
      </c>
      <c r="AC1269" s="580">
        <f>HLOOKUP("*"&amp;'Output annual'!$AC$2&amp;'Output annual'!$AD$2&amp;"*FangerPMV(Hourly)",'Eplus results'!$1:$1048576,ROW(),FALSE)</f>
        <v>0</v>
      </c>
      <c r="AD1269" s="580">
        <f t="shared" si="131"/>
        <v>5</v>
      </c>
      <c r="AE1269" s="580">
        <f t="shared" si="132"/>
        <v>2.5</v>
      </c>
      <c r="AF1269" s="580">
        <f t="shared" si="133"/>
        <v>2.5</v>
      </c>
      <c r="AG1269" s="580">
        <f t="shared" si="134"/>
        <v>0</v>
      </c>
      <c r="AH1269" s="580">
        <f t="shared" si="135"/>
        <v>0</v>
      </c>
    </row>
    <row r="1270" spans="28:34">
      <c r="AB1270" s="580">
        <f>HLOOKUP("*"&amp;'Output annual'!$AC$2&amp;'Output annual'!$AD$2&amp;"*Zone People Number Of Occupants [](Hourly)",'Eplus results'!$1:$1048576,ROW(),FALSE)</f>
        <v>0</v>
      </c>
      <c r="AC1270" s="580">
        <f>HLOOKUP("*"&amp;'Output annual'!$AC$2&amp;'Output annual'!$AD$2&amp;"*FangerPMV(Hourly)",'Eplus results'!$1:$1048576,ROW(),FALSE)</f>
        <v>0</v>
      </c>
      <c r="AD1270" s="580">
        <f t="shared" si="131"/>
        <v>5</v>
      </c>
      <c r="AE1270" s="580">
        <f t="shared" si="132"/>
        <v>2.5</v>
      </c>
      <c r="AF1270" s="580">
        <f t="shared" si="133"/>
        <v>2.5</v>
      </c>
      <c r="AG1270" s="580">
        <f t="shared" si="134"/>
        <v>0</v>
      </c>
      <c r="AH1270" s="580">
        <f t="shared" si="135"/>
        <v>0</v>
      </c>
    </row>
    <row r="1271" spans="28:34">
      <c r="AB1271" s="580">
        <f>HLOOKUP("*"&amp;'Output annual'!$AC$2&amp;'Output annual'!$AD$2&amp;"*Zone People Number Of Occupants [](Hourly)",'Eplus results'!$1:$1048576,ROW(),FALSE)</f>
        <v>0</v>
      </c>
      <c r="AC1271" s="580">
        <f>HLOOKUP("*"&amp;'Output annual'!$AC$2&amp;'Output annual'!$AD$2&amp;"*FangerPMV(Hourly)",'Eplus results'!$1:$1048576,ROW(),FALSE)</f>
        <v>0</v>
      </c>
      <c r="AD1271" s="580">
        <f t="shared" si="131"/>
        <v>5</v>
      </c>
      <c r="AE1271" s="580">
        <f t="shared" si="132"/>
        <v>2.5</v>
      </c>
      <c r="AF1271" s="580">
        <f t="shared" si="133"/>
        <v>2.5</v>
      </c>
      <c r="AG1271" s="580">
        <f t="shared" si="134"/>
        <v>0</v>
      </c>
      <c r="AH1271" s="580">
        <f t="shared" si="135"/>
        <v>0</v>
      </c>
    </row>
    <row r="1272" spans="28:34">
      <c r="AB1272" s="580">
        <f>HLOOKUP("*"&amp;'Output annual'!$AC$2&amp;'Output annual'!$AD$2&amp;"*Zone People Number Of Occupants [](Hourly)",'Eplus results'!$1:$1048576,ROW(),FALSE)</f>
        <v>0</v>
      </c>
      <c r="AC1272" s="580">
        <f>HLOOKUP("*"&amp;'Output annual'!$AC$2&amp;'Output annual'!$AD$2&amp;"*FangerPMV(Hourly)",'Eplus results'!$1:$1048576,ROW(),FALSE)</f>
        <v>0</v>
      </c>
      <c r="AD1272" s="580">
        <f t="shared" si="131"/>
        <v>5</v>
      </c>
      <c r="AE1272" s="580">
        <f t="shared" si="132"/>
        <v>2.5</v>
      </c>
      <c r="AF1272" s="580">
        <f t="shared" si="133"/>
        <v>2.5</v>
      </c>
      <c r="AG1272" s="580">
        <f t="shared" si="134"/>
        <v>0</v>
      </c>
      <c r="AH1272" s="580">
        <f t="shared" si="135"/>
        <v>0</v>
      </c>
    </row>
    <row r="1273" spans="28:34">
      <c r="AB1273" s="580">
        <f>HLOOKUP("*"&amp;'Output annual'!$AC$2&amp;'Output annual'!$AD$2&amp;"*Zone People Number Of Occupants [](Hourly)",'Eplus results'!$1:$1048576,ROW(),FALSE)</f>
        <v>0</v>
      </c>
      <c r="AC1273" s="580">
        <f>HLOOKUP("*"&amp;'Output annual'!$AC$2&amp;'Output annual'!$AD$2&amp;"*FangerPMV(Hourly)",'Eplus results'!$1:$1048576,ROW(),FALSE)</f>
        <v>0</v>
      </c>
      <c r="AD1273" s="580">
        <f t="shared" si="131"/>
        <v>5</v>
      </c>
      <c r="AE1273" s="580">
        <f t="shared" si="132"/>
        <v>2.5</v>
      </c>
      <c r="AF1273" s="580">
        <f t="shared" si="133"/>
        <v>2.5</v>
      </c>
      <c r="AG1273" s="580">
        <f t="shared" si="134"/>
        <v>0</v>
      </c>
      <c r="AH1273" s="580">
        <f t="shared" si="135"/>
        <v>0</v>
      </c>
    </row>
    <row r="1274" spans="28:34">
      <c r="AB1274" s="580">
        <f>HLOOKUP("*"&amp;'Output annual'!$AC$2&amp;'Output annual'!$AD$2&amp;"*Zone People Number Of Occupants [](Hourly)",'Eplus results'!$1:$1048576,ROW(),FALSE)</f>
        <v>0</v>
      </c>
      <c r="AC1274" s="580">
        <f>HLOOKUP("*"&amp;'Output annual'!$AC$2&amp;'Output annual'!$AD$2&amp;"*FangerPMV(Hourly)",'Eplus results'!$1:$1048576,ROW(),FALSE)</f>
        <v>0</v>
      </c>
      <c r="AD1274" s="580">
        <f t="shared" si="131"/>
        <v>5</v>
      </c>
      <c r="AE1274" s="580">
        <f t="shared" si="132"/>
        <v>2.5</v>
      </c>
      <c r="AF1274" s="580">
        <f t="shared" si="133"/>
        <v>2.5</v>
      </c>
      <c r="AG1274" s="580">
        <f t="shared" si="134"/>
        <v>0</v>
      </c>
      <c r="AH1274" s="580">
        <f t="shared" si="135"/>
        <v>0</v>
      </c>
    </row>
    <row r="1275" spans="28:34">
      <c r="AB1275" s="580">
        <f>HLOOKUP("*"&amp;'Output annual'!$AC$2&amp;'Output annual'!$AD$2&amp;"*Zone People Number Of Occupants [](Hourly)",'Eplus results'!$1:$1048576,ROW(),FALSE)</f>
        <v>0</v>
      </c>
      <c r="AC1275" s="580">
        <f>HLOOKUP("*"&amp;'Output annual'!$AC$2&amp;'Output annual'!$AD$2&amp;"*FangerPMV(Hourly)",'Eplus results'!$1:$1048576,ROW(),FALSE)</f>
        <v>0</v>
      </c>
      <c r="AD1275" s="580">
        <f t="shared" si="131"/>
        <v>5</v>
      </c>
      <c r="AE1275" s="580">
        <f t="shared" si="132"/>
        <v>2.5</v>
      </c>
      <c r="AF1275" s="580">
        <f t="shared" si="133"/>
        <v>2.5</v>
      </c>
      <c r="AG1275" s="580">
        <f t="shared" si="134"/>
        <v>0</v>
      </c>
      <c r="AH1275" s="580">
        <f t="shared" si="135"/>
        <v>0</v>
      </c>
    </row>
    <row r="1276" spans="28:34">
      <c r="AB1276" s="580">
        <f>HLOOKUP("*"&amp;'Output annual'!$AC$2&amp;'Output annual'!$AD$2&amp;"*Zone People Number Of Occupants [](Hourly)",'Eplus results'!$1:$1048576,ROW(),FALSE)</f>
        <v>0</v>
      </c>
      <c r="AC1276" s="580">
        <f>HLOOKUP("*"&amp;'Output annual'!$AC$2&amp;'Output annual'!$AD$2&amp;"*FangerPMV(Hourly)",'Eplus results'!$1:$1048576,ROW(),FALSE)</f>
        <v>0</v>
      </c>
      <c r="AD1276" s="580">
        <f t="shared" si="131"/>
        <v>5</v>
      </c>
      <c r="AE1276" s="580">
        <f t="shared" si="132"/>
        <v>2.5</v>
      </c>
      <c r="AF1276" s="580">
        <f t="shared" si="133"/>
        <v>2.5</v>
      </c>
      <c r="AG1276" s="580">
        <f t="shared" si="134"/>
        <v>0</v>
      </c>
      <c r="AH1276" s="580">
        <f t="shared" si="135"/>
        <v>0</v>
      </c>
    </row>
    <row r="1277" spans="28:34">
      <c r="AB1277" s="580">
        <f>HLOOKUP("*"&amp;'Output annual'!$AC$2&amp;'Output annual'!$AD$2&amp;"*Zone People Number Of Occupants [](Hourly)",'Eplus results'!$1:$1048576,ROW(),FALSE)</f>
        <v>0</v>
      </c>
      <c r="AC1277" s="580">
        <f>HLOOKUP("*"&amp;'Output annual'!$AC$2&amp;'Output annual'!$AD$2&amp;"*FangerPMV(Hourly)",'Eplus results'!$1:$1048576,ROW(),FALSE)</f>
        <v>0</v>
      </c>
      <c r="AD1277" s="580">
        <f t="shared" si="131"/>
        <v>5</v>
      </c>
      <c r="AE1277" s="580">
        <f t="shared" si="132"/>
        <v>2.5</v>
      </c>
      <c r="AF1277" s="580">
        <f t="shared" si="133"/>
        <v>2.5</v>
      </c>
      <c r="AG1277" s="580">
        <f t="shared" si="134"/>
        <v>0</v>
      </c>
      <c r="AH1277" s="580">
        <f t="shared" si="135"/>
        <v>0</v>
      </c>
    </row>
    <row r="1278" spans="28:34">
      <c r="AB1278" s="580">
        <f>HLOOKUP("*"&amp;'Output annual'!$AC$2&amp;'Output annual'!$AD$2&amp;"*Zone People Number Of Occupants [](Hourly)",'Eplus results'!$1:$1048576,ROW(),FALSE)</f>
        <v>0</v>
      </c>
      <c r="AC1278" s="580">
        <f>HLOOKUP("*"&amp;'Output annual'!$AC$2&amp;'Output annual'!$AD$2&amp;"*FangerPMV(Hourly)",'Eplus results'!$1:$1048576,ROW(),FALSE)</f>
        <v>0</v>
      </c>
      <c r="AD1278" s="580">
        <f t="shared" si="131"/>
        <v>5</v>
      </c>
      <c r="AE1278" s="580">
        <f t="shared" si="132"/>
        <v>2.5</v>
      </c>
      <c r="AF1278" s="580">
        <f t="shared" si="133"/>
        <v>2.5</v>
      </c>
      <c r="AG1278" s="580">
        <f t="shared" si="134"/>
        <v>0</v>
      </c>
      <c r="AH1278" s="580">
        <f t="shared" si="135"/>
        <v>0</v>
      </c>
    </row>
    <row r="1279" spans="28:34">
      <c r="AB1279" s="580">
        <f>HLOOKUP("*"&amp;'Output annual'!$AC$2&amp;'Output annual'!$AD$2&amp;"*Zone People Number Of Occupants [](Hourly)",'Eplus results'!$1:$1048576,ROW(),FALSE)</f>
        <v>0</v>
      </c>
      <c r="AC1279" s="580">
        <f>HLOOKUP("*"&amp;'Output annual'!$AC$2&amp;'Output annual'!$AD$2&amp;"*FangerPMV(Hourly)",'Eplus results'!$1:$1048576,ROW(),FALSE)</f>
        <v>0</v>
      </c>
      <c r="AD1279" s="580">
        <f t="shared" si="131"/>
        <v>5</v>
      </c>
      <c r="AE1279" s="580">
        <f t="shared" si="132"/>
        <v>2.5</v>
      </c>
      <c r="AF1279" s="580">
        <f t="shared" si="133"/>
        <v>2.5</v>
      </c>
      <c r="AG1279" s="580">
        <f t="shared" si="134"/>
        <v>0</v>
      </c>
      <c r="AH1279" s="580">
        <f t="shared" si="135"/>
        <v>0</v>
      </c>
    </row>
    <row r="1280" spans="28:34">
      <c r="AB1280" s="580">
        <f>HLOOKUP("*"&amp;'Output annual'!$AC$2&amp;'Output annual'!$AD$2&amp;"*Zone People Number Of Occupants [](Hourly)",'Eplus results'!$1:$1048576,ROW(),FALSE)</f>
        <v>0</v>
      </c>
      <c r="AC1280" s="580">
        <f>HLOOKUP("*"&amp;'Output annual'!$AC$2&amp;'Output annual'!$AD$2&amp;"*FangerPMV(Hourly)",'Eplus results'!$1:$1048576,ROW(),FALSE)</f>
        <v>0</v>
      </c>
      <c r="AD1280" s="580">
        <f t="shared" si="131"/>
        <v>5</v>
      </c>
      <c r="AE1280" s="580">
        <f t="shared" si="132"/>
        <v>2.5</v>
      </c>
      <c r="AF1280" s="580">
        <f t="shared" si="133"/>
        <v>2.5</v>
      </c>
      <c r="AG1280" s="580">
        <f t="shared" si="134"/>
        <v>0</v>
      </c>
      <c r="AH1280" s="580">
        <f t="shared" si="135"/>
        <v>0</v>
      </c>
    </row>
    <row r="1281" spans="28:34">
      <c r="AB1281" s="580">
        <f>HLOOKUP("*"&amp;'Output annual'!$AC$2&amp;'Output annual'!$AD$2&amp;"*Zone People Number Of Occupants [](Hourly)",'Eplus results'!$1:$1048576,ROW(),FALSE)</f>
        <v>0</v>
      </c>
      <c r="AC1281" s="580">
        <f>HLOOKUP("*"&amp;'Output annual'!$AC$2&amp;'Output annual'!$AD$2&amp;"*FangerPMV(Hourly)",'Eplus results'!$1:$1048576,ROW(),FALSE)</f>
        <v>0</v>
      </c>
      <c r="AD1281" s="580">
        <f t="shared" si="131"/>
        <v>5</v>
      </c>
      <c r="AE1281" s="580">
        <f t="shared" si="132"/>
        <v>2.5</v>
      </c>
      <c r="AF1281" s="580">
        <f t="shared" si="133"/>
        <v>2.5</v>
      </c>
      <c r="AG1281" s="580">
        <f t="shared" si="134"/>
        <v>0</v>
      </c>
      <c r="AH1281" s="580">
        <f t="shared" si="135"/>
        <v>0</v>
      </c>
    </row>
    <row r="1282" spans="28:34">
      <c r="AB1282" s="580">
        <f>HLOOKUP("*"&amp;'Output annual'!$AC$2&amp;'Output annual'!$AD$2&amp;"*Zone People Number Of Occupants [](Hourly)",'Eplus results'!$1:$1048576,ROW(),FALSE)</f>
        <v>0</v>
      </c>
      <c r="AC1282" s="580">
        <f>HLOOKUP("*"&amp;'Output annual'!$AC$2&amp;'Output annual'!$AD$2&amp;"*FangerPMV(Hourly)",'Eplus results'!$1:$1048576,ROW(),FALSE)</f>
        <v>0</v>
      </c>
      <c r="AD1282" s="580">
        <f t="shared" si="131"/>
        <v>5</v>
      </c>
      <c r="AE1282" s="580">
        <f t="shared" si="132"/>
        <v>2.5</v>
      </c>
      <c r="AF1282" s="580">
        <f t="shared" si="133"/>
        <v>2.5</v>
      </c>
      <c r="AG1282" s="580">
        <f t="shared" si="134"/>
        <v>0</v>
      </c>
      <c r="AH1282" s="580">
        <f t="shared" si="135"/>
        <v>0</v>
      </c>
    </row>
    <row r="1283" spans="28:34">
      <c r="AB1283" s="580">
        <f>HLOOKUP("*"&amp;'Output annual'!$AC$2&amp;'Output annual'!$AD$2&amp;"*Zone People Number Of Occupants [](Hourly)",'Eplus results'!$1:$1048576,ROW(),FALSE)</f>
        <v>0</v>
      </c>
      <c r="AC1283" s="580">
        <f>HLOOKUP("*"&amp;'Output annual'!$AC$2&amp;'Output annual'!$AD$2&amp;"*FangerPMV(Hourly)",'Eplus results'!$1:$1048576,ROW(),FALSE)</f>
        <v>0</v>
      </c>
      <c r="AD1283" s="580">
        <f t="shared" ref="AD1283:AD1346" si="136">100-95*EXP(-0.03353*AC1283^4-0.2179*AC1283^2)</f>
        <v>5</v>
      </c>
      <c r="AE1283" s="580">
        <f t="shared" ref="AE1283:AE1346" si="137">AD1283*(1/(1+EXP(-6.3*$AC1283)))</f>
        <v>2.5</v>
      </c>
      <c r="AF1283" s="580">
        <f t="shared" ref="AF1283:AF1346" si="138">(AD1283-AE1283)</f>
        <v>2.5</v>
      </c>
      <c r="AG1283" s="580">
        <f t="shared" ref="AG1283:AG1346" si="139">AE1283*AB1283</f>
        <v>0</v>
      </c>
      <c r="AH1283" s="580">
        <f t="shared" ref="AH1283:AH1346" si="140">AF1283*AB1283</f>
        <v>0</v>
      </c>
    </row>
    <row r="1284" spans="28:34">
      <c r="AB1284" s="580">
        <f>HLOOKUP("*"&amp;'Output annual'!$AC$2&amp;'Output annual'!$AD$2&amp;"*Zone People Number Of Occupants [](Hourly)",'Eplus results'!$1:$1048576,ROW(),FALSE)</f>
        <v>0</v>
      </c>
      <c r="AC1284" s="580">
        <f>HLOOKUP("*"&amp;'Output annual'!$AC$2&amp;'Output annual'!$AD$2&amp;"*FangerPMV(Hourly)",'Eplus results'!$1:$1048576,ROW(),FALSE)</f>
        <v>0</v>
      </c>
      <c r="AD1284" s="580">
        <f t="shared" si="136"/>
        <v>5</v>
      </c>
      <c r="AE1284" s="580">
        <f t="shared" si="137"/>
        <v>2.5</v>
      </c>
      <c r="AF1284" s="580">
        <f t="shared" si="138"/>
        <v>2.5</v>
      </c>
      <c r="AG1284" s="580">
        <f t="shared" si="139"/>
        <v>0</v>
      </c>
      <c r="AH1284" s="580">
        <f t="shared" si="140"/>
        <v>0</v>
      </c>
    </row>
    <row r="1285" spans="28:34">
      <c r="AB1285" s="580">
        <f>HLOOKUP("*"&amp;'Output annual'!$AC$2&amp;'Output annual'!$AD$2&amp;"*Zone People Number Of Occupants [](Hourly)",'Eplus results'!$1:$1048576,ROW(),FALSE)</f>
        <v>0</v>
      </c>
      <c r="AC1285" s="580">
        <f>HLOOKUP("*"&amp;'Output annual'!$AC$2&amp;'Output annual'!$AD$2&amp;"*FangerPMV(Hourly)",'Eplus results'!$1:$1048576,ROW(),FALSE)</f>
        <v>0</v>
      </c>
      <c r="AD1285" s="580">
        <f t="shared" si="136"/>
        <v>5</v>
      </c>
      <c r="AE1285" s="580">
        <f t="shared" si="137"/>
        <v>2.5</v>
      </c>
      <c r="AF1285" s="580">
        <f t="shared" si="138"/>
        <v>2.5</v>
      </c>
      <c r="AG1285" s="580">
        <f t="shared" si="139"/>
        <v>0</v>
      </c>
      <c r="AH1285" s="580">
        <f t="shared" si="140"/>
        <v>0</v>
      </c>
    </row>
    <row r="1286" spans="28:34">
      <c r="AB1286" s="580">
        <f>HLOOKUP("*"&amp;'Output annual'!$AC$2&amp;'Output annual'!$AD$2&amp;"*Zone People Number Of Occupants [](Hourly)",'Eplus results'!$1:$1048576,ROW(),FALSE)</f>
        <v>0</v>
      </c>
      <c r="AC1286" s="580">
        <f>HLOOKUP("*"&amp;'Output annual'!$AC$2&amp;'Output annual'!$AD$2&amp;"*FangerPMV(Hourly)",'Eplus results'!$1:$1048576,ROW(),FALSE)</f>
        <v>0</v>
      </c>
      <c r="AD1286" s="580">
        <f t="shared" si="136"/>
        <v>5</v>
      </c>
      <c r="AE1286" s="580">
        <f t="shared" si="137"/>
        <v>2.5</v>
      </c>
      <c r="AF1286" s="580">
        <f t="shared" si="138"/>
        <v>2.5</v>
      </c>
      <c r="AG1286" s="580">
        <f t="shared" si="139"/>
        <v>0</v>
      </c>
      <c r="AH1286" s="580">
        <f t="shared" si="140"/>
        <v>0</v>
      </c>
    </row>
    <row r="1287" spans="28:34">
      <c r="AB1287" s="580">
        <f>HLOOKUP("*"&amp;'Output annual'!$AC$2&amp;'Output annual'!$AD$2&amp;"*Zone People Number Of Occupants [](Hourly)",'Eplus results'!$1:$1048576,ROW(),FALSE)</f>
        <v>0</v>
      </c>
      <c r="AC1287" s="580">
        <f>HLOOKUP("*"&amp;'Output annual'!$AC$2&amp;'Output annual'!$AD$2&amp;"*FangerPMV(Hourly)",'Eplus results'!$1:$1048576,ROW(),FALSE)</f>
        <v>0</v>
      </c>
      <c r="AD1287" s="580">
        <f t="shared" si="136"/>
        <v>5</v>
      </c>
      <c r="AE1287" s="580">
        <f t="shared" si="137"/>
        <v>2.5</v>
      </c>
      <c r="AF1287" s="580">
        <f t="shared" si="138"/>
        <v>2.5</v>
      </c>
      <c r="AG1287" s="580">
        <f t="shared" si="139"/>
        <v>0</v>
      </c>
      <c r="AH1287" s="580">
        <f t="shared" si="140"/>
        <v>0</v>
      </c>
    </row>
    <row r="1288" spans="28:34">
      <c r="AB1288" s="580">
        <f>HLOOKUP("*"&amp;'Output annual'!$AC$2&amp;'Output annual'!$AD$2&amp;"*Zone People Number Of Occupants [](Hourly)",'Eplus results'!$1:$1048576,ROW(),FALSE)</f>
        <v>0</v>
      </c>
      <c r="AC1288" s="580">
        <f>HLOOKUP("*"&amp;'Output annual'!$AC$2&amp;'Output annual'!$AD$2&amp;"*FangerPMV(Hourly)",'Eplus results'!$1:$1048576,ROW(),FALSE)</f>
        <v>0</v>
      </c>
      <c r="AD1288" s="580">
        <f t="shared" si="136"/>
        <v>5</v>
      </c>
      <c r="AE1288" s="580">
        <f t="shared" si="137"/>
        <v>2.5</v>
      </c>
      <c r="AF1288" s="580">
        <f t="shared" si="138"/>
        <v>2.5</v>
      </c>
      <c r="AG1288" s="580">
        <f t="shared" si="139"/>
        <v>0</v>
      </c>
      <c r="AH1288" s="580">
        <f t="shared" si="140"/>
        <v>0</v>
      </c>
    </row>
    <row r="1289" spans="28:34">
      <c r="AB1289" s="580">
        <f>HLOOKUP("*"&amp;'Output annual'!$AC$2&amp;'Output annual'!$AD$2&amp;"*Zone People Number Of Occupants [](Hourly)",'Eplus results'!$1:$1048576,ROW(),FALSE)</f>
        <v>0</v>
      </c>
      <c r="AC1289" s="580">
        <f>HLOOKUP("*"&amp;'Output annual'!$AC$2&amp;'Output annual'!$AD$2&amp;"*FangerPMV(Hourly)",'Eplus results'!$1:$1048576,ROW(),FALSE)</f>
        <v>0</v>
      </c>
      <c r="AD1289" s="580">
        <f t="shared" si="136"/>
        <v>5</v>
      </c>
      <c r="AE1289" s="580">
        <f t="shared" si="137"/>
        <v>2.5</v>
      </c>
      <c r="AF1289" s="580">
        <f t="shared" si="138"/>
        <v>2.5</v>
      </c>
      <c r="AG1289" s="580">
        <f t="shared" si="139"/>
        <v>0</v>
      </c>
      <c r="AH1289" s="580">
        <f t="shared" si="140"/>
        <v>0</v>
      </c>
    </row>
    <row r="1290" spans="28:34">
      <c r="AB1290" s="580">
        <f>HLOOKUP("*"&amp;'Output annual'!$AC$2&amp;'Output annual'!$AD$2&amp;"*Zone People Number Of Occupants [](Hourly)",'Eplus results'!$1:$1048576,ROW(),FALSE)</f>
        <v>0</v>
      </c>
      <c r="AC1290" s="580">
        <f>HLOOKUP("*"&amp;'Output annual'!$AC$2&amp;'Output annual'!$AD$2&amp;"*FangerPMV(Hourly)",'Eplus results'!$1:$1048576,ROW(),FALSE)</f>
        <v>0</v>
      </c>
      <c r="AD1290" s="580">
        <f t="shared" si="136"/>
        <v>5</v>
      </c>
      <c r="AE1290" s="580">
        <f t="shared" si="137"/>
        <v>2.5</v>
      </c>
      <c r="AF1290" s="580">
        <f t="shared" si="138"/>
        <v>2.5</v>
      </c>
      <c r="AG1290" s="580">
        <f t="shared" si="139"/>
        <v>0</v>
      </c>
      <c r="AH1290" s="580">
        <f t="shared" si="140"/>
        <v>0</v>
      </c>
    </row>
    <row r="1291" spans="28:34">
      <c r="AB1291" s="580">
        <f>HLOOKUP("*"&amp;'Output annual'!$AC$2&amp;'Output annual'!$AD$2&amp;"*Zone People Number Of Occupants [](Hourly)",'Eplus results'!$1:$1048576,ROW(),FALSE)</f>
        <v>0</v>
      </c>
      <c r="AC1291" s="580">
        <f>HLOOKUP("*"&amp;'Output annual'!$AC$2&amp;'Output annual'!$AD$2&amp;"*FangerPMV(Hourly)",'Eplus results'!$1:$1048576,ROW(),FALSE)</f>
        <v>0</v>
      </c>
      <c r="AD1291" s="580">
        <f t="shared" si="136"/>
        <v>5</v>
      </c>
      <c r="AE1291" s="580">
        <f t="shared" si="137"/>
        <v>2.5</v>
      </c>
      <c r="AF1291" s="580">
        <f t="shared" si="138"/>
        <v>2.5</v>
      </c>
      <c r="AG1291" s="580">
        <f t="shared" si="139"/>
        <v>0</v>
      </c>
      <c r="AH1291" s="580">
        <f t="shared" si="140"/>
        <v>0</v>
      </c>
    </row>
    <row r="1292" spans="28:34">
      <c r="AB1292" s="580">
        <f>HLOOKUP("*"&amp;'Output annual'!$AC$2&amp;'Output annual'!$AD$2&amp;"*Zone People Number Of Occupants [](Hourly)",'Eplus results'!$1:$1048576,ROW(),FALSE)</f>
        <v>0</v>
      </c>
      <c r="AC1292" s="580">
        <f>HLOOKUP("*"&amp;'Output annual'!$AC$2&amp;'Output annual'!$AD$2&amp;"*FangerPMV(Hourly)",'Eplus results'!$1:$1048576,ROW(),FALSE)</f>
        <v>0</v>
      </c>
      <c r="AD1292" s="580">
        <f t="shared" si="136"/>
        <v>5</v>
      </c>
      <c r="AE1292" s="580">
        <f t="shared" si="137"/>
        <v>2.5</v>
      </c>
      <c r="AF1292" s="580">
        <f t="shared" si="138"/>
        <v>2.5</v>
      </c>
      <c r="AG1292" s="580">
        <f t="shared" si="139"/>
        <v>0</v>
      </c>
      <c r="AH1292" s="580">
        <f t="shared" si="140"/>
        <v>0</v>
      </c>
    </row>
    <row r="1293" spans="28:34">
      <c r="AB1293" s="580">
        <f>HLOOKUP("*"&amp;'Output annual'!$AC$2&amp;'Output annual'!$AD$2&amp;"*Zone People Number Of Occupants [](Hourly)",'Eplus results'!$1:$1048576,ROW(),FALSE)</f>
        <v>0</v>
      </c>
      <c r="AC1293" s="580">
        <f>HLOOKUP("*"&amp;'Output annual'!$AC$2&amp;'Output annual'!$AD$2&amp;"*FangerPMV(Hourly)",'Eplus results'!$1:$1048576,ROW(),FALSE)</f>
        <v>0</v>
      </c>
      <c r="AD1293" s="580">
        <f t="shared" si="136"/>
        <v>5</v>
      </c>
      <c r="AE1293" s="580">
        <f t="shared" si="137"/>
        <v>2.5</v>
      </c>
      <c r="AF1293" s="580">
        <f t="shared" si="138"/>
        <v>2.5</v>
      </c>
      <c r="AG1293" s="580">
        <f t="shared" si="139"/>
        <v>0</v>
      </c>
      <c r="AH1293" s="580">
        <f t="shared" si="140"/>
        <v>0</v>
      </c>
    </row>
    <row r="1294" spans="28:34">
      <c r="AB1294" s="580">
        <f>HLOOKUP("*"&amp;'Output annual'!$AC$2&amp;'Output annual'!$AD$2&amp;"*Zone People Number Of Occupants [](Hourly)",'Eplus results'!$1:$1048576,ROW(),FALSE)</f>
        <v>0</v>
      </c>
      <c r="AC1294" s="580">
        <f>HLOOKUP("*"&amp;'Output annual'!$AC$2&amp;'Output annual'!$AD$2&amp;"*FangerPMV(Hourly)",'Eplus results'!$1:$1048576,ROW(),FALSE)</f>
        <v>0</v>
      </c>
      <c r="AD1294" s="580">
        <f t="shared" si="136"/>
        <v>5</v>
      </c>
      <c r="AE1294" s="580">
        <f t="shared" si="137"/>
        <v>2.5</v>
      </c>
      <c r="AF1294" s="580">
        <f t="shared" si="138"/>
        <v>2.5</v>
      </c>
      <c r="AG1294" s="580">
        <f t="shared" si="139"/>
        <v>0</v>
      </c>
      <c r="AH1294" s="580">
        <f t="shared" si="140"/>
        <v>0</v>
      </c>
    </row>
    <row r="1295" spans="28:34">
      <c r="AB1295" s="580">
        <f>HLOOKUP("*"&amp;'Output annual'!$AC$2&amp;'Output annual'!$AD$2&amp;"*Zone People Number Of Occupants [](Hourly)",'Eplus results'!$1:$1048576,ROW(),FALSE)</f>
        <v>0</v>
      </c>
      <c r="AC1295" s="580">
        <f>HLOOKUP("*"&amp;'Output annual'!$AC$2&amp;'Output annual'!$AD$2&amp;"*FangerPMV(Hourly)",'Eplus results'!$1:$1048576,ROW(),FALSE)</f>
        <v>0</v>
      </c>
      <c r="AD1295" s="580">
        <f t="shared" si="136"/>
        <v>5</v>
      </c>
      <c r="AE1295" s="580">
        <f t="shared" si="137"/>
        <v>2.5</v>
      </c>
      <c r="AF1295" s="580">
        <f t="shared" si="138"/>
        <v>2.5</v>
      </c>
      <c r="AG1295" s="580">
        <f t="shared" si="139"/>
        <v>0</v>
      </c>
      <c r="AH1295" s="580">
        <f t="shared" si="140"/>
        <v>0</v>
      </c>
    </row>
    <row r="1296" spans="28:34">
      <c r="AB1296" s="580">
        <f>HLOOKUP("*"&amp;'Output annual'!$AC$2&amp;'Output annual'!$AD$2&amp;"*Zone People Number Of Occupants [](Hourly)",'Eplus results'!$1:$1048576,ROW(),FALSE)</f>
        <v>0</v>
      </c>
      <c r="AC1296" s="580">
        <f>HLOOKUP("*"&amp;'Output annual'!$AC$2&amp;'Output annual'!$AD$2&amp;"*FangerPMV(Hourly)",'Eplus results'!$1:$1048576,ROW(),FALSE)</f>
        <v>0</v>
      </c>
      <c r="AD1296" s="580">
        <f t="shared" si="136"/>
        <v>5</v>
      </c>
      <c r="AE1296" s="580">
        <f t="shared" si="137"/>
        <v>2.5</v>
      </c>
      <c r="AF1296" s="580">
        <f t="shared" si="138"/>
        <v>2.5</v>
      </c>
      <c r="AG1296" s="580">
        <f t="shared" si="139"/>
        <v>0</v>
      </c>
      <c r="AH1296" s="580">
        <f t="shared" si="140"/>
        <v>0</v>
      </c>
    </row>
    <row r="1297" spans="28:34">
      <c r="AB1297" s="580">
        <f>HLOOKUP("*"&amp;'Output annual'!$AC$2&amp;'Output annual'!$AD$2&amp;"*Zone People Number Of Occupants [](Hourly)",'Eplus results'!$1:$1048576,ROW(),FALSE)</f>
        <v>0</v>
      </c>
      <c r="AC1297" s="580">
        <f>HLOOKUP("*"&amp;'Output annual'!$AC$2&amp;'Output annual'!$AD$2&amp;"*FangerPMV(Hourly)",'Eplus results'!$1:$1048576,ROW(),FALSE)</f>
        <v>0</v>
      </c>
      <c r="AD1297" s="580">
        <f t="shared" si="136"/>
        <v>5</v>
      </c>
      <c r="AE1297" s="580">
        <f t="shared" si="137"/>
        <v>2.5</v>
      </c>
      <c r="AF1297" s="580">
        <f t="shared" si="138"/>
        <v>2.5</v>
      </c>
      <c r="AG1297" s="580">
        <f t="shared" si="139"/>
        <v>0</v>
      </c>
      <c r="AH1297" s="580">
        <f t="shared" si="140"/>
        <v>0</v>
      </c>
    </row>
    <row r="1298" spans="28:34">
      <c r="AB1298" s="580">
        <f>HLOOKUP("*"&amp;'Output annual'!$AC$2&amp;'Output annual'!$AD$2&amp;"*Zone People Number Of Occupants [](Hourly)",'Eplus results'!$1:$1048576,ROW(),FALSE)</f>
        <v>0</v>
      </c>
      <c r="AC1298" s="580">
        <f>HLOOKUP("*"&amp;'Output annual'!$AC$2&amp;'Output annual'!$AD$2&amp;"*FangerPMV(Hourly)",'Eplus results'!$1:$1048576,ROW(),FALSE)</f>
        <v>0</v>
      </c>
      <c r="AD1298" s="580">
        <f t="shared" si="136"/>
        <v>5</v>
      </c>
      <c r="AE1298" s="580">
        <f t="shared" si="137"/>
        <v>2.5</v>
      </c>
      <c r="AF1298" s="580">
        <f t="shared" si="138"/>
        <v>2.5</v>
      </c>
      <c r="AG1298" s="580">
        <f t="shared" si="139"/>
        <v>0</v>
      </c>
      <c r="AH1298" s="580">
        <f t="shared" si="140"/>
        <v>0</v>
      </c>
    </row>
    <row r="1299" spans="28:34">
      <c r="AB1299" s="580">
        <f>HLOOKUP("*"&amp;'Output annual'!$AC$2&amp;'Output annual'!$AD$2&amp;"*Zone People Number Of Occupants [](Hourly)",'Eplus results'!$1:$1048576,ROW(),FALSE)</f>
        <v>0</v>
      </c>
      <c r="AC1299" s="580">
        <f>HLOOKUP("*"&amp;'Output annual'!$AC$2&amp;'Output annual'!$AD$2&amp;"*FangerPMV(Hourly)",'Eplus results'!$1:$1048576,ROW(),FALSE)</f>
        <v>0</v>
      </c>
      <c r="AD1299" s="580">
        <f t="shared" si="136"/>
        <v>5</v>
      </c>
      <c r="AE1299" s="580">
        <f t="shared" si="137"/>
        <v>2.5</v>
      </c>
      <c r="AF1299" s="580">
        <f t="shared" si="138"/>
        <v>2.5</v>
      </c>
      <c r="AG1299" s="580">
        <f t="shared" si="139"/>
        <v>0</v>
      </c>
      <c r="AH1299" s="580">
        <f t="shared" si="140"/>
        <v>0</v>
      </c>
    </row>
    <row r="1300" spans="28:34">
      <c r="AB1300" s="580">
        <f>HLOOKUP("*"&amp;'Output annual'!$AC$2&amp;'Output annual'!$AD$2&amp;"*Zone People Number Of Occupants [](Hourly)",'Eplus results'!$1:$1048576,ROW(),FALSE)</f>
        <v>0</v>
      </c>
      <c r="AC1300" s="580">
        <f>HLOOKUP("*"&amp;'Output annual'!$AC$2&amp;'Output annual'!$AD$2&amp;"*FangerPMV(Hourly)",'Eplus results'!$1:$1048576,ROW(),FALSE)</f>
        <v>0</v>
      </c>
      <c r="AD1300" s="580">
        <f t="shared" si="136"/>
        <v>5</v>
      </c>
      <c r="AE1300" s="580">
        <f t="shared" si="137"/>
        <v>2.5</v>
      </c>
      <c r="AF1300" s="580">
        <f t="shared" si="138"/>
        <v>2.5</v>
      </c>
      <c r="AG1300" s="580">
        <f t="shared" si="139"/>
        <v>0</v>
      </c>
      <c r="AH1300" s="580">
        <f t="shared" si="140"/>
        <v>0</v>
      </c>
    </row>
    <row r="1301" spans="28:34">
      <c r="AB1301" s="580">
        <f>HLOOKUP("*"&amp;'Output annual'!$AC$2&amp;'Output annual'!$AD$2&amp;"*Zone People Number Of Occupants [](Hourly)",'Eplus results'!$1:$1048576,ROW(),FALSE)</f>
        <v>0</v>
      </c>
      <c r="AC1301" s="580">
        <f>HLOOKUP("*"&amp;'Output annual'!$AC$2&amp;'Output annual'!$AD$2&amp;"*FangerPMV(Hourly)",'Eplus results'!$1:$1048576,ROW(),FALSE)</f>
        <v>0</v>
      </c>
      <c r="AD1301" s="580">
        <f t="shared" si="136"/>
        <v>5</v>
      </c>
      <c r="AE1301" s="580">
        <f t="shared" si="137"/>
        <v>2.5</v>
      </c>
      <c r="AF1301" s="580">
        <f t="shared" si="138"/>
        <v>2.5</v>
      </c>
      <c r="AG1301" s="580">
        <f t="shared" si="139"/>
        <v>0</v>
      </c>
      <c r="AH1301" s="580">
        <f t="shared" si="140"/>
        <v>0</v>
      </c>
    </row>
    <row r="1302" spans="28:34">
      <c r="AB1302" s="580">
        <f>HLOOKUP("*"&amp;'Output annual'!$AC$2&amp;'Output annual'!$AD$2&amp;"*Zone People Number Of Occupants [](Hourly)",'Eplus results'!$1:$1048576,ROW(),FALSE)</f>
        <v>0</v>
      </c>
      <c r="AC1302" s="580">
        <f>HLOOKUP("*"&amp;'Output annual'!$AC$2&amp;'Output annual'!$AD$2&amp;"*FangerPMV(Hourly)",'Eplus results'!$1:$1048576,ROW(),FALSE)</f>
        <v>0</v>
      </c>
      <c r="AD1302" s="580">
        <f t="shared" si="136"/>
        <v>5</v>
      </c>
      <c r="AE1302" s="580">
        <f t="shared" si="137"/>
        <v>2.5</v>
      </c>
      <c r="AF1302" s="580">
        <f t="shared" si="138"/>
        <v>2.5</v>
      </c>
      <c r="AG1302" s="580">
        <f t="shared" si="139"/>
        <v>0</v>
      </c>
      <c r="AH1302" s="580">
        <f t="shared" si="140"/>
        <v>0</v>
      </c>
    </row>
    <row r="1303" spans="28:34">
      <c r="AB1303" s="580">
        <f>HLOOKUP("*"&amp;'Output annual'!$AC$2&amp;'Output annual'!$AD$2&amp;"*Zone People Number Of Occupants [](Hourly)",'Eplus results'!$1:$1048576,ROW(),FALSE)</f>
        <v>0</v>
      </c>
      <c r="AC1303" s="580">
        <f>HLOOKUP("*"&amp;'Output annual'!$AC$2&amp;'Output annual'!$AD$2&amp;"*FangerPMV(Hourly)",'Eplus results'!$1:$1048576,ROW(),FALSE)</f>
        <v>0</v>
      </c>
      <c r="AD1303" s="580">
        <f t="shared" si="136"/>
        <v>5</v>
      </c>
      <c r="AE1303" s="580">
        <f t="shared" si="137"/>
        <v>2.5</v>
      </c>
      <c r="AF1303" s="580">
        <f t="shared" si="138"/>
        <v>2.5</v>
      </c>
      <c r="AG1303" s="580">
        <f t="shared" si="139"/>
        <v>0</v>
      </c>
      <c r="AH1303" s="580">
        <f t="shared" si="140"/>
        <v>0</v>
      </c>
    </row>
    <row r="1304" spans="28:34">
      <c r="AB1304" s="580">
        <f>HLOOKUP("*"&amp;'Output annual'!$AC$2&amp;'Output annual'!$AD$2&amp;"*Zone People Number Of Occupants [](Hourly)",'Eplus results'!$1:$1048576,ROW(),FALSE)</f>
        <v>0</v>
      </c>
      <c r="AC1304" s="580">
        <f>HLOOKUP("*"&amp;'Output annual'!$AC$2&amp;'Output annual'!$AD$2&amp;"*FangerPMV(Hourly)",'Eplus results'!$1:$1048576,ROW(),FALSE)</f>
        <v>0</v>
      </c>
      <c r="AD1304" s="580">
        <f t="shared" si="136"/>
        <v>5</v>
      </c>
      <c r="AE1304" s="580">
        <f t="shared" si="137"/>
        <v>2.5</v>
      </c>
      <c r="AF1304" s="580">
        <f t="shared" si="138"/>
        <v>2.5</v>
      </c>
      <c r="AG1304" s="580">
        <f t="shared" si="139"/>
        <v>0</v>
      </c>
      <c r="AH1304" s="580">
        <f t="shared" si="140"/>
        <v>0</v>
      </c>
    </row>
    <row r="1305" spans="28:34">
      <c r="AB1305" s="580">
        <f>HLOOKUP("*"&amp;'Output annual'!$AC$2&amp;'Output annual'!$AD$2&amp;"*Zone People Number Of Occupants [](Hourly)",'Eplus results'!$1:$1048576,ROW(),FALSE)</f>
        <v>0</v>
      </c>
      <c r="AC1305" s="580">
        <f>HLOOKUP("*"&amp;'Output annual'!$AC$2&amp;'Output annual'!$AD$2&amp;"*FangerPMV(Hourly)",'Eplus results'!$1:$1048576,ROW(),FALSE)</f>
        <v>0</v>
      </c>
      <c r="AD1305" s="580">
        <f t="shared" si="136"/>
        <v>5</v>
      </c>
      <c r="AE1305" s="580">
        <f t="shared" si="137"/>
        <v>2.5</v>
      </c>
      <c r="AF1305" s="580">
        <f t="shared" si="138"/>
        <v>2.5</v>
      </c>
      <c r="AG1305" s="580">
        <f t="shared" si="139"/>
        <v>0</v>
      </c>
      <c r="AH1305" s="580">
        <f t="shared" si="140"/>
        <v>0</v>
      </c>
    </row>
    <row r="1306" spans="28:34">
      <c r="AB1306" s="580">
        <f>HLOOKUP("*"&amp;'Output annual'!$AC$2&amp;'Output annual'!$AD$2&amp;"*Zone People Number Of Occupants [](Hourly)",'Eplus results'!$1:$1048576,ROW(),FALSE)</f>
        <v>0</v>
      </c>
      <c r="AC1306" s="580">
        <f>HLOOKUP("*"&amp;'Output annual'!$AC$2&amp;'Output annual'!$AD$2&amp;"*FangerPMV(Hourly)",'Eplus results'!$1:$1048576,ROW(),FALSE)</f>
        <v>0</v>
      </c>
      <c r="AD1306" s="580">
        <f t="shared" si="136"/>
        <v>5</v>
      </c>
      <c r="AE1306" s="580">
        <f t="shared" si="137"/>
        <v>2.5</v>
      </c>
      <c r="AF1306" s="580">
        <f t="shared" si="138"/>
        <v>2.5</v>
      </c>
      <c r="AG1306" s="580">
        <f t="shared" si="139"/>
        <v>0</v>
      </c>
      <c r="AH1306" s="580">
        <f t="shared" si="140"/>
        <v>0</v>
      </c>
    </row>
    <row r="1307" spans="28:34">
      <c r="AB1307" s="580">
        <f>HLOOKUP("*"&amp;'Output annual'!$AC$2&amp;'Output annual'!$AD$2&amp;"*Zone People Number Of Occupants [](Hourly)",'Eplus results'!$1:$1048576,ROW(),FALSE)</f>
        <v>0</v>
      </c>
      <c r="AC1307" s="580">
        <f>HLOOKUP("*"&amp;'Output annual'!$AC$2&amp;'Output annual'!$AD$2&amp;"*FangerPMV(Hourly)",'Eplus results'!$1:$1048576,ROW(),FALSE)</f>
        <v>0</v>
      </c>
      <c r="AD1307" s="580">
        <f t="shared" si="136"/>
        <v>5</v>
      </c>
      <c r="AE1307" s="580">
        <f t="shared" si="137"/>
        <v>2.5</v>
      </c>
      <c r="AF1307" s="580">
        <f t="shared" si="138"/>
        <v>2.5</v>
      </c>
      <c r="AG1307" s="580">
        <f t="shared" si="139"/>
        <v>0</v>
      </c>
      <c r="AH1307" s="580">
        <f t="shared" si="140"/>
        <v>0</v>
      </c>
    </row>
    <row r="1308" spans="28:34">
      <c r="AB1308" s="580">
        <f>HLOOKUP("*"&amp;'Output annual'!$AC$2&amp;'Output annual'!$AD$2&amp;"*Zone People Number Of Occupants [](Hourly)",'Eplus results'!$1:$1048576,ROW(),FALSE)</f>
        <v>0</v>
      </c>
      <c r="AC1308" s="580">
        <f>HLOOKUP("*"&amp;'Output annual'!$AC$2&amp;'Output annual'!$AD$2&amp;"*FangerPMV(Hourly)",'Eplus results'!$1:$1048576,ROW(),FALSE)</f>
        <v>0</v>
      </c>
      <c r="AD1308" s="580">
        <f t="shared" si="136"/>
        <v>5</v>
      </c>
      <c r="AE1308" s="580">
        <f t="shared" si="137"/>
        <v>2.5</v>
      </c>
      <c r="AF1308" s="580">
        <f t="shared" si="138"/>
        <v>2.5</v>
      </c>
      <c r="AG1308" s="580">
        <f t="shared" si="139"/>
        <v>0</v>
      </c>
      <c r="AH1308" s="580">
        <f t="shared" si="140"/>
        <v>0</v>
      </c>
    </row>
    <row r="1309" spans="28:34">
      <c r="AB1309" s="580">
        <f>HLOOKUP("*"&amp;'Output annual'!$AC$2&amp;'Output annual'!$AD$2&amp;"*Zone People Number Of Occupants [](Hourly)",'Eplus results'!$1:$1048576,ROW(),FALSE)</f>
        <v>0</v>
      </c>
      <c r="AC1309" s="580">
        <f>HLOOKUP("*"&amp;'Output annual'!$AC$2&amp;'Output annual'!$AD$2&amp;"*FangerPMV(Hourly)",'Eplus results'!$1:$1048576,ROW(),FALSE)</f>
        <v>0</v>
      </c>
      <c r="AD1309" s="580">
        <f t="shared" si="136"/>
        <v>5</v>
      </c>
      <c r="AE1309" s="580">
        <f t="shared" si="137"/>
        <v>2.5</v>
      </c>
      <c r="AF1309" s="580">
        <f t="shared" si="138"/>
        <v>2.5</v>
      </c>
      <c r="AG1309" s="580">
        <f t="shared" si="139"/>
        <v>0</v>
      </c>
      <c r="AH1309" s="580">
        <f t="shared" si="140"/>
        <v>0</v>
      </c>
    </row>
    <row r="1310" spans="28:34">
      <c r="AB1310" s="580">
        <f>HLOOKUP("*"&amp;'Output annual'!$AC$2&amp;'Output annual'!$AD$2&amp;"*Zone People Number Of Occupants [](Hourly)",'Eplus results'!$1:$1048576,ROW(),FALSE)</f>
        <v>0</v>
      </c>
      <c r="AC1310" s="580">
        <f>HLOOKUP("*"&amp;'Output annual'!$AC$2&amp;'Output annual'!$AD$2&amp;"*FangerPMV(Hourly)",'Eplus results'!$1:$1048576,ROW(),FALSE)</f>
        <v>0</v>
      </c>
      <c r="AD1310" s="580">
        <f t="shared" si="136"/>
        <v>5</v>
      </c>
      <c r="AE1310" s="580">
        <f t="shared" si="137"/>
        <v>2.5</v>
      </c>
      <c r="AF1310" s="580">
        <f t="shared" si="138"/>
        <v>2.5</v>
      </c>
      <c r="AG1310" s="580">
        <f t="shared" si="139"/>
        <v>0</v>
      </c>
      <c r="AH1310" s="580">
        <f t="shared" si="140"/>
        <v>0</v>
      </c>
    </row>
    <row r="1311" spans="28:34">
      <c r="AB1311" s="580">
        <f>HLOOKUP("*"&amp;'Output annual'!$AC$2&amp;'Output annual'!$AD$2&amp;"*Zone People Number Of Occupants [](Hourly)",'Eplus results'!$1:$1048576,ROW(),FALSE)</f>
        <v>0</v>
      </c>
      <c r="AC1311" s="580">
        <f>HLOOKUP("*"&amp;'Output annual'!$AC$2&amp;'Output annual'!$AD$2&amp;"*FangerPMV(Hourly)",'Eplus results'!$1:$1048576,ROW(),FALSE)</f>
        <v>0</v>
      </c>
      <c r="AD1311" s="580">
        <f t="shared" si="136"/>
        <v>5</v>
      </c>
      <c r="AE1311" s="580">
        <f t="shared" si="137"/>
        <v>2.5</v>
      </c>
      <c r="AF1311" s="580">
        <f t="shared" si="138"/>
        <v>2.5</v>
      </c>
      <c r="AG1311" s="580">
        <f t="shared" si="139"/>
        <v>0</v>
      </c>
      <c r="AH1311" s="580">
        <f t="shared" si="140"/>
        <v>0</v>
      </c>
    </row>
    <row r="1312" spans="28:34">
      <c r="AB1312" s="580">
        <f>HLOOKUP("*"&amp;'Output annual'!$AC$2&amp;'Output annual'!$AD$2&amp;"*Zone People Number Of Occupants [](Hourly)",'Eplus results'!$1:$1048576,ROW(),FALSE)</f>
        <v>0</v>
      </c>
      <c r="AC1312" s="580">
        <f>HLOOKUP("*"&amp;'Output annual'!$AC$2&amp;'Output annual'!$AD$2&amp;"*FangerPMV(Hourly)",'Eplus results'!$1:$1048576,ROW(),FALSE)</f>
        <v>0</v>
      </c>
      <c r="AD1312" s="580">
        <f t="shared" si="136"/>
        <v>5</v>
      </c>
      <c r="AE1312" s="580">
        <f t="shared" si="137"/>
        <v>2.5</v>
      </c>
      <c r="AF1312" s="580">
        <f t="shared" si="138"/>
        <v>2.5</v>
      </c>
      <c r="AG1312" s="580">
        <f t="shared" si="139"/>
        <v>0</v>
      </c>
      <c r="AH1312" s="580">
        <f t="shared" si="140"/>
        <v>0</v>
      </c>
    </row>
    <row r="1313" spans="28:34">
      <c r="AB1313" s="580">
        <f>HLOOKUP("*"&amp;'Output annual'!$AC$2&amp;'Output annual'!$AD$2&amp;"*Zone People Number Of Occupants [](Hourly)",'Eplus results'!$1:$1048576,ROW(),FALSE)</f>
        <v>0</v>
      </c>
      <c r="AC1313" s="580">
        <f>HLOOKUP("*"&amp;'Output annual'!$AC$2&amp;'Output annual'!$AD$2&amp;"*FangerPMV(Hourly)",'Eplus results'!$1:$1048576,ROW(),FALSE)</f>
        <v>0</v>
      </c>
      <c r="AD1313" s="580">
        <f t="shared" si="136"/>
        <v>5</v>
      </c>
      <c r="AE1313" s="580">
        <f t="shared" si="137"/>
        <v>2.5</v>
      </c>
      <c r="AF1313" s="580">
        <f t="shared" si="138"/>
        <v>2.5</v>
      </c>
      <c r="AG1313" s="580">
        <f t="shared" si="139"/>
        <v>0</v>
      </c>
      <c r="AH1313" s="580">
        <f t="shared" si="140"/>
        <v>0</v>
      </c>
    </row>
    <row r="1314" spans="28:34">
      <c r="AB1314" s="580">
        <f>HLOOKUP("*"&amp;'Output annual'!$AC$2&amp;'Output annual'!$AD$2&amp;"*Zone People Number Of Occupants [](Hourly)",'Eplus results'!$1:$1048576,ROW(),FALSE)</f>
        <v>0</v>
      </c>
      <c r="AC1314" s="580">
        <f>HLOOKUP("*"&amp;'Output annual'!$AC$2&amp;'Output annual'!$AD$2&amp;"*FangerPMV(Hourly)",'Eplus results'!$1:$1048576,ROW(),FALSE)</f>
        <v>0</v>
      </c>
      <c r="AD1314" s="580">
        <f t="shared" si="136"/>
        <v>5</v>
      </c>
      <c r="AE1314" s="580">
        <f t="shared" si="137"/>
        <v>2.5</v>
      </c>
      <c r="AF1314" s="580">
        <f t="shared" si="138"/>
        <v>2.5</v>
      </c>
      <c r="AG1314" s="580">
        <f t="shared" si="139"/>
        <v>0</v>
      </c>
      <c r="AH1314" s="580">
        <f t="shared" si="140"/>
        <v>0</v>
      </c>
    </row>
    <row r="1315" spans="28:34">
      <c r="AB1315" s="580">
        <f>HLOOKUP("*"&amp;'Output annual'!$AC$2&amp;'Output annual'!$AD$2&amp;"*Zone People Number Of Occupants [](Hourly)",'Eplus results'!$1:$1048576,ROW(),FALSE)</f>
        <v>0</v>
      </c>
      <c r="AC1315" s="580">
        <f>HLOOKUP("*"&amp;'Output annual'!$AC$2&amp;'Output annual'!$AD$2&amp;"*FangerPMV(Hourly)",'Eplus results'!$1:$1048576,ROW(),FALSE)</f>
        <v>0</v>
      </c>
      <c r="AD1315" s="580">
        <f t="shared" si="136"/>
        <v>5</v>
      </c>
      <c r="AE1315" s="580">
        <f t="shared" si="137"/>
        <v>2.5</v>
      </c>
      <c r="AF1315" s="580">
        <f t="shared" si="138"/>
        <v>2.5</v>
      </c>
      <c r="AG1315" s="580">
        <f t="shared" si="139"/>
        <v>0</v>
      </c>
      <c r="AH1315" s="580">
        <f t="shared" si="140"/>
        <v>0</v>
      </c>
    </row>
    <row r="1316" spans="28:34">
      <c r="AB1316" s="580">
        <f>HLOOKUP("*"&amp;'Output annual'!$AC$2&amp;'Output annual'!$AD$2&amp;"*Zone People Number Of Occupants [](Hourly)",'Eplus results'!$1:$1048576,ROW(),FALSE)</f>
        <v>0</v>
      </c>
      <c r="AC1316" s="580">
        <f>HLOOKUP("*"&amp;'Output annual'!$AC$2&amp;'Output annual'!$AD$2&amp;"*FangerPMV(Hourly)",'Eplus results'!$1:$1048576,ROW(),FALSE)</f>
        <v>0</v>
      </c>
      <c r="AD1316" s="580">
        <f t="shared" si="136"/>
        <v>5</v>
      </c>
      <c r="AE1316" s="580">
        <f t="shared" si="137"/>
        <v>2.5</v>
      </c>
      <c r="AF1316" s="580">
        <f t="shared" si="138"/>
        <v>2.5</v>
      </c>
      <c r="AG1316" s="580">
        <f t="shared" si="139"/>
        <v>0</v>
      </c>
      <c r="AH1316" s="580">
        <f t="shared" si="140"/>
        <v>0</v>
      </c>
    </row>
    <row r="1317" spans="28:34">
      <c r="AB1317" s="580">
        <f>HLOOKUP("*"&amp;'Output annual'!$AC$2&amp;'Output annual'!$AD$2&amp;"*Zone People Number Of Occupants [](Hourly)",'Eplus results'!$1:$1048576,ROW(),FALSE)</f>
        <v>0</v>
      </c>
      <c r="AC1317" s="580">
        <f>HLOOKUP("*"&amp;'Output annual'!$AC$2&amp;'Output annual'!$AD$2&amp;"*FangerPMV(Hourly)",'Eplus results'!$1:$1048576,ROW(),FALSE)</f>
        <v>0</v>
      </c>
      <c r="AD1317" s="580">
        <f t="shared" si="136"/>
        <v>5</v>
      </c>
      <c r="AE1317" s="580">
        <f t="shared" si="137"/>
        <v>2.5</v>
      </c>
      <c r="AF1317" s="580">
        <f t="shared" si="138"/>
        <v>2.5</v>
      </c>
      <c r="AG1317" s="580">
        <f t="shared" si="139"/>
        <v>0</v>
      </c>
      <c r="AH1317" s="580">
        <f t="shared" si="140"/>
        <v>0</v>
      </c>
    </row>
    <row r="1318" spans="28:34">
      <c r="AB1318" s="580">
        <f>HLOOKUP("*"&amp;'Output annual'!$AC$2&amp;'Output annual'!$AD$2&amp;"*Zone People Number Of Occupants [](Hourly)",'Eplus results'!$1:$1048576,ROW(),FALSE)</f>
        <v>0</v>
      </c>
      <c r="AC1318" s="580">
        <f>HLOOKUP("*"&amp;'Output annual'!$AC$2&amp;'Output annual'!$AD$2&amp;"*FangerPMV(Hourly)",'Eplus results'!$1:$1048576,ROW(),FALSE)</f>
        <v>0</v>
      </c>
      <c r="AD1318" s="580">
        <f t="shared" si="136"/>
        <v>5</v>
      </c>
      <c r="AE1318" s="580">
        <f t="shared" si="137"/>
        <v>2.5</v>
      </c>
      <c r="AF1318" s="580">
        <f t="shared" si="138"/>
        <v>2.5</v>
      </c>
      <c r="AG1318" s="580">
        <f t="shared" si="139"/>
        <v>0</v>
      </c>
      <c r="AH1318" s="580">
        <f t="shared" si="140"/>
        <v>0</v>
      </c>
    </row>
    <row r="1319" spans="28:34">
      <c r="AB1319" s="580">
        <f>HLOOKUP("*"&amp;'Output annual'!$AC$2&amp;'Output annual'!$AD$2&amp;"*Zone People Number Of Occupants [](Hourly)",'Eplus results'!$1:$1048576,ROW(),FALSE)</f>
        <v>0</v>
      </c>
      <c r="AC1319" s="580">
        <f>HLOOKUP("*"&amp;'Output annual'!$AC$2&amp;'Output annual'!$AD$2&amp;"*FangerPMV(Hourly)",'Eplus results'!$1:$1048576,ROW(),FALSE)</f>
        <v>0</v>
      </c>
      <c r="AD1319" s="580">
        <f t="shared" si="136"/>
        <v>5</v>
      </c>
      <c r="AE1319" s="580">
        <f t="shared" si="137"/>
        <v>2.5</v>
      </c>
      <c r="AF1319" s="580">
        <f t="shared" si="138"/>
        <v>2.5</v>
      </c>
      <c r="AG1319" s="580">
        <f t="shared" si="139"/>
        <v>0</v>
      </c>
      <c r="AH1319" s="580">
        <f t="shared" si="140"/>
        <v>0</v>
      </c>
    </row>
    <row r="1320" spans="28:34">
      <c r="AB1320" s="580">
        <f>HLOOKUP("*"&amp;'Output annual'!$AC$2&amp;'Output annual'!$AD$2&amp;"*Zone People Number Of Occupants [](Hourly)",'Eplus results'!$1:$1048576,ROW(),FALSE)</f>
        <v>0</v>
      </c>
      <c r="AC1320" s="580">
        <f>HLOOKUP("*"&amp;'Output annual'!$AC$2&amp;'Output annual'!$AD$2&amp;"*FangerPMV(Hourly)",'Eplus results'!$1:$1048576,ROW(),FALSE)</f>
        <v>0</v>
      </c>
      <c r="AD1320" s="580">
        <f t="shared" si="136"/>
        <v>5</v>
      </c>
      <c r="AE1320" s="580">
        <f t="shared" si="137"/>
        <v>2.5</v>
      </c>
      <c r="AF1320" s="580">
        <f t="shared" si="138"/>
        <v>2.5</v>
      </c>
      <c r="AG1320" s="580">
        <f t="shared" si="139"/>
        <v>0</v>
      </c>
      <c r="AH1320" s="580">
        <f t="shared" si="140"/>
        <v>0</v>
      </c>
    </row>
    <row r="1321" spans="28:34">
      <c r="AB1321" s="580">
        <f>HLOOKUP("*"&amp;'Output annual'!$AC$2&amp;'Output annual'!$AD$2&amp;"*Zone People Number Of Occupants [](Hourly)",'Eplus results'!$1:$1048576,ROW(),FALSE)</f>
        <v>0</v>
      </c>
      <c r="AC1321" s="580">
        <f>HLOOKUP("*"&amp;'Output annual'!$AC$2&amp;'Output annual'!$AD$2&amp;"*FangerPMV(Hourly)",'Eplus results'!$1:$1048576,ROW(),FALSE)</f>
        <v>0</v>
      </c>
      <c r="AD1321" s="580">
        <f t="shared" si="136"/>
        <v>5</v>
      </c>
      <c r="AE1321" s="580">
        <f t="shared" si="137"/>
        <v>2.5</v>
      </c>
      <c r="AF1321" s="580">
        <f t="shared" si="138"/>
        <v>2.5</v>
      </c>
      <c r="AG1321" s="580">
        <f t="shared" si="139"/>
        <v>0</v>
      </c>
      <c r="AH1321" s="580">
        <f t="shared" si="140"/>
        <v>0</v>
      </c>
    </row>
    <row r="1322" spans="28:34">
      <c r="AB1322" s="580">
        <f>HLOOKUP("*"&amp;'Output annual'!$AC$2&amp;'Output annual'!$AD$2&amp;"*Zone People Number Of Occupants [](Hourly)",'Eplus results'!$1:$1048576,ROW(),FALSE)</f>
        <v>0</v>
      </c>
      <c r="AC1322" s="580">
        <f>HLOOKUP("*"&amp;'Output annual'!$AC$2&amp;'Output annual'!$AD$2&amp;"*FangerPMV(Hourly)",'Eplus results'!$1:$1048576,ROW(),FALSE)</f>
        <v>0</v>
      </c>
      <c r="AD1322" s="580">
        <f t="shared" si="136"/>
        <v>5</v>
      </c>
      <c r="AE1322" s="580">
        <f t="shared" si="137"/>
        <v>2.5</v>
      </c>
      <c r="AF1322" s="580">
        <f t="shared" si="138"/>
        <v>2.5</v>
      </c>
      <c r="AG1322" s="580">
        <f t="shared" si="139"/>
        <v>0</v>
      </c>
      <c r="AH1322" s="580">
        <f t="shared" si="140"/>
        <v>0</v>
      </c>
    </row>
    <row r="1323" spans="28:34">
      <c r="AB1323" s="580">
        <f>HLOOKUP("*"&amp;'Output annual'!$AC$2&amp;'Output annual'!$AD$2&amp;"*Zone People Number Of Occupants [](Hourly)",'Eplus results'!$1:$1048576,ROW(),FALSE)</f>
        <v>0</v>
      </c>
      <c r="AC1323" s="580">
        <f>HLOOKUP("*"&amp;'Output annual'!$AC$2&amp;'Output annual'!$AD$2&amp;"*FangerPMV(Hourly)",'Eplus results'!$1:$1048576,ROW(),FALSE)</f>
        <v>0</v>
      </c>
      <c r="AD1323" s="580">
        <f t="shared" si="136"/>
        <v>5</v>
      </c>
      <c r="AE1323" s="580">
        <f t="shared" si="137"/>
        <v>2.5</v>
      </c>
      <c r="AF1323" s="580">
        <f t="shared" si="138"/>
        <v>2.5</v>
      </c>
      <c r="AG1323" s="580">
        <f t="shared" si="139"/>
        <v>0</v>
      </c>
      <c r="AH1323" s="580">
        <f t="shared" si="140"/>
        <v>0</v>
      </c>
    </row>
    <row r="1324" spans="28:34">
      <c r="AB1324" s="580">
        <f>HLOOKUP("*"&amp;'Output annual'!$AC$2&amp;'Output annual'!$AD$2&amp;"*Zone People Number Of Occupants [](Hourly)",'Eplus results'!$1:$1048576,ROW(),FALSE)</f>
        <v>0</v>
      </c>
      <c r="AC1324" s="580">
        <f>HLOOKUP("*"&amp;'Output annual'!$AC$2&amp;'Output annual'!$AD$2&amp;"*FangerPMV(Hourly)",'Eplus results'!$1:$1048576,ROW(),FALSE)</f>
        <v>0</v>
      </c>
      <c r="AD1324" s="580">
        <f t="shared" si="136"/>
        <v>5</v>
      </c>
      <c r="AE1324" s="580">
        <f t="shared" si="137"/>
        <v>2.5</v>
      </c>
      <c r="AF1324" s="580">
        <f t="shared" si="138"/>
        <v>2.5</v>
      </c>
      <c r="AG1324" s="580">
        <f t="shared" si="139"/>
        <v>0</v>
      </c>
      <c r="AH1324" s="580">
        <f t="shared" si="140"/>
        <v>0</v>
      </c>
    </row>
    <row r="1325" spans="28:34">
      <c r="AB1325" s="580">
        <f>HLOOKUP("*"&amp;'Output annual'!$AC$2&amp;'Output annual'!$AD$2&amp;"*Zone People Number Of Occupants [](Hourly)",'Eplus results'!$1:$1048576,ROW(),FALSE)</f>
        <v>0</v>
      </c>
      <c r="AC1325" s="580">
        <f>HLOOKUP("*"&amp;'Output annual'!$AC$2&amp;'Output annual'!$AD$2&amp;"*FangerPMV(Hourly)",'Eplus results'!$1:$1048576,ROW(),FALSE)</f>
        <v>0</v>
      </c>
      <c r="AD1325" s="580">
        <f t="shared" si="136"/>
        <v>5</v>
      </c>
      <c r="AE1325" s="580">
        <f t="shared" si="137"/>
        <v>2.5</v>
      </c>
      <c r="AF1325" s="580">
        <f t="shared" si="138"/>
        <v>2.5</v>
      </c>
      <c r="AG1325" s="580">
        <f t="shared" si="139"/>
        <v>0</v>
      </c>
      <c r="AH1325" s="580">
        <f t="shared" si="140"/>
        <v>0</v>
      </c>
    </row>
    <row r="1326" spans="28:34">
      <c r="AB1326" s="580">
        <f>HLOOKUP("*"&amp;'Output annual'!$AC$2&amp;'Output annual'!$AD$2&amp;"*Zone People Number Of Occupants [](Hourly)",'Eplus results'!$1:$1048576,ROW(),FALSE)</f>
        <v>0</v>
      </c>
      <c r="AC1326" s="580">
        <f>HLOOKUP("*"&amp;'Output annual'!$AC$2&amp;'Output annual'!$AD$2&amp;"*FangerPMV(Hourly)",'Eplus results'!$1:$1048576,ROW(),FALSE)</f>
        <v>0</v>
      </c>
      <c r="AD1326" s="580">
        <f t="shared" si="136"/>
        <v>5</v>
      </c>
      <c r="AE1326" s="580">
        <f t="shared" si="137"/>
        <v>2.5</v>
      </c>
      <c r="AF1326" s="580">
        <f t="shared" si="138"/>
        <v>2.5</v>
      </c>
      <c r="AG1326" s="580">
        <f t="shared" si="139"/>
        <v>0</v>
      </c>
      <c r="AH1326" s="580">
        <f t="shared" si="140"/>
        <v>0</v>
      </c>
    </row>
    <row r="1327" spans="28:34">
      <c r="AB1327" s="580">
        <f>HLOOKUP("*"&amp;'Output annual'!$AC$2&amp;'Output annual'!$AD$2&amp;"*Zone People Number Of Occupants [](Hourly)",'Eplus results'!$1:$1048576,ROW(),FALSE)</f>
        <v>0</v>
      </c>
      <c r="AC1327" s="580">
        <f>HLOOKUP("*"&amp;'Output annual'!$AC$2&amp;'Output annual'!$AD$2&amp;"*FangerPMV(Hourly)",'Eplus results'!$1:$1048576,ROW(),FALSE)</f>
        <v>0</v>
      </c>
      <c r="AD1327" s="580">
        <f t="shared" si="136"/>
        <v>5</v>
      </c>
      <c r="AE1327" s="580">
        <f t="shared" si="137"/>
        <v>2.5</v>
      </c>
      <c r="AF1327" s="580">
        <f t="shared" si="138"/>
        <v>2.5</v>
      </c>
      <c r="AG1327" s="580">
        <f t="shared" si="139"/>
        <v>0</v>
      </c>
      <c r="AH1327" s="580">
        <f t="shared" si="140"/>
        <v>0</v>
      </c>
    </row>
    <row r="1328" spans="28:34">
      <c r="AB1328" s="580">
        <f>HLOOKUP("*"&amp;'Output annual'!$AC$2&amp;'Output annual'!$AD$2&amp;"*Zone People Number Of Occupants [](Hourly)",'Eplus results'!$1:$1048576,ROW(),FALSE)</f>
        <v>0</v>
      </c>
      <c r="AC1328" s="580">
        <f>HLOOKUP("*"&amp;'Output annual'!$AC$2&amp;'Output annual'!$AD$2&amp;"*FangerPMV(Hourly)",'Eplus results'!$1:$1048576,ROW(),FALSE)</f>
        <v>0</v>
      </c>
      <c r="AD1328" s="580">
        <f t="shared" si="136"/>
        <v>5</v>
      </c>
      <c r="AE1328" s="580">
        <f t="shared" si="137"/>
        <v>2.5</v>
      </c>
      <c r="AF1328" s="580">
        <f t="shared" si="138"/>
        <v>2.5</v>
      </c>
      <c r="AG1328" s="580">
        <f t="shared" si="139"/>
        <v>0</v>
      </c>
      <c r="AH1328" s="580">
        <f t="shared" si="140"/>
        <v>0</v>
      </c>
    </row>
    <row r="1329" spans="28:34">
      <c r="AB1329" s="580">
        <f>HLOOKUP("*"&amp;'Output annual'!$AC$2&amp;'Output annual'!$AD$2&amp;"*Zone People Number Of Occupants [](Hourly)",'Eplus results'!$1:$1048576,ROW(),FALSE)</f>
        <v>0</v>
      </c>
      <c r="AC1329" s="580">
        <f>HLOOKUP("*"&amp;'Output annual'!$AC$2&amp;'Output annual'!$AD$2&amp;"*FangerPMV(Hourly)",'Eplus results'!$1:$1048576,ROW(),FALSE)</f>
        <v>0</v>
      </c>
      <c r="AD1329" s="580">
        <f t="shared" si="136"/>
        <v>5</v>
      </c>
      <c r="AE1329" s="580">
        <f t="shared" si="137"/>
        <v>2.5</v>
      </c>
      <c r="AF1329" s="580">
        <f t="shared" si="138"/>
        <v>2.5</v>
      </c>
      <c r="AG1329" s="580">
        <f t="shared" si="139"/>
        <v>0</v>
      </c>
      <c r="AH1329" s="580">
        <f t="shared" si="140"/>
        <v>0</v>
      </c>
    </row>
    <row r="1330" spans="28:34">
      <c r="AB1330" s="580">
        <f>HLOOKUP("*"&amp;'Output annual'!$AC$2&amp;'Output annual'!$AD$2&amp;"*Zone People Number Of Occupants [](Hourly)",'Eplus results'!$1:$1048576,ROW(),FALSE)</f>
        <v>0</v>
      </c>
      <c r="AC1330" s="580">
        <f>HLOOKUP("*"&amp;'Output annual'!$AC$2&amp;'Output annual'!$AD$2&amp;"*FangerPMV(Hourly)",'Eplus results'!$1:$1048576,ROW(),FALSE)</f>
        <v>0</v>
      </c>
      <c r="AD1330" s="580">
        <f t="shared" si="136"/>
        <v>5</v>
      </c>
      <c r="AE1330" s="580">
        <f t="shared" si="137"/>
        <v>2.5</v>
      </c>
      <c r="AF1330" s="580">
        <f t="shared" si="138"/>
        <v>2.5</v>
      </c>
      <c r="AG1330" s="580">
        <f t="shared" si="139"/>
        <v>0</v>
      </c>
      <c r="AH1330" s="580">
        <f t="shared" si="140"/>
        <v>0</v>
      </c>
    </row>
    <row r="1331" spans="28:34">
      <c r="AB1331" s="580">
        <f>HLOOKUP("*"&amp;'Output annual'!$AC$2&amp;'Output annual'!$AD$2&amp;"*Zone People Number Of Occupants [](Hourly)",'Eplus results'!$1:$1048576,ROW(),FALSE)</f>
        <v>0</v>
      </c>
      <c r="AC1331" s="580">
        <f>HLOOKUP("*"&amp;'Output annual'!$AC$2&amp;'Output annual'!$AD$2&amp;"*FangerPMV(Hourly)",'Eplus results'!$1:$1048576,ROW(),FALSE)</f>
        <v>0</v>
      </c>
      <c r="AD1331" s="580">
        <f t="shared" si="136"/>
        <v>5</v>
      </c>
      <c r="AE1331" s="580">
        <f t="shared" si="137"/>
        <v>2.5</v>
      </c>
      <c r="AF1331" s="580">
        <f t="shared" si="138"/>
        <v>2.5</v>
      </c>
      <c r="AG1331" s="580">
        <f t="shared" si="139"/>
        <v>0</v>
      </c>
      <c r="AH1331" s="580">
        <f t="shared" si="140"/>
        <v>0</v>
      </c>
    </row>
    <row r="1332" spans="28:34">
      <c r="AB1332" s="580">
        <f>HLOOKUP("*"&amp;'Output annual'!$AC$2&amp;'Output annual'!$AD$2&amp;"*Zone People Number Of Occupants [](Hourly)",'Eplus results'!$1:$1048576,ROW(),FALSE)</f>
        <v>0</v>
      </c>
      <c r="AC1332" s="580">
        <f>HLOOKUP("*"&amp;'Output annual'!$AC$2&amp;'Output annual'!$AD$2&amp;"*FangerPMV(Hourly)",'Eplus results'!$1:$1048576,ROW(),FALSE)</f>
        <v>0</v>
      </c>
      <c r="AD1332" s="580">
        <f t="shared" si="136"/>
        <v>5</v>
      </c>
      <c r="AE1332" s="580">
        <f t="shared" si="137"/>
        <v>2.5</v>
      </c>
      <c r="AF1332" s="580">
        <f t="shared" si="138"/>
        <v>2.5</v>
      </c>
      <c r="AG1332" s="580">
        <f t="shared" si="139"/>
        <v>0</v>
      </c>
      <c r="AH1332" s="580">
        <f t="shared" si="140"/>
        <v>0</v>
      </c>
    </row>
    <row r="1333" spans="28:34">
      <c r="AB1333" s="580">
        <f>HLOOKUP("*"&amp;'Output annual'!$AC$2&amp;'Output annual'!$AD$2&amp;"*Zone People Number Of Occupants [](Hourly)",'Eplus results'!$1:$1048576,ROW(),FALSE)</f>
        <v>0</v>
      </c>
      <c r="AC1333" s="580">
        <f>HLOOKUP("*"&amp;'Output annual'!$AC$2&amp;'Output annual'!$AD$2&amp;"*FangerPMV(Hourly)",'Eplus results'!$1:$1048576,ROW(),FALSE)</f>
        <v>0</v>
      </c>
      <c r="AD1333" s="580">
        <f t="shared" si="136"/>
        <v>5</v>
      </c>
      <c r="AE1333" s="580">
        <f t="shared" si="137"/>
        <v>2.5</v>
      </c>
      <c r="AF1333" s="580">
        <f t="shared" si="138"/>
        <v>2.5</v>
      </c>
      <c r="AG1333" s="580">
        <f t="shared" si="139"/>
        <v>0</v>
      </c>
      <c r="AH1333" s="580">
        <f t="shared" si="140"/>
        <v>0</v>
      </c>
    </row>
    <row r="1334" spans="28:34">
      <c r="AB1334" s="580">
        <f>HLOOKUP("*"&amp;'Output annual'!$AC$2&amp;'Output annual'!$AD$2&amp;"*Zone People Number Of Occupants [](Hourly)",'Eplus results'!$1:$1048576,ROW(),FALSE)</f>
        <v>0</v>
      </c>
      <c r="AC1334" s="580">
        <f>HLOOKUP("*"&amp;'Output annual'!$AC$2&amp;'Output annual'!$AD$2&amp;"*FangerPMV(Hourly)",'Eplus results'!$1:$1048576,ROW(),FALSE)</f>
        <v>0</v>
      </c>
      <c r="AD1334" s="580">
        <f t="shared" si="136"/>
        <v>5</v>
      </c>
      <c r="AE1334" s="580">
        <f t="shared" si="137"/>
        <v>2.5</v>
      </c>
      <c r="AF1334" s="580">
        <f t="shared" si="138"/>
        <v>2.5</v>
      </c>
      <c r="AG1334" s="580">
        <f t="shared" si="139"/>
        <v>0</v>
      </c>
      <c r="AH1334" s="580">
        <f t="shared" si="140"/>
        <v>0</v>
      </c>
    </row>
    <row r="1335" spans="28:34">
      <c r="AB1335" s="580">
        <f>HLOOKUP("*"&amp;'Output annual'!$AC$2&amp;'Output annual'!$AD$2&amp;"*Zone People Number Of Occupants [](Hourly)",'Eplus results'!$1:$1048576,ROW(),FALSE)</f>
        <v>0</v>
      </c>
      <c r="AC1335" s="580">
        <f>HLOOKUP("*"&amp;'Output annual'!$AC$2&amp;'Output annual'!$AD$2&amp;"*FangerPMV(Hourly)",'Eplus results'!$1:$1048576,ROW(),FALSE)</f>
        <v>0</v>
      </c>
      <c r="AD1335" s="580">
        <f t="shared" si="136"/>
        <v>5</v>
      </c>
      <c r="AE1335" s="580">
        <f t="shared" si="137"/>
        <v>2.5</v>
      </c>
      <c r="AF1335" s="580">
        <f t="shared" si="138"/>
        <v>2.5</v>
      </c>
      <c r="AG1335" s="580">
        <f t="shared" si="139"/>
        <v>0</v>
      </c>
      <c r="AH1335" s="580">
        <f t="shared" si="140"/>
        <v>0</v>
      </c>
    </row>
    <row r="1336" spans="28:34">
      <c r="AB1336" s="580">
        <f>HLOOKUP("*"&amp;'Output annual'!$AC$2&amp;'Output annual'!$AD$2&amp;"*Zone People Number Of Occupants [](Hourly)",'Eplus results'!$1:$1048576,ROW(),FALSE)</f>
        <v>0</v>
      </c>
      <c r="AC1336" s="580">
        <f>HLOOKUP("*"&amp;'Output annual'!$AC$2&amp;'Output annual'!$AD$2&amp;"*FangerPMV(Hourly)",'Eplus results'!$1:$1048576,ROW(),FALSE)</f>
        <v>0</v>
      </c>
      <c r="AD1336" s="580">
        <f t="shared" si="136"/>
        <v>5</v>
      </c>
      <c r="AE1336" s="580">
        <f t="shared" si="137"/>
        <v>2.5</v>
      </c>
      <c r="AF1336" s="580">
        <f t="shared" si="138"/>
        <v>2.5</v>
      </c>
      <c r="AG1336" s="580">
        <f t="shared" si="139"/>
        <v>0</v>
      </c>
      <c r="AH1336" s="580">
        <f t="shared" si="140"/>
        <v>0</v>
      </c>
    </row>
    <row r="1337" spans="28:34">
      <c r="AB1337" s="580">
        <f>HLOOKUP("*"&amp;'Output annual'!$AC$2&amp;'Output annual'!$AD$2&amp;"*Zone People Number Of Occupants [](Hourly)",'Eplus results'!$1:$1048576,ROW(),FALSE)</f>
        <v>0</v>
      </c>
      <c r="AC1337" s="580">
        <f>HLOOKUP("*"&amp;'Output annual'!$AC$2&amp;'Output annual'!$AD$2&amp;"*FangerPMV(Hourly)",'Eplus results'!$1:$1048576,ROW(),FALSE)</f>
        <v>0</v>
      </c>
      <c r="AD1337" s="580">
        <f t="shared" si="136"/>
        <v>5</v>
      </c>
      <c r="AE1337" s="580">
        <f t="shared" si="137"/>
        <v>2.5</v>
      </c>
      <c r="AF1337" s="580">
        <f t="shared" si="138"/>
        <v>2.5</v>
      </c>
      <c r="AG1337" s="580">
        <f t="shared" si="139"/>
        <v>0</v>
      </c>
      <c r="AH1337" s="580">
        <f t="shared" si="140"/>
        <v>0</v>
      </c>
    </row>
    <row r="1338" spans="28:34">
      <c r="AB1338" s="580">
        <f>HLOOKUP("*"&amp;'Output annual'!$AC$2&amp;'Output annual'!$AD$2&amp;"*Zone People Number Of Occupants [](Hourly)",'Eplus results'!$1:$1048576,ROW(),FALSE)</f>
        <v>0</v>
      </c>
      <c r="AC1338" s="580">
        <f>HLOOKUP("*"&amp;'Output annual'!$AC$2&amp;'Output annual'!$AD$2&amp;"*FangerPMV(Hourly)",'Eplus results'!$1:$1048576,ROW(),FALSE)</f>
        <v>0</v>
      </c>
      <c r="AD1338" s="580">
        <f t="shared" si="136"/>
        <v>5</v>
      </c>
      <c r="AE1338" s="580">
        <f t="shared" si="137"/>
        <v>2.5</v>
      </c>
      <c r="AF1338" s="580">
        <f t="shared" si="138"/>
        <v>2.5</v>
      </c>
      <c r="AG1338" s="580">
        <f t="shared" si="139"/>
        <v>0</v>
      </c>
      <c r="AH1338" s="580">
        <f t="shared" si="140"/>
        <v>0</v>
      </c>
    </row>
    <row r="1339" spans="28:34">
      <c r="AB1339" s="580">
        <f>HLOOKUP("*"&amp;'Output annual'!$AC$2&amp;'Output annual'!$AD$2&amp;"*Zone People Number Of Occupants [](Hourly)",'Eplus results'!$1:$1048576,ROW(),FALSE)</f>
        <v>0</v>
      </c>
      <c r="AC1339" s="580">
        <f>HLOOKUP("*"&amp;'Output annual'!$AC$2&amp;'Output annual'!$AD$2&amp;"*FangerPMV(Hourly)",'Eplus results'!$1:$1048576,ROW(),FALSE)</f>
        <v>0</v>
      </c>
      <c r="AD1339" s="580">
        <f t="shared" si="136"/>
        <v>5</v>
      </c>
      <c r="AE1339" s="580">
        <f t="shared" si="137"/>
        <v>2.5</v>
      </c>
      <c r="AF1339" s="580">
        <f t="shared" si="138"/>
        <v>2.5</v>
      </c>
      <c r="AG1339" s="580">
        <f t="shared" si="139"/>
        <v>0</v>
      </c>
      <c r="AH1339" s="580">
        <f t="shared" si="140"/>
        <v>0</v>
      </c>
    </row>
    <row r="1340" spans="28:34">
      <c r="AB1340" s="580">
        <f>HLOOKUP("*"&amp;'Output annual'!$AC$2&amp;'Output annual'!$AD$2&amp;"*Zone People Number Of Occupants [](Hourly)",'Eplus results'!$1:$1048576,ROW(),FALSE)</f>
        <v>0</v>
      </c>
      <c r="AC1340" s="580">
        <f>HLOOKUP("*"&amp;'Output annual'!$AC$2&amp;'Output annual'!$AD$2&amp;"*FangerPMV(Hourly)",'Eplus results'!$1:$1048576,ROW(),FALSE)</f>
        <v>0</v>
      </c>
      <c r="AD1340" s="580">
        <f t="shared" si="136"/>
        <v>5</v>
      </c>
      <c r="AE1340" s="580">
        <f t="shared" si="137"/>
        <v>2.5</v>
      </c>
      <c r="AF1340" s="580">
        <f t="shared" si="138"/>
        <v>2.5</v>
      </c>
      <c r="AG1340" s="580">
        <f t="shared" si="139"/>
        <v>0</v>
      </c>
      <c r="AH1340" s="580">
        <f t="shared" si="140"/>
        <v>0</v>
      </c>
    </row>
    <row r="1341" spans="28:34">
      <c r="AB1341" s="580">
        <f>HLOOKUP("*"&amp;'Output annual'!$AC$2&amp;'Output annual'!$AD$2&amp;"*Zone People Number Of Occupants [](Hourly)",'Eplus results'!$1:$1048576,ROW(),FALSE)</f>
        <v>0</v>
      </c>
      <c r="AC1341" s="580">
        <f>HLOOKUP("*"&amp;'Output annual'!$AC$2&amp;'Output annual'!$AD$2&amp;"*FangerPMV(Hourly)",'Eplus results'!$1:$1048576,ROW(),FALSE)</f>
        <v>0</v>
      </c>
      <c r="AD1341" s="580">
        <f t="shared" si="136"/>
        <v>5</v>
      </c>
      <c r="AE1341" s="580">
        <f t="shared" si="137"/>
        <v>2.5</v>
      </c>
      <c r="AF1341" s="580">
        <f t="shared" si="138"/>
        <v>2.5</v>
      </c>
      <c r="AG1341" s="580">
        <f t="shared" si="139"/>
        <v>0</v>
      </c>
      <c r="AH1341" s="580">
        <f t="shared" si="140"/>
        <v>0</v>
      </c>
    </row>
    <row r="1342" spans="28:34">
      <c r="AB1342" s="580">
        <f>HLOOKUP("*"&amp;'Output annual'!$AC$2&amp;'Output annual'!$AD$2&amp;"*Zone People Number Of Occupants [](Hourly)",'Eplus results'!$1:$1048576,ROW(),FALSE)</f>
        <v>0</v>
      </c>
      <c r="AC1342" s="580">
        <f>HLOOKUP("*"&amp;'Output annual'!$AC$2&amp;'Output annual'!$AD$2&amp;"*FangerPMV(Hourly)",'Eplus results'!$1:$1048576,ROW(),FALSE)</f>
        <v>0</v>
      </c>
      <c r="AD1342" s="580">
        <f t="shared" si="136"/>
        <v>5</v>
      </c>
      <c r="AE1342" s="580">
        <f t="shared" si="137"/>
        <v>2.5</v>
      </c>
      <c r="AF1342" s="580">
        <f t="shared" si="138"/>
        <v>2.5</v>
      </c>
      <c r="AG1342" s="580">
        <f t="shared" si="139"/>
        <v>0</v>
      </c>
      <c r="AH1342" s="580">
        <f t="shared" si="140"/>
        <v>0</v>
      </c>
    </row>
    <row r="1343" spans="28:34">
      <c r="AB1343" s="580">
        <f>HLOOKUP("*"&amp;'Output annual'!$AC$2&amp;'Output annual'!$AD$2&amp;"*Zone People Number Of Occupants [](Hourly)",'Eplus results'!$1:$1048576,ROW(),FALSE)</f>
        <v>0</v>
      </c>
      <c r="AC1343" s="580">
        <f>HLOOKUP("*"&amp;'Output annual'!$AC$2&amp;'Output annual'!$AD$2&amp;"*FangerPMV(Hourly)",'Eplus results'!$1:$1048576,ROW(),FALSE)</f>
        <v>0</v>
      </c>
      <c r="AD1343" s="580">
        <f t="shared" si="136"/>
        <v>5</v>
      </c>
      <c r="AE1343" s="580">
        <f t="shared" si="137"/>
        <v>2.5</v>
      </c>
      <c r="AF1343" s="580">
        <f t="shared" si="138"/>
        <v>2.5</v>
      </c>
      <c r="AG1343" s="580">
        <f t="shared" si="139"/>
        <v>0</v>
      </c>
      <c r="AH1343" s="580">
        <f t="shared" si="140"/>
        <v>0</v>
      </c>
    </row>
    <row r="1344" spans="28:34">
      <c r="AB1344" s="580">
        <f>HLOOKUP("*"&amp;'Output annual'!$AC$2&amp;'Output annual'!$AD$2&amp;"*Zone People Number Of Occupants [](Hourly)",'Eplus results'!$1:$1048576,ROW(),FALSE)</f>
        <v>0</v>
      </c>
      <c r="AC1344" s="580">
        <f>HLOOKUP("*"&amp;'Output annual'!$AC$2&amp;'Output annual'!$AD$2&amp;"*FangerPMV(Hourly)",'Eplus results'!$1:$1048576,ROW(),FALSE)</f>
        <v>0</v>
      </c>
      <c r="AD1344" s="580">
        <f t="shared" si="136"/>
        <v>5</v>
      </c>
      <c r="AE1344" s="580">
        <f t="shared" si="137"/>
        <v>2.5</v>
      </c>
      <c r="AF1344" s="580">
        <f t="shared" si="138"/>
        <v>2.5</v>
      </c>
      <c r="AG1344" s="580">
        <f t="shared" si="139"/>
        <v>0</v>
      </c>
      <c r="AH1344" s="580">
        <f t="shared" si="140"/>
        <v>0</v>
      </c>
    </row>
    <row r="1345" spans="28:34">
      <c r="AB1345" s="580">
        <f>HLOOKUP("*"&amp;'Output annual'!$AC$2&amp;'Output annual'!$AD$2&amp;"*Zone People Number Of Occupants [](Hourly)",'Eplus results'!$1:$1048576,ROW(),FALSE)</f>
        <v>0</v>
      </c>
      <c r="AC1345" s="580">
        <f>HLOOKUP("*"&amp;'Output annual'!$AC$2&amp;'Output annual'!$AD$2&amp;"*FangerPMV(Hourly)",'Eplus results'!$1:$1048576,ROW(),FALSE)</f>
        <v>0</v>
      </c>
      <c r="AD1345" s="580">
        <f t="shared" si="136"/>
        <v>5</v>
      </c>
      <c r="AE1345" s="580">
        <f t="shared" si="137"/>
        <v>2.5</v>
      </c>
      <c r="AF1345" s="580">
        <f t="shared" si="138"/>
        <v>2.5</v>
      </c>
      <c r="AG1345" s="580">
        <f t="shared" si="139"/>
        <v>0</v>
      </c>
      <c r="AH1345" s="580">
        <f t="shared" si="140"/>
        <v>0</v>
      </c>
    </row>
    <row r="1346" spans="28:34">
      <c r="AB1346" s="580">
        <f>HLOOKUP("*"&amp;'Output annual'!$AC$2&amp;'Output annual'!$AD$2&amp;"*Zone People Number Of Occupants [](Hourly)",'Eplus results'!$1:$1048576,ROW(),FALSE)</f>
        <v>0</v>
      </c>
      <c r="AC1346" s="580">
        <f>HLOOKUP("*"&amp;'Output annual'!$AC$2&amp;'Output annual'!$AD$2&amp;"*FangerPMV(Hourly)",'Eplus results'!$1:$1048576,ROW(),FALSE)</f>
        <v>0</v>
      </c>
      <c r="AD1346" s="580">
        <f t="shared" si="136"/>
        <v>5</v>
      </c>
      <c r="AE1346" s="580">
        <f t="shared" si="137"/>
        <v>2.5</v>
      </c>
      <c r="AF1346" s="580">
        <f t="shared" si="138"/>
        <v>2.5</v>
      </c>
      <c r="AG1346" s="580">
        <f t="shared" si="139"/>
        <v>0</v>
      </c>
      <c r="AH1346" s="580">
        <f t="shared" si="140"/>
        <v>0</v>
      </c>
    </row>
    <row r="1347" spans="28:34">
      <c r="AB1347" s="580">
        <f>HLOOKUP("*"&amp;'Output annual'!$AC$2&amp;'Output annual'!$AD$2&amp;"*Zone People Number Of Occupants [](Hourly)",'Eplus results'!$1:$1048576,ROW(),FALSE)</f>
        <v>0</v>
      </c>
      <c r="AC1347" s="580">
        <f>HLOOKUP("*"&amp;'Output annual'!$AC$2&amp;'Output annual'!$AD$2&amp;"*FangerPMV(Hourly)",'Eplus results'!$1:$1048576,ROW(),FALSE)</f>
        <v>0</v>
      </c>
      <c r="AD1347" s="580">
        <f t="shared" ref="AD1347:AD1410" si="141">100-95*EXP(-0.03353*AC1347^4-0.2179*AC1347^2)</f>
        <v>5</v>
      </c>
      <c r="AE1347" s="580">
        <f t="shared" ref="AE1347:AE1410" si="142">AD1347*(1/(1+EXP(-6.3*$AC1347)))</f>
        <v>2.5</v>
      </c>
      <c r="AF1347" s="580">
        <f t="shared" ref="AF1347:AF1410" si="143">(AD1347-AE1347)</f>
        <v>2.5</v>
      </c>
      <c r="AG1347" s="580">
        <f t="shared" ref="AG1347:AG1410" si="144">AE1347*AB1347</f>
        <v>0</v>
      </c>
      <c r="AH1347" s="580">
        <f t="shared" ref="AH1347:AH1410" si="145">AF1347*AB1347</f>
        <v>0</v>
      </c>
    </row>
    <row r="1348" spans="28:34">
      <c r="AB1348" s="580">
        <f>HLOOKUP("*"&amp;'Output annual'!$AC$2&amp;'Output annual'!$AD$2&amp;"*Zone People Number Of Occupants [](Hourly)",'Eplus results'!$1:$1048576,ROW(),FALSE)</f>
        <v>0</v>
      </c>
      <c r="AC1348" s="580">
        <f>HLOOKUP("*"&amp;'Output annual'!$AC$2&amp;'Output annual'!$AD$2&amp;"*FangerPMV(Hourly)",'Eplus results'!$1:$1048576,ROW(),FALSE)</f>
        <v>0</v>
      </c>
      <c r="AD1348" s="580">
        <f t="shared" si="141"/>
        <v>5</v>
      </c>
      <c r="AE1348" s="580">
        <f t="shared" si="142"/>
        <v>2.5</v>
      </c>
      <c r="AF1348" s="580">
        <f t="shared" si="143"/>
        <v>2.5</v>
      </c>
      <c r="AG1348" s="580">
        <f t="shared" si="144"/>
        <v>0</v>
      </c>
      <c r="AH1348" s="580">
        <f t="shared" si="145"/>
        <v>0</v>
      </c>
    </row>
    <row r="1349" spans="28:34">
      <c r="AB1349" s="580">
        <f>HLOOKUP("*"&amp;'Output annual'!$AC$2&amp;'Output annual'!$AD$2&amp;"*Zone People Number Of Occupants [](Hourly)",'Eplus results'!$1:$1048576,ROW(),FALSE)</f>
        <v>0</v>
      </c>
      <c r="AC1349" s="580">
        <f>HLOOKUP("*"&amp;'Output annual'!$AC$2&amp;'Output annual'!$AD$2&amp;"*FangerPMV(Hourly)",'Eplus results'!$1:$1048576,ROW(),FALSE)</f>
        <v>0</v>
      </c>
      <c r="AD1349" s="580">
        <f t="shared" si="141"/>
        <v>5</v>
      </c>
      <c r="AE1349" s="580">
        <f t="shared" si="142"/>
        <v>2.5</v>
      </c>
      <c r="AF1349" s="580">
        <f t="shared" si="143"/>
        <v>2.5</v>
      </c>
      <c r="AG1349" s="580">
        <f t="shared" si="144"/>
        <v>0</v>
      </c>
      <c r="AH1349" s="580">
        <f t="shared" si="145"/>
        <v>0</v>
      </c>
    </row>
    <row r="1350" spans="28:34">
      <c r="AB1350" s="580">
        <f>HLOOKUP("*"&amp;'Output annual'!$AC$2&amp;'Output annual'!$AD$2&amp;"*Zone People Number Of Occupants [](Hourly)",'Eplus results'!$1:$1048576,ROW(),FALSE)</f>
        <v>0</v>
      </c>
      <c r="AC1350" s="580">
        <f>HLOOKUP("*"&amp;'Output annual'!$AC$2&amp;'Output annual'!$AD$2&amp;"*FangerPMV(Hourly)",'Eplus results'!$1:$1048576,ROW(),FALSE)</f>
        <v>0</v>
      </c>
      <c r="AD1350" s="580">
        <f t="shared" si="141"/>
        <v>5</v>
      </c>
      <c r="AE1350" s="580">
        <f t="shared" si="142"/>
        <v>2.5</v>
      </c>
      <c r="AF1350" s="580">
        <f t="shared" si="143"/>
        <v>2.5</v>
      </c>
      <c r="AG1350" s="580">
        <f t="shared" si="144"/>
        <v>0</v>
      </c>
      <c r="AH1350" s="580">
        <f t="shared" si="145"/>
        <v>0</v>
      </c>
    </row>
    <row r="1351" spans="28:34">
      <c r="AB1351" s="580">
        <f>HLOOKUP("*"&amp;'Output annual'!$AC$2&amp;'Output annual'!$AD$2&amp;"*Zone People Number Of Occupants [](Hourly)",'Eplus results'!$1:$1048576,ROW(),FALSE)</f>
        <v>0</v>
      </c>
      <c r="AC1351" s="580">
        <f>HLOOKUP("*"&amp;'Output annual'!$AC$2&amp;'Output annual'!$AD$2&amp;"*FangerPMV(Hourly)",'Eplus results'!$1:$1048576,ROW(),FALSE)</f>
        <v>0</v>
      </c>
      <c r="AD1351" s="580">
        <f t="shared" si="141"/>
        <v>5</v>
      </c>
      <c r="AE1351" s="580">
        <f t="shared" si="142"/>
        <v>2.5</v>
      </c>
      <c r="AF1351" s="580">
        <f t="shared" si="143"/>
        <v>2.5</v>
      </c>
      <c r="AG1351" s="580">
        <f t="shared" si="144"/>
        <v>0</v>
      </c>
      <c r="AH1351" s="580">
        <f t="shared" si="145"/>
        <v>0</v>
      </c>
    </row>
    <row r="1352" spans="28:34">
      <c r="AB1352" s="580">
        <f>HLOOKUP("*"&amp;'Output annual'!$AC$2&amp;'Output annual'!$AD$2&amp;"*Zone People Number Of Occupants [](Hourly)",'Eplus results'!$1:$1048576,ROW(),FALSE)</f>
        <v>0</v>
      </c>
      <c r="AC1352" s="580">
        <f>HLOOKUP("*"&amp;'Output annual'!$AC$2&amp;'Output annual'!$AD$2&amp;"*FangerPMV(Hourly)",'Eplus results'!$1:$1048576,ROW(),FALSE)</f>
        <v>0</v>
      </c>
      <c r="AD1352" s="580">
        <f t="shared" si="141"/>
        <v>5</v>
      </c>
      <c r="AE1352" s="580">
        <f t="shared" si="142"/>
        <v>2.5</v>
      </c>
      <c r="AF1352" s="580">
        <f t="shared" si="143"/>
        <v>2.5</v>
      </c>
      <c r="AG1352" s="580">
        <f t="shared" si="144"/>
        <v>0</v>
      </c>
      <c r="AH1352" s="580">
        <f t="shared" si="145"/>
        <v>0</v>
      </c>
    </row>
    <row r="1353" spans="28:34">
      <c r="AB1353" s="580">
        <f>HLOOKUP("*"&amp;'Output annual'!$AC$2&amp;'Output annual'!$AD$2&amp;"*Zone People Number Of Occupants [](Hourly)",'Eplus results'!$1:$1048576,ROW(),FALSE)</f>
        <v>0</v>
      </c>
      <c r="AC1353" s="580">
        <f>HLOOKUP("*"&amp;'Output annual'!$AC$2&amp;'Output annual'!$AD$2&amp;"*FangerPMV(Hourly)",'Eplus results'!$1:$1048576,ROW(),FALSE)</f>
        <v>0</v>
      </c>
      <c r="AD1353" s="580">
        <f t="shared" si="141"/>
        <v>5</v>
      </c>
      <c r="AE1353" s="580">
        <f t="shared" si="142"/>
        <v>2.5</v>
      </c>
      <c r="AF1353" s="580">
        <f t="shared" si="143"/>
        <v>2.5</v>
      </c>
      <c r="AG1353" s="580">
        <f t="shared" si="144"/>
        <v>0</v>
      </c>
      <c r="AH1353" s="580">
        <f t="shared" si="145"/>
        <v>0</v>
      </c>
    </row>
    <row r="1354" spans="28:34">
      <c r="AB1354" s="580">
        <f>HLOOKUP("*"&amp;'Output annual'!$AC$2&amp;'Output annual'!$AD$2&amp;"*Zone People Number Of Occupants [](Hourly)",'Eplus results'!$1:$1048576,ROW(),FALSE)</f>
        <v>0</v>
      </c>
      <c r="AC1354" s="580">
        <f>HLOOKUP("*"&amp;'Output annual'!$AC$2&amp;'Output annual'!$AD$2&amp;"*FangerPMV(Hourly)",'Eplus results'!$1:$1048576,ROW(),FALSE)</f>
        <v>0</v>
      </c>
      <c r="AD1354" s="580">
        <f t="shared" si="141"/>
        <v>5</v>
      </c>
      <c r="AE1354" s="580">
        <f t="shared" si="142"/>
        <v>2.5</v>
      </c>
      <c r="AF1354" s="580">
        <f t="shared" si="143"/>
        <v>2.5</v>
      </c>
      <c r="AG1354" s="580">
        <f t="shared" si="144"/>
        <v>0</v>
      </c>
      <c r="AH1354" s="580">
        <f t="shared" si="145"/>
        <v>0</v>
      </c>
    </row>
    <row r="1355" spans="28:34">
      <c r="AB1355" s="580">
        <f>HLOOKUP("*"&amp;'Output annual'!$AC$2&amp;'Output annual'!$AD$2&amp;"*Zone People Number Of Occupants [](Hourly)",'Eplus results'!$1:$1048576,ROW(),FALSE)</f>
        <v>0</v>
      </c>
      <c r="AC1355" s="580">
        <f>HLOOKUP("*"&amp;'Output annual'!$AC$2&amp;'Output annual'!$AD$2&amp;"*FangerPMV(Hourly)",'Eplus results'!$1:$1048576,ROW(),FALSE)</f>
        <v>0</v>
      </c>
      <c r="AD1355" s="580">
        <f t="shared" si="141"/>
        <v>5</v>
      </c>
      <c r="AE1355" s="580">
        <f t="shared" si="142"/>
        <v>2.5</v>
      </c>
      <c r="AF1355" s="580">
        <f t="shared" si="143"/>
        <v>2.5</v>
      </c>
      <c r="AG1355" s="580">
        <f t="shared" si="144"/>
        <v>0</v>
      </c>
      <c r="AH1355" s="580">
        <f t="shared" si="145"/>
        <v>0</v>
      </c>
    </row>
    <row r="1356" spans="28:34">
      <c r="AB1356" s="580">
        <f>HLOOKUP("*"&amp;'Output annual'!$AC$2&amp;'Output annual'!$AD$2&amp;"*Zone People Number Of Occupants [](Hourly)",'Eplus results'!$1:$1048576,ROW(),FALSE)</f>
        <v>0</v>
      </c>
      <c r="AC1356" s="580">
        <f>HLOOKUP("*"&amp;'Output annual'!$AC$2&amp;'Output annual'!$AD$2&amp;"*FangerPMV(Hourly)",'Eplus results'!$1:$1048576,ROW(),FALSE)</f>
        <v>0</v>
      </c>
      <c r="AD1356" s="580">
        <f t="shared" si="141"/>
        <v>5</v>
      </c>
      <c r="AE1356" s="580">
        <f t="shared" si="142"/>
        <v>2.5</v>
      </c>
      <c r="AF1356" s="580">
        <f t="shared" si="143"/>
        <v>2.5</v>
      </c>
      <c r="AG1356" s="580">
        <f t="shared" si="144"/>
        <v>0</v>
      </c>
      <c r="AH1356" s="580">
        <f t="shared" si="145"/>
        <v>0</v>
      </c>
    </row>
    <row r="1357" spans="28:34">
      <c r="AB1357" s="580">
        <f>HLOOKUP("*"&amp;'Output annual'!$AC$2&amp;'Output annual'!$AD$2&amp;"*Zone People Number Of Occupants [](Hourly)",'Eplus results'!$1:$1048576,ROW(),FALSE)</f>
        <v>0</v>
      </c>
      <c r="AC1357" s="580">
        <f>HLOOKUP("*"&amp;'Output annual'!$AC$2&amp;'Output annual'!$AD$2&amp;"*FangerPMV(Hourly)",'Eplus results'!$1:$1048576,ROW(),FALSE)</f>
        <v>0</v>
      </c>
      <c r="AD1357" s="580">
        <f t="shared" si="141"/>
        <v>5</v>
      </c>
      <c r="AE1357" s="580">
        <f t="shared" si="142"/>
        <v>2.5</v>
      </c>
      <c r="AF1357" s="580">
        <f t="shared" si="143"/>
        <v>2.5</v>
      </c>
      <c r="AG1357" s="580">
        <f t="shared" si="144"/>
        <v>0</v>
      </c>
      <c r="AH1357" s="580">
        <f t="shared" si="145"/>
        <v>0</v>
      </c>
    </row>
    <row r="1358" spans="28:34">
      <c r="AB1358" s="580">
        <f>HLOOKUP("*"&amp;'Output annual'!$AC$2&amp;'Output annual'!$AD$2&amp;"*Zone People Number Of Occupants [](Hourly)",'Eplus results'!$1:$1048576,ROW(),FALSE)</f>
        <v>0</v>
      </c>
      <c r="AC1358" s="580">
        <f>HLOOKUP("*"&amp;'Output annual'!$AC$2&amp;'Output annual'!$AD$2&amp;"*FangerPMV(Hourly)",'Eplus results'!$1:$1048576,ROW(),FALSE)</f>
        <v>0</v>
      </c>
      <c r="AD1358" s="580">
        <f t="shared" si="141"/>
        <v>5</v>
      </c>
      <c r="AE1358" s="580">
        <f t="shared" si="142"/>
        <v>2.5</v>
      </c>
      <c r="AF1358" s="580">
        <f t="shared" si="143"/>
        <v>2.5</v>
      </c>
      <c r="AG1358" s="580">
        <f t="shared" si="144"/>
        <v>0</v>
      </c>
      <c r="AH1358" s="580">
        <f t="shared" si="145"/>
        <v>0</v>
      </c>
    </row>
    <row r="1359" spans="28:34">
      <c r="AB1359" s="580">
        <f>HLOOKUP("*"&amp;'Output annual'!$AC$2&amp;'Output annual'!$AD$2&amp;"*Zone People Number Of Occupants [](Hourly)",'Eplus results'!$1:$1048576,ROW(),FALSE)</f>
        <v>0</v>
      </c>
      <c r="AC1359" s="580">
        <f>HLOOKUP("*"&amp;'Output annual'!$AC$2&amp;'Output annual'!$AD$2&amp;"*FangerPMV(Hourly)",'Eplus results'!$1:$1048576,ROW(),FALSE)</f>
        <v>0</v>
      </c>
      <c r="AD1359" s="580">
        <f t="shared" si="141"/>
        <v>5</v>
      </c>
      <c r="AE1359" s="580">
        <f t="shared" si="142"/>
        <v>2.5</v>
      </c>
      <c r="AF1359" s="580">
        <f t="shared" si="143"/>
        <v>2.5</v>
      </c>
      <c r="AG1359" s="580">
        <f t="shared" si="144"/>
        <v>0</v>
      </c>
      <c r="AH1359" s="580">
        <f t="shared" si="145"/>
        <v>0</v>
      </c>
    </row>
    <row r="1360" spans="28:34">
      <c r="AB1360" s="580">
        <f>HLOOKUP("*"&amp;'Output annual'!$AC$2&amp;'Output annual'!$AD$2&amp;"*Zone People Number Of Occupants [](Hourly)",'Eplus results'!$1:$1048576,ROW(),FALSE)</f>
        <v>0</v>
      </c>
      <c r="AC1360" s="580">
        <f>HLOOKUP("*"&amp;'Output annual'!$AC$2&amp;'Output annual'!$AD$2&amp;"*FangerPMV(Hourly)",'Eplus results'!$1:$1048576,ROW(),FALSE)</f>
        <v>0</v>
      </c>
      <c r="AD1360" s="580">
        <f t="shared" si="141"/>
        <v>5</v>
      </c>
      <c r="AE1360" s="580">
        <f t="shared" si="142"/>
        <v>2.5</v>
      </c>
      <c r="AF1360" s="580">
        <f t="shared" si="143"/>
        <v>2.5</v>
      </c>
      <c r="AG1360" s="580">
        <f t="shared" si="144"/>
        <v>0</v>
      </c>
      <c r="AH1360" s="580">
        <f t="shared" si="145"/>
        <v>0</v>
      </c>
    </row>
    <row r="1361" spans="28:34">
      <c r="AB1361" s="580">
        <f>HLOOKUP("*"&amp;'Output annual'!$AC$2&amp;'Output annual'!$AD$2&amp;"*Zone People Number Of Occupants [](Hourly)",'Eplus results'!$1:$1048576,ROW(),FALSE)</f>
        <v>0</v>
      </c>
      <c r="AC1361" s="580">
        <f>HLOOKUP("*"&amp;'Output annual'!$AC$2&amp;'Output annual'!$AD$2&amp;"*FangerPMV(Hourly)",'Eplus results'!$1:$1048576,ROW(),FALSE)</f>
        <v>0</v>
      </c>
      <c r="AD1361" s="580">
        <f t="shared" si="141"/>
        <v>5</v>
      </c>
      <c r="AE1361" s="580">
        <f t="shared" si="142"/>
        <v>2.5</v>
      </c>
      <c r="AF1361" s="580">
        <f t="shared" si="143"/>
        <v>2.5</v>
      </c>
      <c r="AG1361" s="580">
        <f t="shared" si="144"/>
        <v>0</v>
      </c>
      <c r="AH1361" s="580">
        <f t="shared" si="145"/>
        <v>0</v>
      </c>
    </row>
    <row r="1362" spans="28:34">
      <c r="AB1362" s="580">
        <f>HLOOKUP("*"&amp;'Output annual'!$AC$2&amp;'Output annual'!$AD$2&amp;"*Zone People Number Of Occupants [](Hourly)",'Eplus results'!$1:$1048576,ROW(),FALSE)</f>
        <v>0</v>
      </c>
      <c r="AC1362" s="580">
        <f>HLOOKUP("*"&amp;'Output annual'!$AC$2&amp;'Output annual'!$AD$2&amp;"*FangerPMV(Hourly)",'Eplus results'!$1:$1048576,ROW(),FALSE)</f>
        <v>0</v>
      </c>
      <c r="AD1362" s="580">
        <f t="shared" si="141"/>
        <v>5</v>
      </c>
      <c r="AE1362" s="580">
        <f t="shared" si="142"/>
        <v>2.5</v>
      </c>
      <c r="AF1362" s="580">
        <f t="shared" si="143"/>
        <v>2.5</v>
      </c>
      <c r="AG1362" s="580">
        <f t="shared" si="144"/>
        <v>0</v>
      </c>
      <c r="AH1362" s="580">
        <f t="shared" si="145"/>
        <v>0</v>
      </c>
    </row>
    <row r="1363" spans="28:34">
      <c r="AB1363" s="580">
        <f>HLOOKUP("*"&amp;'Output annual'!$AC$2&amp;'Output annual'!$AD$2&amp;"*Zone People Number Of Occupants [](Hourly)",'Eplus results'!$1:$1048576,ROW(),FALSE)</f>
        <v>0</v>
      </c>
      <c r="AC1363" s="580">
        <f>HLOOKUP("*"&amp;'Output annual'!$AC$2&amp;'Output annual'!$AD$2&amp;"*FangerPMV(Hourly)",'Eplus results'!$1:$1048576,ROW(),FALSE)</f>
        <v>0</v>
      </c>
      <c r="AD1363" s="580">
        <f t="shared" si="141"/>
        <v>5</v>
      </c>
      <c r="AE1363" s="580">
        <f t="shared" si="142"/>
        <v>2.5</v>
      </c>
      <c r="AF1363" s="580">
        <f t="shared" si="143"/>
        <v>2.5</v>
      </c>
      <c r="AG1363" s="580">
        <f t="shared" si="144"/>
        <v>0</v>
      </c>
      <c r="AH1363" s="580">
        <f t="shared" si="145"/>
        <v>0</v>
      </c>
    </row>
    <row r="1364" spans="28:34">
      <c r="AB1364" s="580">
        <f>HLOOKUP("*"&amp;'Output annual'!$AC$2&amp;'Output annual'!$AD$2&amp;"*Zone People Number Of Occupants [](Hourly)",'Eplus results'!$1:$1048576,ROW(),FALSE)</f>
        <v>0</v>
      </c>
      <c r="AC1364" s="580">
        <f>HLOOKUP("*"&amp;'Output annual'!$AC$2&amp;'Output annual'!$AD$2&amp;"*FangerPMV(Hourly)",'Eplus results'!$1:$1048576,ROW(),FALSE)</f>
        <v>0</v>
      </c>
      <c r="AD1364" s="580">
        <f t="shared" si="141"/>
        <v>5</v>
      </c>
      <c r="AE1364" s="580">
        <f t="shared" si="142"/>
        <v>2.5</v>
      </c>
      <c r="AF1364" s="580">
        <f t="shared" si="143"/>
        <v>2.5</v>
      </c>
      <c r="AG1364" s="580">
        <f t="shared" si="144"/>
        <v>0</v>
      </c>
      <c r="AH1364" s="580">
        <f t="shared" si="145"/>
        <v>0</v>
      </c>
    </row>
    <row r="1365" spans="28:34">
      <c r="AB1365" s="580">
        <f>HLOOKUP("*"&amp;'Output annual'!$AC$2&amp;'Output annual'!$AD$2&amp;"*Zone People Number Of Occupants [](Hourly)",'Eplus results'!$1:$1048576,ROW(),FALSE)</f>
        <v>0</v>
      </c>
      <c r="AC1365" s="580">
        <f>HLOOKUP("*"&amp;'Output annual'!$AC$2&amp;'Output annual'!$AD$2&amp;"*FangerPMV(Hourly)",'Eplus results'!$1:$1048576,ROW(),FALSE)</f>
        <v>0</v>
      </c>
      <c r="AD1365" s="580">
        <f t="shared" si="141"/>
        <v>5</v>
      </c>
      <c r="AE1365" s="580">
        <f t="shared" si="142"/>
        <v>2.5</v>
      </c>
      <c r="AF1365" s="580">
        <f t="shared" si="143"/>
        <v>2.5</v>
      </c>
      <c r="AG1365" s="580">
        <f t="shared" si="144"/>
        <v>0</v>
      </c>
      <c r="AH1365" s="580">
        <f t="shared" si="145"/>
        <v>0</v>
      </c>
    </row>
    <row r="1366" spans="28:34">
      <c r="AB1366" s="580">
        <f>HLOOKUP("*"&amp;'Output annual'!$AC$2&amp;'Output annual'!$AD$2&amp;"*Zone People Number Of Occupants [](Hourly)",'Eplus results'!$1:$1048576,ROW(),FALSE)</f>
        <v>0</v>
      </c>
      <c r="AC1366" s="580">
        <f>HLOOKUP("*"&amp;'Output annual'!$AC$2&amp;'Output annual'!$AD$2&amp;"*FangerPMV(Hourly)",'Eplus results'!$1:$1048576,ROW(),FALSE)</f>
        <v>0</v>
      </c>
      <c r="AD1366" s="580">
        <f t="shared" si="141"/>
        <v>5</v>
      </c>
      <c r="AE1366" s="580">
        <f t="shared" si="142"/>
        <v>2.5</v>
      </c>
      <c r="AF1366" s="580">
        <f t="shared" si="143"/>
        <v>2.5</v>
      </c>
      <c r="AG1366" s="580">
        <f t="shared" si="144"/>
        <v>0</v>
      </c>
      <c r="AH1366" s="580">
        <f t="shared" si="145"/>
        <v>0</v>
      </c>
    </row>
    <row r="1367" spans="28:34">
      <c r="AB1367" s="580">
        <f>HLOOKUP("*"&amp;'Output annual'!$AC$2&amp;'Output annual'!$AD$2&amp;"*Zone People Number Of Occupants [](Hourly)",'Eplus results'!$1:$1048576,ROW(),FALSE)</f>
        <v>0</v>
      </c>
      <c r="AC1367" s="580">
        <f>HLOOKUP("*"&amp;'Output annual'!$AC$2&amp;'Output annual'!$AD$2&amp;"*FangerPMV(Hourly)",'Eplus results'!$1:$1048576,ROW(),FALSE)</f>
        <v>0</v>
      </c>
      <c r="AD1367" s="580">
        <f t="shared" si="141"/>
        <v>5</v>
      </c>
      <c r="AE1367" s="580">
        <f t="shared" si="142"/>
        <v>2.5</v>
      </c>
      <c r="AF1367" s="580">
        <f t="shared" si="143"/>
        <v>2.5</v>
      </c>
      <c r="AG1367" s="580">
        <f t="shared" si="144"/>
        <v>0</v>
      </c>
      <c r="AH1367" s="580">
        <f t="shared" si="145"/>
        <v>0</v>
      </c>
    </row>
    <row r="1368" spans="28:34">
      <c r="AB1368" s="580">
        <f>HLOOKUP("*"&amp;'Output annual'!$AC$2&amp;'Output annual'!$AD$2&amp;"*Zone People Number Of Occupants [](Hourly)",'Eplus results'!$1:$1048576,ROW(),FALSE)</f>
        <v>0</v>
      </c>
      <c r="AC1368" s="580">
        <f>HLOOKUP("*"&amp;'Output annual'!$AC$2&amp;'Output annual'!$AD$2&amp;"*FangerPMV(Hourly)",'Eplus results'!$1:$1048576,ROW(),FALSE)</f>
        <v>0</v>
      </c>
      <c r="AD1368" s="580">
        <f t="shared" si="141"/>
        <v>5</v>
      </c>
      <c r="AE1368" s="580">
        <f t="shared" si="142"/>
        <v>2.5</v>
      </c>
      <c r="AF1368" s="580">
        <f t="shared" si="143"/>
        <v>2.5</v>
      </c>
      <c r="AG1368" s="580">
        <f t="shared" si="144"/>
        <v>0</v>
      </c>
      <c r="AH1368" s="580">
        <f t="shared" si="145"/>
        <v>0</v>
      </c>
    </row>
    <row r="1369" spans="28:34">
      <c r="AB1369" s="580">
        <f>HLOOKUP("*"&amp;'Output annual'!$AC$2&amp;'Output annual'!$AD$2&amp;"*Zone People Number Of Occupants [](Hourly)",'Eplus results'!$1:$1048576,ROW(),FALSE)</f>
        <v>0</v>
      </c>
      <c r="AC1369" s="580">
        <f>HLOOKUP("*"&amp;'Output annual'!$AC$2&amp;'Output annual'!$AD$2&amp;"*FangerPMV(Hourly)",'Eplus results'!$1:$1048576,ROW(),FALSE)</f>
        <v>0</v>
      </c>
      <c r="AD1369" s="580">
        <f t="shared" si="141"/>
        <v>5</v>
      </c>
      <c r="AE1369" s="580">
        <f t="shared" si="142"/>
        <v>2.5</v>
      </c>
      <c r="AF1369" s="580">
        <f t="shared" si="143"/>
        <v>2.5</v>
      </c>
      <c r="AG1369" s="580">
        <f t="shared" si="144"/>
        <v>0</v>
      </c>
      <c r="AH1369" s="580">
        <f t="shared" si="145"/>
        <v>0</v>
      </c>
    </row>
    <row r="1370" spans="28:34">
      <c r="AB1370" s="580">
        <f>HLOOKUP("*"&amp;'Output annual'!$AC$2&amp;'Output annual'!$AD$2&amp;"*Zone People Number Of Occupants [](Hourly)",'Eplus results'!$1:$1048576,ROW(),FALSE)</f>
        <v>0</v>
      </c>
      <c r="AC1370" s="580">
        <f>HLOOKUP("*"&amp;'Output annual'!$AC$2&amp;'Output annual'!$AD$2&amp;"*FangerPMV(Hourly)",'Eplus results'!$1:$1048576,ROW(),FALSE)</f>
        <v>0</v>
      </c>
      <c r="AD1370" s="580">
        <f t="shared" si="141"/>
        <v>5</v>
      </c>
      <c r="AE1370" s="580">
        <f t="shared" si="142"/>
        <v>2.5</v>
      </c>
      <c r="AF1370" s="580">
        <f t="shared" si="143"/>
        <v>2.5</v>
      </c>
      <c r="AG1370" s="580">
        <f t="shared" si="144"/>
        <v>0</v>
      </c>
      <c r="AH1370" s="580">
        <f t="shared" si="145"/>
        <v>0</v>
      </c>
    </row>
    <row r="1371" spans="28:34">
      <c r="AB1371" s="580">
        <f>HLOOKUP("*"&amp;'Output annual'!$AC$2&amp;'Output annual'!$AD$2&amp;"*Zone People Number Of Occupants [](Hourly)",'Eplus results'!$1:$1048576,ROW(),FALSE)</f>
        <v>0</v>
      </c>
      <c r="AC1371" s="580">
        <f>HLOOKUP("*"&amp;'Output annual'!$AC$2&amp;'Output annual'!$AD$2&amp;"*FangerPMV(Hourly)",'Eplus results'!$1:$1048576,ROW(),FALSE)</f>
        <v>0</v>
      </c>
      <c r="AD1371" s="580">
        <f t="shared" si="141"/>
        <v>5</v>
      </c>
      <c r="AE1371" s="580">
        <f t="shared" si="142"/>
        <v>2.5</v>
      </c>
      <c r="AF1371" s="580">
        <f t="shared" si="143"/>
        <v>2.5</v>
      </c>
      <c r="AG1371" s="580">
        <f t="shared" si="144"/>
        <v>0</v>
      </c>
      <c r="AH1371" s="580">
        <f t="shared" si="145"/>
        <v>0</v>
      </c>
    </row>
    <row r="1372" spans="28:34">
      <c r="AB1372" s="580">
        <f>HLOOKUP("*"&amp;'Output annual'!$AC$2&amp;'Output annual'!$AD$2&amp;"*Zone People Number Of Occupants [](Hourly)",'Eplus results'!$1:$1048576,ROW(),FALSE)</f>
        <v>0</v>
      </c>
      <c r="AC1372" s="580">
        <f>HLOOKUP("*"&amp;'Output annual'!$AC$2&amp;'Output annual'!$AD$2&amp;"*FangerPMV(Hourly)",'Eplus results'!$1:$1048576,ROW(),FALSE)</f>
        <v>0</v>
      </c>
      <c r="AD1372" s="580">
        <f t="shared" si="141"/>
        <v>5</v>
      </c>
      <c r="AE1372" s="580">
        <f t="shared" si="142"/>
        <v>2.5</v>
      </c>
      <c r="AF1372" s="580">
        <f t="shared" si="143"/>
        <v>2.5</v>
      </c>
      <c r="AG1372" s="580">
        <f t="shared" si="144"/>
        <v>0</v>
      </c>
      <c r="AH1372" s="580">
        <f t="shared" si="145"/>
        <v>0</v>
      </c>
    </row>
    <row r="1373" spans="28:34">
      <c r="AB1373" s="580">
        <f>HLOOKUP("*"&amp;'Output annual'!$AC$2&amp;'Output annual'!$AD$2&amp;"*Zone People Number Of Occupants [](Hourly)",'Eplus results'!$1:$1048576,ROW(),FALSE)</f>
        <v>0</v>
      </c>
      <c r="AC1373" s="580">
        <f>HLOOKUP("*"&amp;'Output annual'!$AC$2&amp;'Output annual'!$AD$2&amp;"*FangerPMV(Hourly)",'Eplus results'!$1:$1048576,ROW(),FALSE)</f>
        <v>0</v>
      </c>
      <c r="AD1373" s="580">
        <f t="shared" si="141"/>
        <v>5</v>
      </c>
      <c r="AE1373" s="580">
        <f t="shared" si="142"/>
        <v>2.5</v>
      </c>
      <c r="AF1373" s="580">
        <f t="shared" si="143"/>
        <v>2.5</v>
      </c>
      <c r="AG1373" s="580">
        <f t="shared" si="144"/>
        <v>0</v>
      </c>
      <c r="AH1373" s="580">
        <f t="shared" si="145"/>
        <v>0</v>
      </c>
    </row>
    <row r="1374" spans="28:34">
      <c r="AB1374" s="580">
        <f>HLOOKUP("*"&amp;'Output annual'!$AC$2&amp;'Output annual'!$AD$2&amp;"*Zone People Number Of Occupants [](Hourly)",'Eplus results'!$1:$1048576,ROW(),FALSE)</f>
        <v>0</v>
      </c>
      <c r="AC1374" s="580">
        <f>HLOOKUP("*"&amp;'Output annual'!$AC$2&amp;'Output annual'!$AD$2&amp;"*FangerPMV(Hourly)",'Eplus results'!$1:$1048576,ROW(),FALSE)</f>
        <v>0</v>
      </c>
      <c r="AD1374" s="580">
        <f t="shared" si="141"/>
        <v>5</v>
      </c>
      <c r="AE1374" s="580">
        <f t="shared" si="142"/>
        <v>2.5</v>
      </c>
      <c r="AF1374" s="580">
        <f t="shared" si="143"/>
        <v>2.5</v>
      </c>
      <c r="AG1374" s="580">
        <f t="shared" si="144"/>
        <v>0</v>
      </c>
      <c r="AH1374" s="580">
        <f t="shared" si="145"/>
        <v>0</v>
      </c>
    </row>
    <row r="1375" spans="28:34">
      <c r="AB1375" s="580">
        <f>HLOOKUP("*"&amp;'Output annual'!$AC$2&amp;'Output annual'!$AD$2&amp;"*Zone People Number Of Occupants [](Hourly)",'Eplus results'!$1:$1048576,ROW(),FALSE)</f>
        <v>0</v>
      </c>
      <c r="AC1375" s="580">
        <f>HLOOKUP("*"&amp;'Output annual'!$AC$2&amp;'Output annual'!$AD$2&amp;"*FangerPMV(Hourly)",'Eplus results'!$1:$1048576,ROW(),FALSE)</f>
        <v>0</v>
      </c>
      <c r="AD1375" s="580">
        <f t="shared" si="141"/>
        <v>5</v>
      </c>
      <c r="AE1375" s="580">
        <f t="shared" si="142"/>
        <v>2.5</v>
      </c>
      <c r="AF1375" s="580">
        <f t="shared" si="143"/>
        <v>2.5</v>
      </c>
      <c r="AG1375" s="580">
        <f t="shared" si="144"/>
        <v>0</v>
      </c>
      <c r="AH1375" s="580">
        <f t="shared" si="145"/>
        <v>0</v>
      </c>
    </row>
    <row r="1376" spans="28:34">
      <c r="AB1376" s="580">
        <f>HLOOKUP("*"&amp;'Output annual'!$AC$2&amp;'Output annual'!$AD$2&amp;"*Zone People Number Of Occupants [](Hourly)",'Eplus results'!$1:$1048576,ROW(),FALSE)</f>
        <v>0</v>
      </c>
      <c r="AC1376" s="580">
        <f>HLOOKUP("*"&amp;'Output annual'!$AC$2&amp;'Output annual'!$AD$2&amp;"*FangerPMV(Hourly)",'Eplus results'!$1:$1048576,ROW(),FALSE)</f>
        <v>0</v>
      </c>
      <c r="AD1376" s="580">
        <f t="shared" si="141"/>
        <v>5</v>
      </c>
      <c r="AE1376" s="580">
        <f t="shared" si="142"/>
        <v>2.5</v>
      </c>
      <c r="AF1376" s="580">
        <f t="shared" si="143"/>
        <v>2.5</v>
      </c>
      <c r="AG1376" s="580">
        <f t="shared" si="144"/>
        <v>0</v>
      </c>
      <c r="AH1376" s="580">
        <f t="shared" si="145"/>
        <v>0</v>
      </c>
    </row>
    <row r="1377" spans="28:34">
      <c r="AB1377" s="580">
        <f>HLOOKUP("*"&amp;'Output annual'!$AC$2&amp;'Output annual'!$AD$2&amp;"*Zone People Number Of Occupants [](Hourly)",'Eplus results'!$1:$1048576,ROW(),FALSE)</f>
        <v>0</v>
      </c>
      <c r="AC1377" s="580">
        <f>HLOOKUP("*"&amp;'Output annual'!$AC$2&amp;'Output annual'!$AD$2&amp;"*FangerPMV(Hourly)",'Eplus results'!$1:$1048576,ROW(),FALSE)</f>
        <v>0</v>
      </c>
      <c r="AD1377" s="580">
        <f t="shared" si="141"/>
        <v>5</v>
      </c>
      <c r="AE1377" s="580">
        <f t="shared" si="142"/>
        <v>2.5</v>
      </c>
      <c r="AF1377" s="580">
        <f t="shared" si="143"/>
        <v>2.5</v>
      </c>
      <c r="AG1377" s="580">
        <f t="shared" si="144"/>
        <v>0</v>
      </c>
      <c r="AH1377" s="580">
        <f t="shared" si="145"/>
        <v>0</v>
      </c>
    </row>
    <row r="1378" spans="28:34">
      <c r="AB1378" s="580">
        <f>HLOOKUP("*"&amp;'Output annual'!$AC$2&amp;'Output annual'!$AD$2&amp;"*Zone People Number Of Occupants [](Hourly)",'Eplus results'!$1:$1048576,ROW(),FALSE)</f>
        <v>0</v>
      </c>
      <c r="AC1378" s="580">
        <f>HLOOKUP("*"&amp;'Output annual'!$AC$2&amp;'Output annual'!$AD$2&amp;"*FangerPMV(Hourly)",'Eplus results'!$1:$1048576,ROW(),FALSE)</f>
        <v>0</v>
      </c>
      <c r="AD1378" s="580">
        <f t="shared" si="141"/>
        <v>5</v>
      </c>
      <c r="AE1378" s="580">
        <f t="shared" si="142"/>
        <v>2.5</v>
      </c>
      <c r="AF1378" s="580">
        <f t="shared" si="143"/>
        <v>2.5</v>
      </c>
      <c r="AG1378" s="580">
        <f t="shared" si="144"/>
        <v>0</v>
      </c>
      <c r="AH1378" s="580">
        <f t="shared" si="145"/>
        <v>0</v>
      </c>
    </row>
    <row r="1379" spans="28:34">
      <c r="AB1379" s="580">
        <f>HLOOKUP("*"&amp;'Output annual'!$AC$2&amp;'Output annual'!$AD$2&amp;"*Zone People Number Of Occupants [](Hourly)",'Eplus results'!$1:$1048576,ROW(),FALSE)</f>
        <v>0</v>
      </c>
      <c r="AC1379" s="580">
        <f>HLOOKUP("*"&amp;'Output annual'!$AC$2&amp;'Output annual'!$AD$2&amp;"*FangerPMV(Hourly)",'Eplus results'!$1:$1048576,ROW(),FALSE)</f>
        <v>0</v>
      </c>
      <c r="AD1379" s="580">
        <f t="shared" si="141"/>
        <v>5</v>
      </c>
      <c r="AE1379" s="580">
        <f t="shared" si="142"/>
        <v>2.5</v>
      </c>
      <c r="AF1379" s="580">
        <f t="shared" si="143"/>
        <v>2.5</v>
      </c>
      <c r="AG1379" s="580">
        <f t="shared" si="144"/>
        <v>0</v>
      </c>
      <c r="AH1379" s="580">
        <f t="shared" si="145"/>
        <v>0</v>
      </c>
    </row>
    <row r="1380" spans="28:34">
      <c r="AB1380" s="580">
        <f>HLOOKUP("*"&amp;'Output annual'!$AC$2&amp;'Output annual'!$AD$2&amp;"*Zone People Number Of Occupants [](Hourly)",'Eplus results'!$1:$1048576,ROW(),FALSE)</f>
        <v>0</v>
      </c>
      <c r="AC1380" s="580">
        <f>HLOOKUP("*"&amp;'Output annual'!$AC$2&amp;'Output annual'!$AD$2&amp;"*FangerPMV(Hourly)",'Eplus results'!$1:$1048576,ROW(),FALSE)</f>
        <v>0</v>
      </c>
      <c r="AD1380" s="580">
        <f t="shared" si="141"/>
        <v>5</v>
      </c>
      <c r="AE1380" s="580">
        <f t="shared" si="142"/>
        <v>2.5</v>
      </c>
      <c r="AF1380" s="580">
        <f t="shared" si="143"/>
        <v>2.5</v>
      </c>
      <c r="AG1380" s="580">
        <f t="shared" si="144"/>
        <v>0</v>
      </c>
      <c r="AH1380" s="580">
        <f t="shared" si="145"/>
        <v>0</v>
      </c>
    </row>
    <row r="1381" spans="28:34">
      <c r="AB1381" s="580">
        <f>HLOOKUP("*"&amp;'Output annual'!$AC$2&amp;'Output annual'!$AD$2&amp;"*Zone People Number Of Occupants [](Hourly)",'Eplus results'!$1:$1048576,ROW(),FALSE)</f>
        <v>0</v>
      </c>
      <c r="AC1381" s="580">
        <f>HLOOKUP("*"&amp;'Output annual'!$AC$2&amp;'Output annual'!$AD$2&amp;"*FangerPMV(Hourly)",'Eplus results'!$1:$1048576,ROW(),FALSE)</f>
        <v>0</v>
      </c>
      <c r="AD1381" s="580">
        <f t="shared" si="141"/>
        <v>5</v>
      </c>
      <c r="AE1381" s="580">
        <f t="shared" si="142"/>
        <v>2.5</v>
      </c>
      <c r="AF1381" s="580">
        <f t="shared" si="143"/>
        <v>2.5</v>
      </c>
      <c r="AG1381" s="580">
        <f t="shared" si="144"/>
        <v>0</v>
      </c>
      <c r="AH1381" s="580">
        <f t="shared" si="145"/>
        <v>0</v>
      </c>
    </row>
    <row r="1382" spans="28:34">
      <c r="AB1382" s="580">
        <f>HLOOKUP("*"&amp;'Output annual'!$AC$2&amp;'Output annual'!$AD$2&amp;"*Zone People Number Of Occupants [](Hourly)",'Eplus results'!$1:$1048576,ROW(),FALSE)</f>
        <v>0</v>
      </c>
      <c r="AC1382" s="580">
        <f>HLOOKUP("*"&amp;'Output annual'!$AC$2&amp;'Output annual'!$AD$2&amp;"*FangerPMV(Hourly)",'Eplus results'!$1:$1048576,ROW(),FALSE)</f>
        <v>0</v>
      </c>
      <c r="AD1382" s="580">
        <f t="shared" si="141"/>
        <v>5</v>
      </c>
      <c r="AE1382" s="580">
        <f t="shared" si="142"/>
        <v>2.5</v>
      </c>
      <c r="AF1382" s="580">
        <f t="shared" si="143"/>
        <v>2.5</v>
      </c>
      <c r="AG1382" s="580">
        <f t="shared" si="144"/>
        <v>0</v>
      </c>
      <c r="AH1382" s="580">
        <f t="shared" si="145"/>
        <v>0</v>
      </c>
    </row>
    <row r="1383" spans="28:34">
      <c r="AB1383" s="580">
        <f>HLOOKUP("*"&amp;'Output annual'!$AC$2&amp;'Output annual'!$AD$2&amp;"*Zone People Number Of Occupants [](Hourly)",'Eplus results'!$1:$1048576,ROW(),FALSE)</f>
        <v>0</v>
      </c>
      <c r="AC1383" s="580">
        <f>HLOOKUP("*"&amp;'Output annual'!$AC$2&amp;'Output annual'!$AD$2&amp;"*FangerPMV(Hourly)",'Eplus results'!$1:$1048576,ROW(),FALSE)</f>
        <v>0</v>
      </c>
      <c r="AD1383" s="580">
        <f t="shared" si="141"/>
        <v>5</v>
      </c>
      <c r="AE1383" s="580">
        <f t="shared" si="142"/>
        <v>2.5</v>
      </c>
      <c r="AF1383" s="580">
        <f t="shared" si="143"/>
        <v>2.5</v>
      </c>
      <c r="AG1383" s="580">
        <f t="shared" si="144"/>
        <v>0</v>
      </c>
      <c r="AH1383" s="580">
        <f t="shared" si="145"/>
        <v>0</v>
      </c>
    </row>
    <row r="1384" spans="28:34">
      <c r="AB1384" s="580">
        <f>HLOOKUP("*"&amp;'Output annual'!$AC$2&amp;'Output annual'!$AD$2&amp;"*Zone People Number Of Occupants [](Hourly)",'Eplus results'!$1:$1048576,ROW(),FALSE)</f>
        <v>0</v>
      </c>
      <c r="AC1384" s="580">
        <f>HLOOKUP("*"&amp;'Output annual'!$AC$2&amp;'Output annual'!$AD$2&amp;"*FangerPMV(Hourly)",'Eplus results'!$1:$1048576,ROW(),FALSE)</f>
        <v>0</v>
      </c>
      <c r="AD1384" s="580">
        <f t="shared" si="141"/>
        <v>5</v>
      </c>
      <c r="AE1384" s="580">
        <f t="shared" si="142"/>
        <v>2.5</v>
      </c>
      <c r="AF1384" s="580">
        <f t="shared" si="143"/>
        <v>2.5</v>
      </c>
      <c r="AG1384" s="580">
        <f t="shared" si="144"/>
        <v>0</v>
      </c>
      <c r="AH1384" s="580">
        <f t="shared" si="145"/>
        <v>0</v>
      </c>
    </row>
    <row r="1385" spans="28:34">
      <c r="AB1385" s="580">
        <f>HLOOKUP("*"&amp;'Output annual'!$AC$2&amp;'Output annual'!$AD$2&amp;"*Zone People Number Of Occupants [](Hourly)",'Eplus results'!$1:$1048576,ROW(),FALSE)</f>
        <v>0</v>
      </c>
      <c r="AC1385" s="580">
        <f>HLOOKUP("*"&amp;'Output annual'!$AC$2&amp;'Output annual'!$AD$2&amp;"*FangerPMV(Hourly)",'Eplus results'!$1:$1048576,ROW(),FALSE)</f>
        <v>0</v>
      </c>
      <c r="AD1385" s="580">
        <f t="shared" si="141"/>
        <v>5</v>
      </c>
      <c r="AE1385" s="580">
        <f t="shared" si="142"/>
        <v>2.5</v>
      </c>
      <c r="AF1385" s="580">
        <f t="shared" si="143"/>
        <v>2.5</v>
      </c>
      <c r="AG1385" s="580">
        <f t="shared" si="144"/>
        <v>0</v>
      </c>
      <c r="AH1385" s="580">
        <f t="shared" si="145"/>
        <v>0</v>
      </c>
    </row>
    <row r="1386" spans="28:34">
      <c r="AB1386" s="580">
        <f>HLOOKUP("*"&amp;'Output annual'!$AC$2&amp;'Output annual'!$AD$2&amp;"*Zone People Number Of Occupants [](Hourly)",'Eplus results'!$1:$1048576,ROW(),FALSE)</f>
        <v>0</v>
      </c>
      <c r="AC1386" s="580">
        <f>HLOOKUP("*"&amp;'Output annual'!$AC$2&amp;'Output annual'!$AD$2&amp;"*FangerPMV(Hourly)",'Eplus results'!$1:$1048576,ROW(),FALSE)</f>
        <v>0</v>
      </c>
      <c r="AD1386" s="580">
        <f t="shared" si="141"/>
        <v>5</v>
      </c>
      <c r="AE1386" s="580">
        <f t="shared" si="142"/>
        <v>2.5</v>
      </c>
      <c r="AF1386" s="580">
        <f t="shared" si="143"/>
        <v>2.5</v>
      </c>
      <c r="AG1386" s="580">
        <f t="shared" si="144"/>
        <v>0</v>
      </c>
      <c r="AH1386" s="580">
        <f t="shared" si="145"/>
        <v>0</v>
      </c>
    </row>
    <row r="1387" spans="28:34">
      <c r="AB1387" s="580">
        <f>HLOOKUP("*"&amp;'Output annual'!$AC$2&amp;'Output annual'!$AD$2&amp;"*Zone People Number Of Occupants [](Hourly)",'Eplus results'!$1:$1048576,ROW(),FALSE)</f>
        <v>0</v>
      </c>
      <c r="AC1387" s="580">
        <f>HLOOKUP("*"&amp;'Output annual'!$AC$2&amp;'Output annual'!$AD$2&amp;"*FangerPMV(Hourly)",'Eplus results'!$1:$1048576,ROW(),FALSE)</f>
        <v>0</v>
      </c>
      <c r="AD1387" s="580">
        <f t="shared" si="141"/>
        <v>5</v>
      </c>
      <c r="AE1387" s="580">
        <f t="shared" si="142"/>
        <v>2.5</v>
      </c>
      <c r="AF1387" s="580">
        <f t="shared" si="143"/>
        <v>2.5</v>
      </c>
      <c r="AG1387" s="580">
        <f t="shared" si="144"/>
        <v>0</v>
      </c>
      <c r="AH1387" s="580">
        <f t="shared" si="145"/>
        <v>0</v>
      </c>
    </row>
    <row r="1388" spans="28:34">
      <c r="AB1388" s="580">
        <f>HLOOKUP("*"&amp;'Output annual'!$AC$2&amp;'Output annual'!$AD$2&amp;"*Zone People Number Of Occupants [](Hourly)",'Eplus results'!$1:$1048576,ROW(),FALSE)</f>
        <v>0</v>
      </c>
      <c r="AC1388" s="580">
        <f>HLOOKUP("*"&amp;'Output annual'!$AC$2&amp;'Output annual'!$AD$2&amp;"*FangerPMV(Hourly)",'Eplus results'!$1:$1048576,ROW(),FALSE)</f>
        <v>0</v>
      </c>
      <c r="AD1388" s="580">
        <f t="shared" si="141"/>
        <v>5</v>
      </c>
      <c r="AE1388" s="580">
        <f t="shared" si="142"/>
        <v>2.5</v>
      </c>
      <c r="AF1388" s="580">
        <f t="shared" si="143"/>
        <v>2.5</v>
      </c>
      <c r="AG1388" s="580">
        <f t="shared" si="144"/>
        <v>0</v>
      </c>
      <c r="AH1388" s="580">
        <f t="shared" si="145"/>
        <v>0</v>
      </c>
    </row>
    <row r="1389" spans="28:34">
      <c r="AB1389" s="580">
        <f>HLOOKUP("*"&amp;'Output annual'!$AC$2&amp;'Output annual'!$AD$2&amp;"*Zone People Number Of Occupants [](Hourly)",'Eplus results'!$1:$1048576,ROW(),FALSE)</f>
        <v>0</v>
      </c>
      <c r="AC1389" s="580">
        <f>HLOOKUP("*"&amp;'Output annual'!$AC$2&amp;'Output annual'!$AD$2&amp;"*FangerPMV(Hourly)",'Eplus results'!$1:$1048576,ROW(),FALSE)</f>
        <v>0</v>
      </c>
      <c r="AD1389" s="580">
        <f t="shared" si="141"/>
        <v>5</v>
      </c>
      <c r="AE1389" s="580">
        <f t="shared" si="142"/>
        <v>2.5</v>
      </c>
      <c r="AF1389" s="580">
        <f t="shared" si="143"/>
        <v>2.5</v>
      </c>
      <c r="AG1389" s="580">
        <f t="shared" si="144"/>
        <v>0</v>
      </c>
      <c r="AH1389" s="580">
        <f t="shared" si="145"/>
        <v>0</v>
      </c>
    </row>
    <row r="1390" spans="28:34">
      <c r="AB1390" s="580">
        <f>HLOOKUP("*"&amp;'Output annual'!$AC$2&amp;'Output annual'!$AD$2&amp;"*Zone People Number Of Occupants [](Hourly)",'Eplus results'!$1:$1048576,ROW(),FALSE)</f>
        <v>0</v>
      </c>
      <c r="AC1390" s="580">
        <f>HLOOKUP("*"&amp;'Output annual'!$AC$2&amp;'Output annual'!$AD$2&amp;"*FangerPMV(Hourly)",'Eplus results'!$1:$1048576,ROW(),FALSE)</f>
        <v>0</v>
      </c>
      <c r="AD1390" s="580">
        <f t="shared" si="141"/>
        <v>5</v>
      </c>
      <c r="AE1390" s="580">
        <f t="shared" si="142"/>
        <v>2.5</v>
      </c>
      <c r="AF1390" s="580">
        <f t="shared" si="143"/>
        <v>2.5</v>
      </c>
      <c r="AG1390" s="580">
        <f t="shared" si="144"/>
        <v>0</v>
      </c>
      <c r="AH1390" s="580">
        <f t="shared" si="145"/>
        <v>0</v>
      </c>
    </row>
    <row r="1391" spans="28:34">
      <c r="AB1391" s="580">
        <f>HLOOKUP("*"&amp;'Output annual'!$AC$2&amp;'Output annual'!$AD$2&amp;"*Zone People Number Of Occupants [](Hourly)",'Eplus results'!$1:$1048576,ROW(),FALSE)</f>
        <v>0</v>
      </c>
      <c r="AC1391" s="580">
        <f>HLOOKUP("*"&amp;'Output annual'!$AC$2&amp;'Output annual'!$AD$2&amp;"*FangerPMV(Hourly)",'Eplus results'!$1:$1048576,ROW(),FALSE)</f>
        <v>0</v>
      </c>
      <c r="AD1391" s="580">
        <f t="shared" si="141"/>
        <v>5</v>
      </c>
      <c r="AE1391" s="580">
        <f t="shared" si="142"/>
        <v>2.5</v>
      </c>
      <c r="AF1391" s="580">
        <f t="shared" si="143"/>
        <v>2.5</v>
      </c>
      <c r="AG1391" s="580">
        <f t="shared" si="144"/>
        <v>0</v>
      </c>
      <c r="AH1391" s="580">
        <f t="shared" si="145"/>
        <v>0</v>
      </c>
    </row>
    <row r="1392" spans="28:34">
      <c r="AB1392" s="580">
        <f>HLOOKUP("*"&amp;'Output annual'!$AC$2&amp;'Output annual'!$AD$2&amp;"*Zone People Number Of Occupants [](Hourly)",'Eplus results'!$1:$1048576,ROW(),FALSE)</f>
        <v>0</v>
      </c>
      <c r="AC1392" s="580">
        <f>HLOOKUP("*"&amp;'Output annual'!$AC$2&amp;'Output annual'!$AD$2&amp;"*FangerPMV(Hourly)",'Eplus results'!$1:$1048576,ROW(),FALSE)</f>
        <v>0</v>
      </c>
      <c r="AD1392" s="580">
        <f t="shared" si="141"/>
        <v>5</v>
      </c>
      <c r="AE1392" s="580">
        <f t="shared" si="142"/>
        <v>2.5</v>
      </c>
      <c r="AF1392" s="580">
        <f t="shared" si="143"/>
        <v>2.5</v>
      </c>
      <c r="AG1392" s="580">
        <f t="shared" si="144"/>
        <v>0</v>
      </c>
      <c r="AH1392" s="580">
        <f t="shared" si="145"/>
        <v>0</v>
      </c>
    </row>
    <row r="1393" spans="28:34">
      <c r="AB1393" s="580">
        <f>HLOOKUP("*"&amp;'Output annual'!$AC$2&amp;'Output annual'!$AD$2&amp;"*Zone People Number Of Occupants [](Hourly)",'Eplus results'!$1:$1048576,ROW(),FALSE)</f>
        <v>0</v>
      </c>
      <c r="AC1393" s="580">
        <f>HLOOKUP("*"&amp;'Output annual'!$AC$2&amp;'Output annual'!$AD$2&amp;"*FangerPMV(Hourly)",'Eplus results'!$1:$1048576,ROW(),FALSE)</f>
        <v>0</v>
      </c>
      <c r="AD1393" s="580">
        <f t="shared" si="141"/>
        <v>5</v>
      </c>
      <c r="AE1393" s="580">
        <f t="shared" si="142"/>
        <v>2.5</v>
      </c>
      <c r="AF1393" s="580">
        <f t="shared" si="143"/>
        <v>2.5</v>
      </c>
      <c r="AG1393" s="580">
        <f t="shared" si="144"/>
        <v>0</v>
      </c>
      <c r="AH1393" s="580">
        <f t="shared" si="145"/>
        <v>0</v>
      </c>
    </row>
    <row r="1394" spans="28:34">
      <c r="AB1394" s="580">
        <f>HLOOKUP("*"&amp;'Output annual'!$AC$2&amp;'Output annual'!$AD$2&amp;"*Zone People Number Of Occupants [](Hourly)",'Eplus results'!$1:$1048576,ROW(),FALSE)</f>
        <v>0</v>
      </c>
      <c r="AC1394" s="580">
        <f>HLOOKUP("*"&amp;'Output annual'!$AC$2&amp;'Output annual'!$AD$2&amp;"*FangerPMV(Hourly)",'Eplus results'!$1:$1048576,ROW(),FALSE)</f>
        <v>0</v>
      </c>
      <c r="AD1394" s="580">
        <f t="shared" si="141"/>
        <v>5</v>
      </c>
      <c r="AE1394" s="580">
        <f t="shared" si="142"/>
        <v>2.5</v>
      </c>
      <c r="AF1394" s="580">
        <f t="shared" si="143"/>
        <v>2.5</v>
      </c>
      <c r="AG1394" s="580">
        <f t="shared" si="144"/>
        <v>0</v>
      </c>
      <c r="AH1394" s="580">
        <f t="shared" si="145"/>
        <v>0</v>
      </c>
    </row>
    <row r="1395" spans="28:34">
      <c r="AB1395" s="580">
        <f>HLOOKUP("*"&amp;'Output annual'!$AC$2&amp;'Output annual'!$AD$2&amp;"*Zone People Number Of Occupants [](Hourly)",'Eplus results'!$1:$1048576,ROW(),FALSE)</f>
        <v>0</v>
      </c>
      <c r="AC1395" s="580">
        <f>HLOOKUP("*"&amp;'Output annual'!$AC$2&amp;'Output annual'!$AD$2&amp;"*FangerPMV(Hourly)",'Eplus results'!$1:$1048576,ROW(),FALSE)</f>
        <v>0</v>
      </c>
      <c r="AD1395" s="580">
        <f t="shared" si="141"/>
        <v>5</v>
      </c>
      <c r="AE1395" s="580">
        <f t="shared" si="142"/>
        <v>2.5</v>
      </c>
      <c r="AF1395" s="580">
        <f t="shared" si="143"/>
        <v>2.5</v>
      </c>
      <c r="AG1395" s="580">
        <f t="shared" si="144"/>
        <v>0</v>
      </c>
      <c r="AH1395" s="580">
        <f t="shared" si="145"/>
        <v>0</v>
      </c>
    </row>
    <row r="1396" spans="28:34">
      <c r="AB1396" s="580">
        <f>HLOOKUP("*"&amp;'Output annual'!$AC$2&amp;'Output annual'!$AD$2&amp;"*Zone People Number Of Occupants [](Hourly)",'Eplus results'!$1:$1048576,ROW(),FALSE)</f>
        <v>0</v>
      </c>
      <c r="AC1396" s="580">
        <f>HLOOKUP("*"&amp;'Output annual'!$AC$2&amp;'Output annual'!$AD$2&amp;"*FangerPMV(Hourly)",'Eplus results'!$1:$1048576,ROW(),FALSE)</f>
        <v>0</v>
      </c>
      <c r="AD1396" s="580">
        <f t="shared" si="141"/>
        <v>5</v>
      </c>
      <c r="AE1396" s="580">
        <f t="shared" si="142"/>
        <v>2.5</v>
      </c>
      <c r="AF1396" s="580">
        <f t="shared" si="143"/>
        <v>2.5</v>
      </c>
      <c r="AG1396" s="580">
        <f t="shared" si="144"/>
        <v>0</v>
      </c>
      <c r="AH1396" s="580">
        <f t="shared" si="145"/>
        <v>0</v>
      </c>
    </row>
    <row r="1397" spans="28:34">
      <c r="AB1397" s="580">
        <f>HLOOKUP("*"&amp;'Output annual'!$AC$2&amp;'Output annual'!$AD$2&amp;"*Zone People Number Of Occupants [](Hourly)",'Eplus results'!$1:$1048576,ROW(),FALSE)</f>
        <v>0</v>
      </c>
      <c r="AC1397" s="580">
        <f>HLOOKUP("*"&amp;'Output annual'!$AC$2&amp;'Output annual'!$AD$2&amp;"*FangerPMV(Hourly)",'Eplus results'!$1:$1048576,ROW(),FALSE)</f>
        <v>0</v>
      </c>
      <c r="AD1397" s="580">
        <f t="shared" si="141"/>
        <v>5</v>
      </c>
      <c r="AE1397" s="580">
        <f t="shared" si="142"/>
        <v>2.5</v>
      </c>
      <c r="AF1397" s="580">
        <f t="shared" si="143"/>
        <v>2.5</v>
      </c>
      <c r="AG1397" s="580">
        <f t="shared" si="144"/>
        <v>0</v>
      </c>
      <c r="AH1397" s="580">
        <f t="shared" si="145"/>
        <v>0</v>
      </c>
    </row>
    <row r="1398" spans="28:34">
      <c r="AB1398" s="580">
        <f>HLOOKUP("*"&amp;'Output annual'!$AC$2&amp;'Output annual'!$AD$2&amp;"*Zone People Number Of Occupants [](Hourly)",'Eplus results'!$1:$1048576,ROW(),FALSE)</f>
        <v>0</v>
      </c>
      <c r="AC1398" s="580">
        <f>HLOOKUP("*"&amp;'Output annual'!$AC$2&amp;'Output annual'!$AD$2&amp;"*FangerPMV(Hourly)",'Eplus results'!$1:$1048576,ROW(),FALSE)</f>
        <v>0</v>
      </c>
      <c r="AD1398" s="580">
        <f t="shared" si="141"/>
        <v>5</v>
      </c>
      <c r="AE1398" s="580">
        <f t="shared" si="142"/>
        <v>2.5</v>
      </c>
      <c r="AF1398" s="580">
        <f t="shared" si="143"/>
        <v>2.5</v>
      </c>
      <c r="AG1398" s="580">
        <f t="shared" si="144"/>
        <v>0</v>
      </c>
      <c r="AH1398" s="580">
        <f t="shared" si="145"/>
        <v>0</v>
      </c>
    </row>
    <row r="1399" spans="28:34">
      <c r="AB1399" s="580">
        <f>HLOOKUP("*"&amp;'Output annual'!$AC$2&amp;'Output annual'!$AD$2&amp;"*Zone People Number Of Occupants [](Hourly)",'Eplus results'!$1:$1048576,ROW(),FALSE)</f>
        <v>0</v>
      </c>
      <c r="AC1399" s="580">
        <f>HLOOKUP("*"&amp;'Output annual'!$AC$2&amp;'Output annual'!$AD$2&amp;"*FangerPMV(Hourly)",'Eplus results'!$1:$1048576,ROW(),FALSE)</f>
        <v>0</v>
      </c>
      <c r="AD1399" s="580">
        <f t="shared" si="141"/>
        <v>5</v>
      </c>
      <c r="AE1399" s="580">
        <f t="shared" si="142"/>
        <v>2.5</v>
      </c>
      <c r="AF1399" s="580">
        <f t="shared" si="143"/>
        <v>2.5</v>
      </c>
      <c r="AG1399" s="580">
        <f t="shared" si="144"/>
        <v>0</v>
      </c>
      <c r="AH1399" s="580">
        <f t="shared" si="145"/>
        <v>0</v>
      </c>
    </row>
    <row r="1400" spans="28:34">
      <c r="AB1400" s="580">
        <f>HLOOKUP("*"&amp;'Output annual'!$AC$2&amp;'Output annual'!$AD$2&amp;"*Zone People Number Of Occupants [](Hourly)",'Eplus results'!$1:$1048576,ROW(),FALSE)</f>
        <v>0</v>
      </c>
      <c r="AC1400" s="580">
        <f>HLOOKUP("*"&amp;'Output annual'!$AC$2&amp;'Output annual'!$AD$2&amp;"*FangerPMV(Hourly)",'Eplus results'!$1:$1048576,ROW(),FALSE)</f>
        <v>0</v>
      </c>
      <c r="AD1400" s="580">
        <f t="shared" si="141"/>
        <v>5</v>
      </c>
      <c r="AE1400" s="580">
        <f t="shared" si="142"/>
        <v>2.5</v>
      </c>
      <c r="AF1400" s="580">
        <f t="shared" si="143"/>
        <v>2.5</v>
      </c>
      <c r="AG1400" s="580">
        <f t="shared" si="144"/>
        <v>0</v>
      </c>
      <c r="AH1400" s="580">
        <f t="shared" si="145"/>
        <v>0</v>
      </c>
    </row>
    <row r="1401" spans="28:34">
      <c r="AB1401" s="580">
        <f>HLOOKUP("*"&amp;'Output annual'!$AC$2&amp;'Output annual'!$AD$2&amp;"*Zone People Number Of Occupants [](Hourly)",'Eplus results'!$1:$1048576,ROW(),FALSE)</f>
        <v>0</v>
      </c>
      <c r="AC1401" s="580">
        <f>HLOOKUP("*"&amp;'Output annual'!$AC$2&amp;'Output annual'!$AD$2&amp;"*FangerPMV(Hourly)",'Eplus results'!$1:$1048576,ROW(),FALSE)</f>
        <v>0</v>
      </c>
      <c r="AD1401" s="580">
        <f t="shared" si="141"/>
        <v>5</v>
      </c>
      <c r="AE1401" s="580">
        <f t="shared" si="142"/>
        <v>2.5</v>
      </c>
      <c r="AF1401" s="580">
        <f t="shared" si="143"/>
        <v>2.5</v>
      </c>
      <c r="AG1401" s="580">
        <f t="shared" si="144"/>
        <v>0</v>
      </c>
      <c r="AH1401" s="580">
        <f t="shared" si="145"/>
        <v>0</v>
      </c>
    </row>
    <row r="1402" spans="28:34">
      <c r="AB1402" s="580">
        <f>HLOOKUP("*"&amp;'Output annual'!$AC$2&amp;'Output annual'!$AD$2&amp;"*Zone People Number Of Occupants [](Hourly)",'Eplus results'!$1:$1048576,ROW(),FALSE)</f>
        <v>0</v>
      </c>
      <c r="AC1402" s="580">
        <f>HLOOKUP("*"&amp;'Output annual'!$AC$2&amp;'Output annual'!$AD$2&amp;"*FangerPMV(Hourly)",'Eplus results'!$1:$1048576,ROW(),FALSE)</f>
        <v>0</v>
      </c>
      <c r="AD1402" s="580">
        <f t="shared" si="141"/>
        <v>5</v>
      </c>
      <c r="AE1402" s="580">
        <f t="shared" si="142"/>
        <v>2.5</v>
      </c>
      <c r="AF1402" s="580">
        <f t="shared" si="143"/>
        <v>2.5</v>
      </c>
      <c r="AG1402" s="580">
        <f t="shared" si="144"/>
        <v>0</v>
      </c>
      <c r="AH1402" s="580">
        <f t="shared" si="145"/>
        <v>0</v>
      </c>
    </row>
    <row r="1403" spans="28:34">
      <c r="AB1403" s="580">
        <f>HLOOKUP("*"&amp;'Output annual'!$AC$2&amp;'Output annual'!$AD$2&amp;"*Zone People Number Of Occupants [](Hourly)",'Eplus results'!$1:$1048576,ROW(),FALSE)</f>
        <v>0</v>
      </c>
      <c r="AC1403" s="580">
        <f>HLOOKUP("*"&amp;'Output annual'!$AC$2&amp;'Output annual'!$AD$2&amp;"*FangerPMV(Hourly)",'Eplus results'!$1:$1048576,ROW(),FALSE)</f>
        <v>0</v>
      </c>
      <c r="AD1403" s="580">
        <f t="shared" si="141"/>
        <v>5</v>
      </c>
      <c r="AE1403" s="580">
        <f t="shared" si="142"/>
        <v>2.5</v>
      </c>
      <c r="AF1403" s="580">
        <f t="shared" si="143"/>
        <v>2.5</v>
      </c>
      <c r="AG1403" s="580">
        <f t="shared" si="144"/>
        <v>0</v>
      </c>
      <c r="AH1403" s="580">
        <f t="shared" si="145"/>
        <v>0</v>
      </c>
    </row>
    <row r="1404" spans="28:34">
      <c r="AB1404" s="580">
        <f>HLOOKUP("*"&amp;'Output annual'!$AC$2&amp;'Output annual'!$AD$2&amp;"*Zone People Number Of Occupants [](Hourly)",'Eplus results'!$1:$1048576,ROW(),FALSE)</f>
        <v>0</v>
      </c>
      <c r="AC1404" s="580">
        <f>HLOOKUP("*"&amp;'Output annual'!$AC$2&amp;'Output annual'!$AD$2&amp;"*FangerPMV(Hourly)",'Eplus results'!$1:$1048576,ROW(),FALSE)</f>
        <v>0</v>
      </c>
      <c r="AD1404" s="580">
        <f t="shared" si="141"/>
        <v>5</v>
      </c>
      <c r="AE1404" s="580">
        <f t="shared" si="142"/>
        <v>2.5</v>
      </c>
      <c r="AF1404" s="580">
        <f t="shared" si="143"/>
        <v>2.5</v>
      </c>
      <c r="AG1404" s="580">
        <f t="shared" si="144"/>
        <v>0</v>
      </c>
      <c r="AH1404" s="580">
        <f t="shared" si="145"/>
        <v>0</v>
      </c>
    </row>
    <row r="1405" spans="28:34">
      <c r="AB1405" s="580">
        <f>HLOOKUP("*"&amp;'Output annual'!$AC$2&amp;'Output annual'!$AD$2&amp;"*Zone People Number Of Occupants [](Hourly)",'Eplus results'!$1:$1048576,ROW(),FALSE)</f>
        <v>0</v>
      </c>
      <c r="AC1405" s="580">
        <f>HLOOKUP("*"&amp;'Output annual'!$AC$2&amp;'Output annual'!$AD$2&amp;"*FangerPMV(Hourly)",'Eplus results'!$1:$1048576,ROW(),FALSE)</f>
        <v>0</v>
      </c>
      <c r="AD1405" s="580">
        <f t="shared" si="141"/>
        <v>5</v>
      </c>
      <c r="AE1405" s="580">
        <f t="shared" si="142"/>
        <v>2.5</v>
      </c>
      <c r="AF1405" s="580">
        <f t="shared" si="143"/>
        <v>2.5</v>
      </c>
      <c r="AG1405" s="580">
        <f t="shared" si="144"/>
        <v>0</v>
      </c>
      <c r="AH1405" s="580">
        <f t="shared" si="145"/>
        <v>0</v>
      </c>
    </row>
    <row r="1406" spans="28:34">
      <c r="AB1406" s="580">
        <f>HLOOKUP("*"&amp;'Output annual'!$AC$2&amp;'Output annual'!$AD$2&amp;"*Zone People Number Of Occupants [](Hourly)",'Eplus results'!$1:$1048576,ROW(),FALSE)</f>
        <v>0</v>
      </c>
      <c r="AC1406" s="580">
        <f>HLOOKUP("*"&amp;'Output annual'!$AC$2&amp;'Output annual'!$AD$2&amp;"*FangerPMV(Hourly)",'Eplus results'!$1:$1048576,ROW(),FALSE)</f>
        <v>0</v>
      </c>
      <c r="AD1406" s="580">
        <f t="shared" si="141"/>
        <v>5</v>
      </c>
      <c r="AE1406" s="580">
        <f t="shared" si="142"/>
        <v>2.5</v>
      </c>
      <c r="AF1406" s="580">
        <f t="shared" si="143"/>
        <v>2.5</v>
      </c>
      <c r="AG1406" s="580">
        <f t="shared" si="144"/>
        <v>0</v>
      </c>
      <c r="AH1406" s="580">
        <f t="shared" si="145"/>
        <v>0</v>
      </c>
    </row>
    <row r="1407" spans="28:34">
      <c r="AB1407" s="580">
        <f>HLOOKUP("*"&amp;'Output annual'!$AC$2&amp;'Output annual'!$AD$2&amp;"*Zone People Number Of Occupants [](Hourly)",'Eplus results'!$1:$1048576,ROW(),FALSE)</f>
        <v>0</v>
      </c>
      <c r="AC1407" s="580">
        <f>HLOOKUP("*"&amp;'Output annual'!$AC$2&amp;'Output annual'!$AD$2&amp;"*FangerPMV(Hourly)",'Eplus results'!$1:$1048576,ROW(),FALSE)</f>
        <v>0</v>
      </c>
      <c r="AD1407" s="580">
        <f t="shared" si="141"/>
        <v>5</v>
      </c>
      <c r="AE1407" s="580">
        <f t="shared" si="142"/>
        <v>2.5</v>
      </c>
      <c r="AF1407" s="580">
        <f t="shared" si="143"/>
        <v>2.5</v>
      </c>
      <c r="AG1407" s="580">
        <f t="shared" si="144"/>
        <v>0</v>
      </c>
      <c r="AH1407" s="580">
        <f t="shared" si="145"/>
        <v>0</v>
      </c>
    </row>
    <row r="1408" spans="28:34">
      <c r="AB1408" s="580">
        <f>HLOOKUP("*"&amp;'Output annual'!$AC$2&amp;'Output annual'!$AD$2&amp;"*Zone People Number Of Occupants [](Hourly)",'Eplus results'!$1:$1048576,ROW(),FALSE)</f>
        <v>0</v>
      </c>
      <c r="AC1408" s="580">
        <f>HLOOKUP("*"&amp;'Output annual'!$AC$2&amp;'Output annual'!$AD$2&amp;"*FangerPMV(Hourly)",'Eplus results'!$1:$1048576,ROW(),FALSE)</f>
        <v>0</v>
      </c>
      <c r="AD1408" s="580">
        <f t="shared" si="141"/>
        <v>5</v>
      </c>
      <c r="AE1408" s="580">
        <f t="shared" si="142"/>
        <v>2.5</v>
      </c>
      <c r="AF1408" s="580">
        <f t="shared" si="143"/>
        <v>2.5</v>
      </c>
      <c r="AG1408" s="580">
        <f t="shared" si="144"/>
        <v>0</v>
      </c>
      <c r="AH1408" s="580">
        <f t="shared" si="145"/>
        <v>0</v>
      </c>
    </row>
    <row r="1409" spans="28:34">
      <c r="AB1409" s="580">
        <f>HLOOKUP("*"&amp;'Output annual'!$AC$2&amp;'Output annual'!$AD$2&amp;"*Zone People Number Of Occupants [](Hourly)",'Eplus results'!$1:$1048576,ROW(),FALSE)</f>
        <v>0</v>
      </c>
      <c r="AC1409" s="580">
        <f>HLOOKUP("*"&amp;'Output annual'!$AC$2&amp;'Output annual'!$AD$2&amp;"*FangerPMV(Hourly)",'Eplus results'!$1:$1048576,ROW(),FALSE)</f>
        <v>0</v>
      </c>
      <c r="AD1409" s="580">
        <f t="shared" si="141"/>
        <v>5</v>
      </c>
      <c r="AE1409" s="580">
        <f t="shared" si="142"/>
        <v>2.5</v>
      </c>
      <c r="AF1409" s="580">
        <f t="shared" si="143"/>
        <v>2.5</v>
      </c>
      <c r="AG1409" s="580">
        <f t="shared" si="144"/>
        <v>0</v>
      </c>
      <c r="AH1409" s="580">
        <f t="shared" si="145"/>
        <v>0</v>
      </c>
    </row>
    <row r="1410" spans="28:34">
      <c r="AB1410" s="580">
        <f>HLOOKUP("*"&amp;'Output annual'!$AC$2&amp;'Output annual'!$AD$2&amp;"*Zone People Number Of Occupants [](Hourly)",'Eplus results'!$1:$1048576,ROW(),FALSE)</f>
        <v>0</v>
      </c>
      <c r="AC1410" s="580">
        <f>HLOOKUP("*"&amp;'Output annual'!$AC$2&amp;'Output annual'!$AD$2&amp;"*FangerPMV(Hourly)",'Eplus results'!$1:$1048576,ROW(),FALSE)</f>
        <v>0</v>
      </c>
      <c r="AD1410" s="580">
        <f t="shared" si="141"/>
        <v>5</v>
      </c>
      <c r="AE1410" s="580">
        <f t="shared" si="142"/>
        <v>2.5</v>
      </c>
      <c r="AF1410" s="580">
        <f t="shared" si="143"/>
        <v>2.5</v>
      </c>
      <c r="AG1410" s="580">
        <f t="shared" si="144"/>
        <v>0</v>
      </c>
      <c r="AH1410" s="580">
        <f t="shared" si="145"/>
        <v>0</v>
      </c>
    </row>
    <row r="1411" spans="28:34">
      <c r="AB1411" s="580">
        <f>HLOOKUP("*"&amp;'Output annual'!$AC$2&amp;'Output annual'!$AD$2&amp;"*Zone People Number Of Occupants [](Hourly)",'Eplus results'!$1:$1048576,ROW(),FALSE)</f>
        <v>0</v>
      </c>
      <c r="AC1411" s="580">
        <f>HLOOKUP("*"&amp;'Output annual'!$AC$2&amp;'Output annual'!$AD$2&amp;"*FangerPMV(Hourly)",'Eplus results'!$1:$1048576,ROW(),FALSE)</f>
        <v>0</v>
      </c>
      <c r="AD1411" s="580">
        <f t="shared" ref="AD1411:AD1474" si="146">100-95*EXP(-0.03353*AC1411^4-0.2179*AC1411^2)</f>
        <v>5</v>
      </c>
      <c r="AE1411" s="580">
        <f t="shared" ref="AE1411:AE1474" si="147">AD1411*(1/(1+EXP(-6.3*$AC1411)))</f>
        <v>2.5</v>
      </c>
      <c r="AF1411" s="580">
        <f t="shared" ref="AF1411:AF1474" si="148">(AD1411-AE1411)</f>
        <v>2.5</v>
      </c>
      <c r="AG1411" s="580">
        <f t="shared" ref="AG1411:AG1474" si="149">AE1411*AB1411</f>
        <v>0</v>
      </c>
      <c r="AH1411" s="580">
        <f t="shared" ref="AH1411:AH1474" si="150">AF1411*AB1411</f>
        <v>0</v>
      </c>
    </row>
    <row r="1412" spans="28:34">
      <c r="AB1412" s="580">
        <f>HLOOKUP("*"&amp;'Output annual'!$AC$2&amp;'Output annual'!$AD$2&amp;"*Zone People Number Of Occupants [](Hourly)",'Eplus results'!$1:$1048576,ROW(),FALSE)</f>
        <v>0</v>
      </c>
      <c r="AC1412" s="580">
        <f>HLOOKUP("*"&amp;'Output annual'!$AC$2&amp;'Output annual'!$AD$2&amp;"*FangerPMV(Hourly)",'Eplus results'!$1:$1048576,ROW(),FALSE)</f>
        <v>0</v>
      </c>
      <c r="AD1412" s="580">
        <f t="shared" si="146"/>
        <v>5</v>
      </c>
      <c r="AE1412" s="580">
        <f t="shared" si="147"/>
        <v>2.5</v>
      </c>
      <c r="AF1412" s="580">
        <f t="shared" si="148"/>
        <v>2.5</v>
      </c>
      <c r="AG1412" s="580">
        <f t="shared" si="149"/>
        <v>0</v>
      </c>
      <c r="AH1412" s="580">
        <f t="shared" si="150"/>
        <v>0</v>
      </c>
    </row>
    <row r="1413" spans="28:34">
      <c r="AB1413" s="580">
        <f>HLOOKUP("*"&amp;'Output annual'!$AC$2&amp;'Output annual'!$AD$2&amp;"*Zone People Number Of Occupants [](Hourly)",'Eplus results'!$1:$1048576,ROW(),FALSE)</f>
        <v>0</v>
      </c>
      <c r="AC1413" s="580">
        <f>HLOOKUP("*"&amp;'Output annual'!$AC$2&amp;'Output annual'!$AD$2&amp;"*FangerPMV(Hourly)",'Eplus results'!$1:$1048576,ROW(),FALSE)</f>
        <v>0</v>
      </c>
      <c r="AD1413" s="580">
        <f t="shared" si="146"/>
        <v>5</v>
      </c>
      <c r="AE1413" s="580">
        <f t="shared" si="147"/>
        <v>2.5</v>
      </c>
      <c r="AF1413" s="580">
        <f t="shared" si="148"/>
        <v>2.5</v>
      </c>
      <c r="AG1413" s="580">
        <f t="shared" si="149"/>
        <v>0</v>
      </c>
      <c r="AH1413" s="580">
        <f t="shared" si="150"/>
        <v>0</v>
      </c>
    </row>
    <row r="1414" spans="28:34">
      <c r="AB1414" s="580">
        <f>HLOOKUP("*"&amp;'Output annual'!$AC$2&amp;'Output annual'!$AD$2&amp;"*Zone People Number Of Occupants [](Hourly)",'Eplus results'!$1:$1048576,ROW(),FALSE)</f>
        <v>0</v>
      </c>
      <c r="AC1414" s="580">
        <f>HLOOKUP("*"&amp;'Output annual'!$AC$2&amp;'Output annual'!$AD$2&amp;"*FangerPMV(Hourly)",'Eplus results'!$1:$1048576,ROW(),FALSE)</f>
        <v>0</v>
      </c>
      <c r="AD1414" s="580">
        <f t="shared" si="146"/>
        <v>5</v>
      </c>
      <c r="AE1414" s="580">
        <f t="shared" si="147"/>
        <v>2.5</v>
      </c>
      <c r="AF1414" s="580">
        <f t="shared" si="148"/>
        <v>2.5</v>
      </c>
      <c r="AG1414" s="580">
        <f t="shared" si="149"/>
        <v>0</v>
      </c>
      <c r="AH1414" s="580">
        <f t="shared" si="150"/>
        <v>0</v>
      </c>
    </row>
    <row r="1415" spans="28:34">
      <c r="AB1415" s="580">
        <f>HLOOKUP("*"&amp;'Output annual'!$AC$2&amp;'Output annual'!$AD$2&amp;"*Zone People Number Of Occupants [](Hourly)",'Eplus results'!$1:$1048576,ROW(),FALSE)</f>
        <v>0</v>
      </c>
      <c r="AC1415" s="580">
        <f>HLOOKUP("*"&amp;'Output annual'!$AC$2&amp;'Output annual'!$AD$2&amp;"*FangerPMV(Hourly)",'Eplus results'!$1:$1048576,ROW(),FALSE)</f>
        <v>0</v>
      </c>
      <c r="AD1415" s="580">
        <f t="shared" si="146"/>
        <v>5</v>
      </c>
      <c r="AE1415" s="580">
        <f t="shared" si="147"/>
        <v>2.5</v>
      </c>
      <c r="AF1415" s="580">
        <f t="shared" si="148"/>
        <v>2.5</v>
      </c>
      <c r="AG1415" s="580">
        <f t="shared" si="149"/>
        <v>0</v>
      </c>
      <c r="AH1415" s="580">
        <f t="shared" si="150"/>
        <v>0</v>
      </c>
    </row>
    <row r="1416" spans="28:34">
      <c r="AB1416" s="580">
        <f>HLOOKUP("*"&amp;'Output annual'!$AC$2&amp;'Output annual'!$AD$2&amp;"*Zone People Number Of Occupants [](Hourly)",'Eplus results'!$1:$1048576,ROW(),FALSE)</f>
        <v>0</v>
      </c>
      <c r="AC1416" s="580">
        <f>HLOOKUP("*"&amp;'Output annual'!$AC$2&amp;'Output annual'!$AD$2&amp;"*FangerPMV(Hourly)",'Eplus results'!$1:$1048576,ROW(),FALSE)</f>
        <v>0</v>
      </c>
      <c r="AD1416" s="580">
        <f t="shared" si="146"/>
        <v>5</v>
      </c>
      <c r="AE1416" s="580">
        <f t="shared" si="147"/>
        <v>2.5</v>
      </c>
      <c r="AF1416" s="580">
        <f t="shared" si="148"/>
        <v>2.5</v>
      </c>
      <c r="AG1416" s="580">
        <f t="shared" si="149"/>
        <v>0</v>
      </c>
      <c r="AH1416" s="580">
        <f t="shared" si="150"/>
        <v>0</v>
      </c>
    </row>
    <row r="1417" spans="28:34">
      <c r="AB1417" s="580">
        <f>HLOOKUP("*"&amp;'Output annual'!$AC$2&amp;'Output annual'!$AD$2&amp;"*Zone People Number Of Occupants [](Hourly)",'Eplus results'!$1:$1048576,ROW(),FALSE)</f>
        <v>0</v>
      </c>
      <c r="AC1417" s="580">
        <f>HLOOKUP("*"&amp;'Output annual'!$AC$2&amp;'Output annual'!$AD$2&amp;"*FangerPMV(Hourly)",'Eplus results'!$1:$1048576,ROW(),FALSE)</f>
        <v>0</v>
      </c>
      <c r="AD1417" s="580">
        <f t="shared" si="146"/>
        <v>5</v>
      </c>
      <c r="AE1417" s="580">
        <f t="shared" si="147"/>
        <v>2.5</v>
      </c>
      <c r="AF1417" s="580">
        <f t="shared" si="148"/>
        <v>2.5</v>
      </c>
      <c r="AG1417" s="580">
        <f t="shared" si="149"/>
        <v>0</v>
      </c>
      <c r="AH1417" s="580">
        <f t="shared" si="150"/>
        <v>0</v>
      </c>
    </row>
    <row r="1418" spans="28:34">
      <c r="AB1418" s="580">
        <f>HLOOKUP("*"&amp;'Output annual'!$AC$2&amp;'Output annual'!$AD$2&amp;"*Zone People Number Of Occupants [](Hourly)",'Eplus results'!$1:$1048576,ROW(),FALSE)</f>
        <v>0</v>
      </c>
      <c r="AC1418" s="580">
        <f>HLOOKUP("*"&amp;'Output annual'!$AC$2&amp;'Output annual'!$AD$2&amp;"*FangerPMV(Hourly)",'Eplus results'!$1:$1048576,ROW(),FALSE)</f>
        <v>0</v>
      </c>
      <c r="AD1418" s="580">
        <f t="shared" si="146"/>
        <v>5</v>
      </c>
      <c r="AE1418" s="580">
        <f t="shared" si="147"/>
        <v>2.5</v>
      </c>
      <c r="AF1418" s="580">
        <f t="shared" si="148"/>
        <v>2.5</v>
      </c>
      <c r="AG1418" s="580">
        <f t="shared" si="149"/>
        <v>0</v>
      </c>
      <c r="AH1418" s="580">
        <f t="shared" si="150"/>
        <v>0</v>
      </c>
    </row>
    <row r="1419" spans="28:34">
      <c r="AB1419" s="580">
        <f>HLOOKUP("*"&amp;'Output annual'!$AC$2&amp;'Output annual'!$AD$2&amp;"*Zone People Number Of Occupants [](Hourly)",'Eplus results'!$1:$1048576,ROW(),FALSE)</f>
        <v>0</v>
      </c>
      <c r="AC1419" s="580">
        <f>HLOOKUP("*"&amp;'Output annual'!$AC$2&amp;'Output annual'!$AD$2&amp;"*FangerPMV(Hourly)",'Eplus results'!$1:$1048576,ROW(),FALSE)</f>
        <v>0</v>
      </c>
      <c r="AD1419" s="580">
        <f t="shared" si="146"/>
        <v>5</v>
      </c>
      <c r="AE1419" s="580">
        <f t="shared" si="147"/>
        <v>2.5</v>
      </c>
      <c r="AF1419" s="580">
        <f t="shared" si="148"/>
        <v>2.5</v>
      </c>
      <c r="AG1419" s="580">
        <f t="shared" si="149"/>
        <v>0</v>
      </c>
      <c r="AH1419" s="580">
        <f t="shared" si="150"/>
        <v>0</v>
      </c>
    </row>
    <row r="1420" spans="28:34">
      <c r="AB1420" s="580">
        <f>HLOOKUP("*"&amp;'Output annual'!$AC$2&amp;'Output annual'!$AD$2&amp;"*Zone People Number Of Occupants [](Hourly)",'Eplus results'!$1:$1048576,ROW(),FALSE)</f>
        <v>0</v>
      </c>
      <c r="AC1420" s="580">
        <f>HLOOKUP("*"&amp;'Output annual'!$AC$2&amp;'Output annual'!$AD$2&amp;"*FangerPMV(Hourly)",'Eplus results'!$1:$1048576,ROW(),FALSE)</f>
        <v>0</v>
      </c>
      <c r="AD1420" s="580">
        <f t="shared" si="146"/>
        <v>5</v>
      </c>
      <c r="AE1420" s="580">
        <f t="shared" si="147"/>
        <v>2.5</v>
      </c>
      <c r="AF1420" s="580">
        <f t="shared" si="148"/>
        <v>2.5</v>
      </c>
      <c r="AG1420" s="580">
        <f t="shared" si="149"/>
        <v>0</v>
      </c>
      <c r="AH1420" s="580">
        <f t="shared" si="150"/>
        <v>0</v>
      </c>
    </row>
    <row r="1421" spans="28:34">
      <c r="AB1421" s="580">
        <f>HLOOKUP("*"&amp;'Output annual'!$AC$2&amp;'Output annual'!$AD$2&amp;"*Zone People Number Of Occupants [](Hourly)",'Eplus results'!$1:$1048576,ROW(),FALSE)</f>
        <v>0</v>
      </c>
      <c r="AC1421" s="580">
        <f>HLOOKUP("*"&amp;'Output annual'!$AC$2&amp;'Output annual'!$AD$2&amp;"*FangerPMV(Hourly)",'Eplus results'!$1:$1048576,ROW(),FALSE)</f>
        <v>0</v>
      </c>
      <c r="AD1421" s="580">
        <f t="shared" si="146"/>
        <v>5</v>
      </c>
      <c r="AE1421" s="580">
        <f t="shared" si="147"/>
        <v>2.5</v>
      </c>
      <c r="AF1421" s="580">
        <f t="shared" si="148"/>
        <v>2.5</v>
      </c>
      <c r="AG1421" s="580">
        <f t="shared" si="149"/>
        <v>0</v>
      </c>
      <c r="AH1421" s="580">
        <f t="shared" si="150"/>
        <v>0</v>
      </c>
    </row>
    <row r="1422" spans="28:34">
      <c r="AB1422" s="580">
        <f>HLOOKUP("*"&amp;'Output annual'!$AC$2&amp;'Output annual'!$AD$2&amp;"*Zone People Number Of Occupants [](Hourly)",'Eplus results'!$1:$1048576,ROW(),FALSE)</f>
        <v>0</v>
      </c>
      <c r="AC1422" s="580">
        <f>HLOOKUP("*"&amp;'Output annual'!$AC$2&amp;'Output annual'!$AD$2&amp;"*FangerPMV(Hourly)",'Eplus results'!$1:$1048576,ROW(),FALSE)</f>
        <v>0</v>
      </c>
      <c r="AD1422" s="580">
        <f t="shared" si="146"/>
        <v>5</v>
      </c>
      <c r="AE1422" s="580">
        <f t="shared" si="147"/>
        <v>2.5</v>
      </c>
      <c r="AF1422" s="580">
        <f t="shared" si="148"/>
        <v>2.5</v>
      </c>
      <c r="AG1422" s="580">
        <f t="shared" si="149"/>
        <v>0</v>
      </c>
      <c r="AH1422" s="580">
        <f t="shared" si="150"/>
        <v>0</v>
      </c>
    </row>
    <row r="1423" spans="28:34">
      <c r="AB1423" s="580">
        <f>HLOOKUP("*"&amp;'Output annual'!$AC$2&amp;'Output annual'!$AD$2&amp;"*Zone People Number Of Occupants [](Hourly)",'Eplus results'!$1:$1048576,ROW(),FALSE)</f>
        <v>0</v>
      </c>
      <c r="AC1423" s="580">
        <f>HLOOKUP("*"&amp;'Output annual'!$AC$2&amp;'Output annual'!$AD$2&amp;"*FangerPMV(Hourly)",'Eplus results'!$1:$1048576,ROW(),FALSE)</f>
        <v>0</v>
      </c>
      <c r="AD1423" s="580">
        <f t="shared" si="146"/>
        <v>5</v>
      </c>
      <c r="AE1423" s="580">
        <f t="shared" si="147"/>
        <v>2.5</v>
      </c>
      <c r="AF1423" s="580">
        <f t="shared" si="148"/>
        <v>2.5</v>
      </c>
      <c r="AG1423" s="580">
        <f t="shared" si="149"/>
        <v>0</v>
      </c>
      <c r="AH1423" s="580">
        <f t="shared" si="150"/>
        <v>0</v>
      </c>
    </row>
    <row r="1424" spans="28:34">
      <c r="AB1424" s="580">
        <f>HLOOKUP("*"&amp;'Output annual'!$AC$2&amp;'Output annual'!$AD$2&amp;"*Zone People Number Of Occupants [](Hourly)",'Eplus results'!$1:$1048576,ROW(),FALSE)</f>
        <v>0</v>
      </c>
      <c r="AC1424" s="580">
        <f>HLOOKUP("*"&amp;'Output annual'!$AC$2&amp;'Output annual'!$AD$2&amp;"*FangerPMV(Hourly)",'Eplus results'!$1:$1048576,ROW(),FALSE)</f>
        <v>0</v>
      </c>
      <c r="AD1424" s="580">
        <f t="shared" si="146"/>
        <v>5</v>
      </c>
      <c r="AE1424" s="580">
        <f t="shared" si="147"/>
        <v>2.5</v>
      </c>
      <c r="AF1424" s="580">
        <f t="shared" si="148"/>
        <v>2.5</v>
      </c>
      <c r="AG1424" s="580">
        <f t="shared" si="149"/>
        <v>0</v>
      </c>
      <c r="AH1424" s="580">
        <f t="shared" si="150"/>
        <v>0</v>
      </c>
    </row>
    <row r="1425" spans="28:34">
      <c r="AB1425" s="580">
        <f>HLOOKUP("*"&amp;'Output annual'!$AC$2&amp;'Output annual'!$AD$2&amp;"*Zone People Number Of Occupants [](Hourly)",'Eplus results'!$1:$1048576,ROW(),FALSE)</f>
        <v>0</v>
      </c>
      <c r="AC1425" s="580">
        <f>HLOOKUP("*"&amp;'Output annual'!$AC$2&amp;'Output annual'!$AD$2&amp;"*FangerPMV(Hourly)",'Eplus results'!$1:$1048576,ROW(),FALSE)</f>
        <v>0</v>
      </c>
      <c r="AD1425" s="580">
        <f t="shared" si="146"/>
        <v>5</v>
      </c>
      <c r="AE1425" s="580">
        <f t="shared" si="147"/>
        <v>2.5</v>
      </c>
      <c r="AF1425" s="580">
        <f t="shared" si="148"/>
        <v>2.5</v>
      </c>
      <c r="AG1425" s="580">
        <f t="shared" si="149"/>
        <v>0</v>
      </c>
      <c r="AH1425" s="580">
        <f t="shared" si="150"/>
        <v>0</v>
      </c>
    </row>
    <row r="1426" spans="28:34">
      <c r="AB1426" s="580">
        <f>HLOOKUP("*"&amp;'Output annual'!$AC$2&amp;'Output annual'!$AD$2&amp;"*Zone People Number Of Occupants [](Hourly)",'Eplus results'!$1:$1048576,ROW(),FALSE)</f>
        <v>0</v>
      </c>
      <c r="AC1426" s="580">
        <f>HLOOKUP("*"&amp;'Output annual'!$AC$2&amp;'Output annual'!$AD$2&amp;"*FangerPMV(Hourly)",'Eplus results'!$1:$1048576,ROW(),FALSE)</f>
        <v>0</v>
      </c>
      <c r="AD1426" s="580">
        <f t="shared" si="146"/>
        <v>5</v>
      </c>
      <c r="AE1426" s="580">
        <f t="shared" si="147"/>
        <v>2.5</v>
      </c>
      <c r="AF1426" s="580">
        <f t="shared" si="148"/>
        <v>2.5</v>
      </c>
      <c r="AG1426" s="580">
        <f t="shared" si="149"/>
        <v>0</v>
      </c>
      <c r="AH1426" s="580">
        <f t="shared" si="150"/>
        <v>0</v>
      </c>
    </row>
    <row r="1427" spans="28:34">
      <c r="AB1427" s="580">
        <f>HLOOKUP("*"&amp;'Output annual'!$AC$2&amp;'Output annual'!$AD$2&amp;"*Zone People Number Of Occupants [](Hourly)",'Eplus results'!$1:$1048576,ROW(),FALSE)</f>
        <v>0</v>
      </c>
      <c r="AC1427" s="580">
        <f>HLOOKUP("*"&amp;'Output annual'!$AC$2&amp;'Output annual'!$AD$2&amp;"*FangerPMV(Hourly)",'Eplus results'!$1:$1048576,ROW(),FALSE)</f>
        <v>0</v>
      </c>
      <c r="AD1427" s="580">
        <f t="shared" si="146"/>
        <v>5</v>
      </c>
      <c r="AE1427" s="580">
        <f t="shared" si="147"/>
        <v>2.5</v>
      </c>
      <c r="AF1427" s="580">
        <f t="shared" si="148"/>
        <v>2.5</v>
      </c>
      <c r="AG1427" s="580">
        <f t="shared" si="149"/>
        <v>0</v>
      </c>
      <c r="AH1427" s="580">
        <f t="shared" si="150"/>
        <v>0</v>
      </c>
    </row>
    <row r="1428" spans="28:34">
      <c r="AB1428" s="580">
        <f>HLOOKUP("*"&amp;'Output annual'!$AC$2&amp;'Output annual'!$AD$2&amp;"*Zone People Number Of Occupants [](Hourly)",'Eplus results'!$1:$1048576,ROW(),FALSE)</f>
        <v>0</v>
      </c>
      <c r="AC1428" s="580">
        <f>HLOOKUP("*"&amp;'Output annual'!$AC$2&amp;'Output annual'!$AD$2&amp;"*FangerPMV(Hourly)",'Eplus results'!$1:$1048576,ROW(),FALSE)</f>
        <v>0</v>
      </c>
      <c r="AD1428" s="580">
        <f t="shared" si="146"/>
        <v>5</v>
      </c>
      <c r="AE1428" s="580">
        <f t="shared" si="147"/>
        <v>2.5</v>
      </c>
      <c r="AF1428" s="580">
        <f t="shared" si="148"/>
        <v>2.5</v>
      </c>
      <c r="AG1428" s="580">
        <f t="shared" si="149"/>
        <v>0</v>
      </c>
      <c r="AH1428" s="580">
        <f t="shared" si="150"/>
        <v>0</v>
      </c>
    </row>
    <row r="1429" spans="28:34">
      <c r="AB1429" s="580">
        <f>HLOOKUP("*"&amp;'Output annual'!$AC$2&amp;'Output annual'!$AD$2&amp;"*Zone People Number Of Occupants [](Hourly)",'Eplus results'!$1:$1048576,ROW(),FALSE)</f>
        <v>0</v>
      </c>
      <c r="AC1429" s="580">
        <f>HLOOKUP("*"&amp;'Output annual'!$AC$2&amp;'Output annual'!$AD$2&amp;"*FangerPMV(Hourly)",'Eplus results'!$1:$1048576,ROW(),FALSE)</f>
        <v>0</v>
      </c>
      <c r="AD1429" s="580">
        <f t="shared" si="146"/>
        <v>5</v>
      </c>
      <c r="AE1429" s="580">
        <f t="shared" si="147"/>
        <v>2.5</v>
      </c>
      <c r="AF1429" s="580">
        <f t="shared" si="148"/>
        <v>2.5</v>
      </c>
      <c r="AG1429" s="580">
        <f t="shared" si="149"/>
        <v>0</v>
      </c>
      <c r="AH1429" s="580">
        <f t="shared" si="150"/>
        <v>0</v>
      </c>
    </row>
    <row r="1430" spans="28:34">
      <c r="AB1430" s="580">
        <f>HLOOKUP("*"&amp;'Output annual'!$AC$2&amp;'Output annual'!$AD$2&amp;"*Zone People Number Of Occupants [](Hourly)",'Eplus results'!$1:$1048576,ROW(),FALSE)</f>
        <v>0</v>
      </c>
      <c r="AC1430" s="580">
        <f>HLOOKUP("*"&amp;'Output annual'!$AC$2&amp;'Output annual'!$AD$2&amp;"*FangerPMV(Hourly)",'Eplus results'!$1:$1048576,ROW(),FALSE)</f>
        <v>0</v>
      </c>
      <c r="AD1430" s="580">
        <f t="shared" si="146"/>
        <v>5</v>
      </c>
      <c r="AE1430" s="580">
        <f t="shared" si="147"/>
        <v>2.5</v>
      </c>
      <c r="AF1430" s="580">
        <f t="shared" si="148"/>
        <v>2.5</v>
      </c>
      <c r="AG1430" s="580">
        <f t="shared" si="149"/>
        <v>0</v>
      </c>
      <c r="AH1430" s="580">
        <f t="shared" si="150"/>
        <v>0</v>
      </c>
    </row>
    <row r="1431" spans="28:34">
      <c r="AB1431" s="580">
        <f>HLOOKUP("*"&amp;'Output annual'!$AC$2&amp;'Output annual'!$AD$2&amp;"*Zone People Number Of Occupants [](Hourly)",'Eplus results'!$1:$1048576,ROW(),FALSE)</f>
        <v>0</v>
      </c>
      <c r="AC1431" s="580">
        <f>HLOOKUP("*"&amp;'Output annual'!$AC$2&amp;'Output annual'!$AD$2&amp;"*FangerPMV(Hourly)",'Eplus results'!$1:$1048576,ROW(),FALSE)</f>
        <v>0</v>
      </c>
      <c r="AD1431" s="580">
        <f t="shared" si="146"/>
        <v>5</v>
      </c>
      <c r="AE1431" s="580">
        <f t="shared" si="147"/>
        <v>2.5</v>
      </c>
      <c r="AF1431" s="580">
        <f t="shared" si="148"/>
        <v>2.5</v>
      </c>
      <c r="AG1431" s="580">
        <f t="shared" si="149"/>
        <v>0</v>
      </c>
      <c r="AH1431" s="580">
        <f t="shared" si="150"/>
        <v>0</v>
      </c>
    </row>
    <row r="1432" spans="28:34">
      <c r="AB1432" s="580">
        <f>HLOOKUP("*"&amp;'Output annual'!$AC$2&amp;'Output annual'!$AD$2&amp;"*Zone People Number Of Occupants [](Hourly)",'Eplus results'!$1:$1048576,ROW(),FALSE)</f>
        <v>0</v>
      </c>
      <c r="AC1432" s="580">
        <f>HLOOKUP("*"&amp;'Output annual'!$AC$2&amp;'Output annual'!$AD$2&amp;"*FangerPMV(Hourly)",'Eplus results'!$1:$1048576,ROW(),FALSE)</f>
        <v>0</v>
      </c>
      <c r="AD1432" s="580">
        <f t="shared" si="146"/>
        <v>5</v>
      </c>
      <c r="AE1432" s="580">
        <f t="shared" si="147"/>
        <v>2.5</v>
      </c>
      <c r="AF1432" s="580">
        <f t="shared" si="148"/>
        <v>2.5</v>
      </c>
      <c r="AG1432" s="580">
        <f t="shared" si="149"/>
        <v>0</v>
      </c>
      <c r="AH1432" s="580">
        <f t="shared" si="150"/>
        <v>0</v>
      </c>
    </row>
    <row r="1433" spans="28:34">
      <c r="AB1433" s="580">
        <f>HLOOKUP("*"&amp;'Output annual'!$AC$2&amp;'Output annual'!$AD$2&amp;"*Zone People Number Of Occupants [](Hourly)",'Eplus results'!$1:$1048576,ROW(),FALSE)</f>
        <v>0</v>
      </c>
      <c r="AC1433" s="580">
        <f>HLOOKUP("*"&amp;'Output annual'!$AC$2&amp;'Output annual'!$AD$2&amp;"*FangerPMV(Hourly)",'Eplus results'!$1:$1048576,ROW(),FALSE)</f>
        <v>0</v>
      </c>
      <c r="AD1433" s="580">
        <f t="shared" si="146"/>
        <v>5</v>
      </c>
      <c r="AE1433" s="580">
        <f t="shared" si="147"/>
        <v>2.5</v>
      </c>
      <c r="AF1433" s="580">
        <f t="shared" si="148"/>
        <v>2.5</v>
      </c>
      <c r="AG1433" s="580">
        <f t="shared" si="149"/>
        <v>0</v>
      </c>
      <c r="AH1433" s="580">
        <f t="shared" si="150"/>
        <v>0</v>
      </c>
    </row>
    <row r="1434" spans="28:34">
      <c r="AB1434" s="580">
        <f>HLOOKUP("*"&amp;'Output annual'!$AC$2&amp;'Output annual'!$AD$2&amp;"*Zone People Number Of Occupants [](Hourly)",'Eplus results'!$1:$1048576,ROW(),FALSE)</f>
        <v>0</v>
      </c>
      <c r="AC1434" s="580">
        <f>HLOOKUP("*"&amp;'Output annual'!$AC$2&amp;'Output annual'!$AD$2&amp;"*FangerPMV(Hourly)",'Eplus results'!$1:$1048576,ROW(),FALSE)</f>
        <v>0</v>
      </c>
      <c r="AD1434" s="580">
        <f t="shared" si="146"/>
        <v>5</v>
      </c>
      <c r="AE1434" s="580">
        <f t="shared" si="147"/>
        <v>2.5</v>
      </c>
      <c r="AF1434" s="580">
        <f t="shared" si="148"/>
        <v>2.5</v>
      </c>
      <c r="AG1434" s="580">
        <f t="shared" si="149"/>
        <v>0</v>
      </c>
      <c r="AH1434" s="580">
        <f t="shared" si="150"/>
        <v>0</v>
      </c>
    </row>
    <row r="1435" spans="28:34">
      <c r="AB1435" s="580">
        <f>HLOOKUP("*"&amp;'Output annual'!$AC$2&amp;'Output annual'!$AD$2&amp;"*Zone People Number Of Occupants [](Hourly)",'Eplus results'!$1:$1048576,ROW(),FALSE)</f>
        <v>0</v>
      </c>
      <c r="AC1435" s="580">
        <f>HLOOKUP("*"&amp;'Output annual'!$AC$2&amp;'Output annual'!$AD$2&amp;"*FangerPMV(Hourly)",'Eplus results'!$1:$1048576,ROW(),FALSE)</f>
        <v>0</v>
      </c>
      <c r="AD1435" s="580">
        <f t="shared" si="146"/>
        <v>5</v>
      </c>
      <c r="AE1435" s="580">
        <f t="shared" si="147"/>
        <v>2.5</v>
      </c>
      <c r="AF1435" s="580">
        <f t="shared" si="148"/>
        <v>2.5</v>
      </c>
      <c r="AG1435" s="580">
        <f t="shared" si="149"/>
        <v>0</v>
      </c>
      <c r="AH1435" s="580">
        <f t="shared" si="150"/>
        <v>0</v>
      </c>
    </row>
    <row r="1436" spans="28:34">
      <c r="AB1436" s="580">
        <f>HLOOKUP("*"&amp;'Output annual'!$AC$2&amp;'Output annual'!$AD$2&amp;"*Zone People Number Of Occupants [](Hourly)",'Eplus results'!$1:$1048576,ROW(),FALSE)</f>
        <v>0</v>
      </c>
      <c r="AC1436" s="580">
        <f>HLOOKUP("*"&amp;'Output annual'!$AC$2&amp;'Output annual'!$AD$2&amp;"*FangerPMV(Hourly)",'Eplus results'!$1:$1048576,ROW(),FALSE)</f>
        <v>0</v>
      </c>
      <c r="AD1436" s="580">
        <f t="shared" si="146"/>
        <v>5</v>
      </c>
      <c r="AE1436" s="580">
        <f t="shared" si="147"/>
        <v>2.5</v>
      </c>
      <c r="AF1436" s="580">
        <f t="shared" si="148"/>
        <v>2.5</v>
      </c>
      <c r="AG1436" s="580">
        <f t="shared" si="149"/>
        <v>0</v>
      </c>
      <c r="AH1436" s="580">
        <f t="shared" si="150"/>
        <v>0</v>
      </c>
    </row>
    <row r="1437" spans="28:34">
      <c r="AB1437" s="580">
        <f>HLOOKUP("*"&amp;'Output annual'!$AC$2&amp;'Output annual'!$AD$2&amp;"*Zone People Number Of Occupants [](Hourly)",'Eplus results'!$1:$1048576,ROW(),FALSE)</f>
        <v>0</v>
      </c>
      <c r="AC1437" s="580">
        <f>HLOOKUP("*"&amp;'Output annual'!$AC$2&amp;'Output annual'!$AD$2&amp;"*FangerPMV(Hourly)",'Eplus results'!$1:$1048576,ROW(),FALSE)</f>
        <v>0</v>
      </c>
      <c r="AD1437" s="580">
        <f t="shared" si="146"/>
        <v>5</v>
      </c>
      <c r="AE1437" s="580">
        <f t="shared" si="147"/>
        <v>2.5</v>
      </c>
      <c r="AF1437" s="580">
        <f t="shared" si="148"/>
        <v>2.5</v>
      </c>
      <c r="AG1437" s="580">
        <f t="shared" si="149"/>
        <v>0</v>
      </c>
      <c r="AH1437" s="580">
        <f t="shared" si="150"/>
        <v>0</v>
      </c>
    </row>
    <row r="1438" spans="28:34">
      <c r="AB1438" s="580">
        <f>HLOOKUP("*"&amp;'Output annual'!$AC$2&amp;'Output annual'!$AD$2&amp;"*Zone People Number Of Occupants [](Hourly)",'Eplus results'!$1:$1048576,ROW(),FALSE)</f>
        <v>0</v>
      </c>
      <c r="AC1438" s="580">
        <f>HLOOKUP("*"&amp;'Output annual'!$AC$2&amp;'Output annual'!$AD$2&amp;"*FangerPMV(Hourly)",'Eplus results'!$1:$1048576,ROW(),FALSE)</f>
        <v>0</v>
      </c>
      <c r="AD1438" s="580">
        <f t="shared" si="146"/>
        <v>5</v>
      </c>
      <c r="AE1438" s="580">
        <f t="shared" si="147"/>
        <v>2.5</v>
      </c>
      <c r="AF1438" s="580">
        <f t="shared" si="148"/>
        <v>2.5</v>
      </c>
      <c r="AG1438" s="580">
        <f t="shared" si="149"/>
        <v>0</v>
      </c>
      <c r="AH1438" s="580">
        <f t="shared" si="150"/>
        <v>0</v>
      </c>
    </row>
    <row r="1439" spans="28:34">
      <c r="AB1439" s="580">
        <f>HLOOKUP("*"&amp;'Output annual'!$AC$2&amp;'Output annual'!$AD$2&amp;"*Zone People Number Of Occupants [](Hourly)",'Eplus results'!$1:$1048576,ROW(),FALSE)</f>
        <v>0</v>
      </c>
      <c r="AC1439" s="580">
        <f>HLOOKUP("*"&amp;'Output annual'!$AC$2&amp;'Output annual'!$AD$2&amp;"*FangerPMV(Hourly)",'Eplus results'!$1:$1048576,ROW(),FALSE)</f>
        <v>0</v>
      </c>
      <c r="AD1439" s="580">
        <f t="shared" si="146"/>
        <v>5</v>
      </c>
      <c r="AE1439" s="580">
        <f t="shared" si="147"/>
        <v>2.5</v>
      </c>
      <c r="AF1439" s="580">
        <f t="shared" si="148"/>
        <v>2.5</v>
      </c>
      <c r="AG1439" s="580">
        <f t="shared" si="149"/>
        <v>0</v>
      </c>
      <c r="AH1439" s="580">
        <f t="shared" si="150"/>
        <v>0</v>
      </c>
    </row>
    <row r="1440" spans="28:34">
      <c r="AB1440" s="580">
        <f>HLOOKUP("*"&amp;'Output annual'!$AC$2&amp;'Output annual'!$AD$2&amp;"*Zone People Number Of Occupants [](Hourly)",'Eplus results'!$1:$1048576,ROW(),FALSE)</f>
        <v>0</v>
      </c>
      <c r="AC1440" s="580">
        <f>HLOOKUP("*"&amp;'Output annual'!$AC$2&amp;'Output annual'!$AD$2&amp;"*FangerPMV(Hourly)",'Eplus results'!$1:$1048576,ROW(),FALSE)</f>
        <v>0</v>
      </c>
      <c r="AD1440" s="580">
        <f t="shared" si="146"/>
        <v>5</v>
      </c>
      <c r="AE1440" s="580">
        <f t="shared" si="147"/>
        <v>2.5</v>
      </c>
      <c r="AF1440" s="580">
        <f t="shared" si="148"/>
        <v>2.5</v>
      </c>
      <c r="AG1440" s="580">
        <f t="shared" si="149"/>
        <v>0</v>
      </c>
      <c r="AH1440" s="580">
        <f t="shared" si="150"/>
        <v>0</v>
      </c>
    </row>
    <row r="1441" spans="28:34">
      <c r="AB1441" s="580">
        <f>HLOOKUP("*"&amp;'Output annual'!$AC$2&amp;'Output annual'!$AD$2&amp;"*Zone People Number Of Occupants [](Hourly)",'Eplus results'!$1:$1048576,ROW(),FALSE)</f>
        <v>0</v>
      </c>
      <c r="AC1441" s="580">
        <f>HLOOKUP("*"&amp;'Output annual'!$AC$2&amp;'Output annual'!$AD$2&amp;"*FangerPMV(Hourly)",'Eplus results'!$1:$1048576,ROW(),FALSE)</f>
        <v>0</v>
      </c>
      <c r="AD1441" s="580">
        <f t="shared" si="146"/>
        <v>5</v>
      </c>
      <c r="AE1441" s="580">
        <f t="shared" si="147"/>
        <v>2.5</v>
      </c>
      <c r="AF1441" s="580">
        <f t="shared" si="148"/>
        <v>2.5</v>
      </c>
      <c r="AG1441" s="580">
        <f t="shared" si="149"/>
        <v>0</v>
      </c>
      <c r="AH1441" s="580">
        <f t="shared" si="150"/>
        <v>0</v>
      </c>
    </row>
    <row r="1442" spans="28:34">
      <c r="AB1442" s="580">
        <f>HLOOKUP("*"&amp;'Output annual'!$AC$2&amp;'Output annual'!$AD$2&amp;"*Zone People Number Of Occupants [](Hourly)",'Eplus results'!$1:$1048576,ROW(),FALSE)</f>
        <v>0</v>
      </c>
      <c r="AC1442" s="580">
        <f>HLOOKUP("*"&amp;'Output annual'!$AC$2&amp;'Output annual'!$AD$2&amp;"*FangerPMV(Hourly)",'Eplus results'!$1:$1048576,ROW(),FALSE)</f>
        <v>0</v>
      </c>
      <c r="AD1442" s="580">
        <f t="shared" si="146"/>
        <v>5</v>
      </c>
      <c r="AE1442" s="580">
        <f t="shared" si="147"/>
        <v>2.5</v>
      </c>
      <c r="AF1442" s="580">
        <f t="shared" si="148"/>
        <v>2.5</v>
      </c>
      <c r="AG1442" s="580">
        <f t="shared" si="149"/>
        <v>0</v>
      </c>
      <c r="AH1442" s="580">
        <f t="shared" si="150"/>
        <v>0</v>
      </c>
    </row>
    <row r="1443" spans="28:34">
      <c r="AB1443" s="580">
        <f>HLOOKUP("*"&amp;'Output annual'!$AC$2&amp;'Output annual'!$AD$2&amp;"*Zone People Number Of Occupants [](Hourly)",'Eplus results'!$1:$1048576,ROW(),FALSE)</f>
        <v>0</v>
      </c>
      <c r="AC1443" s="580">
        <f>HLOOKUP("*"&amp;'Output annual'!$AC$2&amp;'Output annual'!$AD$2&amp;"*FangerPMV(Hourly)",'Eplus results'!$1:$1048576,ROW(),FALSE)</f>
        <v>0</v>
      </c>
      <c r="AD1443" s="580">
        <f t="shared" si="146"/>
        <v>5</v>
      </c>
      <c r="AE1443" s="580">
        <f t="shared" si="147"/>
        <v>2.5</v>
      </c>
      <c r="AF1443" s="580">
        <f t="shared" si="148"/>
        <v>2.5</v>
      </c>
      <c r="AG1443" s="580">
        <f t="shared" si="149"/>
        <v>0</v>
      </c>
      <c r="AH1443" s="580">
        <f t="shared" si="150"/>
        <v>0</v>
      </c>
    </row>
    <row r="1444" spans="28:34">
      <c r="AB1444" s="580">
        <f>HLOOKUP("*"&amp;'Output annual'!$AC$2&amp;'Output annual'!$AD$2&amp;"*Zone People Number Of Occupants [](Hourly)",'Eplus results'!$1:$1048576,ROW(),FALSE)</f>
        <v>0</v>
      </c>
      <c r="AC1444" s="580">
        <f>HLOOKUP("*"&amp;'Output annual'!$AC$2&amp;'Output annual'!$AD$2&amp;"*FangerPMV(Hourly)",'Eplus results'!$1:$1048576,ROW(),FALSE)</f>
        <v>0</v>
      </c>
      <c r="AD1444" s="580">
        <f t="shared" si="146"/>
        <v>5</v>
      </c>
      <c r="AE1444" s="580">
        <f t="shared" si="147"/>
        <v>2.5</v>
      </c>
      <c r="AF1444" s="580">
        <f t="shared" si="148"/>
        <v>2.5</v>
      </c>
      <c r="AG1444" s="580">
        <f t="shared" si="149"/>
        <v>0</v>
      </c>
      <c r="AH1444" s="580">
        <f t="shared" si="150"/>
        <v>0</v>
      </c>
    </row>
    <row r="1445" spans="28:34">
      <c r="AB1445" s="580">
        <f>HLOOKUP("*"&amp;'Output annual'!$AC$2&amp;'Output annual'!$AD$2&amp;"*Zone People Number Of Occupants [](Hourly)",'Eplus results'!$1:$1048576,ROW(),FALSE)</f>
        <v>0</v>
      </c>
      <c r="AC1445" s="580">
        <f>HLOOKUP("*"&amp;'Output annual'!$AC$2&amp;'Output annual'!$AD$2&amp;"*FangerPMV(Hourly)",'Eplus results'!$1:$1048576,ROW(),FALSE)</f>
        <v>0</v>
      </c>
      <c r="AD1445" s="580">
        <f t="shared" si="146"/>
        <v>5</v>
      </c>
      <c r="AE1445" s="580">
        <f t="shared" si="147"/>
        <v>2.5</v>
      </c>
      <c r="AF1445" s="580">
        <f t="shared" si="148"/>
        <v>2.5</v>
      </c>
      <c r="AG1445" s="580">
        <f t="shared" si="149"/>
        <v>0</v>
      </c>
      <c r="AH1445" s="580">
        <f t="shared" si="150"/>
        <v>0</v>
      </c>
    </row>
    <row r="1446" spans="28:34">
      <c r="AB1446" s="580">
        <f>HLOOKUP("*"&amp;'Output annual'!$AC$2&amp;'Output annual'!$AD$2&amp;"*Zone People Number Of Occupants [](Hourly)",'Eplus results'!$1:$1048576,ROW(),FALSE)</f>
        <v>0</v>
      </c>
      <c r="AC1446" s="580">
        <f>HLOOKUP("*"&amp;'Output annual'!$AC$2&amp;'Output annual'!$AD$2&amp;"*FangerPMV(Hourly)",'Eplus results'!$1:$1048576,ROW(),FALSE)</f>
        <v>0</v>
      </c>
      <c r="AD1446" s="580">
        <f t="shared" si="146"/>
        <v>5</v>
      </c>
      <c r="AE1446" s="580">
        <f t="shared" si="147"/>
        <v>2.5</v>
      </c>
      <c r="AF1446" s="580">
        <f t="shared" si="148"/>
        <v>2.5</v>
      </c>
      <c r="AG1446" s="580">
        <f t="shared" si="149"/>
        <v>0</v>
      </c>
      <c r="AH1446" s="580">
        <f t="shared" si="150"/>
        <v>0</v>
      </c>
    </row>
    <row r="1447" spans="28:34">
      <c r="AB1447" s="580">
        <f>HLOOKUP("*"&amp;'Output annual'!$AC$2&amp;'Output annual'!$AD$2&amp;"*Zone People Number Of Occupants [](Hourly)",'Eplus results'!$1:$1048576,ROW(),FALSE)</f>
        <v>0</v>
      </c>
      <c r="AC1447" s="580">
        <f>HLOOKUP("*"&amp;'Output annual'!$AC$2&amp;'Output annual'!$AD$2&amp;"*FangerPMV(Hourly)",'Eplus results'!$1:$1048576,ROW(),FALSE)</f>
        <v>0</v>
      </c>
      <c r="AD1447" s="580">
        <f t="shared" si="146"/>
        <v>5</v>
      </c>
      <c r="AE1447" s="580">
        <f t="shared" si="147"/>
        <v>2.5</v>
      </c>
      <c r="AF1447" s="580">
        <f t="shared" si="148"/>
        <v>2.5</v>
      </c>
      <c r="AG1447" s="580">
        <f t="shared" si="149"/>
        <v>0</v>
      </c>
      <c r="AH1447" s="580">
        <f t="shared" si="150"/>
        <v>0</v>
      </c>
    </row>
    <row r="1448" spans="28:34">
      <c r="AB1448" s="580">
        <f>HLOOKUP("*"&amp;'Output annual'!$AC$2&amp;'Output annual'!$AD$2&amp;"*Zone People Number Of Occupants [](Hourly)",'Eplus results'!$1:$1048576,ROW(),FALSE)</f>
        <v>0</v>
      </c>
      <c r="AC1448" s="580">
        <f>HLOOKUP("*"&amp;'Output annual'!$AC$2&amp;'Output annual'!$AD$2&amp;"*FangerPMV(Hourly)",'Eplus results'!$1:$1048576,ROW(),FALSE)</f>
        <v>0</v>
      </c>
      <c r="AD1448" s="580">
        <f t="shared" si="146"/>
        <v>5</v>
      </c>
      <c r="AE1448" s="580">
        <f t="shared" si="147"/>
        <v>2.5</v>
      </c>
      <c r="AF1448" s="580">
        <f t="shared" si="148"/>
        <v>2.5</v>
      </c>
      <c r="AG1448" s="580">
        <f t="shared" si="149"/>
        <v>0</v>
      </c>
      <c r="AH1448" s="580">
        <f t="shared" si="150"/>
        <v>0</v>
      </c>
    </row>
    <row r="1449" spans="28:34">
      <c r="AB1449" s="580">
        <f>HLOOKUP("*"&amp;'Output annual'!$AC$2&amp;'Output annual'!$AD$2&amp;"*Zone People Number Of Occupants [](Hourly)",'Eplus results'!$1:$1048576,ROW(),FALSE)</f>
        <v>0</v>
      </c>
      <c r="AC1449" s="580">
        <f>HLOOKUP("*"&amp;'Output annual'!$AC$2&amp;'Output annual'!$AD$2&amp;"*FangerPMV(Hourly)",'Eplus results'!$1:$1048576,ROW(),FALSE)</f>
        <v>0</v>
      </c>
      <c r="AD1449" s="580">
        <f t="shared" si="146"/>
        <v>5</v>
      </c>
      <c r="AE1449" s="580">
        <f t="shared" si="147"/>
        <v>2.5</v>
      </c>
      <c r="AF1449" s="580">
        <f t="shared" si="148"/>
        <v>2.5</v>
      </c>
      <c r="AG1449" s="580">
        <f t="shared" si="149"/>
        <v>0</v>
      </c>
      <c r="AH1449" s="580">
        <f t="shared" si="150"/>
        <v>0</v>
      </c>
    </row>
    <row r="1450" spans="28:34">
      <c r="AB1450" s="580">
        <f>HLOOKUP("*"&amp;'Output annual'!$AC$2&amp;'Output annual'!$AD$2&amp;"*Zone People Number Of Occupants [](Hourly)",'Eplus results'!$1:$1048576,ROW(),FALSE)</f>
        <v>0</v>
      </c>
      <c r="AC1450" s="580">
        <f>HLOOKUP("*"&amp;'Output annual'!$AC$2&amp;'Output annual'!$AD$2&amp;"*FangerPMV(Hourly)",'Eplus results'!$1:$1048576,ROW(),FALSE)</f>
        <v>0</v>
      </c>
      <c r="AD1450" s="580">
        <f t="shared" si="146"/>
        <v>5</v>
      </c>
      <c r="AE1450" s="580">
        <f t="shared" si="147"/>
        <v>2.5</v>
      </c>
      <c r="AF1450" s="580">
        <f t="shared" si="148"/>
        <v>2.5</v>
      </c>
      <c r="AG1450" s="580">
        <f t="shared" si="149"/>
        <v>0</v>
      </c>
      <c r="AH1450" s="580">
        <f t="shared" si="150"/>
        <v>0</v>
      </c>
    </row>
    <row r="1451" spans="28:34">
      <c r="AB1451" s="580">
        <f>HLOOKUP("*"&amp;'Output annual'!$AC$2&amp;'Output annual'!$AD$2&amp;"*Zone People Number Of Occupants [](Hourly)",'Eplus results'!$1:$1048576,ROW(),FALSE)</f>
        <v>0</v>
      </c>
      <c r="AC1451" s="580">
        <f>HLOOKUP("*"&amp;'Output annual'!$AC$2&amp;'Output annual'!$AD$2&amp;"*FangerPMV(Hourly)",'Eplus results'!$1:$1048576,ROW(),FALSE)</f>
        <v>0</v>
      </c>
      <c r="AD1451" s="580">
        <f t="shared" si="146"/>
        <v>5</v>
      </c>
      <c r="AE1451" s="580">
        <f t="shared" si="147"/>
        <v>2.5</v>
      </c>
      <c r="AF1451" s="580">
        <f t="shared" si="148"/>
        <v>2.5</v>
      </c>
      <c r="AG1451" s="580">
        <f t="shared" si="149"/>
        <v>0</v>
      </c>
      <c r="AH1451" s="580">
        <f t="shared" si="150"/>
        <v>0</v>
      </c>
    </row>
    <row r="1452" spans="28:34">
      <c r="AB1452" s="580">
        <f>HLOOKUP("*"&amp;'Output annual'!$AC$2&amp;'Output annual'!$AD$2&amp;"*Zone People Number Of Occupants [](Hourly)",'Eplus results'!$1:$1048576,ROW(),FALSE)</f>
        <v>0</v>
      </c>
      <c r="AC1452" s="580">
        <f>HLOOKUP("*"&amp;'Output annual'!$AC$2&amp;'Output annual'!$AD$2&amp;"*FangerPMV(Hourly)",'Eplus results'!$1:$1048576,ROW(),FALSE)</f>
        <v>0</v>
      </c>
      <c r="AD1452" s="580">
        <f t="shared" si="146"/>
        <v>5</v>
      </c>
      <c r="AE1452" s="580">
        <f t="shared" si="147"/>
        <v>2.5</v>
      </c>
      <c r="AF1452" s="580">
        <f t="shared" si="148"/>
        <v>2.5</v>
      </c>
      <c r="AG1452" s="580">
        <f t="shared" si="149"/>
        <v>0</v>
      </c>
      <c r="AH1452" s="580">
        <f t="shared" si="150"/>
        <v>0</v>
      </c>
    </row>
    <row r="1453" spans="28:34">
      <c r="AB1453" s="580">
        <f>HLOOKUP("*"&amp;'Output annual'!$AC$2&amp;'Output annual'!$AD$2&amp;"*Zone People Number Of Occupants [](Hourly)",'Eplus results'!$1:$1048576,ROW(),FALSE)</f>
        <v>0</v>
      </c>
      <c r="AC1453" s="580">
        <f>HLOOKUP("*"&amp;'Output annual'!$AC$2&amp;'Output annual'!$AD$2&amp;"*FangerPMV(Hourly)",'Eplus results'!$1:$1048576,ROW(),FALSE)</f>
        <v>0</v>
      </c>
      <c r="AD1453" s="580">
        <f t="shared" si="146"/>
        <v>5</v>
      </c>
      <c r="AE1453" s="580">
        <f t="shared" si="147"/>
        <v>2.5</v>
      </c>
      <c r="AF1453" s="580">
        <f t="shared" si="148"/>
        <v>2.5</v>
      </c>
      <c r="AG1453" s="580">
        <f t="shared" si="149"/>
        <v>0</v>
      </c>
      <c r="AH1453" s="580">
        <f t="shared" si="150"/>
        <v>0</v>
      </c>
    </row>
    <row r="1454" spans="28:34">
      <c r="AB1454" s="580">
        <f>HLOOKUP("*"&amp;'Output annual'!$AC$2&amp;'Output annual'!$AD$2&amp;"*Zone People Number Of Occupants [](Hourly)",'Eplus results'!$1:$1048576,ROW(),FALSE)</f>
        <v>0</v>
      </c>
      <c r="AC1454" s="580">
        <f>HLOOKUP("*"&amp;'Output annual'!$AC$2&amp;'Output annual'!$AD$2&amp;"*FangerPMV(Hourly)",'Eplus results'!$1:$1048576,ROW(),FALSE)</f>
        <v>0</v>
      </c>
      <c r="AD1454" s="580">
        <f t="shared" si="146"/>
        <v>5</v>
      </c>
      <c r="AE1454" s="580">
        <f t="shared" si="147"/>
        <v>2.5</v>
      </c>
      <c r="AF1454" s="580">
        <f t="shared" si="148"/>
        <v>2.5</v>
      </c>
      <c r="AG1454" s="580">
        <f t="shared" si="149"/>
        <v>0</v>
      </c>
      <c r="AH1454" s="580">
        <f t="shared" si="150"/>
        <v>0</v>
      </c>
    </row>
    <row r="1455" spans="28:34">
      <c r="AB1455" s="580">
        <f>HLOOKUP("*"&amp;'Output annual'!$AC$2&amp;'Output annual'!$AD$2&amp;"*Zone People Number Of Occupants [](Hourly)",'Eplus results'!$1:$1048576,ROW(),FALSE)</f>
        <v>0</v>
      </c>
      <c r="AC1455" s="580">
        <f>HLOOKUP("*"&amp;'Output annual'!$AC$2&amp;'Output annual'!$AD$2&amp;"*FangerPMV(Hourly)",'Eplus results'!$1:$1048576,ROW(),FALSE)</f>
        <v>0</v>
      </c>
      <c r="AD1455" s="580">
        <f t="shared" si="146"/>
        <v>5</v>
      </c>
      <c r="AE1455" s="580">
        <f t="shared" si="147"/>
        <v>2.5</v>
      </c>
      <c r="AF1455" s="580">
        <f t="shared" si="148"/>
        <v>2.5</v>
      </c>
      <c r="AG1455" s="580">
        <f t="shared" si="149"/>
        <v>0</v>
      </c>
      <c r="AH1455" s="580">
        <f t="shared" si="150"/>
        <v>0</v>
      </c>
    </row>
    <row r="1456" spans="28:34">
      <c r="AB1456" s="580">
        <f>HLOOKUP("*"&amp;'Output annual'!$AC$2&amp;'Output annual'!$AD$2&amp;"*Zone People Number Of Occupants [](Hourly)",'Eplus results'!$1:$1048576,ROW(),FALSE)</f>
        <v>0</v>
      </c>
      <c r="AC1456" s="580">
        <f>HLOOKUP("*"&amp;'Output annual'!$AC$2&amp;'Output annual'!$AD$2&amp;"*FangerPMV(Hourly)",'Eplus results'!$1:$1048576,ROW(),FALSE)</f>
        <v>0</v>
      </c>
      <c r="AD1456" s="580">
        <f t="shared" si="146"/>
        <v>5</v>
      </c>
      <c r="AE1456" s="580">
        <f t="shared" si="147"/>
        <v>2.5</v>
      </c>
      <c r="AF1456" s="580">
        <f t="shared" si="148"/>
        <v>2.5</v>
      </c>
      <c r="AG1456" s="580">
        <f t="shared" si="149"/>
        <v>0</v>
      </c>
      <c r="AH1456" s="580">
        <f t="shared" si="150"/>
        <v>0</v>
      </c>
    </row>
    <row r="1457" spans="28:34">
      <c r="AB1457" s="580">
        <f>HLOOKUP("*"&amp;'Output annual'!$AC$2&amp;'Output annual'!$AD$2&amp;"*Zone People Number Of Occupants [](Hourly)",'Eplus results'!$1:$1048576,ROW(),FALSE)</f>
        <v>0</v>
      </c>
      <c r="AC1457" s="580">
        <f>HLOOKUP("*"&amp;'Output annual'!$AC$2&amp;'Output annual'!$AD$2&amp;"*FangerPMV(Hourly)",'Eplus results'!$1:$1048576,ROW(),FALSE)</f>
        <v>0</v>
      </c>
      <c r="AD1457" s="580">
        <f t="shared" si="146"/>
        <v>5</v>
      </c>
      <c r="AE1457" s="580">
        <f t="shared" si="147"/>
        <v>2.5</v>
      </c>
      <c r="AF1457" s="580">
        <f t="shared" si="148"/>
        <v>2.5</v>
      </c>
      <c r="AG1457" s="580">
        <f t="shared" si="149"/>
        <v>0</v>
      </c>
      <c r="AH1457" s="580">
        <f t="shared" si="150"/>
        <v>0</v>
      </c>
    </row>
    <row r="1458" spans="28:34">
      <c r="AB1458" s="580">
        <f>HLOOKUP("*"&amp;'Output annual'!$AC$2&amp;'Output annual'!$AD$2&amp;"*Zone People Number Of Occupants [](Hourly)",'Eplus results'!$1:$1048576,ROW(),FALSE)</f>
        <v>0</v>
      </c>
      <c r="AC1458" s="580">
        <f>HLOOKUP("*"&amp;'Output annual'!$AC$2&amp;'Output annual'!$AD$2&amp;"*FangerPMV(Hourly)",'Eplus results'!$1:$1048576,ROW(),FALSE)</f>
        <v>0</v>
      </c>
      <c r="AD1458" s="580">
        <f t="shared" si="146"/>
        <v>5</v>
      </c>
      <c r="AE1458" s="580">
        <f t="shared" si="147"/>
        <v>2.5</v>
      </c>
      <c r="AF1458" s="580">
        <f t="shared" si="148"/>
        <v>2.5</v>
      </c>
      <c r="AG1458" s="580">
        <f t="shared" si="149"/>
        <v>0</v>
      </c>
      <c r="AH1458" s="580">
        <f t="shared" si="150"/>
        <v>0</v>
      </c>
    </row>
    <row r="1459" spans="28:34">
      <c r="AB1459" s="580">
        <f>HLOOKUP("*"&amp;'Output annual'!$AC$2&amp;'Output annual'!$AD$2&amp;"*Zone People Number Of Occupants [](Hourly)",'Eplus results'!$1:$1048576,ROW(),FALSE)</f>
        <v>0</v>
      </c>
      <c r="AC1459" s="580">
        <f>HLOOKUP("*"&amp;'Output annual'!$AC$2&amp;'Output annual'!$AD$2&amp;"*FangerPMV(Hourly)",'Eplus results'!$1:$1048576,ROW(),FALSE)</f>
        <v>0</v>
      </c>
      <c r="AD1459" s="580">
        <f t="shared" si="146"/>
        <v>5</v>
      </c>
      <c r="AE1459" s="580">
        <f t="shared" si="147"/>
        <v>2.5</v>
      </c>
      <c r="AF1459" s="580">
        <f t="shared" si="148"/>
        <v>2.5</v>
      </c>
      <c r="AG1459" s="580">
        <f t="shared" si="149"/>
        <v>0</v>
      </c>
      <c r="AH1459" s="580">
        <f t="shared" si="150"/>
        <v>0</v>
      </c>
    </row>
    <row r="1460" spans="28:34">
      <c r="AB1460" s="580">
        <f>HLOOKUP("*"&amp;'Output annual'!$AC$2&amp;'Output annual'!$AD$2&amp;"*Zone People Number Of Occupants [](Hourly)",'Eplus results'!$1:$1048576,ROW(),FALSE)</f>
        <v>0</v>
      </c>
      <c r="AC1460" s="580">
        <f>HLOOKUP("*"&amp;'Output annual'!$AC$2&amp;'Output annual'!$AD$2&amp;"*FangerPMV(Hourly)",'Eplus results'!$1:$1048576,ROW(),FALSE)</f>
        <v>0</v>
      </c>
      <c r="AD1460" s="580">
        <f t="shared" si="146"/>
        <v>5</v>
      </c>
      <c r="AE1460" s="580">
        <f t="shared" si="147"/>
        <v>2.5</v>
      </c>
      <c r="AF1460" s="580">
        <f t="shared" si="148"/>
        <v>2.5</v>
      </c>
      <c r="AG1460" s="580">
        <f t="shared" si="149"/>
        <v>0</v>
      </c>
      <c r="AH1460" s="580">
        <f t="shared" si="150"/>
        <v>0</v>
      </c>
    </row>
    <row r="1461" spans="28:34">
      <c r="AB1461" s="580">
        <f>HLOOKUP("*"&amp;'Output annual'!$AC$2&amp;'Output annual'!$AD$2&amp;"*Zone People Number Of Occupants [](Hourly)",'Eplus results'!$1:$1048576,ROW(),FALSE)</f>
        <v>0</v>
      </c>
      <c r="AC1461" s="580">
        <f>HLOOKUP("*"&amp;'Output annual'!$AC$2&amp;'Output annual'!$AD$2&amp;"*FangerPMV(Hourly)",'Eplus results'!$1:$1048576,ROW(),FALSE)</f>
        <v>0</v>
      </c>
      <c r="AD1461" s="580">
        <f t="shared" si="146"/>
        <v>5</v>
      </c>
      <c r="AE1461" s="580">
        <f t="shared" si="147"/>
        <v>2.5</v>
      </c>
      <c r="AF1461" s="580">
        <f t="shared" si="148"/>
        <v>2.5</v>
      </c>
      <c r="AG1461" s="580">
        <f t="shared" si="149"/>
        <v>0</v>
      </c>
      <c r="AH1461" s="580">
        <f t="shared" si="150"/>
        <v>0</v>
      </c>
    </row>
    <row r="1462" spans="28:34">
      <c r="AB1462" s="580">
        <f>HLOOKUP("*"&amp;'Output annual'!$AC$2&amp;'Output annual'!$AD$2&amp;"*Zone People Number Of Occupants [](Hourly)",'Eplus results'!$1:$1048576,ROW(),FALSE)</f>
        <v>0</v>
      </c>
      <c r="AC1462" s="580">
        <f>HLOOKUP("*"&amp;'Output annual'!$AC$2&amp;'Output annual'!$AD$2&amp;"*FangerPMV(Hourly)",'Eplus results'!$1:$1048576,ROW(),FALSE)</f>
        <v>0</v>
      </c>
      <c r="AD1462" s="580">
        <f t="shared" si="146"/>
        <v>5</v>
      </c>
      <c r="AE1462" s="580">
        <f t="shared" si="147"/>
        <v>2.5</v>
      </c>
      <c r="AF1462" s="580">
        <f t="shared" si="148"/>
        <v>2.5</v>
      </c>
      <c r="AG1462" s="580">
        <f t="shared" si="149"/>
        <v>0</v>
      </c>
      <c r="AH1462" s="580">
        <f t="shared" si="150"/>
        <v>0</v>
      </c>
    </row>
    <row r="1463" spans="28:34">
      <c r="AB1463" s="580">
        <f>HLOOKUP("*"&amp;'Output annual'!$AC$2&amp;'Output annual'!$AD$2&amp;"*Zone People Number Of Occupants [](Hourly)",'Eplus results'!$1:$1048576,ROW(),FALSE)</f>
        <v>0</v>
      </c>
      <c r="AC1463" s="580">
        <f>HLOOKUP("*"&amp;'Output annual'!$AC$2&amp;'Output annual'!$AD$2&amp;"*FangerPMV(Hourly)",'Eplus results'!$1:$1048576,ROW(),FALSE)</f>
        <v>0</v>
      </c>
      <c r="AD1463" s="580">
        <f t="shared" si="146"/>
        <v>5</v>
      </c>
      <c r="AE1463" s="580">
        <f t="shared" si="147"/>
        <v>2.5</v>
      </c>
      <c r="AF1463" s="580">
        <f t="shared" si="148"/>
        <v>2.5</v>
      </c>
      <c r="AG1463" s="580">
        <f t="shared" si="149"/>
        <v>0</v>
      </c>
      <c r="AH1463" s="580">
        <f t="shared" si="150"/>
        <v>0</v>
      </c>
    </row>
    <row r="1464" spans="28:34">
      <c r="AB1464" s="580">
        <f>HLOOKUP("*"&amp;'Output annual'!$AC$2&amp;'Output annual'!$AD$2&amp;"*Zone People Number Of Occupants [](Hourly)",'Eplus results'!$1:$1048576,ROW(),FALSE)</f>
        <v>0</v>
      </c>
      <c r="AC1464" s="580">
        <f>HLOOKUP("*"&amp;'Output annual'!$AC$2&amp;'Output annual'!$AD$2&amp;"*FangerPMV(Hourly)",'Eplus results'!$1:$1048576,ROW(),FALSE)</f>
        <v>0</v>
      </c>
      <c r="AD1464" s="580">
        <f t="shared" si="146"/>
        <v>5</v>
      </c>
      <c r="AE1464" s="580">
        <f t="shared" si="147"/>
        <v>2.5</v>
      </c>
      <c r="AF1464" s="580">
        <f t="shared" si="148"/>
        <v>2.5</v>
      </c>
      <c r="AG1464" s="580">
        <f t="shared" si="149"/>
        <v>0</v>
      </c>
      <c r="AH1464" s="580">
        <f t="shared" si="150"/>
        <v>0</v>
      </c>
    </row>
    <row r="1465" spans="28:34">
      <c r="AB1465" s="580">
        <f>HLOOKUP("*"&amp;'Output annual'!$AC$2&amp;'Output annual'!$AD$2&amp;"*Zone People Number Of Occupants [](Hourly)",'Eplus results'!$1:$1048576,ROW(),FALSE)</f>
        <v>0</v>
      </c>
      <c r="AC1465" s="580">
        <f>HLOOKUP("*"&amp;'Output annual'!$AC$2&amp;'Output annual'!$AD$2&amp;"*FangerPMV(Hourly)",'Eplus results'!$1:$1048576,ROW(),FALSE)</f>
        <v>0</v>
      </c>
      <c r="AD1465" s="580">
        <f t="shared" si="146"/>
        <v>5</v>
      </c>
      <c r="AE1465" s="580">
        <f t="shared" si="147"/>
        <v>2.5</v>
      </c>
      <c r="AF1465" s="580">
        <f t="shared" si="148"/>
        <v>2.5</v>
      </c>
      <c r="AG1465" s="580">
        <f t="shared" si="149"/>
        <v>0</v>
      </c>
      <c r="AH1465" s="580">
        <f t="shared" si="150"/>
        <v>0</v>
      </c>
    </row>
    <row r="1466" spans="28:34">
      <c r="AB1466" s="580">
        <f>HLOOKUP("*"&amp;'Output annual'!$AC$2&amp;'Output annual'!$AD$2&amp;"*Zone People Number Of Occupants [](Hourly)",'Eplus results'!$1:$1048576,ROW(),FALSE)</f>
        <v>0</v>
      </c>
      <c r="AC1466" s="580">
        <f>HLOOKUP("*"&amp;'Output annual'!$AC$2&amp;'Output annual'!$AD$2&amp;"*FangerPMV(Hourly)",'Eplus results'!$1:$1048576,ROW(),FALSE)</f>
        <v>0</v>
      </c>
      <c r="AD1466" s="580">
        <f t="shared" si="146"/>
        <v>5</v>
      </c>
      <c r="AE1466" s="580">
        <f t="shared" si="147"/>
        <v>2.5</v>
      </c>
      <c r="AF1466" s="580">
        <f t="shared" si="148"/>
        <v>2.5</v>
      </c>
      <c r="AG1466" s="580">
        <f t="shared" si="149"/>
        <v>0</v>
      </c>
      <c r="AH1466" s="580">
        <f t="shared" si="150"/>
        <v>0</v>
      </c>
    </row>
    <row r="1467" spans="28:34">
      <c r="AB1467" s="580">
        <f>HLOOKUP("*"&amp;'Output annual'!$AC$2&amp;'Output annual'!$AD$2&amp;"*Zone People Number Of Occupants [](Hourly)",'Eplus results'!$1:$1048576,ROW(),FALSE)</f>
        <v>0</v>
      </c>
      <c r="AC1467" s="580">
        <f>HLOOKUP("*"&amp;'Output annual'!$AC$2&amp;'Output annual'!$AD$2&amp;"*FangerPMV(Hourly)",'Eplus results'!$1:$1048576,ROW(),FALSE)</f>
        <v>0</v>
      </c>
      <c r="AD1467" s="580">
        <f t="shared" si="146"/>
        <v>5</v>
      </c>
      <c r="AE1467" s="580">
        <f t="shared" si="147"/>
        <v>2.5</v>
      </c>
      <c r="AF1467" s="580">
        <f t="shared" si="148"/>
        <v>2.5</v>
      </c>
      <c r="AG1467" s="580">
        <f t="shared" si="149"/>
        <v>0</v>
      </c>
      <c r="AH1467" s="580">
        <f t="shared" si="150"/>
        <v>0</v>
      </c>
    </row>
    <row r="1468" spans="28:34">
      <c r="AB1468" s="580">
        <f>HLOOKUP("*"&amp;'Output annual'!$AC$2&amp;'Output annual'!$AD$2&amp;"*Zone People Number Of Occupants [](Hourly)",'Eplus results'!$1:$1048576,ROW(),FALSE)</f>
        <v>0</v>
      </c>
      <c r="AC1468" s="580">
        <f>HLOOKUP("*"&amp;'Output annual'!$AC$2&amp;'Output annual'!$AD$2&amp;"*FangerPMV(Hourly)",'Eplus results'!$1:$1048576,ROW(),FALSE)</f>
        <v>0</v>
      </c>
      <c r="AD1468" s="580">
        <f t="shared" si="146"/>
        <v>5</v>
      </c>
      <c r="AE1468" s="580">
        <f t="shared" si="147"/>
        <v>2.5</v>
      </c>
      <c r="AF1468" s="580">
        <f t="shared" si="148"/>
        <v>2.5</v>
      </c>
      <c r="AG1468" s="580">
        <f t="shared" si="149"/>
        <v>0</v>
      </c>
      <c r="AH1468" s="580">
        <f t="shared" si="150"/>
        <v>0</v>
      </c>
    </row>
    <row r="1469" spans="28:34">
      <c r="AB1469" s="580">
        <f>HLOOKUP("*"&amp;'Output annual'!$AC$2&amp;'Output annual'!$AD$2&amp;"*Zone People Number Of Occupants [](Hourly)",'Eplus results'!$1:$1048576,ROW(),FALSE)</f>
        <v>0</v>
      </c>
      <c r="AC1469" s="580">
        <f>HLOOKUP("*"&amp;'Output annual'!$AC$2&amp;'Output annual'!$AD$2&amp;"*FangerPMV(Hourly)",'Eplus results'!$1:$1048576,ROW(),FALSE)</f>
        <v>0</v>
      </c>
      <c r="AD1469" s="580">
        <f t="shared" si="146"/>
        <v>5</v>
      </c>
      <c r="AE1469" s="580">
        <f t="shared" si="147"/>
        <v>2.5</v>
      </c>
      <c r="AF1469" s="580">
        <f t="shared" si="148"/>
        <v>2.5</v>
      </c>
      <c r="AG1469" s="580">
        <f t="shared" si="149"/>
        <v>0</v>
      </c>
      <c r="AH1469" s="580">
        <f t="shared" si="150"/>
        <v>0</v>
      </c>
    </row>
    <row r="1470" spans="28:34">
      <c r="AB1470" s="580">
        <f>HLOOKUP("*"&amp;'Output annual'!$AC$2&amp;'Output annual'!$AD$2&amp;"*Zone People Number Of Occupants [](Hourly)",'Eplus results'!$1:$1048576,ROW(),FALSE)</f>
        <v>0</v>
      </c>
      <c r="AC1470" s="580">
        <f>HLOOKUP("*"&amp;'Output annual'!$AC$2&amp;'Output annual'!$AD$2&amp;"*FangerPMV(Hourly)",'Eplus results'!$1:$1048576,ROW(),FALSE)</f>
        <v>0</v>
      </c>
      <c r="AD1470" s="580">
        <f t="shared" si="146"/>
        <v>5</v>
      </c>
      <c r="AE1470" s="580">
        <f t="shared" si="147"/>
        <v>2.5</v>
      </c>
      <c r="AF1470" s="580">
        <f t="shared" si="148"/>
        <v>2.5</v>
      </c>
      <c r="AG1470" s="580">
        <f t="shared" si="149"/>
        <v>0</v>
      </c>
      <c r="AH1470" s="580">
        <f t="shared" si="150"/>
        <v>0</v>
      </c>
    </row>
    <row r="1471" spans="28:34">
      <c r="AB1471" s="580">
        <f>HLOOKUP("*"&amp;'Output annual'!$AC$2&amp;'Output annual'!$AD$2&amp;"*Zone People Number Of Occupants [](Hourly)",'Eplus results'!$1:$1048576,ROW(),FALSE)</f>
        <v>0</v>
      </c>
      <c r="AC1471" s="580">
        <f>HLOOKUP("*"&amp;'Output annual'!$AC$2&amp;'Output annual'!$AD$2&amp;"*FangerPMV(Hourly)",'Eplus results'!$1:$1048576,ROW(),FALSE)</f>
        <v>0</v>
      </c>
      <c r="AD1471" s="580">
        <f t="shared" si="146"/>
        <v>5</v>
      </c>
      <c r="AE1471" s="580">
        <f t="shared" si="147"/>
        <v>2.5</v>
      </c>
      <c r="AF1471" s="580">
        <f t="shared" si="148"/>
        <v>2.5</v>
      </c>
      <c r="AG1471" s="580">
        <f t="shared" si="149"/>
        <v>0</v>
      </c>
      <c r="AH1471" s="580">
        <f t="shared" si="150"/>
        <v>0</v>
      </c>
    </row>
    <row r="1472" spans="28:34">
      <c r="AB1472" s="580">
        <f>HLOOKUP("*"&amp;'Output annual'!$AC$2&amp;'Output annual'!$AD$2&amp;"*Zone People Number Of Occupants [](Hourly)",'Eplus results'!$1:$1048576,ROW(),FALSE)</f>
        <v>0</v>
      </c>
      <c r="AC1472" s="580">
        <f>HLOOKUP("*"&amp;'Output annual'!$AC$2&amp;'Output annual'!$AD$2&amp;"*FangerPMV(Hourly)",'Eplus results'!$1:$1048576,ROW(),FALSE)</f>
        <v>0</v>
      </c>
      <c r="AD1472" s="580">
        <f t="shared" si="146"/>
        <v>5</v>
      </c>
      <c r="AE1472" s="580">
        <f t="shared" si="147"/>
        <v>2.5</v>
      </c>
      <c r="AF1472" s="580">
        <f t="shared" si="148"/>
        <v>2.5</v>
      </c>
      <c r="AG1472" s="580">
        <f t="shared" si="149"/>
        <v>0</v>
      </c>
      <c r="AH1472" s="580">
        <f t="shared" si="150"/>
        <v>0</v>
      </c>
    </row>
    <row r="1473" spans="28:34">
      <c r="AB1473" s="580">
        <f>HLOOKUP("*"&amp;'Output annual'!$AC$2&amp;'Output annual'!$AD$2&amp;"*Zone People Number Of Occupants [](Hourly)",'Eplus results'!$1:$1048576,ROW(),FALSE)</f>
        <v>0</v>
      </c>
      <c r="AC1473" s="580">
        <f>HLOOKUP("*"&amp;'Output annual'!$AC$2&amp;'Output annual'!$AD$2&amp;"*FangerPMV(Hourly)",'Eplus results'!$1:$1048576,ROW(),FALSE)</f>
        <v>0</v>
      </c>
      <c r="AD1473" s="580">
        <f t="shared" si="146"/>
        <v>5</v>
      </c>
      <c r="AE1473" s="580">
        <f t="shared" si="147"/>
        <v>2.5</v>
      </c>
      <c r="AF1473" s="580">
        <f t="shared" si="148"/>
        <v>2.5</v>
      </c>
      <c r="AG1473" s="580">
        <f t="shared" si="149"/>
        <v>0</v>
      </c>
      <c r="AH1473" s="580">
        <f t="shared" si="150"/>
        <v>0</v>
      </c>
    </row>
    <row r="1474" spans="28:34">
      <c r="AB1474" s="580">
        <f>HLOOKUP("*"&amp;'Output annual'!$AC$2&amp;'Output annual'!$AD$2&amp;"*Zone People Number Of Occupants [](Hourly)",'Eplus results'!$1:$1048576,ROW(),FALSE)</f>
        <v>0</v>
      </c>
      <c r="AC1474" s="580">
        <f>HLOOKUP("*"&amp;'Output annual'!$AC$2&amp;'Output annual'!$AD$2&amp;"*FangerPMV(Hourly)",'Eplus results'!$1:$1048576,ROW(),FALSE)</f>
        <v>0</v>
      </c>
      <c r="AD1474" s="580">
        <f t="shared" si="146"/>
        <v>5</v>
      </c>
      <c r="AE1474" s="580">
        <f t="shared" si="147"/>
        <v>2.5</v>
      </c>
      <c r="AF1474" s="580">
        <f t="shared" si="148"/>
        <v>2.5</v>
      </c>
      <c r="AG1474" s="580">
        <f t="shared" si="149"/>
        <v>0</v>
      </c>
      <c r="AH1474" s="580">
        <f t="shared" si="150"/>
        <v>0</v>
      </c>
    </row>
    <row r="1475" spans="28:34">
      <c r="AB1475" s="580">
        <f>HLOOKUP("*"&amp;'Output annual'!$AC$2&amp;'Output annual'!$AD$2&amp;"*Zone People Number Of Occupants [](Hourly)",'Eplus results'!$1:$1048576,ROW(),FALSE)</f>
        <v>0</v>
      </c>
      <c r="AC1475" s="580">
        <f>HLOOKUP("*"&amp;'Output annual'!$AC$2&amp;'Output annual'!$AD$2&amp;"*FangerPMV(Hourly)",'Eplus results'!$1:$1048576,ROW(),FALSE)</f>
        <v>0</v>
      </c>
      <c r="AD1475" s="580">
        <f t="shared" ref="AD1475:AD1538" si="151">100-95*EXP(-0.03353*AC1475^4-0.2179*AC1475^2)</f>
        <v>5</v>
      </c>
      <c r="AE1475" s="580">
        <f t="shared" ref="AE1475:AE1538" si="152">AD1475*(1/(1+EXP(-6.3*$AC1475)))</f>
        <v>2.5</v>
      </c>
      <c r="AF1475" s="580">
        <f t="shared" ref="AF1475:AF1538" si="153">(AD1475-AE1475)</f>
        <v>2.5</v>
      </c>
      <c r="AG1475" s="580">
        <f t="shared" ref="AG1475:AG1538" si="154">AE1475*AB1475</f>
        <v>0</v>
      </c>
      <c r="AH1475" s="580">
        <f t="shared" ref="AH1475:AH1538" si="155">AF1475*AB1475</f>
        <v>0</v>
      </c>
    </row>
    <row r="1476" spans="28:34">
      <c r="AB1476" s="580">
        <f>HLOOKUP("*"&amp;'Output annual'!$AC$2&amp;'Output annual'!$AD$2&amp;"*Zone People Number Of Occupants [](Hourly)",'Eplus results'!$1:$1048576,ROW(),FALSE)</f>
        <v>0</v>
      </c>
      <c r="AC1476" s="580">
        <f>HLOOKUP("*"&amp;'Output annual'!$AC$2&amp;'Output annual'!$AD$2&amp;"*FangerPMV(Hourly)",'Eplus results'!$1:$1048576,ROW(),FALSE)</f>
        <v>0</v>
      </c>
      <c r="AD1476" s="580">
        <f t="shared" si="151"/>
        <v>5</v>
      </c>
      <c r="AE1476" s="580">
        <f t="shared" si="152"/>
        <v>2.5</v>
      </c>
      <c r="AF1476" s="580">
        <f t="shared" si="153"/>
        <v>2.5</v>
      </c>
      <c r="AG1476" s="580">
        <f t="shared" si="154"/>
        <v>0</v>
      </c>
      <c r="AH1476" s="580">
        <f t="shared" si="155"/>
        <v>0</v>
      </c>
    </row>
    <row r="1477" spans="28:34">
      <c r="AB1477" s="580">
        <f>HLOOKUP("*"&amp;'Output annual'!$AC$2&amp;'Output annual'!$AD$2&amp;"*Zone People Number Of Occupants [](Hourly)",'Eplus results'!$1:$1048576,ROW(),FALSE)</f>
        <v>0</v>
      </c>
      <c r="AC1477" s="580">
        <f>HLOOKUP("*"&amp;'Output annual'!$AC$2&amp;'Output annual'!$AD$2&amp;"*FangerPMV(Hourly)",'Eplus results'!$1:$1048576,ROW(),FALSE)</f>
        <v>0</v>
      </c>
      <c r="AD1477" s="580">
        <f t="shared" si="151"/>
        <v>5</v>
      </c>
      <c r="AE1477" s="580">
        <f t="shared" si="152"/>
        <v>2.5</v>
      </c>
      <c r="AF1477" s="580">
        <f t="shared" si="153"/>
        <v>2.5</v>
      </c>
      <c r="AG1477" s="580">
        <f t="shared" si="154"/>
        <v>0</v>
      </c>
      <c r="AH1477" s="580">
        <f t="shared" si="155"/>
        <v>0</v>
      </c>
    </row>
    <row r="1478" spans="28:34">
      <c r="AB1478" s="580">
        <f>HLOOKUP("*"&amp;'Output annual'!$AC$2&amp;'Output annual'!$AD$2&amp;"*Zone People Number Of Occupants [](Hourly)",'Eplus results'!$1:$1048576,ROW(),FALSE)</f>
        <v>0</v>
      </c>
      <c r="AC1478" s="580">
        <f>HLOOKUP("*"&amp;'Output annual'!$AC$2&amp;'Output annual'!$AD$2&amp;"*FangerPMV(Hourly)",'Eplus results'!$1:$1048576,ROW(),FALSE)</f>
        <v>0</v>
      </c>
      <c r="AD1478" s="580">
        <f t="shared" si="151"/>
        <v>5</v>
      </c>
      <c r="AE1478" s="580">
        <f t="shared" si="152"/>
        <v>2.5</v>
      </c>
      <c r="AF1478" s="580">
        <f t="shared" si="153"/>
        <v>2.5</v>
      </c>
      <c r="AG1478" s="580">
        <f t="shared" si="154"/>
        <v>0</v>
      </c>
      <c r="AH1478" s="580">
        <f t="shared" si="155"/>
        <v>0</v>
      </c>
    </row>
    <row r="1479" spans="28:34">
      <c r="AB1479" s="580">
        <f>HLOOKUP("*"&amp;'Output annual'!$AC$2&amp;'Output annual'!$AD$2&amp;"*Zone People Number Of Occupants [](Hourly)",'Eplus results'!$1:$1048576,ROW(),FALSE)</f>
        <v>0</v>
      </c>
      <c r="AC1479" s="580">
        <f>HLOOKUP("*"&amp;'Output annual'!$AC$2&amp;'Output annual'!$AD$2&amp;"*FangerPMV(Hourly)",'Eplus results'!$1:$1048576,ROW(),FALSE)</f>
        <v>0</v>
      </c>
      <c r="AD1479" s="580">
        <f t="shared" si="151"/>
        <v>5</v>
      </c>
      <c r="AE1479" s="580">
        <f t="shared" si="152"/>
        <v>2.5</v>
      </c>
      <c r="AF1479" s="580">
        <f t="shared" si="153"/>
        <v>2.5</v>
      </c>
      <c r="AG1479" s="580">
        <f t="shared" si="154"/>
        <v>0</v>
      </c>
      <c r="AH1479" s="580">
        <f t="shared" si="155"/>
        <v>0</v>
      </c>
    </row>
    <row r="1480" spans="28:34">
      <c r="AB1480" s="580">
        <f>HLOOKUP("*"&amp;'Output annual'!$AC$2&amp;'Output annual'!$AD$2&amp;"*Zone People Number Of Occupants [](Hourly)",'Eplus results'!$1:$1048576,ROW(),FALSE)</f>
        <v>0</v>
      </c>
      <c r="AC1480" s="580">
        <f>HLOOKUP("*"&amp;'Output annual'!$AC$2&amp;'Output annual'!$AD$2&amp;"*FangerPMV(Hourly)",'Eplus results'!$1:$1048576,ROW(),FALSE)</f>
        <v>0</v>
      </c>
      <c r="AD1480" s="580">
        <f t="shared" si="151"/>
        <v>5</v>
      </c>
      <c r="AE1480" s="580">
        <f t="shared" si="152"/>
        <v>2.5</v>
      </c>
      <c r="AF1480" s="580">
        <f t="shared" si="153"/>
        <v>2.5</v>
      </c>
      <c r="AG1480" s="580">
        <f t="shared" si="154"/>
        <v>0</v>
      </c>
      <c r="AH1480" s="580">
        <f t="shared" si="155"/>
        <v>0</v>
      </c>
    </row>
    <row r="1481" spans="28:34">
      <c r="AB1481" s="580">
        <f>HLOOKUP("*"&amp;'Output annual'!$AC$2&amp;'Output annual'!$AD$2&amp;"*Zone People Number Of Occupants [](Hourly)",'Eplus results'!$1:$1048576,ROW(),FALSE)</f>
        <v>0</v>
      </c>
      <c r="AC1481" s="580">
        <f>HLOOKUP("*"&amp;'Output annual'!$AC$2&amp;'Output annual'!$AD$2&amp;"*FangerPMV(Hourly)",'Eplus results'!$1:$1048576,ROW(),FALSE)</f>
        <v>0</v>
      </c>
      <c r="AD1481" s="580">
        <f t="shared" si="151"/>
        <v>5</v>
      </c>
      <c r="AE1481" s="580">
        <f t="shared" si="152"/>
        <v>2.5</v>
      </c>
      <c r="AF1481" s="580">
        <f t="shared" si="153"/>
        <v>2.5</v>
      </c>
      <c r="AG1481" s="580">
        <f t="shared" si="154"/>
        <v>0</v>
      </c>
      <c r="AH1481" s="580">
        <f t="shared" si="155"/>
        <v>0</v>
      </c>
    </row>
    <row r="1482" spans="28:34">
      <c r="AB1482" s="580">
        <f>HLOOKUP("*"&amp;'Output annual'!$AC$2&amp;'Output annual'!$AD$2&amp;"*Zone People Number Of Occupants [](Hourly)",'Eplus results'!$1:$1048576,ROW(),FALSE)</f>
        <v>0</v>
      </c>
      <c r="AC1482" s="580">
        <f>HLOOKUP("*"&amp;'Output annual'!$AC$2&amp;'Output annual'!$AD$2&amp;"*FangerPMV(Hourly)",'Eplus results'!$1:$1048576,ROW(),FALSE)</f>
        <v>0</v>
      </c>
      <c r="AD1482" s="580">
        <f t="shared" si="151"/>
        <v>5</v>
      </c>
      <c r="AE1482" s="580">
        <f t="shared" si="152"/>
        <v>2.5</v>
      </c>
      <c r="AF1482" s="580">
        <f t="shared" si="153"/>
        <v>2.5</v>
      </c>
      <c r="AG1482" s="580">
        <f t="shared" si="154"/>
        <v>0</v>
      </c>
      <c r="AH1482" s="580">
        <f t="shared" si="155"/>
        <v>0</v>
      </c>
    </row>
    <row r="1483" spans="28:34">
      <c r="AB1483" s="580">
        <f>HLOOKUP("*"&amp;'Output annual'!$AC$2&amp;'Output annual'!$AD$2&amp;"*Zone People Number Of Occupants [](Hourly)",'Eplus results'!$1:$1048576,ROW(),FALSE)</f>
        <v>0</v>
      </c>
      <c r="AC1483" s="580">
        <f>HLOOKUP("*"&amp;'Output annual'!$AC$2&amp;'Output annual'!$AD$2&amp;"*FangerPMV(Hourly)",'Eplus results'!$1:$1048576,ROW(),FALSE)</f>
        <v>0</v>
      </c>
      <c r="AD1483" s="580">
        <f t="shared" si="151"/>
        <v>5</v>
      </c>
      <c r="AE1483" s="580">
        <f t="shared" si="152"/>
        <v>2.5</v>
      </c>
      <c r="AF1483" s="580">
        <f t="shared" si="153"/>
        <v>2.5</v>
      </c>
      <c r="AG1483" s="580">
        <f t="shared" si="154"/>
        <v>0</v>
      </c>
      <c r="AH1483" s="580">
        <f t="shared" si="155"/>
        <v>0</v>
      </c>
    </row>
    <row r="1484" spans="28:34">
      <c r="AB1484" s="580">
        <f>HLOOKUP("*"&amp;'Output annual'!$AC$2&amp;'Output annual'!$AD$2&amp;"*Zone People Number Of Occupants [](Hourly)",'Eplus results'!$1:$1048576,ROW(),FALSE)</f>
        <v>0</v>
      </c>
      <c r="AC1484" s="580">
        <f>HLOOKUP("*"&amp;'Output annual'!$AC$2&amp;'Output annual'!$AD$2&amp;"*FangerPMV(Hourly)",'Eplus results'!$1:$1048576,ROW(),FALSE)</f>
        <v>0</v>
      </c>
      <c r="AD1484" s="580">
        <f t="shared" si="151"/>
        <v>5</v>
      </c>
      <c r="AE1484" s="580">
        <f t="shared" si="152"/>
        <v>2.5</v>
      </c>
      <c r="AF1484" s="580">
        <f t="shared" si="153"/>
        <v>2.5</v>
      </c>
      <c r="AG1484" s="580">
        <f t="shared" si="154"/>
        <v>0</v>
      </c>
      <c r="AH1484" s="580">
        <f t="shared" si="155"/>
        <v>0</v>
      </c>
    </row>
    <row r="1485" spans="28:34">
      <c r="AB1485" s="580">
        <f>HLOOKUP("*"&amp;'Output annual'!$AC$2&amp;'Output annual'!$AD$2&amp;"*Zone People Number Of Occupants [](Hourly)",'Eplus results'!$1:$1048576,ROW(),FALSE)</f>
        <v>0</v>
      </c>
      <c r="AC1485" s="580">
        <f>HLOOKUP("*"&amp;'Output annual'!$AC$2&amp;'Output annual'!$AD$2&amp;"*FangerPMV(Hourly)",'Eplus results'!$1:$1048576,ROW(),FALSE)</f>
        <v>0</v>
      </c>
      <c r="AD1485" s="580">
        <f t="shared" si="151"/>
        <v>5</v>
      </c>
      <c r="AE1485" s="580">
        <f t="shared" si="152"/>
        <v>2.5</v>
      </c>
      <c r="AF1485" s="580">
        <f t="shared" si="153"/>
        <v>2.5</v>
      </c>
      <c r="AG1485" s="580">
        <f t="shared" si="154"/>
        <v>0</v>
      </c>
      <c r="AH1485" s="580">
        <f t="shared" si="155"/>
        <v>0</v>
      </c>
    </row>
    <row r="1486" spans="28:34">
      <c r="AB1486" s="580">
        <f>HLOOKUP("*"&amp;'Output annual'!$AC$2&amp;'Output annual'!$AD$2&amp;"*Zone People Number Of Occupants [](Hourly)",'Eplus results'!$1:$1048576,ROW(),FALSE)</f>
        <v>0</v>
      </c>
      <c r="AC1486" s="580">
        <f>HLOOKUP("*"&amp;'Output annual'!$AC$2&amp;'Output annual'!$AD$2&amp;"*FangerPMV(Hourly)",'Eplus results'!$1:$1048576,ROW(),FALSE)</f>
        <v>0</v>
      </c>
      <c r="AD1486" s="580">
        <f t="shared" si="151"/>
        <v>5</v>
      </c>
      <c r="AE1486" s="580">
        <f t="shared" si="152"/>
        <v>2.5</v>
      </c>
      <c r="AF1486" s="580">
        <f t="shared" si="153"/>
        <v>2.5</v>
      </c>
      <c r="AG1486" s="580">
        <f t="shared" si="154"/>
        <v>0</v>
      </c>
      <c r="AH1486" s="580">
        <f t="shared" si="155"/>
        <v>0</v>
      </c>
    </row>
    <row r="1487" spans="28:34">
      <c r="AB1487" s="580">
        <f>HLOOKUP("*"&amp;'Output annual'!$AC$2&amp;'Output annual'!$AD$2&amp;"*Zone People Number Of Occupants [](Hourly)",'Eplus results'!$1:$1048576,ROW(),FALSE)</f>
        <v>0</v>
      </c>
      <c r="AC1487" s="580">
        <f>HLOOKUP("*"&amp;'Output annual'!$AC$2&amp;'Output annual'!$AD$2&amp;"*FangerPMV(Hourly)",'Eplus results'!$1:$1048576,ROW(),FALSE)</f>
        <v>0</v>
      </c>
      <c r="AD1487" s="580">
        <f t="shared" si="151"/>
        <v>5</v>
      </c>
      <c r="AE1487" s="580">
        <f t="shared" si="152"/>
        <v>2.5</v>
      </c>
      <c r="AF1487" s="580">
        <f t="shared" si="153"/>
        <v>2.5</v>
      </c>
      <c r="AG1487" s="580">
        <f t="shared" si="154"/>
        <v>0</v>
      </c>
      <c r="AH1487" s="580">
        <f t="shared" si="155"/>
        <v>0</v>
      </c>
    </row>
    <row r="1488" spans="28:34">
      <c r="AB1488" s="580">
        <f>HLOOKUP("*"&amp;'Output annual'!$AC$2&amp;'Output annual'!$AD$2&amp;"*Zone People Number Of Occupants [](Hourly)",'Eplus results'!$1:$1048576,ROW(),FALSE)</f>
        <v>0</v>
      </c>
      <c r="AC1488" s="580">
        <f>HLOOKUP("*"&amp;'Output annual'!$AC$2&amp;'Output annual'!$AD$2&amp;"*FangerPMV(Hourly)",'Eplus results'!$1:$1048576,ROW(),FALSE)</f>
        <v>0</v>
      </c>
      <c r="AD1488" s="580">
        <f t="shared" si="151"/>
        <v>5</v>
      </c>
      <c r="AE1488" s="580">
        <f t="shared" si="152"/>
        <v>2.5</v>
      </c>
      <c r="AF1488" s="580">
        <f t="shared" si="153"/>
        <v>2.5</v>
      </c>
      <c r="AG1488" s="580">
        <f t="shared" si="154"/>
        <v>0</v>
      </c>
      <c r="AH1488" s="580">
        <f t="shared" si="155"/>
        <v>0</v>
      </c>
    </row>
    <row r="1489" spans="28:34">
      <c r="AB1489" s="580">
        <f>HLOOKUP("*"&amp;'Output annual'!$AC$2&amp;'Output annual'!$AD$2&amp;"*Zone People Number Of Occupants [](Hourly)",'Eplus results'!$1:$1048576,ROW(),FALSE)</f>
        <v>0</v>
      </c>
      <c r="AC1489" s="580">
        <f>HLOOKUP("*"&amp;'Output annual'!$AC$2&amp;'Output annual'!$AD$2&amp;"*FangerPMV(Hourly)",'Eplus results'!$1:$1048576,ROW(),FALSE)</f>
        <v>0</v>
      </c>
      <c r="AD1489" s="580">
        <f t="shared" si="151"/>
        <v>5</v>
      </c>
      <c r="AE1489" s="580">
        <f t="shared" si="152"/>
        <v>2.5</v>
      </c>
      <c r="AF1489" s="580">
        <f t="shared" si="153"/>
        <v>2.5</v>
      </c>
      <c r="AG1489" s="580">
        <f t="shared" si="154"/>
        <v>0</v>
      </c>
      <c r="AH1489" s="580">
        <f t="shared" si="155"/>
        <v>0</v>
      </c>
    </row>
    <row r="1490" spans="28:34">
      <c r="AB1490" s="580">
        <f>HLOOKUP("*"&amp;'Output annual'!$AC$2&amp;'Output annual'!$AD$2&amp;"*Zone People Number Of Occupants [](Hourly)",'Eplus results'!$1:$1048576,ROW(),FALSE)</f>
        <v>0</v>
      </c>
      <c r="AC1490" s="580">
        <f>HLOOKUP("*"&amp;'Output annual'!$AC$2&amp;'Output annual'!$AD$2&amp;"*FangerPMV(Hourly)",'Eplus results'!$1:$1048576,ROW(),FALSE)</f>
        <v>0</v>
      </c>
      <c r="AD1490" s="580">
        <f t="shared" si="151"/>
        <v>5</v>
      </c>
      <c r="AE1490" s="580">
        <f t="shared" si="152"/>
        <v>2.5</v>
      </c>
      <c r="AF1490" s="580">
        <f t="shared" si="153"/>
        <v>2.5</v>
      </c>
      <c r="AG1490" s="580">
        <f t="shared" si="154"/>
        <v>0</v>
      </c>
      <c r="AH1490" s="580">
        <f t="shared" si="155"/>
        <v>0</v>
      </c>
    </row>
    <row r="1491" spans="28:34">
      <c r="AB1491" s="580">
        <f>HLOOKUP("*"&amp;'Output annual'!$AC$2&amp;'Output annual'!$AD$2&amp;"*Zone People Number Of Occupants [](Hourly)",'Eplus results'!$1:$1048576,ROW(),FALSE)</f>
        <v>0</v>
      </c>
      <c r="AC1491" s="580">
        <f>HLOOKUP("*"&amp;'Output annual'!$AC$2&amp;'Output annual'!$AD$2&amp;"*FangerPMV(Hourly)",'Eplus results'!$1:$1048576,ROW(),FALSE)</f>
        <v>0</v>
      </c>
      <c r="AD1491" s="580">
        <f t="shared" si="151"/>
        <v>5</v>
      </c>
      <c r="AE1491" s="580">
        <f t="shared" si="152"/>
        <v>2.5</v>
      </c>
      <c r="AF1491" s="580">
        <f t="shared" si="153"/>
        <v>2.5</v>
      </c>
      <c r="AG1491" s="580">
        <f t="shared" si="154"/>
        <v>0</v>
      </c>
      <c r="AH1491" s="580">
        <f t="shared" si="155"/>
        <v>0</v>
      </c>
    </row>
    <row r="1492" spans="28:34">
      <c r="AB1492" s="580">
        <f>HLOOKUP("*"&amp;'Output annual'!$AC$2&amp;'Output annual'!$AD$2&amp;"*Zone People Number Of Occupants [](Hourly)",'Eplus results'!$1:$1048576,ROW(),FALSE)</f>
        <v>0</v>
      </c>
      <c r="AC1492" s="580">
        <f>HLOOKUP("*"&amp;'Output annual'!$AC$2&amp;'Output annual'!$AD$2&amp;"*FangerPMV(Hourly)",'Eplus results'!$1:$1048576,ROW(),FALSE)</f>
        <v>0</v>
      </c>
      <c r="AD1492" s="580">
        <f t="shared" si="151"/>
        <v>5</v>
      </c>
      <c r="AE1492" s="580">
        <f t="shared" si="152"/>
        <v>2.5</v>
      </c>
      <c r="AF1492" s="580">
        <f t="shared" si="153"/>
        <v>2.5</v>
      </c>
      <c r="AG1492" s="580">
        <f t="shared" si="154"/>
        <v>0</v>
      </c>
      <c r="AH1492" s="580">
        <f t="shared" si="155"/>
        <v>0</v>
      </c>
    </row>
    <row r="1493" spans="28:34">
      <c r="AB1493" s="580">
        <f>HLOOKUP("*"&amp;'Output annual'!$AC$2&amp;'Output annual'!$AD$2&amp;"*Zone People Number Of Occupants [](Hourly)",'Eplus results'!$1:$1048576,ROW(),FALSE)</f>
        <v>0</v>
      </c>
      <c r="AC1493" s="580">
        <f>HLOOKUP("*"&amp;'Output annual'!$AC$2&amp;'Output annual'!$AD$2&amp;"*FangerPMV(Hourly)",'Eplus results'!$1:$1048576,ROW(),FALSE)</f>
        <v>0</v>
      </c>
      <c r="AD1493" s="580">
        <f t="shared" si="151"/>
        <v>5</v>
      </c>
      <c r="AE1493" s="580">
        <f t="shared" si="152"/>
        <v>2.5</v>
      </c>
      <c r="AF1493" s="580">
        <f t="shared" si="153"/>
        <v>2.5</v>
      </c>
      <c r="AG1493" s="580">
        <f t="shared" si="154"/>
        <v>0</v>
      </c>
      <c r="AH1493" s="580">
        <f t="shared" si="155"/>
        <v>0</v>
      </c>
    </row>
    <row r="1494" spans="28:34">
      <c r="AB1494" s="580">
        <f>HLOOKUP("*"&amp;'Output annual'!$AC$2&amp;'Output annual'!$AD$2&amp;"*Zone People Number Of Occupants [](Hourly)",'Eplus results'!$1:$1048576,ROW(),FALSE)</f>
        <v>0</v>
      </c>
      <c r="AC1494" s="580">
        <f>HLOOKUP("*"&amp;'Output annual'!$AC$2&amp;'Output annual'!$AD$2&amp;"*FangerPMV(Hourly)",'Eplus results'!$1:$1048576,ROW(),FALSE)</f>
        <v>0</v>
      </c>
      <c r="AD1494" s="580">
        <f t="shared" si="151"/>
        <v>5</v>
      </c>
      <c r="AE1494" s="580">
        <f t="shared" si="152"/>
        <v>2.5</v>
      </c>
      <c r="AF1494" s="580">
        <f t="shared" si="153"/>
        <v>2.5</v>
      </c>
      <c r="AG1494" s="580">
        <f t="shared" si="154"/>
        <v>0</v>
      </c>
      <c r="AH1494" s="580">
        <f t="shared" si="155"/>
        <v>0</v>
      </c>
    </row>
    <row r="1495" spans="28:34">
      <c r="AB1495" s="580">
        <f>HLOOKUP("*"&amp;'Output annual'!$AC$2&amp;'Output annual'!$AD$2&amp;"*Zone People Number Of Occupants [](Hourly)",'Eplus results'!$1:$1048576,ROW(),FALSE)</f>
        <v>0</v>
      </c>
      <c r="AC1495" s="580">
        <f>HLOOKUP("*"&amp;'Output annual'!$AC$2&amp;'Output annual'!$AD$2&amp;"*FangerPMV(Hourly)",'Eplus results'!$1:$1048576,ROW(),FALSE)</f>
        <v>0</v>
      </c>
      <c r="AD1495" s="580">
        <f t="shared" si="151"/>
        <v>5</v>
      </c>
      <c r="AE1495" s="580">
        <f t="shared" si="152"/>
        <v>2.5</v>
      </c>
      <c r="AF1495" s="580">
        <f t="shared" si="153"/>
        <v>2.5</v>
      </c>
      <c r="AG1495" s="580">
        <f t="shared" si="154"/>
        <v>0</v>
      </c>
      <c r="AH1495" s="580">
        <f t="shared" si="155"/>
        <v>0</v>
      </c>
    </row>
    <row r="1496" spans="28:34">
      <c r="AB1496" s="580">
        <f>HLOOKUP("*"&amp;'Output annual'!$AC$2&amp;'Output annual'!$AD$2&amp;"*Zone People Number Of Occupants [](Hourly)",'Eplus results'!$1:$1048576,ROW(),FALSE)</f>
        <v>0</v>
      </c>
      <c r="AC1496" s="580">
        <f>HLOOKUP("*"&amp;'Output annual'!$AC$2&amp;'Output annual'!$AD$2&amp;"*FangerPMV(Hourly)",'Eplus results'!$1:$1048576,ROW(),FALSE)</f>
        <v>0</v>
      </c>
      <c r="AD1496" s="580">
        <f t="shared" si="151"/>
        <v>5</v>
      </c>
      <c r="AE1496" s="580">
        <f t="shared" si="152"/>
        <v>2.5</v>
      </c>
      <c r="AF1496" s="580">
        <f t="shared" si="153"/>
        <v>2.5</v>
      </c>
      <c r="AG1496" s="580">
        <f t="shared" si="154"/>
        <v>0</v>
      </c>
      <c r="AH1496" s="580">
        <f t="shared" si="155"/>
        <v>0</v>
      </c>
    </row>
    <row r="1497" spans="28:34">
      <c r="AB1497" s="580">
        <f>HLOOKUP("*"&amp;'Output annual'!$AC$2&amp;'Output annual'!$AD$2&amp;"*Zone People Number Of Occupants [](Hourly)",'Eplus results'!$1:$1048576,ROW(),FALSE)</f>
        <v>0</v>
      </c>
      <c r="AC1497" s="580">
        <f>HLOOKUP("*"&amp;'Output annual'!$AC$2&amp;'Output annual'!$AD$2&amp;"*FangerPMV(Hourly)",'Eplus results'!$1:$1048576,ROW(),FALSE)</f>
        <v>0</v>
      </c>
      <c r="AD1497" s="580">
        <f t="shared" si="151"/>
        <v>5</v>
      </c>
      <c r="AE1497" s="580">
        <f t="shared" si="152"/>
        <v>2.5</v>
      </c>
      <c r="AF1497" s="580">
        <f t="shared" si="153"/>
        <v>2.5</v>
      </c>
      <c r="AG1497" s="580">
        <f t="shared" si="154"/>
        <v>0</v>
      </c>
      <c r="AH1497" s="580">
        <f t="shared" si="155"/>
        <v>0</v>
      </c>
    </row>
    <row r="1498" spans="28:34">
      <c r="AB1498" s="580">
        <f>HLOOKUP("*"&amp;'Output annual'!$AC$2&amp;'Output annual'!$AD$2&amp;"*Zone People Number Of Occupants [](Hourly)",'Eplus results'!$1:$1048576,ROW(),FALSE)</f>
        <v>0</v>
      </c>
      <c r="AC1498" s="580">
        <f>HLOOKUP("*"&amp;'Output annual'!$AC$2&amp;'Output annual'!$AD$2&amp;"*FangerPMV(Hourly)",'Eplus results'!$1:$1048576,ROW(),FALSE)</f>
        <v>0</v>
      </c>
      <c r="AD1498" s="580">
        <f t="shared" si="151"/>
        <v>5</v>
      </c>
      <c r="AE1498" s="580">
        <f t="shared" si="152"/>
        <v>2.5</v>
      </c>
      <c r="AF1498" s="580">
        <f t="shared" si="153"/>
        <v>2.5</v>
      </c>
      <c r="AG1498" s="580">
        <f t="shared" si="154"/>
        <v>0</v>
      </c>
      <c r="AH1498" s="580">
        <f t="shared" si="155"/>
        <v>0</v>
      </c>
    </row>
    <row r="1499" spans="28:34">
      <c r="AB1499" s="580">
        <f>HLOOKUP("*"&amp;'Output annual'!$AC$2&amp;'Output annual'!$AD$2&amp;"*Zone People Number Of Occupants [](Hourly)",'Eplus results'!$1:$1048576,ROW(),FALSE)</f>
        <v>0</v>
      </c>
      <c r="AC1499" s="580">
        <f>HLOOKUP("*"&amp;'Output annual'!$AC$2&amp;'Output annual'!$AD$2&amp;"*FangerPMV(Hourly)",'Eplus results'!$1:$1048576,ROW(),FALSE)</f>
        <v>0</v>
      </c>
      <c r="AD1499" s="580">
        <f t="shared" si="151"/>
        <v>5</v>
      </c>
      <c r="AE1499" s="580">
        <f t="shared" si="152"/>
        <v>2.5</v>
      </c>
      <c r="AF1499" s="580">
        <f t="shared" si="153"/>
        <v>2.5</v>
      </c>
      <c r="AG1499" s="580">
        <f t="shared" si="154"/>
        <v>0</v>
      </c>
      <c r="AH1499" s="580">
        <f t="shared" si="155"/>
        <v>0</v>
      </c>
    </row>
    <row r="1500" spans="28:34">
      <c r="AB1500" s="580">
        <f>HLOOKUP("*"&amp;'Output annual'!$AC$2&amp;'Output annual'!$AD$2&amp;"*Zone People Number Of Occupants [](Hourly)",'Eplus results'!$1:$1048576,ROW(),FALSE)</f>
        <v>0</v>
      </c>
      <c r="AC1500" s="580">
        <f>HLOOKUP("*"&amp;'Output annual'!$AC$2&amp;'Output annual'!$AD$2&amp;"*FangerPMV(Hourly)",'Eplus results'!$1:$1048576,ROW(),FALSE)</f>
        <v>0</v>
      </c>
      <c r="AD1500" s="580">
        <f t="shared" si="151"/>
        <v>5</v>
      </c>
      <c r="AE1500" s="580">
        <f t="shared" si="152"/>
        <v>2.5</v>
      </c>
      <c r="AF1500" s="580">
        <f t="shared" si="153"/>
        <v>2.5</v>
      </c>
      <c r="AG1500" s="580">
        <f t="shared" si="154"/>
        <v>0</v>
      </c>
      <c r="AH1500" s="580">
        <f t="shared" si="155"/>
        <v>0</v>
      </c>
    </row>
    <row r="1501" spans="28:34">
      <c r="AB1501" s="580">
        <f>HLOOKUP("*"&amp;'Output annual'!$AC$2&amp;'Output annual'!$AD$2&amp;"*Zone People Number Of Occupants [](Hourly)",'Eplus results'!$1:$1048576,ROW(),FALSE)</f>
        <v>0</v>
      </c>
      <c r="AC1501" s="580">
        <f>HLOOKUP("*"&amp;'Output annual'!$AC$2&amp;'Output annual'!$AD$2&amp;"*FangerPMV(Hourly)",'Eplus results'!$1:$1048576,ROW(),FALSE)</f>
        <v>0</v>
      </c>
      <c r="AD1501" s="580">
        <f t="shared" si="151"/>
        <v>5</v>
      </c>
      <c r="AE1501" s="580">
        <f t="shared" si="152"/>
        <v>2.5</v>
      </c>
      <c r="AF1501" s="580">
        <f t="shared" si="153"/>
        <v>2.5</v>
      </c>
      <c r="AG1501" s="580">
        <f t="shared" si="154"/>
        <v>0</v>
      </c>
      <c r="AH1501" s="580">
        <f t="shared" si="155"/>
        <v>0</v>
      </c>
    </row>
    <row r="1502" spans="28:34">
      <c r="AB1502" s="580">
        <f>HLOOKUP("*"&amp;'Output annual'!$AC$2&amp;'Output annual'!$AD$2&amp;"*Zone People Number Of Occupants [](Hourly)",'Eplus results'!$1:$1048576,ROW(),FALSE)</f>
        <v>0</v>
      </c>
      <c r="AC1502" s="580">
        <f>HLOOKUP("*"&amp;'Output annual'!$AC$2&amp;'Output annual'!$AD$2&amp;"*FangerPMV(Hourly)",'Eplus results'!$1:$1048576,ROW(),FALSE)</f>
        <v>0</v>
      </c>
      <c r="AD1502" s="580">
        <f t="shared" si="151"/>
        <v>5</v>
      </c>
      <c r="AE1502" s="580">
        <f t="shared" si="152"/>
        <v>2.5</v>
      </c>
      <c r="AF1502" s="580">
        <f t="shared" si="153"/>
        <v>2.5</v>
      </c>
      <c r="AG1502" s="580">
        <f t="shared" si="154"/>
        <v>0</v>
      </c>
      <c r="AH1502" s="580">
        <f t="shared" si="155"/>
        <v>0</v>
      </c>
    </row>
    <row r="1503" spans="28:34">
      <c r="AB1503" s="580">
        <f>HLOOKUP("*"&amp;'Output annual'!$AC$2&amp;'Output annual'!$AD$2&amp;"*Zone People Number Of Occupants [](Hourly)",'Eplus results'!$1:$1048576,ROW(),FALSE)</f>
        <v>0</v>
      </c>
      <c r="AC1503" s="580">
        <f>HLOOKUP("*"&amp;'Output annual'!$AC$2&amp;'Output annual'!$AD$2&amp;"*FangerPMV(Hourly)",'Eplus results'!$1:$1048576,ROW(),FALSE)</f>
        <v>0</v>
      </c>
      <c r="AD1503" s="580">
        <f t="shared" si="151"/>
        <v>5</v>
      </c>
      <c r="AE1503" s="580">
        <f t="shared" si="152"/>
        <v>2.5</v>
      </c>
      <c r="AF1503" s="580">
        <f t="shared" si="153"/>
        <v>2.5</v>
      </c>
      <c r="AG1503" s="580">
        <f t="shared" si="154"/>
        <v>0</v>
      </c>
      <c r="AH1503" s="580">
        <f t="shared" si="155"/>
        <v>0</v>
      </c>
    </row>
    <row r="1504" spans="28:34">
      <c r="AB1504" s="580">
        <f>HLOOKUP("*"&amp;'Output annual'!$AC$2&amp;'Output annual'!$AD$2&amp;"*Zone People Number Of Occupants [](Hourly)",'Eplus results'!$1:$1048576,ROW(),FALSE)</f>
        <v>0</v>
      </c>
      <c r="AC1504" s="580">
        <f>HLOOKUP("*"&amp;'Output annual'!$AC$2&amp;'Output annual'!$AD$2&amp;"*FangerPMV(Hourly)",'Eplus results'!$1:$1048576,ROW(),FALSE)</f>
        <v>0</v>
      </c>
      <c r="AD1504" s="580">
        <f t="shared" si="151"/>
        <v>5</v>
      </c>
      <c r="AE1504" s="580">
        <f t="shared" si="152"/>
        <v>2.5</v>
      </c>
      <c r="AF1504" s="580">
        <f t="shared" si="153"/>
        <v>2.5</v>
      </c>
      <c r="AG1504" s="580">
        <f t="shared" si="154"/>
        <v>0</v>
      </c>
      <c r="AH1504" s="580">
        <f t="shared" si="155"/>
        <v>0</v>
      </c>
    </row>
    <row r="1505" spans="28:34">
      <c r="AB1505" s="580">
        <f>HLOOKUP("*"&amp;'Output annual'!$AC$2&amp;'Output annual'!$AD$2&amp;"*Zone People Number Of Occupants [](Hourly)",'Eplus results'!$1:$1048576,ROW(),FALSE)</f>
        <v>0</v>
      </c>
      <c r="AC1505" s="580">
        <f>HLOOKUP("*"&amp;'Output annual'!$AC$2&amp;'Output annual'!$AD$2&amp;"*FangerPMV(Hourly)",'Eplus results'!$1:$1048576,ROW(),FALSE)</f>
        <v>0</v>
      </c>
      <c r="AD1505" s="580">
        <f t="shared" si="151"/>
        <v>5</v>
      </c>
      <c r="AE1505" s="580">
        <f t="shared" si="152"/>
        <v>2.5</v>
      </c>
      <c r="AF1505" s="580">
        <f t="shared" si="153"/>
        <v>2.5</v>
      </c>
      <c r="AG1505" s="580">
        <f t="shared" si="154"/>
        <v>0</v>
      </c>
      <c r="AH1505" s="580">
        <f t="shared" si="155"/>
        <v>0</v>
      </c>
    </row>
    <row r="1506" spans="28:34">
      <c r="AB1506" s="580">
        <f>HLOOKUP("*"&amp;'Output annual'!$AC$2&amp;'Output annual'!$AD$2&amp;"*Zone People Number Of Occupants [](Hourly)",'Eplus results'!$1:$1048576,ROW(),FALSE)</f>
        <v>0</v>
      </c>
      <c r="AC1506" s="580">
        <f>HLOOKUP("*"&amp;'Output annual'!$AC$2&amp;'Output annual'!$AD$2&amp;"*FangerPMV(Hourly)",'Eplus results'!$1:$1048576,ROW(),FALSE)</f>
        <v>0</v>
      </c>
      <c r="AD1506" s="580">
        <f t="shared" si="151"/>
        <v>5</v>
      </c>
      <c r="AE1506" s="580">
        <f t="shared" si="152"/>
        <v>2.5</v>
      </c>
      <c r="AF1506" s="580">
        <f t="shared" si="153"/>
        <v>2.5</v>
      </c>
      <c r="AG1506" s="580">
        <f t="shared" si="154"/>
        <v>0</v>
      </c>
      <c r="AH1506" s="580">
        <f t="shared" si="155"/>
        <v>0</v>
      </c>
    </row>
    <row r="1507" spans="28:34">
      <c r="AB1507" s="580">
        <f>HLOOKUP("*"&amp;'Output annual'!$AC$2&amp;'Output annual'!$AD$2&amp;"*Zone People Number Of Occupants [](Hourly)",'Eplus results'!$1:$1048576,ROW(),FALSE)</f>
        <v>0</v>
      </c>
      <c r="AC1507" s="580">
        <f>HLOOKUP("*"&amp;'Output annual'!$AC$2&amp;'Output annual'!$AD$2&amp;"*FangerPMV(Hourly)",'Eplus results'!$1:$1048576,ROW(),FALSE)</f>
        <v>0</v>
      </c>
      <c r="AD1507" s="580">
        <f t="shared" si="151"/>
        <v>5</v>
      </c>
      <c r="AE1507" s="580">
        <f t="shared" si="152"/>
        <v>2.5</v>
      </c>
      <c r="AF1507" s="580">
        <f t="shared" si="153"/>
        <v>2.5</v>
      </c>
      <c r="AG1507" s="580">
        <f t="shared" si="154"/>
        <v>0</v>
      </c>
      <c r="AH1507" s="580">
        <f t="shared" si="155"/>
        <v>0</v>
      </c>
    </row>
    <row r="1508" spans="28:34">
      <c r="AB1508" s="580">
        <f>HLOOKUP("*"&amp;'Output annual'!$AC$2&amp;'Output annual'!$AD$2&amp;"*Zone People Number Of Occupants [](Hourly)",'Eplus results'!$1:$1048576,ROW(),FALSE)</f>
        <v>0</v>
      </c>
      <c r="AC1508" s="580">
        <f>HLOOKUP("*"&amp;'Output annual'!$AC$2&amp;'Output annual'!$AD$2&amp;"*FangerPMV(Hourly)",'Eplus results'!$1:$1048576,ROW(),FALSE)</f>
        <v>0</v>
      </c>
      <c r="AD1508" s="580">
        <f t="shared" si="151"/>
        <v>5</v>
      </c>
      <c r="AE1508" s="580">
        <f t="shared" si="152"/>
        <v>2.5</v>
      </c>
      <c r="AF1508" s="580">
        <f t="shared" si="153"/>
        <v>2.5</v>
      </c>
      <c r="AG1508" s="580">
        <f t="shared" si="154"/>
        <v>0</v>
      </c>
      <c r="AH1508" s="580">
        <f t="shared" si="155"/>
        <v>0</v>
      </c>
    </row>
    <row r="1509" spans="28:34">
      <c r="AB1509" s="580">
        <f>HLOOKUP("*"&amp;'Output annual'!$AC$2&amp;'Output annual'!$AD$2&amp;"*Zone People Number Of Occupants [](Hourly)",'Eplus results'!$1:$1048576,ROW(),FALSE)</f>
        <v>0</v>
      </c>
      <c r="AC1509" s="580">
        <f>HLOOKUP("*"&amp;'Output annual'!$AC$2&amp;'Output annual'!$AD$2&amp;"*FangerPMV(Hourly)",'Eplus results'!$1:$1048576,ROW(),FALSE)</f>
        <v>0</v>
      </c>
      <c r="AD1509" s="580">
        <f t="shared" si="151"/>
        <v>5</v>
      </c>
      <c r="AE1509" s="580">
        <f t="shared" si="152"/>
        <v>2.5</v>
      </c>
      <c r="AF1509" s="580">
        <f t="shared" si="153"/>
        <v>2.5</v>
      </c>
      <c r="AG1509" s="580">
        <f t="shared" si="154"/>
        <v>0</v>
      </c>
      <c r="AH1509" s="580">
        <f t="shared" si="155"/>
        <v>0</v>
      </c>
    </row>
    <row r="1510" spans="28:34">
      <c r="AB1510" s="580">
        <f>HLOOKUP("*"&amp;'Output annual'!$AC$2&amp;'Output annual'!$AD$2&amp;"*Zone People Number Of Occupants [](Hourly)",'Eplus results'!$1:$1048576,ROW(),FALSE)</f>
        <v>0</v>
      </c>
      <c r="AC1510" s="580">
        <f>HLOOKUP("*"&amp;'Output annual'!$AC$2&amp;'Output annual'!$AD$2&amp;"*FangerPMV(Hourly)",'Eplus results'!$1:$1048576,ROW(),FALSE)</f>
        <v>0</v>
      </c>
      <c r="AD1510" s="580">
        <f t="shared" si="151"/>
        <v>5</v>
      </c>
      <c r="AE1510" s="580">
        <f t="shared" si="152"/>
        <v>2.5</v>
      </c>
      <c r="AF1510" s="580">
        <f t="shared" si="153"/>
        <v>2.5</v>
      </c>
      <c r="AG1510" s="580">
        <f t="shared" si="154"/>
        <v>0</v>
      </c>
      <c r="AH1510" s="580">
        <f t="shared" si="155"/>
        <v>0</v>
      </c>
    </row>
    <row r="1511" spans="28:34">
      <c r="AB1511" s="580">
        <f>HLOOKUP("*"&amp;'Output annual'!$AC$2&amp;'Output annual'!$AD$2&amp;"*Zone People Number Of Occupants [](Hourly)",'Eplus results'!$1:$1048576,ROW(),FALSE)</f>
        <v>0</v>
      </c>
      <c r="AC1511" s="580">
        <f>HLOOKUP("*"&amp;'Output annual'!$AC$2&amp;'Output annual'!$AD$2&amp;"*FangerPMV(Hourly)",'Eplus results'!$1:$1048576,ROW(),FALSE)</f>
        <v>0</v>
      </c>
      <c r="AD1511" s="580">
        <f t="shared" si="151"/>
        <v>5</v>
      </c>
      <c r="AE1511" s="580">
        <f t="shared" si="152"/>
        <v>2.5</v>
      </c>
      <c r="AF1511" s="580">
        <f t="shared" si="153"/>
        <v>2.5</v>
      </c>
      <c r="AG1511" s="580">
        <f t="shared" si="154"/>
        <v>0</v>
      </c>
      <c r="AH1511" s="580">
        <f t="shared" si="155"/>
        <v>0</v>
      </c>
    </row>
    <row r="1512" spans="28:34">
      <c r="AB1512" s="580">
        <f>HLOOKUP("*"&amp;'Output annual'!$AC$2&amp;'Output annual'!$AD$2&amp;"*Zone People Number Of Occupants [](Hourly)",'Eplus results'!$1:$1048576,ROW(),FALSE)</f>
        <v>0</v>
      </c>
      <c r="AC1512" s="580">
        <f>HLOOKUP("*"&amp;'Output annual'!$AC$2&amp;'Output annual'!$AD$2&amp;"*FangerPMV(Hourly)",'Eplus results'!$1:$1048576,ROW(),FALSE)</f>
        <v>0</v>
      </c>
      <c r="AD1512" s="580">
        <f t="shared" si="151"/>
        <v>5</v>
      </c>
      <c r="AE1512" s="580">
        <f t="shared" si="152"/>
        <v>2.5</v>
      </c>
      <c r="AF1512" s="580">
        <f t="shared" si="153"/>
        <v>2.5</v>
      </c>
      <c r="AG1512" s="580">
        <f t="shared" si="154"/>
        <v>0</v>
      </c>
      <c r="AH1512" s="580">
        <f t="shared" si="155"/>
        <v>0</v>
      </c>
    </row>
    <row r="1513" spans="28:34">
      <c r="AB1513" s="580">
        <f>HLOOKUP("*"&amp;'Output annual'!$AC$2&amp;'Output annual'!$AD$2&amp;"*Zone People Number Of Occupants [](Hourly)",'Eplus results'!$1:$1048576,ROW(),FALSE)</f>
        <v>0</v>
      </c>
      <c r="AC1513" s="580">
        <f>HLOOKUP("*"&amp;'Output annual'!$AC$2&amp;'Output annual'!$AD$2&amp;"*FangerPMV(Hourly)",'Eplus results'!$1:$1048576,ROW(),FALSE)</f>
        <v>0</v>
      </c>
      <c r="AD1513" s="580">
        <f t="shared" si="151"/>
        <v>5</v>
      </c>
      <c r="AE1513" s="580">
        <f t="shared" si="152"/>
        <v>2.5</v>
      </c>
      <c r="AF1513" s="580">
        <f t="shared" si="153"/>
        <v>2.5</v>
      </c>
      <c r="AG1513" s="580">
        <f t="shared" si="154"/>
        <v>0</v>
      </c>
      <c r="AH1513" s="580">
        <f t="shared" si="155"/>
        <v>0</v>
      </c>
    </row>
    <row r="1514" spans="28:34">
      <c r="AB1514" s="580">
        <f>HLOOKUP("*"&amp;'Output annual'!$AC$2&amp;'Output annual'!$AD$2&amp;"*Zone People Number Of Occupants [](Hourly)",'Eplus results'!$1:$1048576,ROW(),FALSE)</f>
        <v>0</v>
      </c>
      <c r="AC1514" s="580">
        <f>HLOOKUP("*"&amp;'Output annual'!$AC$2&amp;'Output annual'!$AD$2&amp;"*FangerPMV(Hourly)",'Eplus results'!$1:$1048576,ROW(),FALSE)</f>
        <v>0</v>
      </c>
      <c r="AD1514" s="580">
        <f t="shared" si="151"/>
        <v>5</v>
      </c>
      <c r="AE1514" s="580">
        <f t="shared" si="152"/>
        <v>2.5</v>
      </c>
      <c r="AF1514" s="580">
        <f t="shared" si="153"/>
        <v>2.5</v>
      </c>
      <c r="AG1514" s="580">
        <f t="shared" si="154"/>
        <v>0</v>
      </c>
      <c r="AH1514" s="580">
        <f t="shared" si="155"/>
        <v>0</v>
      </c>
    </row>
    <row r="1515" spans="28:34">
      <c r="AB1515" s="580">
        <f>HLOOKUP("*"&amp;'Output annual'!$AC$2&amp;'Output annual'!$AD$2&amp;"*Zone People Number Of Occupants [](Hourly)",'Eplus results'!$1:$1048576,ROW(),FALSE)</f>
        <v>0</v>
      </c>
      <c r="AC1515" s="580">
        <f>HLOOKUP("*"&amp;'Output annual'!$AC$2&amp;'Output annual'!$AD$2&amp;"*FangerPMV(Hourly)",'Eplus results'!$1:$1048576,ROW(),FALSE)</f>
        <v>0</v>
      </c>
      <c r="AD1515" s="580">
        <f t="shared" si="151"/>
        <v>5</v>
      </c>
      <c r="AE1515" s="580">
        <f t="shared" si="152"/>
        <v>2.5</v>
      </c>
      <c r="AF1515" s="580">
        <f t="shared" si="153"/>
        <v>2.5</v>
      </c>
      <c r="AG1515" s="580">
        <f t="shared" si="154"/>
        <v>0</v>
      </c>
      <c r="AH1515" s="580">
        <f t="shared" si="155"/>
        <v>0</v>
      </c>
    </row>
    <row r="1516" spans="28:34">
      <c r="AB1516" s="580">
        <f>HLOOKUP("*"&amp;'Output annual'!$AC$2&amp;'Output annual'!$AD$2&amp;"*Zone People Number Of Occupants [](Hourly)",'Eplus results'!$1:$1048576,ROW(),FALSE)</f>
        <v>0</v>
      </c>
      <c r="AC1516" s="580">
        <f>HLOOKUP("*"&amp;'Output annual'!$AC$2&amp;'Output annual'!$AD$2&amp;"*FangerPMV(Hourly)",'Eplus results'!$1:$1048576,ROW(),FALSE)</f>
        <v>0</v>
      </c>
      <c r="AD1516" s="580">
        <f t="shared" si="151"/>
        <v>5</v>
      </c>
      <c r="AE1516" s="580">
        <f t="shared" si="152"/>
        <v>2.5</v>
      </c>
      <c r="AF1516" s="580">
        <f t="shared" si="153"/>
        <v>2.5</v>
      </c>
      <c r="AG1516" s="580">
        <f t="shared" si="154"/>
        <v>0</v>
      </c>
      <c r="AH1516" s="580">
        <f t="shared" si="155"/>
        <v>0</v>
      </c>
    </row>
    <row r="1517" spans="28:34">
      <c r="AB1517" s="580">
        <f>HLOOKUP("*"&amp;'Output annual'!$AC$2&amp;'Output annual'!$AD$2&amp;"*Zone People Number Of Occupants [](Hourly)",'Eplus results'!$1:$1048576,ROW(),FALSE)</f>
        <v>0</v>
      </c>
      <c r="AC1517" s="580">
        <f>HLOOKUP("*"&amp;'Output annual'!$AC$2&amp;'Output annual'!$AD$2&amp;"*FangerPMV(Hourly)",'Eplus results'!$1:$1048576,ROW(),FALSE)</f>
        <v>0</v>
      </c>
      <c r="AD1517" s="580">
        <f t="shared" si="151"/>
        <v>5</v>
      </c>
      <c r="AE1517" s="580">
        <f t="shared" si="152"/>
        <v>2.5</v>
      </c>
      <c r="AF1517" s="580">
        <f t="shared" si="153"/>
        <v>2.5</v>
      </c>
      <c r="AG1517" s="580">
        <f t="shared" si="154"/>
        <v>0</v>
      </c>
      <c r="AH1517" s="580">
        <f t="shared" si="155"/>
        <v>0</v>
      </c>
    </row>
    <row r="1518" spans="28:34">
      <c r="AB1518" s="580">
        <f>HLOOKUP("*"&amp;'Output annual'!$AC$2&amp;'Output annual'!$AD$2&amp;"*Zone People Number Of Occupants [](Hourly)",'Eplus results'!$1:$1048576,ROW(),FALSE)</f>
        <v>0</v>
      </c>
      <c r="AC1518" s="580">
        <f>HLOOKUP("*"&amp;'Output annual'!$AC$2&amp;'Output annual'!$AD$2&amp;"*FangerPMV(Hourly)",'Eplus results'!$1:$1048576,ROW(),FALSE)</f>
        <v>0</v>
      </c>
      <c r="AD1518" s="580">
        <f t="shared" si="151"/>
        <v>5</v>
      </c>
      <c r="AE1518" s="580">
        <f t="shared" si="152"/>
        <v>2.5</v>
      </c>
      <c r="AF1518" s="580">
        <f t="shared" si="153"/>
        <v>2.5</v>
      </c>
      <c r="AG1518" s="580">
        <f t="shared" si="154"/>
        <v>0</v>
      </c>
      <c r="AH1518" s="580">
        <f t="shared" si="155"/>
        <v>0</v>
      </c>
    </row>
    <row r="1519" spans="28:34">
      <c r="AB1519" s="580">
        <f>HLOOKUP("*"&amp;'Output annual'!$AC$2&amp;'Output annual'!$AD$2&amp;"*Zone People Number Of Occupants [](Hourly)",'Eplus results'!$1:$1048576,ROW(),FALSE)</f>
        <v>0</v>
      </c>
      <c r="AC1519" s="580">
        <f>HLOOKUP("*"&amp;'Output annual'!$AC$2&amp;'Output annual'!$AD$2&amp;"*FangerPMV(Hourly)",'Eplus results'!$1:$1048576,ROW(),FALSE)</f>
        <v>0</v>
      </c>
      <c r="AD1519" s="580">
        <f t="shared" si="151"/>
        <v>5</v>
      </c>
      <c r="AE1519" s="580">
        <f t="shared" si="152"/>
        <v>2.5</v>
      </c>
      <c r="AF1519" s="580">
        <f t="shared" si="153"/>
        <v>2.5</v>
      </c>
      <c r="AG1519" s="580">
        <f t="shared" si="154"/>
        <v>0</v>
      </c>
      <c r="AH1519" s="580">
        <f t="shared" si="155"/>
        <v>0</v>
      </c>
    </row>
    <row r="1520" spans="28:34">
      <c r="AB1520" s="580">
        <f>HLOOKUP("*"&amp;'Output annual'!$AC$2&amp;'Output annual'!$AD$2&amp;"*Zone People Number Of Occupants [](Hourly)",'Eplus results'!$1:$1048576,ROW(),FALSE)</f>
        <v>0</v>
      </c>
      <c r="AC1520" s="580">
        <f>HLOOKUP("*"&amp;'Output annual'!$AC$2&amp;'Output annual'!$AD$2&amp;"*FangerPMV(Hourly)",'Eplus results'!$1:$1048576,ROW(),FALSE)</f>
        <v>0</v>
      </c>
      <c r="AD1520" s="580">
        <f t="shared" si="151"/>
        <v>5</v>
      </c>
      <c r="AE1520" s="580">
        <f t="shared" si="152"/>
        <v>2.5</v>
      </c>
      <c r="AF1520" s="580">
        <f t="shared" si="153"/>
        <v>2.5</v>
      </c>
      <c r="AG1520" s="580">
        <f t="shared" si="154"/>
        <v>0</v>
      </c>
      <c r="AH1520" s="580">
        <f t="shared" si="155"/>
        <v>0</v>
      </c>
    </row>
    <row r="1521" spans="28:34">
      <c r="AB1521" s="580">
        <f>HLOOKUP("*"&amp;'Output annual'!$AC$2&amp;'Output annual'!$AD$2&amp;"*Zone People Number Of Occupants [](Hourly)",'Eplus results'!$1:$1048576,ROW(),FALSE)</f>
        <v>0</v>
      </c>
      <c r="AC1521" s="580">
        <f>HLOOKUP("*"&amp;'Output annual'!$AC$2&amp;'Output annual'!$AD$2&amp;"*FangerPMV(Hourly)",'Eplus results'!$1:$1048576,ROW(),FALSE)</f>
        <v>0</v>
      </c>
      <c r="AD1521" s="580">
        <f t="shared" si="151"/>
        <v>5</v>
      </c>
      <c r="AE1521" s="580">
        <f t="shared" si="152"/>
        <v>2.5</v>
      </c>
      <c r="AF1521" s="580">
        <f t="shared" si="153"/>
        <v>2.5</v>
      </c>
      <c r="AG1521" s="580">
        <f t="shared" si="154"/>
        <v>0</v>
      </c>
      <c r="AH1521" s="580">
        <f t="shared" si="155"/>
        <v>0</v>
      </c>
    </row>
    <row r="1522" spans="28:34">
      <c r="AB1522" s="580">
        <f>HLOOKUP("*"&amp;'Output annual'!$AC$2&amp;'Output annual'!$AD$2&amp;"*Zone People Number Of Occupants [](Hourly)",'Eplus results'!$1:$1048576,ROW(),FALSE)</f>
        <v>0</v>
      </c>
      <c r="AC1522" s="580">
        <f>HLOOKUP("*"&amp;'Output annual'!$AC$2&amp;'Output annual'!$AD$2&amp;"*FangerPMV(Hourly)",'Eplus results'!$1:$1048576,ROW(),FALSE)</f>
        <v>0</v>
      </c>
      <c r="AD1522" s="580">
        <f t="shared" si="151"/>
        <v>5</v>
      </c>
      <c r="AE1522" s="580">
        <f t="shared" si="152"/>
        <v>2.5</v>
      </c>
      <c r="AF1522" s="580">
        <f t="shared" si="153"/>
        <v>2.5</v>
      </c>
      <c r="AG1522" s="580">
        <f t="shared" si="154"/>
        <v>0</v>
      </c>
      <c r="AH1522" s="580">
        <f t="shared" si="155"/>
        <v>0</v>
      </c>
    </row>
    <row r="1523" spans="28:34">
      <c r="AB1523" s="580">
        <f>HLOOKUP("*"&amp;'Output annual'!$AC$2&amp;'Output annual'!$AD$2&amp;"*Zone People Number Of Occupants [](Hourly)",'Eplus results'!$1:$1048576,ROW(),FALSE)</f>
        <v>0</v>
      </c>
      <c r="AC1523" s="580">
        <f>HLOOKUP("*"&amp;'Output annual'!$AC$2&amp;'Output annual'!$AD$2&amp;"*FangerPMV(Hourly)",'Eplus results'!$1:$1048576,ROW(),FALSE)</f>
        <v>0</v>
      </c>
      <c r="AD1523" s="580">
        <f t="shared" si="151"/>
        <v>5</v>
      </c>
      <c r="AE1523" s="580">
        <f t="shared" si="152"/>
        <v>2.5</v>
      </c>
      <c r="AF1523" s="580">
        <f t="shared" si="153"/>
        <v>2.5</v>
      </c>
      <c r="AG1523" s="580">
        <f t="shared" si="154"/>
        <v>0</v>
      </c>
      <c r="AH1523" s="580">
        <f t="shared" si="155"/>
        <v>0</v>
      </c>
    </row>
    <row r="1524" spans="28:34">
      <c r="AB1524" s="580">
        <f>HLOOKUP("*"&amp;'Output annual'!$AC$2&amp;'Output annual'!$AD$2&amp;"*Zone People Number Of Occupants [](Hourly)",'Eplus results'!$1:$1048576,ROW(),FALSE)</f>
        <v>0</v>
      </c>
      <c r="AC1524" s="580">
        <f>HLOOKUP("*"&amp;'Output annual'!$AC$2&amp;'Output annual'!$AD$2&amp;"*FangerPMV(Hourly)",'Eplus results'!$1:$1048576,ROW(),FALSE)</f>
        <v>0</v>
      </c>
      <c r="AD1524" s="580">
        <f t="shared" si="151"/>
        <v>5</v>
      </c>
      <c r="AE1524" s="580">
        <f t="shared" si="152"/>
        <v>2.5</v>
      </c>
      <c r="AF1524" s="580">
        <f t="shared" si="153"/>
        <v>2.5</v>
      </c>
      <c r="AG1524" s="580">
        <f t="shared" si="154"/>
        <v>0</v>
      </c>
      <c r="AH1524" s="580">
        <f t="shared" si="155"/>
        <v>0</v>
      </c>
    </row>
    <row r="1525" spans="28:34">
      <c r="AB1525" s="580">
        <f>HLOOKUP("*"&amp;'Output annual'!$AC$2&amp;'Output annual'!$AD$2&amp;"*Zone People Number Of Occupants [](Hourly)",'Eplus results'!$1:$1048576,ROW(),FALSE)</f>
        <v>0</v>
      </c>
      <c r="AC1525" s="580">
        <f>HLOOKUP("*"&amp;'Output annual'!$AC$2&amp;'Output annual'!$AD$2&amp;"*FangerPMV(Hourly)",'Eplus results'!$1:$1048576,ROW(),FALSE)</f>
        <v>0</v>
      </c>
      <c r="AD1525" s="580">
        <f t="shared" si="151"/>
        <v>5</v>
      </c>
      <c r="AE1525" s="580">
        <f t="shared" si="152"/>
        <v>2.5</v>
      </c>
      <c r="AF1525" s="580">
        <f t="shared" si="153"/>
        <v>2.5</v>
      </c>
      <c r="AG1525" s="580">
        <f t="shared" si="154"/>
        <v>0</v>
      </c>
      <c r="AH1525" s="580">
        <f t="shared" si="155"/>
        <v>0</v>
      </c>
    </row>
    <row r="1526" spans="28:34">
      <c r="AB1526" s="580">
        <f>HLOOKUP("*"&amp;'Output annual'!$AC$2&amp;'Output annual'!$AD$2&amp;"*Zone People Number Of Occupants [](Hourly)",'Eplus results'!$1:$1048576,ROW(),FALSE)</f>
        <v>0</v>
      </c>
      <c r="AC1526" s="580">
        <f>HLOOKUP("*"&amp;'Output annual'!$AC$2&amp;'Output annual'!$AD$2&amp;"*FangerPMV(Hourly)",'Eplus results'!$1:$1048576,ROW(),FALSE)</f>
        <v>0</v>
      </c>
      <c r="AD1526" s="580">
        <f t="shared" si="151"/>
        <v>5</v>
      </c>
      <c r="AE1526" s="580">
        <f t="shared" si="152"/>
        <v>2.5</v>
      </c>
      <c r="AF1526" s="580">
        <f t="shared" si="153"/>
        <v>2.5</v>
      </c>
      <c r="AG1526" s="580">
        <f t="shared" si="154"/>
        <v>0</v>
      </c>
      <c r="AH1526" s="580">
        <f t="shared" si="155"/>
        <v>0</v>
      </c>
    </row>
    <row r="1527" spans="28:34">
      <c r="AB1527" s="580">
        <f>HLOOKUP("*"&amp;'Output annual'!$AC$2&amp;'Output annual'!$AD$2&amp;"*Zone People Number Of Occupants [](Hourly)",'Eplus results'!$1:$1048576,ROW(),FALSE)</f>
        <v>0</v>
      </c>
      <c r="AC1527" s="580">
        <f>HLOOKUP("*"&amp;'Output annual'!$AC$2&amp;'Output annual'!$AD$2&amp;"*FangerPMV(Hourly)",'Eplus results'!$1:$1048576,ROW(),FALSE)</f>
        <v>0</v>
      </c>
      <c r="AD1527" s="580">
        <f t="shared" si="151"/>
        <v>5</v>
      </c>
      <c r="AE1527" s="580">
        <f t="shared" si="152"/>
        <v>2.5</v>
      </c>
      <c r="AF1527" s="580">
        <f t="shared" si="153"/>
        <v>2.5</v>
      </c>
      <c r="AG1527" s="580">
        <f t="shared" si="154"/>
        <v>0</v>
      </c>
      <c r="AH1527" s="580">
        <f t="shared" si="155"/>
        <v>0</v>
      </c>
    </row>
    <row r="1528" spans="28:34">
      <c r="AB1528" s="580">
        <f>HLOOKUP("*"&amp;'Output annual'!$AC$2&amp;'Output annual'!$AD$2&amp;"*Zone People Number Of Occupants [](Hourly)",'Eplus results'!$1:$1048576,ROW(),FALSE)</f>
        <v>0</v>
      </c>
      <c r="AC1528" s="580">
        <f>HLOOKUP("*"&amp;'Output annual'!$AC$2&amp;'Output annual'!$AD$2&amp;"*FangerPMV(Hourly)",'Eplus results'!$1:$1048576,ROW(),FALSE)</f>
        <v>0</v>
      </c>
      <c r="AD1528" s="580">
        <f t="shared" si="151"/>
        <v>5</v>
      </c>
      <c r="AE1528" s="580">
        <f t="shared" si="152"/>
        <v>2.5</v>
      </c>
      <c r="AF1528" s="580">
        <f t="shared" si="153"/>
        <v>2.5</v>
      </c>
      <c r="AG1528" s="580">
        <f t="shared" si="154"/>
        <v>0</v>
      </c>
      <c r="AH1528" s="580">
        <f t="shared" si="155"/>
        <v>0</v>
      </c>
    </row>
    <row r="1529" spans="28:34">
      <c r="AB1529" s="580">
        <f>HLOOKUP("*"&amp;'Output annual'!$AC$2&amp;'Output annual'!$AD$2&amp;"*Zone People Number Of Occupants [](Hourly)",'Eplus results'!$1:$1048576,ROW(),FALSE)</f>
        <v>0</v>
      </c>
      <c r="AC1529" s="580">
        <f>HLOOKUP("*"&amp;'Output annual'!$AC$2&amp;'Output annual'!$AD$2&amp;"*FangerPMV(Hourly)",'Eplus results'!$1:$1048576,ROW(),FALSE)</f>
        <v>0</v>
      </c>
      <c r="AD1529" s="580">
        <f t="shared" si="151"/>
        <v>5</v>
      </c>
      <c r="AE1529" s="580">
        <f t="shared" si="152"/>
        <v>2.5</v>
      </c>
      <c r="AF1529" s="580">
        <f t="shared" si="153"/>
        <v>2.5</v>
      </c>
      <c r="AG1529" s="580">
        <f t="shared" si="154"/>
        <v>0</v>
      </c>
      <c r="AH1529" s="580">
        <f t="shared" si="155"/>
        <v>0</v>
      </c>
    </row>
    <row r="1530" spans="28:34">
      <c r="AB1530" s="580">
        <f>HLOOKUP("*"&amp;'Output annual'!$AC$2&amp;'Output annual'!$AD$2&amp;"*Zone People Number Of Occupants [](Hourly)",'Eplus results'!$1:$1048576,ROW(),FALSE)</f>
        <v>0</v>
      </c>
      <c r="AC1530" s="580">
        <f>HLOOKUP("*"&amp;'Output annual'!$AC$2&amp;'Output annual'!$AD$2&amp;"*FangerPMV(Hourly)",'Eplus results'!$1:$1048576,ROW(),FALSE)</f>
        <v>0</v>
      </c>
      <c r="AD1530" s="580">
        <f t="shared" si="151"/>
        <v>5</v>
      </c>
      <c r="AE1530" s="580">
        <f t="shared" si="152"/>
        <v>2.5</v>
      </c>
      <c r="AF1530" s="580">
        <f t="shared" si="153"/>
        <v>2.5</v>
      </c>
      <c r="AG1530" s="580">
        <f t="shared" si="154"/>
        <v>0</v>
      </c>
      <c r="AH1530" s="580">
        <f t="shared" si="155"/>
        <v>0</v>
      </c>
    </row>
    <row r="1531" spans="28:34">
      <c r="AB1531" s="580">
        <f>HLOOKUP("*"&amp;'Output annual'!$AC$2&amp;'Output annual'!$AD$2&amp;"*Zone People Number Of Occupants [](Hourly)",'Eplus results'!$1:$1048576,ROW(),FALSE)</f>
        <v>0</v>
      </c>
      <c r="AC1531" s="580">
        <f>HLOOKUP("*"&amp;'Output annual'!$AC$2&amp;'Output annual'!$AD$2&amp;"*FangerPMV(Hourly)",'Eplus results'!$1:$1048576,ROW(),FALSE)</f>
        <v>0</v>
      </c>
      <c r="AD1531" s="580">
        <f t="shared" si="151"/>
        <v>5</v>
      </c>
      <c r="AE1531" s="580">
        <f t="shared" si="152"/>
        <v>2.5</v>
      </c>
      <c r="AF1531" s="580">
        <f t="shared" si="153"/>
        <v>2.5</v>
      </c>
      <c r="AG1531" s="580">
        <f t="shared" si="154"/>
        <v>0</v>
      </c>
      <c r="AH1531" s="580">
        <f t="shared" si="155"/>
        <v>0</v>
      </c>
    </row>
    <row r="1532" spans="28:34">
      <c r="AB1532" s="580">
        <f>HLOOKUP("*"&amp;'Output annual'!$AC$2&amp;'Output annual'!$AD$2&amp;"*Zone People Number Of Occupants [](Hourly)",'Eplus results'!$1:$1048576,ROW(),FALSE)</f>
        <v>0</v>
      </c>
      <c r="AC1532" s="580">
        <f>HLOOKUP("*"&amp;'Output annual'!$AC$2&amp;'Output annual'!$AD$2&amp;"*FangerPMV(Hourly)",'Eplus results'!$1:$1048576,ROW(),FALSE)</f>
        <v>0</v>
      </c>
      <c r="AD1532" s="580">
        <f t="shared" si="151"/>
        <v>5</v>
      </c>
      <c r="AE1532" s="580">
        <f t="shared" si="152"/>
        <v>2.5</v>
      </c>
      <c r="AF1532" s="580">
        <f t="shared" si="153"/>
        <v>2.5</v>
      </c>
      <c r="AG1532" s="580">
        <f t="shared" si="154"/>
        <v>0</v>
      </c>
      <c r="AH1532" s="580">
        <f t="shared" si="155"/>
        <v>0</v>
      </c>
    </row>
    <row r="1533" spans="28:34">
      <c r="AB1533" s="580">
        <f>HLOOKUP("*"&amp;'Output annual'!$AC$2&amp;'Output annual'!$AD$2&amp;"*Zone People Number Of Occupants [](Hourly)",'Eplus results'!$1:$1048576,ROW(),FALSE)</f>
        <v>0</v>
      </c>
      <c r="AC1533" s="580">
        <f>HLOOKUP("*"&amp;'Output annual'!$AC$2&amp;'Output annual'!$AD$2&amp;"*FangerPMV(Hourly)",'Eplus results'!$1:$1048576,ROW(),FALSE)</f>
        <v>0</v>
      </c>
      <c r="AD1533" s="580">
        <f t="shared" si="151"/>
        <v>5</v>
      </c>
      <c r="AE1533" s="580">
        <f t="shared" si="152"/>
        <v>2.5</v>
      </c>
      <c r="AF1533" s="580">
        <f t="shared" si="153"/>
        <v>2.5</v>
      </c>
      <c r="AG1533" s="580">
        <f t="shared" si="154"/>
        <v>0</v>
      </c>
      <c r="AH1533" s="580">
        <f t="shared" si="155"/>
        <v>0</v>
      </c>
    </row>
    <row r="1534" spans="28:34">
      <c r="AB1534" s="580">
        <f>HLOOKUP("*"&amp;'Output annual'!$AC$2&amp;'Output annual'!$AD$2&amp;"*Zone People Number Of Occupants [](Hourly)",'Eplus results'!$1:$1048576,ROW(),FALSE)</f>
        <v>0</v>
      </c>
      <c r="AC1534" s="580">
        <f>HLOOKUP("*"&amp;'Output annual'!$AC$2&amp;'Output annual'!$AD$2&amp;"*FangerPMV(Hourly)",'Eplus results'!$1:$1048576,ROW(),FALSE)</f>
        <v>0</v>
      </c>
      <c r="AD1534" s="580">
        <f t="shared" si="151"/>
        <v>5</v>
      </c>
      <c r="AE1534" s="580">
        <f t="shared" si="152"/>
        <v>2.5</v>
      </c>
      <c r="AF1534" s="580">
        <f t="shared" si="153"/>
        <v>2.5</v>
      </c>
      <c r="AG1534" s="580">
        <f t="shared" si="154"/>
        <v>0</v>
      </c>
      <c r="AH1534" s="580">
        <f t="shared" si="155"/>
        <v>0</v>
      </c>
    </row>
    <row r="1535" spans="28:34">
      <c r="AB1535" s="580">
        <f>HLOOKUP("*"&amp;'Output annual'!$AC$2&amp;'Output annual'!$AD$2&amp;"*Zone People Number Of Occupants [](Hourly)",'Eplus results'!$1:$1048576,ROW(),FALSE)</f>
        <v>0</v>
      </c>
      <c r="AC1535" s="580">
        <f>HLOOKUP("*"&amp;'Output annual'!$AC$2&amp;'Output annual'!$AD$2&amp;"*FangerPMV(Hourly)",'Eplus results'!$1:$1048576,ROW(),FALSE)</f>
        <v>0</v>
      </c>
      <c r="AD1535" s="580">
        <f t="shared" si="151"/>
        <v>5</v>
      </c>
      <c r="AE1535" s="580">
        <f t="shared" si="152"/>
        <v>2.5</v>
      </c>
      <c r="AF1535" s="580">
        <f t="shared" si="153"/>
        <v>2.5</v>
      </c>
      <c r="AG1535" s="580">
        <f t="shared" si="154"/>
        <v>0</v>
      </c>
      <c r="AH1535" s="580">
        <f t="shared" si="155"/>
        <v>0</v>
      </c>
    </row>
    <row r="1536" spans="28:34">
      <c r="AB1536" s="580">
        <f>HLOOKUP("*"&amp;'Output annual'!$AC$2&amp;'Output annual'!$AD$2&amp;"*Zone People Number Of Occupants [](Hourly)",'Eplus results'!$1:$1048576,ROW(),FALSE)</f>
        <v>0</v>
      </c>
      <c r="AC1536" s="580">
        <f>HLOOKUP("*"&amp;'Output annual'!$AC$2&amp;'Output annual'!$AD$2&amp;"*FangerPMV(Hourly)",'Eplus results'!$1:$1048576,ROW(),FALSE)</f>
        <v>0</v>
      </c>
      <c r="AD1536" s="580">
        <f t="shared" si="151"/>
        <v>5</v>
      </c>
      <c r="AE1536" s="580">
        <f t="shared" si="152"/>
        <v>2.5</v>
      </c>
      <c r="AF1536" s="580">
        <f t="shared" si="153"/>
        <v>2.5</v>
      </c>
      <c r="AG1536" s="580">
        <f t="shared" si="154"/>
        <v>0</v>
      </c>
      <c r="AH1536" s="580">
        <f t="shared" si="155"/>
        <v>0</v>
      </c>
    </row>
    <row r="1537" spans="28:34">
      <c r="AB1537" s="580">
        <f>HLOOKUP("*"&amp;'Output annual'!$AC$2&amp;'Output annual'!$AD$2&amp;"*Zone People Number Of Occupants [](Hourly)",'Eplus results'!$1:$1048576,ROW(),FALSE)</f>
        <v>0</v>
      </c>
      <c r="AC1537" s="580">
        <f>HLOOKUP("*"&amp;'Output annual'!$AC$2&amp;'Output annual'!$AD$2&amp;"*FangerPMV(Hourly)",'Eplus results'!$1:$1048576,ROW(),FALSE)</f>
        <v>0</v>
      </c>
      <c r="AD1537" s="580">
        <f t="shared" si="151"/>
        <v>5</v>
      </c>
      <c r="AE1537" s="580">
        <f t="shared" si="152"/>
        <v>2.5</v>
      </c>
      <c r="AF1537" s="580">
        <f t="shared" si="153"/>
        <v>2.5</v>
      </c>
      <c r="AG1537" s="580">
        <f t="shared" si="154"/>
        <v>0</v>
      </c>
      <c r="AH1537" s="580">
        <f t="shared" si="155"/>
        <v>0</v>
      </c>
    </row>
    <row r="1538" spans="28:34">
      <c r="AB1538" s="580">
        <f>HLOOKUP("*"&amp;'Output annual'!$AC$2&amp;'Output annual'!$AD$2&amp;"*Zone People Number Of Occupants [](Hourly)",'Eplus results'!$1:$1048576,ROW(),FALSE)</f>
        <v>0</v>
      </c>
      <c r="AC1538" s="580">
        <f>HLOOKUP("*"&amp;'Output annual'!$AC$2&amp;'Output annual'!$AD$2&amp;"*FangerPMV(Hourly)",'Eplus results'!$1:$1048576,ROW(),FALSE)</f>
        <v>0</v>
      </c>
      <c r="AD1538" s="580">
        <f t="shared" si="151"/>
        <v>5</v>
      </c>
      <c r="AE1538" s="580">
        <f t="shared" si="152"/>
        <v>2.5</v>
      </c>
      <c r="AF1538" s="580">
        <f t="shared" si="153"/>
        <v>2.5</v>
      </c>
      <c r="AG1538" s="580">
        <f t="shared" si="154"/>
        <v>0</v>
      </c>
      <c r="AH1538" s="580">
        <f t="shared" si="155"/>
        <v>0</v>
      </c>
    </row>
    <row r="1539" spans="28:34">
      <c r="AB1539" s="580">
        <f>HLOOKUP("*"&amp;'Output annual'!$AC$2&amp;'Output annual'!$AD$2&amp;"*Zone People Number Of Occupants [](Hourly)",'Eplus results'!$1:$1048576,ROW(),FALSE)</f>
        <v>0</v>
      </c>
      <c r="AC1539" s="580">
        <f>HLOOKUP("*"&amp;'Output annual'!$AC$2&amp;'Output annual'!$AD$2&amp;"*FangerPMV(Hourly)",'Eplus results'!$1:$1048576,ROW(),FALSE)</f>
        <v>0</v>
      </c>
      <c r="AD1539" s="580">
        <f t="shared" ref="AD1539:AD1602" si="156">100-95*EXP(-0.03353*AC1539^4-0.2179*AC1539^2)</f>
        <v>5</v>
      </c>
      <c r="AE1539" s="580">
        <f t="shared" ref="AE1539:AE1602" si="157">AD1539*(1/(1+EXP(-6.3*$AC1539)))</f>
        <v>2.5</v>
      </c>
      <c r="AF1539" s="580">
        <f t="shared" ref="AF1539:AF1602" si="158">(AD1539-AE1539)</f>
        <v>2.5</v>
      </c>
      <c r="AG1539" s="580">
        <f t="shared" ref="AG1539:AG1602" si="159">AE1539*AB1539</f>
        <v>0</v>
      </c>
      <c r="AH1539" s="580">
        <f t="shared" ref="AH1539:AH1602" si="160">AF1539*AB1539</f>
        <v>0</v>
      </c>
    </row>
    <row r="1540" spans="28:34">
      <c r="AB1540" s="580">
        <f>HLOOKUP("*"&amp;'Output annual'!$AC$2&amp;'Output annual'!$AD$2&amp;"*Zone People Number Of Occupants [](Hourly)",'Eplus results'!$1:$1048576,ROW(),FALSE)</f>
        <v>0</v>
      </c>
      <c r="AC1540" s="580">
        <f>HLOOKUP("*"&amp;'Output annual'!$AC$2&amp;'Output annual'!$AD$2&amp;"*FangerPMV(Hourly)",'Eplus results'!$1:$1048576,ROW(),FALSE)</f>
        <v>0</v>
      </c>
      <c r="AD1540" s="580">
        <f t="shared" si="156"/>
        <v>5</v>
      </c>
      <c r="AE1540" s="580">
        <f t="shared" si="157"/>
        <v>2.5</v>
      </c>
      <c r="AF1540" s="580">
        <f t="shared" si="158"/>
        <v>2.5</v>
      </c>
      <c r="AG1540" s="580">
        <f t="shared" si="159"/>
        <v>0</v>
      </c>
      <c r="AH1540" s="580">
        <f t="shared" si="160"/>
        <v>0</v>
      </c>
    </row>
    <row r="1541" spans="28:34">
      <c r="AB1541" s="580">
        <f>HLOOKUP("*"&amp;'Output annual'!$AC$2&amp;'Output annual'!$AD$2&amp;"*Zone People Number Of Occupants [](Hourly)",'Eplus results'!$1:$1048576,ROW(),FALSE)</f>
        <v>0</v>
      </c>
      <c r="AC1541" s="580">
        <f>HLOOKUP("*"&amp;'Output annual'!$AC$2&amp;'Output annual'!$AD$2&amp;"*FangerPMV(Hourly)",'Eplus results'!$1:$1048576,ROW(),FALSE)</f>
        <v>0</v>
      </c>
      <c r="AD1541" s="580">
        <f t="shared" si="156"/>
        <v>5</v>
      </c>
      <c r="AE1541" s="580">
        <f t="shared" si="157"/>
        <v>2.5</v>
      </c>
      <c r="AF1541" s="580">
        <f t="shared" si="158"/>
        <v>2.5</v>
      </c>
      <c r="AG1541" s="580">
        <f t="shared" si="159"/>
        <v>0</v>
      </c>
      <c r="AH1541" s="580">
        <f t="shared" si="160"/>
        <v>0</v>
      </c>
    </row>
    <row r="1542" spans="28:34">
      <c r="AB1542" s="580">
        <f>HLOOKUP("*"&amp;'Output annual'!$AC$2&amp;'Output annual'!$AD$2&amp;"*Zone People Number Of Occupants [](Hourly)",'Eplus results'!$1:$1048576,ROW(),FALSE)</f>
        <v>0</v>
      </c>
      <c r="AC1542" s="580">
        <f>HLOOKUP("*"&amp;'Output annual'!$AC$2&amp;'Output annual'!$AD$2&amp;"*FangerPMV(Hourly)",'Eplus results'!$1:$1048576,ROW(),FALSE)</f>
        <v>0</v>
      </c>
      <c r="AD1542" s="580">
        <f t="shared" si="156"/>
        <v>5</v>
      </c>
      <c r="AE1542" s="580">
        <f t="shared" si="157"/>
        <v>2.5</v>
      </c>
      <c r="AF1542" s="580">
        <f t="shared" si="158"/>
        <v>2.5</v>
      </c>
      <c r="AG1542" s="580">
        <f t="shared" si="159"/>
        <v>0</v>
      </c>
      <c r="AH1542" s="580">
        <f t="shared" si="160"/>
        <v>0</v>
      </c>
    </row>
    <row r="1543" spans="28:34">
      <c r="AB1543" s="580">
        <f>HLOOKUP("*"&amp;'Output annual'!$AC$2&amp;'Output annual'!$AD$2&amp;"*Zone People Number Of Occupants [](Hourly)",'Eplus results'!$1:$1048576,ROW(),FALSE)</f>
        <v>0</v>
      </c>
      <c r="AC1543" s="580">
        <f>HLOOKUP("*"&amp;'Output annual'!$AC$2&amp;'Output annual'!$AD$2&amp;"*FangerPMV(Hourly)",'Eplus results'!$1:$1048576,ROW(),FALSE)</f>
        <v>0</v>
      </c>
      <c r="AD1543" s="580">
        <f t="shared" si="156"/>
        <v>5</v>
      </c>
      <c r="AE1543" s="580">
        <f t="shared" si="157"/>
        <v>2.5</v>
      </c>
      <c r="AF1543" s="580">
        <f t="shared" si="158"/>
        <v>2.5</v>
      </c>
      <c r="AG1543" s="580">
        <f t="shared" si="159"/>
        <v>0</v>
      </c>
      <c r="AH1543" s="580">
        <f t="shared" si="160"/>
        <v>0</v>
      </c>
    </row>
    <row r="1544" spans="28:34">
      <c r="AB1544" s="580">
        <f>HLOOKUP("*"&amp;'Output annual'!$AC$2&amp;'Output annual'!$AD$2&amp;"*Zone People Number Of Occupants [](Hourly)",'Eplus results'!$1:$1048576,ROW(),FALSE)</f>
        <v>0</v>
      </c>
      <c r="AC1544" s="580">
        <f>HLOOKUP("*"&amp;'Output annual'!$AC$2&amp;'Output annual'!$AD$2&amp;"*FangerPMV(Hourly)",'Eplus results'!$1:$1048576,ROW(),FALSE)</f>
        <v>0</v>
      </c>
      <c r="AD1544" s="580">
        <f t="shared" si="156"/>
        <v>5</v>
      </c>
      <c r="AE1544" s="580">
        <f t="shared" si="157"/>
        <v>2.5</v>
      </c>
      <c r="AF1544" s="580">
        <f t="shared" si="158"/>
        <v>2.5</v>
      </c>
      <c r="AG1544" s="580">
        <f t="shared" si="159"/>
        <v>0</v>
      </c>
      <c r="AH1544" s="580">
        <f t="shared" si="160"/>
        <v>0</v>
      </c>
    </row>
    <row r="1545" spans="28:34">
      <c r="AB1545" s="580">
        <f>HLOOKUP("*"&amp;'Output annual'!$AC$2&amp;'Output annual'!$AD$2&amp;"*Zone People Number Of Occupants [](Hourly)",'Eplus results'!$1:$1048576,ROW(),FALSE)</f>
        <v>0</v>
      </c>
      <c r="AC1545" s="580">
        <f>HLOOKUP("*"&amp;'Output annual'!$AC$2&amp;'Output annual'!$AD$2&amp;"*FangerPMV(Hourly)",'Eplus results'!$1:$1048576,ROW(),FALSE)</f>
        <v>0</v>
      </c>
      <c r="AD1545" s="580">
        <f t="shared" si="156"/>
        <v>5</v>
      </c>
      <c r="AE1545" s="580">
        <f t="shared" si="157"/>
        <v>2.5</v>
      </c>
      <c r="AF1545" s="580">
        <f t="shared" si="158"/>
        <v>2.5</v>
      </c>
      <c r="AG1545" s="580">
        <f t="shared" si="159"/>
        <v>0</v>
      </c>
      <c r="AH1545" s="580">
        <f t="shared" si="160"/>
        <v>0</v>
      </c>
    </row>
    <row r="1546" spans="28:34">
      <c r="AB1546" s="580">
        <f>HLOOKUP("*"&amp;'Output annual'!$AC$2&amp;'Output annual'!$AD$2&amp;"*Zone People Number Of Occupants [](Hourly)",'Eplus results'!$1:$1048576,ROW(),FALSE)</f>
        <v>0</v>
      </c>
      <c r="AC1546" s="580">
        <f>HLOOKUP("*"&amp;'Output annual'!$AC$2&amp;'Output annual'!$AD$2&amp;"*FangerPMV(Hourly)",'Eplus results'!$1:$1048576,ROW(),FALSE)</f>
        <v>0</v>
      </c>
      <c r="AD1546" s="580">
        <f t="shared" si="156"/>
        <v>5</v>
      </c>
      <c r="AE1546" s="580">
        <f t="shared" si="157"/>
        <v>2.5</v>
      </c>
      <c r="AF1546" s="580">
        <f t="shared" si="158"/>
        <v>2.5</v>
      </c>
      <c r="AG1546" s="580">
        <f t="shared" si="159"/>
        <v>0</v>
      </c>
      <c r="AH1546" s="580">
        <f t="shared" si="160"/>
        <v>0</v>
      </c>
    </row>
    <row r="1547" spans="28:34">
      <c r="AB1547" s="580">
        <f>HLOOKUP("*"&amp;'Output annual'!$AC$2&amp;'Output annual'!$AD$2&amp;"*Zone People Number Of Occupants [](Hourly)",'Eplus results'!$1:$1048576,ROW(),FALSE)</f>
        <v>0</v>
      </c>
      <c r="AC1547" s="580">
        <f>HLOOKUP("*"&amp;'Output annual'!$AC$2&amp;'Output annual'!$AD$2&amp;"*FangerPMV(Hourly)",'Eplus results'!$1:$1048576,ROW(),FALSE)</f>
        <v>0</v>
      </c>
      <c r="AD1547" s="580">
        <f t="shared" si="156"/>
        <v>5</v>
      </c>
      <c r="AE1547" s="580">
        <f t="shared" si="157"/>
        <v>2.5</v>
      </c>
      <c r="AF1547" s="580">
        <f t="shared" si="158"/>
        <v>2.5</v>
      </c>
      <c r="AG1547" s="580">
        <f t="shared" si="159"/>
        <v>0</v>
      </c>
      <c r="AH1547" s="580">
        <f t="shared" si="160"/>
        <v>0</v>
      </c>
    </row>
    <row r="1548" spans="28:34">
      <c r="AB1548" s="580">
        <f>HLOOKUP("*"&amp;'Output annual'!$AC$2&amp;'Output annual'!$AD$2&amp;"*Zone People Number Of Occupants [](Hourly)",'Eplus results'!$1:$1048576,ROW(),FALSE)</f>
        <v>0</v>
      </c>
      <c r="AC1548" s="580">
        <f>HLOOKUP("*"&amp;'Output annual'!$AC$2&amp;'Output annual'!$AD$2&amp;"*FangerPMV(Hourly)",'Eplus results'!$1:$1048576,ROW(),FALSE)</f>
        <v>0</v>
      </c>
      <c r="AD1548" s="580">
        <f t="shared" si="156"/>
        <v>5</v>
      </c>
      <c r="AE1548" s="580">
        <f t="shared" si="157"/>
        <v>2.5</v>
      </c>
      <c r="AF1548" s="580">
        <f t="shared" si="158"/>
        <v>2.5</v>
      </c>
      <c r="AG1548" s="580">
        <f t="shared" si="159"/>
        <v>0</v>
      </c>
      <c r="AH1548" s="580">
        <f t="shared" si="160"/>
        <v>0</v>
      </c>
    </row>
    <row r="1549" spans="28:34">
      <c r="AB1549" s="580">
        <f>HLOOKUP("*"&amp;'Output annual'!$AC$2&amp;'Output annual'!$AD$2&amp;"*Zone People Number Of Occupants [](Hourly)",'Eplus results'!$1:$1048576,ROW(),FALSE)</f>
        <v>0</v>
      </c>
      <c r="AC1549" s="580">
        <f>HLOOKUP("*"&amp;'Output annual'!$AC$2&amp;'Output annual'!$AD$2&amp;"*FangerPMV(Hourly)",'Eplus results'!$1:$1048576,ROW(),FALSE)</f>
        <v>0</v>
      </c>
      <c r="AD1549" s="580">
        <f t="shared" si="156"/>
        <v>5</v>
      </c>
      <c r="AE1549" s="580">
        <f t="shared" si="157"/>
        <v>2.5</v>
      </c>
      <c r="AF1549" s="580">
        <f t="shared" si="158"/>
        <v>2.5</v>
      </c>
      <c r="AG1549" s="580">
        <f t="shared" si="159"/>
        <v>0</v>
      </c>
      <c r="AH1549" s="580">
        <f t="shared" si="160"/>
        <v>0</v>
      </c>
    </row>
    <row r="1550" spans="28:34">
      <c r="AB1550" s="580">
        <f>HLOOKUP("*"&amp;'Output annual'!$AC$2&amp;'Output annual'!$AD$2&amp;"*Zone People Number Of Occupants [](Hourly)",'Eplus results'!$1:$1048576,ROW(),FALSE)</f>
        <v>0</v>
      </c>
      <c r="AC1550" s="580">
        <f>HLOOKUP("*"&amp;'Output annual'!$AC$2&amp;'Output annual'!$AD$2&amp;"*FangerPMV(Hourly)",'Eplus results'!$1:$1048576,ROW(),FALSE)</f>
        <v>0</v>
      </c>
      <c r="AD1550" s="580">
        <f t="shared" si="156"/>
        <v>5</v>
      </c>
      <c r="AE1550" s="580">
        <f t="shared" si="157"/>
        <v>2.5</v>
      </c>
      <c r="AF1550" s="580">
        <f t="shared" si="158"/>
        <v>2.5</v>
      </c>
      <c r="AG1550" s="580">
        <f t="shared" si="159"/>
        <v>0</v>
      </c>
      <c r="AH1550" s="580">
        <f t="shared" si="160"/>
        <v>0</v>
      </c>
    </row>
    <row r="1551" spans="28:34">
      <c r="AB1551" s="580">
        <f>HLOOKUP("*"&amp;'Output annual'!$AC$2&amp;'Output annual'!$AD$2&amp;"*Zone People Number Of Occupants [](Hourly)",'Eplus results'!$1:$1048576,ROW(),FALSE)</f>
        <v>0</v>
      </c>
      <c r="AC1551" s="580">
        <f>HLOOKUP("*"&amp;'Output annual'!$AC$2&amp;'Output annual'!$AD$2&amp;"*FangerPMV(Hourly)",'Eplus results'!$1:$1048576,ROW(),FALSE)</f>
        <v>0</v>
      </c>
      <c r="AD1551" s="580">
        <f t="shared" si="156"/>
        <v>5</v>
      </c>
      <c r="AE1551" s="580">
        <f t="shared" si="157"/>
        <v>2.5</v>
      </c>
      <c r="AF1551" s="580">
        <f t="shared" si="158"/>
        <v>2.5</v>
      </c>
      <c r="AG1551" s="580">
        <f t="shared" si="159"/>
        <v>0</v>
      </c>
      <c r="AH1551" s="580">
        <f t="shared" si="160"/>
        <v>0</v>
      </c>
    </row>
    <row r="1552" spans="28:34">
      <c r="AB1552" s="580">
        <f>HLOOKUP("*"&amp;'Output annual'!$AC$2&amp;'Output annual'!$AD$2&amp;"*Zone People Number Of Occupants [](Hourly)",'Eplus results'!$1:$1048576,ROW(),FALSE)</f>
        <v>0</v>
      </c>
      <c r="AC1552" s="580">
        <f>HLOOKUP("*"&amp;'Output annual'!$AC$2&amp;'Output annual'!$AD$2&amp;"*FangerPMV(Hourly)",'Eplus results'!$1:$1048576,ROW(),FALSE)</f>
        <v>0</v>
      </c>
      <c r="AD1552" s="580">
        <f t="shared" si="156"/>
        <v>5</v>
      </c>
      <c r="AE1552" s="580">
        <f t="shared" si="157"/>
        <v>2.5</v>
      </c>
      <c r="AF1552" s="580">
        <f t="shared" si="158"/>
        <v>2.5</v>
      </c>
      <c r="AG1552" s="580">
        <f t="shared" si="159"/>
        <v>0</v>
      </c>
      <c r="AH1552" s="580">
        <f t="shared" si="160"/>
        <v>0</v>
      </c>
    </row>
    <row r="1553" spans="28:34">
      <c r="AB1553" s="580">
        <f>HLOOKUP("*"&amp;'Output annual'!$AC$2&amp;'Output annual'!$AD$2&amp;"*Zone People Number Of Occupants [](Hourly)",'Eplus results'!$1:$1048576,ROW(),FALSE)</f>
        <v>0</v>
      </c>
      <c r="AC1553" s="580">
        <f>HLOOKUP("*"&amp;'Output annual'!$AC$2&amp;'Output annual'!$AD$2&amp;"*FangerPMV(Hourly)",'Eplus results'!$1:$1048576,ROW(),FALSE)</f>
        <v>0</v>
      </c>
      <c r="AD1553" s="580">
        <f t="shared" si="156"/>
        <v>5</v>
      </c>
      <c r="AE1553" s="580">
        <f t="shared" si="157"/>
        <v>2.5</v>
      </c>
      <c r="AF1553" s="580">
        <f t="shared" si="158"/>
        <v>2.5</v>
      </c>
      <c r="AG1553" s="580">
        <f t="shared" si="159"/>
        <v>0</v>
      </c>
      <c r="AH1553" s="580">
        <f t="shared" si="160"/>
        <v>0</v>
      </c>
    </row>
    <row r="1554" spans="28:34">
      <c r="AB1554" s="580">
        <f>HLOOKUP("*"&amp;'Output annual'!$AC$2&amp;'Output annual'!$AD$2&amp;"*Zone People Number Of Occupants [](Hourly)",'Eplus results'!$1:$1048576,ROW(),FALSE)</f>
        <v>0</v>
      </c>
      <c r="AC1554" s="580">
        <f>HLOOKUP("*"&amp;'Output annual'!$AC$2&amp;'Output annual'!$AD$2&amp;"*FangerPMV(Hourly)",'Eplus results'!$1:$1048576,ROW(),FALSE)</f>
        <v>0</v>
      </c>
      <c r="AD1554" s="580">
        <f t="shared" si="156"/>
        <v>5</v>
      </c>
      <c r="AE1554" s="580">
        <f t="shared" si="157"/>
        <v>2.5</v>
      </c>
      <c r="AF1554" s="580">
        <f t="shared" si="158"/>
        <v>2.5</v>
      </c>
      <c r="AG1554" s="580">
        <f t="shared" si="159"/>
        <v>0</v>
      </c>
      <c r="AH1554" s="580">
        <f t="shared" si="160"/>
        <v>0</v>
      </c>
    </row>
    <row r="1555" spans="28:34">
      <c r="AB1555" s="580">
        <f>HLOOKUP("*"&amp;'Output annual'!$AC$2&amp;'Output annual'!$AD$2&amp;"*Zone People Number Of Occupants [](Hourly)",'Eplus results'!$1:$1048576,ROW(),FALSE)</f>
        <v>0</v>
      </c>
      <c r="AC1555" s="580">
        <f>HLOOKUP("*"&amp;'Output annual'!$AC$2&amp;'Output annual'!$AD$2&amp;"*FangerPMV(Hourly)",'Eplus results'!$1:$1048576,ROW(),FALSE)</f>
        <v>0</v>
      </c>
      <c r="AD1555" s="580">
        <f t="shared" si="156"/>
        <v>5</v>
      </c>
      <c r="AE1555" s="580">
        <f t="shared" si="157"/>
        <v>2.5</v>
      </c>
      <c r="AF1555" s="580">
        <f t="shared" si="158"/>
        <v>2.5</v>
      </c>
      <c r="AG1555" s="580">
        <f t="shared" si="159"/>
        <v>0</v>
      </c>
      <c r="AH1555" s="580">
        <f t="shared" si="160"/>
        <v>0</v>
      </c>
    </row>
    <row r="1556" spans="28:34">
      <c r="AB1556" s="580">
        <f>HLOOKUP("*"&amp;'Output annual'!$AC$2&amp;'Output annual'!$AD$2&amp;"*Zone People Number Of Occupants [](Hourly)",'Eplus results'!$1:$1048576,ROW(),FALSE)</f>
        <v>0</v>
      </c>
      <c r="AC1556" s="580">
        <f>HLOOKUP("*"&amp;'Output annual'!$AC$2&amp;'Output annual'!$AD$2&amp;"*FangerPMV(Hourly)",'Eplus results'!$1:$1048576,ROW(),FALSE)</f>
        <v>0</v>
      </c>
      <c r="AD1556" s="580">
        <f t="shared" si="156"/>
        <v>5</v>
      </c>
      <c r="AE1556" s="580">
        <f t="shared" si="157"/>
        <v>2.5</v>
      </c>
      <c r="AF1556" s="580">
        <f t="shared" si="158"/>
        <v>2.5</v>
      </c>
      <c r="AG1556" s="580">
        <f t="shared" si="159"/>
        <v>0</v>
      </c>
      <c r="AH1556" s="580">
        <f t="shared" si="160"/>
        <v>0</v>
      </c>
    </row>
    <row r="1557" spans="28:34">
      <c r="AB1557" s="580">
        <f>HLOOKUP("*"&amp;'Output annual'!$AC$2&amp;'Output annual'!$AD$2&amp;"*Zone People Number Of Occupants [](Hourly)",'Eplus results'!$1:$1048576,ROW(),FALSE)</f>
        <v>0</v>
      </c>
      <c r="AC1557" s="580">
        <f>HLOOKUP("*"&amp;'Output annual'!$AC$2&amp;'Output annual'!$AD$2&amp;"*FangerPMV(Hourly)",'Eplus results'!$1:$1048576,ROW(),FALSE)</f>
        <v>0</v>
      </c>
      <c r="AD1557" s="580">
        <f t="shared" si="156"/>
        <v>5</v>
      </c>
      <c r="AE1557" s="580">
        <f t="shared" si="157"/>
        <v>2.5</v>
      </c>
      <c r="AF1557" s="580">
        <f t="shared" si="158"/>
        <v>2.5</v>
      </c>
      <c r="AG1557" s="580">
        <f t="shared" si="159"/>
        <v>0</v>
      </c>
      <c r="AH1557" s="580">
        <f t="shared" si="160"/>
        <v>0</v>
      </c>
    </row>
    <row r="1558" spans="28:34">
      <c r="AB1558" s="580">
        <f>HLOOKUP("*"&amp;'Output annual'!$AC$2&amp;'Output annual'!$AD$2&amp;"*Zone People Number Of Occupants [](Hourly)",'Eplus results'!$1:$1048576,ROW(),FALSE)</f>
        <v>0</v>
      </c>
      <c r="AC1558" s="580">
        <f>HLOOKUP("*"&amp;'Output annual'!$AC$2&amp;'Output annual'!$AD$2&amp;"*FangerPMV(Hourly)",'Eplus results'!$1:$1048576,ROW(),FALSE)</f>
        <v>0</v>
      </c>
      <c r="AD1558" s="580">
        <f t="shared" si="156"/>
        <v>5</v>
      </c>
      <c r="AE1558" s="580">
        <f t="shared" si="157"/>
        <v>2.5</v>
      </c>
      <c r="AF1558" s="580">
        <f t="shared" si="158"/>
        <v>2.5</v>
      </c>
      <c r="AG1558" s="580">
        <f t="shared" si="159"/>
        <v>0</v>
      </c>
      <c r="AH1558" s="580">
        <f t="shared" si="160"/>
        <v>0</v>
      </c>
    </row>
    <row r="1559" spans="28:34">
      <c r="AB1559" s="580">
        <f>HLOOKUP("*"&amp;'Output annual'!$AC$2&amp;'Output annual'!$AD$2&amp;"*Zone People Number Of Occupants [](Hourly)",'Eplus results'!$1:$1048576,ROW(),FALSE)</f>
        <v>0</v>
      </c>
      <c r="AC1559" s="580">
        <f>HLOOKUP("*"&amp;'Output annual'!$AC$2&amp;'Output annual'!$AD$2&amp;"*FangerPMV(Hourly)",'Eplus results'!$1:$1048576,ROW(),FALSE)</f>
        <v>0</v>
      </c>
      <c r="AD1559" s="580">
        <f t="shared" si="156"/>
        <v>5</v>
      </c>
      <c r="AE1559" s="580">
        <f t="shared" si="157"/>
        <v>2.5</v>
      </c>
      <c r="AF1559" s="580">
        <f t="shared" si="158"/>
        <v>2.5</v>
      </c>
      <c r="AG1559" s="580">
        <f t="shared" si="159"/>
        <v>0</v>
      </c>
      <c r="AH1559" s="580">
        <f t="shared" si="160"/>
        <v>0</v>
      </c>
    </row>
    <row r="1560" spans="28:34">
      <c r="AB1560" s="580">
        <f>HLOOKUP("*"&amp;'Output annual'!$AC$2&amp;'Output annual'!$AD$2&amp;"*Zone People Number Of Occupants [](Hourly)",'Eplus results'!$1:$1048576,ROW(),FALSE)</f>
        <v>0</v>
      </c>
      <c r="AC1560" s="580">
        <f>HLOOKUP("*"&amp;'Output annual'!$AC$2&amp;'Output annual'!$AD$2&amp;"*FangerPMV(Hourly)",'Eplus results'!$1:$1048576,ROW(),FALSE)</f>
        <v>0</v>
      </c>
      <c r="AD1560" s="580">
        <f t="shared" si="156"/>
        <v>5</v>
      </c>
      <c r="AE1560" s="580">
        <f t="shared" si="157"/>
        <v>2.5</v>
      </c>
      <c r="AF1560" s="580">
        <f t="shared" si="158"/>
        <v>2.5</v>
      </c>
      <c r="AG1560" s="580">
        <f t="shared" si="159"/>
        <v>0</v>
      </c>
      <c r="AH1560" s="580">
        <f t="shared" si="160"/>
        <v>0</v>
      </c>
    </row>
    <row r="1561" spans="28:34">
      <c r="AB1561" s="580">
        <f>HLOOKUP("*"&amp;'Output annual'!$AC$2&amp;'Output annual'!$AD$2&amp;"*Zone People Number Of Occupants [](Hourly)",'Eplus results'!$1:$1048576,ROW(),FALSE)</f>
        <v>0</v>
      </c>
      <c r="AC1561" s="580">
        <f>HLOOKUP("*"&amp;'Output annual'!$AC$2&amp;'Output annual'!$AD$2&amp;"*FangerPMV(Hourly)",'Eplus results'!$1:$1048576,ROW(),FALSE)</f>
        <v>0</v>
      </c>
      <c r="AD1561" s="580">
        <f t="shared" si="156"/>
        <v>5</v>
      </c>
      <c r="AE1561" s="580">
        <f t="shared" si="157"/>
        <v>2.5</v>
      </c>
      <c r="AF1561" s="580">
        <f t="shared" si="158"/>
        <v>2.5</v>
      </c>
      <c r="AG1561" s="580">
        <f t="shared" si="159"/>
        <v>0</v>
      </c>
      <c r="AH1561" s="580">
        <f t="shared" si="160"/>
        <v>0</v>
      </c>
    </row>
    <row r="1562" spans="28:34">
      <c r="AB1562" s="580">
        <f>HLOOKUP("*"&amp;'Output annual'!$AC$2&amp;'Output annual'!$AD$2&amp;"*Zone People Number Of Occupants [](Hourly)",'Eplus results'!$1:$1048576,ROW(),FALSE)</f>
        <v>0</v>
      </c>
      <c r="AC1562" s="580">
        <f>HLOOKUP("*"&amp;'Output annual'!$AC$2&amp;'Output annual'!$AD$2&amp;"*FangerPMV(Hourly)",'Eplus results'!$1:$1048576,ROW(),FALSE)</f>
        <v>0</v>
      </c>
      <c r="AD1562" s="580">
        <f t="shared" si="156"/>
        <v>5</v>
      </c>
      <c r="AE1562" s="580">
        <f t="shared" si="157"/>
        <v>2.5</v>
      </c>
      <c r="AF1562" s="580">
        <f t="shared" si="158"/>
        <v>2.5</v>
      </c>
      <c r="AG1562" s="580">
        <f t="shared" si="159"/>
        <v>0</v>
      </c>
      <c r="AH1562" s="580">
        <f t="shared" si="160"/>
        <v>0</v>
      </c>
    </row>
    <row r="1563" spans="28:34">
      <c r="AB1563" s="580">
        <f>HLOOKUP("*"&amp;'Output annual'!$AC$2&amp;'Output annual'!$AD$2&amp;"*Zone People Number Of Occupants [](Hourly)",'Eplus results'!$1:$1048576,ROW(),FALSE)</f>
        <v>0</v>
      </c>
      <c r="AC1563" s="580">
        <f>HLOOKUP("*"&amp;'Output annual'!$AC$2&amp;'Output annual'!$AD$2&amp;"*FangerPMV(Hourly)",'Eplus results'!$1:$1048576,ROW(),FALSE)</f>
        <v>0</v>
      </c>
      <c r="AD1563" s="580">
        <f t="shared" si="156"/>
        <v>5</v>
      </c>
      <c r="AE1563" s="580">
        <f t="shared" si="157"/>
        <v>2.5</v>
      </c>
      <c r="AF1563" s="580">
        <f t="shared" si="158"/>
        <v>2.5</v>
      </c>
      <c r="AG1563" s="580">
        <f t="shared" si="159"/>
        <v>0</v>
      </c>
      <c r="AH1563" s="580">
        <f t="shared" si="160"/>
        <v>0</v>
      </c>
    </row>
    <row r="1564" spans="28:34">
      <c r="AB1564" s="580">
        <f>HLOOKUP("*"&amp;'Output annual'!$AC$2&amp;'Output annual'!$AD$2&amp;"*Zone People Number Of Occupants [](Hourly)",'Eplus results'!$1:$1048576,ROW(),FALSE)</f>
        <v>0</v>
      </c>
      <c r="AC1564" s="580">
        <f>HLOOKUP("*"&amp;'Output annual'!$AC$2&amp;'Output annual'!$AD$2&amp;"*FangerPMV(Hourly)",'Eplus results'!$1:$1048576,ROW(),FALSE)</f>
        <v>0</v>
      </c>
      <c r="AD1564" s="580">
        <f t="shared" si="156"/>
        <v>5</v>
      </c>
      <c r="AE1564" s="580">
        <f t="shared" si="157"/>
        <v>2.5</v>
      </c>
      <c r="AF1564" s="580">
        <f t="shared" si="158"/>
        <v>2.5</v>
      </c>
      <c r="AG1564" s="580">
        <f t="shared" si="159"/>
        <v>0</v>
      </c>
      <c r="AH1564" s="580">
        <f t="shared" si="160"/>
        <v>0</v>
      </c>
    </row>
    <row r="1565" spans="28:34">
      <c r="AB1565" s="580">
        <f>HLOOKUP("*"&amp;'Output annual'!$AC$2&amp;'Output annual'!$AD$2&amp;"*Zone People Number Of Occupants [](Hourly)",'Eplus results'!$1:$1048576,ROW(),FALSE)</f>
        <v>0</v>
      </c>
      <c r="AC1565" s="580">
        <f>HLOOKUP("*"&amp;'Output annual'!$AC$2&amp;'Output annual'!$AD$2&amp;"*FangerPMV(Hourly)",'Eplus results'!$1:$1048576,ROW(),FALSE)</f>
        <v>0</v>
      </c>
      <c r="AD1565" s="580">
        <f t="shared" si="156"/>
        <v>5</v>
      </c>
      <c r="AE1565" s="580">
        <f t="shared" si="157"/>
        <v>2.5</v>
      </c>
      <c r="AF1565" s="580">
        <f t="shared" si="158"/>
        <v>2.5</v>
      </c>
      <c r="AG1565" s="580">
        <f t="shared" si="159"/>
        <v>0</v>
      </c>
      <c r="AH1565" s="580">
        <f t="shared" si="160"/>
        <v>0</v>
      </c>
    </row>
    <row r="1566" spans="28:34">
      <c r="AB1566" s="580">
        <f>HLOOKUP("*"&amp;'Output annual'!$AC$2&amp;'Output annual'!$AD$2&amp;"*Zone People Number Of Occupants [](Hourly)",'Eplus results'!$1:$1048576,ROW(),FALSE)</f>
        <v>0</v>
      </c>
      <c r="AC1566" s="580">
        <f>HLOOKUP("*"&amp;'Output annual'!$AC$2&amp;'Output annual'!$AD$2&amp;"*FangerPMV(Hourly)",'Eplus results'!$1:$1048576,ROW(),FALSE)</f>
        <v>0</v>
      </c>
      <c r="AD1566" s="580">
        <f t="shared" si="156"/>
        <v>5</v>
      </c>
      <c r="AE1566" s="580">
        <f t="shared" si="157"/>
        <v>2.5</v>
      </c>
      <c r="AF1566" s="580">
        <f t="shared" si="158"/>
        <v>2.5</v>
      </c>
      <c r="AG1566" s="580">
        <f t="shared" si="159"/>
        <v>0</v>
      </c>
      <c r="AH1566" s="580">
        <f t="shared" si="160"/>
        <v>0</v>
      </c>
    </row>
    <row r="1567" spans="28:34">
      <c r="AB1567" s="580">
        <f>HLOOKUP("*"&amp;'Output annual'!$AC$2&amp;'Output annual'!$AD$2&amp;"*Zone People Number Of Occupants [](Hourly)",'Eplus results'!$1:$1048576,ROW(),FALSE)</f>
        <v>0</v>
      </c>
      <c r="AC1567" s="580">
        <f>HLOOKUP("*"&amp;'Output annual'!$AC$2&amp;'Output annual'!$AD$2&amp;"*FangerPMV(Hourly)",'Eplus results'!$1:$1048576,ROW(),FALSE)</f>
        <v>0</v>
      </c>
      <c r="AD1567" s="580">
        <f t="shared" si="156"/>
        <v>5</v>
      </c>
      <c r="AE1567" s="580">
        <f t="shared" si="157"/>
        <v>2.5</v>
      </c>
      <c r="AF1567" s="580">
        <f t="shared" si="158"/>
        <v>2.5</v>
      </c>
      <c r="AG1567" s="580">
        <f t="shared" si="159"/>
        <v>0</v>
      </c>
      <c r="AH1567" s="580">
        <f t="shared" si="160"/>
        <v>0</v>
      </c>
    </row>
    <row r="1568" spans="28:34">
      <c r="AB1568" s="580">
        <f>HLOOKUP("*"&amp;'Output annual'!$AC$2&amp;'Output annual'!$AD$2&amp;"*Zone People Number Of Occupants [](Hourly)",'Eplus results'!$1:$1048576,ROW(),FALSE)</f>
        <v>0</v>
      </c>
      <c r="AC1568" s="580">
        <f>HLOOKUP("*"&amp;'Output annual'!$AC$2&amp;'Output annual'!$AD$2&amp;"*FangerPMV(Hourly)",'Eplus results'!$1:$1048576,ROW(),FALSE)</f>
        <v>0</v>
      </c>
      <c r="AD1568" s="580">
        <f t="shared" si="156"/>
        <v>5</v>
      </c>
      <c r="AE1568" s="580">
        <f t="shared" si="157"/>
        <v>2.5</v>
      </c>
      <c r="AF1568" s="580">
        <f t="shared" si="158"/>
        <v>2.5</v>
      </c>
      <c r="AG1568" s="580">
        <f t="shared" si="159"/>
        <v>0</v>
      </c>
      <c r="AH1568" s="580">
        <f t="shared" si="160"/>
        <v>0</v>
      </c>
    </row>
    <row r="1569" spans="28:34">
      <c r="AB1569" s="580">
        <f>HLOOKUP("*"&amp;'Output annual'!$AC$2&amp;'Output annual'!$AD$2&amp;"*Zone People Number Of Occupants [](Hourly)",'Eplus results'!$1:$1048576,ROW(),FALSE)</f>
        <v>0</v>
      </c>
      <c r="AC1569" s="580">
        <f>HLOOKUP("*"&amp;'Output annual'!$AC$2&amp;'Output annual'!$AD$2&amp;"*FangerPMV(Hourly)",'Eplus results'!$1:$1048576,ROW(),FALSE)</f>
        <v>0</v>
      </c>
      <c r="AD1569" s="580">
        <f t="shared" si="156"/>
        <v>5</v>
      </c>
      <c r="AE1569" s="580">
        <f t="shared" si="157"/>
        <v>2.5</v>
      </c>
      <c r="AF1569" s="580">
        <f t="shared" si="158"/>
        <v>2.5</v>
      </c>
      <c r="AG1569" s="580">
        <f t="shared" si="159"/>
        <v>0</v>
      </c>
      <c r="AH1569" s="580">
        <f t="shared" si="160"/>
        <v>0</v>
      </c>
    </row>
    <row r="1570" spans="28:34">
      <c r="AB1570" s="580">
        <f>HLOOKUP("*"&amp;'Output annual'!$AC$2&amp;'Output annual'!$AD$2&amp;"*Zone People Number Of Occupants [](Hourly)",'Eplus results'!$1:$1048576,ROW(),FALSE)</f>
        <v>0</v>
      </c>
      <c r="AC1570" s="580">
        <f>HLOOKUP("*"&amp;'Output annual'!$AC$2&amp;'Output annual'!$AD$2&amp;"*FangerPMV(Hourly)",'Eplus results'!$1:$1048576,ROW(),FALSE)</f>
        <v>0</v>
      </c>
      <c r="AD1570" s="580">
        <f t="shared" si="156"/>
        <v>5</v>
      </c>
      <c r="AE1570" s="580">
        <f t="shared" si="157"/>
        <v>2.5</v>
      </c>
      <c r="AF1570" s="580">
        <f t="shared" si="158"/>
        <v>2.5</v>
      </c>
      <c r="AG1570" s="580">
        <f t="shared" si="159"/>
        <v>0</v>
      </c>
      <c r="AH1570" s="580">
        <f t="shared" si="160"/>
        <v>0</v>
      </c>
    </row>
    <row r="1571" spans="28:34">
      <c r="AB1571" s="580">
        <f>HLOOKUP("*"&amp;'Output annual'!$AC$2&amp;'Output annual'!$AD$2&amp;"*Zone People Number Of Occupants [](Hourly)",'Eplus results'!$1:$1048576,ROW(),FALSE)</f>
        <v>0</v>
      </c>
      <c r="AC1571" s="580">
        <f>HLOOKUP("*"&amp;'Output annual'!$AC$2&amp;'Output annual'!$AD$2&amp;"*FangerPMV(Hourly)",'Eplus results'!$1:$1048576,ROW(),FALSE)</f>
        <v>0</v>
      </c>
      <c r="AD1571" s="580">
        <f t="shared" si="156"/>
        <v>5</v>
      </c>
      <c r="AE1571" s="580">
        <f t="shared" si="157"/>
        <v>2.5</v>
      </c>
      <c r="AF1571" s="580">
        <f t="shared" si="158"/>
        <v>2.5</v>
      </c>
      <c r="AG1571" s="580">
        <f t="shared" si="159"/>
        <v>0</v>
      </c>
      <c r="AH1571" s="580">
        <f t="shared" si="160"/>
        <v>0</v>
      </c>
    </row>
    <row r="1572" spans="28:34">
      <c r="AB1572" s="580">
        <f>HLOOKUP("*"&amp;'Output annual'!$AC$2&amp;'Output annual'!$AD$2&amp;"*Zone People Number Of Occupants [](Hourly)",'Eplus results'!$1:$1048576,ROW(),FALSE)</f>
        <v>0</v>
      </c>
      <c r="AC1572" s="580">
        <f>HLOOKUP("*"&amp;'Output annual'!$AC$2&amp;'Output annual'!$AD$2&amp;"*FangerPMV(Hourly)",'Eplus results'!$1:$1048576,ROW(),FALSE)</f>
        <v>0</v>
      </c>
      <c r="AD1572" s="580">
        <f t="shared" si="156"/>
        <v>5</v>
      </c>
      <c r="AE1572" s="580">
        <f t="shared" si="157"/>
        <v>2.5</v>
      </c>
      <c r="AF1572" s="580">
        <f t="shared" si="158"/>
        <v>2.5</v>
      </c>
      <c r="AG1572" s="580">
        <f t="shared" si="159"/>
        <v>0</v>
      </c>
      <c r="AH1572" s="580">
        <f t="shared" si="160"/>
        <v>0</v>
      </c>
    </row>
    <row r="1573" spans="28:34">
      <c r="AB1573" s="580">
        <f>HLOOKUP("*"&amp;'Output annual'!$AC$2&amp;'Output annual'!$AD$2&amp;"*Zone People Number Of Occupants [](Hourly)",'Eplus results'!$1:$1048576,ROW(),FALSE)</f>
        <v>0</v>
      </c>
      <c r="AC1573" s="580">
        <f>HLOOKUP("*"&amp;'Output annual'!$AC$2&amp;'Output annual'!$AD$2&amp;"*FangerPMV(Hourly)",'Eplus results'!$1:$1048576,ROW(),FALSE)</f>
        <v>0</v>
      </c>
      <c r="AD1573" s="580">
        <f t="shared" si="156"/>
        <v>5</v>
      </c>
      <c r="AE1573" s="580">
        <f t="shared" si="157"/>
        <v>2.5</v>
      </c>
      <c r="AF1573" s="580">
        <f t="shared" si="158"/>
        <v>2.5</v>
      </c>
      <c r="AG1573" s="580">
        <f t="shared" si="159"/>
        <v>0</v>
      </c>
      <c r="AH1573" s="580">
        <f t="shared" si="160"/>
        <v>0</v>
      </c>
    </row>
    <row r="1574" spans="28:34">
      <c r="AB1574" s="580">
        <f>HLOOKUP("*"&amp;'Output annual'!$AC$2&amp;'Output annual'!$AD$2&amp;"*Zone People Number Of Occupants [](Hourly)",'Eplus results'!$1:$1048576,ROW(),FALSE)</f>
        <v>0</v>
      </c>
      <c r="AC1574" s="580">
        <f>HLOOKUP("*"&amp;'Output annual'!$AC$2&amp;'Output annual'!$AD$2&amp;"*FangerPMV(Hourly)",'Eplus results'!$1:$1048576,ROW(),FALSE)</f>
        <v>0</v>
      </c>
      <c r="AD1574" s="580">
        <f t="shared" si="156"/>
        <v>5</v>
      </c>
      <c r="AE1574" s="580">
        <f t="shared" si="157"/>
        <v>2.5</v>
      </c>
      <c r="AF1574" s="580">
        <f t="shared" si="158"/>
        <v>2.5</v>
      </c>
      <c r="AG1574" s="580">
        <f t="shared" si="159"/>
        <v>0</v>
      </c>
      <c r="AH1574" s="580">
        <f t="shared" si="160"/>
        <v>0</v>
      </c>
    </row>
    <row r="1575" spans="28:34">
      <c r="AB1575" s="580">
        <f>HLOOKUP("*"&amp;'Output annual'!$AC$2&amp;'Output annual'!$AD$2&amp;"*Zone People Number Of Occupants [](Hourly)",'Eplus results'!$1:$1048576,ROW(),FALSE)</f>
        <v>0</v>
      </c>
      <c r="AC1575" s="580">
        <f>HLOOKUP("*"&amp;'Output annual'!$AC$2&amp;'Output annual'!$AD$2&amp;"*FangerPMV(Hourly)",'Eplus results'!$1:$1048576,ROW(),FALSE)</f>
        <v>0</v>
      </c>
      <c r="AD1575" s="580">
        <f t="shared" si="156"/>
        <v>5</v>
      </c>
      <c r="AE1575" s="580">
        <f t="shared" si="157"/>
        <v>2.5</v>
      </c>
      <c r="AF1575" s="580">
        <f t="shared" si="158"/>
        <v>2.5</v>
      </c>
      <c r="AG1575" s="580">
        <f t="shared" si="159"/>
        <v>0</v>
      </c>
      <c r="AH1575" s="580">
        <f t="shared" si="160"/>
        <v>0</v>
      </c>
    </row>
    <row r="1576" spans="28:34">
      <c r="AB1576" s="580">
        <f>HLOOKUP("*"&amp;'Output annual'!$AC$2&amp;'Output annual'!$AD$2&amp;"*Zone People Number Of Occupants [](Hourly)",'Eplus results'!$1:$1048576,ROW(),FALSE)</f>
        <v>0</v>
      </c>
      <c r="AC1576" s="580">
        <f>HLOOKUP("*"&amp;'Output annual'!$AC$2&amp;'Output annual'!$AD$2&amp;"*FangerPMV(Hourly)",'Eplus results'!$1:$1048576,ROW(),FALSE)</f>
        <v>0</v>
      </c>
      <c r="AD1576" s="580">
        <f t="shared" si="156"/>
        <v>5</v>
      </c>
      <c r="AE1576" s="580">
        <f t="shared" si="157"/>
        <v>2.5</v>
      </c>
      <c r="AF1576" s="580">
        <f t="shared" si="158"/>
        <v>2.5</v>
      </c>
      <c r="AG1576" s="580">
        <f t="shared" si="159"/>
        <v>0</v>
      </c>
      <c r="AH1576" s="580">
        <f t="shared" si="160"/>
        <v>0</v>
      </c>
    </row>
    <row r="1577" spans="28:34">
      <c r="AB1577" s="580">
        <f>HLOOKUP("*"&amp;'Output annual'!$AC$2&amp;'Output annual'!$AD$2&amp;"*Zone People Number Of Occupants [](Hourly)",'Eplus results'!$1:$1048576,ROW(),FALSE)</f>
        <v>0</v>
      </c>
      <c r="AC1577" s="580">
        <f>HLOOKUP("*"&amp;'Output annual'!$AC$2&amp;'Output annual'!$AD$2&amp;"*FangerPMV(Hourly)",'Eplus results'!$1:$1048576,ROW(),FALSE)</f>
        <v>0</v>
      </c>
      <c r="AD1577" s="580">
        <f t="shared" si="156"/>
        <v>5</v>
      </c>
      <c r="AE1577" s="580">
        <f t="shared" si="157"/>
        <v>2.5</v>
      </c>
      <c r="AF1577" s="580">
        <f t="shared" si="158"/>
        <v>2.5</v>
      </c>
      <c r="AG1577" s="580">
        <f t="shared" si="159"/>
        <v>0</v>
      </c>
      <c r="AH1577" s="580">
        <f t="shared" si="160"/>
        <v>0</v>
      </c>
    </row>
    <row r="1578" spans="28:34">
      <c r="AB1578" s="580">
        <f>HLOOKUP("*"&amp;'Output annual'!$AC$2&amp;'Output annual'!$AD$2&amp;"*Zone People Number Of Occupants [](Hourly)",'Eplus results'!$1:$1048576,ROW(),FALSE)</f>
        <v>0</v>
      </c>
      <c r="AC1578" s="580">
        <f>HLOOKUP("*"&amp;'Output annual'!$AC$2&amp;'Output annual'!$AD$2&amp;"*FangerPMV(Hourly)",'Eplus results'!$1:$1048576,ROW(),FALSE)</f>
        <v>0</v>
      </c>
      <c r="AD1578" s="580">
        <f t="shared" si="156"/>
        <v>5</v>
      </c>
      <c r="AE1578" s="580">
        <f t="shared" si="157"/>
        <v>2.5</v>
      </c>
      <c r="AF1578" s="580">
        <f t="shared" si="158"/>
        <v>2.5</v>
      </c>
      <c r="AG1578" s="580">
        <f t="shared" si="159"/>
        <v>0</v>
      </c>
      <c r="AH1578" s="580">
        <f t="shared" si="160"/>
        <v>0</v>
      </c>
    </row>
    <row r="1579" spans="28:34">
      <c r="AB1579" s="580">
        <f>HLOOKUP("*"&amp;'Output annual'!$AC$2&amp;'Output annual'!$AD$2&amp;"*Zone People Number Of Occupants [](Hourly)",'Eplus results'!$1:$1048576,ROW(),FALSE)</f>
        <v>0</v>
      </c>
      <c r="AC1579" s="580">
        <f>HLOOKUP("*"&amp;'Output annual'!$AC$2&amp;'Output annual'!$AD$2&amp;"*FangerPMV(Hourly)",'Eplus results'!$1:$1048576,ROW(),FALSE)</f>
        <v>0</v>
      </c>
      <c r="AD1579" s="580">
        <f t="shared" si="156"/>
        <v>5</v>
      </c>
      <c r="AE1579" s="580">
        <f t="shared" si="157"/>
        <v>2.5</v>
      </c>
      <c r="AF1579" s="580">
        <f t="shared" si="158"/>
        <v>2.5</v>
      </c>
      <c r="AG1579" s="580">
        <f t="shared" si="159"/>
        <v>0</v>
      </c>
      <c r="AH1579" s="580">
        <f t="shared" si="160"/>
        <v>0</v>
      </c>
    </row>
    <row r="1580" spans="28:34">
      <c r="AB1580" s="580">
        <f>HLOOKUP("*"&amp;'Output annual'!$AC$2&amp;'Output annual'!$AD$2&amp;"*Zone People Number Of Occupants [](Hourly)",'Eplus results'!$1:$1048576,ROW(),FALSE)</f>
        <v>0</v>
      </c>
      <c r="AC1580" s="580">
        <f>HLOOKUP("*"&amp;'Output annual'!$AC$2&amp;'Output annual'!$AD$2&amp;"*FangerPMV(Hourly)",'Eplus results'!$1:$1048576,ROW(),FALSE)</f>
        <v>0</v>
      </c>
      <c r="AD1580" s="580">
        <f t="shared" si="156"/>
        <v>5</v>
      </c>
      <c r="AE1580" s="580">
        <f t="shared" si="157"/>
        <v>2.5</v>
      </c>
      <c r="AF1580" s="580">
        <f t="shared" si="158"/>
        <v>2.5</v>
      </c>
      <c r="AG1580" s="580">
        <f t="shared" si="159"/>
        <v>0</v>
      </c>
      <c r="AH1580" s="580">
        <f t="shared" si="160"/>
        <v>0</v>
      </c>
    </row>
    <row r="1581" spans="28:34">
      <c r="AB1581" s="580">
        <f>HLOOKUP("*"&amp;'Output annual'!$AC$2&amp;'Output annual'!$AD$2&amp;"*Zone People Number Of Occupants [](Hourly)",'Eplus results'!$1:$1048576,ROW(),FALSE)</f>
        <v>0</v>
      </c>
      <c r="AC1581" s="580">
        <f>HLOOKUP("*"&amp;'Output annual'!$AC$2&amp;'Output annual'!$AD$2&amp;"*FangerPMV(Hourly)",'Eplus results'!$1:$1048576,ROW(),FALSE)</f>
        <v>0</v>
      </c>
      <c r="AD1581" s="580">
        <f t="shared" si="156"/>
        <v>5</v>
      </c>
      <c r="AE1581" s="580">
        <f t="shared" si="157"/>
        <v>2.5</v>
      </c>
      <c r="AF1581" s="580">
        <f t="shared" si="158"/>
        <v>2.5</v>
      </c>
      <c r="AG1581" s="580">
        <f t="shared" si="159"/>
        <v>0</v>
      </c>
      <c r="AH1581" s="580">
        <f t="shared" si="160"/>
        <v>0</v>
      </c>
    </row>
    <row r="1582" spans="28:34">
      <c r="AB1582" s="580">
        <f>HLOOKUP("*"&amp;'Output annual'!$AC$2&amp;'Output annual'!$AD$2&amp;"*Zone People Number Of Occupants [](Hourly)",'Eplus results'!$1:$1048576,ROW(),FALSE)</f>
        <v>0</v>
      </c>
      <c r="AC1582" s="580">
        <f>HLOOKUP("*"&amp;'Output annual'!$AC$2&amp;'Output annual'!$AD$2&amp;"*FangerPMV(Hourly)",'Eplus results'!$1:$1048576,ROW(),FALSE)</f>
        <v>0</v>
      </c>
      <c r="AD1582" s="580">
        <f t="shared" si="156"/>
        <v>5</v>
      </c>
      <c r="AE1582" s="580">
        <f t="shared" si="157"/>
        <v>2.5</v>
      </c>
      <c r="AF1582" s="580">
        <f t="shared" si="158"/>
        <v>2.5</v>
      </c>
      <c r="AG1582" s="580">
        <f t="shared" si="159"/>
        <v>0</v>
      </c>
      <c r="AH1582" s="580">
        <f t="shared" si="160"/>
        <v>0</v>
      </c>
    </row>
    <row r="1583" spans="28:34">
      <c r="AB1583" s="580">
        <f>HLOOKUP("*"&amp;'Output annual'!$AC$2&amp;'Output annual'!$AD$2&amp;"*Zone People Number Of Occupants [](Hourly)",'Eplus results'!$1:$1048576,ROW(),FALSE)</f>
        <v>0</v>
      </c>
      <c r="AC1583" s="580">
        <f>HLOOKUP("*"&amp;'Output annual'!$AC$2&amp;'Output annual'!$AD$2&amp;"*FangerPMV(Hourly)",'Eplus results'!$1:$1048576,ROW(),FALSE)</f>
        <v>0</v>
      </c>
      <c r="AD1583" s="580">
        <f t="shared" si="156"/>
        <v>5</v>
      </c>
      <c r="AE1583" s="580">
        <f t="shared" si="157"/>
        <v>2.5</v>
      </c>
      <c r="AF1583" s="580">
        <f t="shared" si="158"/>
        <v>2.5</v>
      </c>
      <c r="AG1583" s="580">
        <f t="shared" si="159"/>
        <v>0</v>
      </c>
      <c r="AH1583" s="580">
        <f t="shared" si="160"/>
        <v>0</v>
      </c>
    </row>
    <row r="1584" spans="28:34">
      <c r="AB1584" s="580">
        <f>HLOOKUP("*"&amp;'Output annual'!$AC$2&amp;'Output annual'!$AD$2&amp;"*Zone People Number Of Occupants [](Hourly)",'Eplus results'!$1:$1048576,ROW(),FALSE)</f>
        <v>0</v>
      </c>
      <c r="AC1584" s="580">
        <f>HLOOKUP("*"&amp;'Output annual'!$AC$2&amp;'Output annual'!$AD$2&amp;"*FangerPMV(Hourly)",'Eplus results'!$1:$1048576,ROW(),FALSE)</f>
        <v>0</v>
      </c>
      <c r="AD1584" s="580">
        <f t="shared" si="156"/>
        <v>5</v>
      </c>
      <c r="AE1584" s="580">
        <f t="shared" si="157"/>
        <v>2.5</v>
      </c>
      <c r="AF1584" s="580">
        <f t="shared" si="158"/>
        <v>2.5</v>
      </c>
      <c r="AG1584" s="580">
        <f t="shared" si="159"/>
        <v>0</v>
      </c>
      <c r="AH1584" s="580">
        <f t="shared" si="160"/>
        <v>0</v>
      </c>
    </row>
    <row r="1585" spans="28:34">
      <c r="AB1585" s="580">
        <f>HLOOKUP("*"&amp;'Output annual'!$AC$2&amp;'Output annual'!$AD$2&amp;"*Zone People Number Of Occupants [](Hourly)",'Eplus results'!$1:$1048576,ROW(),FALSE)</f>
        <v>0</v>
      </c>
      <c r="AC1585" s="580">
        <f>HLOOKUP("*"&amp;'Output annual'!$AC$2&amp;'Output annual'!$AD$2&amp;"*FangerPMV(Hourly)",'Eplus results'!$1:$1048576,ROW(),FALSE)</f>
        <v>0</v>
      </c>
      <c r="AD1585" s="580">
        <f t="shared" si="156"/>
        <v>5</v>
      </c>
      <c r="AE1585" s="580">
        <f t="shared" si="157"/>
        <v>2.5</v>
      </c>
      <c r="AF1585" s="580">
        <f t="shared" si="158"/>
        <v>2.5</v>
      </c>
      <c r="AG1585" s="580">
        <f t="shared" si="159"/>
        <v>0</v>
      </c>
      <c r="AH1585" s="580">
        <f t="shared" si="160"/>
        <v>0</v>
      </c>
    </row>
    <row r="1586" spans="28:34">
      <c r="AB1586" s="580">
        <f>HLOOKUP("*"&amp;'Output annual'!$AC$2&amp;'Output annual'!$AD$2&amp;"*Zone People Number Of Occupants [](Hourly)",'Eplus results'!$1:$1048576,ROW(),FALSE)</f>
        <v>0</v>
      </c>
      <c r="AC1586" s="580">
        <f>HLOOKUP("*"&amp;'Output annual'!$AC$2&amp;'Output annual'!$AD$2&amp;"*FangerPMV(Hourly)",'Eplus results'!$1:$1048576,ROW(),FALSE)</f>
        <v>0</v>
      </c>
      <c r="AD1586" s="580">
        <f t="shared" si="156"/>
        <v>5</v>
      </c>
      <c r="AE1586" s="580">
        <f t="shared" si="157"/>
        <v>2.5</v>
      </c>
      <c r="AF1586" s="580">
        <f t="shared" si="158"/>
        <v>2.5</v>
      </c>
      <c r="AG1586" s="580">
        <f t="shared" si="159"/>
        <v>0</v>
      </c>
      <c r="AH1586" s="580">
        <f t="shared" si="160"/>
        <v>0</v>
      </c>
    </row>
    <row r="1587" spans="28:34">
      <c r="AB1587" s="580">
        <f>HLOOKUP("*"&amp;'Output annual'!$AC$2&amp;'Output annual'!$AD$2&amp;"*Zone People Number Of Occupants [](Hourly)",'Eplus results'!$1:$1048576,ROW(),FALSE)</f>
        <v>0</v>
      </c>
      <c r="AC1587" s="580">
        <f>HLOOKUP("*"&amp;'Output annual'!$AC$2&amp;'Output annual'!$AD$2&amp;"*FangerPMV(Hourly)",'Eplus results'!$1:$1048576,ROW(),FALSE)</f>
        <v>0</v>
      </c>
      <c r="AD1587" s="580">
        <f t="shared" si="156"/>
        <v>5</v>
      </c>
      <c r="AE1587" s="580">
        <f t="shared" si="157"/>
        <v>2.5</v>
      </c>
      <c r="AF1587" s="580">
        <f t="shared" si="158"/>
        <v>2.5</v>
      </c>
      <c r="AG1587" s="580">
        <f t="shared" si="159"/>
        <v>0</v>
      </c>
      <c r="AH1587" s="580">
        <f t="shared" si="160"/>
        <v>0</v>
      </c>
    </row>
    <row r="1588" spans="28:34">
      <c r="AB1588" s="580">
        <f>HLOOKUP("*"&amp;'Output annual'!$AC$2&amp;'Output annual'!$AD$2&amp;"*Zone People Number Of Occupants [](Hourly)",'Eplus results'!$1:$1048576,ROW(),FALSE)</f>
        <v>0</v>
      </c>
      <c r="AC1588" s="580">
        <f>HLOOKUP("*"&amp;'Output annual'!$AC$2&amp;'Output annual'!$AD$2&amp;"*FangerPMV(Hourly)",'Eplus results'!$1:$1048576,ROW(),FALSE)</f>
        <v>0</v>
      </c>
      <c r="AD1588" s="580">
        <f t="shared" si="156"/>
        <v>5</v>
      </c>
      <c r="AE1588" s="580">
        <f t="shared" si="157"/>
        <v>2.5</v>
      </c>
      <c r="AF1588" s="580">
        <f t="shared" si="158"/>
        <v>2.5</v>
      </c>
      <c r="AG1588" s="580">
        <f t="shared" si="159"/>
        <v>0</v>
      </c>
      <c r="AH1588" s="580">
        <f t="shared" si="160"/>
        <v>0</v>
      </c>
    </row>
    <row r="1589" spans="28:34">
      <c r="AB1589" s="580">
        <f>HLOOKUP("*"&amp;'Output annual'!$AC$2&amp;'Output annual'!$AD$2&amp;"*Zone People Number Of Occupants [](Hourly)",'Eplus results'!$1:$1048576,ROW(),FALSE)</f>
        <v>0</v>
      </c>
      <c r="AC1589" s="580">
        <f>HLOOKUP("*"&amp;'Output annual'!$AC$2&amp;'Output annual'!$AD$2&amp;"*FangerPMV(Hourly)",'Eplus results'!$1:$1048576,ROW(),FALSE)</f>
        <v>0</v>
      </c>
      <c r="AD1589" s="580">
        <f t="shared" si="156"/>
        <v>5</v>
      </c>
      <c r="AE1589" s="580">
        <f t="shared" si="157"/>
        <v>2.5</v>
      </c>
      <c r="AF1589" s="580">
        <f t="shared" si="158"/>
        <v>2.5</v>
      </c>
      <c r="AG1589" s="580">
        <f t="shared" si="159"/>
        <v>0</v>
      </c>
      <c r="AH1589" s="580">
        <f t="shared" si="160"/>
        <v>0</v>
      </c>
    </row>
    <row r="1590" spans="28:34">
      <c r="AB1590" s="580">
        <f>HLOOKUP("*"&amp;'Output annual'!$AC$2&amp;'Output annual'!$AD$2&amp;"*Zone People Number Of Occupants [](Hourly)",'Eplus results'!$1:$1048576,ROW(),FALSE)</f>
        <v>0</v>
      </c>
      <c r="AC1590" s="580">
        <f>HLOOKUP("*"&amp;'Output annual'!$AC$2&amp;'Output annual'!$AD$2&amp;"*FangerPMV(Hourly)",'Eplus results'!$1:$1048576,ROW(),FALSE)</f>
        <v>0</v>
      </c>
      <c r="AD1590" s="580">
        <f t="shared" si="156"/>
        <v>5</v>
      </c>
      <c r="AE1590" s="580">
        <f t="shared" si="157"/>
        <v>2.5</v>
      </c>
      <c r="AF1590" s="580">
        <f t="shared" si="158"/>
        <v>2.5</v>
      </c>
      <c r="AG1590" s="580">
        <f t="shared" si="159"/>
        <v>0</v>
      </c>
      <c r="AH1590" s="580">
        <f t="shared" si="160"/>
        <v>0</v>
      </c>
    </row>
    <row r="1591" spans="28:34">
      <c r="AB1591" s="580">
        <f>HLOOKUP("*"&amp;'Output annual'!$AC$2&amp;'Output annual'!$AD$2&amp;"*Zone People Number Of Occupants [](Hourly)",'Eplus results'!$1:$1048576,ROW(),FALSE)</f>
        <v>0</v>
      </c>
      <c r="AC1591" s="580">
        <f>HLOOKUP("*"&amp;'Output annual'!$AC$2&amp;'Output annual'!$AD$2&amp;"*FangerPMV(Hourly)",'Eplus results'!$1:$1048576,ROW(),FALSE)</f>
        <v>0</v>
      </c>
      <c r="AD1591" s="580">
        <f t="shared" si="156"/>
        <v>5</v>
      </c>
      <c r="AE1591" s="580">
        <f t="shared" si="157"/>
        <v>2.5</v>
      </c>
      <c r="AF1591" s="580">
        <f t="shared" si="158"/>
        <v>2.5</v>
      </c>
      <c r="AG1591" s="580">
        <f t="shared" si="159"/>
        <v>0</v>
      </c>
      <c r="AH1591" s="580">
        <f t="shared" si="160"/>
        <v>0</v>
      </c>
    </row>
    <row r="1592" spans="28:34">
      <c r="AB1592" s="580">
        <f>HLOOKUP("*"&amp;'Output annual'!$AC$2&amp;'Output annual'!$AD$2&amp;"*Zone People Number Of Occupants [](Hourly)",'Eplus results'!$1:$1048576,ROW(),FALSE)</f>
        <v>0</v>
      </c>
      <c r="AC1592" s="580">
        <f>HLOOKUP("*"&amp;'Output annual'!$AC$2&amp;'Output annual'!$AD$2&amp;"*FangerPMV(Hourly)",'Eplus results'!$1:$1048576,ROW(),FALSE)</f>
        <v>0</v>
      </c>
      <c r="AD1592" s="580">
        <f t="shared" si="156"/>
        <v>5</v>
      </c>
      <c r="AE1592" s="580">
        <f t="shared" si="157"/>
        <v>2.5</v>
      </c>
      <c r="AF1592" s="580">
        <f t="shared" si="158"/>
        <v>2.5</v>
      </c>
      <c r="AG1592" s="580">
        <f t="shared" si="159"/>
        <v>0</v>
      </c>
      <c r="AH1592" s="580">
        <f t="shared" si="160"/>
        <v>0</v>
      </c>
    </row>
    <row r="1593" spans="28:34">
      <c r="AB1593" s="580">
        <f>HLOOKUP("*"&amp;'Output annual'!$AC$2&amp;'Output annual'!$AD$2&amp;"*Zone People Number Of Occupants [](Hourly)",'Eplus results'!$1:$1048576,ROW(),FALSE)</f>
        <v>0</v>
      </c>
      <c r="AC1593" s="580">
        <f>HLOOKUP("*"&amp;'Output annual'!$AC$2&amp;'Output annual'!$AD$2&amp;"*FangerPMV(Hourly)",'Eplus results'!$1:$1048576,ROW(),FALSE)</f>
        <v>0</v>
      </c>
      <c r="AD1593" s="580">
        <f t="shared" si="156"/>
        <v>5</v>
      </c>
      <c r="AE1593" s="580">
        <f t="shared" si="157"/>
        <v>2.5</v>
      </c>
      <c r="AF1593" s="580">
        <f t="shared" si="158"/>
        <v>2.5</v>
      </c>
      <c r="AG1593" s="580">
        <f t="shared" si="159"/>
        <v>0</v>
      </c>
      <c r="AH1593" s="580">
        <f t="shared" si="160"/>
        <v>0</v>
      </c>
    </row>
    <row r="1594" spans="28:34">
      <c r="AB1594" s="580">
        <f>HLOOKUP("*"&amp;'Output annual'!$AC$2&amp;'Output annual'!$AD$2&amp;"*Zone People Number Of Occupants [](Hourly)",'Eplus results'!$1:$1048576,ROW(),FALSE)</f>
        <v>0</v>
      </c>
      <c r="AC1594" s="580">
        <f>HLOOKUP("*"&amp;'Output annual'!$AC$2&amp;'Output annual'!$AD$2&amp;"*FangerPMV(Hourly)",'Eplus results'!$1:$1048576,ROW(),FALSE)</f>
        <v>0</v>
      </c>
      <c r="AD1594" s="580">
        <f t="shared" si="156"/>
        <v>5</v>
      </c>
      <c r="AE1594" s="580">
        <f t="shared" si="157"/>
        <v>2.5</v>
      </c>
      <c r="AF1594" s="580">
        <f t="shared" si="158"/>
        <v>2.5</v>
      </c>
      <c r="AG1594" s="580">
        <f t="shared" si="159"/>
        <v>0</v>
      </c>
      <c r="AH1594" s="580">
        <f t="shared" si="160"/>
        <v>0</v>
      </c>
    </row>
    <row r="1595" spans="28:34">
      <c r="AB1595" s="580">
        <f>HLOOKUP("*"&amp;'Output annual'!$AC$2&amp;'Output annual'!$AD$2&amp;"*Zone People Number Of Occupants [](Hourly)",'Eplus results'!$1:$1048576,ROW(),FALSE)</f>
        <v>0</v>
      </c>
      <c r="AC1595" s="580">
        <f>HLOOKUP("*"&amp;'Output annual'!$AC$2&amp;'Output annual'!$AD$2&amp;"*FangerPMV(Hourly)",'Eplus results'!$1:$1048576,ROW(),FALSE)</f>
        <v>0</v>
      </c>
      <c r="AD1595" s="580">
        <f t="shared" si="156"/>
        <v>5</v>
      </c>
      <c r="AE1595" s="580">
        <f t="shared" si="157"/>
        <v>2.5</v>
      </c>
      <c r="AF1595" s="580">
        <f t="shared" si="158"/>
        <v>2.5</v>
      </c>
      <c r="AG1595" s="580">
        <f t="shared" si="159"/>
        <v>0</v>
      </c>
      <c r="AH1595" s="580">
        <f t="shared" si="160"/>
        <v>0</v>
      </c>
    </row>
    <row r="1596" spans="28:34">
      <c r="AB1596" s="580">
        <f>HLOOKUP("*"&amp;'Output annual'!$AC$2&amp;'Output annual'!$AD$2&amp;"*Zone People Number Of Occupants [](Hourly)",'Eplus results'!$1:$1048576,ROW(),FALSE)</f>
        <v>0</v>
      </c>
      <c r="AC1596" s="580">
        <f>HLOOKUP("*"&amp;'Output annual'!$AC$2&amp;'Output annual'!$AD$2&amp;"*FangerPMV(Hourly)",'Eplus results'!$1:$1048576,ROW(),FALSE)</f>
        <v>0</v>
      </c>
      <c r="AD1596" s="580">
        <f t="shared" si="156"/>
        <v>5</v>
      </c>
      <c r="AE1596" s="580">
        <f t="shared" si="157"/>
        <v>2.5</v>
      </c>
      <c r="AF1596" s="580">
        <f t="shared" si="158"/>
        <v>2.5</v>
      </c>
      <c r="AG1596" s="580">
        <f t="shared" si="159"/>
        <v>0</v>
      </c>
      <c r="AH1596" s="580">
        <f t="shared" si="160"/>
        <v>0</v>
      </c>
    </row>
    <row r="1597" spans="28:34">
      <c r="AB1597" s="580">
        <f>HLOOKUP("*"&amp;'Output annual'!$AC$2&amp;'Output annual'!$AD$2&amp;"*Zone People Number Of Occupants [](Hourly)",'Eplus results'!$1:$1048576,ROW(),FALSE)</f>
        <v>0</v>
      </c>
      <c r="AC1597" s="580">
        <f>HLOOKUP("*"&amp;'Output annual'!$AC$2&amp;'Output annual'!$AD$2&amp;"*FangerPMV(Hourly)",'Eplus results'!$1:$1048576,ROW(),FALSE)</f>
        <v>0</v>
      </c>
      <c r="AD1597" s="580">
        <f t="shared" si="156"/>
        <v>5</v>
      </c>
      <c r="AE1597" s="580">
        <f t="shared" si="157"/>
        <v>2.5</v>
      </c>
      <c r="AF1597" s="580">
        <f t="shared" si="158"/>
        <v>2.5</v>
      </c>
      <c r="AG1597" s="580">
        <f t="shared" si="159"/>
        <v>0</v>
      </c>
      <c r="AH1597" s="580">
        <f t="shared" si="160"/>
        <v>0</v>
      </c>
    </row>
    <row r="1598" spans="28:34">
      <c r="AB1598" s="580">
        <f>HLOOKUP("*"&amp;'Output annual'!$AC$2&amp;'Output annual'!$AD$2&amp;"*Zone People Number Of Occupants [](Hourly)",'Eplus results'!$1:$1048576,ROW(),FALSE)</f>
        <v>0</v>
      </c>
      <c r="AC1598" s="580">
        <f>HLOOKUP("*"&amp;'Output annual'!$AC$2&amp;'Output annual'!$AD$2&amp;"*FangerPMV(Hourly)",'Eplus results'!$1:$1048576,ROW(),FALSE)</f>
        <v>0</v>
      </c>
      <c r="AD1598" s="580">
        <f t="shared" si="156"/>
        <v>5</v>
      </c>
      <c r="AE1598" s="580">
        <f t="shared" si="157"/>
        <v>2.5</v>
      </c>
      <c r="AF1598" s="580">
        <f t="shared" si="158"/>
        <v>2.5</v>
      </c>
      <c r="AG1598" s="580">
        <f t="shared" si="159"/>
        <v>0</v>
      </c>
      <c r="AH1598" s="580">
        <f t="shared" si="160"/>
        <v>0</v>
      </c>
    </row>
    <row r="1599" spans="28:34">
      <c r="AB1599" s="580">
        <f>HLOOKUP("*"&amp;'Output annual'!$AC$2&amp;'Output annual'!$AD$2&amp;"*Zone People Number Of Occupants [](Hourly)",'Eplus results'!$1:$1048576,ROW(),FALSE)</f>
        <v>0</v>
      </c>
      <c r="AC1599" s="580">
        <f>HLOOKUP("*"&amp;'Output annual'!$AC$2&amp;'Output annual'!$AD$2&amp;"*FangerPMV(Hourly)",'Eplus results'!$1:$1048576,ROW(),FALSE)</f>
        <v>0</v>
      </c>
      <c r="AD1599" s="580">
        <f t="shared" si="156"/>
        <v>5</v>
      </c>
      <c r="AE1599" s="580">
        <f t="shared" si="157"/>
        <v>2.5</v>
      </c>
      <c r="AF1599" s="580">
        <f t="shared" si="158"/>
        <v>2.5</v>
      </c>
      <c r="AG1599" s="580">
        <f t="shared" si="159"/>
        <v>0</v>
      </c>
      <c r="AH1599" s="580">
        <f t="shared" si="160"/>
        <v>0</v>
      </c>
    </row>
    <row r="1600" spans="28:34">
      <c r="AB1600" s="580">
        <f>HLOOKUP("*"&amp;'Output annual'!$AC$2&amp;'Output annual'!$AD$2&amp;"*Zone People Number Of Occupants [](Hourly)",'Eplus results'!$1:$1048576,ROW(),FALSE)</f>
        <v>0</v>
      </c>
      <c r="AC1600" s="580">
        <f>HLOOKUP("*"&amp;'Output annual'!$AC$2&amp;'Output annual'!$AD$2&amp;"*FangerPMV(Hourly)",'Eplus results'!$1:$1048576,ROW(),FALSE)</f>
        <v>0</v>
      </c>
      <c r="AD1600" s="580">
        <f t="shared" si="156"/>
        <v>5</v>
      </c>
      <c r="AE1600" s="580">
        <f t="shared" si="157"/>
        <v>2.5</v>
      </c>
      <c r="AF1600" s="580">
        <f t="shared" si="158"/>
        <v>2.5</v>
      </c>
      <c r="AG1600" s="580">
        <f t="shared" si="159"/>
        <v>0</v>
      </c>
      <c r="AH1600" s="580">
        <f t="shared" si="160"/>
        <v>0</v>
      </c>
    </row>
    <row r="1601" spans="28:34">
      <c r="AB1601" s="580">
        <f>HLOOKUP("*"&amp;'Output annual'!$AC$2&amp;'Output annual'!$AD$2&amp;"*Zone People Number Of Occupants [](Hourly)",'Eplus results'!$1:$1048576,ROW(),FALSE)</f>
        <v>0</v>
      </c>
      <c r="AC1601" s="580">
        <f>HLOOKUP("*"&amp;'Output annual'!$AC$2&amp;'Output annual'!$AD$2&amp;"*FangerPMV(Hourly)",'Eplus results'!$1:$1048576,ROW(),FALSE)</f>
        <v>0</v>
      </c>
      <c r="AD1601" s="580">
        <f t="shared" si="156"/>
        <v>5</v>
      </c>
      <c r="AE1601" s="580">
        <f t="shared" si="157"/>
        <v>2.5</v>
      </c>
      <c r="AF1601" s="580">
        <f t="shared" si="158"/>
        <v>2.5</v>
      </c>
      <c r="AG1601" s="580">
        <f t="shared" si="159"/>
        <v>0</v>
      </c>
      <c r="AH1601" s="580">
        <f t="shared" si="160"/>
        <v>0</v>
      </c>
    </row>
    <row r="1602" spans="28:34">
      <c r="AB1602" s="580">
        <f>HLOOKUP("*"&amp;'Output annual'!$AC$2&amp;'Output annual'!$AD$2&amp;"*Zone People Number Of Occupants [](Hourly)",'Eplus results'!$1:$1048576,ROW(),FALSE)</f>
        <v>0</v>
      </c>
      <c r="AC1602" s="580">
        <f>HLOOKUP("*"&amp;'Output annual'!$AC$2&amp;'Output annual'!$AD$2&amp;"*FangerPMV(Hourly)",'Eplus results'!$1:$1048576,ROW(),FALSE)</f>
        <v>0</v>
      </c>
      <c r="AD1602" s="580">
        <f t="shared" si="156"/>
        <v>5</v>
      </c>
      <c r="AE1602" s="580">
        <f t="shared" si="157"/>
        <v>2.5</v>
      </c>
      <c r="AF1602" s="580">
        <f t="shared" si="158"/>
        <v>2.5</v>
      </c>
      <c r="AG1602" s="580">
        <f t="shared" si="159"/>
        <v>0</v>
      </c>
      <c r="AH1602" s="580">
        <f t="shared" si="160"/>
        <v>0</v>
      </c>
    </row>
    <row r="1603" spans="28:34">
      <c r="AB1603" s="580">
        <f>HLOOKUP("*"&amp;'Output annual'!$AC$2&amp;'Output annual'!$AD$2&amp;"*Zone People Number Of Occupants [](Hourly)",'Eplus results'!$1:$1048576,ROW(),FALSE)</f>
        <v>0</v>
      </c>
      <c r="AC1603" s="580">
        <f>HLOOKUP("*"&amp;'Output annual'!$AC$2&amp;'Output annual'!$AD$2&amp;"*FangerPMV(Hourly)",'Eplus results'!$1:$1048576,ROW(),FALSE)</f>
        <v>0</v>
      </c>
      <c r="AD1603" s="580">
        <f t="shared" ref="AD1603:AD1666" si="161">100-95*EXP(-0.03353*AC1603^4-0.2179*AC1603^2)</f>
        <v>5</v>
      </c>
      <c r="AE1603" s="580">
        <f t="shared" ref="AE1603:AE1666" si="162">AD1603*(1/(1+EXP(-6.3*$AC1603)))</f>
        <v>2.5</v>
      </c>
      <c r="AF1603" s="580">
        <f t="shared" ref="AF1603:AF1666" si="163">(AD1603-AE1603)</f>
        <v>2.5</v>
      </c>
      <c r="AG1603" s="580">
        <f t="shared" ref="AG1603:AG1666" si="164">AE1603*AB1603</f>
        <v>0</v>
      </c>
      <c r="AH1603" s="580">
        <f t="shared" ref="AH1603:AH1666" si="165">AF1603*AB1603</f>
        <v>0</v>
      </c>
    </row>
    <row r="1604" spans="28:34">
      <c r="AB1604" s="580">
        <f>HLOOKUP("*"&amp;'Output annual'!$AC$2&amp;'Output annual'!$AD$2&amp;"*Zone People Number Of Occupants [](Hourly)",'Eplus results'!$1:$1048576,ROW(),FALSE)</f>
        <v>0</v>
      </c>
      <c r="AC1604" s="580">
        <f>HLOOKUP("*"&amp;'Output annual'!$AC$2&amp;'Output annual'!$AD$2&amp;"*FangerPMV(Hourly)",'Eplus results'!$1:$1048576,ROW(),FALSE)</f>
        <v>0</v>
      </c>
      <c r="AD1604" s="580">
        <f t="shared" si="161"/>
        <v>5</v>
      </c>
      <c r="AE1604" s="580">
        <f t="shared" si="162"/>
        <v>2.5</v>
      </c>
      <c r="AF1604" s="580">
        <f t="shared" si="163"/>
        <v>2.5</v>
      </c>
      <c r="AG1604" s="580">
        <f t="shared" si="164"/>
        <v>0</v>
      </c>
      <c r="AH1604" s="580">
        <f t="shared" si="165"/>
        <v>0</v>
      </c>
    </row>
    <row r="1605" spans="28:34">
      <c r="AB1605" s="580">
        <f>HLOOKUP("*"&amp;'Output annual'!$AC$2&amp;'Output annual'!$AD$2&amp;"*Zone People Number Of Occupants [](Hourly)",'Eplus results'!$1:$1048576,ROW(),FALSE)</f>
        <v>0</v>
      </c>
      <c r="AC1605" s="580">
        <f>HLOOKUP("*"&amp;'Output annual'!$AC$2&amp;'Output annual'!$AD$2&amp;"*FangerPMV(Hourly)",'Eplus results'!$1:$1048576,ROW(),FALSE)</f>
        <v>0</v>
      </c>
      <c r="AD1605" s="580">
        <f t="shared" si="161"/>
        <v>5</v>
      </c>
      <c r="AE1605" s="580">
        <f t="shared" si="162"/>
        <v>2.5</v>
      </c>
      <c r="AF1605" s="580">
        <f t="shared" si="163"/>
        <v>2.5</v>
      </c>
      <c r="AG1605" s="580">
        <f t="shared" si="164"/>
        <v>0</v>
      </c>
      <c r="AH1605" s="580">
        <f t="shared" si="165"/>
        <v>0</v>
      </c>
    </row>
    <row r="1606" spans="28:34">
      <c r="AB1606" s="580">
        <f>HLOOKUP("*"&amp;'Output annual'!$AC$2&amp;'Output annual'!$AD$2&amp;"*Zone People Number Of Occupants [](Hourly)",'Eplus results'!$1:$1048576,ROW(),FALSE)</f>
        <v>0</v>
      </c>
      <c r="AC1606" s="580">
        <f>HLOOKUP("*"&amp;'Output annual'!$AC$2&amp;'Output annual'!$AD$2&amp;"*FangerPMV(Hourly)",'Eplus results'!$1:$1048576,ROW(),FALSE)</f>
        <v>0</v>
      </c>
      <c r="AD1606" s="580">
        <f t="shared" si="161"/>
        <v>5</v>
      </c>
      <c r="AE1606" s="580">
        <f t="shared" si="162"/>
        <v>2.5</v>
      </c>
      <c r="AF1606" s="580">
        <f t="shared" si="163"/>
        <v>2.5</v>
      </c>
      <c r="AG1606" s="580">
        <f t="shared" si="164"/>
        <v>0</v>
      </c>
      <c r="AH1606" s="580">
        <f t="shared" si="165"/>
        <v>0</v>
      </c>
    </row>
    <row r="1607" spans="28:34">
      <c r="AB1607" s="580">
        <f>HLOOKUP("*"&amp;'Output annual'!$AC$2&amp;'Output annual'!$AD$2&amp;"*Zone People Number Of Occupants [](Hourly)",'Eplus results'!$1:$1048576,ROW(),FALSE)</f>
        <v>0</v>
      </c>
      <c r="AC1607" s="580">
        <f>HLOOKUP("*"&amp;'Output annual'!$AC$2&amp;'Output annual'!$AD$2&amp;"*FangerPMV(Hourly)",'Eplus results'!$1:$1048576,ROW(),FALSE)</f>
        <v>0</v>
      </c>
      <c r="AD1607" s="580">
        <f t="shared" si="161"/>
        <v>5</v>
      </c>
      <c r="AE1607" s="580">
        <f t="shared" si="162"/>
        <v>2.5</v>
      </c>
      <c r="AF1607" s="580">
        <f t="shared" si="163"/>
        <v>2.5</v>
      </c>
      <c r="AG1607" s="580">
        <f t="shared" si="164"/>
        <v>0</v>
      </c>
      <c r="AH1607" s="580">
        <f t="shared" si="165"/>
        <v>0</v>
      </c>
    </row>
    <row r="1608" spans="28:34">
      <c r="AB1608" s="580">
        <f>HLOOKUP("*"&amp;'Output annual'!$AC$2&amp;'Output annual'!$AD$2&amp;"*Zone People Number Of Occupants [](Hourly)",'Eplus results'!$1:$1048576,ROW(),FALSE)</f>
        <v>0</v>
      </c>
      <c r="AC1608" s="580">
        <f>HLOOKUP("*"&amp;'Output annual'!$AC$2&amp;'Output annual'!$AD$2&amp;"*FangerPMV(Hourly)",'Eplus results'!$1:$1048576,ROW(),FALSE)</f>
        <v>0</v>
      </c>
      <c r="AD1608" s="580">
        <f t="shared" si="161"/>
        <v>5</v>
      </c>
      <c r="AE1608" s="580">
        <f t="shared" si="162"/>
        <v>2.5</v>
      </c>
      <c r="AF1608" s="580">
        <f t="shared" si="163"/>
        <v>2.5</v>
      </c>
      <c r="AG1608" s="580">
        <f t="shared" si="164"/>
        <v>0</v>
      </c>
      <c r="AH1608" s="580">
        <f t="shared" si="165"/>
        <v>0</v>
      </c>
    </row>
    <row r="1609" spans="28:34">
      <c r="AB1609" s="580">
        <f>HLOOKUP("*"&amp;'Output annual'!$AC$2&amp;'Output annual'!$AD$2&amp;"*Zone People Number Of Occupants [](Hourly)",'Eplus results'!$1:$1048576,ROW(),FALSE)</f>
        <v>0</v>
      </c>
      <c r="AC1609" s="580">
        <f>HLOOKUP("*"&amp;'Output annual'!$AC$2&amp;'Output annual'!$AD$2&amp;"*FangerPMV(Hourly)",'Eplus results'!$1:$1048576,ROW(),FALSE)</f>
        <v>0</v>
      </c>
      <c r="AD1609" s="580">
        <f t="shared" si="161"/>
        <v>5</v>
      </c>
      <c r="AE1609" s="580">
        <f t="shared" si="162"/>
        <v>2.5</v>
      </c>
      <c r="AF1609" s="580">
        <f t="shared" si="163"/>
        <v>2.5</v>
      </c>
      <c r="AG1609" s="580">
        <f t="shared" si="164"/>
        <v>0</v>
      </c>
      <c r="AH1609" s="580">
        <f t="shared" si="165"/>
        <v>0</v>
      </c>
    </row>
    <row r="1610" spans="28:34">
      <c r="AB1610" s="580">
        <f>HLOOKUP("*"&amp;'Output annual'!$AC$2&amp;'Output annual'!$AD$2&amp;"*Zone People Number Of Occupants [](Hourly)",'Eplus results'!$1:$1048576,ROW(),FALSE)</f>
        <v>0</v>
      </c>
      <c r="AC1610" s="580">
        <f>HLOOKUP("*"&amp;'Output annual'!$AC$2&amp;'Output annual'!$AD$2&amp;"*FangerPMV(Hourly)",'Eplus results'!$1:$1048576,ROW(),FALSE)</f>
        <v>0</v>
      </c>
      <c r="AD1610" s="580">
        <f t="shared" si="161"/>
        <v>5</v>
      </c>
      <c r="AE1610" s="580">
        <f t="shared" si="162"/>
        <v>2.5</v>
      </c>
      <c r="AF1610" s="580">
        <f t="shared" si="163"/>
        <v>2.5</v>
      </c>
      <c r="AG1610" s="580">
        <f t="shared" si="164"/>
        <v>0</v>
      </c>
      <c r="AH1610" s="580">
        <f t="shared" si="165"/>
        <v>0</v>
      </c>
    </row>
    <row r="1611" spans="28:34">
      <c r="AB1611" s="580">
        <f>HLOOKUP("*"&amp;'Output annual'!$AC$2&amp;'Output annual'!$AD$2&amp;"*Zone People Number Of Occupants [](Hourly)",'Eplus results'!$1:$1048576,ROW(),FALSE)</f>
        <v>0</v>
      </c>
      <c r="AC1611" s="580">
        <f>HLOOKUP("*"&amp;'Output annual'!$AC$2&amp;'Output annual'!$AD$2&amp;"*FangerPMV(Hourly)",'Eplus results'!$1:$1048576,ROW(),FALSE)</f>
        <v>0</v>
      </c>
      <c r="AD1611" s="580">
        <f t="shared" si="161"/>
        <v>5</v>
      </c>
      <c r="AE1611" s="580">
        <f t="shared" si="162"/>
        <v>2.5</v>
      </c>
      <c r="AF1611" s="580">
        <f t="shared" si="163"/>
        <v>2.5</v>
      </c>
      <c r="AG1611" s="580">
        <f t="shared" si="164"/>
        <v>0</v>
      </c>
      <c r="AH1611" s="580">
        <f t="shared" si="165"/>
        <v>0</v>
      </c>
    </row>
    <row r="1612" spans="28:34">
      <c r="AB1612" s="580">
        <f>HLOOKUP("*"&amp;'Output annual'!$AC$2&amp;'Output annual'!$AD$2&amp;"*Zone People Number Of Occupants [](Hourly)",'Eplus results'!$1:$1048576,ROW(),FALSE)</f>
        <v>0</v>
      </c>
      <c r="AC1612" s="580">
        <f>HLOOKUP("*"&amp;'Output annual'!$AC$2&amp;'Output annual'!$AD$2&amp;"*FangerPMV(Hourly)",'Eplus results'!$1:$1048576,ROW(),FALSE)</f>
        <v>0</v>
      </c>
      <c r="AD1612" s="580">
        <f t="shared" si="161"/>
        <v>5</v>
      </c>
      <c r="AE1612" s="580">
        <f t="shared" si="162"/>
        <v>2.5</v>
      </c>
      <c r="AF1612" s="580">
        <f t="shared" si="163"/>
        <v>2.5</v>
      </c>
      <c r="AG1612" s="580">
        <f t="shared" si="164"/>
        <v>0</v>
      </c>
      <c r="AH1612" s="580">
        <f t="shared" si="165"/>
        <v>0</v>
      </c>
    </row>
    <row r="1613" spans="28:34">
      <c r="AB1613" s="580">
        <f>HLOOKUP("*"&amp;'Output annual'!$AC$2&amp;'Output annual'!$AD$2&amp;"*Zone People Number Of Occupants [](Hourly)",'Eplus results'!$1:$1048576,ROW(),FALSE)</f>
        <v>0</v>
      </c>
      <c r="AC1613" s="580">
        <f>HLOOKUP("*"&amp;'Output annual'!$AC$2&amp;'Output annual'!$AD$2&amp;"*FangerPMV(Hourly)",'Eplus results'!$1:$1048576,ROW(),FALSE)</f>
        <v>0</v>
      </c>
      <c r="AD1613" s="580">
        <f t="shared" si="161"/>
        <v>5</v>
      </c>
      <c r="AE1613" s="580">
        <f t="shared" si="162"/>
        <v>2.5</v>
      </c>
      <c r="AF1613" s="580">
        <f t="shared" si="163"/>
        <v>2.5</v>
      </c>
      <c r="AG1613" s="580">
        <f t="shared" si="164"/>
        <v>0</v>
      </c>
      <c r="AH1613" s="580">
        <f t="shared" si="165"/>
        <v>0</v>
      </c>
    </row>
    <row r="1614" spans="28:34">
      <c r="AB1614" s="580">
        <f>HLOOKUP("*"&amp;'Output annual'!$AC$2&amp;'Output annual'!$AD$2&amp;"*Zone People Number Of Occupants [](Hourly)",'Eplus results'!$1:$1048576,ROW(),FALSE)</f>
        <v>0</v>
      </c>
      <c r="AC1614" s="580">
        <f>HLOOKUP("*"&amp;'Output annual'!$AC$2&amp;'Output annual'!$AD$2&amp;"*FangerPMV(Hourly)",'Eplus results'!$1:$1048576,ROW(),FALSE)</f>
        <v>0</v>
      </c>
      <c r="AD1614" s="580">
        <f t="shared" si="161"/>
        <v>5</v>
      </c>
      <c r="AE1614" s="580">
        <f t="shared" si="162"/>
        <v>2.5</v>
      </c>
      <c r="AF1614" s="580">
        <f t="shared" si="163"/>
        <v>2.5</v>
      </c>
      <c r="AG1614" s="580">
        <f t="shared" si="164"/>
        <v>0</v>
      </c>
      <c r="AH1614" s="580">
        <f t="shared" si="165"/>
        <v>0</v>
      </c>
    </row>
    <row r="1615" spans="28:34">
      <c r="AB1615" s="580">
        <f>HLOOKUP("*"&amp;'Output annual'!$AC$2&amp;'Output annual'!$AD$2&amp;"*Zone People Number Of Occupants [](Hourly)",'Eplus results'!$1:$1048576,ROW(),FALSE)</f>
        <v>0</v>
      </c>
      <c r="AC1615" s="580">
        <f>HLOOKUP("*"&amp;'Output annual'!$AC$2&amp;'Output annual'!$AD$2&amp;"*FangerPMV(Hourly)",'Eplus results'!$1:$1048576,ROW(),FALSE)</f>
        <v>0</v>
      </c>
      <c r="AD1615" s="580">
        <f t="shared" si="161"/>
        <v>5</v>
      </c>
      <c r="AE1615" s="580">
        <f t="shared" si="162"/>
        <v>2.5</v>
      </c>
      <c r="AF1615" s="580">
        <f t="shared" si="163"/>
        <v>2.5</v>
      </c>
      <c r="AG1615" s="580">
        <f t="shared" si="164"/>
        <v>0</v>
      </c>
      <c r="AH1615" s="580">
        <f t="shared" si="165"/>
        <v>0</v>
      </c>
    </row>
    <row r="1616" spans="28:34">
      <c r="AB1616" s="580">
        <f>HLOOKUP("*"&amp;'Output annual'!$AC$2&amp;'Output annual'!$AD$2&amp;"*Zone People Number Of Occupants [](Hourly)",'Eplus results'!$1:$1048576,ROW(),FALSE)</f>
        <v>0</v>
      </c>
      <c r="AC1616" s="580">
        <f>HLOOKUP("*"&amp;'Output annual'!$AC$2&amp;'Output annual'!$AD$2&amp;"*FangerPMV(Hourly)",'Eplus results'!$1:$1048576,ROW(),FALSE)</f>
        <v>0</v>
      </c>
      <c r="AD1616" s="580">
        <f t="shared" si="161"/>
        <v>5</v>
      </c>
      <c r="AE1616" s="580">
        <f t="shared" si="162"/>
        <v>2.5</v>
      </c>
      <c r="AF1616" s="580">
        <f t="shared" si="163"/>
        <v>2.5</v>
      </c>
      <c r="AG1616" s="580">
        <f t="shared" si="164"/>
        <v>0</v>
      </c>
      <c r="AH1616" s="580">
        <f t="shared" si="165"/>
        <v>0</v>
      </c>
    </row>
    <row r="1617" spans="28:34">
      <c r="AB1617" s="580">
        <f>HLOOKUP("*"&amp;'Output annual'!$AC$2&amp;'Output annual'!$AD$2&amp;"*Zone People Number Of Occupants [](Hourly)",'Eplus results'!$1:$1048576,ROW(),FALSE)</f>
        <v>0</v>
      </c>
      <c r="AC1617" s="580">
        <f>HLOOKUP("*"&amp;'Output annual'!$AC$2&amp;'Output annual'!$AD$2&amp;"*FangerPMV(Hourly)",'Eplus results'!$1:$1048576,ROW(),FALSE)</f>
        <v>0</v>
      </c>
      <c r="AD1617" s="580">
        <f t="shared" si="161"/>
        <v>5</v>
      </c>
      <c r="AE1617" s="580">
        <f t="shared" si="162"/>
        <v>2.5</v>
      </c>
      <c r="AF1617" s="580">
        <f t="shared" si="163"/>
        <v>2.5</v>
      </c>
      <c r="AG1617" s="580">
        <f t="shared" si="164"/>
        <v>0</v>
      </c>
      <c r="AH1617" s="580">
        <f t="shared" si="165"/>
        <v>0</v>
      </c>
    </row>
    <row r="1618" spans="28:34">
      <c r="AB1618" s="580">
        <f>HLOOKUP("*"&amp;'Output annual'!$AC$2&amp;'Output annual'!$AD$2&amp;"*Zone People Number Of Occupants [](Hourly)",'Eplus results'!$1:$1048576,ROW(),FALSE)</f>
        <v>0</v>
      </c>
      <c r="AC1618" s="580">
        <f>HLOOKUP("*"&amp;'Output annual'!$AC$2&amp;'Output annual'!$AD$2&amp;"*FangerPMV(Hourly)",'Eplus results'!$1:$1048576,ROW(),FALSE)</f>
        <v>0</v>
      </c>
      <c r="AD1618" s="580">
        <f t="shared" si="161"/>
        <v>5</v>
      </c>
      <c r="AE1618" s="580">
        <f t="shared" si="162"/>
        <v>2.5</v>
      </c>
      <c r="AF1618" s="580">
        <f t="shared" si="163"/>
        <v>2.5</v>
      </c>
      <c r="AG1618" s="580">
        <f t="shared" si="164"/>
        <v>0</v>
      </c>
      <c r="AH1618" s="580">
        <f t="shared" si="165"/>
        <v>0</v>
      </c>
    </row>
    <row r="1619" spans="28:34">
      <c r="AB1619" s="580">
        <f>HLOOKUP("*"&amp;'Output annual'!$AC$2&amp;'Output annual'!$AD$2&amp;"*Zone People Number Of Occupants [](Hourly)",'Eplus results'!$1:$1048576,ROW(),FALSE)</f>
        <v>0</v>
      </c>
      <c r="AC1619" s="580">
        <f>HLOOKUP("*"&amp;'Output annual'!$AC$2&amp;'Output annual'!$AD$2&amp;"*FangerPMV(Hourly)",'Eplus results'!$1:$1048576,ROW(),FALSE)</f>
        <v>0</v>
      </c>
      <c r="AD1619" s="580">
        <f t="shared" si="161"/>
        <v>5</v>
      </c>
      <c r="AE1619" s="580">
        <f t="shared" si="162"/>
        <v>2.5</v>
      </c>
      <c r="AF1619" s="580">
        <f t="shared" si="163"/>
        <v>2.5</v>
      </c>
      <c r="AG1619" s="580">
        <f t="shared" si="164"/>
        <v>0</v>
      </c>
      <c r="AH1619" s="580">
        <f t="shared" si="165"/>
        <v>0</v>
      </c>
    </row>
    <row r="1620" spans="28:34">
      <c r="AB1620" s="580">
        <f>HLOOKUP("*"&amp;'Output annual'!$AC$2&amp;'Output annual'!$AD$2&amp;"*Zone People Number Of Occupants [](Hourly)",'Eplus results'!$1:$1048576,ROW(),FALSE)</f>
        <v>0</v>
      </c>
      <c r="AC1620" s="580">
        <f>HLOOKUP("*"&amp;'Output annual'!$AC$2&amp;'Output annual'!$AD$2&amp;"*FangerPMV(Hourly)",'Eplus results'!$1:$1048576,ROW(),FALSE)</f>
        <v>0</v>
      </c>
      <c r="AD1620" s="580">
        <f t="shared" si="161"/>
        <v>5</v>
      </c>
      <c r="AE1620" s="580">
        <f t="shared" si="162"/>
        <v>2.5</v>
      </c>
      <c r="AF1620" s="580">
        <f t="shared" si="163"/>
        <v>2.5</v>
      </c>
      <c r="AG1620" s="580">
        <f t="shared" si="164"/>
        <v>0</v>
      </c>
      <c r="AH1620" s="580">
        <f t="shared" si="165"/>
        <v>0</v>
      </c>
    </row>
    <row r="1621" spans="28:34">
      <c r="AB1621" s="580">
        <f>HLOOKUP("*"&amp;'Output annual'!$AC$2&amp;'Output annual'!$AD$2&amp;"*Zone People Number Of Occupants [](Hourly)",'Eplus results'!$1:$1048576,ROW(),FALSE)</f>
        <v>0</v>
      </c>
      <c r="AC1621" s="580">
        <f>HLOOKUP("*"&amp;'Output annual'!$AC$2&amp;'Output annual'!$AD$2&amp;"*FangerPMV(Hourly)",'Eplus results'!$1:$1048576,ROW(),FALSE)</f>
        <v>0</v>
      </c>
      <c r="AD1621" s="580">
        <f t="shared" si="161"/>
        <v>5</v>
      </c>
      <c r="AE1621" s="580">
        <f t="shared" si="162"/>
        <v>2.5</v>
      </c>
      <c r="AF1621" s="580">
        <f t="shared" si="163"/>
        <v>2.5</v>
      </c>
      <c r="AG1621" s="580">
        <f t="shared" si="164"/>
        <v>0</v>
      </c>
      <c r="AH1621" s="580">
        <f t="shared" si="165"/>
        <v>0</v>
      </c>
    </row>
    <row r="1622" spans="28:34">
      <c r="AB1622" s="580">
        <f>HLOOKUP("*"&amp;'Output annual'!$AC$2&amp;'Output annual'!$AD$2&amp;"*Zone People Number Of Occupants [](Hourly)",'Eplus results'!$1:$1048576,ROW(),FALSE)</f>
        <v>0</v>
      </c>
      <c r="AC1622" s="580">
        <f>HLOOKUP("*"&amp;'Output annual'!$AC$2&amp;'Output annual'!$AD$2&amp;"*FangerPMV(Hourly)",'Eplus results'!$1:$1048576,ROW(),FALSE)</f>
        <v>0</v>
      </c>
      <c r="AD1622" s="580">
        <f t="shared" si="161"/>
        <v>5</v>
      </c>
      <c r="AE1622" s="580">
        <f t="shared" si="162"/>
        <v>2.5</v>
      </c>
      <c r="AF1622" s="580">
        <f t="shared" si="163"/>
        <v>2.5</v>
      </c>
      <c r="AG1622" s="580">
        <f t="shared" si="164"/>
        <v>0</v>
      </c>
      <c r="AH1622" s="580">
        <f t="shared" si="165"/>
        <v>0</v>
      </c>
    </row>
    <row r="1623" spans="28:34">
      <c r="AB1623" s="580">
        <f>HLOOKUP("*"&amp;'Output annual'!$AC$2&amp;'Output annual'!$AD$2&amp;"*Zone People Number Of Occupants [](Hourly)",'Eplus results'!$1:$1048576,ROW(),FALSE)</f>
        <v>0</v>
      </c>
      <c r="AC1623" s="580">
        <f>HLOOKUP("*"&amp;'Output annual'!$AC$2&amp;'Output annual'!$AD$2&amp;"*FangerPMV(Hourly)",'Eplus results'!$1:$1048576,ROW(),FALSE)</f>
        <v>0</v>
      </c>
      <c r="AD1623" s="580">
        <f t="shared" si="161"/>
        <v>5</v>
      </c>
      <c r="AE1623" s="580">
        <f t="shared" si="162"/>
        <v>2.5</v>
      </c>
      <c r="AF1623" s="580">
        <f t="shared" si="163"/>
        <v>2.5</v>
      </c>
      <c r="AG1623" s="580">
        <f t="shared" si="164"/>
        <v>0</v>
      </c>
      <c r="AH1623" s="580">
        <f t="shared" si="165"/>
        <v>0</v>
      </c>
    </row>
    <row r="1624" spans="28:34">
      <c r="AB1624" s="580">
        <f>HLOOKUP("*"&amp;'Output annual'!$AC$2&amp;'Output annual'!$AD$2&amp;"*Zone People Number Of Occupants [](Hourly)",'Eplus results'!$1:$1048576,ROW(),FALSE)</f>
        <v>0</v>
      </c>
      <c r="AC1624" s="580">
        <f>HLOOKUP("*"&amp;'Output annual'!$AC$2&amp;'Output annual'!$AD$2&amp;"*FangerPMV(Hourly)",'Eplus results'!$1:$1048576,ROW(),FALSE)</f>
        <v>0</v>
      </c>
      <c r="AD1624" s="580">
        <f t="shared" si="161"/>
        <v>5</v>
      </c>
      <c r="AE1624" s="580">
        <f t="shared" si="162"/>
        <v>2.5</v>
      </c>
      <c r="AF1624" s="580">
        <f t="shared" si="163"/>
        <v>2.5</v>
      </c>
      <c r="AG1624" s="580">
        <f t="shared" si="164"/>
        <v>0</v>
      </c>
      <c r="AH1624" s="580">
        <f t="shared" si="165"/>
        <v>0</v>
      </c>
    </row>
    <row r="1625" spans="28:34">
      <c r="AB1625" s="580">
        <f>HLOOKUP("*"&amp;'Output annual'!$AC$2&amp;'Output annual'!$AD$2&amp;"*Zone People Number Of Occupants [](Hourly)",'Eplus results'!$1:$1048576,ROW(),FALSE)</f>
        <v>0</v>
      </c>
      <c r="AC1625" s="580">
        <f>HLOOKUP("*"&amp;'Output annual'!$AC$2&amp;'Output annual'!$AD$2&amp;"*FangerPMV(Hourly)",'Eplus results'!$1:$1048576,ROW(),FALSE)</f>
        <v>0</v>
      </c>
      <c r="AD1625" s="580">
        <f t="shared" si="161"/>
        <v>5</v>
      </c>
      <c r="AE1625" s="580">
        <f t="shared" si="162"/>
        <v>2.5</v>
      </c>
      <c r="AF1625" s="580">
        <f t="shared" si="163"/>
        <v>2.5</v>
      </c>
      <c r="AG1625" s="580">
        <f t="shared" si="164"/>
        <v>0</v>
      </c>
      <c r="AH1625" s="580">
        <f t="shared" si="165"/>
        <v>0</v>
      </c>
    </row>
    <row r="1626" spans="28:34">
      <c r="AB1626" s="580">
        <f>HLOOKUP("*"&amp;'Output annual'!$AC$2&amp;'Output annual'!$AD$2&amp;"*Zone People Number Of Occupants [](Hourly)",'Eplus results'!$1:$1048576,ROW(),FALSE)</f>
        <v>0</v>
      </c>
      <c r="AC1626" s="580">
        <f>HLOOKUP("*"&amp;'Output annual'!$AC$2&amp;'Output annual'!$AD$2&amp;"*FangerPMV(Hourly)",'Eplus results'!$1:$1048576,ROW(),FALSE)</f>
        <v>0</v>
      </c>
      <c r="AD1626" s="580">
        <f t="shared" si="161"/>
        <v>5</v>
      </c>
      <c r="AE1626" s="580">
        <f t="shared" si="162"/>
        <v>2.5</v>
      </c>
      <c r="AF1626" s="580">
        <f t="shared" si="163"/>
        <v>2.5</v>
      </c>
      <c r="AG1626" s="580">
        <f t="shared" si="164"/>
        <v>0</v>
      </c>
      <c r="AH1626" s="580">
        <f t="shared" si="165"/>
        <v>0</v>
      </c>
    </row>
    <row r="1627" spans="28:34">
      <c r="AB1627" s="580">
        <f>HLOOKUP("*"&amp;'Output annual'!$AC$2&amp;'Output annual'!$AD$2&amp;"*Zone People Number Of Occupants [](Hourly)",'Eplus results'!$1:$1048576,ROW(),FALSE)</f>
        <v>0</v>
      </c>
      <c r="AC1627" s="580">
        <f>HLOOKUP("*"&amp;'Output annual'!$AC$2&amp;'Output annual'!$AD$2&amp;"*FangerPMV(Hourly)",'Eplus results'!$1:$1048576,ROW(),FALSE)</f>
        <v>0</v>
      </c>
      <c r="AD1627" s="580">
        <f t="shared" si="161"/>
        <v>5</v>
      </c>
      <c r="AE1627" s="580">
        <f t="shared" si="162"/>
        <v>2.5</v>
      </c>
      <c r="AF1627" s="580">
        <f t="shared" si="163"/>
        <v>2.5</v>
      </c>
      <c r="AG1627" s="580">
        <f t="shared" si="164"/>
        <v>0</v>
      </c>
      <c r="AH1627" s="580">
        <f t="shared" si="165"/>
        <v>0</v>
      </c>
    </row>
    <row r="1628" spans="28:34">
      <c r="AB1628" s="580">
        <f>HLOOKUP("*"&amp;'Output annual'!$AC$2&amp;'Output annual'!$AD$2&amp;"*Zone People Number Of Occupants [](Hourly)",'Eplus results'!$1:$1048576,ROW(),FALSE)</f>
        <v>0</v>
      </c>
      <c r="AC1628" s="580">
        <f>HLOOKUP("*"&amp;'Output annual'!$AC$2&amp;'Output annual'!$AD$2&amp;"*FangerPMV(Hourly)",'Eplus results'!$1:$1048576,ROW(),FALSE)</f>
        <v>0</v>
      </c>
      <c r="AD1628" s="580">
        <f t="shared" si="161"/>
        <v>5</v>
      </c>
      <c r="AE1628" s="580">
        <f t="shared" si="162"/>
        <v>2.5</v>
      </c>
      <c r="AF1628" s="580">
        <f t="shared" si="163"/>
        <v>2.5</v>
      </c>
      <c r="AG1628" s="580">
        <f t="shared" si="164"/>
        <v>0</v>
      </c>
      <c r="AH1628" s="580">
        <f t="shared" si="165"/>
        <v>0</v>
      </c>
    </row>
    <row r="1629" spans="28:34">
      <c r="AB1629" s="580">
        <f>HLOOKUP("*"&amp;'Output annual'!$AC$2&amp;'Output annual'!$AD$2&amp;"*Zone People Number Of Occupants [](Hourly)",'Eplus results'!$1:$1048576,ROW(),FALSE)</f>
        <v>0</v>
      </c>
      <c r="AC1629" s="580">
        <f>HLOOKUP("*"&amp;'Output annual'!$AC$2&amp;'Output annual'!$AD$2&amp;"*FangerPMV(Hourly)",'Eplus results'!$1:$1048576,ROW(),FALSE)</f>
        <v>0</v>
      </c>
      <c r="AD1629" s="580">
        <f t="shared" si="161"/>
        <v>5</v>
      </c>
      <c r="AE1629" s="580">
        <f t="shared" si="162"/>
        <v>2.5</v>
      </c>
      <c r="AF1629" s="580">
        <f t="shared" si="163"/>
        <v>2.5</v>
      </c>
      <c r="AG1629" s="580">
        <f t="shared" si="164"/>
        <v>0</v>
      </c>
      <c r="AH1629" s="580">
        <f t="shared" si="165"/>
        <v>0</v>
      </c>
    </row>
    <row r="1630" spans="28:34">
      <c r="AB1630" s="580">
        <f>HLOOKUP("*"&amp;'Output annual'!$AC$2&amp;'Output annual'!$AD$2&amp;"*Zone People Number Of Occupants [](Hourly)",'Eplus results'!$1:$1048576,ROW(),FALSE)</f>
        <v>0</v>
      </c>
      <c r="AC1630" s="580">
        <f>HLOOKUP("*"&amp;'Output annual'!$AC$2&amp;'Output annual'!$AD$2&amp;"*FangerPMV(Hourly)",'Eplus results'!$1:$1048576,ROW(),FALSE)</f>
        <v>0</v>
      </c>
      <c r="AD1630" s="580">
        <f t="shared" si="161"/>
        <v>5</v>
      </c>
      <c r="AE1630" s="580">
        <f t="shared" si="162"/>
        <v>2.5</v>
      </c>
      <c r="AF1630" s="580">
        <f t="shared" si="163"/>
        <v>2.5</v>
      </c>
      <c r="AG1630" s="580">
        <f t="shared" si="164"/>
        <v>0</v>
      </c>
      <c r="AH1630" s="580">
        <f t="shared" si="165"/>
        <v>0</v>
      </c>
    </row>
    <row r="1631" spans="28:34">
      <c r="AB1631" s="580">
        <f>HLOOKUP("*"&amp;'Output annual'!$AC$2&amp;'Output annual'!$AD$2&amp;"*Zone People Number Of Occupants [](Hourly)",'Eplus results'!$1:$1048576,ROW(),FALSE)</f>
        <v>0</v>
      </c>
      <c r="AC1631" s="580">
        <f>HLOOKUP("*"&amp;'Output annual'!$AC$2&amp;'Output annual'!$AD$2&amp;"*FangerPMV(Hourly)",'Eplus results'!$1:$1048576,ROW(),FALSE)</f>
        <v>0</v>
      </c>
      <c r="AD1631" s="580">
        <f t="shared" si="161"/>
        <v>5</v>
      </c>
      <c r="AE1631" s="580">
        <f t="shared" si="162"/>
        <v>2.5</v>
      </c>
      <c r="AF1631" s="580">
        <f t="shared" si="163"/>
        <v>2.5</v>
      </c>
      <c r="AG1631" s="580">
        <f t="shared" si="164"/>
        <v>0</v>
      </c>
      <c r="AH1631" s="580">
        <f t="shared" si="165"/>
        <v>0</v>
      </c>
    </row>
    <row r="1632" spans="28:34">
      <c r="AB1632" s="580">
        <f>HLOOKUP("*"&amp;'Output annual'!$AC$2&amp;'Output annual'!$AD$2&amp;"*Zone People Number Of Occupants [](Hourly)",'Eplus results'!$1:$1048576,ROW(),FALSE)</f>
        <v>0</v>
      </c>
      <c r="AC1632" s="580">
        <f>HLOOKUP("*"&amp;'Output annual'!$AC$2&amp;'Output annual'!$AD$2&amp;"*FangerPMV(Hourly)",'Eplus results'!$1:$1048576,ROW(),FALSE)</f>
        <v>0</v>
      </c>
      <c r="AD1632" s="580">
        <f t="shared" si="161"/>
        <v>5</v>
      </c>
      <c r="AE1632" s="580">
        <f t="shared" si="162"/>
        <v>2.5</v>
      </c>
      <c r="AF1632" s="580">
        <f t="shared" si="163"/>
        <v>2.5</v>
      </c>
      <c r="AG1632" s="580">
        <f t="shared" si="164"/>
        <v>0</v>
      </c>
      <c r="AH1632" s="580">
        <f t="shared" si="165"/>
        <v>0</v>
      </c>
    </row>
    <row r="1633" spans="28:34">
      <c r="AB1633" s="580">
        <f>HLOOKUP("*"&amp;'Output annual'!$AC$2&amp;'Output annual'!$AD$2&amp;"*Zone People Number Of Occupants [](Hourly)",'Eplus results'!$1:$1048576,ROW(),FALSE)</f>
        <v>0</v>
      </c>
      <c r="AC1633" s="580">
        <f>HLOOKUP("*"&amp;'Output annual'!$AC$2&amp;'Output annual'!$AD$2&amp;"*FangerPMV(Hourly)",'Eplus results'!$1:$1048576,ROW(),FALSE)</f>
        <v>0</v>
      </c>
      <c r="AD1633" s="580">
        <f t="shared" si="161"/>
        <v>5</v>
      </c>
      <c r="AE1633" s="580">
        <f t="shared" si="162"/>
        <v>2.5</v>
      </c>
      <c r="AF1633" s="580">
        <f t="shared" si="163"/>
        <v>2.5</v>
      </c>
      <c r="AG1633" s="580">
        <f t="shared" si="164"/>
        <v>0</v>
      </c>
      <c r="AH1633" s="580">
        <f t="shared" si="165"/>
        <v>0</v>
      </c>
    </row>
    <row r="1634" spans="28:34">
      <c r="AB1634" s="580">
        <f>HLOOKUP("*"&amp;'Output annual'!$AC$2&amp;'Output annual'!$AD$2&amp;"*Zone People Number Of Occupants [](Hourly)",'Eplus results'!$1:$1048576,ROW(),FALSE)</f>
        <v>0</v>
      </c>
      <c r="AC1634" s="580">
        <f>HLOOKUP("*"&amp;'Output annual'!$AC$2&amp;'Output annual'!$AD$2&amp;"*FangerPMV(Hourly)",'Eplus results'!$1:$1048576,ROW(),FALSE)</f>
        <v>0</v>
      </c>
      <c r="AD1634" s="580">
        <f t="shared" si="161"/>
        <v>5</v>
      </c>
      <c r="AE1634" s="580">
        <f t="shared" si="162"/>
        <v>2.5</v>
      </c>
      <c r="AF1634" s="580">
        <f t="shared" si="163"/>
        <v>2.5</v>
      </c>
      <c r="AG1634" s="580">
        <f t="shared" si="164"/>
        <v>0</v>
      </c>
      <c r="AH1634" s="580">
        <f t="shared" si="165"/>
        <v>0</v>
      </c>
    </row>
    <row r="1635" spans="28:34">
      <c r="AB1635" s="580">
        <f>HLOOKUP("*"&amp;'Output annual'!$AC$2&amp;'Output annual'!$AD$2&amp;"*Zone People Number Of Occupants [](Hourly)",'Eplus results'!$1:$1048576,ROW(),FALSE)</f>
        <v>0</v>
      </c>
      <c r="AC1635" s="580">
        <f>HLOOKUP("*"&amp;'Output annual'!$AC$2&amp;'Output annual'!$AD$2&amp;"*FangerPMV(Hourly)",'Eplus results'!$1:$1048576,ROW(),FALSE)</f>
        <v>0</v>
      </c>
      <c r="AD1635" s="580">
        <f t="shared" si="161"/>
        <v>5</v>
      </c>
      <c r="AE1635" s="580">
        <f t="shared" si="162"/>
        <v>2.5</v>
      </c>
      <c r="AF1635" s="580">
        <f t="shared" si="163"/>
        <v>2.5</v>
      </c>
      <c r="AG1635" s="580">
        <f t="shared" si="164"/>
        <v>0</v>
      </c>
      <c r="AH1635" s="580">
        <f t="shared" si="165"/>
        <v>0</v>
      </c>
    </row>
    <row r="1636" spans="28:34">
      <c r="AB1636" s="580">
        <f>HLOOKUP("*"&amp;'Output annual'!$AC$2&amp;'Output annual'!$AD$2&amp;"*Zone People Number Of Occupants [](Hourly)",'Eplus results'!$1:$1048576,ROW(),FALSE)</f>
        <v>0</v>
      </c>
      <c r="AC1636" s="580">
        <f>HLOOKUP("*"&amp;'Output annual'!$AC$2&amp;'Output annual'!$AD$2&amp;"*FangerPMV(Hourly)",'Eplus results'!$1:$1048576,ROW(),FALSE)</f>
        <v>0</v>
      </c>
      <c r="AD1636" s="580">
        <f t="shared" si="161"/>
        <v>5</v>
      </c>
      <c r="AE1636" s="580">
        <f t="shared" si="162"/>
        <v>2.5</v>
      </c>
      <c r="AF1636" s="580">
        <f t="shared" si="163"/>
        <v>2.5</v>
      </c>
      <c r="AG1636" s="580">
        <f t="shared" si="164"/>
        <v>0</v>
      </c>
      <c r="AH1636" s="580">
        <f t="shared" si="165"/>
        <v>0</v>
      </c>
    </row>
    <row r="1637" spans="28:34">
      <c r="AB1637" s="580">
        <f>HLOOKUP("*"&amp;'Output annual'!$AC$2&amp;'Output annual'!$AD$2&amp;"*Zone People Number Of Occupants [](Hourly)",'Eplus results'!$1:$1048576,ROW(),FALSE)</f>
        <v>0</v>
      </c>
      <c r="AC1637" s="580">
        <f>HLOOKUP("*"&amp;'Output annual'!$AC$2&amp;'Output annual'!$AD$2&amp;"*FangerPMV(Hourly)",'Eplus results'!$1:$1048576,ROW(),FALSE)</f>
        <v>0</v>
      </c>
      <c r="AD1637" s="580">
        <f t="shared" si="161"/>
        <v>5</v>
      </c>
      <c r="AE1637" s="580">
        <f t="shared" si="162"/>
        <v>2.5</v>
      </c>
      <c r="AF1637" s="580">
        <f t="shared" si="163"/>
        <v>2.5</v>
      </c>
      <c r="AG1637" s="580">
        <f t="shared" si="164"/>
        <v>0</v>
      </c>
      <c r="AH1637" s="580">
        <f t="shared" si="165"/>
        <v>0</v>
      </c>
    </row>
    <row r="1638" spans="28:34">
      <c r="AB1638" s="580">
        <f>HLOOKUP("*"&amp;'Output annual'!$AC$2&amp;'Output annual'!$AD$2&amp;"*Zone People Number Of Occupants [](Hourly)",'Eplus results'!$1:$1048576,ROW(),FALSE)</f>
        <v>0</v>
      </c>
      <c r="AC1638" s="580">
        <f>HLOOKUP("*"&amp;'Output annual'!$AC$2&amp;'Output annual'!$AD$2&amp;"*FangerPMV(Hourly)",'Eplus results'!$1:$1048576,ROW(),FALSE)</f>
        <v>0</v>
      </c>
      <c r="AD1638" s="580">
        <f t="shared" si="161"/>
        <v>5</v>
      </c>
      <c r="AE1638" s="580">
        <f t="shared" si="162"/>
        <v>2.5</v>
      </c>
      <c r="AF1638" s="580">
        <f t="shared" si="163"/>
        <v>2.5</v>
      </c>
      <c r="AG1638" s="580">
        <f t="shared" si="164"/>
        <v>0</v>
      </c>
      <c r="AH1638" s="580">
        <f t="shared" si="165"/>
        <v>0</v>
      </c>
    </row>
    <row r="1639" spans="28:34">
      <c r="AB1639" s="580">
        <f>HLOOKUP("*"&amp;'Output annual'!$AC$2&amp;'Output annual'!$AD$2&amp;"*Zone People Number Of Occupants [](Hourly)",'Eplus results'!$1:$1048576,ROW(),FALSE)</f>
        <v>0</v>
      </c>
      <c r="AC1639" s="580">
        <f>HLOOKUP("*"&amp;'Output annual'!$AC$2&amp;'Output annual'!$AD$2&amp;"*FangerPMV(Hourly)",'Eplus results'!$1:$1048576,ROW(),FALSE)</f>
        <v>0</v>
      </c>
      <c r="AD1639" s="580">
        <f t="shared" si="161"/>
        <v>5</v>
      </c>
      <c r="AE1639" s="580">
        <f t="shared" si="162"/>
        <v>2.5</v>
      </c>
      <c r="AF1639" s="580">
        <f t="shared" si="163"/>
        <v>2.5</v>
      </c>
      <c r="AG1639" s="580">
        <f t="shared" si="164"/>
        <v>0</v>
      </c>
      <c r="AH1639" s="580">
        <f t="shared" si="165"/>
        <v>0</v>
      </c>
    </row>
    <row r="1640" spans="28:34">
      <c r="AB1640" s="580">
        <f>HLOOKUP("*"&amp;'Output annual'!$AC$2&amp;'Output annual'!$AD$2&amp;"*Zone People Number Of Occupants [](Hourly)",'Eplus results'!$1:$1048576,ROW(),FALSE)</f>
        <v>0</v>
      </c>
      <c r="AC1640" s="580">
        <f>HLOOKUP("*"&amp;'Output annual'!$AC$2&amp;'Output annual'!$AD$2&amp;"*FangerPMV(Hourly)",'Eplus results'!$1:$1048576,ROW(),FALSE)</f>
        <v>0</v>
      </c>
      <c r="AD1640" s="580">
        <f t="shared" si="161"/>
        <v>5</v>
      </c>
      <c r="AE1640" s="580">
        <f t="shared" si="162"/>
        <v>2.5</v>
      </c>
      <c r="AF1640" s="580">
        <f t="shared" si="163"/>
        <v>2.5</v>
      </c>
      <c r="AG1640" s="580">
        <f t="shared" si="164"/>
        <v>0</v>
      </c>
      <c r="AH1640" s="580">
        <f t="shared" si="165"/>
        <v>0</v>
      </c>
    </row>
    <row r="1641" spans="28:34">
      <c r="AB1641" s="580">
        <f>HLOOKUP("*"&amp;'Output annual'!$AC$2&amp;'Output annual'!$AD$2&amp;"*Zone People Number Of Occupants [](Hourly)",'Eplus results'!$1:$1048576,ROW(),FALSE)</f>
        <v>0</v>
      </c>
      <c r="AC1641" s="580">
        <f>HLOOKUP("*"&amp;'Output annual'!$AC$2&amp;'Output annual'!$AD$2&amp;"*FangerPMV(Hourly)",'Eplus results'!$1:$1048576,ROW(),FALSE)</f>
        <v>0</v>
      </c>
      <c r="AD1641" s="580">
        <f t="shared" si="161"/>
        <v>5</v>
      </c>
      <c r="AE1641" s="580">
        <f t="shared" si="162"/>
        <v>2.5</v>
      </c>
      <c r="AF1641" s="580">
        <f t="shared" si="163"/>
        <v>2.5</v>
      </c>
      <c r="AG1641" s="580">
        <f t="shared" si="164"/>
        <v>0</v>
      </c>
      <c r="AH1641" s="580">
        <f t="shared" si="165"/>
        <v>0</v>
      </c>
    </row>
    <row r="1642" spans="28:34">
      <c r="AB1642" s="580">
        <f>HLOOKUP("*"&amp;'Output annual'!$AC$2&amp;'Output annual'!$AD$2&amp;"*Zone People Number Of Occupants [](Hourly)",'Eplus results'!$1:$1048576,ROW(),FALSE)</f>
        <v>0</v>
      </c>
      <c r="AC1642" s="580">
        <f>HLOOKUP("*"&amp;'Output annual'!$AC$2&amp;'Output annual'!$AD$2&amp;"*FangerPMV(Hourly)",'Eplus results'!$1:$1048576,ROW(),FALSE)</f>
        <v>0</v>
      </c>
      <c r="AD1642" s="580">
        <f t="shared" si="161"/>
        <v>5</v>
      </c>
      <c r="AE1642" s="580">
        <f t="shared" si="162"/>
        <v>2.5</v>
      </c>
      <c r="AF1642" s="580">
        <f t="shared" si="163"/>
        <v>2.5</v>
      </c>
      <c r="AG1642" s="580">
        <f t="shared" si="164"/>
        <v>0</v>
      </c>
      <c r="AH1642" s="580">
        <f t="shared" si="165"/>
        <v>0</v>
      </c>
    </row>
    <row r="1643" spans="28:34">
      <c r="AB1643" s="580">
        <f>HLOOKUP("*"&amp;'Output annual'!$AC$2&amp;'Output annual'!$AD$2&amp;"*Zone People Number Of Occupants [](Hourly)",'Eplus results'!$1:$1048576,ROW(),FALSE)</f>
        <v>0</v>
      </c>
      <c r="AC1643" s="580">
        <f>HLOOKUP("*"&amp;'Output annual'!$AC$2&amp;'Output annual'!$AD$2&amp;"*FangerPMV(Hourly)",'Eplus results'!$1:$1048576,ROW(),FALSE)</f>
        <v>0</v>
      </c>
      <c r="AD1643" s="580">
        <f t="shared" si="161"/>
        <v>5</v>
      </c>
      <c r="AE1643" s="580">
        <f t="shared" si="162"/>
        <v>2.5</v>
      </c>
      <c r="AF1643" s="580">
        <f t="shared" si="163"/>
        <v>2.5</v>
      </c>
      <c r="AG1643" s="580">
        <f t="shared" si="164"/>
        <v>0</v>
      </c>
      <c r="AH1643" s="580">
        <f t="shared" si="165"/>
        <v>0</v>
      </c>
    </row>
    <row r="1644" spans="28:34">
      <c r="AB1644" s="580">
        <f>HLOOKUP("*"&amp;'Output annual'!$AC$2&amp;'Output annual'!$AD$2&amp;"*Zone People Number Of Occupants [](Hourly)",'Eplus results'!$1:$1048576,ROW(),FALSE)</f>
        <v>0</v>
      </c>
      <c r="AC1644" s="580">
        <f>HLOOKUP("*"&amp;'Output annual'!$AC$2&amp;'Output annual'!$AD$2&amp;"*FangerPMV(Hourly)",'Eplus results'!$1:$1048576,ROW(),FALSE)</f>
        <v>0</v>
      </c>
      <c r="AD1644" s="580">
        <f t="shared" si="161"/>
        <v>5</v>
      </c>
      <c r="AE1644" s="580">
        <f t="shared" si="162"/>
        <v>2.5</v>
      </c>
      <c r="AF1644" s="580">
        <f t="shared" si="163"/>
        <v>2.5</v>
      </c>
      <c r="AG1644" s="580">
        <f t="shared" si="164"/>
        <v>0</v>
      </c>
      <c r="AH1644" s="580">
        <f t="shared" si="165"/>
        <v>0</v>
      </c>
    </row>
    <row r="1645" spans="28:34">
      <c r="AB1645" s="580">
        <f>HLOOKUP("*"&amp;'Output annual'!$AC$2&amp;'Output annual'!$AD$2&amp;"*Zone People Number Of Occupants [](Hourly)",'Eplus results'!$1:$1048576,ROW(),FALSE)</f>
        <v>0</v>
      </c>
      <c r="AC1645" s="580">
        <f>HLOOKUP("*"&amp;'Output annual'!$AC$2&amp;'Output annual'!$AD$2&amp;"*FangerPMV(Hourly)",'Eplus results'!$1:$1048576,ROW(),FALSE)</f>
        <v>0</v>
      </c>
      <c r="AD1645" s="580">
        <f t="shared" si="161"/>
        <v>5</v>
      </c>
      <c r="AE1645" s="580">
        <f t="shared" si="162"/>
        <v>2.5</v>
      </c>
      <c r="AF1645" s="580">
        <f t="shared" si="163"/>
        <v>2.5</v>
      </c>
      <c r="AG1645" s="580">
        <f t="shared" si="164"/>
        <v>0</v>
      </c>
      <c r="AH1645" s="580">
        <f t="shared" si="165"/>
        <v>0</v>
      </c>
    </row>
    <row r="1646" spans="28:34">
      <c r="AB1646" s="580">
        <f>HLOOKUP("*"&amp;'Output annual'!$AC$2&amp;'Output annual'!$AD$2&amp;"*Zone People Number Of Occupants [](Hourly)",'Eplus results'!$1:$1048576,ROW(),FALSE)</f>
        <v>0</v>
      </c>
      <c r="AC1646" s="580">
        <f>HLOOKUP("*"&amp;'Output annual'!$AC$2&amp;'Output annual'!$AD$2&amp;"*FangerPMV(Hourly)",'Eplus results'!$1:$1048576,ROW(),FALSE)</f>
        <v>0</v>
      </c>
      <c r="AD1646" s="580">
        <f t="shared" si="161"/>
        <v>5</v>
      </c>
      <c r="AE1646" s="580">
        <f t="shared" si="162"/>
        <v>2.5</v>
      </c>
      <c r="AF1646" s="580">
        <f t="shared" si="163"/>
        <v>2.5</v>
      </c>
      <c r="AG1646" s="580">
        <f t="shared" si="164"/>
        <v>0</v>
      </c>
      <c r="AH1646" s="580">
        <f t="shared" si="165"/>
        <v>0</v>
      </c>
    </row>
    <row r="1647" spans="28:34">
      <c r="AB1647" s="580">
        <f>HLOOKUP("*"&amp;'Output annual'!$AC$2&amp;'Output annual'!$AD$2&amp;"*Zone People Number Of Occupants [](Hourly)",'Eplus results'!$1:$1048576,ROW(),FALSE)</f>
        <v>0</v>
      </c>
      <c r="AC1647" s="580">
        <f>HLOOKUP("*"&amp;'Output annual'!$AC$2&amp;'Output annual'!$AD$2&amp;"*FangerPMV(Hourly)",'Eplus results'!$1:$1048576,ROW(),FALSE)</f>
        <v>0</v>
      </c>
      <c r="AD1647" s="580">
        <f t="shared" si="161"/>
        <v>5</v>
      </c>
      <c r="AE1647" s="580">
        <f t="shared" si="162"/>
        <v>2.5</v>
      </c>
      <c r="AF1647" s="580">
        <f t="shared" si="163"/>
        <v>2.5</v>
      </c>
      <c r="AG1647" s="580">
        <f t="shared" si="164"/>
        <v>0</v>
      </c>
      <c r="AH1647" s="580">
        <f t="shared" si="165"/>
        <v>0</v>
      </c>
    </row>
    <row r="1648" spans="28:34">
      <c r="AB1648" s="580">
        <f>HLOOKUP("*"&amp;'Output annual'!$AC$2&amp;'Output annual'!$AD$2&amp;"*Zone People Number Of Occupants [](Hourly)",'Eplus results'!$1:$1048576,ROW(),FALSE)</f>
        <v>0</v>
      </c>
      <c r="AC1648" s="580">
        <f>HLOOKUP("*"&amp;'Output annual'!$AC$2&amp;'Output annual'!$AD$2&amp;"*FangerPMV(Hourly)",'Eplus results'!$1:$1048576,ROW(),FALSE)</f>
        <v>0</v>
      </c>
      <c r="AD1648" s="580">
        <f t="shared" si="161"/>
        <v>5</v>
      </c>
      <c r="AE1648" s="580">
        <f t="shared" si="162"/>
        <v>2.5</v>
      </c>
      <c r="AF1648" s="580">
        <f t="shared" si="163"/>
        <v>2.5</v>
      </c>
      <c r="AG1648" s="580">
        <f t="shared" si="164"/>
        <v>0</v>
      </c>
      <c r="AH1648" s="580">
        <f t="shared" si="165"/>
        <v>0</v>
      </c>
    </row>
    <row r="1649" spans="28:34">
      <c r="AB1649" s="580">
        <f>HLOOKUP("*"&amp;'Output annual'!$AC$2&amp;'Output annual'!$AD$2&amp;"*Zone People Number Of Occupants [](Hourly)",'Eplus results'!$1:$1048576,ROW(),FALSE)</f>
        <v>0</v>
      </c>
      <c r="AC1649" s="580">
        <f>HLOOKUP("*"&amp;'Output annual'!$AC$2&amp;'Output annual'!$AD$2&amp;"*FangerPMV(Hourly)",'Eplus results'!$1:$1048576,ROW(),FALSE)</f>
        <v>0</v>
      </c>
      <c r="AD1649" s="580">
        <f t="shared" si="161"/>
        <v>5</v>
      </c>
      <c r="AE1649" s="580">
        <f t="shared" si="162"/>
        <v>2.5</v>
      </c>
      <c r="AF1649" s="580">
        <f t="shared" si="163"/>
        <v>2.5</v>
      </c>
      <c r="AG1649" s="580">
        <f t="shared" si="164"/>
        <v>0</v>
      </c>
      <c r="AH1649" s="580">
        <f t="shared" si="165"/>
        <v>0</v>
      </c>
    </row>
    <row r="1650" spans="28:34">
      <c r="AB1650" s="580">
        <f>HLOOKUP("*"&amp;'Output annual'!$AC$2&amp;'Output annual'!$AD$2&amp;"*Zone People Number Of Occupants [](Hourly)",'Eplus results'!$1:$1048576,ROW(),FALSE)</f>
        <v>0</v>
      </c>
      <c r="AC1650" s="580">
        <f>HLOOKUP("*"&amp;'Output annual'!$AC$2&amp;'Output annual'!$AD$2&amp;"*FangerPMV(Hourly)",'Eplus results'!$1:$1048576,ROW(),FALSE)</f>
        <v>0</v>
      </c>
      <c r="AD1650" s="580">
        <f t="shared" si="161"/>
        <v>5</v>
      </c>
      <c r="AE1650" s="580">
        <f t="shared" si="162"/>
        <v>2.5</v>
      </c>
      <c r="AF1650" s="580">
        <f t="shared" si="163"/>
        <v>2.5</v>
      </c>
      <c r="AG1650" s="580">
        <f t="shared" si="164"/>
        <v>0</v>
      </c>
      <c r="AH1650" s="580">
        <f t="shared" si="165"/>
        <v>0</v>
      </c>
    </row>
    <row r="1651" spans="28:34">
      <c r="AB1651" s="580">
        <f>HLOOKUP("*"&amp;'Output annual'!$AC$2&amp;'Output annual'!$AD$2&amp;"*Zone People Number Of Occupants [](Hourly)",'Eplus results'!$1:$1048576,ROW(),FALSE)</f>
        <v>0</v>
      </c>
      <c r="AC1651" s="580">
        <f>HLOOKUP("*"&amp;'Output annual'!$AC$2&amp;'Output annual'!$AD$2&amp;"*FangerPMV(Hourly)",'Eplus results'!$1:$1048576,ROW(),FALSE)</f>
        <v>0</v>
      </c>
      <c r="AD1651" s="580">
        <f t="shared" si="161"/>
        <v>5</v>
      </c>
      <c r="AE1651" s="580">
        <f t="shared" si="162"/>
        <v>2.5</v>
      </c>
      <c r="AF1651" s="580">
        <f t="shared" si="163"/>
        <v>2.5</v>
      </c>
      <c r="AG1651" s="580">
        <f t="shared" si="164"/>
        <v>0</v>
      </c>
      <c r="AH1651" s="580">
        <f t="shared" si="165"/>
        <v>0</v>
      </c>
    </row>
    <row r="1652" spans="28:34">
      <c r="AB1652" s="580">
        <f>HLOOKUP("*"&amp;'Output annual'!$AC$2&amp;'Output annual'!$AD$2&amp;"*Zone People Number Of Occupants [](Hourly)",'Eplus results'!$1:$1048576,ROW(),FALSE)</f>
        <v>0</v>
      </c>
      <c r="AC1652" s="580">
        <f>HLOOKUP("*"&amp;'Output annual'!$AC$2&amp;'Output annual'!$AD$2&amp;"*FangerPMV(Hourly)",'Eplus results'!$1:$1048576,ROW(),FALSE)</f>
        <v>0</v>
      </c>
      <c r="AD1652" s="580">
        <f t="shared" si="161"/>
        <v>5</v>
      </c>
      <c r="AE1652" s="580">
        <f t="shared" si="162"/>
        <v>2.5</v>
      </c>
      <c r="AF1652" s="580">
        <f t="shared" si="163"/>
        <v>2.5</v>
      </c>
      <c r="AG1652" s="580">
        <f t="shared" si="164"/>
        <v>0</v>
      </c>
      <c r="AH1652" s="580">
        <f t="shared" si="165"/>
        <v>0</v>
      </c>
    </row>
    <row r="1653" spans="28:34">
      <c r="AB1653" s="580">
        <f>HLOOKUP("*"&amp;'Output annual'!$AC$2&amp;'Output annual'!$AD$2&amp;"*Zone People Number Of Occupants [](Hourly)",'Eplus results'!$1:$1048576,ROW(),FALSE)</f>
        <v>0</v>
      </c>
      <c r="AC1653" s="580">
        <f>HLOOKUP("*"&amp;'Output annual'!$AC$2&amp;'Output annual'!$AD$2&amp;"*FangerPMV(Hourly)",'Eplus results'!$1:$1048576,ROW(),FALSE)</f>
        <v>0</v>
      </c>
      <c r="AD1653" s="580">
        <f t="shared" si="161"/>
        <v>5</v>
      </c>
      <c r="AE1653" s="580">
        <f t="shared" si="162"/>
        <v>2.5</v>
      </c>
      <c r="AF1653" s="580">
        <f t="shared" si="163"/>
        <v>2.5</v>
      </c>
      <c r="AG1653" s="580">
        <f t="shared" si="164"/>
        <v>0</v>
      </c>
      <c r="AH1653" s="580">
        <f t="shared" si="165"/>
        <v>0</v>
      </c>
    </row>
    <row r="1654" spans="28:34">
      <c r="AB1654" s="580">
        <f>HLOOKUP("*"&amp;'Output annual'!$AC$2&amp;'Output annual'!$AD$2&amp;"*Zone People Number Of Occupants [](Hourly)",'Eplus results'!$1:$1048576,ROW(),FALSE)</f>
        <v>0</v>
      </c>
      <c r="AC1654" s="580">
        <f>HLOOKUP("*"&amp;'Output annual'!$AC$2&amp;'Output annual'!$AD$2&amp;"*FangerPMV(Hourly)",'Eplus results'!$1:$1048576,ROW(),FALSE)</f>
        <v>0</v>
      </c>
      <c r="AD1654" s="580">
        <f t="shared" si="161"/>
        <v>5</v>
      </c>
      <c r="AE1654" s="580">
        <f t="shared" si="162"/>
        <v>2.5</v>
      </c>
      <c r="AF1654" s="580">
        <f t="shared" si="163"/>
        <v>2.5</v>
      </c>
      <c r="AG1654" s="580">
        <f t="shared" si="164"/>
        <v>0</v>
      </c>
      <c r="AH1654" s="580">
        <f t="shared" si="165"/>
        <v>0</v>
      </c>
    </row>
    <row r="1655" spans="28:34">
      <c r="AB1655" s="580">
        <f>HLOOKUP("*"&amp;'Output annual'!$AC$2&amp;'Output annual'!$AD$2&amp;"*Zone People Number Of Occupants [](Hourly)",'Eplus results'!$1:$1048576,ROW(),FALSE)</f>
        <v>0</v>
      </c>
      <c r="AC1655" s="580">
        <f>HLOOKUP("*"&amp;'Output annual'!$AC$2&amp;'Output annual'!$AD$2&amp;"*FangerPMV(Hourly)",'Eplus results'!$1:$1048576,ROW(),FALSE)</f>
        <v>0</v>
      </c>
      <c r="AD1655" s="580">
        <f t="shared" si="161"/>
        <v>5</v>
      </c>
      <c r="AE1655" s="580">
        <f t="shared" si="162"/>
        <v>2.5</v>
      </c>
      <c r="AF1655" s="580">
        <f t="shared" si="163"/>
        <v>2.5</v>
      </c>
      <c r="AG1655" s="580">
        <f t="shared" si="164"/>
        <v>0</v>
      </c>
      <c r="AH1655" s="580">
        <f t="shared" si="165"/>
        <v>0</v>
      </c>
    </row>
    <row r="1656" spans="28:34">
      <c r="AB1656" s="580">
        <f>HLOOKUP("*"&amp;'Output annual'!$AC$2&amp;'Output annual'!$AD$2&amp;"*Zone People Number Of Occupants [](Hourly)",'Eplus results'!$1:$1048576,ROW(),FALSE)</f>
        <v>0</v>
      </c>
      <c r="AC1656" s="580">
        <f>HLOOKUP("*"&amp;'Output annual'!$AC$2&amp;'Output annual'!$AD$2&amp;"*FangerPMV(Hourly)",'Eplus results'!$1:$1048576,ROW(),FALSE)</f>
        <v>0</v>
      </c>
      <c r="AD1656" s="580">
        <f t="shared" si="161"/>
        <v>5</v>
      </c>
      <c r="AE1656" s="580">
        <f t="shared" si="162"/>
        <v>2.5</v>
      </c>
      <c r="AF1656" s="580">
        <f t="shared" si="163"/>
        <v>2.5</v>
      </c>
      <c r="AG1656" s="580">
        <f t="shared" si="164"/>
        <v>0</v>
      </c>
      <c r="AH1656" s="580">
        <f t="shared" si="165"/>
        <v>0</v>
      </c>
    </row>
    <row r="1657" spans="28:34">
      <c r="AB1657" s="580">
        <f>HLOOKUP("*"&amp;'Output annual'!$AC$2&amp;'Output annual'!$AD$2&amp;"*Zone People Number Of Occupants [](Hourly)",'Eplus results'!$1:$1048576,ROW(),FALSE)</f>
        <v>0</v>
      </c>
      <c r="AC1657" s="580">
        <f>HLOOKUP("*"&amp;'Output annual'!$AC$2&amp;'Output annual'!$AD$2&amp;"*FangerPMV(Hourly)",'Eplus results'!$1:$1048576,ROW(),FALSE)</f>
        <v>0</v>
      </c>
      <c r="AD1657" s="580">
        <f t="shared" si="161"/>
        <v>5</v>
      </c>
      <c r="AE1657" s="580">
        <f t="shared" si="162"/>
        <v>2.5</v>
      </c>
      <c r="AF1657" s="580">
        <f t="shared" si="163"/>
        <v>2.5</v>
      </c>
      <c r="AG1657" s="580">
        <f t="shared" si="164"/>
        <v>0</v>
      </c>
      <c r="AH1657" s="580">
        <f t="shared" si="165"/>
        <v>0</v>
      </c>
    </row>
    <row r="1658" spans="28:34">
      <c r="AB1658" s="580">
        <f>HLOOKUP("*"&amp;'Output annual'!$AC$2&amp;'Output annual'!$AD$2&amp;"*Zone People Number Of Occupants [](Hourly)",'Eplus results'!$1:$1048576,ROW(),FALSE)</f>
        <v>0</v>
      </c>
      <c r="AC1658" s="580">
        <f>HLOOKUP("*"&amp;'Output annual'!$AC$2&amp;'Output annual'!$AD$2&amp;"*FangerPMV(Hourly)",'Eplus results'!$1:$1048576,ROW(),FALSE)</f>
        <v>0</v>
      </c>
      <c r="AD1658" s="580">
        <f t="shared" si="161"/>
        <v>5</v>
      </c>
      <c r="AE1658" s="580">
        <f t="shared" si="162"/>
        <v>2.5</v>
      </c>
      <c r="AF1658" s="580">
        <f t="shared" si="163"/>
        <v>2.5</v>
      </c>
      <c r="AG1658" s="580">
        <f t="shared" si="164"/>
        <v>0</v>
      </c>
      <c r="AH1658" s="580">
        <f t="shared" si="165"/>
        <v>0</v>
      </c>
    </row>
    <row r="1659" spans="28:34">
      <c r="AB1659" s="580">
        <f>HLOOKUP("*"&amp;'Output annual'!$AC$2&amp;'Output annual'!$AD$2&amp;"*Zone People Number Of Occupants [](Hourly)",'Eplus results'!$1:$1048576,ROW(),FALSE)</f>
        <v>0</v>
      </c>
      <c r="AC1659" s="580">
        <f>HLOOKUP("*"&amp;'Output annual'!$AC$2&amp;'Output annual'!$AD$2&amp;"*FangerPMV(Hourly)",'Eplus results'!$1:$1048576,ROW(),FALSE)</f>
        <v>0</v>
      </c>
      <c r="AD1659" s="580">
        <f t="shared" si="161"/>
        <v>5</v>
      </c>
      <c r="AE1659" s="580">
        <f t="shared" si="162"/>
        <v>2.5</v>
      </c>
      <c r="AF1659" s="580">
        <f t="shared" si="163"/>
        <v>2.5</v>
      </c>
      <c r="AG1659" s="580">
        <f t="shared" si="164"/>
        <v>0</v>
      </c>
      <c r="AH1659" s="580">
        <f t="shared" si="165"/>
        <v>0</v>
      </c>
    </row>
    <row r="1660" spans="28:34">
      <c r="AB1660" s="580">
        <f>HLOOKUP("*"&amp;'Output annual'!$AC$2&amp;'Output annual'!$AD$2&amp;"*Zone People Number Of Occupants [](Hourly)",'Eplus results'!$1:$1048576,ROW(),FALSE)</f>
        <v>0</v>
      </c>
      <c r="AC1660" s="580">
        <f>HLOOKUP("*"&amp;'Output annual'!$AC$2&amp;'Output annual'!$AD$2&amp;"*FangerPMV(Hourly)",'Eplus results'!$1:$1048576,ROW(),FALSE)</f>
        <v>0</v>
      </c>
      <c r="AD1660" s="580">
        <f t="shared" si="161"/>
        <v>5</v>
      </c>
      <c r="AE1660" s="580">
        <f t="shared" si="162"/>
        <v>2.5</v>
      </c>
      <c r="AF1660" s="580">
        <f t="shared" si="163"/>
        <v>2.5</v>
      </c>
      <c r="AG1660" s="580">
        <f t="shared" si="164"/>
        <v>0</v>
      </c>
      <c r="AH1660" s="580">
        <f t="shared" si="165"/>
        <v>0</v>
      </c>
    </row>
    <row r="1661" spans="28:34">
      <c r="AB1661" s="580">
        <f>HLOOKUP("*"&amp;'Output annual'!$AC$2&amp;'Output annual'!$AD$2&amp;"*Zone People Number Of Occupants [](Hourly)",'Eplus results'!$1:$1048576,ROW(),FALSE)</f>
        <v>0</v>
      </c>
      <c r="AC1661" s="580">
        <f>HLOOKUP("*"&amp;'Output annual'!$AC$2&amp;'Output annual'!$AD$2&amp;"*FangerPMV(Hourly)",'Eplus results'!$1:$1048576,ROW(),FALSE)</f>
        <v>0</v>
      </c>
      <c r="AD1661" s="580">
        <f t="shared" si="161"/>
        <v>5</v>
      </c>
      <c r="AE1661" s="580">
        <f t="shared" si="162"/>
        <v>2.5</v>
      </c>
      <c r="AF1661" s="580">
        <f t="shared" si="163"/>
        <v>2.5</v>
      </c>
      <c r="AG1661" s="580">
        <f t="shared" si="164"/>
        <v>0</v>
      </c>
      <c r="AH1661" s="580">
        <f t="shared" si="165"/>
        <v>0</v>
      </c>
    </row>
    <row r="1662" spans="28:34">
      <c r="AB1662" s="580">
        <f>HLOOKUP("*"&amp;'Output annual'!$AC$2&amp;'Output annual'!$AD$2&amp;"*Zone People Number Of Occupants [](Hourly)",'Eplus results'!$1:$1048576,ROW(),FALSE)</f>
        <v>0</v>
      </c>
      <c r="AC1662" s="580">
        <f>HLOOKUP("*"&amp;'Output annual'!$AC$2&amp;'Output annual'!$AD$2&amp;"*FangerPMV(Hourly)",'Eplus results'!$1:$1048576,ROW(),FALSE)</f>
        <v>0</v>
      </c>
      <c r="AD1662" s="580">
        <f t="shared" si="161"/>
        <v>5</v>
      </c>
      <c r="AE1662" s="580">
        <f t="shared" si="162"/>
        <v>2.5</v>
      </c>
      <c r="AF1662" s="580">
        <f t="shared" si="163"/>
        <v>2.5</v>
      </c>
      <c r="AG1662" s="580">
        <f t="shared" si="164"/>
        <v>0</v>
      </c>
      <c r="AH1662" s="580">
        <f t="shared" si="165"/>
        <v>0</v>
      </c>
    </row>
    <row r="1663" spans="28:34">
      <c r="AB1663" s="580">
        <f>HLOOKUP("*"&amp;'Output annual'!$AC$2&amp;'Output annual'!$AD$2&amp;"*Zone People Number Of Occupants [](Hourly)",'Eplus results'!$1:$1048576,ROW(),FALSE)</f>
        <v>0</v>
      </c>
      <c r="AC1663" s="580">
        <f>HLOOKUP("*"&amp;'Output annual'!$AC$2&amp;'Output annual'!$AD$2&amp;"*FangerPMV(Hourly)",'Eplus results'!$1:$1048576,ROW(),FALSE)</f>
        <v>0</v>
      </c>
      <c r="AD1663" s="580">
        <f t="shared" si="161"/>
        <v>5</v>
      </c>
      <c r="AE1663" s="580">
        <f t="shared" si="162"/>
        <v>2.5</v>
      </c>
      <c r="AF1663" s="580">
        <f t="shared" si="163"/>
        <v>2.5</v>
      </c>
      <c r="AG1663" s="580">
        <f t="shared" si="164"/>
        <v>0</v>
      </c>
      <c r="AH1663" s="580">
        <f t="shared" si="165"/>
        <v>0</v>
      </c>
    </row>
    <row r="1664" spans="28:34">
      <c r="AB1664" s="580">
        <f>HLOOKUP("*"&amp;'Output annual'!$AC$2&amp;'Output annual'!$AD$2&amp;"*Zone People Number Of Occupants [](Hourly)",'Eplus results'!$1:$1048576,ROW(),FALSE)</f>
        <v>0</v>
      </c>
      <c r="AC1664" s="580">
        <f>HLOOKUP("*"&amp;'Output annual'!$AC$2&amp;'Output annual'!$AD$2&amp;"*FangerPMV(Hourly)",'Eplus results'!$1:$1048576,ROW(),FALSE)</f>
        <v>0</v>
      </c>
      <c r="AD1664" s="580">
        <f t="shared" si="161"/>
        <v>5</v>
      </c>
      <c r="AE1664" s="580">
        <f t="shared" si="162"/>
        <v>2.5</v>
      </c>
      <c r="AF1664" s="580">
        <f t="shared" si="163"/>
        <v>2.5</v>
      </c>
      <c r="AG1664" s="580">
        <f t="shared" si="164"/>
        <v>0</v>
      </c>
      <c r="AH1664" s="580">
        <f t="shared" si="165"/>
        <v>0</v>
      </c>
    </row>
    <row r="1665" spans="28:34">
      <c r="AB1665" s="580">
        <f>HLOOKUP("*"&amp;'Output annual'!$AC$2&amp;'Output annual'!$AD$2&amp;"*Zone People Number Of Occupants [](Hourly)",'Eplus results'!$1:$1048576,ROW(),FALSE)</f>
        <v>0</v>
      </c>
      <c r="AC1665" s="580">
        <f>HLOOKUP("*"&amp;'Output annual'!$AC$2&amp;'Output annual'!$AD$2&amp;"*FangerPMV(Hourly)",'Eplus results'!$1:$1048576,ROW(),FALSE)</f>
        <v>0</v>
      </c>
      <c r="AD1665" s="580">
        <f t="shared" si="161"/>
        <v>5</v>
      </c>
      <c r="AE1665" s="580">
        <f t="shared" si="162"/>
        <v>2.5</v>
      </c>
      <c r="AF1665" s="580">
        <f t="shared" si="163"/>
        <v>2.5</v>
      </c>
      <c r="AG1665" s="580">
        <f t="shared" si="164"/>
        <v>0</v>
      </c>
      <c r="AH1665" s="580">
        <f t="shared" si="165"/>
        <v>0</v>
      </c>
    </row>
    <row r="1666" spans="28:34">
      <c r="AB1666" s="580">
        <f>HLOOKUP("*"&amp;'Output annual'!$AC$2&amp;'Output annual'!$AD$2&amp;"*Zone People Number Of Occupants [](Hourly)",'Eplus results'!$1:$1048576,ROW(),FALSE)</f>
        <v>0</v>
      </c>
      <c r="AC1666" s="580">
        <f>HLOOKUP("*"&amp;'Output annual'!$AC$2&amp;'Output annual'!$AD$2&amp;"*FangerPMV(Hourly)",'Eplus results'!$1:$1048576,ROW(),FALSE)</f>
        <v>0</v>
      </c>
      <c r="AD1666" s="580">
        <f t="shared" si="161"/>
        <v>5</v>
      </c>
      <c r="AE1666" s="580">
        <f t="shared" si="162"/>
        <v>2.5</v>
      </c>
      <c r="AF1666" s="580">
        <f t="shared" si="163"/>
        <v>2.5</v>
      </c>
      <c r="AG1666" s="580">
        <f t="shared" si="164"/>
        <v>0</v>
      </c>
      <c r="AH1666" s="580">
        <f t="shared" si="165"/>
        <v>0</v>
      </c>
    </row>
    <row r="1667" spans="28:34">
      <c r="AB1667" s="580">
        <f>HLOOKUP("*"&amp;'Output annual'!$AC$2&amp;'Output annual'!$AD$2&amp;"*Zone People Number Of Occupants [](Hourly)",'Eplus results'!$1:$1048576,ROW(),FALSE)</f>
        <v>0</v>
      </c>
      <c r="AC1667" s="580">
        <f>HLOOKUP("*"&amp;'Output annual'!$AC$2&amp;'Output annual'!$AD$2&amp;"*FangerPMV(Hourly)",'Eplus results'!$1:$1048576,ROW(),FALSE)</f>
        <v>0</v>
      </c>
      <c r="AD1667" s="580">
        <f t="shared" ref="AD1667:AD1730" si="166">100-95*EXP(-0.03353*AC1667^4-0.2179*AC1667^2)</f>
        <v>5</v>
      </c>
      <c r="AE1667" s="580">
        <f t="shared" ref="AE1667:AE1730" si="167">AD1667*(1/(1+EXP(-6.3*$AC1667)))</f>
        <v>2.5</v>
      </c>
      <c r="AF1667" s="580">
        <f t="shared" ref="AF1667:AF1730" si="168">(AD1667-AE1667)</f>
        <v>2.5</v>
      </c>
      <c r="AG1667" s="580">
        <f t="shared" ref="AG1667:AG1730" si="169">AE1667*AB1667</f>
        <v>0</v>
      </c>
      <c r="AH1667" s="580">
        <f t="shared" ref="AH1667:AH1730" si="170">AF1667*AB1667</f>
        <v>0</v>
      </c>
    </row>
    <row r="1668" spans="28:34">
      <c r="AB1668" s="580">
        <f>HLOOKUP("*"&amp;'Output annual'!$AC$2&amp;'Output annual'!$AD$2&amp;"*Zone People Number Of Occupants [](Hourly)",'Eplus results'!$1:$1048576,ROW(),FALSE)</f>
        <v>0</v>
      </c>
      <c r="AC1668" s="580">
        <f>HLOOKUP("*"&amp;'Output annual'!$AC$2&amp;'Output annual'!$AD$2&amp;"*FangerPMV(Hourly)",'Eplus results'!$1:$1048576,ROW(),FALSE)</f>
        <v>0</v>
      </c>
      <c r="AD1668" s="580">
        <f t="shared" si="166"/>
        <v>5</v>
      </c>
      <c r="AE1668" s="580">
        <f t="shared" si="167"/>
        <v>2.5</v>
      </c>
      <c r="AF1668" s="580">
        <f t="shared" si="168"/>
        <v>2.5</v>
      </c>
      <c r="AG1668" s="580">
        <f t="shared" si="169"/>
        <v>0</v>
      </c>
      <c r="AH1668" s="580">
        <f t="shared" si="170"/>
        <v>0</v>
      </c>
    </row>
    <row r="1669" spans="28:34">
      <c r="AB1669" s="580">
        <f>HLOOKUP("*"&amp;'Output annual'!$AC$2&amp;'Output annual'!$AD$2&amp;"*Zone People Number Of Occupants [](Hourly)",'Eplus results'!$1:$1048576,ROW(),FALSE)</f>
        <v>0</v>
      </c>
      <c r="AC1669" s="580">
        <f>HLOOKUP("*"&amp;'Output annual'!$AC$2&amp;'Output annual'!$AD$2&amp;"*FangerPMV(Hourly)",'Eplus results'!$1:$1048576,ROW(),FALSE)</f>
        <v>0</v>
      </c>
      <c r="AD1669" s="580">
        <f t="shared" si="166"/>
        <v>5</v>
      </c>
      <c r="AE1669" s="580">
        <f t="shared" si="167"/>
        <v>2.5</v>
      </c>
      <c r="AF1669" s="580">
        <f t="shared" si="168"/>
        <v>2.5</v>
      </c>
      <c r="AG1669" s="580">
        <f t="shared" si="169"/>
        <v>0</v>
      </c>
      <c r="AH1669" s="580">
        <f t="shared" si="170"/>
        <v>0</v>
      </c>
    </row>
    <row r="1670" spans="28:34">
      <c r="AB1670" s="580">
        <f>HLOOKUP("*"&amp;'Output annual'!$AC$2&amp;'Output annual'!$AD$2&amp;"*Zone People Number Of Occupants [](Hourly)",'Eplus results'!$1:$1048576,ROW(),FALSE)</f>
        <v>0</v>
      </c>
      <c r="AC1670" s="580">
        <f>HLOOKUP("*"&amp;'Output annual'!$AC$2&amp;'Output annual'!$AD$2&amp;"*FangerPMV(Hourly)",'Eplus results'!$1:$1048576,ROW(),FALSE)</f>
        <v>0</v>
      </c>
      <c r="AD1670" s="580">
        <f t="shared" si="166"/>
        <v>5</v>
      </c>
      <c r="AE1670" s="580">
        <f t="shared" si="167"/>
        <v>2.5</v>
      </c>
      <c r="AF1670" s="580">
        <f t="shared" si="168"/>
        <v>2.5</v>
      </c>
      <c r="AG1670" s="580">
        <f t="shared" si="169"/>
        <v>0</v>
      </c>
      <c r="AH1670" s="580">
        <f t="shared" si="170"/>
        <v>0</v>
      </c>
    </row>
    <row r="1671" spans="28:34">
      <c r="AB1671" s="580">
        <f>HLOOKUP("*"&amp;'Output annual'!$AC$2&amp;'Output annual'!$AD$2&amp;"*Zone People Number Of Occupants [](Hourly)",'Eplus results'!$1:$1048576,ROW(),FALSE)</f>
        <v>0</v>
      </c>
      <c r="AC1671" s="580">
        <f>HLOOKUP("*"&amp;'Output annual'!$AC$2&amp;'Output annual'!$AD$2&amp;"*FangerPMV(Hourly)",'Eplus results'!$1:$1048576,ROW(),FALSE)</f>
        <v>0</v>
      </c>
      <c r="AD1671" s="580">
        <f t="shared" si="166"/>
        <v>5</v>
      </c>
      <c r="AE1671" s="580">
        <f t="shared" si="167"/>
        <v>2.5</v>
      </c>
      <c r="AF1671" s="580">
        <f t="shared" si="168"/>
        <v>2.5</v>
      </c>
      <c r="AG1671" s="580">
        <f t="shared" si="169"/>
        <v>0</v>
      </c>
      <c r="AH1671" s="580">
        <f t="shared" si="170"/>
        <v>0</v>
      </c>
    </row>
    <row r="1672" spans="28:34">
      <c r="AB1672" s="580">
        <f>HLOOKUP("*"&amp;'Output annual'!$AC$2&amp;'Output annual'!$AD$2&amp;"*Zone People Number Of Occupants [](Hourly)",'Eplus results'!$1:$1048576,ROW(),FALSE)</f>
        <v>0</v>
      </c>
      <c r="AC1672" s="580">
        <f>HLOOKUP("*"&amp;'Output annual'!$AC$2&amp;'Output annual'!$AD$2&amp;"*FangerPMV(Hourly)",'Eplus results'!$1:$1048576,ROW(),FALSE)</f>
        <v>0</v>
      </c>
      <c r="AD1672" s="580">
        <f t="shared" si="166"/>
        <v>5</v>
      </c>
      <c r="AE1672" s="580">
        <f t="shared" si="167"/>
        <v>2.5</v>
      </c>
      <c r="AF1672" s="580">
        <f t="shared" si="168"/>
        <v>2.5</v>
      </c>
      <c r="AG1672" s="580">
        <f t="shared" si="169"/>
        <v>0</v>
      </c>
      <c r="AH1672" s="580">
        <f t="shared" si="170"/>
        <v>0</v>
      </c>
    </row>
    <row r="1673" spans="28:34">
      <c r="AB1673" s="580">
        <f>HLOOKUP("*"&amp;'Output annual'!$AC$2&amp;'Output annual'!$AD$2&amp;"*Zone People Number Of Occupants [](Hourly)",'Eplus results'!$1:$1048576,ROW(),FALSE)</f>
        <v>0</v>
      </c>
      <c r="AC1673" s="580">
        <f>HLOOKUP("*"&amp;'Output annual'!$AC$2&amp;'Output annual'!$AD$2&amp;"*FangerPMV(Hourly)",'Eplus results'!$1:$1048576,ROW(),FALSE)</f>
        <v>0</v>
      </c>
      <c r="AD1673" s="580">
        <f t="shared" si="166"/>
        <v>5</v>
      </c>
      <c r="AE1673" s="580">
        <f t="shared" si="167"/>
        <v>2.5</v>
      </c>
      <c r="AF1673" s="580">
        <f t="shared" si="168"/>
        <v>2.5</v>
      </c>
      <c r="AG1673" s="580">
        <f t="shared" si="169"/>
        <v>0</v>
      </c>
      <c r="AH1673" s="580">
        <f t="shared" si="170"/>
        <v>0</v>
      </c>
    </row>
    <row r="1674" spans="28:34">
      <c r="AB1674" s="580">
        <f>HLOOKUP("*"&amp;'Output annual'!$AC$2&amp;'Output annual'!$AD$2&amp;"*Zone People Number Of Occupants [](Hourly)",'Eplus results'!$1:$1048576,ROW(),FALSE)</f>
        <v>0</v>
      </c>
      <c r="AC1674" s="580">
        <f>HLOOKUP("*"&amp;'Output annual'!$AC$2&amp;'Output annual'!$AD$2&amp;"*FangerPMV(Hourly)",'Eplus results'!$1:$1048576,ROW(),FALSE)</f>
        <v>0</v>
      </c>
      <c r="AD1674" s="580">
        <f t="shared" si="166"/>
        <v>5</v>
      </c>
      <c r="AE1674" s="580">
        <f t="shared" si="167"/>
        <v>2.5</v>
      </c>
      <c r="AF1674" s="580">
        <f t="shared" si="168"/>
        <v>2.5</v>
      </c>
      <c r="AG1674" s="580">
        <f t="shared" si="169"/>
        <v>0</v>
      </c>
      <c r="AH1674" s="580">
        <f t="shared" si="170"/>
        <v>0</v>
      </c>
    </row>
    <row r="1675" spans="28:34">
      <c r="AB1675" s="580">
        <f>HLOOKUP("*"&amp;'Output annual'!$AC$2&amp;'Output annual'!$AD$2&amp;"*Zone People Number Of Occupants [](Hourly)",'Eplus results'!$1:$1048576,ROW(),FALSE)</f>
        <v>0</v>
      </c>
      <c r="AC1675" s="580">
        <f>HLOOKUP("*"&amp;'Output annual'!$AC$2&amp;'Output annual'!$AD$2&amp;"*FangerPMV(Hourly)",'Eplus results'!$1:$1048576,ROW(),FALSE)</f>
        <v>0</v>
      </c>
      <c r="AD1675" s="580">
        <f t="shared" si="166"/>
        <v>5</v>
      </c>
      <c r="AE1675" s="580">
        <f t="shared" si="167"/>
        <v>2.5</v>
      </c>
      <c r="AF1675" s="580">
        <f t="shared" si="168"/>
        <v>2.5</v>
      </c>
      <c r="AG1675" s="580">
        <f t="shared" si="169"/>
        <v>0</v>
      </c>
      <c r="AH1675" s="580">
        <f t="shared" si="170"/>
        <v>0</v>
      </c>
    </row>
    <row r="1676" spans="28:34">
      <c r="AB1676" s="580">
        <f>HLOOKUP("*"&amp;'Output annual'!$AC$2&amp;'Output annual'!$AD$2&amp;"*Zone People Number Of Occupants [](Hourly)",'Eplus results'!$1:$1048576,ROW(),FALSE)</f>
        <v>0</v>
      </c>
      <c r="AC1676" s="580">
        <f>HLOOKUP("*"&amp;'Output annual'!$AC$2&amp;'Output annual'!$AD$2&amp;"*FangerPMV(Hourly)",'Eplus results'!$1:$1048576,ROW(),FALSE)</f>
        <v>0</v>
      </c>
      <c r="AD1676" s="580">
        <f t="shared" si="166"/>
        <v>5</v>
      </c>
      <c r="AE1676" s="580">
        <f t="shared" si="167"/>
        <v>2.5</v>
      </c>
      <c r="AF1676" s="580">
        <f t="shared" si="168"/>
        <v>2.5</v>
      </c>
      <c r="AG1676" s="580">
        <f t="shared" si="169"/>
        <v>0</v>
      </c>
      <c r="AH1676" s="580">
        <f t="shared" si="170"/>
        <v>0</v>
      </c>
    </row>
    <row r="1677" spans="28:34">
      <c r="AB1677" s="580">
        <f>HLOOKUP("*"&amp;'Output annual'!$AC$2&amp;'Output annual'!$AD$2&amp;"*Zone People Number Of Occupants [](Hourly)",'Eplus results'!$1:$1048576,ROW(),FALSE)</f>
        <v>0</v>
      </c>
      <c r="AC1677" s="580">
        <f>HLOOKUP("*"&amp;'Output annual'!$AC$2&amp;'Output annual'!$AD$2&amp;"*FangerPMV(Hourly)",'Eplus results'!$1:$1048576,ROW(),FALSE)</f>
        <v>0</v>
      </c>
      <c r="AD1677" s="580">
        <f t="shared" si="166"/>
        <v>5</v>
      </c>
      <c r="AE1677" s="580">
        <f t="shared" si="167"/>
        <v>2.5</v>
      </c>
      <c r="AF1677" s="580">
        <f t="shared" si="168"/>
        <v>2.5</v>
      </c>
      <c r="AG1677" s="580">
        <f t="shared" si="169"/>
        <v>0</v>
      </c>
      <c r="AH1677" s="580">
        <f t="shared" si="170"/>
        <v>0</v>
      </c>
    </row>
    <row r="1678" spans="28:34">
      <c r="AB1678" s="580">
        <f>HLOOKUP("*"&amp;'Output annual'!$AC$2&amp;'Output annual'!$AD$2&amp;"*Zone People Number Of Occupants [](Hourly)",'Eplus results'!$1:$1048576,ROW(),FALSE)</f>
        <v>0</v>
      </c>
      <c r="AC1678" s="580">
        <f>HLOOKUP("*"&amp;'Output annual'!$AC$2&amp;'Output annual'!$AD$2&amp;"*FangerPMV(Hourly)",'Eplus results'!$1:$1048576,ROW(),FALSE)</f>
        <v>0</v>
      </c>
      <c r="AD1678" s="580">
        <f t="shared" si="166"/>
        <v>5</v>
      </c>
      <c r="AE1678" s="580">
        <f t="shared" si="167"/>
        <v>2.5</v>
      </c>
      <c r="AF1678" s="580">
        <f t="shared" si="168"/>
        <v>2.5</v>
      </c>
      <c r="AG1678" s="580">
        <f t="shared" si="169"/>
        <v>0</v>
      </c>
      <c r="AH1678" s="580">
        <f t="shared" si="170"/>
        <v>0</v>
      </c>
    </row>
    <row r="1679" spans="28:34">
      <c r="AB1679" s="580">
        <f>HLOOKUP("*"&amp;'Output annual'!$AC$2&amp;'Output annual'!$AD$2&amp;"*Zone People Number Of Occupants [](Hourly)",'Eplus results'!$1:$1048576,ROW(),FALSE)</f>
        <v>0</v>
      </c>
      <c r="AC1679" s="580">
        <f>HLOOKUP("*"&amp;'Output annual'!$AC$2&amp;'Output annual'!$AD$2&amp;"*FangerPMV(Hourly)",'Eplus results'!$1:$1048576,ROW(),FALSE)</f>
        <v>0</v>
      </c>
      <c r="AD1679" s="580">
        <f t="shared" si="166"/>
        <v>5</v>
      </c>
      <c r="AE1679" s="580">
        <f t="shared" si="167"/>
        <v>2.5</v>
      </c>
      <c r="AF1679" s="580">
        <f t="shared" si="168"/>
        <v>2.5</v>
      </c>
      <c r="AG1679" s="580">
        <f t="shared" si="169"/>
        <v>0</v>
      </c>
      <c r="AH1679" s="580">
        <f t="shared" si="170"/>
        <v>0</v>
      </c>
    </row>
    <row r="1680" spans="28:34">
      <c r="AB1680" s="580">
        <f>HLOOKUP("*"&amp;'Output annual'!$AC$2&amp;'Output annual'!$AD$2&amp;"*Zone People Number Of Occupants [](Hourly)",'Eplus results'!$1:$1048576,ROW(),FALSE)</f>
        <v>0</v>
      </c>
      <c r="AC1680" s="580">
        <f>HLOOKUP("*"&amp;'Output annual'!$AC$2&amp;'Output annual'!$AD$2&amp;"*FangerPMV(Hourly)",'Eplus results'!$1:$1048576,ROW(),FALSE)</f>
        <v>0</v>
      </c>
      <c r="AD1680" s="580">
        <f t="shared" si="166"/>
        <v>5</v>
      </c>
      <c r="AE1680" s="580">
        <f t="shared" si="167"/>
        <v>2.5</v>
      </c>
      <c r="AF1680" s="580">
        <f t="shared" si="168"/>
        <v>2.5</v>
      </c>
      <c r="AG1680" s="580">
        <f t="shared" si="169"/>
        <v>0</v>
      </c>
      <c r="AH1680" s="580">
        <f t="shared" si="170"/>
        <v>0</v>
      </c>
    </row>
    <row r="1681" spans="28:34">
      <c r="AB1681" s="580">
        <f>HLOOKUP("*"&amp;'Output annual'!$AC$2&amp;'Output annual'!$AD$2&amp;"*Zone People Number Of Occupants [](Hourly)",'Eplus results'!$1:$1048576,ROW(),FALSE)</f>
        <v>0</v>
      </c>
      <c r="AC1681" s="580">
        <f>HLOOKUP("*"&amp;'Output annual'!$AC$2&amp;'Output annual'!$AD$2&amp;"*FangerPMV(Hourly)",'Eplus results'!$1:$1048576,ROW(),FALSE)</f>
        <v>0</v>
      </c>
      <c r="AD1681" s="580">
        <f t="shared" si="166"/>
        <v>5</v>
      </c>
      <c r="AE1681" s="580">
        <f t="shared" si="167"/>
        <v>2.5</v>
      </c>
      <c r="AF1681" s="580">
        <f t="shared" si="168"/>
        <v>2.5</v>
      </c>
      <c r="AG1681" s="580">
        <f t="shared" si="169"/>
        <v>0</v>
      </c>
      <c r="AH1681" s="580">
        <f t="shared" si="170"/>
        <v>0</v>
      </c>
    </row>
    <row r="1682" spans="28:34">
      <c r="AB1682" s="580">
        <f>HLOOKUP("*"&amp;'Output annual'!$AC$2&amp;'Output annual'!$AD$2&amp;"*Zone People Number Of Occupants [](Hourly)",'Eplus results'!$1:$1048576,ROW(),FALSE)</f>
        <v>0</v>
      </c>
      <c r="AC1682" s="580">
        <f>HLOOKUP("*"&amp;'Output annual'!$AC$2&amp;'Output annual'!$AD$2&amp;"*FangerPMV(Hourly)",'Eplus results'!$1:$1048576,ROW(),FALSE)</f>
        <v>0</v>
      </c>
      <c r="AD1682" s="580">
        <f t="shared" si="166"/>
        <v>5</v>
      </c>
      <c r="AE1682" s="580">
        <f t="shared" si="167"/>
        <v>2.5</v>
      </c>
      <c r="AF1682" s="580">
        <f t="shared" si="168"/>
        <v>2.5</v>
      </c>
      <c r="AG1682" s="580">
        <f t="shared" si="169"/>
        <v>0</v>
      </c>
      <c r="AH1682" s="580">
        <f t="shared" si="170"/>
        <v>0</v>
      </c>
    </row>
    <row r="1683" spans="28:34">
      <c r="AB1683" s="580">
        <f>HLOOKUP("*"&amp;'Output annual'!$AC$2&amp;'Output annual'!$AD$2&amp;"*Zone People Number Of Occupants [](Hourly)",'Eplus results'!$1:$1048576,ROW(),FALSE)</f>
        <v>0</v>
      </c>
      <c r="AC1683" s="580">
        <f>HLOOKUP("*"&amp;'Output annual'!$AC$2&amp;'Output annual'!$AD$2&amp;"*FangerPMV(Hourly)",'Eplus results'!$1:$1048576,ROW(),FALSE)</f>
        <v>0</v>
      </c>
      <c r="AD1683" s="580">
        <f t="shared" si="166"/>
        <v>5</v>
      </c>
      <c r="AE1683" s="580">
        <f t="shared" si="167"/>
        <v>2.5</v>
      </c>
      <c r="AF1683" s="580">
        <f t="shared" si="168"/>
        <v>2.5</v>
      </c>
      <c r="AG1683" s="580">
        <f t="shared" si="169"/>
        <v>0</v>
      </c>
      <c r="AH1683" s="580">
        <f t="shared" si="170"/>
        <v>0</v>
      </c>
    </row>
    <row r="1684" spans="28:34">
      <c r="AB1684" s="580">
        <f>HLOOKUP("*"&amp;'Output annual'!$AC$2&amp;'Output annual'!$AD$2&amp;"*Zone People Number Of Occupants [](Hourly)",'Eplus results'!$1:$1048576,ROW(),FALSE)</f>
        <v>0</v>
      </c>
      <c r="AC1684" s="580">
        <f>HLOOKUP("*"&amp;'Output annual'!$AC$2&amp;'Output annual'!$AD$2&amp;"*FangerPMV(Hourly)",'Eplus results'!$1:$1048576,ROW(),FALSE)</f>
        <v>0</v>
      </c>
      <c r="AD1684" s="580">
        <f t="shared" si="166"/>
        <v>5</v>
      </c>
      <c r="AE1684" s="580">
        <f t="shared" si="167"/>
        <v>2.5</v>
      </c>
      <c r="AF1684" s="580">
        <f t="shared" si="168"/>
        <v>2.5</v>
      </c>
      <c r="AG1684" s="580">
        <f t="shared" si="169"/>
        <v>0</v>
      </c>
      <c r="AH1684" s="580">
        <f t="shared" si="170"/>
        <v>0</v>
      </c>
    </row>
    <row r="1685" spans="28:34">
      <c r="AB1685" s="580">
        <f>HLOOKUP("*"&amp;'Output annual'!$AC$2&amp;'Output annual'!$AD$2&amp;"*Zone People Number Of Occupants [](Hourly)",'Eplus results'!$1:$1048576,ROW(),FALSE)</f>
        <v>0</v>
      </c>
      <c r="AC1685" s="580">
        <f>HLOOKUP("*"&amp;'Output annual'!$AC$2&amp;'Output annual'!$AD$2&amp;"*FangerPMV(Hourly)",'Eplus results'!$1:$1048576,ROW(),FALSE)</f>
        <v>0</v>
      </c>
      <c r="AD1685" s="580">
        <f t="shared" si="166"/>
        <v>5</v>
      </c>
      <c r="AE1685" s="580">
        <f t="shared" si="167"/>
        <v>2.5</v>
      </c>
      <c r="AF1685" s="580">
        <f t="shared" si="168"/>
        <v>2.5</v>
      </c>
      <c r="AG1685" s="580">
        <f t="shared" si="169"/>
        <v>0</v>
      </c>
      <c r="AH1685" s="580">
        <f t="shared" si="170"/>
        <v>0</v>
      </c>
    </row>
    <row r="1686" spans="28:34">
      <c r="AB1686" s="580">
        <f>HLOOKUP("*"&amp;'Output annual'!$AC$2&amp;'Output annual'!$AD$2&amp;"*Zone People Number Of Occupants [](Hourly)",'Eplus results'!$1:$1048576,ROW(),FALSE)</f>
        <v>0</v>
      </c>
      <c r="AC1686" s="580">
        <f>HLOOKUP("*"&amp;'Output annual'!$AC$2&amp;'Output annual'!$AD$2&amp;"*FangerPMV(Hourly)",'Eplus results'!$1:$1048576,ROW(),FALSE)</f>
        <v>0</v>
      </c>
      <c r="AD1686" s="580">
        <f t="shared" si="166"/>
        <v>5</v>
      </c>
      <c r="AE1686" s="580">
        <f t="shared" si="167"/>
        <v>2.5</v>
      </c>
      <c r="AF1686" s="580">
        <f t="shared" si="168"/>
        <v>2.5</v>
      </c>
      <c r="AG1686" s="580">
        <f t="shared" si="169"/>
        <v>0</v>
      </c>
      <c r="AH1686" s="580">
        <f t="shared" si="170"/>
        <v>0</v>
      </c>
    </row>
    <row r="1687" spans="28:34">
      <c r="AB1687" s="580">
        <f>HLOOKUP("*"&amp;'Output annual'!$AC$2&amp;'Output annual'!$AD$2&amp;"*Zone People Number Of Occupants [](Hourly)",'Eplus results'!$1:$1048576,ROW(),FALSE)</f>
        <v>0</v>
      </c>
      <c r="AC1687" s="580">
        <f>HLOOKUP("*"&amp;'Output annual'!$AC$2&amp;'Output annual'!$AD$2&amp;"*FangerPMV(Hourly)",'Eplus results'!$1:$1048576,ROW(),FALSE)</f>
        <v>0</v>
      </c>
      <c r="AD1687" s="580">
        <f t="shared" si="166"/>
        <v>5</v>
      </c>
      <c r="AE1687" s="580">
        <f t="shared" si="167"/>
        <v>2.5</v>
      </c>
      <c r="AF1687" s="580">
        <f t="shared" si="168"/>
        <v>2.5</v>
      </c>
      <c r="AG1687" s="580">
        <f t="shared" si="169"/>
        <v>0</v>
      </c>
      <c r="AH1687" s="580">
        <f t="shared" si="170"/>
        <v>0</v>
      </c>
    </row>
    <row r="1688" spans="28:34">
      <c r="AB1688" s="580">
        <f>HLOOKUP("*"&amp;'Output annual'!$AC$2&amp;'Output annual'!$AD$2&amp;"*Zone People Number Of Occupants [](Hourly)",'Eplus results'!$1:$1048576,ROW(),FALSE)</f>
        <v>0</v>
      </c>
      <c r="AC1688" s="580">
        <f>HLOOKUP("*"&amp;'Output annual'!$AC$2&amp;'Output annual'!$AD$2&amp;"*FangerPMV(Hourly)",'Eplus results'!$1:$1048576,ROW(),FALSE)</f>
        <v>0</v>
      </c>
      <c r="AD1688" s="580">
        <f t="shared" si="166"/>
        <v>5</v>
      </c>
      <c r="AE1688" s="580">
        <f t="shared" si="167"/>
        <v>2.5</v>
      </c>
      <c r="AF1688" s="580">
        <f t="shared" si="168"/>
        <v>2.5</v>
      </c>
      <c r="AG1688" s="580">
        <f t="shared" si="169"/>
        <v>0</v>
      </c>
      <c r="AH1688" s="580">
        <f t="shared" si="170"/>
        <v>0</v>
      </c>
    </row>
    <row r="1689" spans="28:34">
      <c r="AB1689" s="580">
        <f>HLOOKUP("*"&amp;'Output annual'!$AC$2&amp;'Output annual'!$AD$2&amp;"*Zone People Number Of Occupants [](Hourly)",'Eplus results'!$1:$1048576,ROW(),FALSE)</f>
        <v>0</v>
      </c>
      <c r="AC1689" s="580">
        <f>HLOOKUP("*"&amp;'Output annual'!$AC$2&amp;'Output annual'!$AD$2&amp;"*FangerPMV(Hourly)",'Eplus results'!$1:$1048576,ROW(),FALSE)</f>
        <v>0</v>
      </c>
      <c r="AD1689" s="580">
        <f t="shared" si="166"/>
        <v>5</v>
      </c>
      <c r="AE1689" s="580">
        <f t="shared" si="167"/>
        <v>2.5</v>
      </c>
      <c r="AF1689" s="580">
        <f t="shared" si="168"/>
        <v>2.5</v>
      </c>
      <c r="AG1689" s="580">
        <f t="shared" si="169"/>
        <v>0</v>
      </c>
      <c r="AH1689" s="580">
        <f t="shared" si="170"/>
        <v>0</v>
      </c>
    </row>
    <row r="1690" spans="28:34">
      <c r="AB1690" s="580">
        <f>HLOOKUP("*"&amp;'Output annual'!$AC$2&amp;'Output annual'!$AD$2&amp;"*Zone People Number Of Occupants [](Hourly)",'Eplus results'!$1:$1048576,ROW(),FALSE)</f>
        <v>0</v>
      </c>
      <c r="AC1690" s="580">
        <f>HLOOKUP("*"&amp;'Output annual'!$AC$2&amp;'Output annual'!$AD$2&amp;"*FangerPMV(Hourly)",'Eplus results'!$1:$1048576,ROW(),FALSE)</f>
        <v>0</v>
      </c>
      <c r="AD1690" s="580">
        <f t="shared" si="166"/>
        <v>5</v>
      </c>
      <c r="AE1690" s="580">
        <f t="shared" si="167"/>
        <v>2.5</v>
      </c>
      <c r="AF1690" s="580">
        <f t="shared" si="168"/>
        <v>2.5</v>
      </c>
      <c r="AG1690" s="580">
        <f t="shared" si="169"/>
        <v>0</v>
      </c>
      <c r="AH1690" s="580">
        <f t="shared" si="170"/>
        <v>0</v>
      </c>
    </row>
    <row r="1691" spans="28:34">
      <c r="AB1691" s="580">
        <f>HLOOKUP("*"&amp;'Output annual'!$AC$2&amp;'Output annual'!$AD$2&amp;"*Zone People Number Of Occupants [](Hourly)",'Eplus results'!$1:$1048576,ROW(),FALSE)</f>
        <v>0</v>
      </c>
      <c r="AC1691" s="580">
        <f>HLOOKUP("*"&amp;'Output annual'!$AC$2&amp;'Output annual'!$AD$2&amp;"*FangerPMV(Hourly)",'Eplus results'!$1:$1048576,ROW(),FALSE)</f>
        <v>0</v>
      </c>
      <c r="AD1691" s="580">
        <f t="shared" si="166"/>
        <v>5</v>
      </c>
      <c r="AE1691" s="580">
        <f t="shared" si="167"/>
        <v>2.5</v>
      </c>
      <c r="AF1691" s="580">
        <f t="shared" si="168"/>
        <v>2.5</v>
      </c>
      <c r="AG1691" s="580">
        <f t="shared" si="169"/>
        <v>0</v>
      </c>
      <c r="AH1691" s="580">
        <f t="shared" si="170"/>
        <v>0</v>
      </c>
    </row>
    <row r="1692" spans="28:34">
      <c r="AB1692" s="580">
        <f>HLOOKUP("*"&amp;'Output annual'!$AC$2&amp;'Output annual'!$AD$2&amp;"*Zone People Number Of Occupants [](Hourly)",'Eplus results'!$1:$1048576,ROW(),FALSE)</f>
        <v>0</v>
      </c>
      <c r="AC1692" s="580">
        <f>HLOOKUP("*"&amp;'Output annual'!$AC$2&amp;'Output annual'!$AD$2&amp;"*FangerPMV(Hourly)",'Eplus results'!$1:$1048576,ROW(),FALSE)</f>
        <v>0</v>
      </c>
      <c r="AD1692" s="580">
        <f t="shared" si="166"/>
        <v>5</v>
      </c>
      <c r="AE1692" s="580">
        <f t="shared" si="167"/>
        <v>2.5</v>
      </c>
      <c r="AF1692" s="580">
        <f t="shared" si="168"/>
        <v>2.5</v>
      </c>
      <c r="AG1692" s="580">
        <f t="shared" si="169"/>
        <v>0</v>
      </c>
      <c r="AH1692" s="580">
        <f t="shared" si="170"/>
        <v>0</v>
      </c>
    </row>
    <row r="1693" spans="28:34">
      <c r="AB1693" s="580">
        <f>HLOOKUP("*"&amp;'Output annual'!$AC$2&amp;'Output annual'!$AD$2&amp;"*Zone People Number Of Occupants [](Hourly)",'Eplus results'!$1:$1048576,ROW(),FALSE)</f>
        <v>0</v>
      </c>
      <c r="AC1693" s="580">
        <f>HLOOKUP("*"&amp;'Output annual'!$AC$2&amp;'Output annual'!$AD$2&amp;"*FangerPMV(Hourly)",'Eplus results'!$1:$1048576,ROW(),FALSE)</f>
        <v>0</v>
      </c>
      <c r="AD1693" s="580">
        <f t="shared" si="166"/>
        <v>5</v>
      </c>
      <c r="AE1693" s="580">
        <f t="shared" si="167"/>
        <v>2.5</v>
      </c>
      <c r="AF1693" s="580">
        <f t="shared" si="168"/>
        <v>2.5</v>
      </c>
      <c r="AG1693" s="580">
        <f t="shared" si="169"/>
        <v>0</v>
      </c>
      <c r="AH1693" s="580">
        <f t="shared" si="170"/>
        <v>0</v>
      </c>
    </row>
    <row r="1694" spans="28:34">
      <c r="AB1694" s="580">
        <f>HLOOKUP("*"&amp;'Output annual'!$AC$2&amp;'Output annual'!$AD$2&amp;"*Zone People Number Of Occupants [](Hourly)",'Eplus results'!$1:$1048576,ROW(),FALSE)</f>
        <v>0</v>
      </c>
      <c r="AC1694" s="580">
        <f>HLOOKUP("*"&amp;'Output annual'!$AC$2&amp;'Output annual'!$AD$2&amp;"*FangerPMV(Hourly)",'Eplus results'!$1:$1048576,ROW(),FALSE)</f>
        <v>0</v>
      </c>
      <c r="AD1694" s="580">
        <f t="shared" si="166"/>
        <v>5</v>
      </c>
      <c r="AE1694" s="580">
        <f t="shared" si="167"/>
        <v>2.5</v>
      </c>
      <c r="AF1694" s="580">
        <f t="shared" si="168"/>
        <v>2.5</v>
      </c>
      <c r="AG1694" s="580">
        <f t="shared" si="169"/>
        <v>0</v>
      </c>
      <c r="AH1694" s="580">
        <f t="shared" si="170"/>
        <v>0</v>
      </c>
    </row>
    <row r="1695" spans="28:34">
      <c r="AB1695" s="580">
        <f>HLOOKUP("*"&amp;'Output annual'!$AC$2&amp;'Output annual'!$AD$2&amp;"*Zone People Number Of Occupants [](Hourly)",'Eplus results'!$1:$1048576,ROW(),FALSE)</f>
        <v>0</v>
      </c>
      <c r="AC1695" s="580">
        <f>HLOOKUP("*"&amp;'Output annual'!$AC$2&amp;'Output annual'!$AD$2&amp;"*FangerPMV(Hourly)",'Eplus results'!$1:$1048576,ROW(),FALSE)</f>
        <v>0</v>
      </c>
      <c r="AD1695" s="580">
        <f t="shared" si="166"/>
        <v>5</v>
      </c>
      <c r="AE1695" s="580">
        <f t="shared" si="167"/>
        <v>2.5</v>
      </c>
      <c r="AF1695" s="580">
        <f t="shared" si="168"/>
        <v>2.5</v>
      </c>
      <c r="AG1695" s="580">
        <f t="shared" si="169"/>
        <v>0</v>
      </c>
      <c r="AH1695" s="580">
        <f t="shared" si="170"/>
        <v>0</v>
      </c>
    </row>
    <row r="1696" spans="28:34">
      <c r="AB1696" s="580">
        <f>HLOOKUP("*"&amp;'Output annual'!$AC$2&amp;'Output annual'!$AD$2&amp;"*Zone People Number Of Occupants [](Hourly)",'Eplus results'!$1:$1048576,ROW(),FALSE)</f>
        <v>0</v>
      </c>
      <c r="AC1696" s="580">
        <f>HLOOKUP("*"&amp;'Output annual'!$AC$2&amp;'Output annual'!$AD$2&amp;"*FangerPMV(Hourly)",'Eplus results'!$1:$1048576,ROW(),FALSE)</f>
        <v>0</v>
      </c>
      <c r="AD1696" s="580">
        <f t="shared" si="166"/>
        <v>5</v>
      </c>
      <c r="AE1696" s="580">
        <f t="shared" si="167"/>
        <v>2.5</v>
      </c>
      <c r="AF1696" s="580">
        <f t="shared" si="168"/>
        <v>2.5</v>
      </c>
      <c r="AG1696" s="580">
        <f t="shared" si="169"/>
        <v>0</v>
      </c>
      <c r="AH1696" s="580">
        <f t="shared" si="170"/>
        <v>0</v>
      </c>
    </row>
    <row r="1697" spans="28:34">
      <c r="AB1697" s="580">
        <f>HLOOKUP("*"&amp;'Output annual'!$AC$2&amp;'Output annual'!$AD$2&amp;"*Zone People Number Of Occupants [](Hourly)",'Eplus results'!$1:$1048576,ROW(),FALSE)</f>
        <v>0</v>
      </c>
      <c r="AC1697" s="580">
        <f>HLOOKUP("*"&amp;'Output annual'!$AC$2&amp;'Output annual'!$AD$2&amp;"*FangerPMV(Hourly)",'Eplus results'!$1:$1048576,ROW(),FALSE)</f>
        <v>0</v>
      </c>
      <c r="AD1697" s="580">
        <f t="shared" si="166"/>
        <v>5</v>
      </c>
      <c r="AE1697" s="580">
        <f t="shared" si="167"/>
        <v>2.5</v>
      </c>
      <c r="AF1697" s="580">
        <f t="shared" si="168"/>
        <v>2.5</v>
      </c>
      <c r="AG1697" s="580">
        <f t="shared" si="169"/>
        <v>0</v>
      </c>
      <c r="AH1697" s="580">
        <f t="shared" si="170"/>
        <v>0</v>
      </c>
    </row>
    <row r="1698" spans="28:34">
      <c r="AB1698" s="580">
        <f>HLOOKUP("*"&amp;'Output annual'!$AC$2&amp;'Output annual'!$AD$2&amp;"*Zone People Number Of Occupants [](Hourly)",'Eplus results'!$1:$1048576,ROW(),FALSE)</f>
        <v>0</v>
      </c>
      <c r="AC1698" s="580">
        <f>HLOOKUP("*"&amp;'Output annual'!$AC$2&amp;'Output annual'!$AD$2&amp;"*FangerPMV(Hourly)",'Eplus results'!$1:$1048576,ROW(),FALSE)</f>
        <v>0</v>
      </c>
      <c r="AD1698" s="580">
        <f t="shared" si="166"/>
        <v>5</v>
      </c>
      <c r="AE1698" s="580">
        <f t="shared" si="167"/>
        <v>2.5</v>
      </c>
      <c r="AF1698" s="580">
        <f t="shared" si="168"/>
        <v>2.5</v>
      </c>
      <c r="AG1698" s="580">
        <f t="shared" si="169"/>
        <v>0</v>
      </c>
      <c r="AH1698" s="580">
        <f t="shared" si="170"/>
        <v>0</v>
      </c>
    </row>
    <row r="1699" spans="28:34">
      <c r="AB1699" s="580">
        <f>HLOOKUP("*"&amp;'Output annual'!$AC$2&amp;'Output annual'!$AD$2&amp;"*Zone People Number Of Occupants [](Hourly)",'Eplus results'!$1:$1048576,ROW(),FALSE)</f>
        <v>0</v>
      </c>
      <c r="AC1699" s="580">
        <f>HLOOKUP("*"&amp;'Output annual'!$AC$2&amp;'Output annual'!$AD$2&amp;"*FangerPMV(Hourly)",'Eplus results'!$1:$1048576,ROW(),FALSE)</f>
        <v>0</v>
      </c>
      <c r="AD1699" s="580">
        <f t="shared" si="166"/>
        <v>5</v>
      </c>
      <c r="AE1699" s="580">
        <f t="shared" si="167"/>
        <v>2.5</v>
      </c>
      <c r="AF1699" s="580">
        <f t="shared" si="168"/>
        <v>2.5</v>
      </c>
      <c r="AG1699" s="580">
        <f t="shared" si="169"/>
        <v>0</v>
      </c>
      <c r="AH1699" s="580">
        <f t="shared" si="170"/>
        <v>0</v>
      </c>
    </row>
    <row r="1700" spans="28:34">
      <c r="AB1700" s="580">
        <f>HLOOKUP("*"&amp;'Output annual'!$AC$2&amp;'Output annual'!$AD$2&amp;"*Zone People Number Of Occupants [](Hourly)",'Eplus results'!$1:$1048576,ROW(),FALSE)</f>
        <v>0</v>
      </c>
      <c r="AC1700" s="580">
        <f>HLOOKUP("*"&amp;'Output annual'!$AC$2&amp;'Output annual'!$AD$2&amp;"*FangerPMV(Hourly)",'Eplus results'!$1:$1048576,ROW(),FALSE)</f>
        <v>0</v>
      </c>
      <c r="AD1700" s="580">
        <f t="shared" si="166"/>
        <v>5</v>
      </c>
      <c r="AE1700" s="580">
        <f t="shared" si="167"/>
        <v>2.5</v>
      </c>
      <c r="AF1700" s="580">
        <f t="shared" si="168"/>
        <v>2.5</v>
      </c>
      <c r="AG1700" s="580">
        <f t="shared" si="169"/>
        <v>0</v>
      </c>
      <c r="AH1700" s="580">
        <f t="shared" si="170"/>
        <v>0</v>
      </c>
    </row>
    <row r="1701" spans="28:34">
      <c r="AB1701" s="580">
        <f>HLOOKUP("*"&amp;'Output annual'!$AC$2&amp;'Output annual'!$AD$2&amp;"*Zone People Number Of Occupants [](Hourly)",'Eplus results'!$1:$1048576,ROW(),FALSE)</f>
        <v>0</v>
      </c>
      <c r="AC1701" s="580">
        <f>HLOOKUP("*"&amp;'Output annual'!$AC$2&amp;'Output annual'!$AD$2&amp;"*FangerPMV(Hourly)",'Eplus results'!$1:$1048576,ROW(),FALSE)</f>
        <v>0</v>
      </c>
      <c r="AD1701" s="580">
        <f t="shared" si="166"/>
        <v>5</v>
      </c>
      <c r="AE1701" s="580">
        <f t="shared" si="167"/>
        <v>2.5</v>
      </c>
      <c r="AF1701" s="580">
        <f t="shared" si="168"/>
        <v>2.5</v>
      </c>
      <c r="AG1701" s="580">
        <f t="shared" si="169"/>
        <v>0</v>
      </c>
      <c r="AH1701" s="580">
        <f t="shared" si="170"/>
        <v>0</v>
      </c>
    </row>
    <row r="1702" spans="28:34">
      <c r="AB1702" s="580">
        <f>HLOOKUP("*"&amp;'Output annual'!$AC$2&amp;'Output annual'!$AD$2&amp;"*Zone People Number Of Occupants [](Hourly)",'Eplus results'!$1:$1048576,ROW(),FALSE)</f>
        <v>0</v>
      </c>
      <c r="AC1702" s="580">
        <f>HLOOKUP("*"&amp;'Output annual'!$AC$2&amp;'Output annual'!$AD$2&amp;"*FangerPMV(Hourly)",'Eplus results'!$1:$1048576,ROW(),FALSE)</f>
        <v>0</v>
      </c>
      <c r="AD1702" s="580">
        <f t="shared" si="166"/>
        <v>5</v>
      </c>
      <c r="AE1702" s="580">
        <f t="shared" si="167"/>
        <v>2.5</v>
      </c>
      <c r="AF1702" s="580">
        <f t="shared" si="168"/>
        <v>2.5</v>
      </c>
      <c r="AG1702" s="580">
        <f t="shared" si="169"/>
        <v>0</v>
      </c>
      <c r="AH1702" s="580">
        <f t="shared" si="170"/>
        <v>0</v>
      </c>
    </row>
    <row r="1703" spans="28:34">
      <c r="AB1703" s="580">
        <f>HLOOKUP("*"&amp;'Output annual'!$AC$2&amp;'Output annual'!$AD$2&amp;"*Zone People Number Of Occupants [](Hourly)",'Eplus results'!$1:$1048576,ROW(),FALSE)</f>
        <v>0</v>
      </c>
      <c r="AC1703" s="580">
        <f>HLOOKUP("*"&amp;'Output annual'!$AC$2&amp;'Output annual'!$AD$2&amp;"*FangerPMV(Hourly)",'Eplus results'!$1:$1048576,ROW(),FALSE)</f>
        <v>0</v>
      </c>
      <c r="AD1703" s="580">
        <f t="shared" si="166"/>
        <v>5</v>
      </c>
      <c r="AE1703" s="580">
        <f t="shared" si="167"/>
        <v>2.5</v>
      </c>
      <c r="AF1703" s="580">
        <f t="shared" si="168"/>
        <v>2.5</v>
      </c>
      <c r="AG1703" s="580">
        <f t="shared" si="169"/>
        <v>0</v>
      </c>
      <c r="AH1703" s="580">
        <f t="shared" si="170"/>
        <v>0</v>
      </c>
    </row>
    <row r="1704" spans="28:34">
      <c r="AB1704" s="580">
        <f>HLOOKUP("*"&amp;'Output annual'!$AC$2&amp;'Output annual'!$AD$2&amp;"*Zone People Number Of Occupants [](Hourly)",'Eplus results'!$1:$1048576,ROW(),FALSE)</f>
        <v>0</v>
      </c>
      <c r="AC1704" s="580">
        <f>HLOOKUP("*"&amp;'Output annual'!$AC$2&amp;'Output annual'!$AD$2&amp;"*FangerPMV(Hourly)",'Eplus results'!$1:$1048576,ROW(),FALSE)</f>
        <v>0</v>
      </c>
      <c r="AD1704" s="580">
        <f t="shared" si="166"/>
        <v>5</v>
      </c>
      <c r="AE1704" s="580">
        <f t="shared" si="167"/>
        <v>2.5</v>
      </c>
      <c r="AF1704" s="580">
        <f t="shared" si="168"/>
        <v>2.5</v>
      </c>
      <c r="AG1704" s="580">
        <f t="shared" si="169"/>
        <v>0</v>
      </c>
      <c r="AH1704" s="580">
        <f t="shared" si="170"/>
        <v>0</v>
      </c>
    </row>
    <row r="1705" spans="28:34">
      <c r="AB1705" s="580">
        <f>HLOOKUP("*"&amp;'Output annual'!$AC$2&amp;'Output annual'!$AD$2&amp;"*Zone People Number Of Occupants [](Hourly)",'Eplus results'!$1:$1048576,ROW(),FALSE)</f>
        <v>0</v>
      </c>
      <c r="AC1705" s="580">
        <f>HLOOKUP("*"&amp;'Output annual'!$AC$2&amp;'Output annual'!$AD$2&amp;"*FangerPMV(Hourly)",'Eplus results'!$1:$1048576,ROW(),FALSE)</f>
        <v>0</v>
      </c>
      <c r="AD1705" s="580">
        <f t="shared" si="166"/>
        <v>5</v>
      </c>
      <c r="AE1705" s="580">
        <f t="shared" si="167"/>
        <v>2.5</v>
      </c>
      <c r="AF1705" s="580">
        <f t="shared" si="168"/>
        <v>2.5</v>
      </c>
      <c r="AG1705" s="580">
        <f t="shared" si="169"/>
        <v>0</v>
      </c>
      <c r="AH1705" s="580">
        <f t="shared" si="170"/>
        <v>0</v>
      </c>
    </row>
    <row r="1706" spans="28:34">
      <c r="AB1706" s="580">
        <f>HLOOKUP("*"&amp;'Output annual'!$AC$2&amp;'Output annual'!$AD$2&amp;"*Zone People Number Of Occupants [](Hourly)",'Eplus results'!$1:$1048576,ROW(),FALSE)</f>
        <v>0</v>
      </c>
      <c r="AC1706" s="580">
        <f>HLOOKUP("*"&amp;'Output annual'!$AC$2&amp;'Output annual'!$AD$2&amp;"*FangerPMV(Hourly)",'Eplus results'!$1:$1048576,ROW(),FALSE)</f>
        <v>0</v>
      </c>
      <c r="AD1706" s="580">
        <f t="shared" si="166"/>
        <v>5</v>
      </c>
      <c r="AE1706" s="580">
        <f t="shared" si="167"/>
        <v>2.5</v>
      </c>
      <c r="AF1706" s="580">
        <f t="shared" si="168"/>
        <v>2.5</v>
      </c>
      <c r="AG1706" s="580">
        <f t="shared" si="169"/>
        <v>0</v>
      </c>
      <c r="AH1706" s="580">
        <f t="shared" si="170"/>
        <v>0</v>
      </c>
    </row>
    <row r="1707" spans="28:34">
      <c r="AB1707" s="580">
        <f>HLOOKUP("*"&amp;'Output annual'!$AC$2&amp;'Output annual'!$AD$2&amp;"*Zone People Number Of Occupants [](Hourly)",'Eplus results'!$1:$1048576,ROW(),FALSE)</f>
        <v>0</v>
      </c>
      <c r="AC1707" s="580">
        <f>HLOOKUP("*"&amp;'Output annual'!$AC$2&amp;'Output annual'!$AD$2&amp;"*FangerPMV(Hourly)",'Eplus results'!$1:$1048576,ROW(),FALSE)</f>
        <v>0</v>
      </c>
      <c r="AD1707" s="580">
        <f t="shared" si="166"/>
        <v>5</v>
      </c>
      <c r="AE1707" s="580">
        <f t="shared" si="167"/>
        <v>2.5</v>
      </c>
      <c r="AF1707" s="580">
        <f t="shared" si="168"/>
        <v>2.5</v>
      </c>
      <c r="AG1707" s="580">
        <f t="shared" si="169"/>
        <v>0</v>
      </c>
      <c r="AH1707" s="580">
        <f t="shared" si="170"/>
        <v>0</v>
      </c>
    </row>
    <row r="1708" spans="28:34">
      <c r="AB1708" s="580">
        <f>HLOOKUP("*"&amp;'Output annual'!$AC$2&amp;'Output annual'!$AD$2&amp;"*Zone People Number Of Occupants [](Hourly)",'Eplus results'!$1:$1048576,ROW(),FALSE)</f>
        <v>0</v>
      </c>
      <c r="AC1708" s="580">
        <f>HLOOKUP("*"&amp;'Output annual'!$AC$2&amp;'Output annual'!$AD$2&amp;"*FangerPMV(Hourly)",'Eplus results'!$1:$1048576,ROW(),FALSE)</f>
        <v>0</v>
      </c>
      <c r="AD1708" s="580">
        <f t="shared" si="166"/>
        <v>5</v>
      </c>
      <c r="AE1708" s="580">
        <f t="shared" si="167"/>
        <v>2.5</v>
      </c>
      <c r="AF1708" s="580">
        <f t="shared" si="168"/>
        <v>2.5</v>
      </c>
      <c r="AG1708" s="580">
        <f t="shared" si="169"/>
        <v>0</v>
      </c>
      <c r="AH1708" s="580">
        <f t="shared" si="170"/>
        <v>0</v>
      </c>
    </row>
    <row r="1709" spans="28:34">
      <c r="AB1709" s="580">
        <f>HLOOKUP("*"&amp;'Output annual'!$AC$2&amp;'Output annual'!$AD$2&amp;"*Zone People Number Of Occupants [](Hourly)",'Eplus results'!$1:$1048576,ROW(),FALSE)</f>
        <v>0</v>
      </c>
      <c r="AC1709" s="580">
        <f>HLOOKUP("*"&amp;'Output annual'!$AC$2&amp;'Output annual'!$AD$2&amp;"*FangerPMV(Hourly)",'Eplus results'!$1:$1048576,ROW(),FALSE)</f>
        <v>0</v>
      </c>
      <c r="AD1709" s="580">
        <f t="shared" si="166"/>
        <v>5</v>
      </c>
      <c r="AE1709" s="580">
        <f t="shared" si="167"/>
        <v>2.5</v>
      </c>
      <c r="AF1709" s="580">
        <f t="shared" si="168"/>
        <v>2.5</v>
      </c>
      <c r="AG1709" s="580">
        <f t="shared" si="169"/>
        <v>0</v>
      </c>
      <c r="AH1709" s="580">
        <f t="shared" si="170"/>
        <v>0</v>
      </c>
    </row>
    <row r="1710" spans="28:34">
      <c r="AB1710" s="580">
        <f>HLOOKUP("*"&amp;'Output annual'!$AC$2&amp;'Output annual'!$AD$2&amp;"*Zone People Number Of Occupants [](Hourly)",'Eplus results'!$1:$1048576,ROW(),FALSE)</f>
        <v>0</v>
      </c>
      <c r="AC1710" s="580">
        <f>HLOOKUP("*"&amp;'Output annual'!$AC$2&amp;'Output annual'!$AD$2&amp;"*FangerPMV(Hourly)",'Eplus results'!$1:$1048576,ROW(),FALSE)</f>
        <v>0</v>
      </c>
      <c r="AD1710" s="580">
        <f t="shared" si="166"/>
        <v>5</v>
      </c>
      <c r="AE1710" s="580">
        <f t="shared" si="167"/>
        <v>2.5</v>
      </c>
      <c r="AF1710" s="580">
        <f t="shared" si="168"/>
        <v>2.5</v>
      </c>
      <c r="AG1710" s="580">
        <f t="shared" si="169"/>
        <v>0</v>
      </c>
      <c r="AH1710" s="580">
        <f t="shared" si="170"/>
        <v>0</v>
      </c>
    </row>
    <row r="1711" spans="28:34">
      <c r="AB1711" s="580">
        <f>HLOOKUP("*"&amp;'Output annual'!$AC$2&amp;'Output annual'!$AD$2&amp;"*Zone People Number Of Occupants [](Hourly)",'Eplus results'!$1:$1048576,ROW(),FALSE)</f>
        <v>0</v>
      </c>
      <c r="AC1711" s="580">
        <f>HLOOKUP("*"&amp;'Output annual'!$AC$2&amp;'Output annual'!$AD$2&amp;"*FangerPMV(Hourly)",'Eplus results'!$1:$1048576,ROW(),FALSE)</f>
        <v>0</v>
      </c>
      <c r="AD1711" s="580">
        <f t="shared" si="166"/>
        <v>5</v>
      </c>
      <c r="AE1711" s="580">
        <f t="shared" si="167"/>
        <v>2.5</v>
      </c>
      <c r="AF1711" s="580">
        <f t="shared" si="168"/>
        <v>2.5</v>
      </c>
      <c r="AG1711" s="580">
        <f t="shared" si="169"/>
        <v>0</v>
      </c>
      <c r="AH1711" s="580">
        <f t="shared" si="170"/>
        <v>0</v>
      </c>
    </row>
    <row r="1712" spans="28:34">
      <c r="AB1712" s="580">
        <f>HLOOKUP("*"&amp;'Output annual'!$AC$2&amp;'Output annual'!$AD$2&amp;"*Zone People Number Of Occupants [](Hourly)",'Eplus results'!$1:$1048576,ROW(),FALSE)</f>
        <v>0</v>
      </c>
      <c r="AC1712" s="580">
        <f>HLOOKUP("*"&amp;'Output annual'!$AC$2&amp;'Output annual'!$AD$2&amp;"*FangerPMV(Hourly)",'Eplus results'!$1:$1048576,ROW(),FALSE)</f>
        <v>0</v>
      </c>
      <c r="AD1712" s="580">
        <f t="shared" si="166"/>
        <v>5</v>
      </c>
      <c r="AE1712" s="580">
        <f t="shared" si="167"/>
        <v>2.5</v>
      </c>
      <c r="AF1712" s="580">
        <f t="shared" si="168"/>
        <v>2.5</v>
      </c>
      <c r="AG1712" s="580">
        <f t="shared" si="169"/>
        <v>0</v>
      </c>
      <c r="AH1712" s="580">
        <f t="shared" si="170"/>
        <v>0</v>
      </c>
    </row>
    <row r="1713" spans="28:34">
      <c r="AB1713" s="580">
        <f>HLOOKUP("*"&amp;'Output annual'!$AC$2&amp;'Output annual'!$AD$2&amp;"*Zone People Number Of Occupants [](Hourly)",'Eplus results'!$1:$1048576,ROW(),FALSE)</f>
        <v>0</v>
      </c>
      <c r="AC1713" s="580">
        <f>HLOOKUP("*"&amp;'Output annual'!$AC$2&amp;'Output annual'!$AD$2&amp;"*FangerPMV(Hourly)",'Eplus results'!$1:$1048576,ROW(),FALSE)</f>
        <v>0</v>
      </c>
      <c r="AD1713" s="580">
        <f t="shared" si="166"/>
        <v>5</v>
      </c>
      <c r="AE1713" s="580">
        <f t="shared" si="167"/>
        <v>2.5</v>
      </c>
      <c r="AF1713" s="580">
        <f t="shared" si="168"/>
        <v>2.5</v>
      </c>
      <c r="AG1713" s="580">
        <f t="shared" si="169"/>
        <v>0</v>
      </c>
      <c r="AH1713" s="580">
        <f t="shared" si="170"/>
        <v>0</v>
      </c>
    </row>
    <row r="1714" spans="28:34">
      <c r="AB1714" s="580">
        <f>HLOOKUP("*"&amp;'Output annual'!$AC$2&amp;'Output annual'!$AD$2&amp;"*Zone People Number Of Occupants [](Hourly)",'Eplus results'!$1:$1048576,ROW(),FALSE)</f>
        <v>0</v>
      </c>
      <c r="AC1714" s="580">
        <f>HLOOKUP("*"&amp;'Output annual'!$AC$2&amp;'Output annual'!$AD$2&amp;"*FangerPMV(Hourly)",'Eplus results'!$1:$1048576,ROW(),FALSE)</f>
        <v>0</v>
      </c>
      <c r="AD1714" s="580">
        <f t="shared" si="166"/>
        <v>5</v>
      </c>
      <c r="AE1714" s="580">
        <f t="shared" si="167"/>
        <v>2.5</v>
      </c>
      <c r="AF1714" s="580">
        <f t="shared" si="168"/>
        <v>2.5</v>
      </c>
      <c r="AG1714" s="580">
        <f t="shared" si="169"/>
        <v>0</v>
      </c>
      <c r="AH1714" s="580">
        <f t="shared" si="170"/>
        <v>0</v>
      </c>
    </row>
    <row r="1715" spans="28:34">
      <c r="AB1715" s="580">
        <f>HLOOKUP("*"&amp;'Output annual'!$AC$2&amp;'Output annual'!$AD$2&amp;"*Zone People Number Of Occupants [](Hourly)",'Eplus results'!$1:$1048576,ROW(),FALSE)</f>
        <v>0</v>
      </c>
      <c r="AC1715" s="580">
        <f>HLOOKUP("*"&amp;'Output annual'!$AC$2&amp;'Output annual'!$AD$2&amp;"*FangerPMV(Hourly)",'Eplus results'!$1:$1048576,ROW(),FALSE)</f>
        <v>0</v>
      </c>
      <c r="AD1715" s="580">
        <f t="shared" si="166"/>
        <v>5</v>
      </c>
      <c r="AE1715" s="580">
        <f t="shared" si="167"/>
        <v>2.5</v>
      </c>
      <c r="AF1715" s="580">
        <f t="shared" si="168"/>
        <v>2.5</v>
      </c>
      <c r="AG1715" s="580">
        <f t="shared" si="169"/>
        <v>0</v>
      </c>
      <c r="AH1715" s="580">
        <f t="shared" si="170"/>
        <v>0</v>
      </c>
    </row>
    <row r="1716" spans="28:34">
      <c r="AB1716" s="580">
        <f>HLOOKUP("*"&amp;'Output annual'!$AC$2&amp;'Output annual'!$AD$2&amp;"*Zone People Number Of Occupants [](Hourly)",'Eplus results'!$1:$1048576,ROW(),FALSE)</f>
        <v>0</v>
      </c>
      <c r="AC1716" s="580">
        <f>HLOOKUP("*"&amp;'Output annual'!$AC$2&amp;'Output annual'!$AD$2&amp;"*FangerPMV(Hourly)",'Eplus results'!$1:$1048576,ROW(),FALSE)</f>
        <v>0</v>
      </c>
      <c r="AD1716" s="580">
        <f t="shared" si="166"/>
        <v>5</v>
      </c>
      <c r="AE1716" s="580">
        <f t="shared" si="167"/>
        <v>2.5</v>
      </c>
      <c r="AF1716" s="580">
        <f t="shared" si="168"/>
        <v>2.5</v>
      </c>
      <c r="AG1716" s="580">
        <f t="shared" si="169"/>
        <v>0</v>
      </c>
      <c r="AH1716" s="580">
        <f t="shared" si="170"/>
        <v>0</v>
      </c>
    </row>
    <row r="1717" spans="28:34">
      <c r="AB1717" s="580">
        <f>HLOOKUP("*"&amp;'Output annual'!$AC$2&amp;'Output annual'!$AD$2&amp;"*Zone People Number Of Occupants [](Hourly)",'Eplus results'!$1:$1048576,ROW(),FALSE)</f>
        <v>0</v>
      </c>
      <c r="AC1717" s="580">
        <f>HLOOKUP("*"&amp;'Output annual'!$AC$2&amp;'Output annual'!$AD$2&amp;"*FangerPMV(Hourly)",'Eplus results'!$1:$1048576,ROW(),FALSE)</f>
        <v>0</v>
      </c>
      <c r="AD1717" s="580">
        <f t="shared" si="166"/>
        <v>5</v>
      </c>
      <c r="AE1717" s="580">
        <f t="shared" si="167"/>
        <v>2.5</v>
      </c>
      <c r="AF1717" s="580">
        <f t="shared" si="168"/>
        <v>2.5</v>
      </c>
      <c r="AG1717" s="580">
        <f t="shared" si="169"/>
        <v>0</v>
      </c>
      <c r="AH1717" s="580">
        <f t="shared" si="170"/>
        <v>0</v>
      </c>
    </row>
    <row r="1718" spans="28:34">
      <c r="AB1718" s="580">
        <f>HLOOKUP("*"&amp;'Output annual'!$AC$2&amp;'Output annual'!$AD$2&amp;"*Zone People Number Of Occupants [](Hourly)",'Eplus results'!$1:$1048576,ROW(),FALSE)</f>
        <v>0</v>
      </c>
      <c r="AC1718" s="580">
        <f>HLOOKUP("*"&amp;'Output annual'!$AC$2&amp;'Output annual'!$AD$2&amp;"*FangerPMV(Hourly)",'Eplus results'!$1:$1048576,ROW(),FALSE)</f>
        <v>0</v>
      </c>
      <c r="AD1718" s="580">
        <f t="shared" si="166"/>
        <v>5</v>
      </c>
      <c r="AE1718" s="580">
        <f t="shared" si="167"/>
        <v>2.5</v>
      </c>
      <c r="AF1718" s="580">
        <f t="shared" si="168"/>
        <v>2.5</v>
      </c>
      <c r="AG1718" s="580">
        <f t="shared" si="169"/>
        <v>0</v>
      </c>
      <c r="AH1718" s="580">
        <f t="shared" si="170"/>
        <v>0</v>
      </c>
    </row>
    <row r="1719" spans="28:34">
      <c r="AB1719" s="580">
        <f>HLOOKUP("*"&amp;'Output annual'!$AC$2&amp;'Output annual'!$AD$2&amp;"*Zone People Number Of Occupants [](Hourly)",'Eplus results'!$1:$1048576,ROW(),FALSE)</f>
        <v>0</v>
      </c>
      <c r="AC1719" s="580">
        <f>HLOOKUP("*"&amp;'Output annual'!$AC$2&amp;'Output annual'!$AD$2&amp;"*FangerPMV(Hourly)",'Eplus results'!$1:$1048576,ROW(),FALSE)</f>
        <v>0</v>
      </c>
      <c r="AD1719" s="580">
        <f t="shared" si="166"/>
        <v>5</v>
      </c>
      <c r="AE1719" s="580">
        <f t="shared" si="167"/>
        <v>2.5</v>
      </c>
      <c r="AF1719" s="580">
        <f t="shared" si="168"/>
        <v>2.5</v>
      </c>
      <c r="AG1719" s="580">
        <f t="shared" si="169"/>
        <v>0</v>
      </c>
      <c r="AH1719" s="580">
        <f t="shared" si="170"/>
        <v>0</v>
      </c>
    </row>
    <row r="1720" spans="28:34">
      <c r="AB1720" s="580">
        <f>HLOOKUP("*"&amp;'Output annual'!$AC$2&amp;'Output annual'!$AD$2&amp;"*Zone People Number Of Occupants [](Hourly)",'Eplus results'!$1:$1048576,ROW(),FALSE)</f>
        <v>0</v>
      </c>
      <c r="AC1720" s="580">
        <f>HLOOKUP("*"&amp;'Output annual'!$AC$2&amp;'Output annual'!$AD$2&amp;"*FangerPMV(Hourly)",'Eplus results'!$1:$1048576,ROW(),FALSE)</f>
        <v>0</v>
      </c>
      <c r="AD1720" s="580">
        <f t="shared" si="166"/>
        <v>5</v>
      </c>
      <c r="AE1720" s="580">
        <f t="shared" si="167"/>
        <v>2.5</v>
      </c>
      <c r="AF1720" s="580">
        <f t="shared" si="168"/>
        <v>2.5</v>
      </c>
      <c r="AG1720" s="580">
        <f t="shared" si="169"/>
        <v>0</v>
      </c>
      <c r="AH1720" s="580">
        <f t="shared" si="170"/>
        <v>0</v>
      </c>
    </row>
    <row r="1721" spans="28:34">
      <c r="AB1721" s="580">
        <f>HLOOKUP("*"&amp;'Output annual'!$AC$2&amp;'Output annual'!$AD$2&amp;"*Zone People Number Of Occupants [](Hourly)",'Eplus results'!$1:$1048576,ROW(),FALSE)</f>
        <v>0</v>
      </c>
      <c r="AC1721" s="580">
        <f>HLOOKUP("*"&amp;'Output annual'!$AC$2&amp;'Output annual'!$AD$2&amp;"*FangerPMV(Hourly)",'Eplus results'!$1:$1048576,ROW(),FALSE)</f>
        <v>0</v>
      </c>
      <c r="AD1721" s="580">
        <f t="shared" si="166"/>
        <v>5</v>
      </c>
      <c r="AE1721" s="580">
        <f t="shared" si="167"/>
        <v>2.5</v>
      </c>
      <c r="AF1721" s="580">
        <f t="shared" si="168"/>
        <v>2.5</v>
      </c>
      <c r="AG1721" s="580">
        <f t="shared" si="169"/>
        <v>0</v>
      </c>
      <c r="AH1721" s="580">
        <f t="shared" si="170"/>
        <v>0</v>
      </c>
    </row>
    <row r="1722" spans="28:34">
      <c r="AB1722" s="580">
        <f>HLOOKUP("*"&amp;'Output annual'!$AC$2&amp;'Output annual'!$AD$2&amp;"*Zone People Number Of Occupants [](Hourly)",'Eplus results'!$1:$1048576,ROW(),FALSE)</f>
        <v>0</v>
      </c>
      <c r="AC1722" s="580">
        <f>HLOOKUP("*"&amp;'Output annual'!$AC$2&amp;'Output annual'!$AD$2&amp;"*FangerPMV(Hourly)",'Eplus results'!$1:$1048576,ROW(),FALSE)</f>
        <v>0</v>
      </c>
      <c r="AD1722" s="580">
        <f t="shared" si="166"/>
        <v>5</v>
      </c>
      <c r="AE1722" s="580">
        <f t="shared" si="167"/>
        <v>2.5</v>
      </c>
      <c r="AF1722" s="580">
        <f t="shared" si="168"/>
        <v>2.5</v>
      </c>
      <c r="AG1722" s="580">
        <f t="shared" si="169"/>
        <v>0</v>
      </c>
      <c r="AH1722" s="580">
        <f t="shared" si="170"/>
        <v>0</v>
      </c>
    </row>
    <row r="1723" spans="28:34">
      <c r="AB1723" s="580">
        <f>HLOOKUP("*"&amp;'Output annual'!$AC$2&amp;'Output annual'!$AD$2&amp;"*Zone People Number Of Occupants [](Hourly)",'Eplus results'!$1:$1048576,ROW(),FALSE)</f>
        <v>0</v>
      </c>
      <c r="AC1723" s="580">
        <f>HLOOKUP("*"&amp;'Output annual'!$AC$2&amp;'Output annual'!$AD$2&amp;"*FangerPMV(Hourly)",'Eplus results'!$1:$1048576,ROW(),FALSE)</f>
        <v>0</v>
      </c>
      <c r="AD1723" s="580">
        <f t="shared" si="166"/>
        <v>5</v>
      </c>
      <c r="AE1723" s="580">
        <f t="shared" si="167"/>
        <v>2.5</v>
      </c>
      <c r="AF1723" s="580">
        <f t="shared" si="168"/>
        <v>2.5</v>
      </c>
      <c r="AG1723" s="580">
        <f t="shared" si="169"/>
        <v>0</v>
      </c>
      <c r="AH1723" s="580">
        <f t="shared" si="170"/>
        <v>0</v>
      </c>
    </row>
    <row r="1724" spans="28:34">
      <c r="AB1724" s="580">
        <f>HLOOKUP("*"&amp;'Output annual'!$AC$2&amp;'Output annual'!$AD$2&amp;"*Zone People Number Of Occupants [](Hourly)",'Eplus results'!$1:$1048576,ROW(),FALSE)</f>
        <v>0</v>
      </c>
      <c r="AC1724" s="580">
        <f>HLOOKUP("*"&amp;'Output annual'!$AC$2&amp;'Output annual'!$AD$2&amp;"*FangerPMV(Hourly)",'Eplus results'!$1:$1048576,ROW(),FALSE)</f>
        <v>0</v>
      </c>
      <c r="AD1724" s="580">
        <f t="shared" si="166"/>
        <v>5</v>
      </c>
      <c r="AE1724" s="580">
        <f t="shared" si="167"/>
        <v>2.5</v>
      </c>
      <c r="AF1724" s="580">
        <f t="shared" si="168"/>
        <v>2.5</v>
      </c>
      <c r="AG1724" s="580">
        <f t="shared" si="169"/>
        <v>0</v>
      </c>
      <c r="AH1724" s="580">
        <f t="shared" si="170"/>
        <v>0</v>
      </c>
    </row>
    <row r="1725" spans="28:34">
      <c r="AB1725" s="580">
        <f>HLOOKUP("*"&amp;'Output annual'!$AC$2&amp;'Output annual'!$AD$2&amp;"*Zone People Number Of Occupants [](Hourly)",'Eplus results'!$1:$1048576,ROW(),FALSE)</f>
        <v>0</v>
      </c>
      <c r="AC1725" s="580">
        <f>HLOOKUP("*"&amp;'Output annual'!$AC$2&amp;'Output annual'!$AD$2&amp;"*FangerPMV(Hourly)",'Eplus results'!$1:$1048576,ROW(),FALSE)</f>
        <v>0</v>
      </c>
      <c r="AD1725" s="580">
        <f t="shared" si="166"/>
        <v>5</v>
      </c>
      <c r="AE1725" s="580">
        <f t="shared" si="167"/>
        <v>2.5</v>
      </c>
      <c r="AF1725" s="580">
        <f t="shared" si="168"/>
        <v>2.5</v>
      </c>
      <c r="AG1725" s="580">
        <f t="shared" si="169"/>
        <v>0</v>
      </c>
      <c r="AH1725" s="580">
        <f t="shared" si="170"/>
        <v>0</v>
      </c>
    </row>
    <row r="1726" spans="28:34">
      <c r="AB1726" s="580">
        <f>HLOOKUP("*"&amp;'Output annual'!$AC$2&amp;'Output annual'!$AD$2&amp;"*Zone People Number Of Occupants [](Hourly)",'Eplus results'!$1:$1048576,ROW(),FALSE)</f>
        <v>0</v>
      </c>
      <c r="AC1726" s="580">
        <f>HLOOKUP("*"&amp;'Output annual'!$AC$2&amp;'Output annual'!$AD$2&amp;"*FangerPMV(Hourly)",'Eplus results'!$1:$1048576,ROW(),FALSE)</f>
        <v>0</v>
      </c>
      <c r="AD1726" s="580">
        <f t="shared" si="166"/>
        <v>5</v>
      </c>
      <c r="AE1726" s="580">
        <f t="shared" si="167"/>
        <v>2.5</v>
      </c>
      <c r="AF1726" s="580">
        <f t="shared" si="168"/>
        <v>2.5</v>
      </c>
      <c r="AG1726" s="580">
        <f t="shared" si="169"/>
        <v>0</v>
      </c>
      <c r="AH1726" s="580">
        <f t="shared" si="170"/>
        <v>0</v>
      </c>
    </row>
    <row r="1727" spans="28:34">
      <c r="AB1727" s="580">
        <f>HLOOKUP("*"&amp;'Output annual'!$AC$2&amp;'Output annual'!$AD$2&amp;"*Zone People Number Of Occupants [](Hourly)",'Eplus results'!$1:$1048576,ROW(),FALSE)</f>
        <v>0</v>
      </c>
      <c r="AC1727" s="580">
        <f>HLOOKUP("*"&amp;'Output annual'!$AC$2&amp;'Output annual'!$AD$2&amp;"*FangerPMV(Hourly)",'Eplus results'!$1:$1048576,ROW(),FALSE)</f>
        <v>0</v>
      </c>
      <c r="AD1727" s="580">
        <f t="shared" si="166"/>
        <v>5</v>
      </c>
      <c r="AE1727" s="580">
        <f t="shared" si="167"/>
        <v>2.5</v>
      </c>
      <c r="AF1727" s="580">
        <f t="shared" si="168"/>
        <v>2.5</v>
      </c>
      <c r="AG1727" s="580">
        <f t="shared" si="169"/>
        <v>0</v>
      </c>
      <c r="AH1727" s="580">
        <f t="shared" si="170"/>
        <v>0</v>
      </c>
    </row>
    <row r="1728" spans="28:34">
      <c r="AB1728" s="580">
        <f>HLOOKUP("*"&amp;'Output annual'!$AC$2&amp;'Output annual'!$AD$2&amp;"*Zone People Number Of Occupants [](Hourly)",'Eplus results'!$1:$1048576,ROW(),FALSE)</f>
        <v>0</v>
      </c>
      <c r="AC1728" s="580">
        <f>HLOOKUP("*"&amp;'Output annual'!$AC$2&amp;'Output annual'!$AD$2&amp;"*FangerPMV(Hourly)",'Eplus results'!$1:$1048576,ROW(),FALSE)</f>
        <v>0</v>
      </c>
      <c r="AD1728" s="580">
        <f t="shared" si="166"/>
        <v>5</v>
      </c>
      <c r="AE1728" s="580">
        <f t="shared" si="167"/>
        <v>2.5</v>
      </c>
      <c r="AF1728" s="580">
        <f t="shared" si="168"/>
        <v>2.5</v>
      </c>
      <c r="AG1728" s="580">
        <f t="shared" si="169"/>
        <v>0</v>
      </c>
      <c r="AH1728" s="580">
        <f t="shared" si="170"/>
        <v>0</v>
      </c>
    </row>
    <row r="1729" spans="28:34">
      <c r="AB1729" s="580">
        <f>HLOOKUP("*"&amp;'Output annual'!$AC$2&amp;'Output annual'!$AD$2&amp;"*Zone People Number Of Occupants [](Hourly)",'Eplus results'!$1:$1048576,ROW(),FALSE)</f>
        <v>0</v>
      </c>
      <c r="AC1729" s="580">
        <f>HLOOKUP("*"&amp;'Output annual'!$AC$2&amp;'Output annual'!$AD$2&amp;"*FangerPMV(Hourly)",'Eplus results'!$1:$1048576,ROW(),FALSE)</f>
        <v>0</v>
      </c>
      <c r="AD1729" s="580">
        <f t="shared" si="166"/>
        <v>5</v>
      </c>
      <c r="AE1729" s="580">
        <f t="shared" si="167"/>
        <v>2.5</v>
      </c>
      <c r="AF1729" s="580">
        <f t="shared" si="168"/>
        <v>2.5</v>
      </c>
      <c r="AG1729" s="580">
        <f t="shared" si="169"/>
        <v>0</v>
      </c>
      <c r="AH1729" s="580">
        <f t="shared" si="170"/>
        <v>0</v>
      </c>
    </row>
    <row r="1730" spans="28:34">
      <c r="AB1730" s="580">
        <f>HLOOKUP("*"&amp;'Output annual'!$AC$2&amp;'Output annual'!$AD$2&amp;"*Zone People Number Of Occupants [](Hourly)",'Eplus results'!$1:$1048576,ROW(),FALSE)</f>
        <v>0</v>
      </c>
      <c r="AC1730" s="580">
        <f>HLOOKUP("*"&amp;'Output annual'!$AC$2&amp;'Output annual'!$AD$2&amp;"*FangerPMV(Hourly)",'Eplus results'!$1:$1048576,ROW(),FALSE)</f>
        <v>0</v>
      </c>
      <c r="AD1730" s="580">
        <f t="shared" si="166"/>
        <v>5</v>
      </c>
      <c r="AE1730" s="580">
        <f t="shared" si="167"/>
        <v>2.5</v>
      </c>
      <c r="AF1730" s="580">
        <f t="shared" si="168"/>
        <v>2.5</v>
      </c>
      <c r="AG1730" s="580">
        <f t="shared" si="169"/>
        <v>0</v>
      </c>
      <c r="AH1730" s="580">
        <f t="shared" si="170"/>
        <v>0</v>
      </c>
    </row>
    <row r="1731" spans="28:34">
      <c r="AB1731" s="580">
        <f>HLOOKUP("*"&amp;'Output annual'!$AC$2&amp;'Output annual'!$AD$2&amp;"*Zone People Number Of Occupants [](Hourly)",'Eplus results'!$1:$1048576,ROW(),FALSE)</f>
        <v>0</v>
      </c>
      <c r="AC1731" s="580">
        <f>HLOOKUP("*"&amp;'Output annual'!$AC$2&amp;'Output annual'!$AD$2&amp;"*FangerPMV(Hourly)",'Eplus results'!$1:$1048576,ROW(),FALSE)</f>
        <v>0</v>
      </c>
      <c r="AD1731" s="580">
        <f t="shared" ref="AD1731:AD1794" si="171">100-95*EXP(-0.03353*AC1731^4-0.2179*AC1731^2)</f>
        <v>5</v>
      </c>
      <c r="AE1731" s="580">
        <f t="shared" ref="AE1731:AE1794" si="172">AD1731*(1/(1+EXP(-6.3*$AC1731)))</f>
        <v>2.5</v>
      </c>
      <c r="AF1731" s="580">
        <f t="shared" ref="AF1731:AF1794" si="173">(AD1731-AE1731)</f>
        <v>2.5</v>
      </c>
      <c r="AG1731" s="580">
        <f t="shared" ref="AG1731:AG1794" si="174">AE1731*AB1731</f>
        <v>0</v>
      </c>
      <c r="AH1731" s="580">
        <f t="shared" ref="AH1731:AH1794" si="175">AF1731*AB1731</f>
        <v>0</v>
      </c>
    </row>
    <row r="1732" spans="28:34">
      <c r="AB1732" s="580">
        <f>HLOOKUP("*"&amp;'Output annual'!$AC$2&amp;'Output annual'!$AD$2&amp;"*Zone People Number Of Occupants [](Hourly)",'Eplus results'!$1:$1048576,ROW(),FALSE)</f>
        <v>0</v>
      </c>
      <c r="AC1732" s="580">
        <f>HLOOKUP("*"&amp;'Output annual'!$AC$2&amp;'Output annual'!$AD$2&amp;"*FangerPMV(Hourly)",'Eplus results'!$1:$1048576,ROW(),FALSE)</f>
        <v>0</v>
      </c>
      <c r="AD1732" s="580">
        <f t="shared" si="171"/>
        <v>5</v>
      </c>
      <c r="AE1732" s="580">
        <f t="shared" si="172"/>
        <v>2.5</v>
      </c>
      <c r="AF1732" s="580">
        <f t="shared" si="173"/>
        <v>2.5</v>
      </c>
      <c r="AG1732" s="580">
        <f t="shared" si="174"/>
        <v>0</v>
      </c>
      <c r="AH1732" s="580">
        <f t="shared" si="175"/>
        <v>0</v>
      </c>
    </row>
    <row r="1733" spans="28:34">
      <c r="AB1733" s="580">
        <f>HLOOKUP("*"&amp;'Output annual'!$AC$2&amp;'Output annual'!$AD$2&amp;"*Zone People Number Of Occupants [](Hourly)",'Eplus results'!$1:$1048576,ROW(),FALSE)</f>
        <v>0</v>
      </c>
      <c r="AC1733" s="580">
        <f>HLOOKUP("*"&amp;'Output annual'!$AC$2&amp;'Output annual'!$AD$2&amp;"*FangerPMV(Hourly)",'Eplus results'!$1:$1048576,ROW(),FALSE)</f>
        <v>0</v>
      </c>
      <c r="AD1733" s="580">
        <f t="shared" si="171"/>
        <v>5</v>
      </c>
      <c r="AE1733" s="580">
        <f t="shared" si="172"/>
        <v>2.5</v>
      </c>
      <c r="AF1733" s="580">
        <f t="shared" si="173"/>
        <v>2.5</v>
      </c>
      <c r="AG1733" s="580">
        <f t="shared" si="174"/>
        <v>0</v>
      </c>
      <c r="AH1733" s="580">
        <f t="shared" si="175"/>
        <v>0</v>
      </c>
    </row>
    <row r="1734" spans="28:34">
      <c r="AB1734" s="580">
        <f>HLOOKUP("*"&amp;'Output annual'!$AC$2&amp;'Output annual'!$AD$2&amp;"*Zone People Number Of Occupants [](Hourly)",'Eplus results'!$1:$1048576,ROW(),FALSE)</f>
        <v>0</v>
      </c>
      <c r="AC1734" s="580">
        <f>HLOOKUP("*"&amp;'Output annual'!$AC$2&amp;'Output annual'!$AD$2&amp;"*FangerPMV(Hourly)",'Eplus results'!$1:$1048576,ROW(),FALSE)</f>
        <v>0</v>
      </c>
      <c r="AD1734" s="580">
        <f t="shared" si="171"/>
        <v>5</v>
      </c>
      <c r="AE1734" s="580">
        <f t="shared" si="172"/>
        <v>2.5</v>
      </c>
      <c r="AF1734" s="580">
        <f t="shared" si="173"/>
        <v>2.5</v>
      </c>
      <c r="AG1734" s="580">
        <f t="shared" si="174"/>
        <v>0</v>
      </c>
      <c r="AH1734" s="580">
        <f t="shared" si="175"/>
        <v>0</v>
      </c>
    </row>
    <row r="1735" spans="28:34">
      <c r="AB1735" s="580">
        <f>HLOOKUP("*"&amp;'Output annual'!$AC$2&amp;'Output annual'!$AD$2&amp;"*Zone People Number Of Occupants [](Hourly)",'Eplus results'!$1:$1048576,ROW(),FALSE)</f>
        <v>0</v>
      </c>
      <c r="AC1735" s="580">
        <f>HLOOKUP("*"&amp;'Output annual'!$AC$2&amp;'Output annual'!$AD$2&amp;"*FangerPMV(Hourly)",'Eplus results'!$1:$1048576,ROW(),FALSE)</f>
        <v>0</v>
      </c>
      <c r="AD1735" s="580">
        <f t="shared" si="171"/>
        <v>5</v>
      </c>
      <c r="AE1735" s="580">
        <f t="shared" si="172"/>
        <v>2.5</v>
      </c>
      <c r="AF1735" s="580">
        <f t="shared" si="173"/>
        <v>2.5</v>
      </c>
      <c r="AG1735" s="580">
        <f t="shared" si="174"/>
        <v>0</v>
      </c>
      <c r="AH1735" s="580">
        <f t="shared" si="175"/>
        <v>0</v>
      </c>
    </row>
    <row r="1736" spans="28:34">
      <c r="AB1736" s="580">
        <f>HLOOKUP("*"&amp;'Output annual'!$AC$2&amp;'Output annual'!$AD$2&amp;"*Zone People Number Of Occupants [](Hourly)",'Eplus results'!$1:$1048576,ROW(),FALSE)</f>
        <v>0</v>
      </c>
      <c r="AC1736" s="580">
        <f>HLOOKUP("*"&amp;'Output annual'!$AC$2&amp;'Output annual'!$AD$2&amp;"*FangerPMV(Hourly)",'Eplus results'!$1:$1048576,ROW(),FALSE)</f>
        <v>0</v>
      </c>
      <c r="AD1736" s="580">
        <f t="shared" si="171"/>
        <v>5</v>
      </c>
      <c r="AE1736" s="580">
        <f t="shared" si="172"/>
        <v>2.5</v>
      </c>
      <c r="AF1736" s="580">
        <f t="shared" si="173"/>
        <v>2.5</v>
      </c>
      <c r="AG1736" s="580">
        <f t="shared" si="174"/>
        <v>0</v>
      </c>
      <c r="AH1736" s="580">
        <f t="shared" si="175"/>
        <v>0</v>
      </c>
    </row>
    <row r="1737" spans="28:34">
      <c r="AB1737" s="580">
        <f>HLOOKUP("*"&amp;'Output annual'!$AC$2&amp;'Output annual'!$AD$2&amp;"*Zone People Number Of Occupants [](Hourly)",'Eplus results'!$1:$1048576,ROW(),FALSE)</f>
        <v>0</v>
      </c>
      <c r="AC1737" s="580">
        <f>HLOOKUP("*"&amp;'Output annual'!$AC$2&amp;'Output annual'!$AD$2&amp;"*FangerPMV(Hourly)",'Eplus results'!$1:$1048576,ROW(),FALSE)</f>
        <v>0</v>
      </c>
      <c r="AD1737" s="580">
        <f t="shared" si="171"/>
        <v>5</v>
      </c>
      <c r="AE1737" s="580">
        <f t="shared" si="172"/>
        <v>2.5</v>
      </c>
      <c r="AF1737" s="580">
        <f t="shared" si="173"/>
        <v>2.5</v>
      </c>
      <c r="AG1737" s="580">
        <f t="shared" si="174"/>
        <v>0</v>
      </c>
      <c r="AH1737" s="580">
        <f t="shared" si="175"/>
        <v>0</v>
      </c>
    </row>
    <row r="1738" spans="28:34">
      <c r="AB1738" s="580">
        <f>HLOOKUP("*"&amp;'Output annual'!$AC$2&amp;'Output annual'!$AD$2&amp;"*Zone People Number Of Occupants [](Hourly)",'Eplus results'!$1:$1048576,ROW(),FALSE)</f>
        <v>0</v>
      </c>
      <c r="AC1738" s="580">
        <f>HLOOKUP("*"&amp;'Output annual'!$AC$2&amp;'Output annual'!$AD$2&amp;"*FangerPMV(Hourly)",'Eplus results'!$1:$1048576,ROW(),FALSE)</f>
        <v>0</v>
      </c>
      <c r="AD1738" s="580">
        <f t="shared" si="171"/>
        <v>5</v>
      </c>
      <c r="AE1738" s="580">
        <f t="shared" si="172"/>
        <v>2.5</v>
      </c>
      <c r="AF1738" s="580">
        <f t="shared" si="173"/>
        <v>2.5</v>
      </c>
      <c r="AG1738" s="580">
        <f t="shared" si="174"/>
        <v>0</v>
      </c>
      <c r="AH1738" s="580">
        <f t="shared" si="175"/>
        <v>0</v>
      </c>
    </row>
    <row r="1739" spans="28:34">
      <c r="AB1739" s="580">
        <f>HLOOKUP("*"&amp;'Output annual'!$AC$2&amp;'Output annual'!$AD$2&amp;"*Zone People Number Of Occupants [](Hourly)",'Eplus results'!$1:$1048576,ROW(),FALSE)</f>
        <v>0</v>
      </c>
      <c r="AC1739" s="580">
        <f>HLOOKUP("*"&amp;'Output annual'!$AC$2&amp;'Output annual'!$AD$2&amp;"*FangerPMV(Hourly)",'Eplus results'!$1:$1048576,ROW(),FALSE)</f>
        <v>0</v>
      </c>
      <c r="AD1739" s="580">
        <f t="shared" si="171"/>
        <v>5</v>
      </c>
      <c r="AE1739" s="580">
        <f t="shared" si="172"/>
        <v>2.5</v>
      </c>
      <c r="AF1739" s="580">
        <f t="shared" si="173"/>
        <v>2.5</v>
      </c>
      <c r="AG1739" s="580">
        <f t="shared" si="174"/>
        <v>0</v>
      </c>
      <c r="AH1739" s="580">
        <f t="shared" si="175"/>
        <v>0</v>
      </c>
    </row>
    <row r="1740" spans="28:34">
      <c r="AB1740" s="580">
        <f>HLOOKUP("*"&amp;'Output annual'!$AC$2&amp;'Output annual'!$AD$2&amp;"*Zone People Number Of Occupants [](Hourly)",'Eplus results'!$1:$1048576,ROW(),FALSE)</f>
        <v>0</v>
      </c>
      <c r="AC1740" s="580">
        <f>HLOOKUP("*"&amp;'Output annual'!$AC$2&amp;'Output annual'!$AD$2&amp;"*FangerPMV(Hourly)",'Eplus results'!$1:$1048576,ROW(),FALSE)</f>
        <v>0</v>
      </c>
      <c r="AD1740" s="580">
        <f t="shared" si="171"/>
        <v>5</v>
      </c>
      <c r="AE1740" s="580">
        <f t="shared" si="172"/>
        <v>2.5</v>
      </c>
      <c r="AF1740" s="580">
        <f t="shared" si="173"/>
        <v>2.5</v>
      </c>
      <c r="AG1740" s="580">
        <f t="shared" si="174"/>
        <v>0</v>
      </c>
      <c r="AH1740" s="580">
        <f t="shared" si="175"/>
        <v>0</v>
      </c>
    </row>
    <row r="1741" spans="28:34">
      <c r="AB1741" s="580">
        <f>HLOOKUP("*"&amp;'Output annual'!$AC$2&amp;'Output annual'!$AD$2&amp;"*Zone People Number Of Occupants [](Hourly)",'Eplus results'!$1:$1048576,ROW(),FALSE)</f>
        <v>0</v>
      </c>
      <c r="AC1741" s="580">
        <f>HLOOKUP("*"&amp;'Output annual'!$AC$2&amp;'Output annual'!$AD$2&amp;"*FangerPMV(Hourly)",'Eplus results'!$1:$1048576,ROW(),FALSE)</f>
        <v>0</v>
      </c>
      <c r="AD1741" s="580">
        <f t="shared" si="171"/>
        <v>5</v>
      </c>
      <c r="AE1741" s="580">
        <f t="shared" si="172"/>
        <v>2.5</v>
      </c>
      <c r="AF1741" s="580">
        <f t="shared" si="173"/>
        <v>2.5</v>
      </c>
      <c r="AG1741" s="580">
        <f t="shared" si="174"/>
        <v>0</v>
      </c>
      <c r="AH1741" s="580">
        <f t="shared" si="175"/>
        <v>0</v>
      </c>
    </row>
    <row r="1742" spans="28:34">
      <c r="AB1742" s="580">
        <f>HLOOKUP("*"&amp;'Output annual'!$AC$2&amp;'Output annual'!$AD$2&amp;"*Zone People Number Of Occupants [](Hourly)",'Eplus results'!$1:$1048576,ROW(),FALSE)</f>
        <v>0</v>
      </c>
      <c r="AC1742" s="580">
        <f>HLOOKUP("*"&amp;'Output annual'!$AC$2&amp;'Output annual'!$AD$2&amp;"*FangerPMV(Hourly)",'Eplus results'!$1:$1048576,ROW(),FALSE)</f>
        <v>0</v>
      </c>
      <c r="AD1742" s="580">
        <f t="shared" si="171"/>
        <v>5</v>
      </c>
      <c r="AE1742" s="580">
        <f t="shared" si="172"/>
        <v>2.5</v>
      </c>
      <c r="AF1742" s="580">
        <f t="shared" si="173"/>
        <v>2.5</v>
      </c>
      <c r="AG1742" s="580">
        <f t="shared" si="174"/>
        <v>0</v>
      </c>
      <c r="AH1742" s="580">
        <f t="shared" si="175"/>
        <v>0</v>
      </c>
    </row>
    <row r="1743" spans="28:34">
      <c r="AB1743" s="580">
        <f>HLOOKUP("*"&amp;'Output annual'!$AC$2&amp;'Output annual'!$AD$2&amp;"*Zone People Number Of Occupants [](Hourly)",'Eplus results'!$1:$1048576,ROW(),FALSE)</f>
        <v>0</v>
      </c>
      <c r="AC1743" s="580">
        <f>HLOOKUP("*"&amp;'Output annual'!$AC$2&amp;'Output annual'!$AD$2&amp;"*FangerPMV(Hourly)",'Eplus results'!$1:$1048576,ROW(),FALSE)</f>
        <v>0</v>
      </c>
      <c r="AD1743" s="580">
        <f t="shared" si="171"/>
        <v>5</v>
      </c>
      <c r="AE1743" s="580">
        <f t="shared" si="172"/>
        <v>2.5</v>
      </c>
      <c r="AF1743" s="580">
        <f t="shared" si="173"/>
        <v>2.5</v>
      </c>
      <c r="AG1743" s="580">
        <f t="shared" si="174"/>
        <v>0</v>
      </c>
      <c r="AH1743" s="580">
        <f t="shared" si="175"/>
        <v>0</v>
      </c>
    </row>
    <row r="1744" spans="28:34">
      <c r="AB1744" s="580">
        <f>HLOOKUP("*"&amp;'Output annual'!$AC$2&amp;'Output annual'!$AD$2&amp;"*Zone People Number Of Occupants [](Hourly)",'Eplus results'!$1:$1048576,ROW(),FALSE)</f>
        <v>0</v>
      </c>
      <c r="AC1744" s="580">
        <f>HLOOKUP("*"&amp;'Output annual'!$AC$2&amp;'Output annual'!$AD$2&amp;"*FangerPMV(Hourly)",'Eplus results'!$1:$1048576,ROW(),FALSE)</f>
        <v>0</v>
      </c>
      <c r="AD1744" s="580">
        <f t="shared" si="171"/>
        <v>5</v>
      </c>
      <c r="AE1744" s="580">
        <f t="shared" si="172"/>
        <v>2.5</v>
      </c>
      <c r="AF1744" s="580">
        <f t="shared" si="173"/>
        <v>2.5</v>
      </c>
      <c r="AG1744" s="580">
        <f t="shared" si="174"/>
        <v>0</v>
      </c>
      <c r="AH1744" s="580">
        <f t="shared" si="175"/>
        <v>0</v>
      </c>
    </row>
    <row r="1745" spans="28:34">
      <c r="AB1745" s="580">
        <f>HLOOKUP("*"&amp;'Output annual'!$AC$2&amp;'Output annual'!$AD$2&amp;"*Zone People Number Of Occupants [](Hourly)",'Eplus results'!$1:$1048576,ROW(),FALSE)</f>
        <v>0</v>
      </c>
      <c r="AC1745" s="580">
        <f>HLOOKUP("*"&amp;'Output annual'!$AC$2&amp;'Output annual'!$AD$2&amp;"*FangerPMV(Hourly)",'Eplus results'!$1:$1048576,ROW(),FALSE)</f>
        <v>0</v>
      </c>
      <c r="AD1745" s="580">
        <f t="shared" si="171"/>
        <v>5</v>
      </c>
      <c r="AE1745" s="580">
        <f t="shared" si="172"/>
        <v>2.5</v>
      </c>
      <c r="AF1745" s="580">
        <f t="shared" si="173"/>
        <v>2.5</v>
      </c>
      <c r="AG1745" s="580">
        <f t="shared" si="174"/>
        <v>0</v>
      </c>
      <c r="AH1745" s="580">
        <f t="shared" si="175"/>
        <v>0</v>
      </c>
    </row>
    <row r="1746" spans="28:34">
      <c r="AB1746" s="580">
        <f>HLOOKUP("*"&amp;'Output annual'!$AC$2&amp;'Output annual'!$AD$2&amp;"*Zone People Number Of Occupants [](Hourly)",'Eplus results'!$1:$1048576,ROW(),FALSE)</f>
        <v>0</v>
      </c>
      <c r="AC1746" s="580">
        <f>HLOOKUP("*"&amp;'Output annual'!$AC$2&amp;'Output annual'!$AD$2&amp;"*FangerPMV(Hourly)",'Eplus results'!$1:$1048576,ROW(),FALSE)</f>
        <v>0</v>
      </c>
      <c r="AD1746" s="580">
        <f t="shared" si="171"/>
        <v>5</v>
      </c>
      <c r="AE1746" s="580">
        <f t="shared" si="172"/>
        <v>2.5</v>
      </c>
      <c r="AF1746" s="580">
        <f t="shared" si="173"/>
        <v>2.5</v>
      </c>
      <c r="AG1746" s="580">
        <f t="shared" si="174"/>
        <v>0</v>
      </c>
      <c r="AH1746" s="580">
        <f t="shared" si="175"/>
        <v>0</v>
      </c>
    </row>
    <row r="1747" spans="28:34">
      <c r="AB1747" s="580">
        <f>HLOOKUP("*"&amp;'Output annual'!$AC$2&amp;'Output annual'!$AD$2&amp;"*Zone People Number Of Occupants [](Hourly)",'Eplus results'!$1:$1048576,ROW(),FALSE)</f>
        <v>0</v>
      </c>
      <c r="AC1747" s="580">
        <f>HLOOKUP("*"&amp;'Output annual'!$AC$2&amp;'Output annual'!$AD$2&amp;"*FangerPMV(Hourly)",'Eplus results'!$1:$1048576,ROW(),FALSE)</f>
        <v>0</v>
      </c>
      <c r="AD1747" s="580">
        <f t="shared" si="171"/>
        <v>5</v>
      </c>
      <c r="AE1747" s="580">
        <f t="shared" si="172"/>
        <v>2.5</v>
      </c>
      <c r="AF1747" s="580">
        <f t="shared" si="173"/>
        <v>2.5</v>
      </c>
      <c r="AG1747" s="580">
        <f t="shared" si="174"/>
        <v>0</v>
      </c>
      <c r="AH1747" s="580">
        <f t="shared" si="175"/>
        <v>0</v>
      </c>
    </row>
    <row r="1748" spans="28:34">
      <c r="AB1748" s="580">
        <f>HLOOKUP("*"&amp;'Output annual'!$AC$2&amp;'Output annual'!$AD$2&amp;"*Zone People Number Of Occupants [](Hourly)",'Eplus results'!$1:$1048576,ROW(),FALSE)</f>
        <v>0</v>
      </c>
      <c r="AC1748" s="580">
        <f>HLOOKUP("*"&amp;'Output annual'!$AC$2&amp;'Output annual'!$AD$2&amp;"*FangerPMV(Hourly)",'Eplus results'!$1:$1048576,ROW(),FALSE)</f>
        <v>0</v>
      </c>
      <c r="AD1748" s="580">
        <f t="shared" si="171"/>
        <v>5</v>
      </c>
      <c r="AE1748" s="580">
        <f t="shared" si="172"/>
        <v>2.5</v>
      </c>
      <c r="AF1748" s="580">
        <f t="shared" si="173"/>
        <v>2.5</v>
      </c>
      <c r="AG1748" s="580">
        <f t="shared" si="174"/>
        <v>0</v>
      </c>
      <c r="AH1748" s="580">
        <f t="shared" si="175"/>
        <v>0</v>
      </c>
    </row>
    <row r="1749" spans="28:34">
      <c r="AB1749" s="580">
        <f>HLOOKUP("*"&amp;'Output annual'!$AC$2&amp;'Output annual'!$AD$2&amp;"*Zone People Number Of Occupants [](Hourly)",'Eplus results'!$1:$1048576,ROW(),FALSE)</f>
        <v>0</v>
      </c>
      <c r="AC1749" s="580">
        <f>HLOOKUP("*"&amp;'Output annual'!$AC$2&amp;'Output annual'!$AD$2&amp;"*FangerPMV(Hourly)",'Eplus results'!$1:$1048576,ROW(),FALSE)</f>
        <v>0</v>
      </c>
      <c r="AD1749" s="580">
        <f t="shared" si="171"/>
        <v>5</v>
      </c>
      <c r="AE1749" s="580">
        <f t="shared" si="172"/>
        <v>2.5</v>
      </c>
      <c r="AF1749" s="580">
        <f t="shared" si="173"/>
        <v>2.5</v>
      </c>
      <c r="AG1749" s="580">
        <f t="shared" si="174"/>
        <v>0</v>
      </c>
      <c r="AH1749" s="580">
        <f t="shared" si="175"/>
        <v>0</v>
      </c>
    </row>
    <row r="1750" spans="28:34">
      <c r="AB1750" s="580">
        <f>HLOOKUP("*"&amp;'Output annual'!$AC$2&amp;'Output annual'!$AD$2&amp;"*Zone People Number Of Occupants [](Hourly)",'Eplus results'!$1:$1048576,ROW(),FALSE)</f>
        <v>0</v>
      </c>
      <c r="AC1750" s="580">
        <f>HLOOKUP("*"&amp;'Output annual'!$AC$2&amp;'Output annual'!$AD$2&amp;"*FangerPMV(Hourly)",'Eplus results'!$1:$1048576,ROW(),FALSE)</f>
        <v>0</v>
      </c>
      <c r="AD1750" s="580">
        <f t="shared" si="171"/>
        <v>5</v>
      </c>
      <c r="AE1750" s="580">
        <f t="shared" si="172"/>
        <v>2.5</v>
      </c>
      <c r="AF1750" s="580">
        <f t="shared" si="173"/>
        <v>2.5</v>
      </c>
      <c r="AG1750" s="580">
        <f t="shared" si="174"/>
        <v>0</v>
      </c>
      <c r="AH1750" s="580">
        <f t="shared" si="175"/>
        <v>0</v>
      </c>
    </row>
    <row r="1751" spans="28:34">
      <c r="AB1751" s="580">
        <f>HLOOKUP("*"&amp;'Output annual'!$AC$2&amp;'Output annual'!$AD$2&amp;"*Zone People Number Of Occupants [](Hourly)",'Eplus results'!$1:$1048576,ROW(),FALSE)</f>
        <v>0</v>
      </c>
      <c r="AC1751" s="580">
        <f>HLOOKUP("*"&amp;'Output annual'!$AC$2&amp;'Output annual'!$AD$2&amp;"*FangerPMV(Hourly)",'Eplus results'!$1:$1048576,ROW(),FALSE)</f>
        <v>0</v>
      </c>
      <c r="AD1751" s="580">
        <f t="shared" si="171"/>
        <v>5</v>
      </c>
      <c r="AE1751" s="580">
        <f t="shared" si="172"/>
        <v>2.5</v>
      </c>
      <c r="AF1751" s="580">
        <f t="shared" si="173"/>
        <v>2.5</v>
      </c>
      <c r="AG1751" s="580">
        <f t="shared" si="174"/>
        <v>0</v>
      </c>
      <c r="AH1751" s="580">
        <f t="shared" si="175"/>
        <v>0</v>
      </c>
    </row>
    <row r="1752" spans="28:34">
      <c r="AB1752" s="580">
        <f>HLOOKUP("*"&amp;'Output annual'!$AC$2&amp;'Output annual'!$AD$2&amp;"*Zone People Number Of Occupants [](Hourly)",'Eplus results'!$1:$1048576,ROW(),FALSE)</f>
        <v>0</v>
      </c>
      <c r="AC1752" s="580">
        <f>HLOOKUP("*"&amp;'Output annual'!$AC$2&amp;'Output annual'!$AD$2&amp;"*FangerPMV(Hourly)",'Eplus results'!$1:$1048576,ROW(),FALSE)</f>
        <v>0</v>
      </c>
      <c r="AD1752" s="580">
        <f t="shared" si="171"/>
        <v>5</v>
      </c>
      <c r="AE1752" s="580">
        <f t="shared" si="172"/>
        <v>2.5</v>
      </c>
      <c r="AF1752" s="580">
        <f t="shared" si="173"/>
        <v>2.5</v>
      </c>
      <c r="AG1752" s="580">
        <f t="shared" si="174"/>
        <v>0</v>
      </c>
      <c r="AH1752" s="580">
        <f t="shared" si="175"/>
        <v>0</v>
      </c>
    </row>
    <row r="1753" spans="28:34">
      <c r="AB1753" s="580">
        <f>HLOOKUP("*"&amp;'Output annual'!$AC$2&amp;'Output annual'!$AD$2&amp;"*Zone People Number Of Occupants [](Hourly)",'Eplus results'!$1:$1048576,ROW(),FALSE)</f>
        <v>0</v>
      </c>
      <c r="AC1753" s="580">
        <f>HLOOKUP("*"&amp;'Output annual'!$AC$2&amp;'Output annual'!$AD$2&amp;"*FangerPMV(Hourly)",'Eplus results'!$1:$1048576,ROW(),FALSE)</f>
        <v>0</v>
      </c>
      <c r="AD1753" s="580">
        <f t="shared" si="171"/>
        <v>5</v>
      </c>
      <c r="AE1753" s="580">
        <f t="shared" si="172"/>
        <v>2.5</v>
      </c>
      <c r="AF1753" s="580">
        <f t="shared" si="173"/>
        <v>2.5</v>
      </c>
      <c r="AG1753" s="580">
        <f t="shared" si="174"/>
        <v>0</v>
      </c>
      <c r="AH1753" s="580">
        <f t="shared" si="175"/>
        <v>0</v>
      </c>
    </row>
    <row r="1754" spans="28:34">
      <c r="AB1754" s="580">
        <f>HLOOKUP("*"&amp;'Output annual'!$AC$2&amp;'Output annual'!$AD$2&amp;"*Zone People Number Of Occupants [](Hourly)",'Eplus results'!$1:$1048576,ROW(),FALSE)</f>
        <v>0</v>
      </c>
      <c r="AC1754" s="580">
        <f>HLOOKUP("*"&amp;'Output annual'!$AC$2&amp;'Output annual'!$AD$2&amp;"*FangerPMV(Hourly)",'Eplus results'!$1:$1048576,ROW(),FALSE)</f>
        <v>0</v>
      </c>
      <c r="AD1754" s="580">
        <f t="shared" si="171"/>
        <v>5</v>
      </c>
      <c r="AE1754" s="580">
        <f t="shared" si="172"/>
        <v>2.5</v>
      </c>
      <c r="AF1754" s="580">
        <f t="shared" si="173"/>
        <v>2.5</v>
      </c>
      <c r="AG1754" s="580">
        <f t="shared" si="174"/>
        <v>0</v>
      </c>
      <c r="AH1754" s="580">
        <f t="shared" si="175"/>
        <v>0</v>
      </c>
    </row>
    <row r="1755" spans="28:34">
      <c r="AB1755" s="580">
        <f>HLOOKUP("*"&amp;'Output annual'!$AC$2&amp;'Output annual'!$AD$2&amp;"*Zone People Number Of Occupants [](Hourly)",'Eplus results'!$1:$1048576,ROW(),FALSE)</f>
        <v>0</v>
      </c>
      <c r="AC1755" s="580">
        <f>HLOOKUP("*"&amp;'Output annual'!$AC$2&amp;'Output annual'!$AD$2&amp;"*FangerPMV(Hourly)",'Eplus results'!$1:$1048576,ROW(),FALSE)</f>
        <v>0</v>
      </c>
      <c r="AD1755" s="580">
        <f t="shared" si="171"/>
        <v>5</v>
      </c>
      <c r="AE1755" s="580">
        <f t="shared" si="172"/>
        <v>2.5</v>
      </c>
      <c r="AF1755" s="580">
        <f t="shared" si="173"/>
        <v>2.5</v>
      </c>
      <c r="AG1755" s="580">
        <f t="shared" si="174"/>
        <v>0</v>
      </c>
      <c r="AH1755" s="580">
        <f t="shared" si="175"/>
        <v>0</v>
      </c>
    </row>
    <row r="1756" spans="28:34">
      <c r="AB1756" s="580">
        <f>HLOOKUP("*"&amp;'Output annual'!$AC$2&amp;'Output annual'!$AD$2&amp;"*Zone People Number Of Occupants [](Hourly)",'Eplus results'!$1:$1048576,ROW(),FALSE)</f>
        <v>0</v>
      </c>
      <c r="AC1756" s="580">
        <f>HLOOKUP("*"&amp;'Output annual'!$AC$2&amp;'Output annual'!$AD$2&amp;"*FangerPMV(Hourly)",'Eplus results'!$1:$1048576,ROW(),FALSE)</f>
        <v>0</v>
      </c>
      <c r="AD1756" s="580">
        <f t="shared" si="171"/>
        <v>5</v>
      </c>
      <c r="AE1756" s="580">
        <f t="shared" si="172"/>
        <v>2.5</v>
      </c>
      <c r="AF1756" s="580">
        <f t="shared" si="173"/>
        <v>2.5</v>
      </c>
      <c r="AG1756" s="580">
        <f t="shared" si="174"/>
        <v>0</v>
      </c>
      <c r="AH1756" s="580">
        <f t="shared" si="175"/>
        <v>0</v>
      </c>
    </row>
    <row r="1757" spans="28:34">
      <c r="AB1757" s="580">
        <f>HLOOKUP("*"&amp;'Output annual'!$AC$2&amp;'Output annual'!$AD$2&amp;"*Zone People Number Of Occupants [](Hourly)",'Eplus results'!$1:$1048576,ROW(),FALSE)</f>
        <v>0</v>
      </c>
      <c r="AC1757" s="580">
        <f>HLOOKUP("*"&amp;'Output annual'!$AC$2&amp;'Output annual'!$AD$2&amp;"*FangerPMV(Hourly)",'Eplus results'!$1:$1048576,ROW(),FALSE)</f>
        <v>0</v>
      </c>
      <c r="AD1757" s="580">
        <f t="shared" si="171"/>
        <v>5</v>
      </c>
      <c r="AE1757" s="580">
        <f t="shared" si="172"/>
        <v>2.5</v>
      </c>
      <c r="AF1757" s="580">
        <f t="shared" si="173"/>
        <v>2.5</v>
      </c>
      <c r="AG1757" s="580">
        <f t="shared" si="174"/>
        <v>0</v>
      </c>
      <c r="AH1757" s="580">
        <f t="shared" si="175"/>
        <v>0</v>
      </c>
    </row>
    <row r="1758" spans="28:34">
      <c r="AB1758" s="580">
        <f>HLOOKUP("*"&amp;'Output annual'!$AC$2&amp;'Output annual'!$AD$2&amp;"*Zone People Number Of Occupants [](Hourly)",'Eplus results'!$1:$1048576,ROW(),FALSE)</f>
        <v>0</v>
      </c>
      <c r="AC1758" s="580">
        <f>HLOOKUP("*"&amp;'Output annual'!$AC$2&amp;'Output annual'!$AD$2&amp;"*FangerPMV(Hourly)",'Eplus results'!$1:$1048576,ROW(),FALSE)</f>
        <v>0</v>
      </c>
      <c r="AD1758" s="580">
        <f t="shared" si="171"/>
        <v>5</v>
      </c>
      <c r="AE1758" s="580">
        <f t="shared" si="172"/>
        <v>2.5</v>
      </c>
      <c r="AF1758" s="580">
        <f t="shared" si="173"/>
        <v>2.5</v>
      </c>
      <c r="AG1758" s="580">
        <f t="shared" si="174"/>
        <v>0</v>
      </c>
      <c r="AH1758" s="580">
        <f t="shared" si="175"/>
        <v>0</v>
      </c>
    </row>
    <row r="1759" spans="28:34">
      <c r="AB1759" s="580">
        <f>HLOOKUP("*"&amp;'Output annual'!$AC$2&amp;'Output annual'!$AD$2&amp;"*Zone People Number Of Occupants [](Hourly)",'Eplus results'!$1:$1048576,ROW(),FALSE)</f>
        <v>0</v>
      </c>
      <c r="AC1759" s="580">
        <f>HLOOKUP("*"&amp;'Output annual'!$AC$2&amp;'Output annual'!$AD$2&amp;"*FangerPMV(Hourly)",'Eplus results'!$1:$1048576,ROW(),FALSE)</f>
        <v>0</v>
      </c>
      <c r="AD1759" s="580">
        <f t="shared" si="171"/>
        <v>5</v>
      </c>
      <c r="AE1759" s="580">
        <f t="shared" si="172"/>
        <v>2.5</v>
      </c>
      <c r="AF1759" s="580">
        <f t="shared" si="173"/>
        <v>2.5</v>
      </c>
      <c r="AG1759" s="580">
        <f t="shared" si="174"/>
        <v>0</v>
      </c>
      <c r="AH1759" s="580">
        <f t="shared" si="175"/>
        <v>0</v>
      </c>
    </row>
    <row r="1760" spans="28:34">
      <c r="AB1760" s="580">
        <f>HLOOKUP("*"&amp;'Output annual'!$AC$2&amp;'Output annual'!$AD$2&amp;"*Zone People Number Of Occupants [](Hourly)",'Eplus results'!$1:$1048576,ROW(),FALSE)</f>
        <v>0</v>
      </c>
      <c r="AC1760" s="580">
        <f>HLOOKUP("*"&amp;'Output annual'!$AC$2&amp;'Output annual'!$AD$2&amp;"*FangerPMV(Hourly)",'Eplus results'!$1:$1048576,ROW(),FALSE)</f>
        <v>0</v>
      </c>
      <c r="AD1760" s="580">
        <f t="shared" si="171"/>
        <v>5</v>
      </c>
      <c r="AE1760" s="580">
        <f t="shared" si="172"/>
        <v>2.5</v>
      </c>
      <c r="AF1760" s="580">
        <f t="shared" si="173"/>
        <v>2.5</v>
      </c>
      <c r="AG1760" s="580">
        <f t="shared" si="174"/>
        <v>0</v>
      </c>
      <c r="AH1760" s="580">
        <f t="shared" si="175"/>
        <v>0</v>
      </c>
    </row>
    <row r="1761" spans="28:34">
      <c r="AB1761" s="580">
        <f>HLOOKUP("*"&amp;'Output annual'!$AC$2&amp;'Output annual'!$AD$2&amp;"*Zone People Number Of Occupants [](Hourly)",'Eplus results'!$1:$1048576,ROW(),FALSE)</f>
        <v>0</v>
      </c>
      <c r="AC1761" s="580">
        <f>HLOOKUP("*"&amp;'Output annual'!$AC$2&amp;'Output annual'!$AD$2&amp;"*FangerPMV(Hourly)",'Eplus results'!$1:$1048576,ROW(),FALSE)</f>
        <v>0</v>
      </c>
      <c r="AD1761" s="580">
        <f t="shared" si="171"/>
        <v>5</v>
      </c>
      <c r="AE1761" s="580">
        <f t="shared" si="172"/>
        <v>2.5</v>
      </c>
      <c r="AF1761" s="580">
        <f t="shared" si="173"/>
        <v>2.5</v>
      </c>
      <c r="AG1761" s="580">
        <f t="shared" si="174"/>
        <v>0</v>
      </c>
      <c r="AH1761" s="580">
        <f t="shared" si="175"/>
        <v>0</v>
      </c>
    </row>
    <row r="1762" spans="28:34">
      <c r="AB1762" s="580">
        <f>HLOOKUP("*"&amp;'Output annual'!$AC$2&amp;'Output annual'!$AD$2&amp;"*Zone People Number Of Occupants [](Hourly)",'Eplus results'!$1:$1048576,ROW(),FALSE)</f>
        <v>0</v>
      </c>
      <c r="AC1762" s="580">
        <f>HLOOKUP("*"&amp;'Output annual'!$AC$2&amp;'Output annual'!$AD$2&amp;"*FangerPMV(Hourly)",'Eplus results'!$1:$1048576,ROW(),FALSE)</f>
        <v>0</v>
      </c>
      <c r="AD1762" s="580">
        <f t="shared" si="171"/>
        <v>5</v>
      </c>
      <c r="AE1762" s="580">
        <f t="shared" si="172"/>
        <v>2.5</v>
      </c>
      <c r="AF1762" s="580">
        <f t="shared" si="173"/>
        <v>2.5</v>
      </c>
      <c r="AG1762" s="580">
        <f t="shared" si="174"/>
        <v>0</v>
      </c>
      <c r="AH1762" s="580">
        <f t="shared" si="175"/>
        <v>0</v>
      </c>
    </row>
    <row r="1763" spans="28:34">
      <c r="AB1763" s="580">
        <f>HLOOKUP("*"&amp;'Output annual'!$AC$2&amp;'Output annual'!$AD$2&amp;"*Zone People Number Of Occupants [](Hourly)",'Eplus results'!$1:$1048576,ROW(),FALSE)</f>
        <v>0</v>
      </c>
      <c r="AC1763" s="580">
        <f>HLOOKUP("*"&amp;'Output annual'!$AC$2&amp;'Output annual'!$AD$2&amp;"*FangerPMV(Hourly)",'Eplus results'!$1:$1048576,ROW(),FALSE)</f>
        <v>0</v>
      </c>
      <c r="AD1763" s="580">
        <f t="shared" si="171"/>
        <v>5</v>
      </c>
      <c r="AE1763" s="580">
        <f t="shared" si="172"/>
        <v>2.5</v>
      </c>
      <c r="AF1763" s="580">
        <f t="shared" si="173"/>
        <v>2.5</v>
      </c>
      <c r="AG1763" s="580">
        <f t="shared" si="174"/>
        <v>0</v>
      </c>
      <c r="AH1763" s="580">
        <f t="shared" si="175"/>
        <v>0</v>
      </c>
    </row>
    <row r="1764" spans="28:34">
      <c r="AB1764" s="580">
        <f>HLOOKUP("*"&amp;'Output annual'!$AC$2&amp;'Output annual'!$AD$2&amp;"*Zone People Number Of Occupants [](Hourly)",'Eplus results'!$1:$1048576,ROW(),FALSE)</f>
        <v>0</v>
      </c>
      <c r="AC1764" s="580">
        <f>HLOOKUP("*"&amp;'Output annual'!$AC$2&amp;'Output annual'!$AD$2&amp;"*FangerPMV(Hourly)",'Eplus results'!$1:$1048576,ROW(),FALSE)</f>
        <v>0</v>
      </c>
      <c r="AD1764" s="580">
        <f t="shared" si="171"/>
        <v>5</v>
      </c>
      <c r="AE1764" s="580">
        <f t="shared" si="172"/>
        <v>2.5</v>
      </c>
      <c r="AF1764" s="580">
        <f t="shared" si="173"/>
        <v>2.5</v>
      </c>
      <c r="AG1764" s="580">
        <f t="shared" si="174"/>
        <v>0</v>
      </c>
      <c r="AH1764" s="580">
        <f t="shared" si="175"/>
        <v>0</v>
      </c>
    </row>
    <row r="1765" spans="28:34">
      <c r="AB1765" s="580">
        <f>HLOOKUP("*"&amp;'Output annual'!$AC$2&amp;'Output annual'!$AD$2&amp;"*Zone People Number Of Occupants [](Hourly)",'Eplus results'!$1:$1048576,ROW(),FALSE)</f>
        <v>0</v>
      </c>
      <c r="AC1765" s="580">
        <f>HLOOKUP("*"&amp;'Output annual'!$AC$2&amp;'Output annual'!$AD$2&amp;"*FangerPMV(Hourly)",'Eplus results'!$1:$1048576,ROW(),FALSE)</f>
        <v>0</v>
      </c>
      <c r="AD1765" s="580">
        <f t="shared" si="171"/>
        <v>5</v>
      </c>
      <c r="AE1765" s="580">
        <f t="shared" si="172"/>
        <v>2.5</v>
      </c>
      <c r="AF1765" s="580">
        <f t="shared" si="173"/>
        <v>2.5</v>
      </c>
      <c r="AG1765" s="580">
        <f t="shared" si="174"/>
        <v>0</v>
      </c>
      <c r="AH1765" s="580">
        <f t="shared" si="175"/>
        <v>0</v>
      </c>
    </row>
    <row r="1766" spans="28:34">
      <c r="AB1766" s="580">
        <f>HLOOKUP("*"&amp;'Output annual'!$AC$2&amp;'Output annual'!$AD$2&amp;"*Zone People Number Of Occupants [](Hourly)",'Eplus results'!$1:$1048576,ROW(),FALSE)</f>
        <v>0</v>
      </c>
      <c r="AC1766" s="580">
        <f>HLOOKUP("*"&amp;'Output annual'!$AC$2&amp;'Output annual'!$AD$2&amp;"*FangerPMV(Hourly)",'Eplus results'!$1:$1048576,ROW(),FALSE)</f>
        <v>0</v>
      </c>
      <c r="AD1766" s="580">
        <f t="shared" si="171"/>
        <v>5</v>
      </c>
      <c r="AE1766" s="580">
        <f t="shared" si="172"/>
        <v>2.5</v>
      </c>
      <c r="AF1766" s="580">
        <f t="shared" si="173"/>
        <v>2.5</v>
      </c>
      <c r="AG1766" s="580">
        <f t="shared" si="174"/>
        <v>0</v>
      </c>
      <c r="AH1766" s="580">
        <f t="shared" si="175"/>
        <v>0</v>
      </c>
    </row>
    <row r="1767" spans="28:34">
      <c r="AB1767" s="580">
        <f>HLOOKUP("*"&amp;'Output annual'!$AC$2&amp;'Output annual'!$AD$2&amp;"*Zone People Number Of Occupants [](Hourly)",'Eplus results'!$1:$1048576,ROW(),FALSE)</f>
        <v>0</v>
      </c>
      <c r="AC1767" s="580">
        <f>HLOOKUP("*"&amp;'Output annual'!$AC$2&amp;'Output annual'!$AD$2&amp;"*FangerPMV(Hourly)",'Eplus results'!$1:$1048576,ROW(),FALSE)</f>
        <v>0</v>
      </c>
      <c r="AD1767" s="580">
        <f t="shared" si="171"/>
        <v>5</v>
      </c>
      <c r="AE1767" s="580">
        <f t="shared" si="172"/>
        <v>2.5</v>
      </c>
      <c r="AF1767" s="580">
        <f t="shared" si="173"/>
        <v>2.5</v>
      </c>
      <c r="AG1767" s="580">
        <f t="shared" si="174"/>
        <v>0</v>
      </c>
      <c r="AH1767" s="580">
        <f t="shared" si="175"/>
        <v>0</v>
      </c>
    </row>
    <row r="1768" spans="28:34">
      <c r="AB1768" s="580">
        <f>HLOOKUP("*"&amp;'Output annual'!$AC$2&amp;'Output annual'!$AD$2&amp;"*Zone People Number Of Occupants [](Hourly)",'Eplus results'!$1:$1048576,ROW(),FALSE)</f>
        <v>0</v>
      </c>
      <c r="AC1768" s="580">
        <f>HLOOKUP("*"&amp;'Output annual'!$AC$2&amp;'Output annual'!$AD$2&amp;"*FangerPMV(Hourly)",'Eplus results'!$1:$1048576,ROW(),FALSE)</f>
        <v>0</v>
      </c>
      <c r="AD1768" s="580">
        <f t="shared" si="171"/>
        <v>5</v>
      </c>
      <c r="AE1768" s="580">
        <f t="shared" si="172"/>
        <v>2.5</v>
      </c>
      <c r="AF1768" s="580">
        <f t="shared" si="173"/>
        <v>2.5</v>
      </c>
      <c r="AG1768" s="580">
        <f t="shared" si="174"/>
        <v>0</v>
      </c>
      <c r="AH1768" s="580">
        <f t="shared" si="175"/>
        <v>0</v>
      </c>
    </row>
    <row r="1769" spans="28:34">
      <c r="AB1769" s="580">
        <f>HLOOKUP("*"&amp;'Output annual'!$AC$2&amp;'Output annual'!$AD$2&amp;"*Zone People Number Of Occupants [](Hourly)",'Eplus results'!$1:$1048576,ROW(),FALSE)</f>
        <v>0</v>
      </c>
      <c r="AC1769" s="580">
        <f>HLOOKUP("*"&amp;'Output annual'!$AC$2&amp;'Output annual'!$AD$2&amp;"*FangerPMV(Hourly)",'Eplus results'!$1:$1048576,ROW(),FALSE)</f>
        <v>0</v>
      </c>
      <c r="AD1769" s="580">
        <f t="shared" si="171"/>
        <v>5</v>
      </c>
      <c r="AE1769" s="580">
        <f t="shared" si="172"/>
        <v>2.5</v>
      </c>
      <c r="AF1769" s="580">
        <f t="shared" si="173"/>
        <v>2.5</v>
      </c>
      <c r="AG1769" s="580">
        <f t="shared" si="174"/>
        <v>0</v>
      </c>
      <c r="AH1769" s="580">
        <f t="shared" si="175"/>
        <v>0</v>
      </c>
    </row>
    <row r="1770" spans="28:34">
      <c r="AB1770" s="580">
        <f>HLOOKUP("*"&amp;'Output annual'!$AC$2&amp;'Output annual'!$AD$2&amp;"*Zone People Number Of Occupants [](Hourly)",'Eplus results'!$1:$1048576,ROW(),FALSE)</f>
        <v>0</v>
      </c>
      <c r="AC1770" s="580">
        <f>HLOOKUP("*"&amp;'Output annual'!$AC$2&amp;'Output annual'!$AD$2&amp;"*FangerPMV(Hourly)",'Eplus results'!$1:$1048576,ROW(),FALSE)</f>
        <v>0</v>
      </c>
      <c r="AD1770" s="580">
        <f t="shared" si="171"/>
        <v>5</v>
      </c>
      <c r="AE1770" s="580">
        <f t="shared" si="172"/>
        <v>2.5</v>
      </c>
      <c r="AF1770" s="580">
        <f t="shared" si="173"/>
        <v>2.5</v>
      </c>
      <c r="AG1770" s="580">
        <f t="shared" si="174"/>
        <v>0</v>
      </c>
      <c r="AH1770" s="580">
        <f t="shared" si="175"/>
        <v>0</v>
      </c>
    </row>
    <row r="1771" spans="28:34">
      <c r="AB1771" s="580">
        <f>HLOOKUP("*"&amp;'Output annual'!$AC$2&amp;'Output annual'!$AD$2&amp;"*Zone People Number Of Occupants [](Hourly)",'Eplus results'!$1:$1048576,ROW(),FALSE)</f>
        <v>0</v>
      </c>
      <c r="AC1771" s="580">
        <f>HLOOKUP("*"&amp;'Output annual'!$AC$2&amp;'Output annual'!$AD$2&amp;"*FangerPMV(Hourly)",'Eplus results'!$1:$1048576,ROW(),FALSE)</f>
        <v>0</v>
      </c>
      <c r="AD1771" s="580">
        <f t="shared" si="171"/>
        <v>5</v>
      </c>
      <c r="AE1771" s="580">
        <f t="shared" si="172"/>
        <v>2.5</v>
      </c>
      <c r="AF1771" s="580">
        <f t="shared" si="173"/>
        <v>2.5</v>
      </c>
      <c r="AG1771" s="580">
        <f t="shared" si="174"/>
        <v>0</v>
      </c>
      <c r="AH1771" s="580">
        <f t="shared" si="175"/>
        <v>0</v>
      </c>
    </row>
    <row r="1772" spans="28:34">
      <c r="AB1772" s="580">
        <f>HLOOKUP("*"&amp;'Output annual'!$AC$2&amp;'Output annual'!$AD$2&amp;"*Zone People Number Of Occupants [](Hourly)",'Eplus results'!$1:$1048576,ROW(),FALSE)</f>
        <v>0</v>
      </c>
      <c r="AC1772" s="580">
        <f>HLOOKUP("*"&amp;'Output annual'!$AC$2&amp;'Output annual'!$AD$2&amp;"*FangerPMV(Hourly)",'Eplus results'!$1:$1048576,ROW(),FALSE)</f>
        <v>0</v>
      </c>
      <c r="AD1772" s="580">
        <f t="shared" si="171"/>
        <v>5</v>
      </c>
      <c r="AE1772" s="580">
        <f t="shared" si="172"/>
        <v>2.5</v>
      </c>
      <c r="AF1772" s="580">
        <f t="shared" si="173"/>
        <v>2.5</v>
      </c>
      <c r="AG1772" s="580">
        <f t="shared" si="174"/>
        <v>0</v>
      </c>
      <c r="AH1772" s="580">
        <f t="shared" si="175"/>
        <v>0</v>
      </c>
    </row>
    <row r="1773" spans="28:34">
      <c r="AB1773" s="580">
        <f>HLOOKUP("*"&amp;'Output annual'!$AC$2&amp;'Output annual'!$AD$2&amp;"*Zone People Number Of Occupants [](Hourly)",'Eplus results'!$1:$1048576,ROW(),FALSE)</f>
        <v>0</v>
      </c>
      <c r="AC1773" s="580">
        <f>HLOOKUP("*"&amp;'Output annual'!$AC$2&amp;'Output annual'!$AD$2&amp;"*FangerPMV(Hourly)",'Eplus results'!$1:$1048576,ROW(),FALSE)</f>
        <v>0</v>
      </c>
      <c r="AD1773" s="580">
        <f t="shared" si="171"/>
        <v>5</v>
      </c>
      <c r="AE1773" s="580">
        <f t="shared" si="172"/>
        <v>2.5</v>
      </c>
      <c r="AF1773" s="580">
        <f t="shared" si="173"/>
        <v>2.5</v>
      </c>
      <c r="AG1773" s="580">
        <f t="shared" si="174"/>
        <v>0</v>
      </c>
      <c r="AH1773" s="580">
        <f t="shared" si="175"/>
        <v>0</v>
      </c>
    </row>
    <row r="1774" spans="28:34">
      <c r="AB1774" s="580">
        <f>HLOOKUP("*"&amp;'Output annual'!$AC$2&amp;'Output annual'!$AD$2&amp;"*Zone People Number Of Occupants [](Hourly)",'Eplus results'!$1:$1048576,ROW(),FALSE)</f>
        <v>0</v>
      </c>
      <c r="AC1774" s="580">
        <f>HLOOKUP("*"&amp;'Output annual'!$AC$2&amp;'Output annual'!$AD$2&amp;"*FangerPMV(Hourly)",'Eplus results'!$1:$1048576,ROW(),FALSE)</f>
        <v>0</v>
      </c>
      <c r="AD1774" s="580">
        <f t="shared" si="171"/>
        <v>5</v>
      </c>
      <c r="AE1774" s="580">
        <f t="shared" si="172"/>
        <v>2.5</v>
      </c>
      <c r="AF1774" s="580">
        <f t="shared" si="173"/>
        <v>2.5</v>
      </c>
      <c r="AG1774" s="580">
        <f t="shared" si="174"/>
        <v>0</v>
      </c>
      <c r="AH1774" s="580">
        <f t="shared" si="175"/>
        <v>0</v>
      </c>
    </row>
    <row r="1775" spans="28:34">
      <c r="AB1775" s="580">
        <f>HLOOKUP("*"&amp;'Output annual'!$AC$2&amp;'Output annual'!$AD$2&amp;"*Zone People Number Of Occupants [](Hourly)",'Eplus results'!$1:$1048576,ROW(),FALSE)</f>
        <v>0</v>
      </c>
      <c r="AC1775" s="580">
        <f>HLOOKUP("*"&amp;'Output annual'!$AC$2&amp;'Output annual'!$AD$2&amp;"*FangerPMV(Hourly)",'Eplus results'!$1:$1048576,ROW(),FALSE)</f>
        <v>0</v>
      </c>
      <c r="AD1775" s="580">
        <f t="shared" si="171"/>
        <v>5</v>
      </c>
      <c r="AE1775" s="580">
        <f t="shared" si="172"/>
        <v>2.5</v>
      </c>
      <c r="AF1775" s="580">
        <f t="shared" si="173"/>
        <v>2.5</v>
      </c>
      <c r="AG1775" s="580">
        <f t="shared" si="174"/>
        <v>0</v>
      </c>
      <c r="AH1775" s="580">
        <f t="shared" si="175"/>
        <v>0</v>
      </c>
    </row>
    <row r="1776" spans="28:34">
      <c r="AB1776" s="580">
        <f>HLOOKUP("*"&amp;'Output annual'!$AC$2&amp;'Output annual'!$AD$2&amp;"*Zone People Number Of Occupants [](Hourly)",'Eplus results'!$1:$1048576,ROW(),FALSE)</f>
        <v>0</v>
      </c>
      <c r="AC1776" s="580">
        <f>HLOOKUP("*"&amp;'Output annual'!$AC$2&amp;'Output annual'!$AD$2&amp;"*FangerPMV(Hourly)",'Eplus results'!$1:$1048576,ROW(),FALSE)</f>
        <v>0</v>
      </c>
      <c r="AD1776" s="580">
        <f t="shared" si="171"/>
        <v>5</v>
      </c>
      <c r="AE1776" s="580">
        <f t="shared" si="172"/>
        <v>2.5</v>
      </c>
      <c r="AF1776" s="580">
        <f t="shared" si="173"/>
        <v>2.5</v>
      </c>
      <c r="AG1776" s="580">
        <f t="shared" si="174"/>
        <v>0</v>
      </c>
      <c r="AH1776" s="580">
        <f t="shared" si="175"/>
        <v>0</v>
      </c>
    </row>
    <row r="1777" spans="28:34">
      <c r="AB1777" s="580">
        <f>HLOOKUP("*"&amp;'Output annual'!$AC$2&amp;'Output annual'!$AD$2&amp;"*Zone People Number Of Occupants [](Hourly)",'Eplus results'!$1:$1048576,ROW(),FALSE)</f>
        <v>0</v>
      </c>
      <c r="AC1777" s="580">
        <f>HLOOKUP("*"&amp;'Output annual'!$AC$2&amp;'Output annual'!$AD$2&amp;"*FangerPMV(Hourly)",'Eplus results'!$1:$1048576,ROW(),FALSE)</f>
        <v>0</v>
      </c>
      <c r="AD1777" s="580">
        <f t="shared" si="171"/>
        <v>5</v>
      </c>
      <c r="AE1777" s="580">
        <f t="shared" si="172"/>
        <v>2.5</v>
      </c>
      <c r="AF1777" s="580">
        <f t="shared" si="173"/>
        <v>2.5</v>
      </c>
      <c r="AG1777" s="580">
        <f t="shared" si="174"/>
        <v>0</v>
      </c>
      <c r="AH1777" s="580">
        <f t="shared" si="175"/>
        <v>0</v>
      </c>
    </row>
    <row r="1778" spans="28:34">
      <c r="AB1778" s="580">
        <f>HLOOKUP("*"&amp;'Output annual'!$AC$2&amp;'Output annual'!$AD$2&amp;"*Zone People Number Of Occupants [](Hourly)",'Eplus results'!$1:$1048576,ROW(),FALSE)</f>
        <v>0</v>
      </c>
      <c r="AC1778" s="580">
        <f>HLOOKUP("*"&amp;'Output annual'!$AC$2&amp;'Output annual'!$AD$2&amp;"*FangerPMV(Hourly)",'Eplus results'!$1:$1048576,ROW(),FALSE)</f>
        <v>0</v>
      </c>
      <c r="AD1778" s="580">
        <f t="shared" si="171"/>
        <v>5</v>
      </c>
      <c r="AE1778" s="580">
        <f t="shared" si="172"/>
        <v>2.5</v>
      </c>
      <c r="AF1778" s="580">
        <f t="shared" si="173"/>
        <v>2.5</v>
      </c>
      <c r="AG1778" s="580">
        <f t="shared" si="174"/>
        <v>0</v>
      </c>
      <c r="AH1778" s="580">
        <f t="shared" si="175"/>
        <v>0</v>
      </c>
    </row>
    <row r="1779" spans="28:34">
      <c r="AB1779" s="580">
        <f>HLOOKUP("*"&amp;'Output annual'!$AC$2&amp;'Output annual'!$AD$2&amp;"*Zone People Number Of Occupants [](Hourly)",'Eplus results'!$1:$1048576,ROW(),FALSE)</f>
        <v>0</v>
      </c>
      <c r="AC1779" s="580">
        <f>HLOOKUP("*"&amp;'Output annual'!$AC$2&amp;'Output annual'!$AD$2&amp;"*FangerPMV(Hourly)",'Eplus results'!$1:$1048576,ROW(),FALSE)</f>
        <v>0</v>
      </c>
      <c r="AD1779" s="580">
        <f t="shared" si="171"/>
        <v>5</v>
      </c>
      <c r="AE1779" s="580">
        <f t="shared" si="172"/>
        <v>2.5</v>
      </c>
      <c r="AF1779" s="580">
        <f t="shared" si="173"/>
        <v>2.5</v>
      </c>
      <c r="AG1779" s="580">
        <f t="shared" si="174"/>
        <v>0</v>
      </c>
      <c r="AH1779" s="580">
        <f t="shared" si="175"/>
        <v>0</v>
      </c>
    </row>
    <row r="1780" spans="28:34">
      <c r="AB1780" s="580">
        <f>HLOOKUP("*"&amp;'Output annual'!$AC$2&amp;'Output annual'!$AD$2&amp;"*Zone People Number Of Occupants [](Hourly)",'Eplus results'!$1:$1048576,ROW(),FALSE)</f>
        <v>0</v>
      </c>
      <c r="AC1780" s="580">
        <f>HLOOKUP("*"&amp;'Output annual'!$AC$2&amp;'Output annual'!$AD$2&amp;"*FangerPMV(Hourly)",'Eplus results'!$1:$1048576,ROW(),FALSE)</f>
        <v>0</v>
      </c>
      <c r="AD1780" s="580">
        <f t="shared" si="171"/>
        <v>5</v>
      </c>
      <c r="AE1780" s="580">
        <f t="shared" si="172"/>
        <v>2.5</v>
      </c>
      <c r="AF1780" s="580">
        <f t="shared" si="173"/>
        <v>2.5</v>
      </c>
      <c r="AG1780" s="580">
        <f t="shared" si="174"/>
        <v>0</v>
      </c>
      <c r="AH1780" s="580">
        <f t="shared" si="175"/>
        <v>0</v>
      </c>
    </row>
    <row r="1781" spans="28:34">
      <c r="AB1781" s="580">
        <f>HLOOKUP("*"&amp;'Output annual'!$AC$2&amp;'Output annual'!$AD$2&amp;"*Zone People Number Of Occupants [](Hourly)",'Eplus results'!$1:$1048576,ROW(),FALSE)</f>
        <v>0</v>
      </c>
      <c r="AC1781" s="580">
        <f>HLOOKUP("*"&amp;'Output annual'!$AC$2&amp;'Output annual'!$AD$2&amp;"*FangerPMV(Hourly)",'Eplus results'!$1:$1048576,ROW(),FALSE)</f>
        <v>0</v>
      </c>
      <c r="AD1781" s="580">
        <f t="shared" si="171"/>
        <v>5</v>
      </c>
      <c r="AE1781" s="580">
        <f t="shared" si="172"/>
        <v>2.5</v>
      </c>
      <c r="AF1781" s="580">
        <f t="shared" si="173"/>
        <v>2.5</v>
      </c>
      <c r="AG1781" s="580">
        <f t="shared" si="174"/>
        <v>0</v>
      </c>
      <c r="AH1781" s="580">
        <f t="shared" si="175"/>
        <v>0</v>
      </c>
    </row>
    <row r="1782" spans="28:34">
      <c r="AB1782" s="580">
        <f>HLOOKUP("*"&amp;'Output annual'!$AC$2&amp;'Output annual'!$AD$2&amp;"*Zone People Number Of Occupants [](Hourly)",'Eplus results'!$1:$1048576,ROW(),FALSE)</f>
        <v>0</v>
      </c>
      <c r="AC1782" s="580">
        <f>HLOOKUP("*"&amp;'Output annual'!$AC$2&amp;'Output annual'!$AD$2&amp;"*FangerPMV(Hourly)",'Eplus results'!$1:$1048576,ROW(),FALSE)</f>
        <v>0</v>
      </c>
      <c r="AD1782" s="580">
        <f t="shared" si="171"/>
        <v>5</v>
      </c>
      <c r="AE1782" s="580">
        <f t="shared" si="172"/>
        <v>2.5</v>
      </c>
      <c r="AF1782" s="580">
        <f t="shared" si="173"/>
        <v>2.5</v>
      </c>
      <c r="AG1782" s="580">
        <f t="shared" si="174"/>
        <v>0</v>
      </c>
      <c r="AH1782" s="580">
        <f t="shared" si="175"/>
        <v>0</v>
      </c>
    </row>
    <row r="1783" spans="28:34">
      <c r="AB1783" s="580">
        <f>HLOOKUP("*"&amp;'Output annual'!$AC$2&amp;'Output annual'!$AD$2&amp;"*Zone People Number Of Occupants [](Hourly)",'Eplus results'!$1:$1048576,ROW(),FALSE)</f>
        <v>0</v>
      </c>
      <c r="AC1783" s="580">
        <f>HLOOKUP("*"&amp;'Output annual'!$AC$2&amp;'Output annual'!$AD$2&amp;"*FangerPMV(Hourly)",'Eplus results'!$1:$1048576,ROW(),FALSE)</f>
        <v>0</v>
      </c>
      <c r="AD1783" s="580">
        <f t="shared" si="171"/>
        <v>5</v>
      </c>
      <c r="AE1783" s="580">
        <f t="shared" si="172"/>
        <v>2.5</v>
      </c>
      <c r="AF1783" s="580">
        <f t="shared" si="173"/>
        <v>2.5</v>
      </c>
      <c r="AG1783" s="580">
        <f t="shared" si="174"/>
        <v>0</v>
      </c>
      <c r="AH1783" s="580">
        <f t="shared" si="175"/>
        <v>0</v>
      </c>
    </row>
    <row r="1784" spans="28:34">
      <c r="AB1784" s="580">
        <f>HLOOKUP("*"&amp;'Output annual'!$AC$2&amp;'Output annual'!$AD$2&amp;"*Zone People Number Of Occupants [](Hourly)",'Eplus results'!$1:$1048576,ROW(),FALSE)</f>
        <v>0</v>
      </c>
      <c r="AC1784" s="580">
        <f>HLOOKUP("*"&amp;'Output annual'!$AC$2&amp;'Output annual'!$AD$2&amp;"*FangerPMV(Hourly)",'Eplus results'!$1:$1048576,ROW(),FALSE)</f>
        <v>0</v>
      </c>
      <c r="AD1784" s="580">
        <f t="shared" si="171"/>
        <v>5</v>
      </c>
      <c r="AE1784" s="580">
        <f t="shared" si="172"/>
        <v>2.5</v>
      </c>
      <c r="AF1784" s="580">
        <f t="shared" si="173"/>
        <v>2.5</v>
      </c>
      <c r="AG1784" s="580">
        <f t="shared" si="174"/>
        <v>0</v>
      </c>
      <c r="AH1784" s="580">
        <f t="shared" si="175"/>
        <v>0</v>
      </c>
    </row>
    <row r="1785" spans="28:34">
      <c r="AB1785" s="580">
        <f>HLOOKUP("*"&amp;'Output annual'!$AC$2&amp;'Output annual'!$AD$2&amp;"*Zone People Number Of Occupants [](Hourly)",'Eplus results'!$1:$1048576,ROW(),FALSE)</f>
        <v>0</v>
      </c>
      <c r="AC1785" s="580">
        <f>HLOOKUP("*"&amp;'Output annual'!$AC$2&amp;'Output annual'!$AD$2&amp;"*FangerPMV(Hourly)",'Eplus results'!$1:$1048576,ROW(),FALSE)</f>
        <v>0</v>
      </c>
      <c r="AD1785" s="580">
        <f t="shared" si="171"/>
        <v>5</v>
      </c>
      <c r="AE1785" s="580">
        <f t="shared" si="172"/>
        <v>2.5</v>
      </c>
      <c r="AF1785" s="580">
        <f t="shared" si="173"/>
        <v>2.5</v>
      </c>
      <c r="AG1785" s="580">
        <f t="shared" si="174"/>
        <v>0</v>
      </c>
      <c r="AH1785" s="580">
        <f t="shared" si="175"/>
        <v>0</v>
      </c>
    </row>
    <row r="1786" spans="28:34">
      <c r="AB1786" s="580">
        <f>HLOOKUP("*"&amp;'Output annual'!$AC$2&amp;'Output annual'!$AD$2&amp;"*Zone People Number Of Occupants [](Hourly)",'Eplus results'!$1:$1048576,ROW(),FALSE)</f>
        <v>0</v>
      </c>
      <c r="AC1786" s="580">
        <f>HLOOKUP("*"&amp;'Output annual'!$AC$2&amp;'Output annual'!$AD$2&amp;"*FangerPMV(Hourly)",'Eplus results'!$1:$1048576,ROW(),FALSE)</f>
        <v>0</v>
      </c>
      <c r="AD1786" s="580">
        <f t="shared" si="171"/>
        <v>5</v>
      </c>
      <c r="AE1786" s="580">
        <f t="shared" si="172"/>
        <v>2.5</v>
      </c>
      <c r="AF1786" s="580">
        <f t="shared" si="173"/>
        <v>2.5</v>
      </c>
      <c r="AG1786" s="580">
        <f t="shared" si="174"/>
        <v>0</v>
      </c>
      <c r="AH1786" s="580">
        <f t="shared" si="175"/>
        <v>0</v>
      </c>
    </row>
    <row r="1787" spans="28:34">
      <c r="AB1787" s="580">
        <f>HLOOKUP("*"&amp;'Output annual'!$AC$2&amp;'Output annual'!$AD$2&amp;"*Zone People Number Of Occupants [](Hourly)",'Eplus results'!$1:$1048576,ROW(),FALSE)</f>
        <v>0</v>
      </c>
      <c r="AC1787" s="580">
        <f>HLOOKUP("*"&amp;'Output annual'!$AC$2&amp;'Output annual'!$AD$2&amp;"*FangerPMV(Hourly)",'Eplus results'!$1:$1048576,ROW(),FALSE)</f>
        <v>0</v>
      </c>
      <c r="AD1787" s="580">
        <f t="shared" si="171"/>
        <v>5</v>
      </c>
      <c r="AE1787" s="580">
        <f t="shared" si="172"/>
        <v>2.5</v>
      </c>
      <c r="AF1787" s="580">
        <f t="shared" si="173"/>
        <v>2.5</v>
      </c>
      <c r="AG1787" s="580">
        <f t="shared" si="174"/>
        <v>0</v>
      </c>
      <c r="AH1787" s="580">
        <f t="shared" si="175"/>
        <v>0</v>
      </c>
    </row>
    <row r="1788" spans="28:34">
      <c r="AB1788" s="580">
        <f>HLOOKUP("*"&amp;'Output annual'!$AC$2&amp;'Output annual'!$AD$2&amp;"*Zone People Number Of Occupants [](Hourly)",'Eplus results'!$1:$1048576,ROW(),FALSE)</f>
        <v>0</v>
      </c>
      <c r="AC1788" s="580">
        <f>HLOOKUP("*"&amp;'Output annual'!$AC$2&amp;'Output annual'!$AD$2&amp;"*FangerPMV(Hourly)",'Eplus results'!$1:$1048576,ROW(),FALSE)</f>
        <v>0</v>
      </c>
      <c r="AD1788" s="580">
        <f t="shared" si="171"/>
        <v>5</v>
      </c>
      <c r="AE1788" s="580">
        <f t="shared" si="172"/>
        <v>2.5</v>
      </c>
      <c r="AF1788" s="580">
        <f t="shared" si="173"/>
        <v>2.5</v>
      </c>
      <c r="AG1788" s="580">
        <f t="shared" si="174"/>
        <v>0</v>
      </c>
      <c r="AH1788" s="580">
        <f t="shared" si="175"/>
        <v>0</v>
      </c>
    </row>
    <row r="1789" spans="28:34">
      <c r="AB1789" s="580">
        <f>HLOOKUP("*"&amp;'Output annual'!$AC$2&amp;'Output annual'!$AD$2&amp;"*Zone People Number Of Occupants [](Hourly)",'Eplus results'!$1:$1048576,ROW(),FALSE)</f>
        <v>0</v>
      </c>
      <c r="AC1789" s="580">
        <f>HLOOKUP("*"&amp;'Output annual'!$AC$2&amp;'Output annual'!$AD$2&amp;"*FangerPMV(Hourly)",'Eplus results'!$1:$1048576,ROW(),FALSE)</f>
        <v>0</v>
      </c>
      <c r="AD1789" s="580">
        <f t="shared" si="171"/>
        <v>5</v>
      </c>
      <c r="AE1789" s="580">
        <f t="shared" si="172"/>
        <v>2.5</v>
      </c>
      <c r="AF1789" s="580">
        <f t="shared" si="173"/>
        <v>2.5</v>
      </c>
      <c r="AG1789" s="580">
        <f t="shared" si="174"/>
        <v>0</v>
      </c>
      <c r="AH1789" s="580">
        <f t="shared" si="175"/>
        <v>0</v>
      </c>
    </row>
    <row r="1790" spans="28:34">
      <c r="AB1790" s="580">
        <f>HLOOKUP("*"&amp;'Output annual'!$AC$2&amp;'Output annual'!$AD$2&amp;"*Zone People Number Of Occupants [](Hourly)",'Eplus results'!$1:$1048576,ROW(),FALSE)</f>
        <v>0</v>
      </c>
      <c r="AC1790" s="580">
        <f>HLOOKUP("*"&amp;'Output annual'!$AC$2&amp;'Output annual'!$AD$2&amp;"*FangerPMV(Hourly)",'Eplus results'!$1:$1048576,ROW(),FALSE)</f>
        <v>0</v>
      </c>
      <c r="AD1790" s="580">
        <f t="shared" si="171"/>
        <v>5</v>
      </c>
      <c r="AE1790" s="580">
        <f t="shared" si="172"/>
        <v>2.5</v>
      </c>
      <c r="AF1790" s="580">
        <f t="shared" si="173"/>
        <v>2.5</v>
      </c>
      <c r="AG1790" s="580">
        <f t="shared" si="174"/>
        <v>0</v>
      </c>
      <c r="AH1790" s="580">
        <f t="shared" si="175"/>
        <v>0</v>
      </c>
    </row>
    <row r="1791" spans="28:34">
      <c r="AB1791" s="580">
        <f>HLOOKUP("*"&amp;'Output annual'!$AC$2&amp;'Output annual'!$AD$2&amp;"*Zone People Number Of Occupants [](Hourly)",'Eplus results'!$1:$1048576,ROW(),FALSE)</f>
        <v>0</v>
      </c>
      <c r="AC1791" s="580">
        <f>HLOOKUP("*"&amp;'Output annual'!$AC$2&amp;'Output annual'!$AD$2&amp;"*FangerPMV(Hourly)",'Eplus results'!$1:$1048576,ROW(),FALSE)</f>
        <v>0</v>
      </c>
      <c r="AD1791" s="580">
        <f t="shared" si="171"/>
        <v>5</v>
      </c>
      <c r="AE1791" s="580">
        <f t="shared" si="172"/>
        <v>2.5</v>
      </c>
      <c r="AF1791" s="580">
        <f t="shared" si="173"/>
        <v>2.5</v>
      </c>
      <c r="AG1791" s="580">
        <f t="shared" si="174"/>
        <v>0</v>
      </c>
      <c r="AH1791" s="580">
        <f t="shared" si="175"/>
        <v>0</v>
      </c>
    </row>
    <row r="1792" spans="28:34">
      <c r="AB1792" s="580">
        <f>HLOOKUP("*"&amp;'Output annual'!$AC$2&amp;'Output annual'!$AD$2&amp;"*Zone People Number Of Occupants [](Hourly)",'Eplus results'!$1:$1048576,ROW(),FALSE)</f>
        <v>0</v>
      </c>
      <c r="AC1792" s="580">
        <f>HLOOKUP("*"&amp;'Output annual'!$AC$2&amp;'Output annual'!$AD$2&amp;"*FangerPMV(Hourly)",'Eplus results'!$1:$1048576,ROW(),FALSE)</f>
        <v>0</v>
      </c>
      <c r="AD1792" s="580">
        <f t="shared" si="171"/>
        <v>5</v>
      </c>
      <c r="AE1792" s="580">
        <f t="shared" si="172"/>
        <v>2.5</v>
      </c>
      <c r="AF1792" s="580">
        <f t="shared" si="173"/>
        <v>2.5</v>
      </c>
      <c r="AG1792" s="580">
        <f t="shared" si="174"/>
        <v>0</v>
      </c>
      <c r="AH1792" s="580">
        <f t="shared" si="175"/>
        <v>0</v>
      </c>
    </row>
    <row r="1793" spans="28:34">
      <c r="AB1793" s="580">
        <f>HLOOKUP("*"&amp;'Output annual'!$AC$2&amp;'Output annual'!$AD$2&amp;"*Zone People Number Of Occupants [](Hourly)",'Eplus results'!$1:$1048576,ROW(),FALSE)</f>
        <v>0</v>
      </c>
      <c r="AC1793" s="580">
        <f>HLOOKUP("*"&amp;'Output annual'!$AC$2&amp;'Output annual'!$AD$2&amp;"*FangerPMV(Hourly)",'Eplus results'!$1:$1048576,ROW(),FALSE)</f>
        <v>0</v>
      </c>
      <c r="AD1793" s="580">
        <f t="shared" si="171"/>
        <v>5</v>
      </c>
      <c r="AE1793" s="580">
        <f t="shared" si="172"/>
        <v>2.5</v>
      </c>
      <c r="AF1793" s="580">
        <f t="shared" si="173"/>
        <v>2.5</v>
      </c>
      <c r="AG1793" s="580">
        <f t="shared" si="174"/>
        <v>0</v>
      </c>
      <c r="AH1793" s="580">
        <f t="shared" si="175"/>
        <v>0</v>
      </c>
    </row>
    <row r="1794" spans="28:34">
      <c r="AB1794" s="580">
        <f>HLOOKUP("*"&amp;'Output annual'!$AC$2&amp;'Output annual'!$AD$2&amp;"*Zone People Number Of Occupants [](Hourly)",'Eplus results'!$1:$1048576,ROW(),FALSE)</f>
        <v>0</v>
      </c>
      <c r="AC1794" s="580">
        <f>HLOOKUP("*"&amp;'Output annual'!$AC$2&amp;'Output annual'!$AD$2&amp;"*FangerPMV(Hourly)",'Eplus results'!$1:$1048576,ROW(),FALSE)</f>
        <v>0</v>
      </c>
      <c r="AD1794" s="580">
        <f t="shared" si="171"/>
        <v>5</v>
      </c>
      <c r="AE1794" s="580">
        <f t="shared" si="172"/>
        <v>2.5</v>
      </c>
      <c r="AF1794" s="580">
        <f t="shared" si="173"/>
        <v>2.5</v>
      </c>
      <c r="AG1794" s="580">
        <f t="shared" si="174"/>
        <v>0</v>
      </c>
      <c r="AH1794" s="580">
        <f t="shared" si="175"/>
        <v>0</v>
      </c>
    </row>
    <row r="1795" spans="28:34">
      <c r="AB1795" s="580">
        <f>HLOOKUP("*"&amp;'Output annual'!$AC$2&amp;'Output annual'!$AD$2&amp;"*Zone People Number Of Occupants [](Hourly)",'Eplus results'!$1:$1048576,ROW(),FALSE)</f>
        <v>0</v>
      </c>
      <c r="AC1795" s="580">
        <f>HLOOKUP("*"&amp;'Output annual'!$AC$2&amp;'Output annual'!$AD$2&amp;"*FangerPMV(Hourly)",'Eplus results'!$1:$1048576,ROW(),FALSE)</f>
        <v>0</v>
      </c>
      <c r="AD1795" s="580">
        <f t="shared" ref="AD1795:AD1858" si="176">100-95*EXP(-0.03353*AC1795^4-0.2179*AC1795^2)</f>
        <v>5</v>
      </c>
      <c r="AE1795" s="580">
        <f t="shared" ref="AE1795:AE1858" si="177">AD1795*(1/(1+EXP(-6.3*$AC1795)))</f>
        <v>2.5</v>
      </c>
      <c r="AF1795" s="580">
        <f t="shared" ref="AF1795:AF1858" si="178">(AD1795-AE1795)</f>
        <v>2.5</v>
      </c>
      <c r="AG1795" s="580">
        <f t="shared" ref="AG1795:AG1858" si="179">AE1795*AB1795</f>
        <v>0</v>
      </c>
      <c r="AH1795" s="580">
        <f t="shared" ref="AH1795:AH1858" si="180">AF1795*AB1795</f>
        <v>0</v>
      </c>
    </row>
    <row r="1796" spans="28:34">
      <c r="AB1796" s="580">
        <f>HLOOKUP("*"&amp;'Output annual'!$AC$2&amp;'Output annual'!$AD$2&amp;"*Zone People Number Of Occupants [](Hourly)",'Eplus results'!$1:$1048576,ROW(),FALSE)</f>
        <v>0</v>
      </c>
      <c r="AC1796" s="580">
        <f>HLOOKUP("*"&amp;'Output annual'!$AC$2&amp;'Output annual'!$AD$2&amp;"*FangerPMV(Hourly)",'Eplus results'!$1:$1048576,ROW(),FALSE)</f>
        <v>0</v>
      </c>
      <c r="AD1796" s="580">
        <f t="shared" si="176"/>
        <v>5</v>
      </c>
      <c r="AE1796" s="580">
        <f t="shared" si="177"/>
        <v>2.5</v>
      </c>
      <c r="AF1796" s="580">
        <f t="shared" si="178"/>
        <v>2.5</v>
      </c>
      <c r="AG1796" s="580">
        <f t="shared" si="179"/>
        <v>0</v>
      </c>
      <c r="AH1796" s="580">
        <f t="shared" si="180"/>
        <v>0</v>
      </c>
    </row>
    <row r="1797" spans="28:34">
      <c r="AB1797" s="580">
        <f>HLOOKUP("*"&amp;'Output annual'!$AC$2&amp;'Output annual'!$AD$2&amp;"*Zone People Number Of Occupants [](Hourly)",'Eplus results'!$1:$1048576,ROW(),FALSE)</f>
        <v>0</v>
      </c>
      <c r="AC1797" s="580">
        <f>HLOOKUP("*"&amp;'Output annual'!$AC$2&amp;'Output annual'!$AD$2&amp;"*FangerPMV(Hourly)",'Eplus results'!$1:$1048576,ROW(),FALSE)</f>
        <v>0</v>
      </c>
      <c r="AD1797" s="580">
        <f t="shared" si="176"/>
        <v>5</v>
      </c>
      <c r="AE1797" s="580">
        <f t="shared" si="177"/>
        <v>2.5</v>
      </c>
      <c r="AF1797" s="580">
        <f t="shared" si="178"/>
        <v>2.5</v>
      </c>
      <c r="AG1797" s="580">
        <f t="shared" si="179"/>
        <v>0</v>
      </c>
      <c r="AH1797" s="580">
        <f t="shared" si="180"/>
        <v>0</v>
      </c>
    </row>
    <row r="1798" spans="28:34">
      <c r="AB1798" s="580">
        <f>HLOOKUP("*"&amp;'Output annual'!$AC$2&amp;'Output annual'!$AD$2&amp;"*Zone People Number Of Occupants [](Hourly)",'Eplus results'!$1:$1048576,ROW(),FALSE)</f>
        <v>0</v>
      </c>
      <c r="AC1798" s="580">
        <f>HLOOKUP("*"&amp;'Output annual'!$AC$2&amp;'Output annual'!$AD$2&amp;"*FangerPMV(Hourly)",'Eplus results'!$1:$1048576,ROW(),FALSE)</f>
        <v>0</v>
      </c>
      <c r="AD1798" s="580">
        <f t="shared" si="176"/>
        <v>5</v>
      </c>
      <c r="AE1798" s="580">
        <f t="shared" si="177"/>
        <v>2.5</v>
      </c>
      <c r="AF1798" s="580">
        <f t="shared" si="178"/>
        <v>2.5</v>
      </c>
      <c r="AG1798" s="580">
        <f t="shared" si="179"/>
        <v>0</v>
      </c>
      <c r="AH1798" s="580">
        <f t="shared" si="180"/>
        <v>0</v>
      </c>
    </row>
    <row r="1799" spans="28:34">
      <c r="AB1799" s="580">
        <f>HLOOKUP("*"&amp;'Output annual'!$AC$2&amp;'Output annual'!$AD$2&amp;"*Zone People Number Of Occupants [](Hourly)",'Eplus results'!$1:$1048576,ROW(),FALSE)</f>
        <v>0</v>
      </c>
      <c r="AC1799" s="580">
        <f>HLOOKUP("*"&amp;'Output annual'!$AC$2&amp;'Output annual'!$AD$2&amp;"*FangerPMV(Hourly)",'Eplus results'!$1:$1048576,ROW(),FALSE)</f>
        <v>0</v>
      </c>
      <c r="AD1799" s="580">
        <f t="shared" si="176"/>
        <v>5</v>
      </c>
      <c r="AE1799" s="580">
        <f t="shared" si="177"/>
        <v>2.5</v>
      </c>
      <c r="AF1799" s="580">
        <f t="shared" si="178"/>
        <v>2.5</v>
      </c>
      <c r="AG1799" s="580">
        <f t="shared" si="179"/>
        <v>0</v>
      </c>
      <c r="AH1799" s="580">
        <f t="shared" si="180"/>
        <v>0</v>
      </c>
    </row>
    <row r="1800" spans="28:34">
      <c r="AB1800" s="580">
        <f>HLOOKUP("*"&amp;'Output annual'!$AC$2&amp;'Output annual'!$AD$2&amp;"*Zone People Number Of Occupants [](Hourly)",'Eplus results'!$1:$1048576,ROW(),FALSE)</f>
        <v>0</v>
      </c>
      <c r="AC1800" s="580">
        <f>HLOOKUP("*"&amp;'Output annual'!$AC$2&amp;'Output annual'!$AD$2&amp;"*FangerPMV(Hourly)",'Eplus results'!$1:$1048576,ROW(),FALSE)</f>
        <v>0</v>
      </c>
      <c r="AD1800" s="580">
        <f t="shared" si="176"/>
        <v>5</v>
      </c>
      <c r="AE1800" s="580">
        <f t="shared" si="177"/>
        <v>2.5</v>
      </c>
      <c r="AF1800" s="580">
        <f t="shared" si="178"/>
        <v>2.5</v>
      </c>
      <c r="AG1800" s="580">
        <f t="shared" si="179"/>
        <v>0</v>
      </c>
      <c r="AH1800" s="580">
        <f t="shared" si="180"/>
        <v>0</v>
      </c>
    </row>
    <row r="1801" spans="28:34">
      <c r="AB1801" s="580">
        <f>HLOOKUP("*"&amp;'Output annual'!$AC$2&amp;'Output annual'!$AD$2&amp;"*Zone People Number Of Occupants [](Hourly)",'Eplus results'!$1:$1048576,ROW(),FALSE)</f>
        <v>0</v>
      </c>
      <c r="AC1801" s="580">
        <f>HLOOKUP("*"&amp;'Output annual'!$AC$2&amp;'Output annual'!$AD$2&amp;"*FangerPMV(Hourly)",'Eplus results'!$1:$1048576,ROW(),FALSE)</f>
        <v>0</v>
      </c>
      <c r="AD1801" s="580">
        <f t="shared" si="176"/>
        <v>5</v>
      </c>
      <c r="AE1801" s="580">
        <f t="shared" si="177"/>
        <v>2.5</v>
      </c>
      <c r="AF1801" s="580">
        <f t="shared" si="178"/>
        <v>2.5</v>
      </c>
      <c r="AG1801" s="580">
        <f t="shared" si="179"/>
        <v>0</v>
      </c>
      <c r="AH1801" s="580">
        <f t="shared" si="180"/>
        <v>0</v>
      </c>
    </row>
    <row r="1802" spans="28:34">
      <c r="AB1802" s="580">
        <f>HLOOKUP("*"&amp;'Output annual'!$AC$2&amp;'Output annual'!$AD$2&amp;"*Zone People Number Of Occupants [](Hourly)",'Eplus results'!$1:$1048576,ROW(),FALSE)</f>
        <v>0</v>
      </c>
      <c r="AC1802" s="580">
        <f>HLOOKUP("*"&amp;'Output annual'!$AC$2&amp;'Output annual'!$AD$2&amp;"*FangerPMV(Hourly)",'Eplus results'!$1:$1048576,ROW(),FALSE)</f>
        <v>0</v>
      </c>
      <c r="AD1802" s="580">
        <f t="shared" si="176"/>
        <v>5</v>
      </c>
      <c r="AE1802" s="580">
        <f t="shared" si="177"/>
        <v>2.5</v>
      </c>
      <c r="AF1802" s="580">
        <f t="shared" si="178"/>
        <v>2.5</v>
      </c>
      <c r="AG1802" s="580">
        <f t="shared" si="179"/>
        <v>0</v>
      </c>
      <c r="AH1802" s="580">
        <f t="shared" si="180"/>
        <v>0</v>
      </c>
    </row>
    <row r="1803" spans="28:34">
      <c r="AB1803" s="580">
        <f>HLOOKUP("*"&amp;'Output annual'!$AC$2&amp;'Output annual'!$AD$2&amp;"*Zone People Number Of Occupants [](Hourly)",'Eplus results'!$1:$1048576,ROW(),FALSE)</f>
        <v>0</v>
      </c>
      <c r="AC1803" s="580">
        <f>HLOOKUP("*"&amp;'Output annual'!$AC$2&amp;'Output annual'!$AD$2&amp;"*FangerPMV(Hourly)",'Eplus results'!$1:$1048576,ROW(),FALSE)</f>
        <v>0</v>
      </c>
      <c r="AD1803" s="580">
        <f t="shared" si="176"/>
        <v>5</v>
      </c>
      <c r="AE1803" s="580">
        <f t="shared" si="177"/>
        <v>2.5</v>
      </c>
      <c r="AF1803" s="580">
        <f t="shared" si="178"/>
        <v>2.5</v>
      </c>
      <c r="AG1803" s="580">
        <f t="shared" si="179"/>
        <v>0</v>
      </c>
      <c r="AH1803" s="580">
        <f t="shared" si="180"/>
        <v>0</v>
      </c>
    </row>
    <row r="1804" spans="28:34">
      <c r="AB1804" s="580">
        <f>HLOOKUP("*"&amp;'Output annual'!$AC$2&amp;'Output annual'!$AD$2&amp;"*Zone People Number Of Occupants [](Hourly)",'Eplus results'!$1:$1048576,ROW(),FALSE)</f>
        <v>0</v>
      </c>
      <c r="AC1804" s="580">
        <f>HLOOKUP("*"&amp;'Output annual'!$AC$2&amp;'Output annual'!$AD$2&amp;"*FangerPMV(Hourly)",'Eplus results'!$1:$1048576,ROW(),FALSE)</f>
        <v>0</v>
      </c>
      <c r="AD1804" s="580">
        <f t="shared" si="176"/>
        <v>5</v>
      </c>
      <c r="AE1804" s="580">
        <f t="shared" si="177"/>
        <v>2.5</v>
      </c>
      <c r="AF1804" s="580">
        <f t="shared" si="178"/>
        <v>2.5</v>
      </c>
      <c r="AG1804" s="580">
        <f t="shared" si="179"/>
        <v>0</v>
      </c>
      <c r="AH1804" s="580">
        <f t="shared" si="180"/>
        <v>0</v>
      </c>
    </row>
    <row r="1805" spans="28:34">
      <c r="AB1805" s="580">
        <f>HLOOKUP("*"&amp;'Output annual'!$AC$2&amp;'Output annual'!$AD$2&amp;"*Zone People Number Of Occupants [](Hourly)",'Eplus results'!$1:$1048576,ROW(),FALSE)</f>
        <v>0</v>
      </c>
      <c r="AC1805" s="580">
        <f>HLOOKUP("*"&amp;'Output annual'!$AC$2&amp;'Output annual'!$AD$2&amp;"*FangerPMV(Hourly)",'Eplus results'!$1:$1048576,ROW(),FALSE)</f>
        <v>0</v>
      </c>
      <c r="AD1805" s="580">
        <f t="shared" si="176"/>
        <v>5</v>
      </c>
      <c r="AE1805" s="580">
        <f t="shared" si="177"/>
        <v>2.5</v>
      </c>
      <c r="AF1805" s="580">
        <f t="shared" si="178"/>
        <v>2.5</v>
      </c>
      <c r="AG1805" s="580">
        <f t="shared" si="179"/>
        <v>0</v>
      </c>
      <c r="AH1805" s="580">
        <f t="shared" si="180"/>
        <v>0</v>
      </c>
    </row>
    <row r="1806" spans="28:34">
      <c r="AB1806" s="580">
        <f>HLOOKUP("*"&amp;'Output annual'!$AC$2&amp;'Output annual'!$AD$2&amp;"*Zone People Number Of Occupants [](Hourly)",'Eplus results'!$1:$1048576,ROW(),FALSE)</f>
        <v>0</v>
      </c>
      <c r="AC1806" s="580">
        <f>HLOOKUP("*"&amp;'Output annual'!$AC$2&amp;'Output annual'!$AD$2&amp;"*FangerPMV(Hourly)",'Eplus results'!$1:$1048576,ROW(),FALSE)</f>
        <v>0</v>
      </c>
      <c r="AD1806" s="580">
        <f t="shared" si="176"/>
        <v>5</v>
      </c>
      <c r="AE1806" s="580">
        <f t="shared" si="177"/>
        <v>2.5</v>
      </c>
      <c r="AF1806" s="580">
        <f t="shared" si="178"/>
        <v>2.5</v>
      </c>
      <c r="AG1806" s="580">
        <f t="shared" si="179"/>
        <v>0</v>
      </c>
      <c r="AH1806" s="580">
        <f t="shared" si="180"/>
        <v>0</v>
      </c>
    </row>
    <row r="1807" spans="28:34">
      <c r="AB1807" s="580">
        <f>HLOOKUP("*"&amp;'Output annual'!$AC$2&amp;'Output annual'!$AD$2&amp;"*Zone People Number Of Occupants [](Hourly)",'Eplus results'!$1:$1048576,ROW(),FALSE)</f>
        <v>0</v>
      </c>
      <c r="AC1807" s="580">
        <f>HLOOKUP("*"&amp;'Output annual'!$AC$2&amp;'Output annual'!$AD$2&amp;"*FangerPMV(Hourly)",'Eplus results'!$1:$1048576,ROW(),FALSE)</f>
        <v>0</v>
      </c>
      <c r="AD1807" s="580">
        <f t="shared" si="176"/>
        <v>5</v>
      </c>
      <c r="AE1807" s="580">
        <f t="shared" si="177"/>
        <v>2.5</v>
      </c>
      <c r="AF1807" s="580">
        <f t="shared" si="178"/>
        <v>2.5</v>
      </c>
      <c r="AG1807" s="580">
        <f t="shared" si="179"/>
        <v>0</v>
      </c>
      <c r="AH1807" s="580">
        <f t="shared" si="180"/>
        <v>0</v>
      </c>
    </row>
    <row r="1808" spans="28:34">
      <c r="AB1808" s="580">
        <f>HLOOKUP("*"&amp;'Output annual'!$AC$2&amp;'Output annual'!$AD$2&amp;"*Zone People Number Of Occupants [](Hourly)",'Eplus results'!$1:$1048576,ROW(),FALSE)</f>
        <v>0</v>
      </c>
      <c r="AC1808" s="580">
        <f>HLOOKUP("*"&amp;'Output annual'!$AC$2&amp;'Output annual'!$AD$2&amp;"*FangerPMV(Hourly)",'Eplus results'!$1:$1048576,ROW(),FALSE)</f>
        <v>0</v>
      </c>
      <c r="AD1808" s="580">
        <f t="shared" si="176"/>
        <v>5</v>
      </c>
      <c r="AE1808" s="580">
        <f t="shared" si="177"/>
        <v>2.5</v>
      </c>
      <c r="AF1808" s="580">
        <f t="shared" si="178"/>
        <v>2.5</v>
      </c>
      <c r="AG1808" s="580">
        <f t="shared" si="179"/>
        <v>0</v>
      </c>
      <c r="AH1808" s="580">
        <f t="shared" si="180"/>
        <v>0</v>
      </c>
    </row>
    <row r="1809" spans="28:34">
      <c r="AB1809" s="580">
        <f>HLOOKUP("*"&amp;'Output annual'!$AC$2&amp;'Output annual'!$AD$2&amp;"*Zone People Number Of Occupants [](Hourly)",'Eplus results'!$1:$1048576,ROW(),FALSE)</f>
        <v>0</v>
      </c>
      <c r="AC1809" s="580">
        <f>HLOOKUP("*"&amp;'Output annual'!$AC$2&amp;'Output annual'!$AD$2&amp;"*FangerPMV(Hourly)",'Eplus results'!$1:$1048576,ROW(),FALSE)</f>
        <v>0</v>
      </c>
      <c r="AD1809" s="580">
        <f t="shared" si="176"/>
        <v>5</v>
      </c>
      <c r="AE1809" s="580">
        <f t="shared" si="177"/>
        <v>2.5</v>
      </c>
      <c r="AF1809" s="580">
        <f t="shared" si="178"/>
        <v>2.5</v>
      </c>
      <c r="AG1809" s="580">
        <f t="shared" si="179"/>
        <v>0</v>
      </c>
      <c r="AH1809" s="580">
        <f t="shared" si="180"/>
        <v>0</v>
      </c>
    </row>
    <row r="1810" spans="28:34">
      <c r="AB1810" s="580">
        <f>HLOOKUP("*"&amp;'Output annual'!$AC$2&amp;'Output annual'!$AD$2&amp;"*Zone People Number Of Occupants [](Hourly)",'Eplus results'!$1:$1048576,ROW(),FALSE)</f>
        <v>0</v>
      </c>
      <c r="AC1810" s="580">
        <f>HLOOKUP("*"&amp;'Output annual'!$AC$2&amp;'Output annual'!$AD$2&amp;"*FangerPMV(Hourly)",'Eplus results'!$1:$1048576,ROW(),FALSE)</f>
        <v>0</v>
      </c>
      <c r="AD1810" s="580">
        <f t="shared" si="176"/>
        <v>5</v>
      </c>
      <c r="AE1810" s="580">
        <f t="shared" si="177"/>
        <v>2.5</v>
      </c>
      <c r="AF1810" s="580">
        <f t="shared" si="178"/>
        <v>2.5</v>
      </c>
      <c r="AG1810" s="580">
        <f t="shared" si="179"/>
        <v>0</v>
      </c>
      <c r="AH1810" s="580">
        <f t="shared" si="180"/>
        <v>0</v>
      </c>
    </row>
    <row r="1811" spans="28:34">
      <c r="AB1811" s="580">
        <f>HLOOKUP("*"&amp;'Output annual'!$AC$2&amp;'Output annual'!$AD$2&amp;"*Zone People Number Of Occupants [](Hourly)",'Eplus results'!$1:$1048576,ROW(),FALSE)</f>
        <v>0</v>
      </c>
      <c r="AC1811" s="580">
        <f>HLOOKUP("*"&amp;'Output annual'!$AC$2&amp;'Output annual'!$AD$2&amp;"*FangerPMV(Hourly)",'Eplus results'!$1:$1048576,ROW(),FALSE)</f>
        <v>0</v>
      </c>
      <c r="AD1811" s="580">
        <f t="shared" si="176"/>
        <v>5</v>
      </c>
      <c r="AE1811" s="580">
        <f t="shared" si="177"/>
        <v>2.5</v>
      </c>
      <c r="AF1811" s="580">
        <f t="shared" si="178"/>
        <v>2.5</v>
      </c>
      <c r="AG1811" s="580">
        <f t="shared" si="179"/>
        <v>0</v>
      </c>
      <c r="AH1811" s="580">
        <f t="shared" si="180"/>
        <v>0</v>
      </c>
    </row>
    <row r="1812" spans="28:34">
      <c r="AB1812" s="580">
        <f>HLOOKUP("*"&amp;'Output annual'!$AC$2&amp;'Output annual'!$AD$2&amp;"*Zone People Number Of Occupants [](Hourly)",'Eplus results'!$1:$1048576,ROW(),FALSE)</f>
        <v>0</v>
      </c>
      <c r="AC1812" s="580">
        <f>HLOOKUP("*"&amp;'Output annual'!$AC$2&amp;'Output annual'!$AD$2&amp;"*FangerPMV(Hourly)",'Eplus results'!$1:$1048576,ROW(),FALSE)</f>
        <v>0</v>
      </c>
      <c r="AD1812" s="580">
        <f t="shared" si="176"/>
        <v>5</v>
      </c>
      <c r="AE1812" s="580">
        <f t="shared" si="177"/>
        <v>2.5</v>
      </c>
      <c r="AF1812" s="580">
        <f t="shared" si="178"/>
        <v>2.5</v>
      </c>
      <c r="AG1812" s="580">
        <f t="shared" si="179"/>
        <v>0</v>
      </c>
      <c r="AH1812" s="580">
        <f t="shared" si="180"/>
        <v>0</v>
      </c>
    </row>
    <row r="1813" spans="28:34">
      <c r="AB1813" s="580">
        <f>HLOOKUP("*"&amp;'Output annual'!$AC$2&amp;'Output annual'!$AD$2&amp;"*Zone People Number Of Occupants [](Hourly)",'Eplus results'!$1:$1048576,ROW(),FALSE)</f>
        <v>0</v>
      </c>
      <c r="AC1813" s="580">
        <f>HLOOKUP("*"&amp;'Output annual'!$AC$2&amp;'Output annual'!$AD$2&amp;"*FangerPMV(Hourly)",'Eplus results'!$1:$1048576,ROW(),FALSE)</f>
        <v>0</v>
      </c>
      <c r="AD1813" s="580">
        <f t="shared" si="176"/>
        <v>5</v>
      </c>
      <c r="AE1813" s="580">
        <f t="shared" si="177"/>
        <v>2.5</v>
      </c>
      <c r="AF1813" s="580">
        <f t="shared" si="178"/>
        <v>2.5</v>
      </c>
      <c r="AG1813" s="580">
        <f t="shared" si="179"/>
        <v>0</v>
      </c>
      <c r="AH1813" s="580">
        <f t="shared" si="180"/>
        <v>0</v>
      </c>
    </row>
    <row r="1814" spans="28:34">
      <c r="AB1814" s="580">
        <f>HLOOKUP("*"&amp;'Output annual'!$AC$2&amp;'Output annual'!$AD$2&amp;"*Zone People Number Of Occupants [](Hourly)",'Eplus results'!$1:$1048576,ROW(),FALSE)</f>
        <v>0</v>
      </c>
      <c r="AC1814" s="580">
        <f>HLOOKUP("*"&amp;'Output annual'!$AC$2&amp;'Output annual'!$AD$2&amp;"*FangerPMV(Hourly)",'Eplus results'!$1:$1048576,ROW(),FALSE)</f>
        <v>0</v>
      </c>
      <c r="AD1814" s="580">
        <f t="shared" si="176"/>
        <v>5</v>
      </c>
      <c r="AE1814" s="580">
        <f t="shared" si="177"/>
        <v>2.5</v>
      </c>
      <c r="AF1814" s="580">
        <f t="shared" si="178"/>
        <v>2.5</v>
      </c>
      <c r="AG1814" s="580">
        <f t="shared" si="179"/>
        <v>0</v>
      </c>
      <c r="AH1814" s="580">
        <f t="shared" si="180"/>
        <v>0</v>
      </c>
    </row>
    <row r="1815" spans="28:34">
      <c r="AB1815" s="580">
        <f>HLOOKUP("*"&amp;'Output annual'!$AC$2&amp;'Output annual'!$AD$2&amp;"*Zone People Number Of Occupants [](Hourly)",'Eplus results'!$1:$1048576,ROW(),FALSE)</f>
        <v>0</v>
      </c>
      <c r="AC1815" s="580">
        <f>HLOOKUP("*"&amp;'Output annual'!$AC$2&amp;'Output annual'!$AD$2&amp;"*FangerPMV(Hourly)",'Eplus results'!$1:$1048576,ROW(),FALSE)</f>
        <v>0</v>
      </c>
      <c r="AD1815" s="580">
        <f t="shared" si="176"/>
        <v>5</v>
      </c>
      <c r="AE1815" s="580">
        <f t="shared" si="177"/>
        <v>2.5</v>
      </c>
      <c r="AF1815" s="580">
        <f t="shared" si="178"/>
        <v>2.5</v>
      </c>
      <c r="AG1815" s="580">
        <f t="shared" si="179"/>
        <v>0</v>
      </c>
      <c r="AH1815" s="580">
        <f t="shared" si="180"/>
        <v>0</v>
      </c>
    </row>
    <row r="1816" spans="28:34">
      <c r="AB1816" s="580">
        <f>HLOOKUP("*"&amp;'Output annual'!$AC$2&amp;'Output annual'!$AD$2&amp;"*Zone People Number Of Occupants [](Hourly)",'Eplus results'!$1:$1048576,ROW(),FALSE)</f>
        <v>0</v>
      </c>
      <c r="AC1816" s="580">
        <f>HLOOKUP("*"&amp;'Output annual'!$AC$2&amp;'Output annual'!$AD$2&amp;"*FangerPMV(Hourly)",'Eplus results'!$1:$1048576,ROW(),FALSE)</f>
        <v>0</v>
      </c>
      <c r="AD1816" s="580">
        <f t="shared" si="176"/>
        <v>5</v>
      </c>
      <c r="AE1816" s="580">
        <f t="shared" si="177"/>
        <v>2.5</v>
      </c>
      <c r="AF1816" s="580">
        <f t="shared" si="178"/>
        <v>2.5</v>
      </c>
      <c r="AG1816" s="580">
        <f t="shared" si="179"/>
        <v>0</v>
      </c>
      <c r="AH1816" s="580">
        <f t="shared" si="180"/>
        <v>0</v>
      </c>
    </row>
    <row r="1817" spans="28:34">
      <c r="AB1817" s="580">
        <f>HLOOKUP("*"&amp;'Output annual'!$AC$2&amp;'Output annual'!$AD$2&amp;"*Zone People Number Of Occupants [](Hourly)",'Eplus results'!$1:$1048576,ROW(),FALSE)</f>
        <v>0</v>
      </c>
      <c r="AC1817" s="580">
        <f>HLOOKUP("*"&amp;'Output annual'!$AC$2&amp;'Output annual'!$AD$2&amp;"*FangerPMV(Hourly)",'Eplus results'!$1:$1048576,ROW(),FALSE)</f>
        <v>0</v>
      </c>
      <c r="AD1817" s="580">
        <f t="shared" si="176"/>
        <v>5</v>
      </c>
      <c r="AE1817" s="580">
        <f t="shared" si="177"/>
        <v>2.5</v>
      </c>
      <c r="AF1817" s="580">
        <f t="shared" si="178"/>
        <v>2.5</v>
      </c>
      <c r="AG1817" s="580">
        <f t="shared" si="179"/>
        <v>0</v>
      </c>
      <c r="AH1817" s="580">
        <f t="shared" si="180"/>
        <v>0</v>
      </c>
    </row>
    <row r="1818" spans="28:34">
      <c r="AB1818" s="580">
        <f>HLOOKUP("*"&amp;'Output annual'!$AC$2&amp;'Output annual'!$AD$2&amp;"*Zone People Number Of Occupants [](Hourly)",'Eplus results'!$1:$1048576,ROW(),FALSE)</f>
        <v>0</v>
      </c>
      <c r="AC1818" s="580">
        <f>HLOOKUP("*"&amp;'Output annual'!$AC$2&amp;'Output annual'!$AD$2&amp;"*FangerPMV(Hourly)",'Eplus results'!$1:$1048576,ROW(),FALSE)</f>
        <v>0</v>
      </c>
      <c r="AD1818" s="580">
        <f t="shared" si="176"/>
        <v>5</v>
      </c>
      <c r="AE1818" s="580">
        <f t="shared" si="177"/>
        <v>2.5</v>
      </c>
      <c r="AF1818" s="580">
        <f t="shared" si="178"/>
        <v>2.5</v>
      </c>
      <c r="AG1818" s="580">
        <f t="shared" si="179"/>
        <v>0</v>
      </c>
      <c r="AH1818" s="580">
        <f t="shared" si="180"/>
        <v>0</v>
      </c>
    </row>
    <row r="1819" spans="28:34">
      <c r="AB1819" s="580">
        <f>HLOOKUP("*"&amp;'Output annual'!$AC$2&amp;'Output annual'!$AD$2&amp;"*Zone People Number Of Occupants [](Hourly)",'Eplus results'!$1:$1048576,ROW(),FALSE)</f>
        <v>0</v>
      </c>
      <c r="AC1819" s="580">
        <f>HLOOKUP("*"&amp;'Output annual'!$AC$2&amp;'Output annual'!$AD$2&amp;"*FangerPMV(Hourly)",'Eplus results'!$1:$1048576,ROW(),FALSE)</f>
        <v>0</v>
      </c>
      <c r="AD1819" s="580">
        <f t="shared" si="176"/>
        <v>5</v>
      </c>
      <c r="AE1819" s="580">
        <f t="shared" si="177"/>
        <v>2.5</v>
      </c>
      <c r="AF1819" s="580">
        <f t="shared" si="178"/>
        <v>2.5</v>
      </c>
      <c r="AG1819" s="580">
        <f t="shared" si="179"/>
        <v>0</v>
      </c>
      <c r="AH1819" s="580">
        <f t="shared" si="180"/>
        <v>0</v>
      </c>
    </row>
    <row r="1820" spans="28:34">
      <c r="AB1820" s="580">
        <f>HLOOKUP("*"&amp;'Output annual'!$AC$2&amp;'Output annual'!$AD$2&amp;"*Zone People Number Of Occupants [](Hourly)",'Eplus results'!$1:$1048576,ROW(),FALSE)</f>
        <v>0</v>
      </c>
      <c r="AC1820" s="580">
        <f>HLOOKUP("*"&amp;'Output annual'!$AC$2&amp;'Output annual'!$AD$2&amp;"*FangerPMV(Hourly)",'Eplus results'!$1:$1048576,ROW(),FALSE)</f>
        <v>0</v>
      </c>
      <c r="AD1820" s="580">
        <f t="shared" si="176"/>
        <v>5</v>
      </c>
      <c r="AE1820" s="580">
        <f t="shared" si="177"/>
        <v>2.5</v>
      </c>
      <c r="AF1820" s="580">
        <f t="shared" si="178"/>
        <v>2.5</v>
      </c>
      <c r="AG1820" s="580">
        <f t="shared" si="179"/>
        <v>0</v>
      </c>
      <c r="AH1820" s="580">
        <f t="shared" si="180"/>
        <v>0</v>
      </c>
    </row>
    <row r="1821" spans="28:34">
      <c r="AB1821" s="580">
        <f>HLOOKUP("*"&amp;'Output annual'!$AC$2&amp;'Output annual'!$AD$2&amp;"*Zone People Number Of Occupants [](Hourly)",'Eplus results'!$1:$1048576,ROW(),FALSE)</f>
        <v>0</v>
      </c>
      <c r="AC1821" s="580">
        <f>HLOOKUP("*"&amp;'Output annual'!$AC$2&amp;'Output annual'!$AD$2&amp;"*FangerPMV(Hourly)",'Eplus results'!$1:$1048576,ROW(),FALSE)</f>
        <v>0</v>
      </c>
      <c r="AD1821" s="580">
        <f t="shared" si="176"/>
        <v>5</v>
      </c>
      <c r="AE1821" s="580">
        <f t="shared" si="177"/>
        <v>2.5</v>
      </c>
      <c r="AF1821" s="580">
        <f t="shared" si="178"/>
        <v>2.5</v>
      </c>
      <c r="AG1821" s="580">
        <f t="shared" si="179"/>
        <v>0</v>
      </c>
      <c r="AH1821" s="580">
        <f t="shared" si="180"/>
        <v>0</v>
      </c>
    </row>
    <row r="1822" spans="28:34">
      <c r="AB1822" s="580">
        <f>HLOOKUP("*"&amp;'Output annual'!$AC$2&amp;'Output annual'!$AD$2&amp;"*Zone People Number Of Occupants [](Hourly)",'Eplus results'!$1:$1048576,ROW(),FALSE)</f>
        <v>0</v>
      </c>
      <c r="AC1822" s="580">
        <f>HLOOKUP("*"&amp;'Output annual'!$AC$2&amp;'Output annual'!$AD$2&amp;"*FangerPMV(Hourly)",'Eplus results'!$1:$1048576,ROW(),FALSE)</f>
        <v>0</v>
      </c>
      <c r="AD1822" s="580">
        <f t="shared" si="176"/>
        <v>5</v>
      </c>
      <c r="AE1822" s="580">
        <f t="shared" si="177"/>
        <v>2.5</v>
      </c>
      <c r="AF1822" s="580">
        <f t="shared" si="178"/>
        <v>2.5</v>
      </c>
      <c r="AG1822" s="580">
        <f t="shared" si="179"/>
        <v>0</v>
      </c>
      <c r="AH1822" s="580">
        <f t="shared" si="180"/>
        <v>0</v>
      </c>
    </row>
    <row r="1823" spans="28:34">
      <c r="AB1823" s="580">
        <f>HLOOKUP("*"&amp;'Output annual'!$AC$2&amp;'Output annual'!$AD$2&amp;"*Zone People Number Of Occupants [](Hourly)",'Eplus results'!$1:$1048576,ROW(),FALSE)</f>
        <v>0</v>
      </c>
      <c r="AC1823" s="580">
        <f>HLOOKUP("*"&amp;'Output annual'!$AC$2&amp;'Output annual'!$AD$2&amp;"*FangerPMV(Hourly)",'Eplus results'!$1:$1048576,ROW(),FALSE)</f>
        <v>0</v>
      </c>
      <c r="AD1823" s="580">
        <f t="shared" si="176"/>
        <v>5</v>
      </c>
      <c r="AE1823" s="580">
        <f t="shared" si="177"/>
        <v>2.5</v>
      </c>
      <c r="AF1823" s="580">
        <f t="shared" si="178"/>
        <v>2.5</v>
      </c>
      <c r="AG1823" s="580">
        <f t="shared" si="179"/>
        <v>0</v>
      </c>
      <c r="AH1823" s="580">
        <f t="shared" si="180"/>
        <v>0</v>
      </c>
    </row>
    <row r="1824" spans="28:34">
      <c r="AB1824" s="580">
        <f>HLOOKUP("*"&amp;'Output annual'!$AC$2&amp;'Output annual'!$AD$2&amp;"*Zone People Number Of Occupants [](Hourly)",'Eplus results'!$1:$1048576,ROW(),FALSE)</f>
        <v>0</v>
      </c>
      <c r="AC1824" s="580">
        <f>HLOOKUP("*"&amp;'Output annual'!$AC$2&amp;'Output annual'!$AD$2&amp;"*FangerPMV(Hourly)",'Eplus results'!$1:$1048576,ROW(),FALSE)</f>
        <v>0</v>
      </c>
      <c r="AD1824" s="580">
        <f t="shared" si="176"/>
        <v>5</v>
      </c>
      <c r="AE1824" s="580">
        <f t="shared" si="177"/>
        <v>2.5</v>
      </c>
      <c r="AF1824" s="580">
        <f t="shared" si="178"/>
        <v>2.5</v>
      </c>
      <c r="AG1824" s="580">
        <f t="shared" si="179"/>
        <v>0</v>
      </c>
      <c r="AH1824" s="580">
        <f t="shared" si="180"/>
        <v>0</v>
      </c>
    </row>
    <row r="1825" spans="28:34">
      <c r="AB1825" s="580">
        <f>HLOOKUP("*"&amp;'Output annual'!$AC$2&amp;'Output annual'!$AD$2&amp;"*Zone People Number Of Occupants [](Hourly)",'Eplus results'!$1:$1048576,ROW(),FALSE)</f>
        <v>0</v>
      </c>
      <c r="AC1825" s="580">
        <f>HLOOKUP("*"&amp;'Output annual'!$AC$2&amp;'Output annual'!$AD$2&amp;"*FangerPMV(Hourly)",'Eplus results'!$1:$1048576,ROW(),FALSE)</f>
        <v>0</v>
      </c>
      <c r="AD1825" s="580">
        <f t="shared" si="176"/>
        <v>5</v>
      </c>
      <c r="AE1825" s="580">
        <f t="shared" si="177"/>
        <v>2.5</v>
      </c>
      <c r="AF1825" s="580">
        <f t="shared" si="178"/>
        <v>2.5</v>
      </c>
      <c r="AG1825" s="580">
        <f t="shared" si="179"/>
        <v>0</v>
      </c>
      <c r="AH1825" s="580">
        <f t="shared" si="180"/>
        <v>0</v>
      </c>
    </row>
    <row r="1826" spans="28:34">
      <c r="AB1826" s="580">
        <f>HLOOKUP("*"&amp;'Output annual'!$AC$2&amp;'Output annual'!$AD$2&amp;"*Zone People Number Of Occupants [](Hourly)",'Eplus results'!$1:$1048576,ROW(),FALSE)</f>
        <v>0</v>
      </c>
      <c r="AC1826" s="580">
        <f>HLOOKUP("*"&amp;'Output annual'!$AC$2&amp;'Output annual'!$AD$2&amp;"*FangerPMV(Hourly)",'Eplus results'!$1:$1048576,ROW(),FALSE)</f>
        <v>0</v>
      </c>
      <c r="AD1826" s="580">
        <f t="shared" si="176"/>
        <v>5</v>
      </c>
      <c r="AE1826" s="580">
        <f t="shared" si="177"/>
        <v>2.5</v>
      </c>
      <c r="AF1826" s="580">
        <f t="shared" si="178"/>
        <v>2.5</v>
      </c>
      <c r="AG1826" s="580">
        <f t="shared" si="179"/>
        <v>0</v>
      </c>
      <c r="AH1826" s="580">
        <f t="shared" si="180"/>
        <v>0</v>
      </c>
    </row>
    <row r="1827" spans="28:34">
      <c r="AB1827" s="580">
        <f>HLOOKUP("*"&amp;'Output annual'!$AC$2&amp;'Output annual'!$AD$2&amp;"*Zone People Number Of Occupants [](Hourly)",'Eplus results'!$1:$1048576,ROW(),FALSE)</f>
        <v>0</v>
      </c>
      <c r="AC1827" s="580">
        <f>HLOOKUP("*"&amp;'Output annual'!$AC$2&amp;'Output annual'!$AD$2&amp;"*FangerPMV(Hourly)",'Eplus results'!$1:$1048576,ROW(),FALSE)</f>
        <v>0</v>
      </c>
      <c r="AD1827" s="580">
        <f t="shared" si="176"/>
        <v>5</v>
      </c>
      <c r="AE1827" s="580">
        <f t="shared" si="177"/>
        <v>2.5</v>
      </c>
      <c r="AF1827" s="580">
        <f t="shared" si="178"/>
        <v>2.5</v>
      </c>
      <c r="AG1827" s="580">
        <f t="shared" si="179"/>
        <v>0</v>
      </c>
      <c r="AH1827" s="580">
        <f t="shared" si="180"/>
        <v>0</v>
      </c>
    </row>
    <row r="1828" spans="28:34">
      <c r="AB1828" s="580">
        <f>HLOOKUP("*"&amp;'Output annual'!$AC$2&amp;'Output annual'!$AD$2&amp;"*Zone People Number Of Occupants [](Hourly)",'Eplus results'!$1:$1048576,ROW(),FALSE)</f>
        <v>0</v>
      </c>
      <c r="AC1828" s="580">
        <f>HLOOKUP("*"&amp;'Output annual'!$AC$2&amp;'Output annual'!$AD$2&amp;"*FangerPMV(Hourly)",'Eplus results'!$1:$1048576,ROW(),FALSE)</f>
        <v>0</v>
      </c>
      <c r="AD1828" s="580">
        <f t="shared" si="176"/>
        <v>5</v>
      </c>
      <c r="AE1828" s="580">
        <f t="shared" si="177"/>
        <v>2.5</v>
      </c>
      <c r="AF1828" s="580">
        <f t="shared" si="178"/>
        <v>2.5</v>
      </c>
      <c r="AG1828" s="580">
        <f t="shared" si="179"/>
        <v>0</v>
      </c>
      <c r="AH1828" s="580">
        <f t="shared" si="180"/>
        <v>0</v>
      </c>
    </row>
    <row r="1829" spans="28:34">
      <c r="AB1829" s="580">
        <f>HLOOKUP("*"&amp;'Output annual'!$AC$2&amp;'Output annual'!$AD$2&amp;"*Zone People Number Of Occupants [](Hourly)",'Eplus results'!$1:$1048576,ROW(),FALSE)</f>
        <v>0</v>
      </c>
      <c r="AC1829" s="580">
        <f>HLOOKUP("*"&amp;'Output annual'!$AC$2&amp;'Output annual'!$AD$2&amp;"*FangerPMV(Hourly)",'Eplus results'!$1:$1048576,ROW(),FALSE)</f>
        <v>0</v>
      </c>
      <c r="AD1829" s="580">
        <f t="shared" si="176"/>
        <v>5</v>
      </c>
      <c r="AE1829" s="580">
        <f t="shared" si="177"/>
        <v>2.5</v>
      </c>
      <c r="AF1829" s="580">
        <f t="shared" si="178"/>
        <v>2.5</v>
      </c>
      <c r="AG1829" s="580">
        <f t="shared" si="179"/>
        <v>0</v>
      </c>
      <c r="AH1829" s="580">
        <f t="shared" si="180"/>
        <v>0</v>
      </c>
    </row>
    <row r="1830" spans="28:34">
      <c r="AB1830" s="580">
        <f>HLOOKUP("*"&amp;'Output annual'!$AC$2&amp;'Output annual'!$AD$2&amp;"*Zone People Number Of Occupants [](Hourly)",'Eplus results'!$1:$1048576,ROW(),FALSE)</f>
        <v>0</v>
      </c>
      <c r="AC1830" s="580">
        <f>HLOOKUP("*"&amp;'Output annual'!$AC$2&amp;'Output annual'!$AD$2&amp;"*FangerPMV(Hourly)",'Eplus results'!$1:$1048576,ROW(),FALSE)</f>
        <v>0</v>
      </c>
      <c r="AD1830" s="580">
        <f t="shared" si="176"/>
        <v>5</v>
      </c>
      <c r="AE1830" s="580">
        <f t="shared" si="177"/>
        <v>2.5</v>
      </c>
      <c r="AF1830" s="580">
        <f t="shared" si="178"/>
        <v>2.5</v>
      </c>
      <c r="AG1830" s="580">
        <f t="shared" si="179"/>
        <v>0</v>
      </c>
      <c r="AH1830" s="580">
        <f t="shared" si="180"/>
        <v>0</v>
      </c>
    </row>
    <row r="1831" spans="28:34">
      <c r="AB1831" s="580">
        <f>HLOOKUP("*"&amp;'Output annual'!$AC$2&amp;'Output annual'!$AD$2&amp;"*Zone People Number Of Occupants [](Hourly)",'Eplus results'!$1:$1048576,ROW(),FALSE)</f>
        <v>0</v>
      </c>
      <c r="AC1831" s="580">
        <f>HLOOKUP("*"&amp;'Output annual'!$AC$2&amp;'Output annual'!$AD$2&amp;"*FangerPMV(Hourly)",'Eplus results'!$1:$1048576,ROW(),FALSE)</f>
        <v>0</v>
      </c>
      <c r="AD1831" s="580">
        <f t="shared" si="176"/>
        <v>5</v>
      </c>
      <c r="AE1831" s="580">
        <f t="shared" si="177"/>
        <v>2.5</v>
      </c>
      <c r="AF1831" s="580">
        <f t="shared" si="178"/>
        <v>2.5</v>
      </c>
      <c r="AG1831" s="580">
        <f t="shared" si="179"/>
        <v>0</v>
      </c>
      <c r="AH1831" s="580">
        <f t="shared" si="180"/>
        <v>0</v>
      </c>
    </row>
    <row r="1832" spans="28:34">
      <c r="AB1832" s="580">
        <f>HLOOKUP("*"&amp;'Output annual'!$AC$2&amp;'Output annual'!$AD$2&amp;"*Zone People Number Of Occupants [](Hourly)",'Eplus results'!$1:$1048576,ROW(),FALSE)</f>
        <v>0</v>
      </c>
      <c r="AC1832" s="580">
        <f>HLOOKUP("*"&amp;'Output annual'!$AC$2&amp;'Output annual'!$AD$2&amp;"*FangerPMV(Hourly)",'Eplus results'!$1:$1048576,ROW(),FALSE)</f>
        <v>0</v>
      </c>
      <c r="AD1832" s="580">
        <f t="shared" si="176"/>
        <v>5</v>
      </c>
      <c r="AE1832" s="580">
        <f t="shared" si="177"/>
        <v>2.5</v>
      </c>
      <c r="AF1832" s="580">
        <f t="shared" si="178"/>
        <v>2.5</v>
      </c>
      <c r="AG1832" s="580">
        <f t="shared" si="179"/>
        <v>0</v>
      </c>
      <c r="AH1832" s="580">
        <f t="shared" si="180"/>
        <v>0</v>
      </c>
    </row>
    <row r="1833" spans="28:34">
      <c r="AB1833" s="580">
        <f>HLOOKUP("*"&amp;'Output annual'!$AC$2&amp;'Output annual'!$AD$2&amp;"*Zone People Number Of Occupants [](Hourly)",'Eplus results'!$1:$1048576,ROW(),FALSE)</f>
        <v>0</v>
      </c>
      <c r="AC1833" s="580">
        <f>HLOOKUP("*"&amp;'Output annual'!$AC$2&amp;'Output annual'!$AD$2&amp;"*FangerPMV(Hourly)",'Eplus results'!$1:$1048576,ROW(),FALSE)</f>
        <v>0</v>
      </c>
      <c r="AD1833" s="580">
        <f t="shared" si="176"/>
        <v>5</v>
      </c>
      <c r="AE1833" s="580">
        <f t="shared" si="177"/>
        <v>2.5</v>
      </c>
      <c r="AF1833" s="580">
        <f t="shared" si="178"/>
        <v>2.5</v>
      </c>
      <c r="AG1833" s="580">
        <f t="shared" si="179"/>
        <v>0</v>
      </c>
      <c r="AH1833" s="580">
        <f t="shared" si="180"/>
        <v>0</v>
      </c>
    </row>
    <row r="1834" spans="28:34">
      <c r="AB1834" s="580">
        <f>HLOOKUP("*"&amp;'Output annual'!$AC$2&amp;'Output annual'!$AD$2&amp;"*Zone People Number Of Occupants [](Hourly)",'Eplus results'!$1:$1048576,ROW(),FALSE)</f>
        <v>0</v>
      </c>
      <c r="AC1834" s="580">
        <f>HLOOKUP("*"&amp;'Output annual'!$AC$2&amp;'Output annual'!$AD$2&amp;"*FangerPMV(Hourly)",'Eplus results'!$1:$1048576,ROW(),FALSE)</f>
        <v>0</v>
      </c>
      <c r="AD1834" s="580">
        <f t="shared" si="176"/>
        <v>5</v>
      </c>
      <c r="AE1834" s="580">
        <f t="shared" si="177"/>
        <v>2.5</v>
      </c>
      <c r="AF1834" s="580">
        <f t="shared" si="178"/>
        <v>2.5</v>
      </c>
      <c r="AG1834" s="580">
        <f t="shared" si="179"/>
        <v>0</v>
      </c>
      <c r="AH1834" s="580">
        <f t="shared" si="180"/>
        <v>0</v>
      </c>
    </row>
    <row r="1835" spans="28:34">
      <c r="AB1835" s="580">
        <f>HLOOKUP("*"&amp;'Output annual'!$AC$2&amp;'Output annual'!$AD$2&amp;"*Zone People Number Of Occupants [](Hourly)",'Eplus results'!$1:$1048576,ROW(),FALSE)</f>
        <v>0</v>
      </c>
      <c r="AC1835" s="580">
        <f>HLOOKUP("*"&amp;'Output annual'!$AC$2&amp;'Output annual'!$AD$2&amp;"*FangerPMV(Hourly)",'Eplus results'!$1:$1048576,ROW(),FALSE)</f>
        <v>0</v>
      </c>
      <c r="AD1835" s="580">
        <f t="shared" si="176"/>
        <v>5</v>
      </c>
      <c r="AE1835" s="580">
        <f t="shared" si="177"/>
        <v>2.5</v>
      </c>
      <c r="AF1835" s="580">
        <f t="shared" si="178"/>
        <v>2.5</v>
      </c>
      <c r="AG1835" s="580">
        <f t="shared" si="179"/>
        <v>0</v>
      </c>
      <c r="AH1835" s="580">
        <f t="shared" si="180"/>
        <v>0</v>
      </c>
    </row>
    <row r="1836" spans="28:34">
      <c r="AB1836" s="580">
        <f>HLOOKUP("*"&amp;'Output annual'!$AC$2&amp;'Output annual'!$AD$2&amp;"*Zone People Number Of Occupants [](Hourly)",'Eplus results'!$1:$1048576,ROW(),FALSE)</f>
        <v>0</v>
      </c>
      <c r="AC1836" s="580">
        <f>HLOOKUP("*"&amp;'Output annual'!$AC$2&amp;'Output annual'!$AD$2&amp;"*FangerPMV(Hourly)",'Eplus results'!$1:$1048576,ROW(),FALSE)</f>
        <v>0</v>
      </c>
      <c r="AD1836" s="580">
        <f t="shared" si="176"/>
        <v>5</v>
      </c>
      <c r="AE1836" s="580">
        <f t="shared" si="177"/>
        <v>2.5</v>
      </c>
      <c r="AF1836" s="580">
        <f t="shared" si="178"/>
        <v>2.5</v>
      </c>
      <c r="AG1836" s="580">
        <f t="shared" si="179"/>
        <v>0</v>
      </c>
      <c r="AH1836" s="580">
        <f t="shared" si="180"/>
        <v>0</v>
      </c>
    </row>
    <row r="1837" spans="28:34">
      <c r="AB1837" s="580">
        <f>HLOOKUP("*"&amp;'Output annual'!$AC$2&amp;'Output annual'!$AD$2&amp;"*Zone People Number Of Occupants [](Hourly)",'Eplus results'!$1:$1048576,ROW(),FALSE)</f>
        <v>0</v>
      </c>
      <c r="AC1837" s="580">
        <f>HLOOKUP("*"&amp;'Output annual'!$AC$2&amp;'Output annual'!$AD$2&amp;"*FangerPMV(Hourly)",'Eplus results'!$1:$1048576,ROW(),FALSE)</f>
        <v>0</v>
      </c>
      <c r="AD1837" s="580">
        <f t="shared" si="176"/>
        <v>5</v>
      </c>
      <c r="AE1837" s="580">
        <f t="shared" si="177"/>
        <v>2.5</v>
      </c>
      <c r="AF1837" s="580">
        <f t="shared" si="178"/>
        <v>2.5</v>
      </c>
      <c r="AG1837" s="580">
        <f t="shared" si="179"/>
        <v>0</v>
      </c>
      <c r="AH1837" s="580">
        <f t="shared" si="180"/>
        <v>0</v>
      </c>
    </row>
    <row r="1838" spans="28:34">
      <c r="AB1838" s="580">
        <f>HLOOKUP("*"&amp;'Output annual'!$AC$2&amp;'Output annual'!$AD$2&amp;"*Zone People Number Of Occupants [](Hourly)",'Eplus results'!$1:$1048576,ROW(),FALSE)</f>
        <v>0</v>
      </c>
      <c r="AC1838" s="580">
        <f>HLOOKUP("*"&amp;'Output annual'!$AC$2&amp;'Output annual'!$AD$2&amp;"*FangerPMV(Hourly)",'Eplus results'!$1:$1048576,ROW(),FALSE)</f>
        <v>0</v>
      </c>
      <c r="AD1838" s="580">
        <f t="shared" si="176"/>
        <v>5</v>
      </c>
      <c r="AE1838" s="580">
        <f t="shared" si="177"/>
        <v>2.5</v>
      </c>
      <c r="AF1838" s="580">
        <f t="shared" si="178"/>
        <v>2.5</v>
      </c>
      <c r="AG1838" s="580">
        <f t="shared" si="179"/>
        <v>0</v>
      </c>
      <c r="AH1838" s="580">
        <f t="shared" si="180"/>
        <v>0</v>
      </c>
    </row>
    <row r="1839" spans="28:34">
      <c r="AB1839" s="580">
        <f>HLOOKUP("*"&amp;'Output annual'!$AC$2&amp;'Output annual'!$AD$2&amp;"*Zone People Number Of Occupants [](Hourly)",'Eplus results'!$1:$1048576,ROW(),FALSE)</f>
        <v>0</v>
      </c>
      <c r="AC1839" s="580">
        <f>HLOOKUP("*"&amp;'Output annual'!$AC$2&amp;'Output annual'!$AD$2&amp;"*FangerPMV(Hourly)",'Eplus results'!$1:$1048576,ROW(),FALSE)</f>
        <v>0</v>
      </c>
      <c r="AD1839" s="580">
        <f t="shared" si="176"/>
        <v>5</v>
      </c>
      <c r="AE1839" s="580">
        <f t="shared" si="177"/>
        <v>2.5</v>
      </c>
      <c r="AF1839" s="580">
        <f t="shared" si="178"/>
        <v>2.5</v>
      </c>
      <c r="AG1839" s="580">
        <f t="shared" si="179"/>
        <v>0</v>
      </c>
      <c r="AH1839" s="580">
        <f t="shared" si="180"/>
        <v>0</v>
      </c>
    </row>
    <row r="1840" spans="28:34">
      <c r="AB1840" s="580">
        <f>HLOOKUP("*"&amp;'Output annual'!$AC$2&amp;'Output annual'!$AD$2&amp;"*Zone People Number Of Occupants [](Hourly)",'Eplus results'!$1:$1048576,ROW(),FALSE)</f>
        <v>0</v>
      </c>
      <c r="AC1840" s="580">
        <f>HLOOKUP("*"&amp;'Output annual'!$AC$2&amp;'Output annual'!$AD$2&amp;"*FangerPMV(Hourly)",'Eplus results'!$1:$1048576,ROW(),FALSE)</f>
        <v>0</v>
      </c>
      <c r="AD1840" s="580">
        <f t="shared" si="176"/>
        <v>5</v>
      </c>
      <c r="AE1840" s="580">
        <f t="shared" si="177"/>
        <v>2.5</v>
      </c>
      <c r="AF1840" s="580">
        <f t="shared" si="178"/>
        <v>2.5</v>
      </c>
      <c r="AG1840" s="580">
        <f t="shared" si="179"/>
        <v>0</v>
      </c>
      <c r="AH1840" s="580">
        <f t="shared" si="180"/>
        <v>0</v>
      </c>
    </row>
    <row r="1841" spans="28:34">
      <c r="AB1841" s="580">
        <f>HLOOKUP("*"&amp;'Output annual'!$AC$2&amp;'Output annual'!$AD$2&amp;"*Zone People Number Of Occupants [](Hourly)",'Eplus results'!$1:$1048576,ROW(),FALSE)</f>
        <v>0</v>
      </c>
      <c r="AC1841" s="580">
        <f>HLOOKUP("*"&amp;'Output annual'!$AC$2&amp;'Output annual'!$AD$2&amp;"*FangerPMV(Hourly)",'Eplus results'!$1:$1048576,ROW(),FALSE)</f>
        <v>0</v>
      </c>
      <c r="AD1841" s="580">
        <f t="shared" si="176"/>
        <v>5</v>
      </c>
      <c r="AE1841" s="580">
        <f t="shared" si="177"/>
        <v>2.5</v>
      </c>
      <c r="AF1841" s="580">
        <f t="shared" si="178"/>
        <v>2.5</v>
      </c>
      <c r="AG1841" s="580">
        <f t="shared" si="179"/>
        <v>0</v>
      </c>
      <c r="AH1841" s="580">
        <f t="shared" si="180"/>
        <v>0</v>
      </c>
    </row>
    <row r="1842" spans="28:34">
      <c r="AB1842" s="580">
        <f>HLOOKUP("*"&amp;'Output annual'!$AC$2&amp;'Output annual'!$AD$2&amp;"*Zone People Number Of Occupants [](Hourly)",'Eplus results'!$1:$1048576,ROW(),FALSE)</f>
        <v>0</v>
      </c>
      <c r="AC1842" s="580">
        <f>HLOOKUP("*"&amp;'Output annual'!$AC$2&amp;'Output annual'!$AD$2&amp;"*FangerPMV(Hourly)",'Eplus results'!$1:$1048576,ROW(),FALSE)</f>
        <v>0</v>
      </c>
      <c r="AD1842" s="580">
        <f t="shared" si="176"/>
        <v>5</v>
      </c>
      <c r="AE1842" s="580">
        <f t="shared" si="177"/>
        <v>2.5</v>
      </c>
      <c r="AF1842" s="580">
        <f t="shared" si="178"/>
        <v>2.5</v>
      </c>
      <c r="AG1842" s="580">
        <f t="shared" si="179"/>
        <v>0</v>
      </c>
      <c r="AH1842" s="580">
        <f t="shared" si="180"/>
        <v>0</v>
      </c>
    </row>
    <row r="1843" spans="28:34">
      <c r="AB1843" s="580">
        <f>HLOOKUP("*"&amp;'Output annual'!$AC$2&amp;'Output annual'!$AD$2&amp;"*Zone People Number Of Occupants [](Hourly)",'Eplus results'!$1:$1048576,ROW(),FALSE)</f>
        <v>0</v>
      </c>
      <c r="AC1843" s="580">
        <f>HLOOKUP("*"&amp;'Output annual'!$AC$2&amp;'Output annual'!$AD$2&amp;"*FangerPMV(Hourly)",'Eplus results'!$1:$1048576,ROW(),FALSE)</f>
        <v>0</v>
      </c>
      <c r="AD1843" s="580">
        <f t="shared" si="176"/>
        <v>5</v>
      </c>
      <c r="AE1843" s="580">
        <f t="shared" si="177"/>
        <v>2.5</v>
      </c>
      <c r="AF1843" s="580">
        <f t="shared" si="178"/>
        <v>2.5</v>
      </c>
      <c r="AG1843" s="580">
        <f t="shared" si="179"/>
        <v>0</v>
      </c>
      <c r="AH1843" s="580">
        <f t="shared" si="180"/>
        <v>0</v>
      </c>
    </row>
    <row r="1844" spans="28:34">
      <c r="AB1844" s="580">
        <f>HLOOKUP("*"&amp;'Output annual'!$AC$2&amp;'Output annual'!$AD$2&amp;"*Zone People Number Of Occupants [](Hourly)",'Eplus results'!$1:$1048576,ROW(),FALSE)</f>
        <v>0</v>
      </c>
      <c r="AC1844" s="580">
        <f>HLOOKUP("*"&amp;'Output annual'!$AC$2&amp;'Output annual'!$AD$2&amp;"*FangerPMV(Hourly)",'Eplus results'!$1:$1048576,ROW(),FALSE)</f>
        <v>0</v>
      </c>
      <c r="AD1844" s="580">
        <f t="shared" si="176"/>
        <v>5</v>
      </c>
      <c r="AE1844" s="580">
        <f t="shared" si="177"/>
        <v>2.5</v>
      </c>
      <c r="AF1844" s="580">
        <f t="shared" si="178"/>
        <v>2.5</v>
      </c>
      <c r="AG1844" s="580">
        <f t="shared" si="179"/>
        <v>0</v>
      </c>
      <c r="AH1844" s="580">
        <f t="shared" si="180"/>
        <v>0</v>
      </c>
    </row>
    <row r="1845" spans="28:34">
      <c r="AB1845" s="580">
        <f>HLOOKUP("*"&amp;'Output annual'!$AC$2&amp;'Output annual'!$AD$2&amp;"*Zone People Number Of Occupants [](Hourly)",'Eplus results'!$1:$1048576,ROW(),FALSE)</f>
        <v>0</v>
      </c>
      <c r="AC1845" s="580">
        <f>HLOOKUP("*"&amp;'Output annual'!$AC$2&amp;'Output annual'!$AD$2&amp;"*FangerPMV(Hourly)",'Eplus results'!$1:$1048576,ROW(),FALSE)</f>
        <v>0</v>
      </c>
      <c r="AD1845" s="580">
        <f t="shared" si="176"/>
        <v>5</v>
      </c>
      <c r="AE1845" s="580">
        <f t="shared" si="177"/>
        <v>2.5</v>
      </c>
      <c r="AF1845" s="580">
        <f t="shared" si="178"/>
        <v>2.5</v>
      </c>
      <c r="AG1845" s="580">
        <f t="shared" si="179"/>
        <v>0</v>
      </c>
      <c r="AH1845" s="580">
        <f t="shared" si="180"/>
        <v>0</v>
      </c>
    </row>
    <row r="1846" spans="28:34">
      <c r="AB1846" s="580">
        <f>HLOOKUP("*"&amp;'Output annual'!$AC$2&amp;'Output annual'!$AD$2&amp;"*Zone People Number Of Occupants [](Hourly)",'Eplus results'!$1:$1048576,ROW(),FALSE)</f>
        <v>0</v>
      </c>
      <c r="AC1846" s="580">
        <f>HLOOKUP("*"&amp;'Output annual'!$AC$2&amp;'Output annual'!$AD$2&amp;"*FangerPMV(Hourly)",'Eplus results'!$1:$1048576,ROW(),FALSE)</f>
        <v>0</v>
      </c>
      <c r="AD1846" s="580">
        <f t="shared" si="176"/>
        <v>5</v>
      </c>
      <c r="AE1846" s="580">
        <f t="shared" si="177"/>
        <v>2.5</v>
      </c>
      <c r="AF1846" s="580">
        <f t="shared" si="178"/>
        <v>2.5</v>
      </c>
      <c r="AG1846" s="580">
        <f t="shared" si="179"/>
        <v>0</v>
      </c>
      <c r="AH1846" s="580">
        <f t="shared" si="180"/>
        <v>0</v>
      </c>
    </row>
    <row r="1847" spans="28:34">
      <c r="AB1847" s="580">
        <f>HLOOKUP("*"&amp;'Output annual'!$AC$2&amp;'Output annual'!$AD$2&amp;"*Zone People Number Of Occupants [](Hourly)",'Eplus results'!$1:$1048576,ROW(),FALSE)</f>
        <v>0</v>
      </c>
      <c r="AC1847" s="580">
        <f>HLOOKUP("*"&amp;'Output annual'!$AC$2&amp;'Output annual'!$AD$2&amp;"*FangerPMV(Hourly)",'Eplus results'!$1:$1048576,ROW(),FALSE)</f>
        <v>0</v>
      </c>
      <c r="AD1847" s="580">
        <f t="shared" si="176"/>
        <v>5</v>
      </c>
      <c r="AE1847" s="580">
        <f t="shared" si="177"/>
        <v>2.5</v>
      </c>
      <c r="AF1847" s="580">
        <f t="shared" si="178"/>
        <v>2.5</v>
      </c>
      <c r="AG1847" s="580">
        <f t="shared" si="179"/>
        <v>0</v>
      </c>
      <c r="AH1847" s="580">
        <f t="shared" si="180"/>
        <v>0</v>
      </c>
    </row>
    <row r="1848" spans="28:34">
      <c r="AB1848" s="580">
        <f>HLOOKUP("*"&amp;'Output annual'!$AC$2&amp;'Output annual'!$AD$2&amp;"*Zone People Number Of Occupants [](Hourly)",'Eplus results'!$1:$1048576,ROW(),FALSE)</f>
        <v>0</v>
      </c>
      <c r="AC1848" s="580">
        <f>HLOOKUP("*"&amp;'Output annual'!$AC$2&amp;'Output annual'!$AD$2&amp;"*FangerPMV(Hourly)",'Eplus results'!$1:$1048576,ROW(),FALSE)</f>
        <v>0</v>
      </c>
      <c r="AD1848" s="580">
        <f t="shared" si="176"/>
        <v>5</v>
      </c>
      <c r="AE1848" s="580">
        <f t="shared" si="177"/>
        <v>2.5</v>
      </c>
      <c r="AF1848" s="580">
        <f t="shared" si="178"/>
        <v>2.5</v>
      </c>
      <c r="AG1848" s="580">
        <f t="shared" si="179"/>
        <v>0</v>
      </c>
      <c r="AH1848" s="580">
        <f t="shared" si="180"/>
        <v>0</v>
      </c>
    </row>
    <row r="1849" spans="28:34">
      <c r="AB1849" s="580">
        <f>HLOOKUP("*"&amp;'Output annual'!$AC$2&amp;'Output annual'!$AD$2&amp;"*Zone People Number Of Occupants [](Hourly)",'Eplus results'!$1:$1048576,ROW(),FALSE)</f>
        <v>0</v>
      </c>
      <c r="AC1849" s="580">
        <f>HLOOKUP("*"&amp;'Output annual'!$AC$2&amp;'Output annual'!$AD$2&amp;"*FangerPMV(Hourly)",'Eplus results'!$1:$1048576,ROW(),FALSE)</f>
        <v>0</v>
      </c>
      <c r="AD1849" s="580">
        <f t="shared" si="176"/>
        <v>5</v>
      </c>
      <c r="AE1849" s="580">
        <f t="shared" si="177"/>
        <v>2.5</v>
      </c>
      <c r="AF1849" s="580">
        <f t="shared" si="178"/>
        <v>2.5</v>
      </c>
      <c r="AG1849" s="580">
        <f t="shared" si="179"/>
        <v>0</v>
      </c>
      <c r="AH1849" s="580">
        <f t="shared" si="180"/>
        <v>0</v>
      </c>
    </row>
    <row r="1850" spans="28:34">
      <c r="AB1850" s="580">
        <f>HLOOKUP("*"&amp;'Output annual'!$AC$2&amp;'Output annual'!$AD$2&amp;"*Zone People Number Of Occupants [](Hourly)",'Eplus results'!$1:$1048576,ROW(),FALSE)</f>
        <v>0</v>
      </c>
      <c r="AC1850" s="580">
        <f>HLOOKUP("*"&amp;'Output annual'!$AC$2&amp;'Output annual'!$AD$2&amp;"*FangerPMV(Hourly)",'Eplus results'!$1:$1048576,ROW(),FALSE)</f>
        <v>0</v>
      </c>
      <c r="AD1850" s="580">
        <f t="shared" si="176"/>
        <v>5</v>
      </c>
      <c r="AE1850" s="580">
        <f t="shared" si="177"/>
        <v>2.5</v>
      </c>
      <c r="AF1850" s="580">
        <f t="shared" si="178"/>
        <v>2.5</v>
      </c>
      <c r="AG1850" s="580">
        <f t="shared" si="179"/>
        <v>0</v>
      </c>
      <c r="AH1850" s="580">
        <f t="shared" si="180"/>
        <v>0</v>
      </c>
    </row>
    <row r="1851" spans="28:34">
      <c r="AB1851" s="580">
        <f>HLOOKUP("*"&amp;'Output annual'!$AC$2&amp;'Output annual'!$AD$2&amp;"*Zone People Number Of Occupants [](Hourly)",'Eplus results'!$1:$1048576,ROW(),FALSE)</f>
        <v>0</v>
      </c>
      <c r="AC1851" s="580">
        <f>HLOOKUP("*"&amp;'Output annual'!$AC$2&amp;'Output annual'!$AD$2&amp;"*FangerPMV(Hourly)",'Eplus results'!$1:$1048576,ROW(),FALSE)</f>
        <v>0</v>
      </c>
      <c r="AD1851" s="580">
        <f t="shared" si="176"/>
        <v>5</v>
      </c>
      <c r="AE1851" s="580">
        <f t="shared" si="177"/>
        <v>2.5</v>
      </c>
      <c r="AF1851" s="580">
        <f t="shared" si="178"/>
        <v>2.5</v>
      </c>
      <c r="AG1851" s="580">
        <f t="shared" si="179"/>
        <v>0</v>
      </c>
      <c r="AH1851" s="580">
        <f t="shared" si="180"/>
        <v>0</v>
      </c>
    </row>
    <row r="1852" spans="28:34">
      <c r="AB1852" s="580">
        <f>HLOOKUP("*"&amp;'Output annual'!$AC$2&amp;'Output annual'!$AD$2&amp;"*Zone People Number Of Occupants [](Hourly)",'Eplus results'!$1:$1048576,ROW(),FALSE)</f>
        <v>0</v>
      </c>
      <c r="AC1852" s="580">
        <f>HLOOKUP("*"&amp;'Output annual'!$AC$2&amp;'Output annual'!$AD$2&amp;"*FangerPMV(Hourly)",'Eplus results'!$1:$1048576,ROW(),FALSE)</f>
        <v>0</v>
      </c>
      <c r="AD1852" s="580">
        <f t="shared" si="176"/>
        <v>5</v>
      </c>
      <c r="AE1852" s="580">
        <f t="shared" si="177"/>
        <v>2.5</v>
      </c>
      <c r="AF1852" s="580">
        <f t="shared" si="178"/>
        <v>2.5</v>
      </c>
      <c r="AG1852" s="580">
        <f t="shared" si="179"/>
        <v>0</v>
      </c>
      <c r="AH1852" s="580">
        <f t="shared" si="180"/>
        <v>0</v>
      </c>
    </row>
    <row r="1853" spans="28:34">
      <c r="AB1853" s="580">
        <f>HLOOKUP("*"&amp;'Output annual'!$AC$2&amp;'Output annual'!$AD$2&amp;"*Zone People Number Of Occupants [](Hourly)",'Eplus results'!$1:$1048576,ROW(),FALSE)</f>
        <v>0</v>
      </c>
      <c r="AC1853" s="580">
        <f>HLOOKUP("*"&amp;'Output annual'!$AC$2&amp;'Output annual'!$AD$2&amp;"*FangerPMV(Hourly)",'Eplus results'!$1:$1048576,ROW(),FALSE)</f>
        <v>0</v>
      </c>
      <c r="AD1853" s="580">
        <f t="shared" si="176"/>
        <v>5</v>
      </c>
      <c r="AE1853" s="580">
        <f t="shared" si="177"/>
        <v>2.5</v>
      </c>
      <c r="AF1853" s="580">
        <f t="shared" si="178"/>
        <v>2.5</v>
      </c>
      <c r="AG1853" s="580">
        <f t="shared" si="179"/>
        <v>0</v>
      </c>
      <c r="AH1853" s="580">
        <f t="shared" si="180"/>
        <v>0</v>
      </c>
    </row>
    <row r="1854" spans="28:34">
      <c r="AB1854" s="580">
        <f>HLOOKUP("*"&amp;'Output annual'!$AC$2&amp;'Output annual'!$AD$2&amp;"*Zone People Number Of Occupants [](Hourly)",'Eplus results'!$1:$1048576,ROW(),FALSE)</f>
        <v>0</v>
      </c>
      <c r="AC1854" s="580">
        <f>HLOOKUP("*"&amp;'Output annual'!$AC$2&amp;'Output annual'!$AD$2&amp;"*FangerPMV(Hourly)",'Eplus results'!$1:$1048576,ROW(),FALSE)</f>
        <v>0</v>
      </c>
      <c r="AD1854" s="580">
        <f t="shared" si="176"/>
        <v>5</v>
      </c>
      <c r="AE1854" s="580">
        <f t="shared" si="177"/>
        <v>2.5</v>
      </c>
      <c r="AF1854" s="580">
        <f t="shared" si="178"/>
        <v>2.5</v>
      </c>
      <c r="AG1854" s="580">
        <f t="shared" si="179"/>
        <v>0</v>
      </c>
      <c r="AH1854" s="580">
        <f t="shared" si="180"/>
        <v>0</v>
      </c>
    </row>
    <row r="1855" spans="28:34">
      <c r="AB1855" s="580">
        <f>HLOOKUP("*"&amp;'Output annual'!$AC$2&amp;'Output annual'!$AD$2&amp;"*Zone People Number Of Occupants [](Hourly)",'Eplus results'!$1:$1048576,ROW(),FALSE)</f>
        <v>0</v>
      </c>
      <c r="AC1855" s="580">
        <f>HLOOKUP("*"&amp;'Output annual'!$AC$2&amp;'Output annual'!$AD$2&amp;"*FangerPMV(Hourly)",'Eplus results'!$1:$1048576,ROW(),FALSE)</f>
        <v>0</v>
      </c>
      <c r="AD1855" s="580">
        <f t="shared" si="176"/>
        <v>5</v>
      </c>
      <c r="AE1855" s="580">
        <f t="shared" si="177"/>
        <v>2.5</v>
      </c>
      <c r="AF1855" s="580">
        <f t="shared" si="178"/>
        <v>2.5</v>
      </c>
      <c r="AG1855" s="580">
        <f t="shared" si="179"/>
        <v>0</v>
      </c>
      <c r="AH1855" s="580">
        <f t="shared" si="180"/>
        <v>0</v>
      </c>
    </row>
    <row r="1856" spans="28:34">
      <c r="AB1856" s="580">
        <f>HLOOKUP("*"&amp;'Output annual'!$AC$2&amp;'Output annual'!$AD$2&amp;"*Zone People Number Of Occupants [](Hourly)",'Eplus results'!$1:$1048576,ROW(),FALSE)</f>
        <v>0</v>
      </c>
      <c r="AC1856" s="580">
        <f>HLOOKUP("*"&amp;'Output annual'!$AC$2&amp;'Output annual'!$AD$2&amp;"*FangerPMV(Hourly)",'Eplus results'!$1:$1048576,ROW(),FALSE)</f>
        <v>0</v>
      </c>
      <c r="AD1856" s="580">
        <f t="shared" si="176"/>
        <v>5</v>
      </c>
      <c r="AE1856" s="580">
        <f t="shared" si="177"/>
        <v>2.5</v>
      </c>
      <c r="AF1856" s="580">
        <f t="shared" si="178"/>
        <v>2.5</v>
      </c>
      <c r="AG1856" s="580">
        <f t="shared" si="179"/>
        <v>0</v>
      </c>
      <c r="AH1856" s="580">
        <f t="shared" si="180"/>
        <v>0</v>
      </c>
    </row>
    <row r="1857" spans="28:34">
      <c r="AB1857" s="580">
        <f>HLOOKUP("*"&amp;'Output annual'!$AC$2&amp;'Output annual'!$AD$2&amp;"*Zone People Number Of Occupants [](Hourly)",'Eplus results'!$1:$1048576,ROW(),FALSE)</f>
        <v>0</v>
      </c>
      <c r="AC1857" s="580">
        <f>HLOOKUP("*"&amp;'Output annual'!$AC$2&amp;'Output annual'!$AD$2&amp;"*FangerPMV(Hourly)",'Eplus results'!$1:$1048576,ROW(),FALSE)</f>
        <v>0</v>
      </c>
      <c r="AD1857" s="580">
        <f t="shared" si="176"/>
        <v>5</v>
      </c>
      <c r="AE1857" s="580">
        <f t="shared" si="177"/>
        <v>2.5</v>
      </c>
      <c r="AF1857" s="580">
        <f t="shared" si="178"/>
        <v>2.5</v>
      </c>
      <c r="AG1857" s="580">
        <f t="shared" si="179"/>
        <v>0</v>
      </c>
      <c r="AH1857" s="580">
        <f t="shared" si="180"/>
        <v>0</v>
      </c>
    </row>
    <row r="1858" spans="28:34">
      <c r="AB1858" s="580">
        <f>HLOOKUP("*"&amp;'Output annual'!$AC$2&amp;'Output annual'!$AD$2&amp;"*Zone People Number Of Occupants [](Hourly)",'Eplus results'!$1:$1048576,ROW(),FALSE)</f>
        <v>0</v>
      </c>
      <c r="AC1858" s="580">
        <f>HLOOKUP("*"&amp;'Output annual'!$AC$2&amp;'Output annual'!$AD$2&amp;"*FangerPMV(Hourly)",'Eplus results'!$1:$1048576,ROW(),FALSE)</f>
        <v>0</v>
      </c>
      <c r="AD1858" s="580">
        <f t="shared" si="176"/>
        <v>5</v>
      </c>
      <c r="AE1858" s="580">
        <f t="shared" si="177"/>
        <v>2.5</v>
      </c>
      <c r="AF1858" s="580">
        <f t="shared" si="178"/>
        <v>2.5</v>
      </c>
      <c r="AG1858" s="580">
        <f t="shared" si="179"/>
        <v>0</v>
      </c>
      <c r="AH1858" s="580">
        <f t="shared" si="180"/>
        <v>0</v>
      </c>
    </row>
    <row r="1859" spans="28:34">
      <c r="AB1859" s="580">
        <f>HLOOKUP("*"&amp;'Output annual'!$AC$2&amp;'Output annual'!$AD$2&amp;"*Zone People Number Of Occupants [](Hourly)",'Eplus results'!$1:$1048576,ROW(),FALSE)</f>
        <v>0</v>
      </c>
      <c r="AC1859" s="580">
        <f>HLOOKUP("*"&amp;'Output annual'!$AC$2&amp;'Output annual'!$AD$2&amp;"*FangerPMV(Hourly)",'Eplus results'!$1:$1048576,ROW(),FALSE)</f>
        <v>0</v>
      </c>
      <c r="AD1859" s="580">
        <f t="shared" ref="AD1859:AD1922" si="181">100-95*EXP(-0.03353*AC1859^4-0.2179*AC1859^2)</f>
        <v>5</v>
      </c>
      <c r="AE1859" s="580">
        <f t="shared" ref="AE1859:AE1922" si="182">AD1859*(1/(1+EXP(-6.3*$AC1859)))</f>
        <v>2.5</v>
      </c>
      <c r="AF1859" s="580">
        <f t="shared" ref="AF1859:AF1922" si="183">(AD1859-AE1859)</f>
        <v>2.5</v>
      </c>
      <c r="AG1859" s="580">
        <f t="shared" ref="AG1859:AG1922" si="184">AE1859*AB1859</f>
        <v>0</v>
      </c>
      <c r="AH1859" s="580">
        <f t="shared" ref="AH1859:AH1922" si="185">AF1859*AB1859</f>
        <v>0</v>
      </c>
    </row>
    <row r="1860" spans="28:34">
      <c r="AB1860" s="580">
        <f>HLOOKUP("*"&amp;'Output annual'!$AC$2&amp;'Output annual'!$AD$2&amp;"*Zone People Number Of Occupants [](Hourly)",'Eplus results'!$1:$1048576,ROW(),FALSE)</f>
        <v>0</v>
      </c>
      <c r="AC1860" s="580">
        <f>HLOOKUP("*"&amp;'Output annual'!$AC$2&amp;'Output annual'!$AD$2&amp;"*FangerPMV(Hourly)",'Eplus results'!$1:$1048576,ROW(),FALSE)</f>
        <v>0</v>
      </c>
      <c r="AD1860" s="580">
        <f t="shared" si="181"/>
        <v>5</v>
      </c>
      <c r="AE1860" s="580">
        <f t="shared" si="182"/>
        <v>2.5</v>
      </c>
      <c r="AF1860" s="580">
        <f t="shared" si="183"/>
        <v>2.5</v>
      </c>
      <c r="AG1860" s="580">
        <f t="shared" si="184"/>
        <v>0</v>
      </c>
      <c r="AH1860" s="580">
        <f t="shared" si="185"/>
        <v>0</v>
      </c>
    </row>
    <row r="1861" spans="28:34">
      <c r="AB1861" s="580">
        <f>HLOOKUP("*"&amp;'Output annual'!$AC$2&amp;'Output annual'!$AD$2&amp;"*Zone People Number Of Occupants [](Hourly)",'Eplus results'!$1:$1048576,ROW(),FALSE)</f>
        <v>0</v>
      </c>
      <c r="AC1861" s="580">
        <f>HLOOKUP("*"&amp;'Output annual'!$AC$2&amp;'Output annual'!$AD$2&amp;"*FangerPMV(Hourly)",'Eplus results'!$1:$1048576,ROW(),FALSE)</f>
        <v>0</v>
      </c>
      <c r="AD1861" s="580">
        <f t="shared" si="181"/>
        <v>5</v>
      </c>
      <c r="AE1861" s="580">
        <f t="shared" si="182"/>
        <v>2.5</v>
      </c>
      <c r="AF1861" s="580">
        <f t="shared" si="183"/>
        <v>2.5</v>
      </c>
      <c r="AG1861" s="580">
        <f t="shared" si="184"/>
        <v>0</v>
      </c>
      <c r="AH1861" s="580">
        <f t="shared" si="185"/>
        <v>0</v>
      </c>
    </row>
    <row r="1862" spans="28:34">
      <c r="AB1862" s="580">
        <f>HLOOKUP("*"&amp;'Output annual'!$AC$2&amp;'Output annual'!$AD$2&amp;"*Zone People Number Of Occupants [](Hourly)",'Eplus results'!$1:$1048576,ROW(),FALSE)</f>
        <v>0</v>
      </c>
      <c r="AC1862" s="580">
        <f>HLOOKUP("*"&amp;'Output annual'!$AC$2&amp;'Output annual'!$AD$2&amp;"*FangerPMV(Hourly)",'Eplus results'!$1:$1048576,ROW(),FALSE)</f>
        <v>0</v>
      </c>
      <c r="AD1862" s="580">
        <f t="shared" si="181"/>
        <v>5</v>
      </c>
      <c r="AE1862" s="580">
        <f t="shared" si="182"/>
        <v>2.5</v>
      </c>
      <c r="AF1862" s="580">
        <f t="shared" si="183"/>
        <v>2.5</v>
      </c>
      <c r="AG1862" s="580">
        <f t="shared" si="184"/>
        <v>0</v>
      </c>
      <c r="AH1862" s="580">
        <f t="shared" si="185"/>
        <v>0</v>
      </c>
    </row>
    <row r="1863" spans="28:34">
      <c r="AB1863" s="580">
        <f>HLOOKUP("*"&amp;'Output annual'!$AC$2&amp;'Output annual'!$AD$2&amp;"*Zone People Number Of Occupants [](Hourly)",'Eplus results'!$1:$1048576,ROW(),FALSE)</f>
        <v>0</v>
      </c>
      <c r="AC1863" s="580">
        <f>HLOOKUP("*"&amp;'Output annual'!$AC$2&amp;'Output annual'!$AD$2&amp;"*FangerPMV(Hourly)",'Eplus results'!$1:$1048576,ROW(),FALSE)</f>
        <v>0</v>
      </c>
      <c r="AD1863" s="580">
        <f t="shared" si="181"/>
        <v>5</v>
      </c>
      <c r="AE1863" s="580">
        <f t="shared" si="182"/>
        <v>2.5</v>
      </c>
      <c r="AF1863" s="580">
        <f t="shared" si="183"/>
        <v>2.5</v>
      </c>
      <c r="AG1863" s="580">
        <f t="shared" si="184"/>
        <v>0</v>
      </c>
      <c r="AH1863" s="580">
        <f t="shared" si="185"/>
        <v>0</v>
      </c>
    </row>
    <row r="1864" spans="28:34">
      <c r="AB1864" s="580">
        <f>HLOOKUP("*"&amp;'Output annual'!$AC$2&amp;'Output annual'!$AD$2&amp;"*Zone People Number Of Occupants [](Hourly)",'Eplus results'!$1:$1048576,ROW(),FALSE)</f>
        <v>0</v>
      </c>
      <c r="AC1864" s="580">
        <f>HLOOKUP("*"&amp;'Output annual'!$AC$2&amp;'Output annual'!$AD$2&amp;"*FangerPMV(Hourly)",'Eplus results'!$1:$1048576,ROW(),FALSE)</f>
        <v>0</v>
      </c>
      <c r="AD1864" s="580">
        <f t="shared" si="181"/>
        <v>5</v>
      </c>
      <c r="AE1864" s="580">
        <f t="shared" si="182"/>
        <v>2.5</v>
      </c>
      <c r="AF1864" s="580">
        <f t="shared" si="183"/>
        <v>2.5</v>
      </c>
      <c r="AG1864" s="580">
        <f t="shared" si="184"/>
        <v>0</v>
      </c>
      <c r="AH1864" s="580">
        <f t="shared" si="185"/>
        <v>0</v>
      </c>
    </row>
    <row r="1865" spans="28:34">
      <c r="AB1865" s="580">
        <f>HLOOKUP("*"&amp;'Output annual'!$AC$2&amp;'Output annual'!$AD$2&amp;"*Zone People Number Of Occupants [](Hourly)",'Eplus results'!$1:$1048576,ROW(),FALSE)</f>
        <v>0</v>
      </c>
      <c r="AC1865" s="580">
        <f>HLOOKUP("*"&amp;'Output annual'!$AC$2&amp;'Output annual'!$AD$2&amp;"*FangerPMV(Hourly)",'Eplus results'!$1:$1048576,ROW(),FALSE)</f>
        <v>0</v>
      </c>
      <c r="AD1865" s="580">
        <f t="shared" si="181"/>
        <v>5</v>
      </c>
      <c r="AE1865" s="580">
        <f t="shared" si="182"/>
        <v>2.5</v>
      </c>
      <c r="AF1865" s="580">
        <f t="shared" si="183"/>
        <v>2.5</v>
      </c>
      <c r="AG1865" s="580">
        <f t="shared" si="184"/>
        <v>0</v>
      </c>
      <c r="AH1865" s="580">
        <f t="shared" si="185"/>
        <v>0</v>
      </c>
    </row>
    <row r="1866" spans="28:34">
      <c r="AB1866" s="580">
        <f>HLOOKUP("*"&amp;'Output annual'!$AC$2&amp;'Output annual'!$AD$2&amp;"*Zone People Number Of Occupants [](Hourly)",'Eplus results'!$1:$1048576,ROW(),FALSE)</f>
        <v>0</v>
      </c>
      <c r="AC1866" s="580">
        <f>HLOOKUP("*"&amp;'Output annual'!$AC$2&amp;'Output annual'!$AD$2&amp;"*FangerPMV(Hourly)",'Eplus results'!$1:$1048576,ROW(),FALSE)</f>
        <v>0</v>
      </c>
      <c r="AD1866" s="580">
        <f t="shared" si="181"/>
        <v>5</v>
      </c>
      <c r="AE1866" s="580">
        <f t="shared" si="182"/>
        <v>2.5</v>
      </c>
      <c r="AF1866" s="580">
        <f t="shared" si="183"/>
        <v>2.5</v>
      </c>
      <c r="AG1866" s="580">
        <f t="shared" si="184"/>
        <v>0</v>
      </c>
      <c r="AH1866" s="580">
        <f t="shared" si="185"/>
        <v>0</v>
      </c>
    </row>
    <row r="1867" spans="28:34">
      <c r="AB1867" s="580">
        <f>HLOOKUP("*"&amp;'Output annual'!$AC$2&amp;'Output annual'!$AD$2&amp;"*Zone People Number Of Occupants [](Hourly)",'Eplus results'!$1:$1048576,ROW(),FALSE)</f>
        <v>0</v>
      </c>
      <c r="AC1867" s="580">
        <f>HLOOKUP("*"&amp;'Output annual'!$AC$2&amp;'Output annual'!$AD$2&amp;"*FangerPMV(Hourly)",'Eplus results'!$1:$1048576,ROW(),FALSE)</f>
        <v>0</v>
      </c>
      <c r="AD1867" s="580">
        <f t="shared" si="181"/>
        <v>5</v>
      </c>
      <c r="AE1867" s="580">
        <f t="shared" si="182"/>
        <v>2.5</v>
      </c>
      <c r="AF1867" s="580">
        <f t="shared" si="183"/>
        <v>2.5</v>
      </c>
      <c r="AG1867" s="580">
        <f t="shared" si="184"/>
        <v>0</v>
      </c>
      <c r="AH1867" s="580">
        <f t="shared" si="185"/>
        <v>0</v>
      </c>
    </row>
    <row r="1868" spans="28:34">
      <c r="AB1868" s="580">
        <f>HLOOKUP("*"&amp;'Output annual'!$AC$2&amp;'Output annual'!$AD$2&amp;"*Zone People Number Of Occupants [](Hourly)",'Eplus results'!$1:$1048576,ROW(),FALSE)</f>
        <v>0</v>
      </c>
      <c r="AC1868" s="580">
        <f>HLOOKUP("*"&amp;'Output annual'!$AC$2&amp;'Output annual'!$AD$2&amp;"*FangerPMV(Hourly)",'Eplus results'!$1:$1048576,ROW(),FALSE)</f>
        <v>0</v>
      </c>
      <c r="AD1868" s="580">
        <f t="shared" si="181"/>
        <v>5</v>
      </c>
      <c r="AE1868" s="580">
        <f t="shared" si="182"/>
        <v>2.5</v>
      </c>
      <c r="AF1868" s="580">
        <f t="shared" si="183"/>
        <v>2.5</v>
      </c>
      <c r="AG1868" s="580">
        <f t="shared" si="184"/>
        <v>0</v>
      </c>
      <c r="AH1868" s="580">
        <f t="shared" si="185"/>
        <v>0</v>
      </c>
    </row>
    <row r="1869" spans="28:34">
      <c r="AB1869" s="580">
        <f>HLOOKUP("*"&amp;'Output annual'!$AC$2&amp;'Output annual'!$AD$2&amp;"*Zone People Number Of Occupants [](Hourly)",'Eplus results'!$1:$1048576,ROW(),FALSE)</f>
        <v>0</v>
      </c>
      <c r="AC1869" s="580">
        <f>HLOOKUP("*"&amp;'Output annual'!$AC$2&amp;'Output annual'!$AD$2&amp;"*FangerPMV(Hourly)",'Eplus results'!$1:$1048576,ROW(),FALSE)</f>
        <v>0</v>
      </c>
      <c r="AD1869" s="580">
        <f t="shared" si="181"/>
        <v>5</v>
      </c>
      <c r="AE1869" s="580">
        <f t="shared" si="182"/>
        <v>2.5</v>
      </c>
      <c r="AF1869" s="580">
        <f t="shared" si="183"/>
        <v>2.5</v>
      </c>
      <c r="AG1869" s="580">
        <f t="shared" si="184"/>
        <v>0</v>
      </c>
      <c r="AH1869" s="580">
        <f t="shared" si="185"/>
        <v>0</v>
      </c>
    </row>
    <row r="1870" spans="28:34">
      <c r="AB1870" s="580">
        <f>HLOOKUP("*"&amp;'Output annual'!$AC$2&amp;'Output annual'!$AD$2&amp;"*Zone People Number Of Occupants [](Hourly)",'Eplus results'!$1:$1048576,ROW(),FALSE)</f>
        <v>0</v>
      </c>
      <c r="AC1870" s="580">
        <f>HLOOKUP("*"&amp;'Output annual'!$AC$2&amp;'Output annual'!$AD$2&amp;"*FangerPMV(Hourly)",'Eplus results'!$1:$1048576,ROW(),FALSE)</f>
        <v>0</v>
      </c>
      <c r="AD1870" s="580">
        <f t="shared" si="181"/>
        <v>5</v>
      </c>
      <c r="AE1870" s="580">
        <f t="shared" si="182"/>
        <v>2.5</v>
      </c>
      <c r="AF1870" s="580">
        <f t="shared" si="183"/>
        <v>2.5</v>
      </c>
      <c r="AG1870" s="580">
        <f t="shared" si="184"/>
        <v>0</v>
      </c>
      <c r="AH1870" s="580">
        <f t="shared" si="185"/>
        <v>0</v>
      </c>
    </row>
    <row r="1871" spans="28:34">
      <c r="AB1871" s="580">
        <f>HLOOKUP("*"&amp;'Output annual'!$AC$2&amp;'Output annual'!$AD$2&amp;"*Zone People Number Of Occupants [](Hourly)",'Eplus results'!$1:$1048576,ROW(),FALSE)</f>
        <v>0</v>
      </c>
      <c r="AC1871" s="580">
        <f>HLOOKUP("*"&amp;'Output annual'!$AC$2&amp;'Output annual'!$AD$2&amp;"*FangerPMV(Hourly)",'Eplus results'!$1:$1048576,ROW(),FALSE)</f>
        <v>0</v>
      </c>
      <c r="AD1871" s="580">
        <f t="shared" si="181"/>
        <v>5</v>
      </c>
      <c r="AE1871" s="580">
        <f t="shared" si="182"/>
        <v>2.5</v>
      </c>
      <c r="AF1871" s="580">
        <f t="shared" si="183"/>
        <v>2.5</v>
      </c>
      <c r="AG1871" s="580">
        <f t="shared" si="184"/>
        <v>0</v>
      </c>
      <c r="AH1871" s="580">
        <f t="shared" si="185"/>
        <v>0</v>
      </c>
    </row>
    <row r="1872" spans="28:34">
      <c r="AB1872" s="580">
        <f>HLOOKUP("*"&amp;'Output annual'!$AC$2&amp;'Output annual'!$AD$2&amp;"*Zone People Number Of Occupants [](Hourly)",'Eplus results'!$1:$1048576,ROW(),FALSE)</f>
        <v>0</v>
      </c>
      <c r="AC1872" s="580">
        <f>HLOOKUP("*"&amp;'Output annual'!$AC$2&amp;'Output annual'!$AD$2&amp;"*FangerPMV(Hourly)",'Eplus results'!$1:$1048576,ROW(),FALSE)</f>
        <v>0</v>
      </c>
      <c r="AD1872" s="580">
        <f t="shared" si="181"/>
        <v>5</v>
      </c>
      <c r="AE1872" s="580">
        <f t="shared" si="182"/>
        <v>2.5</v>
      </c>
      <c r="AF1872" s="580">
        <f t="shared" si="183"/>
        <v>2.5</v>
      </c>
      <c r="AG1872" s="580">
        <f t="shared" si="184"/>
        <v>0</v>
      </c>
      <c r="AH1872" s="580">
        <f t="shared" si="185"/>
        <v>0</v>
      </c>
    </row>
    <row r="1873" spans="28:34">
      <c r="AB1873" s="580">
        <f>HLOOKUP("*"&amp;'Output annual'!$AC$2&amp;'Output annual'!$AD$2&amp;"*Zone People Number Of Occupants [](Hourly)",'Eplus results'!$1:$1048576,ROW(),FALSE)</f>
        <v>0</v>
      </c>
      <c r="AC1873" s="580">
        <f>HLOOKUP("*"&amp;'Output annual'!$AC$2&amp;'Output annual'!$AD$2&amp;"*FangerPMV(Hourly)",'Eplus results'!$1:$1048576,ROW(),FALSE)</f>
        <v>0</v>
      </c>
      <c r="AD1873" s="580">
        <f t="shared" si="181"/>
        <v>5</v>
      </c>
      <c r="AE1873" s="580">
        <f t="shared" si="182"/>
        <v>2.5</v>
      </c>
      <c r="AF1873" s="580">
        <f t="shared" si="183"/>
        <v>2.5</v>
      </c>
      <c r="AG1873" s="580">
        <f t="shared" si="184"/>
        <v>0</v>
      </c>
      <c r="AH1873" s="580">
        <f t="shared" si="185"/>
        <v>0</v>
      </c>
    </row>
    <row r="1874" spans="28:34">
      <c r="AB1874" s="580">
        <f>HLOOKUP("*"&amp;'Output annual'!$AC$2&amp;'Output annual'!$AD$2&amp;"*Zone People Number Of Occupants [](Hourly)",'Eplus results'!$1:$1048576,ROW(),FALSE)</f>
        <v>0</v>
      </c>
      <c r="AC1874" s="580">
        <f>HLOOKUP("*"&amp;'Output annual'!$AC$2&amp;'Output annual'!$AD$2&amp;"*FangerPMV(Hourly)",'Eplus results'!$1:$1048576,ROW(),FALSE)</f>
        <v>0</v>
      </c>
      <c r="AD1874" s="580">
        <f t="shared" si="181"/>
        <v>5</v>
      </c>
      <c r="AE1874" s="580">
        <f t="shared" si="182"/>
        <v>2.5</v>
      </c>
      <c r="AF1874" s="580">
        <f t="shared" si="183"/>
        <v>2.5</v>
      </c>
      <c r="AG1874" s="580">
        <f t="shared" si="184"/>
        <v>0</v>
      </c>
      <c r="AH1874" s="580">
        <f t="shared" si="185"/>
        <v>0</v>
      </c>
    </row>
    <row r="1875" spans="28:34">
      <c r="AB1875" s="580">
        <f>HLOOKUP("*"&amp;'Output annual'!$AC$2&amp;'Output annual'!$AD$2&amp;"*Zone People Number Of Occupants [](Hourly)",'Eplus results'!$1:$1048576,ROW(),FALSE)</f>
        <v>0</v>
      </c>
      <c r="AC1875" s="580">
        <f>HLOOKUP("*"&amp;'Output annual'!$AC$2&amp;'Output annual'!$AD$2&amp;"*FangerPMV(Hourly)",'Eplus results'!$1:$1048576,ROW(),FALSE)</f>
        <v>0</v>
      </c>
      <c r="AD1875" s="580">
        <f t="shared" si="181"/>
        <v>5</v>
      </c>
      <c r="AE1875" s="580">
        <f t="shared" si="182"/>
        <v>2.5</v>
      </c>
      <c r="AF1875" s="580">
        <f t="shared" si="183"/>
        <v>2.5</v>
      </c>
      <c r="AG1875" s="580">
        <f t="shared" si="184"/>
        <v>0</v>
      </c>
      <c r="AH1875" s="580">
        <f t="shared" si="185"/>
        <v>0</v>
      </c>
    </row>
    <row r="1876" spans="28:34">
      <c r="AB1876" s="580">
        <f>HLOOKUP("*"&amp;'Output annual'!$AC$2&amp;'Output annual'!$AD$2&amp;"*Zone People Number Of Occupants [](Hourly)",'Eplus results'!$1:$1048576,ROW(),FALSE)</f>
        <v>0</v>
      </c>
      <c r="AC1876" s="580">
        <f>HLOOKUP("*"&amp;'Output annual'!$AC$2&amp;'Output annual'!$AD$2&amp;"*FangerPMV(Hourly)",'Eplus results'!$1:$1048576,ROW(),FALSE)</f>
        <v>0</v>
      </c>
      <c r="AD1876" s="580">
        <f t="shared" si="181"/>
        <v>5</v>
      </c>
      <c r="AE1876" s="580">
        <f t="shared" si="182"/>
        <v>2.5</v>
      </c>
      <c r="AF1876" s="580">
        <f t="shared" si="183"/>
        <v>2.5</v>
      </c>
      <c r="AG1876" s="580">
        <f t="shared" si="184"/>
        <v>0</v>
      </c>
      <c r="AH1876" s="580">
        <f t="shared" si="185"/>
        <v>0</v>
      </c>
    </row>
    <row r="1877" spans="28:34">
      <c r="AB1877" s="580">
        <f>HLOOKUP("*"&amp;'Output annual'!$AC$2&amp;'Output annual'!$AD$2&amp;"*Zone People Number Of Occupants [](Hourly)",'Eplus results'!$1:$1048576,ROW(),FALSE)</f>
        <v>0</v>
      </c>
      <c r="AC1877" s="580">
        <f>HLOOKUP("*"&amp;'Output annual'!$AC$2&amp;'Output annual'!$AD$2&amp;"*FangerPMV(Hourly)",'Eplus results'!$1:$1048576,ROW(),FALSE)</f>
        <v>0</v>
      </c>
      <c r="AD1877" s="580">
        <f t="shared" si="181"/>
        <v>5</v>
      </c>
      <c r="AE1877" s="580">
        <f t="shared" si="182"/>
        <v>2.5</v>
      </c>
      <c r="AF1877" s="580">
        <f t="shared" si="183"/>
        <v>2.5</v>
      </c>
      <c r="AG1877" s="580">
        <f t="shared" si="184"/>
        <v>0</v>
      </c>
      <c r="AH1877" s="580">
        <f t="shared" si="185"/>
        <v>0</v>
      </c>
    </row>
    <row r="1878" spans="28:34">
      <c r="AB1878" s="580">
        <f>HLOOKUP("*"&amp;'Output annual'!$AC$2&amp;'Output annual'!$AD$2&amp;"*Zone People Number Of Occupants [](Hourly)",'Eplus results'!$1:$1048576,ROW(),FALSE)</f>
        <v>0</v>
      </c>
      <c r="AC1878" s="580">
        <f>HLOOKUP("*"&amp;'Output annual'!$AC$2&amp;'Output annual'!$AD$2&amp;"*FangerPMV(Hourly)",'Eplus results'!$1:$1048576,ROW(),FALSE)</f>
        <v>0</v>
      </c>
      <c r="AD1878" s="580">
        <f t="shared" si="181"/>
        <v>5</v>
      </c>
      <c r="AE1878" s="580">
        <f t="shared" si="182"/>
        <v>2.5</v>
      </c>
      <c r="AF1878" s="580">
        <f t="shared" si="183"/>
        <v>2.5</v>
      </c>
      <c r="AG1878" s="580">
        <f t="shared" si="184"/>
        <v>0</v>
      </c>
      <c r="AH1878" s="580">
        <f t="shared" si="185"/>
        <v>0</v>
      </c>
    </row>
    <row r="1879" spans="28:34">
      <c r="AB1879" s="580">
        <f>HLOOKUP("*"&amp;'Output annual'!$AC$2&amp;'Output annual'!$AD$2&amp;"*Zone People Number Of Occupants [](Hourly)",'Eplus results'!$1:$1048576,ROW(),FALSE)</f>
        <v>0</v>
      </c>
      <c r="AC1879" s="580">
        <f>HLOOKUP("*"&amp;'Output annual'!$AC$2&amp;'Output annual'!$AD$2&amp;"*FangerPMV(Hourly)",'Eplus results'!$1:$1048576,ROW(),FALSE)</f>
        <v>0</v>
      </c>
      <c r="AD1879" s="580">
        <f t="shared" si="181"/>
        <v>5</v>
      </c>
      <c r="AE1879" s="580">
        <f t="shared" si="182"/>
        <v>2.5</v>
      </c>
      <c r="AF1879" s="580">
        <f t="shared" si="183"/>
        <v>2.5</v>
      </c>
      <c r="AG1879" s="580">
        <f t="shared" si="184"/>
        <v>0</v>
      </c>
      <c r="AH1879" s="580">
        <f t="shared" si="185"/>
        <v>0</v>
      </c>
    </row>
    <row r="1880" spans="28:34">
      <c r="AB1880" s="580">
        <f>HLOOKUP("*"&amp;'Output annual'!$AC$2&amp;'Output annual'!$AD$2&amp;"*Zone People Number Of Occupants [](Hourly)",'Eplus results'!$1:$1048576,ROW(),FALSE)</f>
        <v>0</v>
      </c>
      <c r="AC1880" s="580">
        <f>HLOOKUP("*"&amp;'Output annual'!$AC$2&amp;'Output annual'!$AD$2&amp;"*FangerPMV(Hourly)",'Eplus results'!$1:$1048576,ROW(),FALSE)</f>
        <v>0</v>
      </c>
      <c r="AD1880" s="580">
        <f t="shared" si="181"/>
        <v>5</v>
      </c>
      <c r="AE1880" s="580">
        <f t="shared" si="182"/>
        <v>2.5</v>
      </c>
      <c r="AF1880" s="580">
        <f t="shared" si="183"/>
        <v>2.5</v>
      </c>
      <c r="AG1880" s="580">
        <f t="shared" si="184"/>
        <v>0</v>
      </c>
      <c r="AH1880" s="580">
        <f t="shared" si="185"/>
        <v>0</v>
      </c>
    </row>
    <row r="1881" spans="28:34">
      <c r="AB1881" s="580">
        <f>HLOOKUP("*"&amp;'Output annual'!$AC$2&amp;'Output annual'!$AD$2&amp;"*Zone People Number Of Occupants [](Hourly)",'Eplus results'!$1:$1048576,ROW(),FALSE)</f>
        <v>0</v>
      </c>
      <c r="AC1881" s="580">
        <f>HLOOKUP("*"&amp;'Output annual'!$AC$2&amp;'Output annual'!$AD$2&amp;"*FangerPMV(Hourly)",'Eplus results'!$1:$1048576,ROW(),FALSE)</f>
        <v>0</v>
      </c>
      <c r="AD1881" s="580">
        <f t="shared" si="181"/>
        <v>5</v>
      </c>
      <c r="AE1881" s="580">
        <f t="shared" si="182"/>
        <v>2.5</v>
      </c>
      <c r="AF1881" s="580">
        <f t="shared" si="183"/>
        <v>2.5</v>
      </c>
      <c r="AG1881" s="580">
        <f t="shared" si="184"/>
        <v>0</v>
      </c>
      <c r="AH1881" s="580">
        <f t="shared" si="185"/>
        <v>0</v>
      </c>
    </row>
    <row r="1882" spans="28:34">
      <c r="AB1882" s="580">
        <f>HLOOKUP("*"&amp;'Output annual'!$AC$2&amp;'Output annual'!$AD$2&amp;"*Zone People Number Of Occupants [](Hourly)",'Eplus results'!$1:$1048576,ROW(),FALSE)</f>
        <v>0</v>
      </c>
      <c r="AC1882" s="580">
        <f>HLOOKUP("*"&amp;'Output annual'!$AC$2&amp;'Output annual'!$AD$2&amp;"*FangerPMV(Hourly)",'Eplus results'!$1:$1048576,ROW(),FALSE)</f>
        <v>0</v>
      </c>
      <c r="AD1882" s="580">
        <f t="shared" si="181"/>
        <v>5</v>
      </c>
      <c r="AE1882" s="580">
        <f t="shared" si="182"/>
        <v>2.5</v>
      </c>
      <c r="AF1882" s="580">
        <f t="shared" si="183"/>
        <v>2.5</v>
      </c>
      <c r="AG1882" s="580">
        <f t="shared" si="184"/>
        <v>0</v>
      </c>
      <c r="AH1882" s="580">
        <f t="shared" si="185"/>
        <v>0</v>
      </c>
    </row>
    <row r="1883" spans="28:34">
      <c r="AB1883" s="580">
        <f>HLOOKUP("*"&amp;'Output annual'!$AC$2&amp;'Output annual'!$AD$2&amp;"*Zone People Number Of Occupants [](Hourly)",'Eplus results'!$1:$1048576,ROW(),FALSE)</f>
        <v>0</v>
      </c>
      <c r="AC1883" s="580">
        <f>HLOOKUP("*"&amp;'Output annual'!$AC$2&amp;'Output annual'!$AD$2&amp;"*FangerPMV(Hourly)",'Eplus results'!$1:$1048576,ROW(),FALSE)</f>
        <v>0</v>
      </c>
      <c r="AD1883" s="580">
        <f t="shared" si="181"/>
        <v>5</v>
      </c>
      <c r="AE1883" s="580">
        <f t="shared" si="182"/>
        <v>2.5</v>
      </c>
      <c r="AF1883" s="580">
        <f t="shared" si="183"/>
        <v>2.5</v>
      </c>
      <c r="AG1883" s="580">
        <f t="shared" si="184"/>
        <v>0</v>
      </c>
      <c r="AH1883" s="580">
        <f t="shared" si="185"/>
        <v>0</v>
      </c>
    </row>
    <row r="1884" spans="28:34">
      <c r="AB1884" s="580">
        <f>HLOOKUP("*"&amp;'Output annual'!$AC$2&amp;'Output annual'!$AD$2&amp;"*Zone People Number Of Occupants [](Hourly)",'Eplus results'!$1:$1048576,ROW(),FALSE)</f>
        <v>0</v>
      </c>
      <c r="AC1884" s="580">
        <f>HLOOKUP("*"&amp;'Output annual'!$AC$2&amp;'Output annual'!$AD$2&amp;"*FangerPMV(Hourly)",'Eplus results'!$1:$1048576,ROW(),FALSE)</f>
        <v>0</v>
      </c>
      <c r="AD1884" s="580">
        <f t="shared" si="181"/>
        <v>5</v>
      </c>
      <c r="AE1884" s="580">
        <f t="shared" si="182"/>
        <v>2.5</v>
      </c>
      <c r="AF1884" s="580">
        <f t="shared" si="183"/>
        <v>2.5</v>
      </c>
      <c r="AG1884" s="580">
        <f t="shared" si="184"/>
        <v>0</v>
      </c>
      <c r="AH1884" s="580">
        <f t="shared" si="185"/>
        <v>0</v>
      </c>
    </row>
    <row r="1885" spans="28:34">
      <c r="AB1885" s="580">
        <f>HLOOKUP("*"&amp;'Output annual'!$AC$2&amp;'Output annual'!$AD$2&amp;"*Zone People Number Of Occupants [](Hourly)",'Eplus results'!$1:$1048576,ROW(),FALSE)</f>
        <v>0</v>
      </c>
      <c r="AC1885" s="580">
        <f>HLOOKUP("*"&amp;'Output annual'!$AC$2&amp;'Output annual'!$AD$2&amp;"*FangerPMV(Hourly)",'Eplus results'!$1:$1048576,ROW(),FALSE)</f>
        <v>0</v>
      </c>
      <c r="AD1885" s="580">
        <f t="shared" si="181"/>
        <v>5</v>
      </c>
      <c r="AE1885" s="580">
        <f t="shared" si="182"/>
        <v>2.5</v>
      </c>
      <c r="AF1885" s="580">
        <f t="shared" si="183"/>
        <v>2.5</v>
      </c>
      <c r="AG1885" s="580">
        <f t="shared" si="184"/>
        <v>0</v>
      </c>
      <c r="AH1885" s="580">
        <f t="shared" si="185"/>
        <v>0</v>
      </c>
    </row>
    <row r="1886" spans="28:34">
      <c r="AB1886" s="580">
        <f>HLOOKUP("*"&amp;'Output annual'!$AC$2&amp;'Output annual'!$AD$2&amp;"*Zone People Number Of Occupants [](Hourly)",'Eplus results'!$1:$1048576,ROW(),FALSE)</f>
        <v>0</v>
      </c>
      <c r="AC1886" s="580">
        <f>HLOOKUP("*"&amp;'Output annual'!$AC$2&amp;'Output annual'!$AD$2&amp;"*FangerPMV(Hourly)",'Eplus results'!$1:$1048576,ROW(),FALSE)</f>
        <v>0</v>
      </c>
      <c r="AD1886" s="580">
        <f t="shared" si="181"/>
        <v>5</v>
      </c>
      <c r="AE1886" s="580">
        <f t="shared" si="182"/>
        <v>2.5</v>
      </c>
      <c r="AF1886" s="580">
        <f t="shared" si="183"/>
        <v>2.5</v>
      </c>
      <c r="AG1886" s="580">
        <f t="shared" si="184"/>
        <v>0</v>
      </c>
      <c r="AH1886" s="580">
        <f t="shared" si="185"/>
        <v>0</v>
      </c>
    </row>
    <row r="1887" spans="28:34">
      <c r="AB1887" s="580">
        <f>HLOOKUP("*"&amp;'Output annual'!$AC$2&amp;'Output annual'!$AD$2&amp;"*Zone People Number Of Occupants [](Hourly)",'Eplus results'!$1:$1048576,ROW(),FALSE)</f>
        <v>0</v>
      </c>
      <c r="AC1887" s="580">
        <f>HLOOKUP("*"&amp;'Output annual'!$AC$2&amp;'Output annual'!$AD$2&amp;"*FangerPMV(Hourly)",'Eplus results'!$1:$1048576,ROW(),FALSE)</f>
        <v>0</v>
      </c>
      <c r="AD1887" s="580">
        <f t="shared" si="181"/>
        <v>5</v>
      </c>
      <c r="AE1887" s="580">
        <f t="shared" si="182"/>
        <v>2.5</v>
      </c>
      <c r="AF1887" s="580">
        <f t="shared" si="183"/>
        <v>2.5</v>
      </c>
      <c r="AG1887" s="580">
        <f t="shared" si="184"/>
        <v>0</v>
      </c>
      <c r="AH1887" s="580">
        <f t="shared" si="185"/>
        <v>0</v>
      </c>
    </row>
    <row r="1888" spans="28:34">
      <c r="AB1888" s="580">
        <f>HLOOKUP("*"&amp;'Output annual'!$AC$2&amp;'Output annual'!$AD$2&amp;"*Zone People Number Of Occupants [](Hourly)",'Eplus results'!$1:$1048576,ROW(),FALSE)</f>
        <v>0</v>
      </c>
      <c r="AC1888" s="580">
        <f>HLOOKUP("*"&amp;'Output annual'!$AC$2&amp;'Output annual'!$AD$2&amp;"*FangerPMV(Hourly)",'Eplus results'!$1:$1048576,ROW(),FALSE)</f>
        <v>0</v>
      </c>
      <c r="AD1888" s="580">
        <f t="shared" si="181"/>
        <v>5</v>
      </c>
      <c r="AE1888" s="580">
        <f t="shared" si="182"/>
        <v>2.5</v>
      </c>
      <c r="AF1888" s="580">
        <f t="shared" si="183"/>
        <v>2.5</v>
      </c>
      <c r="AG1888" s="580">
        <f t="shared" si="184"/>
        <v>0</v>
      </c>
      <c r="AH1888" s="580">
        <f t="shared" si="185"/>
        <v>0</v>
      </c>
    </row>
    <row r="1889" spans="28:34">
      <c r="AB1889" s="580">
        <f>HLOOKUP("*"&amp;'Output annual'!$AC$2&amp;'Output annual'!$AD$2&amp;"*Zone People Number Of Occupants [](Hourly)",'Eplus results'!$1:$1048576,ROW(),FALSE)</f>
        <v>0</v>
      </c>
      <c r="AC1889" s="580">
        <f>HLOOKUP("*"&amp;'Output annual'!$AC$2&amp;'Output annual'!$AD$2&amp;"*FangerPMV(Hourly)",'Eplus results'!$1:$1048576,ROW(),FALSE)</f>
        <v>0</v>
      </c>
      <c r="AD1889" s="580">
        <f t="shared" si="181"/>
        <v>5</v>
      </c>
      <c r="AE1889" s="580">
        <f t="shared" si="182"/>
        <v>2.5</v>
      </c>
      <c r="AF1889" s="580">
        <f t="shared" si="183"/>
        <v>2.5</v>
      </c>
      <c r="AG1889" s="580">
        <f t="shared" si="184"/>
        <v>0</v>
      </c>
      <c r="AH1889" s="580">
        <f t="shared" si="185"/>
        <v>0</v>
      </c>
    </row>
    <row r="1890" spans="28:34">
      <c r="AB1890" s="580">
        <f>HLOOKUP("*"&amp;'Output annual'!$AC$2&amp;'Output annual'!$AD$2&amp;"*Zone People Number Of Occupants [](Hourly)",'Eplus results'!$1:$1048576,ROW(),FALSE)</f>
        <v>0</v>
      </c>
      <c r="AC1890" s="580">
        <f>HLOOKUP("*"&amp;'Output annual'!$AC$2&amp;'Output annual'!$AD$2&amp;"*FangerPMV(Hourly)",'Eplus results'!$1:$1048576,ROW(),FALSE)</f>
        <v>0</v>
      </c>
      <c r="AD1890" s="580">
        <f t="shared" si="181"/>
        <v>5</v>
      </c>
      <c r="AE1890" s="580">
        <f t="shared" si="182"/>
        <v>2.5</v>
      </c>
      <c r="AF1890" s="580">
        <f t="shared" si="183"/>
        <v>2.5</v>
      </c>
      <c r="AG1890" s="580">
        <f t="shared" si="184"/>
        <v>0</v>
      </c>
      <c r="AH1890" s="580">
        <f t="shared" si="185"/>
        <v>0</v>
      </c>
    </row>
    <row r="1891" spans="28:34">
      <c r="AB1891" s="580">
        <f>HLOOKUP("*"&amp;'Output annual'!$AC$2&amp;'Output annual'!$AD$2&amp;"*Zone People Number Of Occupants [](Hourly)",'Eplus results'!$1:$1048576,ROW(),FALSE)</f>
        <v>0</v>
      </c>
      <c r="AC1891" s="580">
        <f>HLOOKUP("*"&amp;'Output annual'!$AC$2&amp;'Output annual'!$AD$2&amp;"*FangerPMV(Hourly)",'Eplus results'!$1:$1048576,ROW(),FALSE)</f>
        <v>0</v>
      </c>
      <c r="AD1891" s="580">
        <f t="shared" si="181"/>
        <v>5</v>
      </c>
      <c r="AE1891" s="580">
        <f t="shared" si="182"/>
        <v>2.5</v>
      </c>
      <c r="AF1891" s="580">
        <f t="shared" si="183"/>
        <v>2.5</v>
      </c>
      <c r="AG1891" s="580">
        <f t="shared" si="184"/>
        <v>0</v>
      </c>
      <c r="AH1891" s="580">
        <f t="shared" si="185"/>
        <v>0</v>
      </c>
    </row>
    <row r="1892" spans="28:34">
      <c r="AB1892" s="580">
        <f>HLOOKUP("*"&amp;'Output annual'!$AC$2&amp;'Output annual'!$AD$2&amp;"*Zone People Number Of Occupants [](Hourly)",'Eplus results'!$1:$1048576,ROW(),FALSE)</f>
        <v>0</v>
      </c>
      <c r="AC1892" s="580">
        <f>HLOOKUP("*"&amp;'Output annual'!$AC$2&amp;'Output annual'!$AD$2&amp;"*FangerPMV(Hourly)",'Eplus results'!$1:$1048576,ROW(),FALSE)</f>
        <v>0</v>
      </c>
      <c r="AD1892" s="580">
        <f t="shared" si="181"/>
        <v>5</v>
      </c>
      <c r="AE1892" s="580">
        <f t="shared" si="182"/>
        <v>2.5</v>
      </c>
      <c r="AF1892" s="580">
        <f t="shared" si="183"/>
        <v>2.5</v>
      </c>
      <c r="AG1892" s="580">
        <f t="shared" si="184"/>
        <v>0</v>
      </c>
      <c r="AH1892" s="580">
        <f t="shared" si="185"/>
        <v>0</v>
      </c>
    </row>
    <row r="1893" spans="28:34">
      <c r="AB1893" s="580">
        <f>HLOOKUP("*"&amp;'Output annual'!$AC$2&amp;'Output annual'!$AD$2&amp;"*Zone People Number Of Occupants [](Hourly)",'Eplus results'!$1:$1048576,ROW(),FALSE)</f>
        <v>0</v>
      </c>
      <c r="AC1893" s="580">
        <f>HLOOKUP("*"&amp;'Output annual'!$AC$2&amp;'Output annual'!$AD$2&amp;"*FangerPMV(Hourly)",'Eplus results'!$1:$1048576,ROW(),FALSE)</f>
        <v>0</v>
      </c>
      <c r="AD1893" s="580">
        <f t="shared" si="181"/>
        <v>5</v>
      </c>
      <c r="AE1893" s="580">
        <f t="shared" si="182"/>
        <v>2.5</v>
      </c>
      <c r="AF1893" s="580">
        <f t="shared" si="183"/>
        <v>2.5</v>
      </c>
      <c r="AG1893" s="580">
        <f t="shared" si="184"/>
        <v>0</v>
      </c>
      <c r="AH1893" s="580">
        <f t="shared" si="185"/>
        <v>0</v>
      </c>
    </row>
    <row r="1894" spans="28:34">
      <c r="AB1894" s="580">
        <f>HLOOKUP("*"&amp;'Output annual'!$AC$2&amp;'Output annual'!$AD$2&amp;"*Zone People Number Of Occupants [](Hourly)",'Eplus results'!$1:$1048576,ROW(),FALSE)</f>
        <v>0</v>
      </c>
      <c r="AC1894" s="580">
        <f>HLOOKUP("*"&amp;'Output annual'!$AC$2&amp;'Output annual'!$AD$2&amp;"*FangerPMV(Hourly)",'Eplus results'!$1:$1048576,ROW(),FALSE)</f>
        <v>0</v>
      </c>
      <c r="AD1894" s="580">
        <f t="shared" si="181"/>
        <v>5</v>
      </c>
      <c r="AE1894" s="580">
        <f t="shared" si="182"/>
        <v>2.5</v>
      </c>
      <c r="AF1894" s="580">
        <f t="shared" si="183"/>
        <v>2.5</v>
      </c>
      <c r="AG1894" s="580">
        <f t="shared" si="184"/>
        <v>0</v>
      </c>
      <c r="AH1894" s="580">
        <f t="shared" si="185"/>
        <v>0</v>
      </c>
    </row>
    <row r="1895" spans="28:34">
      <c r="AB1895" s="580">
        <f>HLOOKUP("*"&amp;'Output annual'!$AC$2&amp;'Output annual'!$AD$2&amp;"*Zone People Number Of Occupants [](Hourly)",'Eplus results'!$1:$1048576,ROW(),FALSE)</f>
        <v>0</v>
      </c>
      <c r="AC1895" s="580">
        <f>HLOOKUP("*"&amp;'Output annual'!$AC$2&amp;'Output annual'!$AD$2&amp;"*FangerPMV(Hourly)",'Eplus results'!$1:$1048576,ROW(),FALSE)</f>
        <v>0</v>
      </c>
      <c r="AD1895" s="580">
        <f t="shared" si="181"/>
        <v>5</v>
      </c>
      <c r="AE1895" s="580">
        <f t="shared" si="182"/>
        <v>2.5</v>
      </c>
      <c r="AF1895" s="580">
        <f t="shared" si="183"/>
        <v>2.5</v>
      </c>
      <c r="AG1895" s="580">
        <f t="shared" si="184"/>
        <v>0</v>
      </c>
      <c r="AH1895" s="580">
        <f t="shared" si="185"/>
        <v>0</v>
      </c>
    </row>
    <row r="1896" spans="28:34">
      <c r="AB1896" s="580">
        <f>HLOOKUP("*"&amp;'Output annual'!$AC$2&amp;'Output annual'!$AD$2&amp;"*Zone People Number Of Occupants [](Hourly)",'Eplus results'!$1:$1048576,ROW(),FALSE)</f>
        <v>0</v>
      </c>
      <c r="AC1896" s="580">
        <f>HLOOKUP("*"&amp;'Output annual'!$AC$2&amp;'Output annual'!$AD$2&amp;"*FangerPMV(Hourly)",'Eplus results'!$1:$1048576,ROW(),FALSE)</f>
        <v>0</v>
      </c>
      <c r="AD1896" s="580">
        <f t="shared" si="181"/>
        <v>5</v>
      </c>
      <c r="AE1896" s="580">
        <f t="shared" si="182"/>
        <v>2.5</v>
      </c>
      <c r="AF1896" s="580">
        <f t="shared" si="183"/>
        <v>2.5</v>
      </c>
      <c r="AG1896" s="580">
        <f t="shared" si="184"/>
        <v>0</v>
      </c>
      <c r="AH1896" s="580">
        <f t="shared" si="185"/>
        <v>0</v>
      </c>
    </row>
    <row r="1897" spans="28:34">
      <c r="AB1897" s="580">
        <f>HLOOKUP("*"&amp;'Output annual'!$AC$2&amp;'Output annual'!$AD$2&amp;"*Zone People Number Of Occupants [](Hourly)",'Eplus results'!$1:$1048576,ROW(),FALSE)</f>
        <v>0</v>
      </c>
      <c r="AC1897" s="580">
        <f>HLOOKUP("*"&amp;'Output annual'!$AC$2&amp;'Output annual'!$AD$2&amp;"*FangerPMV(Hourly)",'Eplus results'!$1:$1048576,ROW(),FALSE)</f>
        <v>0</v>
      </c>
      <c r="AD1897" s="580">
        <f t="shared" si="181"/>
        <v>5</v>
      </c>
      <c r="AE1897" s="580">
        <f t="shared" si="182"/>
        <v>2.5</v>
      </c>
      <c r="AF1897" s="580">
        <f t="shared" si="183"/>
        <v>2.5</v>
      </c>
      <c r="AG1897" s="580">
        <f t="shared" si="184"/>
        <v>0</v>
      </c>
      <c r="AH1897" s="580">
        <f t="shared" si="185"/>
        <v>0</v>
      </c>
    </row>
    <row r="1898" spans="28:34">
      <c r="AB1898" s="580">
        <f>HLOOKUP("*"&amp;'Output annual'!$AC$2&amp;'Output annual'!$AD$2&amp;"*Zone People Number Of Occupants [](Hourly)",'Eplus results'!$1:$1048576,ROW(),FALSE)</f>
        <v>0</v>
      </c>
      <c r="AC1898" s="580">
        <f>HLOOKUP("*"&amp;'Output annual'!$AC$2&amp;'Output annual'!$AD$2&amp;"*FangerPMV(Hourly)",'Eplus results'!$1:$1048576,ROW(),FALSE)</f>
        <v>0</v>
      </c>
      <c r="AD1898" s="580">
        <f t="shared" si="181"/>
        <v>5</v>
      </c>
      <c r="AE1898" s="580">
        <f t="shared" si="182"/>
        <v>2.5</v>
      </c>
      <c r="AF1898" s="580">
        <f t="shared" si="183"/>
        <v>2.5</v>
      </c>
      <c r="AG1898" s="580">
        <f t="shared" si="184"/>
        <v>0</v>
      </c>
      <c r="AH1898" s="580">
        <f t="shared" si="185"/>
        <v>0</v>
      </c>
    </row>
    <row r="1899" spans="28:34">
      <c r="AB1899" s="580">
        <f>HLOOKUP("*"&amp;'Output annual'!$AC$2&amp;'Output annual'!$AD$2&amp;"*Zone People Number Of Occupants [](Hourly)",'Eplus results'!$1:$1048576,ROW(),FALSE)</f>
        <v>0</v>
      </c>
      <c r="AC1899" s="580">
        <f>HLOOKUP("*"&amp;'Output annual'!$AC$2&amp;'Output annual'!$AD$2&amp;"*FangerPMV(Hourly)",'Eplus results'!$1:$1048576,ROW(),FALSE)</f>
        <v>0</v>
      </c>
      <c r="AD1899" s="580">
        <f t="shared" si="181"/>
        <v>5</v>
      </c>
      <c r="AE1899" s="580">
        <f t="shared" si="182"/>
        <v>2.5</v>
      </c>
      <c r="AF1899" s="580">
        <f t="shared" si="183"/>
        <v>2.5</v>
      </c>
      <c r="AG1899" s="580">
        <f t="shared" si="184"/>
        <v>0</v>
      </c>
      <c r="AH1899" s="580">
        <f t="shared" si="185"/>
        <v>0</v>
      </c>
    </row>
    <row r="1900" spans="28:34">
      <c r="AB1900" s="580">
        <f>HLOOKUP("*"&amp;'Output annual'!$AC$2&amp;'Output annual'!$AD$2&amp;"*Zone People Number Of Occupants [](Hourly)",'Eplus results'!$1:$1048576,ROW(),FALSE)</f>
        <v>0</v>
      </c>
      <c r="AC1900" s="580">
        <f>HLOOKUP("*"&amp;'Output annual'!$AC$2&amp;'Output annual'!$AD$2&amp;"*FangerPMV(Hourly)",'Eplus results'!$1:$1048576,ROW(),FALSE)</f>
        <v>0</v>
      </c>
      <c r="AD1900" s="580">
        <f t="shared" si="181"/>
        <v>5</v>
      </c>
      <c r="AE1900" s="580">
        <f t="shared" si="182"/>
        <v>2.5</v>
      </c>
      <c r="AF1900" s="580">
        <f t="shared" si="183"/>
        <v>2.5</v>
      </c>
      <c r="AG1900" s="580">
        <f t="shared" si="184"/>
        <v>0</v>
      </c>
      <c r="AH1900" s="580">
        <f t="shared" si="185"/>
        <v>0</v>
      </c>
    </row>
    <row r="1901" spans="28:34">
      <c r="AB1901" s="580">
        <f>HLOOKUP("*"&amp;'Output annual'!$AC$2&amp;'Output annual'!$AD$2&amp;"*Zone People Number Of Occupants [](Hourly)",'Eplus results'!$1:$1048576,ROW(),FALSE)</f>
        <v>0</v>
      </c>
      <c r="AC1901" s="580">
        <f>HLOOKUP("*"&amp;'Output annual'!$AC$2&amp;'Output annual'!$AD$2&amp;"*FangerPMV(Hourly)",'Eplus results'!$1:$1048576,ROW(),FALSE)</f>
        <v>0</v>
      </c>
      <c r="AD1901" s="580">
        <f t="shared" si="181"/>
        <v>5</v>
      </c>
      <c r="AE1901" s="580">
        <f t="shared" si="182"/>
        <v>2.5</v>
      </c>
      <c r="AF1901" s="580">
        <f t="shared" si="183"/>
        <v>2.5</v>
      </c>
      <c r="AG1901" s="580">
        <f t="shared" si="184"/>
        <v>0</v>
      </c>
      <c r="AH1901" s="580">
        <f t="shared" si="185"/>
        <v>0</v>
      </c>
    </row>
    <row r="1902" spans="28:34">
      <c r="AB1902" s="580">
        <f>HLOOKUP("*"&amp;'Output annual'!$AC$2&amp;'Output annual'!$AD$2&amp;"*Zone People Number Of Occupants [](Hourly)",'Eplus results'!$1:$1048576,ROW(),FALSE)</f>
        <v>0</v>
      </c>
      <c r="AC1902" s="580">
        <f>HLOOKUP("*"&amp;'Output annual'!$AC$2&amp;'Output annual'!$AD$2&amp;"*FangerPMV(Hourly)",'Eplus results'!$1:$1048576,ROW(),FALSE)</f>
        <v>0</v>
      </c>
      <c r="AD1902" s="580">
        <f t="shared" si="181"/>
        <v>5</v>
      </c>
      <c r="AE1902" s="580">
        <f t="shared" si="182"/>
        <v>2.5</v>
      </c>
      <c r="AF1902" s="580">
        <f t="shared" si="183"/>
        <v>2.5</v>
      </c>
      <c r="AG1902" s="580">
        <f t="shared" si="184"/>
        <v>0</v>
      </c>
      <c r="AH1902" s="580">
        <f t="shared" si="185"/>
        <v>0</v>
      </c>
    </row>
    <row r="1903" spans="28:34">
      <c r="AB1903" s="580">
        <f>HLOOKUP("*"&amp;'Output annual'!$AC$2&amp;'Output annual'!$AD$2&amp;"*Zone People Number Of Occupants [](Hourly)",'Eplus results'!$1:$1048576,ROW(),FALSE)</f>
        <v>0</v>
      </c>
      <c r="AC1903" s="580">
        <f>HLOOKUP("*"&amp;'Output annual'!$AC$2&amp;'Output annual'!$AD$2&amp;"*FangerPMV(Hourly)",'Eplus results'!$1:$1048576,ROW(),FALSE)</f>
        <v>0</v>
      </c>
      <c r="AD1903" s="580">
        <f t="shared" si="181"/>
        <v>5</v>
      </c>
      <c r="AE1903" s="580">
        <f t="shared" si="182"/>
        <v>2.5</v>
      </c>
      <c r="AF1903" s="580">
        <f t="shared" si="183"/>
        <v>2.5</v>
      </c>
      <c r="AG1903" s="580">
        <f t="shared" si="184"/>
        <v>0</v>
      </c>
      <c r="AH1903" s="580">
        <f t="shared" si="185"/>
        <v>0</v>
      </c>
    </row>
    <row r="1904" spans="28:34">
      <c r="AB1904" s="580">
        <f>HLOOKUP("*"&amp;'Output annual'!$AC$2&amp;'Output annual'!$AD$2&amp;"*Zone People Number Of Occupants [](Hourly)",'Eplus results'!$1:$1048576,ROW(),FALSE)</f>
        <v>0</v>
      </c>
      <c r="AC1904" s="580">
        <f>HLOOKUP("*"&amp;'Output annual'!$AC$2&amp;'Output annual'!$AD$2&amp;"*FangerPMV(Hourly)",'Eplus results'!$1:$1048576,ROW(),FALSE)</f>
        <v>0</v>
      </c>
      <c r="AD1904" s="580">
        <f t="shared" si="181"/>
        <v>5</v>
      </c>
      <c r="AE1904" s="580">
        <f t="shared" si="182"/>
        <v>2.5</v>
      </c>
      <c r="AF1904" s="580">
        <f t="shared" si="183"/>
        <v>2.5</v>
      </c>
      <c r="AG1904" s="580">
        <f t="shared" si="184"/>
        <v>0</v>
      </c>
      <c r="AH1904" s="580">
        <f t="shared" si="185"/>
        <v>0</v>
      </c>
    </row>
    <row r="1905" spans="28:34">
      <c r="AB1905" s="580">
        <f>HLOOKUP("*"&amp;'Output annual'!$AC$2&amp;'Output annual'!$AD$2&amp;"*Zone People Number Of Occupants [](Hourly)",'Eplus results'!$1:$1048576,ROW(),FALSE)</f>
        <v>0</v>
      </c>
      <c r="AC1905" s="580">
        <f>HLOOKUP("*"&amp;'Output annual'!$AC$2&amp;'Output annual'!$AD$2&amp;"*FangerPMV(Hourly)",'Eplus results'!$1:$1048576,ROW(),FALSE)</f>
        <v>0</v>
      </c>
      <c r="AD1905" s="580">
        <f t="shared" si="181"/>
        <v>5</v>
      </c>
      <c r="AE1905" s="580">
        <f t="shared" si="182"/>
        <v>2.5</v>
      </c>
      <c r="AF1905" s="580">
        <f t="shared" si="183"/>
        <v>2.5</v>
      </c>
      <c r="AG1905" s="580">
        <f t="shared" si="184"/>
        <v>0</v>
      </c>
      <c r="AH1905" s="580">
        <f t="shared" si="185"/>
        <v>0</v>
      </c>
    </row>
    <row r="1906" spans="28:34">
      <c r="AB1906" s="580">
        <f>HLOOKUP("*"&amp;'Output annual'!$AC$2&amp;'Output annual'!$AD$2&amp;"*Zone People Number Of Occupants [](Hourly)",'Eplus results'!$1:$1048576,ROW(),FALSE)</f>
        <v>0</v>
      </c>
      <c r="AC1906" s="580">
        <f>HLOOKUP("*"&amp;'Output annual'!$AC$2&amp;'Output annual'!$AD$2&amp;"*FangerPMV(Hourly)",'Eplus results'!$1:$1048576,ROW(),FALSE)</f>
        <v>0</v>
      </c>
      <c r="AD1906" s="580">
        <f t="shared" si="181"/>
        <v>5</v>
      </c>
      <c r="AE1906" s="580">
        <f t="shared" si="182"/>
        <v>2.5</v>
      </c>
      <c r="AF1906" s="580">
        <f t="shared" si="183"/>
        <v>2.5</v>
      </c>
      <c r="AG1906" s="580">
        <f t="shared" si="184"/>
        <v>0</v>
      </c>
      <c r="AH1906" s="580">
        <f t="shared" si="185"/>
        <v>0</v>
      </c>
    </row>
    <row r="1907" spans="28:34">
      <c r="AB1907" s="580">
        <f>HLOOKUP("*"&amp;'Output annual'!$AC$2&amp;'Output annual'!$AD$2&amp;"*Zone People Number Of Occupants [](Hourly)",'Eplus results'!$1:$1048576,ROW(),FALSE)</f>
        <v>0</v>
      </c>
      <c r="AC1907" s="580">
        <f>HLOOKUP("*"&amp;'Output annual'!$AC$2&amp;'Output annual'!$AD$2&amp;"*FangerPMV(Hourly)",'Eplus results'!$1:$1048576,ROW(),FALSE)</f>
        <v>0</v>
      </c>
      <c r="AD1907" s="580">
        <f t="shared" si="181"/>
        <v>5</v>
      </c>
      <c r="AE1907" s="580">
        <f t="shared" si="182"/>
        <v>2.5</v>
      </c>
      <c r="AF1907" s="580">
        <f t="shared" si="183"/>
        <v>2.5</v>
      </c>
      <c r="AG1907" s="580">
        <f t="shared" si="184"/>
        <v>0</v>
      </c>
      <c r="AH1907" s="580">
        <f t="shared" si="185"/>
        <v>0</v>
      </c>
    </row>
    <row r="1908" spans="28:34">
      <c r="AB1908" s="580">
        <f>HLOOKUP("*"&amp;'Output annual'!$AC$2&amp;'Output annual'!$AD$2&amp;"*Zone People Number Of Occupants [](Hourly)",'Eplus results'!$1:$1048576,ROW(),FALSE)</f>
        <v>0</v>
      </c>
      <c r="AC1908" s="580">
        <f>HLOOKUP("*"&amp;'Output annual'!$AC$2&amp;'Output annual'!$AD$2&amp;"*FangerPMV(Hourly)",'Eplus results'!$1:$1048576,ROW(),FALSE)</f>
        <v>0</v>
      </c>
      <c r="AD1908" s="580">
        <f t="shared" si="181"/>
        <v>5</v>
      </c>
      <c r="AE1908" s="580">
        <f t="shared" si="182"/>
        <v>2.5</v>
      </c>
      <c r="AF1908" s="580">
        <f t="shared" si="183"/>
        <v>2.5</v>
      </c>
      <c r="AG1908" s="580">
        <f t="shared" si="184"/>
        <v>0</v>
      </c>
      <c r="AH1908" s="580">
        <f t="shared" si="185"/>
        <v>0</v>
      </c>
    </row>
    <row r="1909" spans="28:34">
      <c r="AB1909" s="580">
        <f>HLOOKUP("*"&amp;'Output annual'!$AC$2&amp;'Output annual'!$AD$2&amp;"*Zone People Number Of Occupants [](Hourly)",'Eplus results'!$1:$1048576,ROW(),FALSE)</f>
        <v>0</v>
      </c>
      <c r="AC1909" s="580">
        <f>HLOOKUP("*"&amp;'Output annual'!$AC$2&amp;'Output annual'!$AD$2&amp;"*FangerPMV(Hourly)",'Eplus results'!$1:$1048576,ROW(),FALSE)</f>
        <v>0</v>
      </c>
      <c r="AD1909" s="580">
        <f t="shared" si="181"/>
        <v>5</v>
      </c>
      <c r="AE1909" s="580">
        <f t="shared" si="182"/>
        <v>2.5</v>
      </c>
      <c r="AF1909" s="580">
        <f t="shared" si="183"/>
        <v>2.5</v>
      </c>
      <c r="AG1909" s="580">
        <f t="shared" si="184"/>
        <v>0</v>
      </c>
      <c r="AH1909" s="580">
        <f t="shared" si="185"/>
        <v>0</v>
      </c>
    </row>
    <row r="1910" spans="28:34">
      <c r="AB1910" s="580">
        <f>HLOOKUP("*"&amp;'Output annual'!$AC$2&amp;'Output annual'!$AD$2&amp;"*Zone People Number Of Occupants [](Hourly)",'Eplus results'!$1:$1048576,ROW(),FALSE)</f>
        <v>0</v>
      </c>
      <c r="AC1910" s="580">
        <f>HLOOKUP("*"&amp;'Output annual'!$AC$2&amp;'Output annual'!$AD$2&amp;"*FangerPMV(Hourly)",'Eplus results'!$1:$1048576,ROW(),FALSE)</f>
        <v>0</v>
      </c>
      <c r="AD1910" s="580">
        <f t="shared" si="181"/>
        <v>5</v>
      </c>
      <c r="AE1910" s="580">
        <f t="shared" si="182"/>
        <v>2.5</v>
      </c>
      <c r="AF1910" s="580">
        <f t="shared" si="183"/>
        <v>2.5</v>
      </c>
      <c r="AG1910" s="580">
        <f t="shared" si="184"/>
        <v>0</v>
      </c>
      <c r="AH1910" s="580">
        <f t="shared" si="185"/>
        <v>0</v>
      </c>
    </row>
    <row r="1911" spans="28:34">
      <c r="AB1911" s="580">
        <f>HLOOKUP("*"&amp;'Output annual'!$AC$2&amp;'Output annual'!$AD$2&amp;"*Zone People Number Of Occupants [](Hourly)",'Eplus results'!$1:$1048576,ROW(),FALSE)</f>
        <v>0</v>
      </c>
      <c r="AC1911" s="580">
        <f>HLOOKUP("*"&amp;'Output annual'!$AC$2&amp;'Output annual'!$AD$2&amp;"*FangerPMV(Hourly)",'Eplus results'!$1:$1048576,ROW(),FALSE)</f>
        <v>0</v>
      </c>
      <c r="AD1911" s="580">
        <f t="shared" si="181"/>
        <v>5</v>
      </c>
      <c r="AE1911" s="580">
        <f t="shared" si="182"/>
        <v>2.5</v>
      </c>
      <c r="AF1911" s="580">
        <f t="shared" si="183"/>
        <v>2.5</v>
      </c>
      <c r="AG1911" s="580">
        <f t="shared" si="184"/>
        <v>0</v>
      </c>
      <c r="AH1911" s="580">
        <f t="shared" si="185"/>
        <v>0</v>
      </c>
    </row>
    <row r="1912" spans="28:34">
      <c r="AB1912" s="580">
        <f>HLOOKUP("*"&amp;'Output annual'!$AC$2&amp;'Output annual'!$AD$2&amp;"*Zone People Number Of Occupants [](Hourly)",'Eplus results'!$1:$1048576,ROW(),FALSE)</f>
        <v>0</v>
      </c>
      <c r="AC1912" s="580">
        <f>HLOOKUP("*"&amp;'Output annual'!$AC$2&amp;'Output annual'!$AD$2&amp;"*FangerPMV(Hourly)",'Eplus results'!$1:$1048576,ROW(),FALSE)</f>
        <v>0</v>
      </c>
      <c r="AD1912" s="580">
        <f t="shared" si="181"/>
        <v>5</v>
      </c>
      <c r="AE1912" s="580">
        <f t="shared" si="182"/>
        <v>2.5</v>
      </c>
      <c r="AF1912" s="580">
        <f t="shared" si="183"/>
        <v>2.5</v>
      </c>
      <c r="AG1912" s="580">
        <f t="shared" si="184"/>
        <v>0</v>
      </c>
      <c r="AH1912" s="580">
        <f t="shared" si="185"/>
        <v>0</v>
      </c>
    </row>
    <row r="1913" spans="28:34">
      <c r="AB1913" s="580">
        <f>HLOOKUP("*"&amp;'Output annual'!$AC$2&amp;'Output annual'!$AD$2&amp;"*Zone People Number Of Occupants [](Hourly)",'Eplus results'!$1:$1048576,ROW(),FALSE)</f>
        <v>0</v>
      </c>
      <c r="AC1913" s="580">
        <f>HLOOKUP("*"&amp;'Output annual'!$AC$2&amp;'Output annual'!$AD$2&amp;"*FangerPMV(Hourly)",'Eplus results'!$1:$1048576,ROW(),FALSE)</f>
        <v>0</v>
      </c>
      <c r="AD1913" s="580">
        <f t="shared" si="181"/>
        <v>5</v>
      </c>
      <c r="AE1913" s="580">
        <f t="shared" si="182"/>
        <v>2.5</v>
      </c>
      <c r="AF1913" s="580">
        <f t="shared" si="183"/>
        <v>2.5</v>
      </c>
      <c r="AG1913" s="580">
        <f t="shared" si="184"/>
        <v>0</v>
      </c>
      <c r="AH1913" s="580">
        <f t="shared" si="185"/>
        <v>0</v>
      </c>
    </row>
    <row r="1914" spans="28:34">
      <c r="AB1914" s="580">
        <f>HLOOKUP("*"&amp;'Output annual'!$AC$2&amp;'Output annual'!$AD$2&amp;"*Zone People Number Of Occupants [](Hourly)",'Eplus results'!$1:$1048576,ROW(),FALSE)</f>
        <v>0</v>
      </c>
      <c r="AC1914" s="580">
        <f>HLOOKUP("*"&amp;'Output annual'!$AC$2&amp;'Output annual'!$AD$2&amp;"*FangerPMV(Hourly)",'Eplus results'!$1:$1048576,ROW(),FALSE)</f>
        <v>0</v>
      </c>
      <c r="AD1914" s="580">
        <f t="shared" si="181"/>
        <v>5</v>
      </c>
      <c r="AE1914" s="580">
        <f t="shared" si="182"/>
        <v>2.5</v>
      </c>
      <c r="AF1914" s="580">
        <f t="shared" si="183"/>
        <v>2.5</v>
      </c>
      <c r="AG1914" s="580">
        <f t="shared" si="184"/>
        <v>0</v>
      </c>
      <c r="AH1914" s="580">
        <f t="shared" si="185"/>
        <v>0</v>
      </c>
    </row>
    <row r="1915" spans="28:34">
      <c r="AB1915" s="580">
        <f>HLOOKUP("*"&amp;'Output annual'!$AC$2&amp;'Output annual'!$AD$2&amp;"*Zone People Number Of Occupants [](Hourly)",'Eplus results'!$1:$1048576,ROW(),FALSE)</f>
        <v>0</v>
      </c>
      <c r="AC1915" s="580">
        <f>HLOOKUP("*"&amp;'Output annual'!$AC$2&amp;'Output annual'!$AD$2&amp;"*FangerPMV(Hourly)",'Eplus results'!$1:$1048576,ROW(),FALSE)</f>
        <v>0</v>
      </c>
      <c r="AD1915" s="580">
        <f t="shared" si="181"/>
        <v>5</v>
      </c>
      <c r="AE1915" s="580">
        <f t="shared" si="182"/>
        <v>2.5</v>
      </c>
      <c r="AF1915" s="580">
        <f t="shared" si="183"/>
        <v>2.5</v>
      </c>
      <c r="AG1915" s="580">
        <f t="shared" si="184"/>
        <v>0</v>
      </c>
      <c r="AH1915" s="580">
        <f t="shared" si="185"/>
        <v>0</v>
      </c>
    </row>
    <row r="1916" spans="28:34">
      <c r="AB1916" s="580">
        <f>HLOOKUP("*"&amp;'Output annual'!$AC$2&amp;'Output annual'!$AD$2&amp;"*Zone People Number Of Occupants [](Hourly)",'Eplus results'!$1:$1048576,ROW(),FALSE)</f>
        <v>0</v>
      </c>
      <c r="AC1916" s="580">
        <f>HLOOKUP("*"&amp;'Output annual'!$AC$2&amp;'Output annual'!$AD$2&amp;"*FangerPMV(Hourly)",'Eplus results'!$1:$1048576,ROW(),FALSE)</f>
        <v>0</v>
      </c>
      <c r="AD1916" s="580">
        <f t="shared" si="181"/>
        <v>5</v>
      </c>
      <c r="AE1916" s="580">
        <f t="shared" si="182"/>
        <v>2.5</v>
      </c>
      <c r="AF1916" s="580">
        <f t="shared" si="183"/>
        <v>2.5</v>
      </c>
      <c r="AG1916" s="580">
        <f t="shared" si="184"/>
        <v>0</v>
      </c>
      <c r="AH1916" s="580">
        <f t="shared" si="185"/>
        <v>0</v>
      </c>
    </row>
    <row r="1917" spans="28:34">
      <c r="AB1917" s="580">
        <f>HLOOKUP("*"&amp;'Output annual'!$AC$2&amp;'Output annual'!$AD$2&amp;"*Zone People Number Of Occupants [](Hourly)",'Eplus results'!$1:$1048576,ROW(),FALSE)</f>
        <v>0</v>
      </c>
      <c r="AC1917" s="580">
        <f>HLOOKUP("*"&amp;'Output annual'!$AC$2&amp;'Output annual'!$AD$2&amp;"*FangerPMV(Hourly)",'Eplus results'!$1:$1048576,ROW(),FALSE)</f>
        <v>0</v>
      </c>
      <c r="AD1917" s="580">
        <f t="shared" si="181"/>
        <v>5</v>
      </c>
      <c r="AE1917" s="580">
        <f t="shared" si="182"/>
        <v>2.5</v>
      </c>
      <c r="AF1917" s="580">
        <f t="shared" si="183"/>
        <v>2.5</v>
      </c>
      <c r="AG1917" s="580">
        <f t="shared" si="184"/>
        <v>0</v>
      </c>
      <c r="AH1917" s="580">
        <f t="shared" si="185"/>
        <v>0</v>
      </c>
    </row>
    <row r="1918" spans="28:34">
      <c r="AB1918" s="580">
        <f>HLOOKUP("*"&amp;'Output annual'!$AC$2&amp;'Output annual'!$AD$2&amp;"*Zone People Number Of Occupants [](Hourly)",'Eplus results'!$1:$1048576,ROW(),FALSE)</f>
        <v>0</v>
      </c>
      <c r="AC1918" s="580">
        <f>HLOOKUP("*"&amp;'Output annual'!$AC$2&amp;'Output annual'!$AD$2&amp;"*FangerPMV(Hourly)",'Eplus results'!$1:$1048576,ROW(),FALSE)</f>
        <v>0</v>
      </c>
      <c r="AD1918" s="580">
        <f t="shared" si="181"/>
        <v>5</v>
      </c>
      <c r="AE1918" s="580">
        <f t="shared" si="182"/>
        <v>2.5</v>
      </c>
      <c r="AF1918" s="580">
        <f t="shared" si="183"/>
        <v>2.5</v>
      </c>
      <c r="AG1918" s="580">
        <f t="shared" si="184"/>
        <v>0</v>
      </c>
      <c r="AH1918" s="580">
        <f t="shared" si="185"/>
        <v>0</v>
      </c>
    </row>
    <row r="1919" spans="28:34">
      <c r="AB1919" s="580">
        <f>HLOOKUP("*"&amp;'Output annual'!$AC$2&amp;'Output annual'!$AD$2&amp;"*Zone People Number Of Occupants [](Hourly)",'Eplus results'!$1:$1048576,ROW(),FALSE)</f>
        <v>0</v>
      </c>
      <c r="AC1919" s="580">
        <f>HLOOKUP("*"&amp;'Output annual'!$AC$2&amp;'Output annual'!$AD$2&amp;"*FangerPMV(Hourly)",'Eplus results'!$1:$1048576,ROW(),FALSE)</f>
        <v>0</v>
      </c>
      <c r="AD1919" s="580">
        <f t="shared" si="181"/>
        <v>5</v>
      </c>
      <c r="AE1919" s="580">
        <f t="shared" si="182"/>
        <v>2.5</v>
      </c>
      <c r="AF1919" s="580">
        <f t="shared" si="183"/>
        <v>2.5</v>
      </c>
      <c r="AG1919" s="580">
        <f t="shared" si="184"/>
        <v>0</v>
      </c>
      <c r="AH1919" s="580">
        <f t="shared" si="185"/>
        <v>0</v>
      </c>
    </row>
    <row r="1920" spans="28:34">
      <c r="AB1920" s="580">
        <f>HLOOKUP("*"&amp;'Output annual'!$AC$2&amp;'Output annual'!$AD$2&amp;"*Zone People Number Of Occupants [](Hourly)",'Eplus results'!$1:$1048576,ROW(),FALSE)</f>
        <v>0</v>
      </c>
      <c r="AC1920" s="580">
        <f>HLOOKUP("*"&amp;'Output annual'!$AC$2&amp;'Output annual'!$AD$2&amp;"*FangerPMV(Hourly)",'Eplus results'!$1:$1048576,ROW(),FALSE)</f>
        <v>0</v>
      </c>
      <c r="AD1920" s="580">
        <f t="shared" si="181"/>
        <v>5</v>
      </c>
      <c r="AE1920" s="580">
        <f t="shared" si="182"/>
        <v>2.5</v>
      </c>
      <c r="AF1920" s="580">
        <f t="shared" si="183"/>
        <v>2.5</v>
      </c>
      <c r="AG1920" s="580">
        <f t="shared" si="184"/>
        <v>0</v>
      </c>
      <c r="AH1920" s="580">
        <f t="shared" si="185"/>
        <v>0</v>
      </c>
    </row>
    <row r="1921" spans="28:34">
      <c r="AB1921" s="580">
        <f>HLOOKUP("*"&amp;'Output annual'!$AC$2&amp;'Output annual'!$AD$2&amp;"*Zone People Number Of Occupants [](Hourly)",'Eplus results'!$1:$1048576,ROW(),FALSE)</f>
        <v>0</v>
      </c>
      <c r="AC1921" s="580">
        <f>HLOOKUP("*"&amp;'Output annual'!$AC$2&amp;'Output annual'!$AD$2&amp;"*FangerPMV(Hourly)",'Eplus results'!$1:$1048576,ROW(),FALSE)</f>
        <v>0</v>
      </c>
      <c r="AD1921" s="580">
        <f t="shared" si="181"/>
        <v>5</v>
      </c>
      <c r="AE1921" s="580">
        <f t="shared" si="182"/>
        <v>2.5</v>
      </c>
      <c r="AF1921" s="580">
        <f t="shared" si="183"/>
        <v>2.5</v>
      </c>
      <c r="AG1921" s="580">
        <f t="shared" si="184"/>
        <v>0</v>
      </c>
      <c r="AH1921" s="580">
        <f t="shared" si="185"/>
        <v>0</v>
      </c>
    </row>
    <row r="1922" spans="28:34">
      <c r="AB1922" s="580">
        <f>HLOOKUP("*"&amp;'Output annual'!$AC$2&amp;'Output annual'!$AD$2&amp;"*Zone People Number Of Occupants [](Hourly)",'Eplus results'!$1:$1048576,ROW(),FALSE)</f>
        <v>0</v>
      </c>
      <c r="AC1922" s="580">
        <f>HLOOKUP("*"&amp;'Output annual'!$AC$2&amp;'Output annual'!$AD$2&amp;"*FangerPMV(Hourly)",'Eplus results'!$1:$1048576,ROW(),FALSE)</f>
        <v>0</v>
      </c>
      <c r="AD1922" s="580">
        <f t="shared" si="181"/>
        <v>5</v>
      </c>
      <c r="AE1922" s="580">
        <f t="shared" si="182"/>
        <v>2.5</v>
      </c>
      <c r="AF1922" s="580">
        <f t="shared" si="183"/>
        <v>2.5</v>
      </c>
      <c r="AG1922" s="580">
        <f t="shared" si="184"/>
        <v>0</v>
      </c>
      <c r="AH1922" s="580">
        <f t="shared" si="185"/>
        <v>0</v>
      </c>
    </row>
    <row r="1923" spans="28:34">
      <c r="AB1923" s="580">
        <f>HLOOKUP("*"&amp;'Output annual'!$AC$2&amp;'Output annual'!$AD$2&amp;"*Zone People Number Of Occupants [](Hourly)",'Eplus results'!$1:$1048576,ROW(),FALSE)</f>
        <v>0</v>
      </c>
      <c r="AC1923" s="580">
        <f>HLOOKUP("*"&amp;'Output annual'!$AC$2&amp;'Output annual'!$AD$2&amp;"*FangerPMV(Hourly)",'Eplus results'!$1:$1048576,ROW(),FALSE)</f>
        <v>0</v>
      </c>
      <c r="AD1923" s="580">
        <f t="shared" ref="AD1923:AD1986" si="186">100-95*EXP(-0.03353*AC1923^4-0.2179*AC1923^2)</f>
        <v>5</v>
      </c>
      <c r="AE1923" s="580">
        <f t="shared" ref="AE1923:AE1986" si="187">AD1923*(1/(1+EXP(-6.3*$AC1923)))</f>
        <v>2.5</v>
      </c>
      <c r="AF1923" s="580">
        <f t="shared" ref="AF1923:AF1986" si="188">(AD1923-AE1923)</f>
        <v>2.5</v>
      </c>
      <c r="AG1923" s="580">
        <f t="shared" ref="AG1923:AG1986" si="189">AE1923*AB1923</f>
        <v>0</v>
      </c>
      <c r="AH1923" s="580">
        <f t="shared" ref="AH1923:AH1986" si="190">AF1923*AB1923</f>
        <v>0</v>
      </c>
    </row>
    <row r="1924" spans="28:34">
      <c r="AB1924" s="580">
        <f>HLOOKUP("*"&amp;'Output annual'!$AC$2&amp;'Output annual'!$AD$2&amp;"*Zone People Number Of Occupants [](Hourly)",'Eplus results'!$1:$1048576,ROW(),FALSE)</f>
        <v>0</v>
      </c>
      <c r="AC1924" s="580">
        <f>HLOOKUP("*"&amp;'Output annual'!$AC$2&amp;'Output annual'!$AD$2&amp;"*FangerPMV(Hourly)",'Eplus results'!$1:$1048576,ROW(),FALSE)</f>
        <v>0</v>
      </c>
      <c r="AD1924" s="580">
        <f t="shared" si="186"/>
        <v>5</v>
      </c>
      <c r="AE1924" s="580">
        <f t="shared" si="187"/>
        <v>2.5</v>
      </c>
      <c r="AF1924" s="580">
        <f t="shared" si="188"/>
        <v>2.5</v>
      </c>
      <c r="AG1924" s="580">
        <f t="shared" si="189"/>
        <v>0</v>
      </c>
      <c r="AH1924" s="580">
        <f t="shared" si="190"/>
        <v>0</v>
      </c>
    </row>
    <row r="1925" spans="28:34">
      <c r="AB1925" s="580">
        <f>HLOOKUP("*"&amp;'Output annual'!$AC$2&amp;'Output annual'!$AD$2&amp;"*Zone People Number Of Occupants [](Hourly)",'Eplus results'!$1:$1048576,ROW(),FALSE)</f>
        <v>0</v>
      </c>
      <c r="AC1925" s="580">
        <f>HLOOKUP("*"&amp;'Output annual'!$AC$2&amp;'Output annual'!$AD$2&amp;"*FangerPMV(Hourly)",'Eplus results'!$1:$1048576,ROW(),FALSE)</f>
        <v>0</v>
      </c>
      <c r="AD1925" s="580">
        <f t="shared" si="186"/>
        <v>5</v>
      </c>
      <c r="AE1925" s="580">
        <f t="shared" si="187"/>
        <v>2.5</v>
      </c>
      <c r="AF1925" s="580">
        <f t="shared" si="188"/>
        <v>2.5</v>
      </c>
      <c r="AG1925" s="580">
        <f t="shared" si="189"/>
        <v>0</v>
      </c>
      <c r="AH1925" s="580">
        <f t="shared" si="190"/>
        <v>0</v>
      </c>
    </row>
    <row r="1926" spans="28:34">
      <c r="AB1926" s="580">
        <f>HLOOKUP("*"&amp;'Output annual'!$AC$2&amp;'Output annual'!$AD$2&amp;"*Zone People Number Of Occupants [](Hourly)",'Eplus results'!$1:$1048576,ROW(),FALSE)</f>
        <v>0</v>
      </c>
      <c r="AC1926" s="580">
        <f>HLOOKUP("*"&amp;'Output annual'!$AC$2&amp;'Output annual'!$AD$2&amp;"*FangerPMV(Hourly)",'Eplus results'!$1:$1048576,ROW(),FALSE)</f>
        <v>0</v>
      </c>
      <c r="AD1926" s="580">
        <f t="shared" si="186"/>
        <v>5</v>
      </c>
      <c r="AE1926" s="580">
        <f t="shared" si="187"/>
        <v>2.5</v>
      </c>
      <c r="AF1926" s="580">
        <f t="shared" si="188"/>
        <v>2.5</v>
      </c>
      <c r="AG1926" s="580">
        <f t="shared" si="189"/>
        <v>0</v>
      </c>
      <c r="AH1926" s="580">
        <f t="shared" si="190"/>
        <v>0</v>
      </c>
    </row>
    <row r="1927" spans="28:34">
      <c r="AB1927" s="580">
        <f>HLOOKUP("*"&amp;'Output annual'!$AC$2&amp;'Output annual'!$AD$2&amp;"*Zone People Number Of Occupants [](Hourly)",'Eplus results'!$1:$1048576,ROW(),FALSE)</f>
        <v>0</v>
      </c>
      <c r="AC1927" s="580">
        <f>HLOOKUP("*"&amp;'Output annual'!$AC$2&amp;'Output annual'!$AD$2&amp;"*FangerPMV(Hourly)",'Eplus results'!$1:$1048576,ROW(),FALSE)</f>
        <v>0</v>
      </c>
      <c r="AD1927" s="580">
        <f t="shared" si="186"/>
        <v>5</v>
      </c>
      <c r="AE1927" s="580">
        <f t="shared" si="187"/>
        <v>2.5</v>
      </c>
      <c r="AF1927" s="580">
        <f t="shared" si="188"/>
        <v>2.5</v>
      </c>
      <c r="AG1927" s="580">
        <f t="shared" si="189"/>
        <v>0</v>
      </c>
      <c r="AH1927" s="580">
        <f t="shared" si="190"/>
        <v>0</v>
      </c>
    </row>
    <row r="1928" spans="28:34">
      <c r="AB1928" s="580">
        <f>HLOOKUP("*"&amp;'Output annual'!$AC$2&amp;'Output annual'!$AD$2&amp;"*Zone People Number Of Occupants [](Hourly)",'Eplus results'!$1:$1048576,ROW(),FALSE)</f>
        <v>0</v>
      </c>
      <c r="AC1928" s="580">
        <f>HLOOKUP("*"&amp;'Output annual'!$AC$2&amp;'Output annual'!$AD$2&amp;"*FangerPMV(Hourly)",'Eplus results'!$1:$1048576,ROW(),FALSE)</f>
        <v>0</v>
      </c>
      <c r="AD1928" s="580">
        <f t="shared" si="186"/>
        <v>5</v>
      </c>
      <c r="AE1928" s="580">
        <f t="shared" si="187"/>
        <v>2.5</v>
      </c>
      <c r="AF1928" s="580">
        <f t="shared" si="188"/>
        <v>2.5</v>
      </c>
      <c r="AG1928" s="580">
        <f t="shared" si="189"/>
        <v>0</v>
      </c>
      <c r="AH1928" s="580">
        <f t="shared" si="190"/>
        <v>0</v>
      </c>
    </row>
    <row r="1929" spans="28:34">
      <c r="AB1929" s="580">
        <f>HLOOKUP("*"&amp;'Output annual'!$AC$2&amp;'Output annual'!$AD$2&amp;"*Zone People Number Of Occupants [](Hourly)",'Eplus results'!$1:$1048576,ROW(),FALSE)</f>
        <v>0</v>
      </c>
      <c r="AC1929" s="580">
        <f>HLOOKUP("*"&amp;'Output annual'!$AC$2&amp;'Output annual'!$AD$2&amp;"*FangerPMV(Hourly)",'Eplus results'!$1:$1048576,ROW(),FALSE)</f>
        <v>0</v>
      </c>
      <c r="AD1929" s="580">
        <f t="shared" si="186"/>
        <v>5</v>
      </c>
      <c r="AE1929" s="580">
        <f t="shared" si="187"/>
        <v>2.5</v>
      </c>
      <c r="AF1929" s="580">
        <f t="shared" si="188"/>
        <v>2.5</v>
      </c>
      <c r="AG1929" s="580">
        <f t="shared" si="189"/>
        <v>0</v>
      </c>
      <c r="AH1929" s="580">
        <f t="shared" si="190"/>
        <v>0</v>
      </c>
    </row>
    <row r="1930" spans="28:34">
      <c r="AB1930" s="580">
        <f>HLOOKUP("*"&amp;'Output annual'!$AC$2&amp;'Output annual'!$AD$2&amp;"*Zone People Number Of Occupants [](Hourly)",'Eplus results'!$1:$1048576,ROW(),FALSE)</f>
        <v>0</v>
      </c>
      <c r="AC1930" s="580">
        <f>HLOOKUP("*"&amp;'Output annual'!$AC$2&amp;'Output annual'!$AD$2&amp;"*FangerPMV(Hourly)",'Eplus results'!$1:$1048576,ROW(),FALSE)</f>
        <v>0</v>
      </c>
      <c r="AD1930" s="580">
        <f t="shared" si="186"/>
        <v>5</v>
      </c>
      <c r="AE1930" s="580">
        <f t="shared" si="187"/>
        <v>2.5</v>
      </c>
      <c r="AF1930" s="580">
        <f t="shared" si="188"/>
        <v>2.5</v>
      </c>
      <c r="AG1930" s="580">
        <f t="shared" si="189"/>
        <v>0</v>
      </c>
      <c r="AH1930" s="580">
        <f t="shared" si="190"/>
        <v>0</v>
      </c>
    </row>
    <row r="1931" spans="28:34">
      <c r="AB1931" s="580">
        <f>HLOOKUP("*"&amp;'Output annual'!$AC$2&amp;'Output annual'!$AD$2&amp;"*Zone People Number Of Occupants [](Hourly)",'Eplus results'!$1:$1048576,ROW(),FALSE)</f>
        <v>0</v>
      </c>
      <c r="AC1931" s="580">
        <f>HLOOKUP("*"&amp;'Output annual'!$AC$2&amp;'Output annual'!$AD$2&amp;"*FangerPMV(Hourly)",'Eplus results'!$1:$1048576,ROW(),FALSE)</f>
        <v>0</v>
      </c>
      <c r="AD1931" s="580">
        <f t="shared" si="186"/>
        <v>5</v>
      </c>
      <c r="AE1931" s="580">
        <f t="shared" si="187"/>
        <v>2.5</v>
      </c>
      <c r="AF1931" s="580">
        <f t="shared" si="188"/>
        <v>2.5</v>
      </c>
      <c r="AG1931" s="580">
        <f t="shared" si="189"/>
        <v>0</v>
      </c>
      <c r="AH1931" s="580">
        <f t="shared" si="190"/>
        <v>0</v>
      </c>
    </row>
    <row r="1932" spans="28:34">
      <c r="AB1932" s="580">
        <f>HLOOKUP("*"&amp;'Output annual'!$AC$2&amp;'Output annual'!$AD$2&amp;"*Zone People Number Of Occupants [](Hourly)",'Eplus results'!$1:$1048576,ROW(),FALSE)</f>
        <v>0</v>
      </c>
      <c r="AC1932" s="580">
        <f>HLOOKUP("*"&amp;'Output annual'!$AC$2&amp;'Output annual'!$AD$2&amp;"*FangerPMV(Hourly)",'Eplus results'!$1:$1048576,ROW(),FALSE)</f>
        <v>0</v>
      </c>
      <c r="AD1932" s="580">
        <f t="shared" si="186"/>
        <v>5</v>
      </c>
      <c r="AE1932" s="580">
        <f t="shared" si="187"/>
        <v>2.5</v>
      </c>
      <c r="AF1932" s="580">
        <f t="shared" si="188"/>
        <v>2.5</v>
      </c>
      <c r="AG1932" s="580">
        <f t="shared" si="189"/>
        <v>0</v>
      </c>
      <c r="AH1932" s="580">
        <f t="shared" si="190"/>
        <v>0</v>
      </c>
    </row>
    <row r="1933" spans="28:34">
      <c r="AB1933" s="580">
        <f>HLOOKUP("*"&amp;'Output annual'!$AC$2&amp;'Output annual'!$AD$2&amp;"*Zone People Number Of Occupants [](Hourly)",'Eplus results'!$1:$1048576,ROW(),FALSE)</f>
        <v>0</v>
      </c>
      <c r="AC1933" s="580">
        <f>HLOOKUP("*"&amp;'Output annual'!$AC$2&amp;'Output annual'!$AD$2&amp;"*FangerPMV(Hourly)",'Eplus results'!$1:$1048576,ROW(),FALSE)</f>
        <v>0</v>
      </c>
      <c r="AD1933" s="580">
        <f t="shared" si="186"/>
        <v>5</v>
      </c>
      <c r="AE1933" s="580">
        <f t="shared" si="187"/>
        <v>2.5</v>
      </c>
      <c r="AF1933" s="580">
        <f t="shared" si="188"/>
        <v>2.5</v>
      </c>
      <c r="AG1933" s="580">
        <f t="shared" si="189"/>
        <v>0</v>
      </c>
      <c r="AH1933" s="580">
        <f t="shared" si="190"/>
        <v>0</v>
      </c>
    </row>
    <row r="1934" spans="28:34">
      <c r="AB1934" s="580">
        <f>HLOOKUP("*"&amp;'Output annual'!$AC$2&amp;'Output annual'!$AD$2&amp;"*Zone People Number Of Occupants [](Hourly)",'Eplus results'!$1:$1048576,ROW(),FALSE)</f>
        <v>0</v>
      </c>
      <c r="AC1934" s="580">
        <f>HLOOKUP("*"&amp;'Output annual'!$AC$2&amp;'Output annual'!$AD$2&amp;"*FangerPMV(Hourly)",'Eplus results'!$1:$1048576,ROW(),FALSE)</f>
        <v>0</v>
      </c>
      <c r="AD1934" s="580">
        <f t="shared" si="186"/>
        <v>5</v>
      </c>
      <c r="AE1934" s="580">
        <f t="shared" si="187"/>
        <v>2.5</v>
      </c>
      <c r="AF1934" s="580">
        <f t="shared" si="188"/>
        <v>2.5</v>
      </c>
      <c r="AG1934" s="580">
        <f t="shared" si="189"/>
        <v>0</v>
      </c>
      <c r="AH1934" s="580">
        <f t="shared" si="190"/>
        <v>0</v>
      </c>
    </row>
    <row r="1935" spans="28:34">
      <c r="AB1935" s="580">
        <f>HLOOKUP("*"&amp;'Output annual'!$AC$2&amp;'Output annual'!$AD$2&amp;"*Zone People Number Of Occupants [](Hourly)",'Eplus results'!$1:$1048576,ROW(),FALSE)</f>
        <v>0</v>
      </c>
      <c r="AC1935" s="580">
        <f>HLOOKUP("*"&amp;'Output annual'!$AC$2&amp;'Output annual'!$AD$2&amp;"*FangerPMV(Hourly)",'Eplus results'!$1:$1048576,ROW(),FALSE)</f>
        <v>0</v>
      </c>
      <c r="AD1935" s="580">
        <f t="shared" si="186"/>
        <v>5</v>
      </c>
      <c r="AE1935" s="580">
        <f t="shared" si="187"/>
        <v>2.5</v>
      </c>
      <c r="AF1935" s="580">
        <f t="shared" si="188"/>
        <v>2.5</v>
      </c>
      <c r="AG1935" s="580">
        <f t="shared" si="189"/>
        <v>0</v>
      </c>
      <c r="AH1935" s="580">
        <f t="shared" si="190"/>
        <v>0</v>
      </c>
    </row>
    <row r="1936" spans="28:34">
      <c r="AB1936" s="580">
        <f>HLOOKUP("*"&amp;'Output annual'!$AC$2&amp;'Output annual'!$AD$2&amp;"*Zone People Number Of Occupants [](Hourly)",'Eplus results'!$1:$1048576,ROW(),FALSE)</f>
        <v>0</v>
      </c>
      <c r="AC1936" s="580">
        <f>HLOOKUP("*"&amp;'Output annual'!$AC$2&amp;'Output annual'!$AD$2&amp;"*FangerPMV(Hourly)",'Eplus results'!$1:$1048576,ROW(),FALSE)</f>
        <v>0</v>
      </c>
      <c r="AD1936" s="580">
        <f t="shared" si="186"/>
        <v>5</v>
      </c>
      <c r="AE1936" s="580">
        <f t="shared" si="187"/>
        <v>2.5</v>
      </c>
      <c r="AF1936" s="580">
        <f t="shared" si="188"/>
        <v>2.5</v>
      </c>
      <c r="AG1936" s="580">
        <f t="shared" si="189"/>
        <v>0</v>
      </c>
      <c r="AH1936" s="580">
        <f t="shared" si="190"/>
        <v>0</v>
      </c>
    </row>
    <row r="1937" spans="28:34">
      <c r="AB1937" s="580">
        <f>HLOOKUP("*"&amp;'Output annual'!$AC$2&amp;'Output annual'!$AD$2&amp;"*Zone People Number Of Occupants [](Hourly)",'Eplus results'!$1:$1048576,ROW(),FALSE)</f>
        <v>0</v>
      </c>
      <c r="AC1937" s="580">
        <f>HLOOKUP("*"&amp;'Output annual'!$AC$2&amp;'Output annual'!$AD$2&amp;"*FangerPMV(Hourly)",'Eplus results'!$1:$1048576,ROW(),FALSE)</f>
        <v>0</v>
      </c>
      <c r="AD1937" s="580">
        <f t="shared" si="186"/>
        <v>5</v>
      </c>
      <c r="AE1937" s="580">
        <f t="shared" si="187"/>
        <v>2.5</v>
      </c>
      <c r="AF1937" s="580">
        <f t="shared" si="188"/>
        <v>2.5</v>
      </c>
      <c r="AG1937" s="580">
        <f t="shared" si="189"/>
        <v>0</v>
      </c>
      <c r="AH1937" s="580">
        <f t="shared" si="190"/>
        <v>0</v>
      </c>
    </row>
    <row r="1938" spans="28:34">
      <c r="AB1938" s="580">
        <f>HLOOKUP("*"&amp;'Output annual'!$AC$2&amp;'Output annual'!$AD$2&amp;"*Zone People Number Of Occupants [](Hourly)",'Eplus results'!$1:$1048576,ROW(),FALSE)</f>
        <v>0</v>
      </c>
      <c r="AC1938" s="580">
        <f>HLOOKUP("*"&amp;'Output annual'!$AC$2&amp;'Output annual'!$AD$2&amp;"*FangerPMV(Hourly)",'Eplus results'!$1:$1048576,ROW(),FALSE)</f>
        <v>0</v>
      </c>
      <c r="AD1938" s="580">
        <f t="shared" si="186"/>
        <v>5</v>
      </c>
      <c r="AE1938" s="580">
        <f t="shared" si="187"/>
        <v>2.5</v>
      </c>
      <c r="AF1938" s="580">
        <f t="shared" si="188"/>
        <v>2.5</v>
      </c>
      <c r="AG1938" s="580">
        <f t="shared" si="189"/>
        <v>0</v>
      </c>
      <c r="AH1938" s="580">
        <f t="shared" si="190"/>
        <v>0</v>
      </c>
    </row>
    <row r="1939" spans="28:34">
      <c r="AB1939" s="580">
        <f>HLOOKUP("*"&amp;'Output annual'!$AC$2&amp;'Output annual'!$AD$2&amp;"*Zone People Number Of Occupants [](Hourly)",'Eplus results'!$1:$1048576,ROW(),FALSE)</f>
        <v>0</v>
      </c>
      <c r="AC1939" s="580">
        <f>HLOOKUP("*"&amp;'Output annual'!$AC$2&amp;'Output annual'!$AD$2&amp;"*FangerPMV(Hourly)",'Eplus results'!$1:$1048576,ROW(),FALSE)</f>
        <v>0</v>
      </c>
      <c r="AD1939" s="580">
        <f t="shared" si="186"/>
        <v>5</v>
      </c>
      <c r="AE1939" s="580">
        <f t="shared" si="187"/>
        <v>2.5</v>
      </c>
      <c r="AF1939" s="580">
        <f t="shared" si="188"/>
        <v>2.5</v>
      </c>
      <c r="AG1939" s="580">
        <f t="shared" si="189"/>
        <v>0</v>
      </c>
      <c r="AH1939" s="580">
        <f t="shared" si="190"/>
        <v>0</v>
      </c>
    </row>
    <row r="1940" spans="28:34">
      <c r="AB1940" s="580">
        <f>HLOOKUP("*"&amp;'Output annual'!$AC$2&amp;'Output annual'!$AD$2&amp;"*Zone People Number Of Occupants [](Hourly)",'Eplus results'!$1:$1048576,ROW(),FALSE)</f>
        <v>0</v>
      </c>
      <c r="AC1940" s="580">
        <f>HLOOKUP("*"&amp;'Output annual'!$AC$2&amp;'Output annual'!$AD$2&amp;"*FangerPMV(Hourly)",'Eplus results'!$1:$1048576,ROW(),FALSE)</f>
        <v>0</v>
      </c>
      <c r="AD1940" s="580">
        <f t="shared" si="186"/>
        <v>5</v>
      </c>
      <c r="AE1940" s="580">
        <f t="shared" si="187"/>
        <v>2.5</v>
      </c>
      <c r="AF1940" s="580">
        <f t="shared" si="188"/>
        <v>2.5</v>
      </c>
      <c r="AG1940" s="580">
        <f t="shared" si="189"/>
        <v>0</v>
      </c>
      <c r="AH1940" s="580">
        <f t="shared" si="190"/>
        <v>0</v>
      </c>
    </row>
    <row r="1941" spans="28:34">
      <c r="AB1941" s="580">
        <f>HLOOKUP("*"&amp;'Output annual'!$AC$2&amp;'Output annual'!$AD$2&amp;"*Zone People Number Of Occupants [](Hourly)",'Eplus results'!$1:$1048576,ROW(),FALSE)</f>
        <v>0</v>
      </c>
      <c r="AC1941" s="580">
        <f>HLOOKUP("*"&amp;'Output annual'!$AC$2&amp;'Output annual'!$AD$2&amp;"*FangerPMV(Hourly)",'Eplus results'!$1:$1048576,ROW(),FALSE)</f>
        <v>0</v>
      </c>
      <c r="AD1941" s="580">
        <f t="shared" si="186"/>
        <v>5</v>
      </c>
      <c r="AE1941" s="580">
        <f t="shared" si="187"/>
        <v>2.5</v>
      </c>
      <c r="AF1941" s="580">
        <f t="shared" si="188"/>
        <v>2.5</v>
      </c>
      <c r="AG1941" s="580">
        <f t="shared" si="189"/>
        <v>0</v>
      </c>
      <c r="AH1941" s="580">
        <f t="shared" si="190"/>
        <v>0</v>
      </c>
    </row>
    <row r="1942" spans="28:34">
      <c r="AB1942" s="580">
        <f>HLOOKUP("*"&amp;'Output annual'!$AC$2&amp;'Output annual'!$AD$2&amp;"*Zone People Number Of Occupants [](Hourly)",'Eplus results'!$1:$1048576,ROW(),FALSE)</f>
        <v>0</v>
      </c>
      <c r="AC1942" s="580">
        <f>HLOOKUP("*"&amp;'Output annual'!$AC$2&amp;'Output annual'!$AD$2&amp;"*FangerPMV(Hourly)",'Eplus results'!$1:$1048576,ROW(),FALSE)</f>
        <v>0</v>
      </c>
      <c r="AD1942" s="580">
        <f t="shared" si="186"/>
        <v>5</v>
      </c>
      <c r="AE1942" s="580">
        <f t="shared" si="187"/>
        <v>2.5</v>
      </c>
      <c r="AF1942" s="580">
        <f t="shared" si="188"/>
        <v>2.5</v>
      </c>
      <c r="AG1942" s="580">
        <f t="shared" si="189"/>
        <v>0</v>
      </c>
      <c r="AH1942" s="580">
        <f t="shared" si="190"/>
        <v>0</v>
      </c>
    </row>
    <row r="1943" spans="28:34">
      <c r="AB1943" s="580">
        <f>HLOOKUP("*"&amp;'Output annual'!$AC$2&amp;'Output annual'!$AD$2&amp;"*Zone People Number Of Occupants [](Hourly)",'Eplus results'!$1:$1048576,ROW(),FALSE)</f>
        <v>0</v>
      </c>
      <c r="AC1943" s="580">
        <f>HLOOKUP("*"&amp;'Output annual'!$AC$2&amp;'Output annual'!$AD$2&amp;"*FangerPMV(Hourly)",'Eplus results'!$1:$1048576,ROW(),FALSE)</f>
        <v>0</v>
      </c>
      <c r="AD1943" s="580">
        <f t="shared" si="186"/>
        <v>5</v>
      </c>
      <c r="AE1943" s="580">
        <f t="shared" si="187"/>
        <v>2.5</v>
      </c>
      <c r="AF1943" s="580">
        <f t="shared" si="188"/>
        <v>2.5</v>
      </c>
      <c r="AG1943" s="580">
        <f t="shared" si="189"/>
        <v>0</v>
      </c>
      <c r="AH1943" s="580">
        <f t="shared" si="190"/>
        <v>0</v>
      </c>
    </row>
    <row r="1944" spans="28:34">
      <c r="AB1944" s="580">
        <f>HLOOKUP("*"&amp;'Output annual'!$AC$2&amp;'Output annual'!$AD$2&amp;"*Zone People Number Of Occupants [](Hourly)",'Eplus results'!$1:$1048576,ROW(),FALSE)</f>
        <v>0</v>
      </c>
      <c r="AC1944" s="580">
        <f>HLOOKUP("*"&amp;'Output annual'!$AC$2&amp;'Output annual'!$AD$2&amp;"*FangerPMV(Hourly)",'Eplus results'!$1:$1048576,ROW(),FALSE)</f>
        <v>0</v>
      </c>
      <c r="AD1944" s="580">
        <f t="shared" si="186"/>
        <v>5</v>
      </c>
      <c r="AE1944" s="580">
        <f t="shared" si="187"/>
        <v>2.5</v>
      </c>
      <c r="AF1944" s="580">
        <f t="shared" si="188"/>
        <v>2.5</v>
      </c>
      <c r="AG1944" s="580">
        <f t="shared" si="189"/>
        <v>0</v>
      </c>
      <c r="AH1944" s="580">
        <f t="shared" si="190"/>
        <v>0</v>
      </c>
    </row>
    <row r="1945" spans="28:34">
      <c r="AB1945" s="580">
        <f>HLOOKUP("*"&amp;'Output annual'!$AC$2&amp;'Output annual'!$AD$2&amp;"*Zone People Number Of Occupants [](Hourly)",'Eplus results'!$1:$1048576,ROW(),FALSE)</f>
        <v>0</v>
      </c>
      <c r="AC1945" s="580">
        <f>HLOOKUP("*"&amp;'Output annual'!$AC$2&amp;'Output annual'!$AD$2&amp;"*FangerPMV(Hourly)",'Eplus results'!$1:$1048576,ROW(),FALSE)</f>
        <v>0</v>
      </c>
      <c r="AD1945" s="580">
        <f t="shared" si="186"/>
        <v>5</v>
      </c>
      <c r="AE1945" s="580">
        <f t="shared" si="187"/>
        <v>2.5</v>
      </c>
      <c r="AF1945" s="580">
        <f t="shared" si="188"/>
        <v>2.5</v>
      </c>
      <c r="AG1945" s="580">
        <f t="shared" si="189"/>
        <v>0</v>
      </c>
      <c r="AH1945" s="580">
        <f t="shared" si="190"/>
        <v>0</v>
      </c>
    </row>
    <row r="1946" spans="28:34">
      <c r="AB1946" s="580">
        <f>HLOOKUP("*"&amp;'Output annual'!$AC$2&amp;'Output annual'!$AD$2&amp;"*Zone People Number Of Occupants [](Hourly)",'Eplus results'!$1:$1048576,ROW(),FALSE)</f>
        <v>0</v>
      </c>
      <c r="AC1946" s="580">
        <f>HLOOKUP("*"&amp;'Output annual'!$AC$2&amp;'Output annual'!$AD$2&amp;"*FangerPMV(Hourly)",'Eplus results'!$1:$1048576,ROW(),FALSE)</f>
        <v>0</v>
      </c>
      <c r="AD1946" s="580">
        <f t="shared" si="186"/>
        <v>5</v>
      </c>
      <c r="AE1946" s="580">
        <f t="shared" si="187"/>
        <v>2.5</v>
      </c>
      <c r="AF1946" s="580">
        <f t="shared" si="188"/>
        <v>2.5</v>
      </c>
      <c r="AG1946" s="580">
        <f t="shared" si="189"/>
        <v>0</v>
      </c>
      <c r="AH1946" s="580">
        <f t="shared" si="190"/>
        <v>0</v>
      </c>
    </row>
    <row r="1947" spans="28:34">
      <c r="AB1947" s="580">
        <f>HLOOKUP("*"&amp;'Output annual'!$AC$2&amp;'Output annual'!$AD$2&amp;"*Zone People Number Of Occupants [](Hourly)",'Eplus results'!$1:$1048576,ROW(),FALSE)</f>
        <v>0</v>
      </c>
      <c r="AC1947" s="580">
        <f>HLOOKUP("*"&amp;'Output annual'!$AC$2&amp;'Output annual'!$AD$2&amp;"*FangerPMV(Hourly)",'Eplus results'!$1:$1048576,ROW(),FALSE)</f>
        <v>0</v>
      </c>
      <c r="AD1947" s="580">
        <f t="shared" si="186"/>
        <v>5</v>
      </c>
      <c r="AE1947" s="580">
        <f t="shared" si="187"/>
        <v>2.5</v>
      </c>
      <c r="AF1947" s="580">
        <f t="shared" si="188"/>
        <v>2.5</v>
      </c>
      <c r="AG1947" s="580">
        <f t="shared" si="189"/>
        <v>0</v>
      </c>
      <c r="AH1947" s="580">
        <f t="shared" si="190"/>
        <v>0</v>
      </c>
    </row>
    <row r="1948" spans="28:34">
      <c r="AB1948" s="580">
        <f>HLOOKUP("*"&amp;'Output annual'!$AC$2&amp;'Output annual'!$AD$2&amp;"*Zone People Number Of Occupants [](Hourly)",'Eplus results'!$1:$1048576,ROW(),FALSE)</f>
        <v>0</v>
      </c>
      <c r="AC1948" s="580">
        <f>HLOOKUP("*"&amp;'Output annual'!$AC$2&amp;'Output annual'!$AD$2&amp;"*FangerPMV(Hourly)",'Eplus results'!$1:$1048576,ROW(),FALSE)</f>
        <v>0</v>
      </c>
      <c r="AD1948" s="580">
        <f t="shared" si="186"/>
        <v>5</v>
      </c>
      <c r="AE1948" s="580">
        <f t="shared" si="187"/>
        <v>2.5</v>
      </c>
      <c r="AF1948" s="580">
        <f t="shared" si="188"/>
        <v>2.5</v>
      </c>
      <c r="AG1948" s="580">
        <f t="shared" si="189"/>
        <v>0</v>
      </c>
      <c r="AH1948" s="580">
        <f t="shared" si="190"/>
        <v>0</v>
      </c>
    </row>
    <row r="1949" spans="28:34">
      <c r="AB1949" s="580">
        <f>HLOOKUP("*"&amp;'Output annual'!$AC$2&amp;'Output annual'!$AD$2&amp;"*Zone People Number Of Occupants [](Hourly)",'Eplus results'!$1:$1048576,ROW(),FALSE)</f>
        <v>0</v>
      </c>
      <c r="AC1949" s="580">
        <f>HLOOKUP("*"&amp;'Output annual'!$AC$2&amp;'Output annual'!$AD$2&amp;"*FangerPMV(Hourly)",'Eplus results'!$1:$1048576,ROW(),FALSE)</f>
        <v>0</v>
      </c>
      <c r="AD1949" s="580">
        <f t="shared" si="186"/>
        <v>5</v>
      </c>
      <c r="AE1949" s="580">
        <f t="shared" si="187"/>
        <v>2.5</v>
      </c>
      <c r="AF1949" s="580">
        <f t="shared" si="188"/>
        <v>2.5</v>
      </c>
      <c r="AG1949" s="580">
        <f t="shared" si="189"/>
        <v>0</v>
      </c>
      <c r="AH1949" s="580">
        <f t="shared" si="190"/>
        <v>0</v>
      </c>
    </row>
    <row r="1950" spans="28:34">
      <c r="AB1950" s="580">
        <f>HLOOKUP("*"&amp;'Output annual'!$AC$2&amp;'Output annual'!$AD$2&amp;"*Zone People Number Of Occupants [](Hourly)",'Eplus results'!$1:$1048576,ROW(),FALSE)</f>
        <v>0</v>
      </c>
      <c r="AC1950" s="580">
        <f>HLOOKUP("*"&amp;'Output annual'!$AC$2&amp;'Output annual'!$AD$2&amp;"*FangerPMV(Hourly)",'Eplus results'!$1:$1048576,ROW(),FALSE)</f>
        <v>0</v>
      </c>
      <c r="AD1950" s="580">
        <f t="shared" si="186"/>
        <v>5</v>
      </c>
      <c r="AE1950" s="580">
        <f t="shared" si="187"/>
        <v>2.5</v>
      </c>
      <c r="AF1950" s="580">
        <f t="shared" si="188"/>
        <v>2.5</v>
      </c>
      <c r="AG1950" s="580">
        <f t="shared" si="189"/>
        <v>0</v>
      </c>
      <c r="AH1950" s="580">
        <f t="shared" si="190"/>
        <v>0</v>
      </c>
    </row>
    <row r="1951" spans="28:34">
      <c r="AB1951" s="580">
        <f>HLOOKUP("*"&amp;'Output annual'!$AC$2&amp;'Output annual'!$AD$2&amp;"*Zone People Number Of Occupants [](Hourly)",'Eplus results'!$1:$1048576,ROW(),FALSE)</f>
        <v>0</v>
      </c>
      <c r="AC1951" s="580">
        <f>HLOOKUP("*"&amp;'Output annual'!$AC$2&amp;'Output annual'!$AD$2&amp;"*FangerPMV(Hourly)",'Eplus results'!$1:$1048576,ROW(),FALSE)</f>
        <v>0</v>
      </c>
      <c r="AD1951" s="580">
        <f t="shared" si="186"/>
        <v>5</v>
      </c>
      <c r="AE1951" s="580">
        <f t="shared" si="187"/>
        <v>2.5</v>
      </c>
      <c r="AF1951" s="580">
        <f t="shared" si="188"/>
        <v>2.5</v>
      </c>
      <c r="AG1951" s="580">
        <f t="shared" si="189"/>
        <v>0</v>
      </c>
      <c r="AH1951" s="580">
        <f t="shared" si="190"/>
        <v>0</v>
      </c>
    </row>
    <row r="1952" spans="28:34">
      <c r="AB1952" s="580">
        <f>HLOOKUP("*"&amp;'Output annual'!$AC$2&amp;'Output annual'!$AD$2&amp;"*Zone People Number Of Occupants [](Hourly)",'Eplus results'!$1:$1048576,ROW(),FALSE)</f>
        <v>0</v>
      </c>
      <c r="AC1952" s="580">
        <f>HLOOKUP("*"&amp;'Output annual'!$AC$2&amp;'Output annual'!$AD$2&amp;"*FangerPMV(Hourly)",'Eplus results'!$1:$1048576,ROW(),FALSE)</f>
        <v>0</v>
      </c>
      <c r="AD1952" s="580">
        <f t="shared" si="186"/>
        <v>5</v>
      </c>
      <c r="AE1952" s="580">
        <f t="shared" si="187"/>
        <v>2.5</v>
      </c>
      <c r="AF1952" s="580">
        <f t="shared" si="188"/>
        <v>2.5</v>
      </c>
      <c r="AG1952" s="580">
        <f t="shared" si="189"/>
        <v>0</v>
      </c>
      <c r="AH1952" s="580">
        <f t="shared" si="190"/>
        <v>0</v>
      </c>
    </row>
    <row r="1953" spans="28:34">
      <c r="AB1953" s="580">
        <f>HLOOKUP("*"&amp;'Output annual'!$AC$2&amp;'Output annual'!$AD$2&amp;"*Zone People Number Of Occupants [](Hourly)",'Eplus results'!$1:$1048576,ROW(),FALSE)</f>
        <v>0</v>
      </c>
      <c r="AC1953" s="580">
        <f>HLOOKUP("*"&amp;'Output annual'!$AC$2&amp;'Output annual'!$AD$2&amp;"*FangerPMV(Hourly)",'Eplus results'!$1:$1048576,ROW(),FALSE)</f>
        <v>0</v>
      </c>
      <c r="AD1953" s="580">
        <f t="shared" si="186"/>
        <v>5</v>
      </c>
      <c r="AE1953" s="580">
        <f t="shared" si="187"/>
        <v>2.5</v>
      </c>
      <c r="AF1953" s="580">
        <f t="shared" si="188"/>
        <v>2.5</v>
      </c>
      <c r="AG1953" s="580">
        <f t="shared" si="189"/>
        <v>0</v>
      </c>
      <c r="AH1953" s="580">
        <f t="shared" si="190"/>
        <v>0</v>
      </c>
    </row>
    <row r="1954" spans="28:34">
      <c r="AB1954" s="580">
        <f>HLOOKUP("*"&amp;'Output annual'!$AC$2&amp;'Output annual'!$AD$2&amp;"*Zone People Number Of Occupants [](Hourly)",'Eplus results'!$1:$1048576,ROW(),FALSE)</f>
        <v>0</v>
      </c>
      <c r="AC1954" s="580">
        <f>HLOOKUP("*"&amp;'Output annual'!$AC$2&amp;'Output annual'!$AD$2&amp;"*FangerPMV(Hourly)",'Eplus results'!$1:$1048576,ROW(),FALSE)</f>
        <v>0</v>
      </c>
      <c r="AD1954" s="580">
        <f t="shared" si="186"/>
        <v>5</v>
      </c>
      <c r="AE1954" s="580">
        <f t="shared" si="187"/>
        <v>2.5</v>
      </c>
      <c r="AF1954" s="580">
        <f t="shared" si="188"/>
        <v>2.5</v>
      </c>
      <c r="AG1954" s="580">
        <f t="shared" si="189"/>
        <v>0</v>
      </c>
      <c r="AH1954" s="580">
        <f t="shared" si="190"/>
        <v>0</v>
      </c>
    </row>
    <row r="1955" spans="28:34">
      <c r="AB1955" s="580">
        <f>HLOOKUP("*"&amp;'Output annual'!$AC$2&amp;'Output annual'!$AD$2&amp;"*Zone People Number Of Occupants [](Hourly)",'Eplus results'!$1:$1048576,ROW(),FALSE)</f>
        <v>0</v>
      </c>
      <c r="AC1955" s="580">
        <f>HLOOKUP("*"&amp;'Output annual'!$AC$2&amp;'Output annual'!$AD$2&amp;"*FangerPMV(Hourly)",'Eplus results'!$1:$1048576,ROW(),FALSE)</f>
        <v>0</v>
      </c>
      <c r="AD1955" s="580">
        <f t="shared" si="186"/>
        <v>5</v>
      </c>
      <c r="AE1955" s="580">
        <f t="shared" si="187"/>
        <v>2.5</v>
      </c>
      <c r="AF1955" s="580">
        <f t="shared" si="188"/>
        <v>2.5</v>
      </c>
      <c r="AG1955" s="580">
        <f t="shared" si="189"/>
        <v>0</v>
      </c>
      <c r="AH1955" s="580">
        <f t="shared" si="190"/>
        <v>0</v>
      </c>
    </row>
    <row r="1956" spans="28:34">
      <c r="AB1956" s="580">
        <f>HLOOKUP("*"&amp;'Output annual'!$AC$2&amp;'Output annual'!$AD$2&amp;"*Zone People Number Of Occupants [](Hourly)",'Eplus results'!$1:$1048576,ROW(),FALSE)</f>
        <v>0</v>
      </c>
      <c r="AC1956" s="580">
        <f>HLOOKUP("*"&amp;'Output annual'!$AC$2&amp;'Output annual'!$AD$2&amp;"*FangerPMV(Hourly)",'Eplus results'!$1:$1048576,ROW(),FALSE)</f>
        <v>0</v>
      </c>
      <c r="AD1956" s="580">
        <f t="shared" si="186"/>
        <v>5</v>
      </c>
      <c r="AE1956" s="580">
        <f t="shared" si="187"/>
        <v>2.5</v>
      </c>
      <c r="AF1956" s="580">
        <f t="shared" si="188"/>
        <v>2.5</v>
      </c>
      <c r="AG1956" s="580">
        <f t="shared" si="189"/>
        <v>0</v>
      </c>
      <c r="AH1956" s="580">
        <f t="shared" si="190"/>
        <v>0</v>
      </c>
    </row>
    <row r="1957" spans="28:34">
      <c r="AB1957" s="580">
        <f>HLOOKUP("*"&amp;'Output annual'!$AC$2&amp;'Output annual'!$AD$2&amp;"*Zone People Number Of Occupants [](Hourly)",'Eplus results'!$1:$1048576,ROW(),FALSE)</f>
        <v>0</v>
      </c>
      <c r="AC1957" s="580">
        <f>HLOOKUP("*"&amp;'Output annual'!$AC$2&amp;'Output annual'!$AD$2&amp;"*FangerPMV(Hourly)",'Eplus results'!$1:$1048576,ROW(),FALSE)</f>
        <v>0</v>
      </c>
      <c r="AD1957" s="580">
        <f t="shared" si="186"/>
        <v>5</v>
      </c>
      <c r="AE1957" s="580">
        <f t="shared" si="187"/>
        <v>2.5</v>
      </c>
      <c r="AF1957" s="580">
        <f t="shared" si="188"/>
        <v>2.5</v>
      </c>
      <c r="AG1957" s="580">
        <f t="shared" si="189"/>
        <v>0</v>
      </c>
      <c r="AH1957" s="580">
        <f t="shared" si="190"/>
        <v>0</v>
      </c>
    </row>
    <row r="1958" spans="28:34">
      <c r="AB1958" s="580">
        <f>HLOOKUP("*"&amp;'Output annual'!$AC$2&amp;'Output annual'!$AD$2&amp;"*Zone People Number Of Occupants [](Hourly)",'Eplus results'!$1:$1048576,ROW(),FALSE)</f>
        <v>0</v>
      </c>
      <c r="AC1958" s="580">
        <f>HLOOKUP("*"&amp;'Output annual'!$AC$2&amp;'Output annual'!$AD$2&amp;"*FangerPMV(Hourly)",'Eplus results'!$1:$1048576,ROW(),FALSE)</f>
        <v>0</v>
      </c>
      <c r="AD1958" s="580">
        <f t="shared" si="186"/>
        <v>5</v>
      </c>
      <c r="AE1958" s="580">
        <f t="shared" si="187"/>
        <v>2.5</v>
      </c>
      <c r="AF1958" s="580">
        <f t="shared" si="188"/>
        <v>2.5</v>
      </c>
      <c r="AG1958" s="580">
        <f t="shared" si="189"/>
        <v>0</v>
      </c>
      <c r="AH1958" s="580">
        <f t="shared" si="190"/>
        <v>0</v>
      </c>
    </row>
    <row r="1959" spans="28:34">
      <c r="AB1959" s="580">
        <f>HLOOKUP("*"&amp;'Output annual'!$AC$2&amp;'Output annual'!$AD$2&amp;"*Zone People Number Of Occupants [](Hourly)",'Eplus results'!$1:$1048576,ROW(),FALSE)</f>
        <v>0</v>
      </c>
      <c r="AC1959" s="580">
        <f>HLOOKUP("*"&amp;'Output annual'!$AC$2&amp;'Output annual'!$AD$2&amp;"*FangerPMV(Hourly)",'Eplus results'!$1:$1048576,ROW(),FALSE)</f>
        <v>0</v>
      </c>
      <c r="AD1959" s="580">
        <f t="shared" si="186"/>
        <v>5</v>
      </c>
      <c r="AE1959" s="580">
        <f t="shared" si="187"/>
        <v>2.5</v>
      </c>
      <c r="AF1959" s="580">
        <f t="shared" si="188"/>
        <v>2.5</v>
      </c>
      <c r="AG1959" s="580">
        <f t="shared" si="189"/>
        <v>0</v>
      </c>
      <c r="AH1959" s="580">
        <f t="shared" si="190"/>
        <v>0</v>
      </c>
    </row>
    <row r="1960" spans="28:34">
      <c r="AB1960" s="580">
        <f>HLOOKUP("*"&amp;'Output annual'!$AC$2&amp;'Output annual'!$AD$2&amp;"*Zone People Number Of Occupants [](Hourly)",'Eplus results'!$1:$1048576,ROW(),FALSE)</f>
        <v>0</v>
      </c>
      <c r="AC1960" s="580">
        <f>HLOOKUP("*"&amp;'Output annual'!$AC$2&amp;'Output annual'!$AD$2&amp;"*FangerPMV(Hourly)",'Eplus results'!$1:$1048576,ROW(),FALSE)</f>
        <v>0</v>
      </c>
      <c r="AD1960" s="580">
        <f t="shared" si="186"/>
        <v>5</v>
      </c>
      <c r="AE1960" s="580">
        <f t="shared" si="187"/>
        <v>2.5</v>
      </c>
      <c r="AF1960" s="580">
        <f t="shared" si="188"/>
        <v>2.5</v>
      </c>
      <c r="AG1960" s="580">
        <f t="shared" si="189"/>
        <v>0</v>
      </c>
      <c r="AH1960" s="580">
        <f t="shared" si="190"/>
        <v>0</v>
      </c>
    </row>
    <row r="1961" spans="28:34">
      <c r="AB1961" s="580">
        <f>HLOOKUP("*"&amp;'Output annual'!$AC$2&amp;'Output annual'!$AD$2&amp;"*Zone People Number Of Occupants [](Hourly)",'Eplus results'!$1:$1048576,ROW(),FALSE)</f>
        <v>0</v>
      </c>
      <c r="AC1961" s="580">
        <f>HLOOKUP("*"&amp;'Output annual'!$AC$2&amp;'Output annual'!$AD$2&amp;"*FangerPMV(Hourly)",'Eplus results'!$1:$1048576,ROW(),FALSE)</f>
        <v>0</v>
      </c>
      <c r="AD1961" s="580">
        <f t="shared" si="186"/>
        <v>5</v>
      </c>
      <c r="AE1961" s="580">
        <f t="shared" si="187"/>
        <v>2.5</v>
      </c>
      <c r="AF1961" s="580">
        <f t="shared" si="188"/>
        <v>2.5</v>
      </c>
      <c r="AG1961" s="580">
        <f t="shared" si="189"/>
        <v>0</v>
      </c>
      <c r="AH1961" s="580">
        <f t="shared" si="190"/>
        <v>0</v>
      </c>
    </row>
    <row r="1962" spans="28:34">
      <c r="AB1962" s="580">
        <f>HLOOKUP("*"&amp;'Output annual'!$AC$2&amp;'Output annual'!$AD$2&amp;"*Zone People Number Of Occupants [](Hourly)",'Eplus results'!$1:$1048576,ROW(),FALSE)</f>
        <v>0</v>
      </c>
      <c r="AC1962" s="580">
        <f>HLOOKUP("*"&amp;'Output annual'!$AC$2&amp;'Output annual'!$AD$2&amp;"*FangerPMV(Hourly)",'Eplus results'!$1:$1048576,ROW(),FALSE)</f>
        <v>0</v>
      </c>
      <c r="AD1962" s="580">
        <f t="shared" si="186"/>
        <v>5</v>
      </c>
      <c r="AE1962" s="580">
        <f t="shared" si="187"/>
        <v>2.5</v>
      </c>
      <c r="AF1962" s="580">
        <f t="shared" si="188"/>
        <v>2.5</v>
      </c>
      <c r="AG1962" s="580">
        <f t="shared" si="189"/>
        <v>0</v>
      </c>
      <c r="AH1962" s="580">
        <f t="shared" si="190"/>
        <v>0</v>
      </c>
    </row>
    <row r="1963" spans="28:34">
      <c r="AB1963" s="580">
        <f>HLOOKUP("*"&amp;'Output annual'!$AC$2&amp;'Output annual'!$AD$2&amp;"*Zone People Number Of Occupants [](Hourly)",'Eplus results'!$1:$1048576,ROW(),FALSE)</f>
        <v>0</v>
      </c>
      <c r="AC1963" s="580">
        <f>HLOOKUP("*"&amp;'Output annual'!$AC$2&amp;'Output annual'!$AD$2&amp;"*FangerPMV(Hourly)",'Eplus results'!$1:$1048576,ROW(),FALSE)</f>
        <v>0</v>
      </c>
      <c r="AD1963" s="580">
        <f t="shared" si="186"/>
        <v>5</v>
      </c>
      <c r="AE1963" s="580">
        <f t="shared" si="187"/>
        <v>2.5</v>
      </c>
      <c r="AF1963" s="580">
        <f t="shared" si="188"/>
        <v>2.5</v>
      </c>
      <c r="AG1963" s="580">
        <f t="shared" si="189"/>
        <v>0</v>
      </c>
      <c r="AH1963" s="580">
        <f t="shared" si="190"/>
        <v>0</v>
      </c>
    </row>
    <row r="1964" spans="28:34">
      <c r="AB1964" s="580">
        <f>HLOOKUP("*"&amp;'Output annual'!$AC$2&amp;'Output annual'!$AD$2&amp;"*Zone People Number Of Occupants [](Hourly)",'Eplus results'!$1:$1048576,ROW(),FALSE)</f>
        <v>0</v>
      </c>
      <c r="AC1964" s="580">
        <f>HLOOKUP("*"&amp;'Output annual'!$AC$2&amp;'Output annual'!$AD$2&amp;"*FangerPMV(Hourly)",'Eplus results'!$1:$1048576,ROW(),FALSE)</f>
        <v>0</v>
      </c>
      <c r="AD1964" s="580">
        <f t="shared" si="186"/>
        <v>5</v>
      </c>
      <c r="AE1964" s="580">
        <f t="shared" si="187"/>
        <v>2.5</v>
      </c>
      <c r="AF1964" s="580">
        <f t="shared" si="188"/>
        <v>2.5</v>
      </c>
      <c r="AG1964" s="580">
        <f t="shared" si="189"/>
        <v>0</v>
      </c>
      <c r="AH1964" s="580">
        <f t="shared" si="190"/>
        <v>0</v>
      </c>
    </row>
    <row r="1965" spans="28:34">
      <c r="AB1965" s="580">
        <f>HLOOKUP("*"&amp;'Output annual'!$AC$2&amp;'Output annual'!$AD$2&amp;"*Zone People Number Of Occupants [](Hourly)",'Eplus results'!$1:$1048576,ROW(),FALSE)</f>
        <v>0</v>
      </c>
      <c r="AC1965" s="580">
        <f>HLOOKUP("*"&amp;'Output annual'!$AC$2&amp;'Output annual'!$AD$2&amp;"*FangerPMV(Hourly)",'Eplus results'!$1:$1048576,ROW(),FALSE)</f>
        <v>0</v>
      </c>
      <c r="AD1965" s="580">
        <f t="shared" si="186"/>
        <v>5</v>
      </c>
      <c r="AE1965" s="580">
        <f t="shared" si="187"/>
        <v>2.5</v>
      </c>
      <c r="AF1965" s="580">
        <f t="shared" si="188"/>
        <v>2.5</v>
      </c>
      <c r="AG1965" s="580">
        <f t="shared" si="189"/>
        <v>0</v>
      </c>
      <c r="AH1965" s="580">
        <f t="shared" si="190"/>
        <v>0</v>
      </c>
    </row>
    <row r="1966" spans="28:34">
      <c r="AB1966" s="580">
        <f>HLOOKUP("*"&amp;'Output annual'!$AC$2&amp;'Output annual'!$AD$2&amp;"*Zone People Number Of Occupants [](Hourly)",'Eplus results'!$1:$1048576,ROW(),FALSE)</f>
        <v>0</v>
      </c>
      <c r="AC1966" s="580">
        <f>HLOOKUP("*"&amp;'Output annual'!$AC$2&amp;'Output annual'!$AD$2&amp;"*FangerPMV(Hourly)",'Eplus results'!$1:$1048576,ROW(),FALSE)</f>
        <v>0</v>
      </c>
      <c r="AD1966" s="580">
        <f t="shared" si="186"/>
        <v>5</v>
      </c>
      <c r="AE1966" s="580">
        <f t="shared" si="187"/>
        <v>2.5</v>
      </c>
      <c r="AF1966" s="580">
        <f t="shared" si="188"/>
        <v>2.5</v>
      </c>
      <c r="AG1966" s="580">
        <f t="shared" si="189"/>
        <v>0</v>
      </c>
      <c r="AH1966" s="580">
        <f t="shared" si="190"/>
        <v>0</v>
      </c>
    </row>
    <row r="1967" spans="28:34">
      <c r="AB1967" s="580">
        <f>HLOOKUP("*"&amp;'Output annual'!$AC$2&amp;'Output annual'!$AD$2&amp;"*Zone People Number Of Occupants [](Hourly)",'Eplus results'!$1:$1048576,ROW(),FALSE)</f>
        <v>0</v>
      </c>
      <c r="AC1967" s="580">
        <f>HLOOKUP("*"&amp;'Output annual'!$AC$2&amp;'Output annual'!$AD$2&amp;"*FangerPMV(Hourly)",'Eplus results'!$1:$1048576,ROW(),FALSE)</f>
        <v>0</v>
      </c>
      <c r="AD1967" s="580">
        <f t="shared" si="186"/>
        <v>5</v>
      </c>
      <c r="AE1967" s="580">
        <f t="shared" si="187"/>
        <v>2.5</v>
      </c>
      <c r="AF1967" s="580">
        <f t="shared" si="188"/>
        <v>2.5</v>
      </c>
      <c r="AG1967" s="580">
        <f t="shared" si="189"/>
        <v>0</v>
      </c>
      <c r="AH1967" s="580">
        <f t="shared" si="190"/>
        <v>0</v>
      </c>
    </row>
    <row r="1968" spans="28:34">
      <c r="AB1968" s="580">
        <f>HLOOKUP("*"&amp;'Output annual'!$AC$2&amp;'Output annual'!$AD$2&amp;"*Zone People Number Of Occupants [](Hourly)",'Eplus results'!$1:$1048576,ROW(),FALSE)</f>
        <v>0</v>
      </c>
      <c r="AC1968" s="580">
        <f>HLOOKUP("*"&amp;'Output annual'!$AC$2&amp;'Output annual'!$AD$2&amp;"*FangerPMV(Hourly)",'Eplus results'!$1:$1048576,ROW(),FALSE)</f>
        <v>0</v>
      </c>
      <c r="AD1968" s="580">
        <f t="shared" si="186"/>
        <v>5</v>
      </c>
      <c r="AE1968" s="580">
        <f t="shared" si="187"/>
        <v>2.5</v>
      </c>
      <c r="AF1968" s="580">
        <f t="shared" si="188"/>
        <v>2.5</v>
      </c>
      <c r="AG1968" s="580">
        <f t="shared" si="189"/>
        <v>0</v>
      </c>
      <c r="AH1968" s="580">
        <f t="shared" si="190"/>
        <v>0</v>
      </c>
    </row>
    <row r="1969" spans="28:34">
      <c r="AB1969" s="580">
        <f>HLOOKUP("*"&amp;'Output annual'!$AC$2&amp;'Output annual'!$AD$2&amp;"*Zone People Number Of Occupants [](Hourly)",'Eplus results'!$1:$1048576,ROW(),FALSE)</f>
        <v>0</v>
      </c>
      <c r="AC1969" s="580">
        <f>HLOOKUP("*"&amp;'Output annual'!$AC$2&amp;'Output annual'!$AD$2&amp;"*FangerPMV(Hourly)",'Eplus results'!$1:$1048576,ROW(),FALSE)</f>
        <v>0</v>
      </c>
      <c r="AD1969" s="580">
        <f t="shared" si="186"/>
        <v>5</v>
      </c>
      <c r="AE1969" s="580">
        <f t="shared" si="187"/>
        <v>2.5</v>
      </c>
      <c r="AF1969" s="580">
        <f t="shared" si="188"/>
        <v>2.5</v>
      </c>
      <c r="AG1969" s="580">
        <f t="shared" si="189"/>
        <v>0</v>
      </c>
      <c r="AH1969" s="580">
        <f t="shared" si="190"/>
        <v>0</v>
      </c>
    </row>
    <row r="1970" spans="28:34">
      <c r="AB1970" s="580">
        <f>HLOOKUP("*"&amp;'Output annual'!$AC$2&amp;'Output annual'!$AD$2&amp;"*Zone People Number Of Occupants [](Hourly)",'Eplus results'!$1:$1048576,ROW(),FALSE)</f>
        <v>0</v>
      </c>
      <c r="AC1970" s="580">
        <f>HLOOKUP("*"&amp;'Output annual'!$AC$2&amp;'Output annual'!$AD$2&amp;"*FangerPMV(Hourly)",'Eplus results'!$1:$1048576,ROW(),FALSE)</f>
        <v>0</v>
      </c>
      <c r="AD1970" s="580">
        <f t="shared" si="186"/>
        <v>5</v>
      </c>
      <c r="AE1970" s="580">
        <f t="shared" si="187"/>
        <v>2.5</v>
      </c>
      <c r="AF1970" s="580">
        <f t="shared" si="188"/>
        <v>2.5</v>
      </c>
      <c r="AG1970" s="580">
        <f t="shared" si="189"/>
        <v>0</v>
      </c>
      <c r="AH1970" s="580">
        <f t="shared" si="190"/>
        <v>0</v>
      </c>
    </row>
    <row r="1971" spans="28:34">
      <c r="AB1971" s="580">
        <f>HLOOKUP("*"&amp;'Output annual'!$AC$2&amp;'Output annual'!$AD$2&amp;"*Zone People Number Of Occupants [](Hourly)",'Eplus results'!$1:$1048576,ROW(),FALSE)</f>
        <v>0</v>
      </c>
      <c r="AC1971" s="580">
        <f>HLOOKUP("*"&amp;'Output annual'!$AC$2&amp;'Output annual'!$AD$2&amp;"*FangerPMV(Hourly)",'Eplus results'!$1:$1048576,ROW(),FALSE)</f>
        <v>0</v>
      </c>
      <c r="AD1971" s="580">
        <f t="shared" si="186"/>
        <v>5</v>
      </c>
      <c r="AE1971" s="580">
        <f t="shared" si="187"/>
        <v>2.5</v>
      </c>
      <c r="AF1971" s="580">
        <f t="shared" si="188"/>
        <v>2.5</v>
      </c>
      <c r="AG1971" s="580">
        <f t="shared" si="189"/>
        <v>0</v>
      </c>
      <c r="AH1971" s="580">
        <f t="shared" si="190"/>
        <v>0</v>
      </c>
    </row>
    <row r="1972" spans="28:34">
      <c r="AB1972" s="580">
        <f>HLOOKUP("*"&amp;'Output annual'!$AC$2&amp;'Output annual'!$AD$2&amp;"*Zone People Number Of Occupants [](Hourly)",'Eplus results'!$1:$1048576,ROW(),FALSE)</f>
        <v>0</v>
      </c>
      <c r="AC1972" s="580">
        <f>HLOOKUP("*"&amp;'Output annual'!$AC$2&amp;'Output annual'!$AD$2&amp;"*FangerPMV(Hourly)",'Eplus results'!$1:$1048576,ROW(),FALSE)</f>
        <v>0</v>
      </c>
      <c r="AD1972" s="580">
        <f t="shared" si="186"/>
        <v>5</v>
      </c>
      <c r="AE1972" s="580">
        <f t="shared" si="187"/>
        <v>2.5</v>
      </c>
      <c r="AF1972" s="580">
        <f t="shared" si="188"/>
        <v>2.5</v>
      </c>
      <c r="AG1972" s="580">
        <f t="shared" si="189"/>
        <v>0</v>
      </c>
      <c r="AH1972" s="580">
        <f t="shared" si="190"/>
        <v>0</v>
      </c>
    </row>
    <row r="1973" spans="28:34">
      <c r="AB1973" s="580">
        <f>HLOOKUP("*"&amp;'Output annual'!$AC$2&amp;'Output annual'!$AD$2&amp;"*Zone People Number Of Occupants [](Hourly)",'Eplus results'!$1:$1048576,ROW(),FALSE)</f>
        <v>0</v>
      </c>
      <c r="AC1973" s="580">
        <f>HLOOKUP("*"&amp;'Output annual'!$AC$2&amp;'Output annual'!$AD$2&amp;"*FangerPMV(Hourly)",'Eplus results'!$1:$1048576,ROW(),FALSE)</f>
        <v>0</v>
      </c>
      <c r="AD1973" s="580">
        <f t="shared" si="186"/>
        <v>5</v>
      </c>
      <c r="AE1973" s="580">
        <f t="shared" si="187"/>
        <v>2.5</v>
      </c>
      <c r="AF1973" s="580">
        <f t="shared" si="188"/>
        <v>2.5</v>
      </c>
      <c r="AG1973" s="580">
        <f t="shared" si="189"/>
        <v>0</v>
      </c>
      <c r="AH1973" s="580">
        <f t="shared" si="190"/>
        <v>0</v>
      </c>
    </row>
    <row r="1974" spans="28:34">
      <c r="AB1974" s="580">
        <f>HLOOKUP("*"&amp;'Output annual'!$AC$2&amp;'Output annual'!$AD$2&amp;"*Zone People Number Of Occupants [](Hourly)",'Eplus results'!$1:$1048576,ROW(),FALSE)</f>
        <v>0</v>
      </c>
      <c r="AC1974" s="580">
        <f>HLOOKUP("*"&amp;'Output annual'!$AC$2&amp;'Output annual'!$AD$2&amp;"*FangerPMV(Hourly)",'Eplus results'!$1:$1048576,ROW(),FALSE)</f>
        <v>0</v>
      </c>
      <c r="AD1974" s="580">
        <f t="shared" si="186"/>
        <v>5</v>
      </c>
      <c r="AE1974" s="580">
        <f t="shared" si="187"/>
        <v>2.5</v>
      </c>
      <c r="AF1974" s="580">
        <f t="shared" si="188"/>
        <v>2.5</v>
      </c>
      <c r="AG1974" s="580">
        <f t="shared" si="189"/>
        <v>0</v>
      </c>
      <c r="AH1974" s="580">
        <f t="shared" si="190"/>
        <v>0</v>
      </c>
    </row>
    <row r="1975" spans="28:34">
      <c r="AB1975" s="580">
        <f>HLOOKUP("*"&amp;'Output annual'!$AC$2&amp;'Output annual'!$AD$2&amp;"*Zone People Number Of Occupants [](Hourly)",'Eplus results'!$1:$1048576,ROW(),FALSE)</f>
        <v>0</v>
      </c>
      <c r="AC1975" s="580">
        <f>HLOOKUP("*"&amp;'Output annual'!$AC$2&amp;'Output annual'!$AD$2&amp;"*FangerPMV(Hourly)",'Eplus results'!$1:$1048576,ROW(),FALSE)</f>
        <v>0</v>
      </c>
      <c r="AD1975" s="580">
        <f t="shared" si="186"/>
        <v>5</v>
      </c>
      <c r="AE1975" s="580">
        <f t="shared" si="187"/>
        <v>2.5</v>
      </c>
      <c r="AF1975" s="580">
        <f t="shared" si="188"/>
        <v>2.5</v>
      </c>
      <c r="AG1975" s="580">
        <f t="shared" si="189"/>
        <v>0</v>
      </c>
      <c r="AH1975" s="580">
        <f t="shared" si="190"/>
        <v>0</v>
      </c>
    </row>
    <row r="1976" spans="28:34">
      <c r="AB1976" s="580">
        <f>HLOOKUP("*"&amp;'Output annual'!$AC$2&amp;'Output annual'!$AD$2&amp;"*Zone People Number Of Occupants [](Hourly)",'Eplus results'!$1:$1048576,ROW(),FALSE)</f>
        <v>0</v>
      </c>
      <c r="AC1976" s="580">
        <f>HLOOKUP("*"&amp;'Output annual'!$AC$2&amp;'Output annual'!$AD$2&amp;"*FangerPMV(Hourly)",'Eplus results'!$1:$1048576,ROW(),FALSE)</f>
        <v>0</v>
      </c>
      <c r="AD1976" s="580">
        <f t="shared" si="186"/>
        <v>5</v>
      </c>
      <c r="AE1976" s="580">
        <f t="shared" si="187"/>
        <v>2.5</v>
      </c>
      <c r="AF1976" s="580">
        <f t="shared" si="188"/>
        <v>2.5</v>
      </c>
      <c r="AG1976" s="580">
        <f t="shared" si="189"/>
        <v>0</v>
      </c>
      <c r="AH1976" s="580">
        <f t="shared" si="190"/>
        <v>0</v>
      </c>
    </row>
    <row r="1977" spans="28:34">
      <c r="AB1977" s="580">
        <f>HLOOKUP("*"&amp;'Output annual'!$AC$2&amp;'Output annual'!$AD$2&amp;"*Zone People Number Of Occupants [](Hourly)",'Eplus results'!$1:$1048576,ROW(),FALSE)</f>
        <v>0</v>
      </c>
      <c r="AC1977" s="580">
        <f>HLOOKUP("*"&amp;'Output annual'!$AC$2&amp;'Output annual'!$AD$2&amp;"*FangerPMV(Hourly)",'Eplus results'!$1:$1048576,ROW(),FALSE)</f>
        <v>0</v>
      </c>
      <c r="AD1977" s="580">
        <f t="shared" si="186"/>
        <v>5</v>
      </c>
      <c r="AE1977" s="580">
        <f t="shared" si="187"/>
        <v>2.5</v>
      </c>
      <c r="AF1977" s="580">
        <f t="shared" si="188"/>
        <v>2.5</v>
      </c>
      <c r="AG1977" s="580">
        <f t="shared" si="189"/>
        <v>0</v>
      </c>
      <c r="AH1977" s="580">
        <f t="shared" si="190"/>
        <v>0</v>
      </c>
    </row>
    <row r="1978" spans="28:34">
      <c r="AB1978" s="580">
        <f>HLOOKUP("*"&amp;'Output annual'!$AC$2&amp;'Output annual'!$AD$2&amp;"*Zone People Number Of Occupants [](Hourly)",'Eplus results'!$1:$1048576,ROW(),FALSE)</f>
        <v>0</v>
      </c>
      <c r="AC1978" s="580">
        <f>HLOOKUP("*"&amp;'Output annual'!$AC$2&amp;'Output annual'!$AD$2&amp;"*FangerPMV(Hourly)",'Eplus results'!$1:$1048576,ROW(),FALSE)</f>
        <v>0</v>
      </c>
      <c r="AD1978" s="580">
        <f t="shared" si="186"/>
        <v>5</v>
      </c>
      <c r="AE1978" s="580">
        <f t="shared" si="187"/>
        <v>2.5</v>
      </c>
      <c r="AF1978" s="580">
        <f t="shared" si="188"/>
        <v>2.5</v>
      </c>
      <c r="AG1978" s="580">
        <f t="shared" si="189"/>
        <v>0</v>
      </c>
      <c r="AH1978" s="580">
        <f t="shared" si="190"/>
        <v>0</v>
      </c>
    </row>
    <row r="1979" spans="28:34">
      <c r="AB1979" s="580">
        <f>HLOOKUP("*"&amp;'Output annual'!$AC$2&amp;'Output annual'!$AD$2&amp;"*Zone People Number Of Occupants [](Hourly)",'Eplus results'!$1:$1048576,ROW(),FALSE)</f>
        <v>0</v>
      </c>
      <c r="AC1979" s="580">
        <f>HLOOKUP("*"&amp;'Output annual'!$AC$2&amp;'Output annual'!$AD$2&amp;"*FangerPMV(Hourly)",'Eplus results'!$1:$1048576,ROW(),FALSE)</f>
        <v>0</v>
      </c>
      <c r="AD1979" s="580">
        <f t="shared" si="186"/>
        <v>5</v>
      </c>
      <c r="AE1979" s="580">
        <f t="shared" si="187"/>
        <v>2.5</v>
      </c>
      <c r="AF1979" s="580">
        <f t="shared" si="188"/>
        <v>2.5</v>
      </c>
      <c r="AG1979" s="580">
        <f t="shared" si="189"/>
        <v>0</v>
      </c>
      <c r="AH1979" s="580">
        <f t="shared" si="190"/>
        <v>0</v>
      </c>
    </row>
    <row r="1980" spans="28:34">
      <c r="AB1980" s="580">
        <f>HLOOKUP("*"&amp;'Output annual'!$AC$2&amp;'Output annual'!$AD$2&amp;"*Zone People Number Of Occupants [](Hourly)",'Eplus results'!$1:$1048576,ROW(),FALSE)</f>
        <v>0</v>
      </c>
      <c r="AC1980" s="580">
        <f>HLOOKUP("*"&amp;'Output annual'!$AC$2&amp;'Output annual'!$AD$2&amp;"*FangerPMV(Hourly)",'Eplus results'!$1:$1048576,ROW(),FALSE)</f>
        <v>0</v>
      </c>
      <c r="AD1980" s="580">
        <f t="shared" si="186"/>
        <v>5</v>
      </c>
      <c r="AE1980" s="580">
        <f t="shared" si="187"/>
        <v>2.5</v>
      </c>
      <c r="AF1980" s="580">
        <f t="shared" si="188"/>
        <v>2.5</v>
      </c>
      <c r="AG1980" s="580">
        <f t="shared" si="189"/>
        <v>0</v>
      </c>
      <c r="AH1980" s="580">
        <f t="shared" si="190"/>
        <v>0</v>
      </c>
    </row>
    <row r="1981" spans="28:34">
      <c r="AB1981" s="580">
        <f>HLOOKUP("*"&amp;'Output annual'!$AC$2&amp;'Output annual'!$AD$2&amp;"*Zone People Number Of Occupants [](Hourly)",'Eplus results'!$1:$1048576,ROW(),FALSE)</f>
        <v>0</v>
      </c>
      <c r="AC1981" s="580">
        <f>HLOOKUP("*"&amp;'Output annual'!$AC$2&amp;'Output annual'!$AD$2&amp;"*FangerPMV(Hourly)",'Eplus results'!$1:$1048576,ROW(),FALSE)</f>
        <v>0</v>
      </c>
      <c r="AD1981" s="580">
        <f t="shared" si="186"/>
        <v>5</v>
      </c>
      <c r="AE1981" s="580">
        <f t="shared" si="187"/>
        <v>2.5</v>
      </c>
      <c r="AF1981" s="580">
        <f t="shared" si="188"/>
        <v>2.5</v>
      </c>
      <c r="AG1981" s="580">
        <f t="shared" si="189"/>
        <v>0</v>
      </c>
      <c r="AH1981" s="580">
        <f t="shared" si="190"/>
        <v>0</v>
      </c>
    </row>
    <row r="1982" spans="28:34">
      <c r="AB1982" s="580">
        <f>HLOOKUP("*"&amp;'Output annual'!$AC$2&amp;'Output annual'!$AD$2&amp;"*Zone People Number Of Occupants [](Hourly)",'Eplus results'!$1:$1048576,ROW(),FALSE)</f>
        <v>0</v>
      </c>
      <c r="AC1982" s="580">
        <f>HLOOKUP("*"&amp;'Output annual'!$AC$2&amp;'Output annual'!$AD$2&amp;"*FangerPMV(Hourly)",'Eplus results'!$1:$1048576,ROW(),FALSE)</f>
        <v>0</v>
      </c>
      <c r="AD1982" s="580">
        <f t="shared" si="186"/>
        <v>5</v>
      </c>
      <c r="AE1982" s="580">
        <f t="shared" si="187"/>
        <v>2.5</v>
      </c>
      <c r="AF1982" s="580">
        <f t="shared" si="188"/>
        <v>2.5</v>
      </c>
      <c r="AG1982" s="580">
        <f t="shared" si="189"/>
        <v>0</v>
      </c>
      <c r="AH1982" s="580">
        <f t="shared" si="190"/>
        <v>0</v>
      </c>
    </row>
    <row r="1983" spans="28:34">
      <c r="AB1983" s="580">
        <f>HLOOKUP("*"&amp;'Output annual'!$AC$2&amp;'Output annual'!$AD$2&amp;"*Zone People Number Of Occupants [](Hourly)",'Eplus results'!$1:$1048576,ROW(),FALSE)</f>
        <v>0</v>
      </c>
      <c r="AC1983" s="580">
        <f>HLOOKUP("*"&amp;'Output annual'!$AC$2&amp;'Output annual'!$AD$2&amp;"*FangerPMV(Hourly)",'Eplus results'!$1:$1048576,ROW(),FALSE)</f>
        <v>0</v>
      </c>
      <c r="AD1983" s="580">
        <f t="shared" si="186"/>
        <v>5</v>
      </c>
      <c r="AE1983" s="580">
        <f t="shared" si="187"/>
        <v>2.5</v>
      </c>
      <c r="AF1983" s="580">
        <f t="shared" si="188"/>
        <v>2.5</v>
      </c>
      <c r="AG1983" s="580">
        <f t="shared" si="189"/>
        <v>0</v>
      </c>
      <c r="AH1983" s="580">
        <f t="shared" si="190"/>
        <v>0</v>
      </c>
    </row>
    <row r="1984" spans="28:34">
      <c r="AB1984" s="580">
        <f>HLOOKUP("*"&amp;'Output annual'!$AC$2&amp;'Output annual'!$AD$2&amp;"*Zone People Number Of Occupants [](Hourly)",'Eplus results'!$1:$1048576,ROW(),FALSE)</f>
        <v>0</v>
      </c>
      <c r="AC1984" s="580">
        <f>HLOOKUP("*"&amp;'Output annual'!$AC$2&amp;'Output annual'!$AD$2&amp;"*FangerPMV(Hourly)",'Eplus results'!$1:$1048576,ROW(),FALSE)</f>
        <v>0</v>
      </c>
      <c r="AD1984" s="580">
        <f t="shared" si="186"/>
        <v>5</v>
      </c>
      <c r="AE1984" s="580">
        <f t="shared" si="187"/>
        <v>2.5</v>
      </c>
      <c r="AF1984" s="580">
        <f t="shared" si="188"/>
        <v>2.5</v>
      </c>
      <c r="AG1984" s="580">
        <f t="shared" si="189"/>
        <v>0</v>
      </c>
      <c r="AH1984" s="580">
        <f t="shared" si="190"/>
        <v>0</v>
      </c>
    </row>
    <row r="1985" spans="28:34">
      <c r="AB1985" s="580">
        <f>HLOOKUP("*"&amp;'Output annual'!$AC$2&amp;'Output annual'!$AD$2&amp;"*Zone People Number Of Occupants [](Hourly)",'Eplus results'!$1:$1048576,ROW(),FALSE)</f>
        <v>0</v>
      </c>
      <c r="AC1985" s="580">
        <f>HLOOKUP("*"&amp;'Output annual'!$AC$2&amp;'Output annual'!$AD$2&amp;"*FangerPMV(Hourly)",'Eplus results'!$1:$1048576,ROW(),FALSE)</f>
        <v>0</v>
      </c>
      <c r="AD1985" s="580">
        <f t="shared" si="186"/>
        <v>5</v>
      </c>
      <c r="AE1985" s="580">
        <f t="shared" si="187"/>
        <v>2.5</v>
      </c>
      <c r="AF1985" s="580">
        <f t="shared" si="188"/>
        <v>2.5</v>
      </c>
      <c r="AG1985" s="580">
        <f t="shared" si="189"/>
        <v>0</v>
      </c>
      <c r="AH1985" s="580">
        <f t="shared" si="190"/>
        <v>0</v>
      </c>
    </row>
    <row r="1986" spans="28:34">
      <c r="AB1986" s="580">
        <f>HLOOKUP("*"&amp;'Output annual'!$AC$2&amp;'Output annual'!$AD$2&amp;"*Zone People Number Of Occupants [](Hourly)",'Eplus results'!$1:$1048576,ROW(),FALSE)</f>
        <v>0</v>
      </c>
      <c r="AC1986" s="580">
        <f>HLOOKUP("*"&amp;'Output annual'!$AC$2&amp;'Output annual'!$AD$2&amp;"*FangerPMV(Hourly)",'Eplus results'!$1:$1048576,ROW(),FALSE)</f>
        <v>0</v>
      </c>
      <c r="AD1986" s="580">
        <f t="shared" si="186"/>
        <v>5</v>
      </c>
      <c r="AE1986" s="580">
        <f t="shared" si="187"/>
        <v>2.5</v>
      </c>
      <c r="AF1986" s="580">
        <f t="shared" si="188"/>
        <v>2.5</v>
      </c>
      <c r="AG1986" s="580">
        <f t="shared" si="189"/>
        <v>0</v>
      </c>
      <c r="AH1986" s="580">
        <f t="shared" si="190"/>
        <v>0</v>
      </c>
    </row>
    <row r="1987" spans="28:34">
      <c r="AB1987" s="580">
        <f>HLOOKUP("*"&amp;'Output annual'!$AC$2&amp;'Output annual'!$AD$2&amp;"*Zone People Number Of Occupants [](Hourly)",'Eplus results'!$1:$1048576,ROW(),FALSE)</f>
        <v>0</v>
      </c>
      <c r="AC1987" s="580">
        <f>HLOOKUP("*"&amp;'Output annual'!$AC$2&amp;'Output annual'!$AD$2&amp;"*FangerPMV(Hourly)",'Eplus results'!$1:$1048576,ROW(),FALSE)</f>
        <v>0</v>
      </c>
      <c r="AD1987" s="580">
        <f t="shared" ref="AD1987:AD2050" si="191">100-95*EXP(-0.03353*AC1987^4-0.2179*AC1987^2)</f>
        <v>5</v>
      </c>
      <c r="AE1987" s="580">
        <f t="shared" ref="AE1987:AE2050" si="192">AD1987*(1/(1+EXP(-6.3*$AC1987)))</f>
        <v>2.5</v>
      </c>
      <c r="AF1987" s="580">
        <f t="shared" ref="AF1987:AF2050" si="193">(AD1987-AE1987)</f>
        <v>2.5</v>
      </c>
      <c r="AG1987" s="580">
        <f t="shared" ref="AG1987:AG2050" si="194">AE1987*AB1987</f>
        <v>0</v>
      </c>
      <c r="AH1987" s="580">
        <f t="shared" ref="AH1987:AH2050" si="195">AF1987*AB1987</f>
        <v>0</v>
      </c>
    </row>
    <row r="1988" spans="28:34">
      <c r="AB1988" s="580">
        <f>HLOOKUP("*"&amp;'Output annual'!$AC$2&amp;'Output annual'!$AD$2&amp;"*Zone People Number Of Occupants [](Hourly)",'Eplus results'!$1:$1048576,ROW(),FALSE)</f>
        <v>0</v>
      </c>
      <c r="AC1988" s="580">
        <f>HLOOKUP("*"&amp;'Output annual'!$AC$2&amp;'Output annual'!$AD$2&amp;"*FangerPMV(Hourly)",'Eplus results'!$1:$1048576,ROW(),FALSE)</f>
        <v>0</v>
      </c>
      <c r="AD1988" s="580">
        <f t="shared" si="191"/>
        <v>5</v>
      </c>
      <c r="AE1988" s="580">
        <f t="shared" si="192"/>
        <v>2.5</v>
      </c>
      <c r="AF1988" s="580">
        <f t="shared" si="193"/>
        <v>2.5</v>
      </c>
      <c r="AG1988" s="580">
        <f t="shared" si="194"/>
        <v>0</v>
      </c>
      <c r="AH1988" s="580">
        <f t="shared" si="195"/>
        <v>0</v>
      </c>
    </row>
    <row r="1989" spans="28:34">
      <c r="AB1989" s="580">
        <f>HLOOKUP("*"&amp;'Output annual'!$AC$2&amp;'Output annual'!$AD$2&amp;"*Zone People Number Of Occupants [](Hourly)",'Eplus results'!$1:$1048576,ROW(),FALSE)</f>
        <v>0</v>
      </c>
      <c r="AC1989" s="580">
        <f>HLOOKUP("*"&amp;'Output annual'!$AC$2&amp;'Output annual'!$AD$2&amp;"*FangerPMV(Hourly)",'Eplus results'!$1:$1048576,ROW(),FALSE)</f>
        <v>0</v>
      </c>
      <c r="AD1989" s="580">
        <f t="shared" si="191"/>
        <v>5</v>
      </c>
      <c r="AE1989" s="580">
        <f t="shared" si="192"/>
        <v>2.5</v>
      </c>
      <c r="AF1989" s="580">
        <f t="shared" si="193"/>
        <v>2.5</v>
      </c>
      <c r="AG1989" s="580">
        <f t="shared" si="194"/>
        <v>0</v>
      </c>
      <c r="AH1989" s="580">
        <f t="shared" si="195"/>
        <v>0</v>
      </c>
    </row>
    <row r="1990" spans="28:34">
      <c r="AB1990" s="580">
        <f>HLOOKUP("*"&amp;'Output annual'!$AC$2&amp;'Output annual'!$AD$2&amp;"*Zone People Number Of Occupants [](Hourly)",'Eplus results'!$1:$1048576,ROW(),FALSE)</f>
        <v>0</v>
      </c>
      <c r="AC1990" s="580">
        <f>HLOOKUP("*"&amp;'Output annual'!$AC$2&amp;'Output annual'!$AD$2&amp;"*FangerPMV(Hourly)",'Eplus results'!$1:$1048576,ROW(),FALSE)</f>
        <v>0</v>
      </c>
      <c r="AD1990" s="580">
        <f t="shared" si="191"/>
        <v>5</v>
      </c>
      <c r="AE1990" s="580">
        <f t="shared" si="192"/>
        <v>2.5</v>
      </c>
      <c r="AF1990" s="580">
        <f t="shared" si="193"/>
        <v>2.5</v>
      </c>
      <c r="AG1990" s="580">
        <f t="shared" si="194"/>
        <v>0</v>
      </c>
      <c r="AH1990" s="580">
        <f t="shared" si="195"/>
        <v>0</v>
      </c>
    </row>
    <row r="1991" spans="28:34">
      <c r="AB1991" s="580">
        <f>HLOOKUP("*"&amp;'Output annual'!$AC$2&amp;'Output annual'!$AD$2&amp;"*Zone People Number Of Occupants [](Hourly)",'Eplus results'!$1:$1048576,ROW(),FALSE)</f>
        <v>0</v>
      </c>
      <c r="AC1991" s="580">
        <f>HLOOKUP("*"&amp;'Output annual'!$AC$2&amp;'Output annual'!$AD$2&amp;"*FangerPMV(Hourly)",'Eplus results'!$1:$1048576,ROW(),FALSE)</f>
        <v>0</v>
      </c>
      <c r="AD1991" s="580">
        <f t="shared" si="191"/>
        <v>5</v>
      </c>
      <c r="AE1991" s="580">
        <f t="shared" si="192"/>
        <v>2.5</v>
      </c>
      <c r="AF1991" s="580">
        <f t="shared" si="193"/>
        <v>2.5</v>
      </c>
      <c r="AG1991" s="580">
        <f t="shared" si="194"/>
        <v>0</v>
      </c>
      <c r="AH1991" s="580">
        <f t="shared" si="195"/>
        <v>0</v>
      </c>
    </row>
    <row r="1992" spans="28:34">
      <c r="AB1992" s="580">
        <f>HLOOKUP("*"&amp;'Output annual'!$AC$2&amp;'Output annual'!$AD$2&amp;"*Zone People Number Of Occupants [](Hourly)",'Eplus results'!$1:$1048576,ROW(),FALSE)</f>
        <v>0</v>
      </c>
      <c r="AC1992" s="580">
        <f>HLOOKUP("*"&amp;'Output annual'!$AC$2&amp;'Output annual'!$AD$2&amp;"*FangerPMV(Hourly)",'Eplus results'!$1:$1048576,ROW(),FALSE)</f>
        <v>0</v>
      </c>
      <c r="AD1992" s="580">
        <f t="shared" si="191"/>
        <v>5</v>
      </c>
      <c r="AE1992" s="580">
        <f t="shared" si="192"/>
        <v>2.5</v>
      </c>
      <c r="AF1992" s="580">
        <f t="shared" si="193"/>
        <v>2.5</v>
      </c>
      <c r="AG1992" s="580">
        <f t="shared" si="194"/>
        <v>0</v>
      </c>
      <c r="AH1992" s="580">
        <f t="shared" si="195"/>
        <v>0</v>
      </c>
    </row>
    <row r="1993" spans="28:34">
      <c r="AB1993" s="580">
        <f>HLOOKUP("*"&amp;'Output annual'!$AC$2&amp;'Output annual'!$AD$2&amp;"*Zone People Number Of Occupants [](Hourly)",'Eplus results'!$1:$1048576,ROW(),FALSE)</f>
        <v>0</v>
      </c>
      <c r="AC1993" s="580">
        <f>HLOOKUP("*"&amp;'Output annual'!$AC$2&amp;'Output annual'!$AD$2&amp;"*FangerPMV(Hourly)",'Eplus results'!$1:$1048576,ROW(),FALSE)</f>
        <v>0</v>
      </c>
      <c r="AD1993" s="580">
        <f t="shared" si="191"/>
        <v>5</v>
      </c>
      <c r="AE1993" s="580">
        <f t="shared" si="192"/>
        <v>2.5</v>
      </c>
      <c r="AF1993" s="580">
        <f t="shared" si="193"/>
        <v>2.5</v>
      </c>
      <c r="AG1993" s="580">
        <f t="shared" si="194"/>
        <v>0</v>
      </c>
      <c r="AH1993" s="580">
        <f t="shared" si="195"/>
        <v>0</v>
      </c>
    </row>
    <row r="1994" spans="28:34">
      <c r="AB1994" s="580">
        <f>HLOOKUP("*"&amp;'Output annual'!$AC$2&amp;'Output annual'!$AD$2&amp;"*Zone People Number Of Occupants [](Hourly)",'Eplus results'!$1:$1048576,ROW(),FALSE)</f>
        <v>0</v>
      </c>
      <c r="AC1994" s="580">
        <f>HLOOKUP("*"&amp;'Output annual'!$AC$2&amp;'Output annual'!$AD$2&amp;"*FangerPMV(Hourly)",'Eplus results'!$1:$1048576,ROW(),FALSE)</f>
        <v>0</v>
      </c>
      <c r="AD1994" s="580">
        <f t="shared" si="191"/>
        <v>5</v>
      </c>
      <c r="AE1994" s="580">
        <f t="shared" si="192"/>
        <v>2.5</v>
      </c>
      <c r="AF1994" s="580">
        <f t="shared" si="193"/>
        <v>2.5</v>
      </c>
      <c r="AG1994" s="580">
        <f t="shared" si="194"/>
        <v>0</v>
      </c>
      <c r="AH1994" s="580">
        <f t="shared" si="195"/>
        <v>0</v>
      </c>
    </row>
    <row r="1995" spans="28:34">
      <c r="AB1995" s="580">
        <f>HLOOKUP("*"&amp;'Output annual'!$AC$2&amp;'Output annual'!$AD$2&amp;"*Zone People Number Of Occupants [](Hourly)",'Eplus results'!$1:$1048576,ROW(),FALSE)</f>
        <v>0</v>
      </c>
      <c r="AC1995" s="580">
        <f>HLOOKUP("*"&amp;'Output annual'!$AC$2&amp;'Output annual'!$AD$2&amp;"*FangerPMV(Hourly)",'Eplus results'!$1:$1048576,ROW(),FALSE)</f>
        <v>0</v>
      </c>
      <c r="AD1995" s="580">
        <f t="shared" si="191"/>
        <v>5</v>
      </c>
      <c r="AE1995" s="580">
        <f t="shared" si="192"/>
        <v>2.5</v>
      </c>
      <c r="AF1995" s="580">
        <f t="shared" si="193"/>
        <v>2.5</v>
      </c>
      <c r="AG1995" s="580">
        <f t="shared" si="194"/>
        <v>0</v>
      </c>
      <c r="AH1995" s="580">
        <f t="shared" si="195"/>
        <v>0</v>
      </c>
    </row>
    <row r="1996" spans="28:34">
      <c r="AB1996" s="580">
        <f>HLOOKUP("*"&amp;'Output annual'!$AC$2&amp;'Output annual'!$AD$2&amp;"*Zone People Number Of Occupants [](Hourly)",'Eplus results'!$1:$1048576,ROW(),FALSE)</f>
        <v>0</v>
      </c>
      <c r="AC1996" s="580">
        <f>HLOOKUP("*"&amp;'Output annual'!$AC$2&amp;'Output annual'!$AD$2&amp;"*FangerPMV(Hourly)",'Eplus results'!$1:$1048576,ROW(),FALSE)</f>
        <v>0</v>
      </c>
      <c r="AD1996" s="580">
        <f t="shared" si="191"/>
        <v>5</v>
      </c>
      <c r="AE1996" s="580">
        <f t="shared" si="192"/>
        <v>2.5</v>
      </c>
      <c r="AF1996" s="580">
        <f t="shared" si="193"/>
        <v>2.5</v>
      </c>
      <c r="AG1996" s="580">
        <f t="shared" si="194"/>
        <v>0</v>
      </c>
      <c r="AH1996" s="580">
        <f t="shared" si="195"/>
        <v>0</v>
      </c>
    </row>
    <row r="1997" spans="28:34">
      <c r="AB1997" s="580">
        <f>HLOOKUP("*"&amp;'Output annual'!$AC$2&amp;'Output annual'!$AD$2&amp;"*Zone People Number Of Occupants [](Hourly)",'Eplus results'!$1:$1048576,ROW(),FALSE)</f>
        <v>0</v>
      </c>
      <c r="AC1997" s="580">
        <f>HLOOKUP("*"&amp;'Output annual'!$AC$2&amp;'Output annual'!$AD$2&amp;"*FangerPMV(Hourly)",'Eplus results'!$1:$1048576,ROW(),FALSE)</f>
        <v>0</v>
      </c>
      <c r="AD1997" s="580">
        <f t="shared" si="191"/>
        <v>5</v>
      </c>
      <c r="AE1997" s="580">
        <f t="shared" si="192"/>
        <v>2.5</v>
      </c>
      <c r="AF1997" s="580">
        <f t="shared" si="193"/>
        <v>2.5</v>
      </c>
      <c r="AG1997" s="580">
        <f t="shared" si="194"/>
        <v>0</v>
      </c>
      <c r="AH1997" s="580">
        <f t="shared" si="195"/>
        <v>0</v>
      </c>
    </row>
    <row r="1998" spans="28:34">
      <c r="AB1998" s="580">
        <f>HLOOKUP("*"&amp;'Output annual'!$AC$2&amp;'Output annual'!$AD$2&amp;"*Zone People Number Of Occupants [](Hourly)",'Eplus results'!$1:$1048576,ROW(),FALSE)</f>
        <v>0</v>
      </c>
      <c r="AC1998" s="580">
        <f>HLOOKUP("*"&amp;'Output annual'!$AC$2&amp;'Output annual'!$AD$2&amp;"*FangerPMV(Hourly)",'Eplus results'!$1:$1048576,ROW(),FALSE)</f>
        <v>0</v>
      </c>
      <c r="AD1998" s="580">
        <f t="shared" si="191"/>
        <v>5</v>
      </c>
      <c r="AE1998" s="580">
        <f t="shared" si="192"/>
        <v>2.5</v>
      </c>
      <c r="AF1998" s="580">
        <f t="shared" si="193"/>
        <v>2.5</v>
      </c>
      <c r="AG1998" s="580">
        <f t="shared" si="194"/>
        <v>0</v>
      </c>
      <c r="AH1998" s="580">
        <f t="shared" si="195"/>
        <v>0</v>
      </c>
    </row>
    <row r="1999" spans="28:34">
      <c r="AB1999" s="580">
        <f>HLOOKUP("*"&amp;'Output annual'!$AC$2&amp;'Output annual'!$AD$2&amp;"*Zone People Number Of Occupants [](Hourly)",'Eplus results'!$1:$1048576,ROW(),FALSE)</f>
        <v>0</v>
      </c>
      <c r="AC1999" s="580">
        <f>HLOOKUP("*"&amp;'Output annual'!$AC$2&amp;'Output annual'!$AD$2&amp;"*FangerPMV(Hourly)",'Eplus results'!$1:$1048576,ROW(),FALSE)</f>
        <v>0</v>
      </c>
      <c r="AD1999" s="580">
        <f t="shared" si="191"/>
        <v>5</v>
      </c>
      <c r="AE1999" s="580">
        <f t="shared" si="192"/>
        <v>2.5</v>
      </c>
      <c r="AF1999" s="580">
        <f t="shared" si="193"/>
        <v>2.5</v>
      </c>
      <c r="AG1999" s="580">
        <f t="shared" si="194"/>
        <v>0</v>
      </c>
      <c r="AH1999" s="580">
        <f t="shared" si="195"/>
        <v>0</v>
      </c>
    </row>
    <row r="2000" spans="28:34">
      <c r="AB2000" s="580">
        <f>HLOOKUP("*"&amp;'Output annual'!$AC$2&amp;'Output annual'!$AD$2&amp;"*Zone People Number Of Occupants [](Hourly)",'Eplus results'!$1:$1048576,ROW(),FALSE)</f>
        <v>0</v>
      </c>
      <c r="AC2000" s="580">
        <f>HLOOKUP("*"&amp;'Output annual'!$AC$2&amp;'Output annual'!$AD$2&amp;"*FangerPMV(Hourly)",'Eplus results'!$1:$1048576,ROW(),FALSE)</f>
        <v>0</v>
      </c>
      <c r="AD2000" s="580">
        <f t="shared" si="191"/>
        <v>5</v>
      </c>
      <c r="AE2000" s="580">
        <f t="shared" si="192"/>
        <v>2.5</v>
      </c>
      <c r="AF2000" s="580">
        <f t="shared" si="193"/>
        <v>2.5</v>
      </c>
      <c r="AG2000" s="580">
        <f t="shared" si="194"/>
        <v>0</v>
      </c>
      <c r="AH2000" s="580">
        <f t="shared" si="195"/>
        <v>0</v>
      </c>
    </row>
    <row r="2001" spans="28:34">
      <c r="AB2001" s="580">
        <f>HLOOKUP("*"&amp;'Output annual'!$AC$2&amp;'Output annual'!$AD$2&amp;"*Zone People Number Of Occupants [](Hourly)",'Eplus results'!$1:$1048576,ROW(),FALSE)</f>
        <v>0</v>
      </c>
      <c r="AC2001" s="580">
        <f>HLOOKUP("*"&amp;'Output annual'!$AC$2&amp;'Output annual'!$AD$2&amp;"*FangerPMV(Hourly)",'Eplus results'!$1:$1048576,ROW(),FALSE)</f>
        <v>0</v>
      </c>
      <c r="AD2001" s="580">
        <f t="shared" si="191"/>
        <v>5</v>
      </c>
      <c r="AE2001" s="580">
        <f t="shared" si="192"/>
        <v>2.5</v>
      </c>
      <c r="AF2001" s="580">
        <f t="shared" si="193"/>
        <v>2.5</v>
      </c>
      <c r="AG2001" s="580">
        <f t="shared" si="194"/>
        <v>0</v>
      </c>
      <c r="AH2001" s="580">
        <f t="shared" si="195"/>
        <v>0</v>
      </c>
    </row>
    <row r="2002" spans="28:34">
      <c r="AB2002" s="580">
        <f>HLOOKUP("*"&amp;'Output annual'!$AC$2&amp;'Output annual'!$AD$2&amp;"*Zone People Number Of Occupants [](Hourly)",'Eplus results'!$1:$1048576,ROW(),FALSE)</f>
        <v>0</v>
      </c>
      <c r="AC2002" s="580">
        <f>HLOOKUP("*"&amp;'Output annual'!$AC$2&amp;'Output annual'!$AD$2&amp;"*FangerPMV(Hourly)",'Eplus results'!$1:$1048576,ROW(),FALSE)</f>
        <v>0</v>
      </c>
      <c r="AD2002" s="580">
        <f t="shared" si="191"/>
        <v>5</v>
      </c>
      <c r="AE2002" s="580">
        <f t="shared" si="192"/>
        <v>2.5</v>
      </c>
      <c r="AF2002" s="580">
        <f t="shared" si="193"/>
        <v>2.5</v>
      </c>
      <c r="AG2002" s="580">
        <f t="shared" si="194"/>
        <v>0</v>
      </c>
      <c r="AH2002" s="580">
        <f t="shared" si="195"/>
        <v>0</v>
      </c>
    </row>
    <row r="2003" spans="28:34">
      <c r="AB2003" s="580">
        <f>HLOOKUP("*"&amp;'Output annual'!$AC$2&amp;'Output annual'!$AD$2&amp;"*Zone People Number Of Occupants [](Hourly)",'Eplus results'!$1:$1048576,ROW(),FALSE)</f>
        <v>0</v>
      </c>
      <c r="AC2003" s="580">
        <f>HLOOKUP("*"&amp;'Output annual'!$AC$2&amp;'Output annual'!$AD$2&amp;"*FangerPMV(Hourly)",'Eplus results'!$1:$1048576,ROW(),FALSE)</f>
        <v>0</v>
      </c>
      <c r="AD2003" s="580">
        <f t="shared" si="191"/>
        <v>5</v>
      </c>
      <c r="AE2003" s="580">
        <f t="shared" si="192"/>
        <v>2.5</v>
      </c>
      <c r="AF2003" s="580">
        <f t="shared" si="193"/>
        <v>2.5</v>
      </c>
      <c r="AG2003" s="580">
        <f t="shared" si="194"/>
        <v>0</v>
      </c>
      <c r="AH2003" s="580">
        <f t="shared" si="195"/>
        <v>0</v>
      </c>
    </row>
    <row r="2004" spans="28:34">
      <c r="AB2004" s="580">
        <f>HLOOKUP("*"&amp;'Output annual'!$AC$2&amp;'Output annual'!$AD$2&amp;"*Zone People Number Of Occupants [](Hourly)",'Eplus results'!$1:$1048576,ROW(),FALSE)</f>
        <v>0</v>
      </c>
      <c r="AC2004" s="580">
        <f>HLOOKUP("*"&amp;'Output annual'!$AC$2&amp;'Output annual'!$AD$2&amp;"*FangerPMV(Hourly)",'Eplus results'!$1:$1048576,ROW(),FALSE)</f>
        <v>0</v>
      </c>
      <c r="AD2004" s="580">
        <f t="shared" si="191"/>
        <v>5</v>
      </c>
      <c r="AE2004" s="580">
        <f t="shared" si="192"/>
        <v>2.5</v>
      </c>
      <c r="AF2004" s="580">
        <f t="shared" si="193"/>
        <v>2.5</v>
      </c>
      <c r="AG2004" s="580">
        <f t="shared" si="194"/>
        <v>0</v>
      </c>
      <c r="AH2004" s="580">
        <f t="shared" si="195"/>
        <v>0</v>
      </c>
    </row>
    <row r="2005" spans="28:34">
      <c r="AB2005" s="580">
        <f>HLOOKUP("*"&amp;'Output annual'!$AC$2&amp;'Output annual'!$AD$2&amp;"*Zone People Number Of Occupants [](Hourly)",'Eplus results'!$1:$1048576,ROW(),FALSE)</f>
        <v>0</v>
      </c>
      <c r="AC2005" s="580">
        <f>HLOOKUP("*"&amp;'Output annual'!$AC$2&amp;'Output annual'!$AD$2&amp;"*FangerPMV(Hourly)",'Eplus results'!$1:$1048576,ROW(),FALSE)</f>
        <v>0</v>
      </c>
      <c r="AD2005" s="580">
        <f t="shared" si="191"/>
        <v>5</v>
      </c>
      <c r="AE2005" s="580">
        <f t="shared" si="192"/>
        <v>2.5</v>
      </c>
      <c r="AF2005" s="580">
        <f t="shared" si="193"/>
        <v>2.5</v>
      </c>
      <c r="AG2005" s="580">
        <f t="shared" si="194"/>
        <v>0</v>
      </c>
      <c r="AH2005" s="580">
        <f t="shared" si="195"/>
        <v>0</v>
      </c>
    </row>
    <row r="2006" spans="28:34">
      <c r="AB2006" s="580">
        <f>HLOOKUP("*"&amp;'Output annual'!$AC$2&amp;'Output annual'!$AD$2&amp;"*Zone People Number Of Occupants [](Hourly)",'Eplus results'!$1:$1048576,ROW(),FALSE)</f>
        <v>0</v>
      </c>
      <c r="AC2006" s="580">
        <f>HLOOKUP("*"&amp;'Output annual'!$AC$2&amp;'Output annual'!$AD$2&amp;"*FangerPMV(Hourly)",'Eplus results'!$1:$1048576,ROW(),FALSE)</f>
        <v>0</v>
      </c>
      <c r="AD2006" s="580">
        <f t="shared" si="191"/>
        <v>5</v>
      </c>
      <c r="AE2006" s="580">
        <f t="shared" si="192"/>
        <v>2.5</v>
      </c>
      <c r="AF2006" s="580">
        <f t="shared" si="193"/>
        <v>2.5</v>
      </c>
      <c r="AG2006" s="580">
        <f t="shared" si="194"/>
        <v>0</v>
      </c>
      <c r="AH2006" s="580">
        <f t="shared" si="195"/>
        <v>0</v>
      </c>
    </row>
    <row r="2007" spans="28:34">
      <c r="AB2007" s="580">
        <f>HLOOKUP("*"&amp;'Output annual'!$AC$2&amp;'Output annual'!$AD$2&amp;"*Zone People Number Of Occupants [](Hourly)",'Eplus results'!$1:$1048576,ROW(),FALSE)</f>
        <v>0</v>
      </c>
      <c r="AC2007" s="580">
        <f>HLOOKUP("*"&amp;'Output annual'!$AC$2&amp;'Output annual'!$AD$2&amp;"*FangerPMV(Hourly)",'Eplus results'!$1:$1048576,ROW(),FALSE)</f>
        <v>0</v>
      </c>
      <c r="AD2007" s="580">
        <f t="shared" si="191"/>
        <v>5</v>
      </c>
      <c r="AE2007" s="580">
        <f t="shared" si="192"/>
        <v>2.5</v>
      </c>
      <c r="AF2007" s="580">
        <f t="shared" si="193"/>
        <v>2.5</v>
      </c>
      <c r="AG2007" s="580">
        <f t="shared" si="194"/>
        <v>0</v>
      </c>
      <c r="AH2007" s="580">
        <f t="shared" si="195"/>
        <v>0</v>
      </c>
    </row>
    <row r="2008" spans="28:34">
      <c r="AB2008" s="580">
        <f>HLOOKUP("*"&amp;'Output annual'!$AC$2&amp;'Output annual'!$AD$2&amp;"*Zone People Number Of Occupants [](Hourly)",'Eplus results'!$1:$1048576,ROW(),FALSE)</f>
        <v>0</v>
      </c>
      <c r="AC2008" s="580">
        <f>HLOOKUP("*"&amp;'Output annual'!$AC$2&amp;'Output annual'!$AD$2&amp;"*FangerPMV(Hourly)",'Eplus results'!$1:$1048576,ROW(),FALSE)</f>
        <v>0</v>
      </c>
      <c r="AD2008" s="580">
        <f t="shared" si="191"/>
        <v>5</v>
      </c>
      <c r="AE2008" s="580">
        <f t="shared" si="192"/>
        <v>2.5</v>
      </c>
      <c r="AF2008" s="580">
        <f t="shared" si="193"/>
        <v>2.5</v>
      </c>
      <c r="AG2008" s="580">
        <f t="shared" si="194"/>
        <v>0</v>
      </c>
      <c r="AH2008" s="580">
        <f t="shared" si="195"/>
        <v>0</v>
      </c>
    </row>
    <row r="2009" spans="28:34">
      <c r="AB2009" s="580">
        <f>HLOOKUP("*"&amp;'Output annual'!$AC$2&amp;'Output annual'!$AD$2&amp;"*Zone People Number Of Occupants [](Hourly)",'Eplus results'!$1:$1048576,ROW(),FALSE)</f>
        <v>0</v>
      </c>
      <c r="AC2009" s="580">
        <f>HLOOKUP("*"&amp;'Output annual'!$AC$2&amp;'Output annual'!$AD$2&amp;"*FangerPMV(Hourly)",'Eplus results'!$1:$1048576,ROW(),FALSE)</f>
        <v>0</v>
      </c>
      <c r="AD2009" s="580">
        <f t="shared" si="191"/>
        <v>5</v>
      </c>
      <c r="AE2009" s="580">
        <f t="shared" si="192"/>
        <v>2.5</v>
      </c>
      <c r="AF2009" s="580">
        <f t="shared" si="193"/>
        <v>2.5</v>
      </c>
      <c r="AG2009" s="580">
        <f t="shared" si="194"/>
        <v>0</v>
      </c>
      <c r="AH2009" s="580">
        <f t="shared" si="195"/>
        <v>0</v>
      </c>
    </row>
    <row r="2010" spans="28:34">
      <c r="AB2010" s="580">
        <f>HLOOKUP("*"&amp;'Output annual'!$AC$2&amp;'Output annual'!$AD$2&amp;"*Zone People Number Of Occupants [](Hourly)",'Eplus results'!$1:$1048576,ROW(),FALSE)</f>
        <v>0</v>
      </c>
      <c r="AC2010" s="580">
        <f>HLOOKUP("*"&amp;'Output annual'!$AC$2&amp;'Output annual'!$AD$2&amp;"*FangerPMV(Hourly)",'Eplus results'!$1:$1048576,ROW(),FALSE)</f>
        <v>0</v>
      </c>
      <c r="AD2010" s="580">
        <f t="shared" si="191"/>
        <v>5</v>
      </c>
      <c r="AE2010" s="580">
        <f t="shared" si="192"/>
        <v>2.5</v>
      </c>
      <c r="AF2010" s="580">
        <f t="shared" si="193"/>
        <v>2.5</v>
      </c>
      <c r="AG2010" s="580">
        <f t="shared" si="194"/>
        <v>0</v>
      </c>
      <c r="AH2010" s="580">
        <f t="shared" si="195"/>
        <v>0</v>
      </c>
    </row>
    <row r="2011" spans="28:34">
      <c r="AB2011" s="580">
        <f>HLOOKUP("*"&amp;'Output annual'!$AC$2&amp;'Output annual'!$AD$2&amp;"*Zone People Number Of Occupants [](Hourly)",'Eplus results'!$1:$1048576,ROW(),FALSE)</f>
        <v>0</v>
      </c>
      <c r="AC2011" s="580">
        <f>HLOOKUP("*"&amp;'Output annual'!$AC$2&amp;'Output annual'!$AD$2&amp;"*FangerPMV(Hourly)",'Eplus results'!$1:$1048576,ROW(),FALSE)</f>
        <v>0</v>
      </c>
      <c r="AD2011" s="580">
        <f t="shared" si="191"/>
        <v>5</v>
      </c>
      <c r="AE2011" s="580">
        <f t="shared" si="192"/>
        <v>2.5</v>
      </c>
      <c r="AF2011" s="580">
        <f t="shared" si="193"/>
        <v>2.5</v>
      </c>
      <c r="AG2011" s="580">
        <f t="shared" si="194"/>
        <v>0</v>
      </c>
      <c r="AH2011" s="580">
        <f t="shared" si="195"/>
        <v>0</v>
      </c>
    </row>
    <row r="2012" spans="28:34">
      <c r="AB2012" s="580">
        <f>HLOOKUP("*"&amp;'Output annual'!$AC$2&amp;'Output annual'!$AD$2&amp;"*Zone People Number Of Occupants [](Hourly)",'Eplus results'!$1:$1048576,ROW(),FALSE)</f>
        <v>0</v>
      </c>
      <c r="AC2012" s="580">
        <f>HLOOKUP("*"&amp;'Output annual'!$AC$2&amp;'Output annual'!$AD$2&amp;"*FangerPMV(Hourly)",'Eplus results'!$1:$1048576,ROW(),FALSE)</f>
        <v>0</v>
      </c>
      <c r="AD2012" s="580">
        <f t="shared" si="191"/>
        <v>5</v>
      </c>
      <c r="AE2012" s="580">
        <f t="shared" si="192"/>
        <v>2.5</v>
      </c>
      <c r="AF2012" s="580">
        <f t="shared" si="193"/>
        <v>2.5</v>
      </c>
      <c r="AG2012" s="580">
        <f t="shared" si="194"/>
        <v>0</v>
      </c>
      <c r="AH2012" s="580">
        <f t="shared" si="195"/>
        <v>0</v>
      </c>
    </row>
    <row r="2013" spans="28:34">
      <c r="AB2013" s="580">
        <f>HLOOKUP("*"&amp;'Output annual'!$AC$2&amp;'Output annual'!$AD$2&amp;"*Zone People Number Of Occupants [](Hourly)",'Eplus results'!$1:$1048576,ROW(),FALSE)</f>
        <v>0</v>
      </c>
      <c r="AC2013" s="580">
        <f>HLOOKUP("*"&amp;'Output annual'!$AC$2&amp;'Output annual'!$AD$2&amp;"*FangerPMV(Hourly)",'Eplus results'!$1:$1048576,ROW(),FALSE)</f>
        <v>0</v>
      </c>
      <c r="AD2013" s="580">
        <f t="shared" si="191"/>
        <v>5</v>
      </c>
      <c r="AE2013" s="580">
        <f t="shared" si="192"/>
        <v>2.5</v>
      </c>
      <c r="AF2013" s="580">
        <f t="shared" si="193"/>
        <v>2.5</v>
      </c>
      <c r="AG2013" s="580">
        <f t="shared" si="194"/>
        <v>0</v>
      </c>
      <c r="AH2013" s="580">
        <f t="shared" si="195"/>
        <v>0</v>
      </c>
    </row>
    <row r="2014" spans="28:34">
      <c r="AB2014" s="580">
        <f>HLOOKUP("*"&amp;'Output annual'!$AC$2&amp;'Output annual'!$AD$2&amp;"*Zone People Number Of Occupants [](Hourly)",'Eplus results'!$1:$1048576,ROW(),FALSE)</f>
        <v>0</v>
      </c>
      <c r="AC2014" s="580">
        <f>HLOOKUP("*"&amp;'Output annual'!$AC$2&amp;'Output annual'!$AD$2&amp;"*FangerPMV(Hourly)",'Eplus results'!$1:$1048576,ROW(),FALSE)</f>
        <v>0</v>
      </c>
      <c r="AD2014" s="580">
        <f t="shared" si="191"/>
        <v>5</v>
      </c>
      <c r="AE2014" s="580">
        <f t="shared" si="192"/>
        <v>2.5</v>
      </c>
      <c r="AF2014" s="580">
        <f t="shared" si="193"/>
        <v>2.5</v>
      </c>
      <c r="AG2014" s="580">
        <f t="shared" si="194"/>
        <v>0</v>
      </c>
      <c r="AH2014" s="580">
        <f t="shared" si="195"/>
        <v>0</v>
      </c>
    </row>
    <row r="2015" spans="28:34">
      <c r="AB2015" s="580">
        <f>HLOOKUP("*"&amp;'Output annual'!$AC$2&amp;'Output annual'!$AD$2&amp;"*Zone People Number Of Occupants [](Hourly)",'Eplus results'!$1:$1048576,ROW(),FALSE)</f>
        <v>0</v>
      </c>
      <c r="AC2015" s="580">
        <f>HLOOKUP("*"&amp;'Output annual'!$AC$2&amp;'Output annual'!$AD$2&amp;"*FangerPMV(Hourly)",'Eplus results'!$1:$1048576,ROW(),FALSE)</f>
        <v>0</v>
      </c>
      <c r="AD2015" s="580">
        <f t="shared" si="191"/>
        <v>5</v>
      </c>
      <c r="AE2015" s="580">
        <f t="shared" si="192"/>
        <v>2.5</v>
      </c>
      <c r="AF2015" s="580">
        <f t="shared" si="193"/>
        <v>2.5</v>
      </c>
      <c r="AG2015" s="580">
        <f t="shared" si="194"/>
        <v>0</v>
      </c>
      <c r="AH2015" s="580">
        <f t="shared" si="195"/>
        <v>0</v>
      </c>
    </row>
    <row r="2016" spans="28:34">
      <c r="AB2016" s="580">
        <f>HLOOKUP("*"&amp;'Output annual'!$AC$2&amp;'Output annual'!$AD$2&amp;"*Zone People Number Of Occupants [](Hourly)",'Eplus results'!$1:$1048576,ROW(),FALSE)</f>
        <v>0</v>
      </c>
      <c r="AC2016" s="580">
        <f>HLOOKUP("*"&amp;'Output annual'!$AC$2&amp;'Output annual'!$AD$2&amp;"*FangerPMV(Hourly)",'Eplus results'!$1:$1048576,ROW(),FALSE)</f>
        <v>0</v>
      </c>
      <c r="AD2016" s="580">
        <f t="shared" si="191"/>
        <v>5</v>
      </c>
      <c r="AE2016" s="580">
        <f t="shared" si="192"/>
        <v>2.5</v>
      </c>
      <c r="AF2016" s="580">
        <f t="shared" si="193"/>
        <v>2.5</v>
      </c>
      <c r="AG2016" s="580">
        <f t="shared" si="194"/>
        <v>0</v>
      </c>
      <c r="AH2016" s="580">
        <f t="shared" si="195"/>
        <v>0</v>
      </c>
    </row>
    <row r="2017" spans="28:34">
      <c r="AB2017" s="580">
        <f>HLOOKUP("*"&amp;'Output annual'!$AC$2&amp;'Output annual'!$AD$2&amp;"*Zone People Number Of Occupants [](Hourly)",'Eplus results'!$1:$1048576,ROW(),FALSE)</f>
        <v>0</v>
      </c>
      <c r="AC2017" s="580">
        <f>HLOOKUP("*"&amp;'Output annual'!$AC$2&amp;'Output annual'!$AD$2&amp;"*FangerPMV(Hourly)",'Eplus results'!$1:$1048576,ROW(),FALSE)</f>
        <v>0</v>
      </c>
      <c r="AD2017" s="580">
        <f t="shared" si="191"/>
        <v>5</v>
      </c>
      <c r="AE2017" s="580">
        <f t="shared" si="192"/>
        <v>2.5</v>
      </c>
      <c r="AF2017" s="580">
        <f t="shared" si="193"/>
        <v>2.5</v>
      </c>
      <c r="AG2017" s="580">
        <f t="shared" si="194"/>
        <v>0</v>
      </c>
      <c r="AH2017" s="580">
        <f t="shared" si="195"/>
        <v>0</v>
      </c>
    </row>
    <row r="2018" spans="28:34">
      <c r="AB2018" s="580">
        <f>HLOOKUP("*"&amp;'Output annual'!$AC$2&amp;'Output annual'!$AD$2&amp;"*Zone People Number Of Occupants [](Hourly)",'Eplus results'!$1:$1048576,ROW(),FALSE)</f>
        <v>0</v>
      </c>
      <c r="AC2018" s="580">
        <f>HLOOKUP("*"&amp;'Output annual'!$AC$2&amp;'Output annual'!$AD$2&amp;"*FangerPMV(Hourly)",'Eplus results'!$1:$1048576,ROW(),FALSE)</f>
        <v>0</v>
      </c>
      <c r="AD2018" s="580">
        <f t="shared" si="191"/>
        <v>5</v>
      </c>
      <c r="AE2018" s="580">
        <f t="shared" si="192"/>
        <v>2.5</v>
      </c>
      <c r="AF2018" s="580">
        <f t="shared" si="193"/>
        <v>2.5</v>
      </c>
      <c r="AG2018" s="580">
        <f t="shared" si="194"/>
        <v>0</v>
      </c>
      <c r="AH2018" s="580">
        <f t="shared" si="195"/>
        <v>0</v>
      </c>
    </row>
    <row r="2019" spans="28:34">
      <c r="AB2019" s="580">
        <f>HLOOKUP("*"&amp;'Output annual'!$AC$2&amp;'Output annual'!$AD$2&amp;"*Zone People Number Of Occupants [](Hourly)",'Eplus results'!$1:$1048576,ROW(),FALSE)</f>
        <v>0</v>
      </c>
      <c r="AC2019" s="580">
        <f>HLOOKUP("*"&amp;'Output annual'!$AC$2&amp;'Output annual'!$AD$2&amp;"*FangerPMV(Hourly)",'Eplus results'!$1:$1048576,ROW(),FALSE)</f>
        <v>0</v>
      </c>
      <c r="AD2019" s="580">
        <f t="shared" si="191"/>
        <v>5</v>
      </c>
      <c r="AE2019" s="580">
        <f t="shared" si="192"/>
        <v>2.5</v>
      </c>
      <c r="AF2019" s="580">
        <f t="shared" si="193"/>
        <v>2.5</v>
      </c>
      <c r="AG2019" s="580">
        <f t="shared" si="194"/>
        <v>0</v>
      </c>
      <c r="AH2019" s="580">
        <f t="shared" si="195"/>
        <v>0</v>
      </c>
    </row>
    <row r="2020" spans="28:34">
      <c r="AB2020" s="580">
        <f>HLOOKUP("*"&amp;'Output annual'!$AC$2&amp;'Output annual'!$AD$2&amp;"*Zone People Number Of Occupants [](Hourly)",'Eplus results'!$1:$1048576,ROW(),FALSE)</f>
        <v>0</v>
      </c>
      <c r="AC2020" s="580">
        <f>HLOOKUP("*"&amp;'Output annual'!$AC$2&amp;'Output annual'!$AD$2&amp;"*FangerPMV(Hourly)",'Eplus results'!$1:$1048576,ROW(),FALSE)</f>
        <v>0</v>
      </c>
      <c r="AD2020" s="580">
        <f t="shared" si="191"/>
        <v>5</v>
      </c>
      <c r="AE2020" s="580">
        <f t="shared" si="192"/>
        <v>2.5</v>
      </c>
      <c r="AF2020" s="580">
        <f t="shared" si="193"/>
        <v>2.5</v>
      </c>
      <c r="AG2020" s="580">
        <f t="shared" si="194"/>
        <v>0</v>
      </c>
      <c r="AH2020" s="580">
        <f t="shared" si="195"/>
        <v>0</v>
      </c>
    </row>
    <row r="2021" spans="28:34">
      <c r="AB2021" s="580">
        <f>HLOOKUP("*"&amp;'Output annual'!$AC$2&amp;'Output annual'!$AD$2&amp;"*Zone People Number Of Occupants [](Hourly)",'Eplus results'!$1:$1048576,ROW(),FALSE)</f>
        <v>0</v>
      </c>
      <c r="AC2021" s="580">
        <f>HLOOKUP("*"&amp;'Output annual'!$AC$2&amp;'Output annual'!$AD$2&amp;"*FangerPMV(Hourly)",'Eplus results'!$1:$1048576,ROW(),FALSE)</f>
        <v>0</v>
      </c>
      <c r="AD2021" s="580">
        <f t="shared" si="191"/>
        <v>5</v>
      </c>
      <c r="AE2021" s="580">
        <f t="shared" si="192"/>
        <v>2.5</v>
      </c>
      <c r="AF2021" s="580">
        <f t="shared" si="193"/>
        <v>2.5</v>
      </c>
      <c r="AG2021" s="580">
        <f t="shared" si="194"/>
        <v>0</v>
      </c>
      <c r="AH2021" s="580">
        <f t="shared" si="195"/>
        <v>0</v>
      </c>
    </row>
    <row r="2022" spans="28:34">
      <c r="AB2022" s="580">
        <f>HLOOKUP("*"&amp;'Output annual'!$AC$2&amp;'Output annual'!$AD$2&amp;"*Zone People Number Of Occupants [](Hourly)",'Eplus results'!$1:$1048576,ROW(),FALSE)</f>
        <v>0</v>
      </c>
      <c r="AC2022" s="580">
        <f>HLOOKUP("*"&amp;'Output annual'!$AC$2&amp;'Output annual'!$AD$2&amp;"*FangerPMV(Hourly)",'Eplus results'!$1:$1048576,ROW(),FALSE)</f>
        <v>0</v>
      </c>
      <c r="AD2022" s="580">
        <f t="shared" si="191"/>
        <v>5</v>
      </c>
      <c r="AE2022" s="580">
        <f t="shared" si="192"/>
        <v>2.5</v>
      </c>
      <c r="AF2022" s="580">
        <f t="shared" si="193"/>
        <v>2.5</v>
      </c>
      <c r="AG2022" s="580">
        <f t="shared" si="194"/>
        <v>0</v>
      </c>
      <c r="AH2022" s="580">
        <f t="shared" si="195"/>
        <v>0</v>
      </c>
    </row>
    <row r="2023" spans="28:34">
      <c r="AB2023" s="580">
        <f>HLOOKUP("*"&amp;'Output annual'!$AC$2&amp;'Output annual'!$AD$2&amp;"*Zone People Number Of Occupants [](Hourly)",'Eplus results'!$1:$1048576,ROW(),FALSE)</f>
        <v>0</v>
      </c>
      <c r="AC2023" s="580">
        <f>HLOOKUP("*"&amp;'Output annual'!$AC$2&amp;'Output annual'!$AD$2&amp;"*FangerPMV(Hourly)",'Eplus results'!$1:$1048576,ROW(),FALSE)</f>
        <v>0</v>
      </c>
      <c r="AD2023" s="580">
        <f t="shared" si="191"/>
        <v>5</v>
      </c>
      <c r="AE2023" s="580">
        <f t="shared" si="192"/>
        <v>2.5</v>
      </c>
      <c r="AF2023" s="580">
        <f t="shared" si="193"/>
        <v>2.5</v>
      </c>
      <c r="AG2023" s="580">
        <f t="shared" si="194"/>
        <v>0</v>
      </c>
      <c r="AH2023" s="580">
        <f t="shared" si="195"/>
        <v>0</v>
      </c>
    </row>
    <row r="2024" spans="28:34">
      <c r="AB2024" s="580">
        <f>HLOOKUP("*"&amp;'Output annual'!$AC$2&amp;'Output annual'!$AD$2&amp;"*Zone People Number Of Occupants [](Hourly)",'Eplus results'!$1:$1048576,ROW(),FALSE)</f>
        <v>0</v>
      </c>
      <c r="AC2024" s="580">
        <f>HLOOKUP("*"&amp;'Output annual'!$AC$2&amp;'Output annual'!$AD$2&amp;"*FangerPMV(Hourly)",'Eplus results'!$1:$1048576,ROW(),FALSE)</f>
        <v>0</v>
      </c>
      <c r="AD2024" s="580">
        <f t="shared" si="191"/>
        <v>5</v>
      </c>
      <c r="AE2024" s="580">
        <f t="shared" si="192"/>
        <v>2.5</v>
      </c>
      <c r="AF2024" s="580">
        <f t="shared" si="193"/>
        <v>2.5</v>
      </c>
      <c r="AG2024" s="580">
        <f t="shared" si="194"/>
        <v>0</v>
      </c>
      <c r="AH2024" s="580">
        <f t="shared" si="195"/>
        <v>0</v>
      </c>
    </row>
    <row r="2025" spans="28:34">
      <c r="AB2025" s="580">
        <f>HLOOKUP("*"&amp;'Output annual'!$AC$2&amp;'Output annual'!$AD$2&amp;"*Zone People Number Of Occupants [](Hourly)",'Eplus results'!$1:$1048576,ROW(),FALSE)</f>
        <v>0</v>
      </c>
      <c r="AC2025" s="580">
        <f>HLOOKUP("*"&amp;'Output annual'!$AC$2&amp;'Output annual'!$AD$2&amp;"*FangerPMV(Hourly)",'Eplus results'!$1:$1048576,ROW(),FALSE)</f>
        <v>0</v>
      </c>
      <c r="AD2025" s="580">
        <f t="shared" si="191"/>
        <v>5</v>
      </c>
      <c r="AE2025" s="580">
        <f t="shared" si="192"/>
        <v>2.5</v>
      </c>
      <c r="AF2025" s="580">
        <f t="shared" si="193"/>
        <v>2.5</v>
      </c>
      <c r="AG2025" s="580">
        <f t="shared" si="194"/>
        <v>0</v>
      </c>
      <c r="AH2025" s="580">
        <f t="shared" si="195"/>
        <v>0</v>
      </c>
    </row>
    <row r="2026" spans="28:34">
      <c r="AB2026" s="580">
        <f>HLOOKUP("*"&amp;'Output annual'!$AC$2&amp;'Output annual'!$AD$2&amp;"*Zone People Number Of Occupants [](Hourly)",'Eplus results'!$1:$1048576,ROW(),FALSE)</f>
        <v>0</v>
      </c>
      <c r="AC2026" s="580">
        <f>HLOOKUP("*"&amp;'Output annual'!$AC$2&amp;'Output annual'!$AD$2&amp;"*FangerPMV(Hourly)",'Eplus results'!$1:$1048576,ROW(),FALSE)</f>
        <v>0</v>
      </c>
      <c r="AD2026" s="580">
        <f t="shared" si="191"/>
        <v>5</v>
      </c>
      <c r="AE2026" s="580">
        <f t="shared" si="192"/>
        <v>2.5</v>
      </c>
      <c r="AF2026" s="580">
        <f t="shared" si="193"/>
        <v>2.5</v>
      </c>
      <c r="AG2026" s="580">
        <f t="shared" si="194"/>
        <v>0</v>
      </c>
      <c r="AH2026" s="580">
        <f t="shared" si="195"/>
        <v>0</v>
      </c>
    </row>
    <row r="2027" spans="28:34">
      <c r="AB2027" s="580">
        <f>HLOOKUP("*"&amp;'Output annual'!$AC$2&amp;'Output annual'!$AD$2&amp;"*Zone People Number Of Occupants [](Hourly)",'Eplus results'!$1:$1048576,ROW(),FALSE)</f>
        <v>0</v>
      </c>
      <c r="AC2027" s="580">
        <f>HLOOKUP("*"&amp;'Output annual'!$AC$2&amp;'Output annual'!$AD$2&amp;"*FangerPMV(Hourly)",'Eplus results'!$1:$1048576,ROW(),FALSE)</f>
        <v>0</v>
      </c>
      <c r="AD2027" s="580">
        <f t="shared" si="191"/>
        <v>5</v>
      </c>
      <c r="AE2027" s="580">
        <f t="shared" si="192"/>
        <v>2.5</v>
      </c>
      <c r="AF2027" s="580">
        <f t="shared" si="193"/>
        <v>2.5</v>
      </c>
      <c r="AG2027" s="580">
        <f t="shared" si="194"/>
        <v>0</v>
      </c>
      <c r="AH2027" s="580">
        <f t="shared" si="195"/>
        <v>0</v>
      </c>
    </row>
    <row r="2028" spans="28:34">
      <c r="AB2028" s="580">
        <f>HLOOKUP("*"&amp;'Output annual'!$AC$2&amp;'Output annual'!$AD$2&amp;"*Zone People Number Of Occupants [](Hourly)",'Eplus results'!$1:$1048576,ROW(),FALSE)</f>
        <v>0</v>
      </c>
      <c r="AC2028" s="580">
        <f>HLOOKUP("*"&amp;'Output annual'!$AC$2&amp;'Output annual'!$AD$2&amp;"*FangerPMV(Hourly)",'Eplus results'!$1:$1048576,ROW(),FALSE)</f>
        <v>0</v>
      </c>
      <c r="AD2028" s="580">
        <f t="shared" si="191"/>
        <v>5</v>
      </c>
      <c r="AE2028" s="580">
        <f t="shared" si="192"/>
        <v>2.5</v>
      </c>
      <c r="AF2028" s="580">
        <f t="shared" si="193"/>
        <v>2.5</v>
      </c>
      <c r="AG2028" s="580">
        <f t="shared" si="194"/>
        <v>0</v>
      </c>
      <c r="AH2028" s="580">
        <f t="shared" si="195"/>
        <v>0</v>
      </c>
    </row>
    <row r="2029" spans="28:34">
      <c r="AB2029" s="580">
        <f>HLOOKUP("*"&amp;'Output annual'!$AC$2&amp;'Output annual'!$AD$2&amp;"*Zone People Number Of Occupants [](Hourly)",'Eplus results'!$1:$1048576,ROW(),FALSE)</f>
        <v>0</v>
      </c>
      <c r="AC2029" s="580">
        <f>HLOOKUP("*"&amp;'Output annual'!$AC$2&amp;'Output annual'!$AD$2&amp;"*FangerPMV(Hourly)",'Eplus results'!$1:$1048576,ROW(),FALSE)</f>
        <v>0</v>
      </c>
      <c r="AD2029" s="580">
        <f t="shared" si="191"/>
        <v>5</v>
      </c>
      <c r="AE2029" s="580">
        <f t="shared" si="192"/>
        <v>2.5</v>
      </c>
      <c r="AF2029" s="580">
        <f t="shared" si="193"/>
        <v>2.5</v>
      </c>
      <c r="AG2029" s="580">
        <f t="shared" si="194"/>
        <v>0</v>
      </c>
      <c r="AH2029" s="580">
        <f t="shared" si="195"/>
        <v>0</v>
      </c>
    </row>
    <row r="2030" spans="28:34">
      <c r="AB2030" s="580">
        <f>HLOOKUP("*"&amp;'Output annual'!$AC$2&amp;'Output annual'!$AD$2&amp;"*Zone People Number Of Occupants [](Hourly)",'Eplus results'!$1:$1048576,ROW(),FALSE)</f>
        <v>0</v>
      </c>
      <c r="AC2030" s="580">
        <f>HLOOKUP("*"&amp;'Output annual'!$AC$2&amp;'Output annual'!$AD$2&amp;"*FangerPMV(Hourly)",'Eplus results'!$1:$1048576,ROW(),FALSE)</f>
        <v>0</v>
      </c>
      <c r="AD2030" s="580">
        <f t="shared" si="191"/>
        <v>5</v>
      </c>
      <c r="AE2030" s="580">
        <f t="shared" si="192"/>
        <v>2.5</v>
      </c>
      <c r="AF2030" s="580">
        <f t="shared" si="193"/>
        <v>2.5</v>
      </c>
      <c r="AG2030" s="580">
        <f t="shared" si="194"/>
        <v>0</v>
      </c>
      <c r="AH2030" s="580">
        <f t="shared" si="195"/>
        <v>0</v>
      </c>
    </row>
    <row r="2031" spans="28:34">
      <c r="AB2031" s="580">
        <f>HLOOKUP("*"&amp;'Output annual'!$AC$2&amp;'Output annual'!$AD$2&amp;"*Zone People Number Of Occupants [](Hourly)",'Eplus results'!$1:$1048576,ROW(),FALSE)</f>
        <v>0</v>
      </c>
      <c r="AC2031" s="580">
        <f>HLOOKUP("*"&amp;'Output annual'!$AC$2&amp;'Output annual'!$AD$2&amp;"*FangerPMV(Hourly)",'Eplus results'!$1:$1048576,ROW(),FALSE)</f>
        <v>0</v>
      </c>
      <c r="AD2031" s="580">
        <f t="shared" si="191"/>
        <v>5</v>
      </c>
      <c r="AE2031" s="580">
        <f t="shared" si="192"/>
        <v>2.5</v>
      </c>
      <c r="AF2031" s="580">
        <f t="shared" si="193"/>
        <v>2.5</v>
      </c>
      <c r="AG2031" s="580">
        <f t="shared" si="194"/>
        <v>0</v>
      </c>
      <c r="AH2031" s="580">
        <f t="shared" si="195"/>
        <v>0</v>
      </c>
    </row>
    <row r="2032" spans="28:34">
      <c r="AB2032" s="580">
        <f>HLOOKUP("*"&amp;'Output annual'!$AC$2&amp;'Output annual'!$AD$2&amp;"*Zone People Number Of Occupants [](Hourly)",'Eplus results'!$1:$1048576,ROW(),FALSE)</f>
        <v>0</v>
      </c>
      <c r="AC2032" s="580">
        <f>HLOOKUP("*"&amp;'Output annual'!$AC$2&amp;'Output annual'!$AD$2&amp;"*FangerPMV(Hourly)",'Eplus results'!$1:$1048576,ROW(),FALSE)</f>
        <v>0</v>
      </c>
      <c r="AD2032" s="580">
        <f t="shared" si="191"/>
        <v>5</v>
      </c>
      <c r="AE2032" s="580">
        <f t="shared" si="192"/>
        <v>2.5</v>
      </c>
      <c r="AF2032" s="580">
        <f t="shared" si="193"/>
        <v>2.5</v>
      </c>
      <c r="AG2032" s="580">
        <f t="shared" si="194"/>
        <v>0</v>
      </c>
      <c r="AH2032" s="580">
        <f t="shared" si="195"/>
        <v>0</v>
      </c>
    </row>
    <row r="2033" spans="28:34">
      <c r="AB2033" s="580">
        <f>HLOOKUP("*"&amp;'Output annual'!$AC$2&amp;'Output annual'!$AD$2&amp;"*Zone People Number Of Occupants [](Hourly)",'Eplus results'!$1:$1048576,ROW(),FALSE)</f>
        <v>0</v>
      </c>
      <c r="AC2033" s="580">
        <f>HLOOKUP("*"&amp;'Output annual'!$AC$2&amp;'Output annual'!$AD$2&amp;"*FangerPMV(Hourly)",'Eplus results'!$1:$1048576,ROW(),FALSE)</f>
        <v>0</v>
      </c>
      <c r="AD2033" s="580">
        <f t="shared" si="191"/>
        <v>5</v>
      </c>
      <c r="AE2033" s="580">
        <f t="shared" si="192"/>
        <v>2.5</v>
      </c>
      <c r="AF2033" s="580">
        <f t="shared" si="193"/>
        <v>2.5</v>
      </c>
      <c r="AG2033" s="580">
        <f t="shared" si="194"/>
        <v>0</v>
      </c>
      <c r="AH2033" s="580">
        <f t="shared" si="195"/>
        <v>0</v>
      </c>
    </row>
    <row r="2034" spans="28:34">
      <c r="AB2034" s="580">
        <f>HLOOKUP("*"&amp;'Output annual'!$AC$2&amp;'Output annual'!$AD$2&amp;"*Zone People Number Of Occupants [](Hourly)",'Eplus results'!$1:$1048576,ROW(),FALSE)</f>
        <v>0</v>
      </c>
      <c r="AC2034" s="580">
        <f>HLOOKUP("*"&amp;'Output annual'!$AC$2&amp;'Output annual'!$AD$2&amp;"*FangerPMV(Hourly)",'Eplus results'!$1:$1048576,ROW(),FALSE)</f>
        <v>0</v>
      </c>
      <c r="AD2034" s="580">
        <f t="shared" si="191"/>
        <v>5</v>
      </c>
      <c r="AE2034" s="580">
        <f t="shared" si="192"/>
        <v>2.5</v>
      </c>
      <c r="AF2034" s="580">
        <f t="shared" si="193"/>
        <v>2.5</v>
      </c>
      <c r="AG2034" s="580">
        <f t="shared" si="194"/>
        <v>0</v>
      </c>
      <c r="AH2034" s="580">
        <f t="shared" si="195"/>
        <v>0</v>
      </c>
    </row>
    <row r="2035" spans="28:34">
      <c r="AB2035" s="580">
        <f>HLOOKUP("*"&amp;'Output annual'!$AC$2&amp;'Output annual'!$AD$2&amp;"*Zone People Number Of Occupants [](Hourly)",'Eplus results'!$1:$1048576,ROW(),FALSE)</f>
        <v>0</v>
      </c>
      <c r="AC2035" s="580">
        <f>HLOOKUP("*"&amp;'Output annual'!$AC$2&amp;'Output annual'!$AD$2&amp;"*FangerPMV(Hourly)",'Eplus results'!$1:$1048576,ROW(),FALSE)</f>
        <v>0</v>
      </c>
      <c r="AD2035" s="580">
        <f t="shared" si="191"/>
        <v>5</v>
      </c>
      <c r="AE2035" s="580">
        <f t="shared" si="192"/>
        <v>2.5</v>
      </c>
      <c r="AF2035" s="580">
        <f t="shared" si="193"/>
        <v>2.5</v>
      </c>
      <c r="AG2035" s="580">
        <f t="shared" si="194"/>
        <v>0</v>
      </c>
      <c r="AH2035" s="580">
        <f t="shared" si="195"/>
        <v>0</v>
      </c>
    </row>
    <row r="2036" spans="28:34">
      <c r="AB2036" s="580">
        <f>HLOOKUP("*"&amp;'Output annual'!$AC$2&amp;'Output annual'!$AD$2&amp;"*Zone People Number Of Occupants [](Hourly)",'Eplus results'!$1:$1048576,ROW(),FALSE)</f>
        <v>0</v>
      </c>
      <c r="AC2036" s="580">
        <f>HLOOKUP("*"&amp;'Output annual'!$AC$2&amp;'Output annual'!$AD$2&amp;"*FangerPMV(Hourly)",'Eplus results'!$1:$1048576,ROW(),FALSE)</f>
        <v>0</v>
      </c>
      <c r="AD2036" s="580">
        <f t="shared" si="191"/>
        <v>5</v>
      </c>
      <c r="AE2036" s="580">
        <f t="shared" si="192"/>
        <v>2.5</v>
      </c>
      <c r="AF2036" s="580">
        <f t="shared" si="193"/>
        <v>2.5</v>
      </c>
      <c r="AG2036" s="580">
        <f t="shared" si="194"/>
        <v>0</v>
      </c>
      <c r="AH2036" s="580">
        <f t="shared" si="195"/>
        <v>0</v>
      </c>
    </row>
    <row r="2037" spans="28:34">
      <c r="AB2037" s="580">
        <f>HLOOKUP("*"&amp;'Output annual'!$AC$2&amp;'Output annual'!$AD$2&amp;"*Zone People Number Of Occupants [](Hourly)",'Eplus results'!$1:$1048576,ROW(),FALSE)</f>
        <v>0</v>
      </c>
      <c r="AC2037" s="580">
        <f>HLOOKUP("*"&amp;'Output annual'!$AC$2&amp;'Output annual'!$AD$2&amp;"*FangerPMV(Hourly)",'Eplus results'!$1:$1048576,ROW(),FALSE)</f>
        <v>0</v>
      </c>
      <c r="AD2037" s="580">
        <f t="shared" si="191"/>
        <v>5</v>
      </c>
      <c r="AE2037" s="580">
        <f t="shared" si="192"/>
        <v>2.5</v>
      </c>
      <c r="AF2037" s="580">
        <f t="shared" si="193"/>
        <v>2.5</v>
      </c>
      <c r="AG2037" s="580">
        <f t="shared" si="194"/>
        <v>0</v>
      </c>
      <c r="AH2037" s="580">
        <f t="shared" si="195"/>
        <v>0</v>
      </c>
    </row>
    <row r="2038" spans="28:34">
      <c r="AB2038" s="580">
        <f>HLOOKUP("*"&amp;'Output annual'!$AC$2&amp;'Output annual'!$AD$2&amp;"*Zone People Number Of Occupants [](Hourly)",'Eplus results'!$1:$1048576,ROW(),FALSE)</f>
        <v>0</v>
      </c>
      <c r="AC2038" s="580">
        <f>HLOOKUP("*"&amp;'Output annual'!$AC$2&amp;'Output annual'!$AD$2&amp;"*FangerPMV(Hourly)",'Eplus results'!$1:$1048576,ROW(),FALSE)</f>
        <v>0</v>
      </c>
      <c r="AD2038" s="580">
        <f t="shared" si="191"/>
        <v>5</v>
      </c>
      <c r="AE2038" s="580">
        <f t="shared" si="192"/>
        <v>2.5</v>
      </c>
      <c r="AF2038" s="580">
        <f t="shared" si="193"/>
        <v>2.5</v>
      </c>
      <c r="AG2038" s="580">
        <f t="shared" si="194"/>
        <v>0</v>
      </c>
      <c r="AH2038" s="580">
        <f t="shared" si="195"/>
        <v>0</v>
      </c>
    </row>
    <row r="2039" spans="28:34">
      <c r="AB2039" s="580">
        <f>HLOOKUP("*"&amp;'Output annual'!$AC$2&amp;'Output annual'!$AD$2&amp;"*Zone People Number Of Occupants [](Hourly)",'Eplus results'!$1:$1048576,ROW(),FALSE)</f>
        <v>0</v>
      </c>
      <c r="AC2039" s="580">
        <f>HLOOKUP("*"&amp;'Output annual'!$AC$2&amp;'Output annual'!$AD$2&amp;"*FangerPMV(Hourly)",'Eplus results'!$1:$1048576,ROW(),FALSE)</f>
        <v>0</v>
      </c>
      <c r="AD2039" s="580">
        <f t="shared" si="191"/>
        <v>5</v>
      </c>
      <c r="AE2039" s="580">
        <f t="shared" si="192"/>
        <v>2.5</v>
      </c>
      <c r="AF2039" s="580">
        <f t="shared" si="193"/>
        <v>2.5</v>
      </c>
      <c r="AG2039" s="580">
        <f t="shared" si="194"/>
        <v>0</v>
      </c>
      <c r="AH2039" s="580">
        <f t="shared" si="195"/>
        <v>0</v>
      </c>
    </row>
    <row r="2040" spans="28:34">
      <c r="AB2040" s="580">
        <f>HLOOKUP("*"&amp;'Output annual'!$AC$2&amp;'Output annual'!$AD$2&amp;"*Zone People Number Of Occupants [](Hourly)",'Eplus results'!$1:$1048576,ROW(),FALSE)</f>
        <v>0</v>
      </c>
      <c r="AC2040" s="580">
        <f>HLOOKUP("*"&amp;'Output annual'!$AC$2&amp;'Output annual'!$AD$2&amp;"*FangerPMV(Hourly)",'Eplus results'!$1:$1048576,ROW(),FALSE)</f>
        <v>0</v>
      </c>
      <c r="AD2040" s="580">
        <f t="shared" si="191"/>
        <v>5</v>
      </c>
      <c r="AE2040" s="580">
        <f t="shared" si="192"/>
        <v>2.5</v>
      </c>
      <c r="AF2040" s="580">
        <f t="shared" si="193"/>
        <v>2.5</v>
      </c>
      <c r="AG2040" s="580">
        <f t="shared" si="194"/>
        <v>0</v>
      </c>
      <c r="AH2040" s="580">
        <f t="shared" si="195"/>
        <v>0</v>
      </c>
    </row>
    <row r="2041" spans="28:34">
      <c r="AB2041" s="580">
        <f>HLOOKUP("*"&amp;'Output annual'!$AC$2&amp;'Output annual'!$AD$2&amp;"*Zone People Number Of Occupants [](Hourly)",'Eplus results'!$1:$1048576,ROW(),FALSE)</f>
        <v>0</v>
      </c>
      <c r="AC2041" s="580">
        <f>HLOOKUP("*"&amp;'Output annual'!$AC$2&amp;'Output annual'!$AD$2&amp;"*FangerPMV(Hourly)",'Eplus results'!$1:$1048576,ROW(),FALSE)</f>
        <v>0</v>
      </c>
      <c r="AD2041" s="580">
        <f t="shared" si="191"/>
        <v>5</v>
      </c>
      <c r="AE2041" s="580">
        <f t="shared" si="192"/>
        <v>2.5</v>
      </c>
      <c r="AF2041" s="580">
        <f t="shared" si="193"/>
        <v>2.5</v>
      </c>
      <c r="AG2041" s="580">
        <f t="shared" si="194"/>
        <v>0</v>
      </c>
      <c r="AH2041" s="580">
        <f t="shared" si="195"/>
        <v>0</v>
      </c>
    </row>
    <row r="2042" spans="28:34">
      <c r="AB2042" s="580">
        <f>HLOOKUP("*"&amp;'Output annual'!$AC$2&amp;'Output annual'!$AD$2&amp;"*Zone People Number Of Occupants [](Hourly)",'Eplus results'!$1:$1048576,ROW(),FALSE)</f>
        <v>0</v>
      </c>
      <c r="AC2042" s="580">
        <f>HLOOKUP("*"&amp;'Output annual'!$AC$2&amp;'Output annual'!$AD$2&amp;"*FangerPMV(Hourly)",'Eplus results'!$1:$1048576,ROW(),FALSE)</f>
        <v>0</v>
      </c>
      <c r="AD2042" s="580">
        <f t="shared" si="191"/>
        <v>5</v>
      </c>
      <c r="AE2042" s="580">
        <f t="shared" si="192"/>
        <v>2.5</v>
      </c>
      <c r="AF2042" s="580">
        <f t="shared" si="193"/>
        <v>2.5</v>
      </c>
      <c r="AG2042" s="580">
        <f t="shared" si="194"/>
        <v>0</v>
      </c>
      <c r="AH2042" s="580">
        <f t="shared" si="195"/>
        <v>0</v>
      </c>
    </row>
    <row r="2043" spans="28:34">
      <c r="AB2043" s="580">
        <f>HLOOKUP("*"&amp;'Output annual'!$AC$2&amp;'Output annual'!$AD$2&amp;"*Zone People Number Of Occupants [](Hourly)",'Eplus results'!$1:$1048576,ROW(),FALSE)</f>
        <v>0</v>
      </c>
      <c r="AC2043" s="580">
        <f>HLOOKUP("*"&amp;'Output annual'!$AC$2&amp;'Output annual'!$AD$2&amp;"*FangerPMV(Hourly)",'Eplus results'!$1:$1048576,ROW(),FALSE)</f>
        <v>0</v>
      </c>
      <c r="AD2043" s="580">
        <f t="shared" si="191"/>
        <v>5</v>
      </c>
      <c r="AE2043" s="580">
        <f t="shared" si="192"/>
        <v>2.5</v>
      </c>
      <c r="AF2043" s="580">
        <f t="shared" si="193"/>
        <v>2.5</v>
      </c>
      <c r="AG2043" s="580">
        <f t="shared" si="194"/>
        <v>0</v>
      </c>
      <c r="AH2043" s="580">
        <f t="shared" si="195"/>
        <v>0</v>
      </c>
    </row>
    <row r="2044" spans="28:34">
      <c r="AB2044" s="580">
        <f>HLOOKUP("*"&amp;'Output annual'!$AC$2&amp;'Output annual'!$AD$2&amp;"*Zone People Number Of Occupants [](Hourly)",'Eplus results'!$1:$1048576,ROW(),FALSE)</f>
        <v>0</v>
      </c>
      <c r="AC2044" s="580">
        <f>HLOOKUP("*"&amp;'Output annual'!$AC$2&amp;'Output annual'!$AD$2&amp;"*FangerPMV(Hourly)",'Eplus results'!$1:$1048576,ROW(),FALSE)</f>
        <v>0</v>
      </c>
      <c r="AD2044" s="580">
        <f t="shared" si="191"/>
        <v>5</v>
      </c>
      <c r="AE2044" s="580">
        <f t="shared" si="192"/>
        <v>2.5</v>
      </c>
      <c r="AF2044" s="580">
        <f t="shared" si="193"/>
        <v>2.5</v>
      </c>
      <c r="AG2044" s="580">
        <f t="shared" si="194"/>
        <v>0</v>
      </c>
      <c r="AH2044" s="580">
        <f t="shared" si="195"/>
        <v>0</v>
      </c>
    </row>
    <row r="2045" spans="28:34">
      <c r="AB2045" s="580">
        <f>HLOOKUP("*"&amp;'Output annual'!$AC$2&amp;'Output annual'!$AD$2&amp;"*Zone People Number Of Occupants [](Hourly)",'Eplus results'!$1:$1048576,ROW(),FALSE)</f>
        <v>0</v>
      </c>
      <c r="AC2045" s="580">
        <f>HLOOKUP("*"&amp;'Output annual'!$AC$2&amp;'Output annual'!$AD$2&amp;"*FangerPMV(Hourly)",'Eplus results'!$1:$1048576,ROW(),FALSE)</f>
        <v>0</v>
      </c>
      <c r="AD2045" s="580">
        <f t="shared" si="191"/>
        <v>5</v>
      </c>
      <c r="AE2045" s="580">
        <f t="shared" si="192"/>
        <v>2.5</v>
      </c>
      <c r="AF2045" s="580">
        <f t="shared" si="193"/>
        <v>2.5</v>
      </c>
      <c r="AG2045" s="580">
        <f t="shared" si="194"/>
        <v>0</v>
      </c>
      <c r="AH2045" s="580">
        <f t="shared" si="195"/>
        <v>0</v>
      </c>
    </row>
    <row r="2046" spans="28:34">
      <c r="AB2046" s="580">
        <f>HLOOKUP("*"&amp;'Output annual'!$AC$2&amp;'Output annual'!$AD$2&amp;"*Zone People Number Of Occupants [](Hourly)",'Eplus results'!$1:$1048576,ROW(),FALSE)</f>
        <v>0</v>
      </c>
      <c r="AC2046" s="580">
        <f>HLOOKUP("*"&amp;'Output annual'!$AC$2&amp;'Output annual'!$AD$2&amp;"*FangerPMV(Hourly)",'Eplus results'!$1:$1048576,ROW(),FALSE)</f>
        <v>0</v>
      </c>
      <c r="AD2046" s="580">
        <f t="shared" si="191"/>
        <v>5</v>
      </c>
      <c r="AE2046" s="580">
        <f t="shared" si="192"/>
        <v>2.5</v>
      </c>
      <c r="AF2046" s="580">
        <f t="shared" si="193"/>
        <v>2.5</v>
      </c>
      <c r="AG2046" s="580">
        <f t="shared" si="194"/>
        <v>0</v>
      </c>
      <c r="AH2046" s="580">
        <f t="shared" si="195"/>
        <v>0</v>
      </c>
    </row>
    <row r="2047" spans="28:34">
      <c r="AB2047" s="580">
        <f>HLOOKUP("*"&amp;'Output annual'!$AC$2&amp;'Output annual'!$AD$2&amp;"*Zone People Number Of Occupants [](Hourly)",'Eplus results'!$1:$1048576,ROW(),FALSE)</f>
        <v>0</v>
      </c>
      <c r="AC2047" s="580">
        <f>HLOOKUP("*"&amp;'Output annual'!$AC$2&amp;'Output annual'!$AD$2&amp;"*FangerPMV(Hourly)",'Eplus results'!$1:$1048576,ROW(),FALSE)</f>
        <v>0</v>
      </c>
      <c r="AD2047" s="580">
        <f t="shared" si="191"/>
        <v>5</v>
      </c>
      <c r="AE2047" s="580">
        <f t="shared" si="192"/>
        <v>2.5</v>
      </c>
      <c r="AF2047" s="580">
        <f t="shared" si="193"/>
        <v>2.5</v>
      </c>
      <c r="AG2047" s="580">
        <f t="shared" si="194"/>
        <v>0</v>
      </c>
      <c r="AH2047" s="580">
        <f t="shared" si="195"/>
        <v>0</v>
      </c>
    </row>
    <row r="2048" spans="28:34">
      <c r="AB2048" s="580">
        <f>HLOOKUP("*"&amp;'Output annual'!$AC$2&amp;'Output annual'!$AD$2&amp;"*Zone People Number Of Occupants [](Hourly)",'Eplus results'!$1:$1048576,ROW(),FALSE)</f>
        <v>0</v>
      </c>
      <c r="AC2048" s="580">
        <f>HLOOKUP("*"&amp;'Output annual'!$AC$2&amp;'Output annual'!$AD$2&amp;"*FangerPMV(Hourly)",'Eplus results'!$1:$1048576,ROW(),FALSE)</f>
        <v>0</v>
      </c>
      <c r="AD2048" s="580">
        <f t="shared" si="191"/>
        <v>5</v>
      </c>
      <c r="AE2048" s="580">
        <f t="shared" si="192"/>
        <v>2.5</v>
      </c>
      <c r="AF2048" s="580">
        <f t="shared" si="193"/>
        <v>2.5</v>
      </c>
      <c r="AG2048" s="580">
        <f t="shared" si="194"/>
        <v>0</v>
      </c>
      <c r="AH2048" s="580">
        <f t="shared" si="195"/>
        <v>0</v>
      </c>
    </row>
    <row r="2049" spans="28:34">
      <c r="AB2049" s="580">
        <f>HLOOKUP("*"&amp;'Output annual'!$AC$2&amp;'Output annual'!$AD$2&amp;"*Zone People Number Of Occupants [](Hourly)",'Eplus results'!$1:$1048576,ROW(),FALSE)</f>
        <v>0</v>
      </c>
      <c r="AC2049" s="580">
        <f>HLOOKUP("*"&amp;'Output annual'!$AC$2&amp;'Output annual'!$AD$2&amp;"*FangerPMV(Hourly)",'Eplus results'!$1:$1048576,ROW(),FALSE)</f>
        <v>0</v>
      </c>
      <c r="AD2049" s="580">
        <f t="shared" si="191"/>
        <v>5</v>
      </c>
      <c r="AE2049" s="580">
        <f t="shared" si="192"/>
        <v>2.5</v>
      </c>
      <c r="AF2049" s="580">
        <f t="shared" si="193"/>
        <v>2.5</v>
      </c>
      <c r="AG2049" s="580">
        <f t="shared" si="194"/>
        <v>0</v>
      </c>
      <c r="AH2049" s="580">
        <f t="shared" si="195"/>
        <v>0</v>
      </c>
    </row>
    <row r="2050" spans="28:34">
      <c r="AB2050" s="580">
        <f>HLOOKUP("*"&amp;'Output annual'!$AC$2&amp;'Output annual'!$AD$2&amp;"*Zone People Number Of Occupants [](Hourly)",'Eplus results'!$1:$1048576,ROW(),FALSE)</f>
        <v>0</v>
      </c>
      <c r="AC2050" s="580">
        <f>HLOOKUP("*"&amp;'Output annual'!$AC$2&amp;'Output annual'!$AD$2&amp;"*FangerPMV(Hourly)",'Eplus results'!$1:$1048576,ROW(),FALSE)</f>
        <v>0</v>
      </c>
      <c r="AD2050" s="580">
        <f t="shared" si="191"/>
        <v>5</v>
      </c>
      <c r="AE2050" s="580">
        <f t="shared" si="192"/>
        <v>2.5</v>
      </c>
      <c r="AF2050" s="580">
        <f t="shared" si="193"/>
        <v>2.5</v>
      </c>
      <c r="AG2050" s="580">
        <f t="shared" si="194"/>
        <v>0</v>
      </c>
      <c r="AH2050" s="580">
        <f t="shared" si="195"/>
        <v>0</v>
      </c>
    </row>
    <row r="2051" spans="28:34">
      <c r="AB2051" s="580">
        <f>HLOOKUP("*"&amp;'Output annual'!$AC$2&amp;'Output annual'!$AD$2&amp;"*Zone People Number Of Occupants [](Hourly)",'Eplus results'!$1:$1048576,ROW(),FALSE)</f>
        <v>0</v>
      </c>
      <c r="AC2051" s="580">
        <f>HLOOKUP("*"&amp;'Output annual'!$AC$2&amp;'Output annual'!$AD$2&amp;"*FangerPMV(Hourly)",'Eplus results'!$1:$1048576,ROW(),FALSE)</f>
        <v>0</v>
      </c>
      <c r="AD2051" s="580">
        <f t="shared" ref="AD2051:AD2114" si="196">100-95*EXP(-0.03353*AC2051^4-0.2179*AC2051^2)</f>
        <v>5</v>
      </c>
      <c r="AE2051" s="580">
        <f t="shared" ref="AE2051:AE2114" si="197">AD2051*(1/(1+EXP(-6.3*$AC2051)))</f>
        <v>2.5</v>
      </c>
      <c r="AF2051" s="580">
        <f t="shared" ref="AF2051:AF2114" si="198">(AD2051-AE2051)</f>
        <v>2.5</v>
      </c>
      <c r="AG2051" s="580">
        <f t="shared" ref="AG2051:AG2114" si="199">AE2051*AB2051</f>
        <v>0</v>
      </c>
      <c r="AH2051" s="580">
        <f t="shared" ref="AH2051:AH2114" si="200">AF2051*AB2051</f>
        <v>0</v>
      </c>
    </row>
    <row r="2052" spans="28:34">
      <c r="AB2052" s="580">
        <f>HLOOKUP("*"&amp;'Output annual'!$AC$2&amp;'Output annual'!$AD$2&amp;"*Zone People Number Of Occupants [](Hourly)",'Eplus results'!$1:$1048576,ROW(),FALSE)</f>
        <v>0</v>
      </c>
      <c r="AC2052" s="580">
        <f>HLOOKUP("*"&amp;'Output annual'!$AC$2&amp;'Output annual'!$AD$2&amp;"*FangerPMV(Hourly)",'Eplus results'!$1:$1048576,ROW(),FALSE)</f>
        <v>0</v>
      </c>
      <c r="AD2052" s="580">
        <f t="shared" si="196"/>
        <v>5</v>
      </c>
      <c r="AE2052" s="580">
        <f t="shared" si="197"/>
        <v>2.5</v>
      </c>
      <c r="AF2052" s="580">
        <f t="shared" si="198"/>
        <v>2.5</v>
      </c>
      <c r="AG2052" s="580">
        <f t="shared" si="199"/>
        <v>0</v>
      </c>
      <c r="AH2052" s="580">
        <f t="shared" si="200"/>
        <v>0</v>
      </c>
    </row>
    <row r="2053" spans="28:34">
      <c r="AB2053" s="580">
        <f>HLOOKUP("*"&amp;'Output annual'!$AC$2&amp;'Output annual'!$AD$2&amp;"*Zone People Number Of Occupants [](Hourly)",'Eplus results'!$1:$1048576,ROW(),FALSE)</f>
        <v>0</v>
      </c>
      <c r="AC2053" s="580">
        <f>HLOOKUP("*"&amp;'Output annual'!$AC$2&amp;'Output annual'!$AD$2&amp;"*FangerPMV(Hourly)",'Eplus results'!$1:$1048576,ROW(),FALSE)</f>
        <v>0</v>
      </c>
      <c r="AD2053" s="580">
        <f t="shared" si="196"/>
        <v>5</v>
      </c>
      <c r="AE2053" s="580">
        <f t="shared" si="197"/>
        <v>2.5</v>
      </c>
      <c r="AF2053" s="580">
        <f t="shared" si="198"/>
        <v>2.5</v>
      </c>
      <c r="AG2053" s="580">
        <f t="shared" si="199"/>
        <v>0</v>
      </c>
      <c r="AH2053" s="580">
        <f t="shared" si="200"/>
        <v>0</v>
      </c>
    </row>
    <row r="2054" spans="28:34">
      <c r="AB2054" s="580">
        <f>HLOOKUP("*"&amp;'Output annual'!$AC$2&amp;'Output annual'!$AD$2&amp;"*Zone People Number Of Occupants [](Hourly)",'Eplus results'!$1:$1048576,ROW(),FALSE)</f>
        <v>0</v>
      </c>
      <c r="AC2054" s="580">
        <f>HLOOKUP("*"&amp;'Output annual'!$AC$2&amp;'Output annual'!$AD$2&amp;"*FangerPMV(Hourly)",'Eplus results'!$1:$1048576,ROW(),FALSE)</f>
        <v>0</v>
      </c>
      <c r="AD2054" s="580">
        <f t="shared" si="196"/>
        <v>5</v>
      </c>
      <c r="AE2054" s="580">
        <f t="shared" si="197"/>
        <v>2.5</v>
      </c>
      <c r="AF2054" s="580">
        <f t="shared" si="198"/>
        <v>2.5</v>
      </c>
      <c r="AG2054" s="580">
        <f t="shared" si="199"/>
        <v>0</v>
      </c>
      <c r="AH2054" s="580">
        <f t="shared" si="200"/>
        <v>0</v>
      </c>
    </row>
    <row r="2055" spans="28:34">
      <c r="AB2055" s="580">
        <f>HLOOKUP("*"&amp;'Output annual'!$AC$2&amp;'Output annual'!$AD$2&amp;"*Zone People Number Of Occupants [](Hourly)",'Eplus results'!$1:$1048576,ROW(),FALSE)</f>
        <v>0</v>
      </c>
      <c r="AC2055" s="580">
        <f>HLOOKUP("*"&amp;'Output annual'!$AC$2&amp;'Output annual'!$AD$2&amp;"*FangerPMV(Hourly)",'Eplus results'!$1:$1048576,ROW(),FALSE)</f>
        <v>0</v>
      </c>
      <c r="AD2055" s="580">
        <f t="shared" si="196"/>
        <v>5</v>
      </c>
      <c r="AE2055" s="580">
        <f t="shared" si="197"/>
        <v>2.5</v>
      </c>
      <c r="AF2055" s="580">
        <f t="shared" si="198"/>
        <v>2.5</v>
      </c>
      <c r="AG2055" s="580">
        <f t="shared" si="199"/>
        <v>0</v>
      </c>
      <c r="AH2055" s="580">
        <f t="shared" si="200"/>
        <v>0</v>
      </c>
    </row>
    <row r="2056" spans="28:34">
      <c r="AB2056" s="580">
        <f>HLOOKUP("*"&amp;'Output annual'!$AC$2&amp;'Output annual'!$AD$2&amp;"*Zone People Number Of Occupants [](Hourly)",'Eplus results'!$1:$1048576,ROW(),FALSE)</f>
        <v>0</v>
      </c>
      <c r="AC2056" s="580">
        <f>HLOOKUP("*"&amp;'Output annual'!$AC$2&amp;'Output annual'!$AD$2&amp;"*FangerPMV(Hourly)",'Eplus results'!$1:$1048576,ROW(),FALSE)</f>
        <v>0</v>
      </c>
      <c r="AD2056" s="580">
        <f t="shared" si="196"/>
        <v>5</v>
      </c>
      <c r="AE2056" s="580">
        <f t="shared" si="197"/>
        <v>2.5</v>
      </c>
      <c r="AF2056" s="580">
        <f t="shared" si="198"/>
        <v>2.5</v>
      </c>
      <c r="AG2056" s="580">
        <f t="shared" si="199"/>
        <v>0</v>
      </c>
      <c r="AH2056" s="580">
        <f t="shared" si="200"/>
        <v>0</v>
      </c>
    </row>
    <row r="2057" spans="28:34">
      <c r="AB2057" s="580">
        <f>HLOOKUP("*"&amp;'Output annual'!$AC$2&amp;'Output annual'!$AD$2&amp;"*Zone People Number Of Occupants [](Hourly)",'Eplus results'!$1:$1048576,ROW(),FALSE)</f>
        <v>0</v>
      </c>
      <c r="AC2057" s="580">
        <f>HLOOKUP("*"&amp;'Output annual'!$AC$2&amp;'Output annual'!$AD$2&amp;"*FangerPMV(Hourly)",'Eplus results'!$1:$1048576,ROW(),FALSE)</f>
        <v>0</v>
      </c>
      <c r="AD2057" s="580">
        <f t="shared" si="196"/>
        <v>5</v>
      </c>
      <c r="AE2057" s="580">
        <f t="shared" si="197"/>
        <v>2.5</v>
      </c>
      <c r="AF2057" s="580">
        <f t="shared" si="198"/>
        <v>2.5</v>
      </c>
      <c r="AG2057" s="580">
        <f t="shared" si="199"/>
        <v>0</v>
      </c>
      <c r="AH2057" s="580">
        <f t="shared" si="200"/>
        <v>0</v>
      </c>
    </row>
    <row r="2058" spans="28:34">
      <c r="AB2058" s="580">
        <f>HLOOKUP("*"&amp;'Output annual'!$AC$2&amp;'Output annual'!$AD$2&amp;"*Zone People Number Of Occupants [](Hourly)",'Eplus results'!$1:$1048576,ROW(),FALSE)</f>
        <v>0</v>
      </c>
      <c r="AC2058" s="580">
        <f>HLOOKUP("*"&amp;'Output annual'!$AC$2&amp;'Output annual'!$AD$2&amp;"*FangerPMV(Hourly)",'Eplus results'!$1:$1048576,ROW(),FALSE)</f>
        <v>0</v>
      </c>
      <c r="AD2058" s="580">
        <f t="shared" si="196"/>
        <v>5</v>
      </c>
      <c r="AE2058" s="580">
        <f t="shared" si="197"/>
        <v>2.5</v>
      </c>
      <c r="AF2058" s="580">
        <f t="shared" si="198"/>
        <v>2.5</v>
      </c>
      <c r="AG2058" s="580">
        <f t="shared" si="199"/>
        <v>0</v>
      </c>
      <c r="AH2058" s="580">
        <f t="shared" si="200"/>
        <v>0</v>
      </c>
    </row>
    <row r="2059" spans="28:34">
      <c r="AB2059" s="580">
        <f>HLOOKUP("*"&amp;'Output annual'!$AC$2&amp;'Output annual'!$AD$2&amp;"*Zone People Number Of Occupants [](Hourly)",'Eplus results'!$1:$1048576,ROW(),FALSE)</f>
        <v>0</v>
      </c>
      <c r="AC2059" s="580">
        <f>HLOOKUP("*"&amp;'Output annual'!$AC$2&amp;'Output annual'!$AD$2&amp;"*FangerPMV(Hourly)",'Eplus results'!$1:$1048576,ROW(),FALSE)</f>
        <v>0</v>
      </c>
      <c r="AD2059" s="580">
        <f t="shared" si="196"/>
        <v>5</v>
      </c>
      <c r="AE2059" s="580">
        <f t="shared" si="197"/>
        <v>2.5</v>
      </c>
      <c r="AF2059" s="580">
        <f t="shared" si="198"/>
        <v>2.5</v>
      </c>
      <c r="AG2059" s="580">
        <f t="shared" si="199"/>
        <v>0</v>
      </c>
      <c r="AH2059" s="580">
        <f t="shared" si="200"/>
        <v>0</v>
      </c>
    </row>
    <row r="2060" spans="28:34">
      <c r="AB2060" s="580">
        <f>HLOOKUP("*"&amp;'Output annual'!$AC$2&amp;'Output annual'!$AD$2&amp;"*Zone People Number Of Occupants [](Hourly)",'Eplus results'!$1:$1048576,ROW(),FALSE)</f>
        <v>0</v>
      </c>
      <c r="AC2060" s="580">
        <f>HLOOKUP("*"&amp;'Output annual'!$AC$2&amp;'Output annual'!$AD$2&amp;"*FangerPMV(Hourly)",'Eplus results'!$1:$1048576,ROW(),FALSE)</f>
        <v>0</v>
      </c>
      <c r="AD2060" s="580">
        <f t="shared" si="196"/>
        <v>5</v>
      </c>
      <c r="AE2060" s="580">
        <f t="shared" si="197"/>
        <v>2.5</v>
      </c>
      <c r="AF2060" s="580">
        <f t="shared" si="198"/>
        <v>2.5</v>
      </c>
      <c r="AG2060" s="580">
        <f t="shared" si="199"/>
        <v>0</v>
      </c>
      <c r="AH2060" s="580">
        <f t="shared" si="200"/>
        <v>0</v>
      </c>
    </row>
    <row r="2061" spans="28:34">
      <c r="AB2061" s="580">
        <f>HLOOKUP("*"&amp;'Output annual'!$AC$2&amp;'Output annual'!$AD$2&amp;"*Zone People Number Of Occupants [](Hourly)",'Eplus results'!$1:$1048576,ROW(),FALSE)</f>
        <v>0</v>
      </c>
      <c r="AC2061" s="580">
        <f>HLOOKUP("*"&amp;'Output annual'!$AC$2&amp;'Output annual'!$AD$2&amp;"*FangerPMV(Hourly)",'Eplus results'!$1:$1048576,ROW(),FALSE)</f>
        <v>0</v>
      </c>
      <c r="AD2061" s="580">
        <f t="shared" si="196"/>
        <v>5</v>
      </c>
      <c r="AE2061" s="580">
        <f t="shared" si="197"/>
        <v>2.5</v>
      </c>
      <c r="AF2061" s="580">
        <f t="shared" si="198"/>
        <v>2.5</v>
      </c>
      <c r="AG2061" s="580">
        <f t="shared" si="199"/>
        <v>0</v>
      </c>
      <c r="AH2061" s="580">
        <f t="shared" si="200"/>
        <v>0</v>
      </c>
    </row>
    <row r="2062" spans="28:34">
      <c r="AB2062" s="580">
        <f>HLOOKUP("*"&amp;'Output annual'!$AC$2&amp;'Output annual'!$AD$2&amp;"*Zone People Number Of Occupants [](Hourly)",'Eplus results'!$1:$1048576,ROW(),FALSE)</f>
        <v>0</v>
      </c>
      <c r="AC2062" s="580">
        <f>HLOOKUP("*"&amp;'Output annual'!$AC$2&amp;'Output annual'!$AD$2&amp;"*FangerPMV(Hourly)",'Eplus results'!$1:$1048576,ROW(),FALSE)</f>
        <v>0</v>
      </c>
      <c r="AD2062" s="580">
        <f t="shared" si="196"/>
        <v>5</v>
      </c>
      <c r="AE2062" s="580">
        <f t="shared" si="197"/>
        <v>2.5</v>
      </c>
      <c r="AF2062" s="580">
        <f t="shared" si="198"/>
        <v>2.5</v>
      </c>
      <c r="AG2062" s="580">
        <f t="shared" si="199"/>
        <v>0</v>
      </c>
      <c r="AH2062" s="580">
        <f t="shared" si="200"/>
        <v>0</v>
      </c>
    </row>
    <row r="2063" spans="28:34">
      <c r="AB2063" s="580">
        <f>HLOOKUP("*"&amp;'Output annual'!$AC$2&amp;'Output annual'!$AD$2&amp;"*Zone People Number Of Occupants [](Hourly)",'Eplus results'!$1:$1048576,ROW(),FALSE)</f>
        <v>0</v>
      </c>
      <c r="AC2063" s="580">
        <f>HLOOKUP("*"&amp;'Output annual'!$AC$2&amp;'Output annual'!$AD$2&amp;"*FangerPMV(Hourly)",'Eplus results'!$1:$1048576,ROW(),FALSE)</f>
        <v>0</v>
      </c>
      <c r="AD2063" s="580">
        <f t="shared" si="196"/>
        <v>5</v>
      </c>
      <c r="AE2063" s="580">
        <f t="shared" si="197"/>
        <v>2.5</v>
      </c>
      <c r="AF2063" s="580">
        <f t="shared" si="198"/>
        <v>2.5</v>
      </c>
      <c r="AG2063" s="580">
        <f t="shared" si="199"/>
        <v>0</v>
      </c>
      <c r="AH2063" s="580">
        <f t="shared" si="200"/>
        <v>0</v>
      </c>
    </row>
    <row r="2064" spans="28:34">
      <c r="AB2064" s="580">
        <f>HLOOKUP("*"&amp;'Output annual'!$AC$2&amp;'Output annual'!$AD$2&amp;"*Zone People Number Of Occupants [](Hourly)",'Eplus results'!$1:$1048576,ROW(),FALSE)</f>
        <v>0</v>
      </c>
      <c r="AC2064" s="580">
        <f>HLOOKUP("*"&amp;'Output annual'!$AC$2&amp;'Output annual'!$AD$2&amp;"*FangerPMV(Hourly)",'Eplus results'!$1:$1048576,ROW(),FALSE)</f>
        <v>0</v>
      </c>
      <c r="AD2064" s="580">
        <f t="shared" si="196"/>
        <v>5</v>
      </c>
      <c r="AE2064" s="580">
        <f t="shared" si="197"/>
        <v>2.5</v>
      </c>
      <c r="AF2064" s="580">
        <f t="shared" si="198"/>
        <v>2.5</v>
      </c>
      <c r="AG2064" s="580">
        <f t="shared" si="199"/>
        <v>0</v>
      </c>
      <c r="AH2064" s="580">
        <f t="shared" si="200"/>
        <v>0</v>
      </c>
    </row>
    <row r="2065" spans="28:34">
      <c r="AB2065" s="580">
        <f>HLOOKUP("*"&amp;'Output annual'!$AC$2&amp;'Output annual'!$AD$2&amp;"*Zone People Number Of Occupants [](Hourly)",'Eplus results'!$1:$1048576,ROW(),FALSE)</f>
        <v>0</v>
      </c>
      <c r="AC2065" s="580">
        <f>HLOOKUP("*"&amp;'Output annual'!$AC$2&amp;'Output annual'!$AD$2&amp;"*FangerPMV(Hourly)",'Eplus results'!$1:$1048576,ROW(),FALSE)</f>
        <v>0</v>
      </c>
      <c r="AD2065" s="580">
        <f t="shared" si="196"/>
        <v>5</v>
      </c>
      <c r="AE2065" s="580">
        <f t="shared" si="197"/>
        <v>2.5</v>
      </c>
      <c r="AF2065" s="580">
        <f t="shared" si="198"/>
        <v>2.5</v>
      </c>
      <c r="AG2065" s="580">
        <f t="shared" si="199"/>
        <v>0</v>
      </c>
      <c r="AH2065" s="580">
        <f t="shared" si="200"/>
        <v>0</v>
      </c>
    </row>
    <row r="2066" spans="28:34">
      <c r="AB2066" s="580">
        <f>HLOOKUP("*"&amp;'Output annual'!$AC$2&amp;'Output annual'!$AD$2&amp;"*Zone People Number Of Occupants [](Hourly)",'Eplus results'!$1:$1048576,ROW(),FALSE)</f>
        <v>0</v>
      </c>
      <c r="AC2066" s="580">
        <f>HLOOKUP("*"&amp;'Output annual'!$AC$2&amp;'Output annual'!$AD$2&amp;"*FangerPMV(Hourly)",'Eplus results'!$1:$1048576,ROW(),FALSE)</f>
        <v>0</v>
      </c>
      <c r="AD2066" s="580">
        <f t="shared" si="196"/>
        <v>5</v>
      </c>
      <c r="AE2066" s="580">
        <f t="shared" si="197"/>
        <v>2.5</v>
      </c>
      <c r="AF2066" s="580">
        <f t="shared" si="198"/>
        <v>2.5</v>
      </c>
      <c r="AG2066" s="580">
        <f t="shared" si="199"/>
        <v>0</v>
      </c>
      <c r="AH2066" s="580">
        <f t="shared" si="200"/>
        <v>0</v>
      </c>
    </row>
    <row r="2067" spans="28:34">
      <c r="AB2067" s="580">
        <f>HLOOKUP("*"&amp;'Output annual'!$AC$2&amp;'Output annual'!$AD$2&amp;"*Zone People Number Of Occupants [](Hourly)",'Eplus results'!$1:$1048576,ROW(),FALSE)</f>
        <v>0</v>
      </c>
      <c r="AC2067" s="580">
        <f>HLOOKUP("*"&amp;'Output annual'!$AC$2&amp;'Output annual'!$AD$2&amp;"*FangerPMV(Hourly)",'Eplus results'!$1:$1048576,ROW(),FALSE)</f>
        <v>0</v>
      </c>
      <c r="AD2067" s="580">
        <f t="shared" si="196"/>
        <v>5</v>
      </c>
      <c r="AE2067" s="580">
        <f t="shared" si="197"/>
        <v>2.5</v>
      </c>
      <c r="AF2067" s="580">
        <f t="shared" si="198"/>
        <v>2.5</v>
      </c>
      <c r="AG2067" s="580">
        <f t="shared" si="199"/>
        <v>0</v>
      </c>
      <c r="AH2067" s="580">
        <f t="shared" si="200"/>
        <v>0</v>
      </c>
    </row>
    <row r="2068" spans="28:34">
      <c r="AB2068" s="580">
        <f>HLOOKUP("*"&amp;'Output annual'!$AC$2&amp;'Output annual'!$AD$2&amp;"*Zone People Number Of Occupants [](Hourly)",'Eplus results'!$1:$1048576,ROW(),FALSE)</f>
        <v>0</v>
      </c>
      <c r="AC2068" s="580">
        <f>HLOOKUP("*"&amp;'Output annual'!$AC$2&amp;'Output annual'!$AD$2&amp;"*FangerPMV(Hourly)",'Eplus results'!$1:$1048576,ROW(),FALSE)</f>
        <v>0</v>
      </c>
      <c r="AD2068" s="580">
        <f t="shared" si="196"/>
        <v>5</v>
      </c>
      <c r="AE2068" s="580">
        <f t="shared" si="197"/>
        <v>2.5</v>
      </c>
      <c r="AF2068" s="580">
        <f t="shared" si="198"/>
        <v>2.5</v>
      </c>
      <c r="AG2068" s="580">
        <f t="shared" si="199"/>
        <v>0</v>
      </c>
      <c r="AH2068" s="580">
        <f t="shared" si="200"/>
        <v>0</v>
      </c>
    </row>
    <row r="2069" spans="28:34">
      <c r="AB2069" s="580">
        <f>HLOOKUP("*"&amp;'Output annual'!$AC$2&amp;'Output annual'!$AD$2&amp;"*Zone People Number Of Occupants [](Hourly)",'Eplus results'!$1:$1048576,ROW(),FALSE)</f>
        <v>0</v>
      </c>
      <c r="AC2069" s="580">
        <f>HLOOKUP("*"&amp;'Output annual'!$AC$2&amp;'Output annual'!$AD$2&amp;"*FangerPMV(Hourly)",'Eplus results'!$1:$1048576,ROW(),FALSE)</f>
        <v>0</v>
      </c>
      <c r="AD2069" s="580">
        <f t="shared" si="196"/>
        <v>5</v>
      </c>
      <c r="AE2069" s="580">
        <f t="shared" si="197"/>
        <v>2.5</v>
      </c>
      <c r="AF2069" s="580">
        <f t="shared" si="198"/>
        <v>2.5</v>
      </c>
      <c r="AG2069" s="580">
        <f t="shared" si="199"/>
        <v>0</v>
      </c>
      <c r="AH2069" s="580">
        <f t="shared" si="200"/>
        <v>0</v>
      </c>
    </row>
    <row r="2070" spans="28:34">
      <c r="AB2070" s="580">
        <f>HLOOKUP("*"&amp;'Output annual'!$AC$2&amp;'Output annual'!$AD$2&amp;"*Zone People Number Of Occupants [](Hourly)",'Eplus results'!$1:$1048576,ROW(),FALSE)</f>
        <v>0</v>
      </c>
      <c r="AC2070" s="580">
        <f>HLOOKUP("*"&amp;'Output annual'!$AC$2&amp;'Output annual'!$AD$2&amp;"*FangerPMV(Hourly)",'Eplus results'!$1:$1048576,ROW(),FALSE)</f>
        <v>0</v>
      </c>
      <c r="AD2070" s="580">
        <f t="shared" si="196"/>
        <v>5</v>
      </c>
      <c r="AE2070" s="580">
        <f t="shared" si="197"/>
        <v>2.5</v>
      </c>
      <c r="AF2070" s="580">
        <f t="shared" si="198"/>
        <v>2.5</v>
      </c>
      <c r="AG2070" s="580">
        <f t="shared" si="199"/>
        <v>0</v>
      </c>
      <c r="AH2070" s="580">
        <f t="shared" si="200"/>
        <v>0</v>
      </c>
    </row>
    <row r="2071" spans="28:34">
      <c r="AB2071" s="580">
        <f>HLOOKUP("*"&amp;'Output annual'!$AC$2&amp;'Output annual'!$AD$2&amp;"*Zone People Number Of Occupants [](Hourly)",'Eplus results'!$1:$1048576,ROW(),FALSE)</f>
        <v>0</v>
      </c>
      <c r="AC2071" s="580">
        <f>HLOOKUP("*"&amp;'Output annual'!$AC$2&amp;'Output annual'!$AD$2&amp;"*FangerPMV(Hourly)",'Eplus results'!$1:$1048576,ROW(),FALSE)</f>
        <v>0</v>
      </c>
      <c r="AD2071" s="580">
        <f t="shared" si="196"/>
        <v>5</v>
      </c>
      <c r="AE2071" s="580">
        <f t="shared" si="197"/>
        <v>2.5</v>
      </c>
      <c r="AF2071" s="580">
        <f t="shared" si="198"/>
        <v>2.5</v>
      </c>
      <c r="AG2071" s="580">
        <f t="shared" si="199"/>
        <v>0</v>
      </c>
      <c r="AH2071" s="580">
        <f t="shared" si="200"/>
        <v>0</v>
      </c>
    </row>
    <row r="2072" spans="28:34">
      <c r="AB2072" s="580">
        <f>HLOOKUP("*"&amp;'Output annual'!$AC$2&amp;'Output annual'!$AD$2&amp;"*Zone People Number Of Occupants [](Hourly)",'Eplus results'!$1:$1048576,ROW(),FALSE)</f>
        <v>0</v>
      </c>
      <c r="AC2072" s="580">
        <f>HLOOKUP("*"&amp;'Output annual'!$AC$2&amp;'Output annual'!$AD$2&amp;"*FangerPMV(Hourly)",'Eplus results'!$1:$1048576,ROW(),FALSE)</f>
        <v>0</v>
      </c>
      <c r="AD2072" s="580">
        <f t="shared" si="196"/>
        <v>5</v>
      </c>
      <c r="AE2072" s="580">
        <f t="shared" si="197"/>
        <v>2.5</v>
      </c>
      <c r="AF2072" s="580">
        <f t="shared" si="198"/>
        <v>2.5</v>
      </c>
      <c r="AG2072" s="580">
        <f t="shared" si="199"/>
        <v>0</v>
      </c>
      <c r="AH2072" s="580">
        <f t="shared" si="200"/>
        <v>0</v>
      </c>
    </row>
    <row r="2073" spans="28:34">
      <c r="AB2073" s="580">
        <f>HLOOKUP("*"&amp;'Output annual'!$AC$2&amp;'Output annual'!$AD$2&amp;"*Zone People Number Of Occupants [](Hourly)",'Eplus results'!$1:$1048576,ROW(),FALSE)</f>
        <v>0</v>
      </c>
      <c r="AC2073" s="580">
        <f>HLOOKUP("*"&amp;'Output annual'!$AC$2&amp;'Output annual'!$AD$2&amp;"*FangerPMV(Hourly)",'Eplus results'!$1:$1048576,ROW(),FALSE)</f>
        <v>0</v>
      </c>
      <c r="AD2073" s="580">
        <f t="shared" si="196"/>
        <v>5</v>
      </c>
      <c r="AE2073" s="580">
        <f t="shared" si="197"/>
        <v>2.5</v>
      </c>
      <c r="AF2073" s="580">
        <f t="shared" si="198"/>
        <v>2.5</v>
      </c>
      <c r="AG2073" s="580">
        <f t="shared" si="199"/>
        <v>0</v>
      </c>
      <c r="AH2073" s="580">
        <f t="shared" si="200"/>
        <v>0</v>
      </c>
    </row>
    <row r="2074" spans="28:34">
      <c r="AB2074" s="580">
        <f>HLOOKUP("*"&amp;'Output annual'!$AC$2&amp;'Output annual'!$AD$2&amp;"*Zone People Number Of Occupants [](Hourly)",'Eplus results'!$1:$1048576,ROW(),FALSE)</f>
        <v>0</v>
      </c>
      <c r="AC2074" s="580">
        <f>HLOOKUP("*"&amp;'Output annual'!$AC$2&amp;'Output annual'!$AD$2&amp;"*FangerPMV(Hourly)",'Eplus results'!$1:$1048576,ROW(),FALSE)</f>
        <v>0</v>
      </c>
      <c r="AD2074" s="580">
        <f t="shared" si="196"/>
        <v>5</v>
      </c>
      <c r="AE2074" s="580">
        <f t="shared" si="197"/>
        <v>2.5</v>
      </c>
      <c r="AF2074" s="580">
        <f t="shared" si="198"/>
        <v>2.5</v>
      </c>
      <c r="AG2074" s="580">
        <f t="shared" si="199"/>
        <v>0</v>
      </c>
      <c r="AH2074" s="580">
        <f t="shared" si="200"/>
        <v>0</v>
      </c>
    </row>
    <row r="2075" spans="28:34">
      <c r="AB2075" s="580">
        <f>HLOOKUP("*"&amp;'Output annual'!$AC$2&amp;'Output annual'!$AD$2&amp;"*Zone People Number Of Occupants [](Hourly)",'Eplus results'!$1:$1048576,ROW(),FALSE)</f>
        <v>0</v>
      </c>
      <c r="AC2075" s="580">
        <f>HLOOKUP("*"&amp;'Output annual'!$AC$2&amp;'Output annual'!$AD$2&amp;"*FangerPMV(Hourly)",'Eplus results'!$1:$1048576,ROW(),FALSE)</f>
        <v>0</v>
      </c>
      <c r="AD2075" s="580">
        <f t="shared" si="196"/>
        <v>5</v>
      </c>
      <c r="AE2075" s="580">
        <f t="shared" si="197"/>
        <v>2.5</v>
      </c>
      <c r="AF2075" s="580">
        <f t="shared" si="198"/>
        <v>2.5</v>
      </c>
      <c r="AG2075" s="580">
        <f t="shared" si="199"/>
        <v>0</v>
      </c>
      <c r="AH2075" s="580">
        <f t="shared" si="200"/>
        <v>0</v>
      </c>
    </row>
    <row r="2076" spans="28:34">
      <c r="AB2076" s="580">
        <f>HLOOKUP("*"&amp;'Output annual'!$AC$2&amp;'Output annual'!$AD$2&amp;"*Zone People Number Of Occupants [](Hourly)",'Eplus results'!$1:$1048576,ROW(),FALSE)</f>
        <v>0</v>
      </c>
      <c r="AC2076" s="580">
        <f>HLOOKUP("*"&amp;'Output annual'!$AC$2&amp;'Output annual'!$AD$2&amp;"*FangerPMV(Hourly)",'Eplus results'!$1:$1048576,ROW(),FALSE)</f>
        <v>0</v>
      </c>
      <c r="AD2076" s="580">
        <f t="shared" si="196"/>
        <v>5</v>
      </c>
      <c r="AE2076" s="580">
        <f t="shared" si="197"/>
        <v>2.5</v>
      </c>
      <c r="AF2076" s="580">
        <f t="shared" si="198"/>
        <v>2.5</v>
      </c>
      <c r="AG2076" s="580">
        <f t="shared" si="199"/>
        <v>0</v>
      </c>
      <c r="AH2076" s="580">
        <f t="shared" si="200"/>
        <v>0</v>
      </c>
    </row>
    <row r="2077" spans="28:34">
      <c r="AB2077" s="580">
        <f>HLOOKUP("*"&amp;'Output annual'!$AC$2&amp;'Output annual'!$AD$2&amp;"*Zone People Number Of Occupants [](Hourly)",'Eplus results'!$1:$1048576,ROW(),FALSE)</f>
        <v>0</v>
      </c>
      <c r="AC2077" s="580">
        <f>HLOOKUP("*"&amp;'Output annual'!$AC$2&amp;'Output annual'!$AD$2&amp;"*FangerPMV(Hourly)",'Eplus results'!$1:$1048576,ROW(),FALSE)</f>
        <v>0</v>
      </c>
      <c r="AD2077" s="580">
        <f t="shared" si="196"/>
        <v>5</v>
      </c>
      <c r="AE2077" s="580">
        <f t="shared" si="197"/>
        <v>2.5</v>
      </c>
      <c r="AF2077" s="580">
        <f t="shared" si="198"/>
        <v>2.5</v>
      </c>
      <c r="AG2077" s="580">
        <f t="shared" si="199"/>
        <v>0</v>
      </c>
      <c r="AH2077" s="580">
        <f t="shared" si="200"/>
        <v>0</v>
      </c>
    </row>
    <row r="2078" spans="28:34">
      <c r="AB2078" s="580">
        <f>HLOOKUP("*"&amp;'Output annual'!$AC$2&amp;'Output annual'!$AD$2&amp;"*Zone People Number Of Occupants [](Hourly)",'Eplus results'!$1:$1048576,ROW(),FALSE)</f>
        <v>0</v>
      </c>
      <c r="AC2078" s="580">
        <f>HLOOKUP("*"&amp;'Output annual'!$AC$2&amp;'Output annual'!$AD$2&amp;"*FangerPMV(Hourly)",'Eplus results'!$1:$1048576,ROW(),FALSE)</f>
        <v>0</v>
      </c>
      <c r="AD2078" s="580">
        <f t="shared" si="196"/>
        <v>5</v>
      </c>
      <c r="AE2078" s="580">
        <f t="shared" si="197"/>
        <v>2.5</v>
      </c>
      <c r="AF2078" s="580">
        <f t="shared" si="198"/>
        <v>2.5</v>
      </c>
      <c r="AG2078" s="580">
        <f t="shared" si="199"/>
        <v>0</v>
      </c>
      <c r="AH2078" s="580">
        <f t="shared" si="200"/>
        <v>0</v>
      </c>
    </row>
    <row r="2079" spans="28:34">
      <c r="AB2079" s="580">
        <f>HLOOKUP("*"&amp;'Output annual'!$AC$2&amp;'Output annual'!$AD$2&amp;"*Zone People Number Of Occupants [](Hourly)",'Eplus results'!$1:$1048576,ROW(),FALSE)</f>
        <v>0</v>
      </c>
      <c r="AC2079" s="580">
        <f>HLOOKUP("*"&amp;'Output annual'!$AC$2&amp;'Output annual'!$AD$2&amp;"*FangerPMV(Hourly)",'Eplus results'!$1:$1048576,ROW(),FALSE)</f>
        <v>0</v>
      </c>
      <c r="AD2079" s="580">
        <f t="shared" si="196"/>
        <v>5</v>
      </c>
      <c r="AE2079" s="580">
        <f t="shared" si="197"/>
        <v>2.5</v>
      </c>
      <c r="AF2079" s="580">
        <f t="shared" si="198"/>
        <v>2.5</v>
      </c>
      <c r="AG2079" s="580">
        <f t="shared" si="199"/>
        <v>0</v>
      </c>
      <c r="AH2079" s="580">
        <f t="shared" si="200"/>
        <v>0</v>
      </c>
    </row>
    <row r="2080" spans="28:34">
      <c r="AB2080" s="580">
        <f>HLOOKUP("*"&amp;'Output annual'!$AC$2&amp;'Output annual'!$AD$2&amp;"*Zone People Number Of Occupants [](Hourly)",'Eplus results'!$1:$1048576,ROW(),FALSE)</f>
        <v>0</v>
      </c>
      <c r="AC2080" s="580">
        <f>HLOOKUP("*"&amp;'Output annual'!$AC$2&amp;'Output annual'!$AD$2&amp;"*FangerPMV(Hourly)",'Eplus results'!$1:$1048576,ROW(),FALSE)</f>
        <v>0</v>
      </c>
      <c r="AD2080" s="580">
        <f t="shared" si="196"/>
        <v>5</v>
      </c>
      <c r="AE2080" s="580">
        <f t="shared" si="197"/>
        <v>2.5</v>
      </c>
      <c r="AF2080" s="580">
        <f t="shared" si="198"/>
        <v>2.5</v>
      </c>
      <c r="AG2080" s="580">
        <f t="shared" si="199"/>
        <v>0</v>
      </c>
      <c r="AH2080" s="580">
        <f t="shared" si="200"/>
        <v>0</v>
      </c>
    </row>
    <row r="2081" spans="28:34">
      <c r="AB2081" s="580">
        <f>HLOOKUP("*"&amp;'Output annual'!$AC$2&amp;'Output annual'!$AD$2&amp;"*Zone People Number Of Occupants [](Hourly)",'Eplus results'!$1:$1048576,ROW(),FALSE)</f>
        <v>0</v>
      </c>
      <c r="AC2081" s="580">
        <f>HLOOKUP("*"&amp;'Output annual'!$AC$2&amp;'Output annual'!$AD$2&amp;"*FangerPMV(Hourly)",'Eplus results'!$1:$1048576,ROW(),FALSE)</f>
        <v>0</v>
      </c>
      <c r="AD2081" s="580">
        <f t="shared" si="196"/>
        <v>5</v>
      </c>
      <c r="AE2081" s="580">
        <f t="shared" si="197"/>
        <v>2.5</v>
      </c>
      <c r="AF2081" s="580">
        <f t="shared" si="198"/>
        <v>2.5</v>
      </c>
      <c r="AG2081" s="580">
        <f t="shared" si="199"/>
        <v>0</v>
      </c>
      <c r="AH2081" s="580">
        <f t="shared" si="200"/>
        <v>0</v>
      </c>
    </row>
    <row r="2082" spans="28:34">
      <c r="AB2082" s="580">
        <f>HLOOKUP("*"&amp;'Output annual'!$AC$2&amp;'Output annual'!$AD$2&amp;"*Zone People Number Of Occupants [](Hourly)",'Eplus results'!$1:$1048576,ROW(),FALSE)</f>
        <v>0</v>
      </c>
      <c r="AC2082" s="580">
        <f>HLOOKUP("*"&amp;'Output annual'!$AC$2&amp;'Output annual'!$AD$2&amp;"*FangerPMV(Hourly)",'Eplus results'!$1:$1048576,ROW(),FALSE)</f>
        <v>0</v>
      </c>
      <c r="AD2082" s="580">
        <f t="shared" si="196"/>
        <v>5</v>
      </c>
      <c r="AE2082" s="580">
        <f t="shared" si="197"/>
        <v>2.5</v>
      </c>
      <c r="AF2082" s="580">
        <f t="shared" si="198"/>
        <v>2.5</v>
      </c>
      <c r="AG2082" s="580">
        <f t="shared" si="199"/>
        <v>0</v>
      </c>
      <c r="AH2082" s="580">
        <f t="shared" si="200"/>
        <v>0</v>
      </c>
    </row>
    <row r="2083" spans="28:34">
      <c r="AB2083" s="580">
        <f>HLOOKUP("*"&amp;'Output annual'!$AC$2&amp;'Output annual'!$AD$2&amp;"*Zone People Number Of Occupants [](Hourly)",'Eplus results'!$1:$1048576,ROW(),FALSE)</f>
        <v>0</v>
      </c>
      <c r="AC2083" s="580">
        <f>HLOOKUP("*"&amp;'Output annual'!$AC$2&amp;'Output annual'!$AD$2&amp;"*FangerPMV(Hourly)",'Eplus results'!$1:$1048576,ROW(),FALSE)</f>
        <v>0</v>
      </c>
      <c r="AD2083" s="580">
        <f t="shared" si="196"/>
        <v>5</v>
      </c>
      <c r="AE2083" s="580">
        <f t="shared" si="197"/>
        <v>2.5</v>
      </c>
      <c r="AF2083" s="580">
        <f t="shared" si="198"/>
        <v>2.5</v>
      </c>
      <c r="AG2083" s="580">
        <f t="shared" si="199"/>
        <v>0</v>
      </c>
      <c r="AH2083" s="580">
        <f t="shared" si="200"/>
        <v>0</v>
      </c>
    </row>
    <row r="2084" spans="28:34">
      <c r="AB2084" s="580">
        <f>HLOOKUP("*"&amp;'Output annual'!$AC$2&amp;'Output annual'!$AD$2&amp;"*Zone People Number Of Occupants [](Hourly)",'Eplus results'!$1:$1048576,ROW(),FALSE)</f>
        <v>0</v>
      </c>
      <c r="AC2084" s="580">
        <f>HLOOKUP("*"&amp;'Output annual'!$AC$2&amp;'Output annual'!$AD$2&amp;"*FangerPMV(Hourly)",'Eplus results'!$1:$1048576,ROW(),FALSE)</f>
        <v>0</v>
      </c>
      <c r="AD2084" s="580">
        <f t="shared" si="196"/>
        <v>5</v>
      </c>
      <c r="AE2084" s="580">
        <f t="shared" si="197"/>
        <v>2.5</v>
      </c>
      <c r="AF2084" s="580">
        <f t="shared" si="198"/>
        <v>2.5</v>
      </c>
      <c r="AG2084" s="580">
        <f t="shared" si="199"/>
        <v>0</v>
      </c>
      <c r="AH2084" s="580">
        <f t="shared" si="200"/>
        <v>0</v>
      </c>
    </row>
    <row r="2085" spans="28:34">
      <c r="AB2085" s="580">
        <f>HLOOKUP("*"&amp;'Output annual'!$AC$2&amp;'Output annual'!$AD$2&amp;"*Zone People Number Of Occupants [](Hourly)",'Eplus results'!$1:$1048576,ROW(),FALSE)</f>
        <v>0</v>
      </c>
      <c r="AC2085" s="580">
        <f>HLOOKUP("*"&amp;'Output annual'!$AC$2&amp;'Output annual'!$AD$2&amp;"*FangerPMV(Hourly)",'Eplus results'!$1:$1048576,ROW(),FALSE)</f>
        <v>0</v>
      </c>
      <c r="AD2085" s="580">
        <f t="shared" si="196"/>
        <v>5</v>
      </c>
      <c r="AE2085" s="580">
        <f t="shared" si="197"/>
        <v>2.5</v>
      </c>
      <c r="AF2085" s="580">
        <f t="shared" si="198"/>
        <v>2.5</v>
      </c>
      <c r="AG2085" s="580">
        <f t="shared" si="199"/>
        <v>0</v>
      </c>
      <c r="AH2085" s="580">
        <f t="shared" si="200"/>
        <v>0</v>
      </c>
    </row>
    <row r="2086" spans="28:34">
      <c r="AB2086" s="580">
        <f>HLOOKUP("*"&amp;'Output annual'!$AC$2&amp;'Output annual'!$AD$2&amp;"*Zone People Number Of Occupants [](Hourly)",'Eplus results'!$1:$1048576,ROW(),FALSE)</f>
        <v>0</v>
      </c>
      <c r="AC2086" s="580">
        <f>HLOOKUP("*"&amp;'Output annual'!$AC$2&amp;'Output annual'!$AD$2&amp;"*FangerPMV(Hourly)",'Eplus results'!$1:$1048576,ROW(),FALSE)</f>
        <v>0</v>
      </c>
      <c r="AD2086" s="580">
        <f t="shared" si="196"/>
        <v>5</v>
      </c>
      <c r="AE2086" s="580">
        <f t="shared" si="197"/>
        <v>2.5</v>
      </c>
      <c r="AF2086" s="580">
        <f t="shared" si="198"/>
        <v>2.5</v>
      </c>
      <c r="AG2086" s="580">
        <f t="shared" si="199"/>
        <v>0</v>
      </c>
      <c r="AH2086" s="580">
        <f t="shared" si="200"/>
        <v>0</v>
      </c>
    </row>
    <row r="2087" spans="28:34">
      <c r="AB2087" s="580">
        <f>HLOOKUP("*"&amp;'Output annual'!$AC$2&amp;'Output annual'!$AD$2&amp;"*Zone People Number Of Occupants [](Hourly)",'Eplus results'!$1:$1048576,ROW(),FALSE)</f>
        <v>0</v>
      </c>
      <c r="AC2087" s="580">
        <f>HLOOKUP("*"&amp;'Output annual'!$AC$2&amp;'Output annual'!$AD$2&amp;"*FangerPMV(Hourly)",'Eplus results'!$1:$1048576,ROW(),FALSE)</f>
        <v>0</v>
      </c>
      <c r="AD2087" s="580">
        <f t="shared" si="196"/>
        <v>5</v>
      </c>
      <c r="AE2087" s="580">
        <f t="shared" si="197"/>
        <v>2.5</v>
      </c>
      <c r="AF2087" s="580">
        <f t="shared" si="198"/>
        <v>2.5</v>
      </c>
      <c r="AG2087" s="580">
        <f t="shared" si="199"/>
        <v>0</v>
      </c>
      <c r="AH2087" s="580">
        <f t="shared" si="200"/>
        <v>0</v>
      </c>
    </row>
    <row r="2088" spans="28:34">
      <c r="AB2088" s="580">
        <f>HLOOKUP("*"&amp;'Output annual'!$AC$2&amp;'Output annual'!$AD$2&amp;"*Zone People Number Of Occupants [](Hourly)",'Eplus results'!$1:$1048576,ROW(),FALSE)</f>
        <v>0</v>
      </c>
      <c r="AC2088" s="580">
        <f>HLOOKUP("*"&amp;'Output annual'!$AC$2&amp;'Output annual'!$AD$2&amp;"*FangerPMV(Hourly)",'Eplus results'!$1:$1048576,ROW(),FALSE)</f>
        <v>0</v>
      </c>
      <c r="AD2088" s="580">
        <f t="shared" si="196"/>
        <v>5</v>
      </c>
      <c r="AE2088" s="580">
        <f t="shared" si="197"/>
        <v>2.5</v>
      </c>
      <c r="AF2088" s="580">
        <f t="shared" si="198"/>
        <v>2.5</v>
      </c>
      <c r="AG2088" s="580">
        <f t="shared" si="199"/>
        <v>0</v>
      </c>
      <c r="AH2088" s="580">
        <f t="shared" si="200"/>
        <v>0</v>
      </c>
    </row>
    <row r="2089" spans="28:34">
      <c r="AB2089" s="580">
        <f>HLOOKUP("*"&amp;'Output annual'!$AC$2&amp;'Output annual'!$AD$2&amp;"*Zone People Number Of Occupants [](Hourly)",'Eplus results'!$1:$1048576,ROW(),FALSE)</f>
        <v>0</v>
      </c>
      <c r="AC2089" s="580">
        <f>HLOOKUP("*"&amp;'Output annual'!$AC$2&amp;'Output annual'!$AD$2&amp;"*FangerPMV(Hourly)",'Eplus results'!$1:$1048576,ROW(),FALSE)</f>
        <v>0</v>
      </c>
      <c r="AD2089" s="580">
        <f t="shared" si="196"/>
        <v>5</v>
      </c>
      <c r="AE2089" s="580">
        <f t="shared" si="197"/>
        <v>2.5</v>
      </c>
      <c r="AF2089" s="580">
        <f t="shared" si="198"/>
        <v>2.5</v>
      </c>
      <c r="AG2089" s="580">
        <f t="shared" si="199"/>
        <v>0</v>
      </c>
      <c r="AH2089" s="580">
        <f t="shared" si="200"/>
        <v>0</v>
      </c>
    </row>
    <row r="2090" spans="28:34">
      <c r="AB2090" s="580">
        <f>HLOOKUP("*"&amp;'Output annual'!$AC$2&amp;'Output annual'!$AD$2&amp;"*Zone People Number Of Occupants [](Hourly)",'Eplus results'!$1:$1048576,ROW(),FALSE)</f>
        <v>0</v>
      </c>
      <c r="AC2090" s="580">
        <f>HLOOKUP("*"&amp;'Output annual'!$AC$2&amp;'Output annual'!$AD$2&amp;"*FangerPMV(Hourly)",'Eplus results'!$1:$1048576,ROW(),FALSE)</f>
        <v>0</v>
      </c>
      <c r="AD2090" s="580">
        <f t="shared" si="196"/>
        <v>5</v>
      </c>
      <c r="AE2090" s="580">
        <f t="shared" si="197"/>
        <v>2.5</v>
      </c>
      <c r="AF2090" s="580">
        <f t="shared" si="198"/>
        <v>2.5</v>
      </c>
      <c r="AG2090" s="580">
        <f t="shared" si="199"/>
        <v>0</v>
      </c>
      <c r="AH2090" s="580">
        <f t="shared" si="200"/>
        <v>0</v>
      </c>
    </row>
    <row r="2091" spans="28:34">
      <c r="AB2091" s="580">
        <f>HLOOKUP("*"&amp;'Output annual'!$AC$2&amp;'Output annual'!$AD$2&amp;"*Zone People Number Of Occupants [](Hourly)",'Eplus results'!$1:$1048576,ROW(),FALSE)</f>
        <v>0</v>
      </c>
      <c r="AC2091" s="580">
        <f>HLOOKUP("*"&amp;'Output annual'!$AC$2&amp;'Output annual'!$AD$2&amp;"*FangerPMV(Hourly)",'Eplus results'!$1:$1048576,ROW(),FALSE)</f>
        <v>0</v>
      </c>
      <c r="AD2091" s="580">
        <f t="shared" si="196"/>
        <v>5</v>
      </c>
      <c r="AE2091" s="580">
        <f t="shared" si="197"/>
        <v>2.5</v>
      </c>
      <c r="AF2091" s="580">
        <f t="shared" si="198"/>
        <v>2.5</v>
      </c>
      <c r="AG2091" s="580">
        <f t="shared" si="199"/>
        <v>0</v>
      </c>
      <c r="AH2091" s="580">
        <f t="shared" si="200"/>
        <v>0</v>
      </c>
    </row>
    <row r="2092" spans="28:34">
      <c r="AB2092" s="580">
        <f>HLOOKUP("*"&amp;'Output annual'!$AC$2&amp;'Output annual'!$AD$2&amp;"*Zone People Number Of Occupants [](Hourly)",'Eplus results'!$1:$1048576,ROW(),FALSE)</f>
        <v>0</v>
      </c>
      <c r="AC2092" s="580">
        <f>HLOOKUP("*"&amp;'Output annual'!$AC$2&amp;'Output annual'!$AD$2&amp;"*FangerPMV(Hourly)",'Eplus results'!$1:$1048576,ROW(),FALSE)</f>
        <v>0</v>
      </c>
      <c r="AD2092" s="580">
        <f t="shared" si="196"/>
        <v>5</v>
      </c>
      <c r="AE2092" s="580">
        <f t="shared" si="197"/>
        <v>2.5</v>
      </c>
      <c r="AF2092" s="580">
        <f t="shared" si="198"/>
        <v>2.5</v>
      </c>
      <c r="AG2092" s="580">
        <f t="shared" si="199"/>
        <v>0</v>
      </c>
      <c r="AH2092" s="580">
        <f t="shared" si="200"/>
        <v>0</v>
      </c>
    </row>
    <row r="2093" spans="28:34">
      <c r="AB2093" s="580">
        <f>HLOOKUP("*"&amp;'Output annual'!$AC$2&amp;'Output annual'!$AD$2&amp;"*Zone People Number Of Occupants [](Hourly)",'Eplus results'!$1:$1048576,ROW(),FALSE)</f>
        <v>0</v>
      </c>
      <c r="AC2093" s="580">
        <f>HLOOKUP("*"&amp;'Output annual'!$AC$2&amp;'Output annual'!$AD$2&amp;"*FangerPMV(Hourly)",'Eplus results'!$1:$1048576,ROW(),FALSE)</f>
        <v>0</v>
      </c>
      <c r="AD2093" s="580">
        <f t="shared" si="196"/>
        <v>5</v>
      </c>
      <c r="AE2093" s="580">
        <f t="shared" si="197"/>
        <v>2.5</v>
      </c>
      <c r="AF2093" s="580">
        <f t="shared" si="198"/>
        <v>2.5</v>
      </c>
      <c r="AG2093" s="580">
        <f t="shared" si="199"/>
        <v>0</v>
      </c>
      <c r="AH2093" s="580">
        <f t="shared" si="200"/>
        <v>0</v>
      </c>
    </row>
    <row r="2094" spans="28:34">
      <c r="AB2094" s="580">
        <f>HLOOKUP("*"&amp;'Output annual'!$AC$2&amp;'Output annual'!$AD$2&amp;"*Zone People Number Of Occupants [](Hourly)",'Eplus results'!$1:$1048576,ROW(),FALSE)</f>
        <v>0</v>
      </c>
      <c r="AC2094" s="580">
        <f>HLOOKUP("*"&amp;'Output annual'!$AC$2&amp;'Output annual'!$AD$2&amp;"*FangerPMV(Hourly)",'Eplus results'!$1:$1048576,ROW(),FALSE)</f>
        <v>0</v>
      </c>
      <c r="AD2094" s="580">
        <f t="shared" si="196"/>
        <v>5</v>
      </c>
      <c r="AE2094" s="580">
        <f t="shared" si="197"/>
        <v>2.5</v>
      </c>
      <c r="AF2094" s="580">
        <f t="shared" si="198"/>
        <v>2.5</v>
      </c>
      <c r="AG2094" s="580">
        <f t="shared" si="199"/>
        <v>0</v>
      </c>
      <c r="AH2094" s="580">
        <f t="shared" si="200"/>
        <v>0</v>
      </c>
    </row>
    <row r="2095" spans="28:34">
      <c r="AB2095" s="580">
        <f>HLOOKUP("*"&amp;'Output annual'!$AC$2&amp;'Output annual'!$AD$2&amp;"*Zone People Number Of Occupants [](Hourly)",'Eplus results'!$1:$1048576,ROW(),FALSE)</f>
        <v>0</v>
      </c>
      <c r="AC2095" s="580">
        <f>HLOOKUP("*"&amp;'Output annual'!$AC$2&amp;'Output annual'!$AD$2&amp;"*FangerPMV(Hourly)",'Eplus results'!$1:$1048576,ROW(),FALSE)</f>
        <v>0</v>
      </c>
      <c r="AD2095" s="580">
        <f t="shared" si="196"/>
        <v>5</v>
      </c>
      <c r="AE2095" s="580">
        <f t="shared" si="197"/>
        <v>2.5</v>
      </c>
      <c r="AF2095" s="580">
        <f t="shared" si="198"/>
        <v>2.5</v>
      </c>
      <c r="AG2095" s="580">
        <f t="shared" si="199"/>
        <v>0</v>
      </c>
      <c r="AH2095" s="580">
        <f t="shared" si="200"/>
        <v>0</v>
      </c>
    </row>
    <row r="2096" spans="28:34">
      <c r="AB2096" s="580">
        <f>HLOOKUP("*"&amp;'Output annual'!$AC$2&amp;'Output annual'!$AD$2&amp;"*Zone People Number Of Occupants [](Hourly)",'Eplus results'!$1:$1048576,ROW(),FALSE)</f>
        <v>0</v>
      </c>
      <c r="AC2096" s="580">
        <f>HLOOKUP("*"&amp;'Output annual'!$AC$2&amp;'Output annual'!$AD$2&amp;"*FangerPMV(Hourly)",'Eplus results'!$1:$1048576,ROW(),FALSE)</f>
        <v>0</v>
      </c>
      <c r="AD2096" s="580">
        <f t="shared" si="196"/>
        <v>5</v>
      </c>
      <c r="AE2096" s="580">
        <f t="shared" si="197"/>
        <v>2.5</v>
      </c>
      <c r="AF2096" s="580">
        <f t="shared" si="198"/>
        <v>2.5</v>
      </c>
      <c r="AG2096" s="580">
        <f t="shared" si="199"/>
        <v>0</v>
      </c>
      <c r="AH2096" s="580">
        <f t="shared" si="200"/>
        <v>0</v>
      </c>
    </row>
    <row r="2097" spans="28:34">
      <c r="AB2097" s="580">
        <f>HLOOKUP("*"&amp;'Output annual'!$AC$2&amp;'Output annual'!$AD$2&amp;"*Zone People Number Of Occupants [](Hourly)",'Eplus results'!$1:$1048576,ROW(),FALSE)</f>
        <v>0</v>
      </c>
      <c r="AC2097" s="580">
        <f>HLOOKUP("*"&amp;'Output annual'!$AC$2&amp;'Output annual'!$AD$2&amp;"*FangerPMV(Hourly)",'Eplus results'!$1:$1048576,ROW(),FALSE)</f>
        <v>0</v>
      </c>
      <c r="AD2097" s="580">
        <f t="shared" si="196"/>
        <v>5</v>
      </c>
      <c r="AE2097" s="580">
        <f t="shared" si="197"/>
        <v>2.5</v>
      </c>
      <c r="AF2097" s="580">
        <f t="shared" si="198"/>
        <v>2.5</v>
      </c>
      <c r="AG2097" s="580">
        <f t="shared" si="199"/>
        <v>0</v>
      </c>
      <c r="AH2097" s="580">
        <f t="shared" si="200"/>
        <v>0</v>
      </c>
    </row>
    <row r="2098" spans="28:34">
      <c r="AB2098" s="580">
        <f>HLOOKUP("*"&amp;'Output annual'!$AC$2&amp;'Output annual'!$AD$2&amp;"*Zone People Number Of Occupants [](Hourly)",'Eplus results'!$1:$1048576,ROW(),FALSE)</f>
        <v>0</v>
      </c>
      <c r="AC2098" s="580">
        <f>HLOOKUP("*"&amp;'Output annual'!$AC$2&amp;'Output annual'!$AD$2&amp;"*FangerPMV(Hourly)",'Eplus results'!$1:$1048576,ROW(),FALSE)</f>
        <v>0</v>
      </c>
      <c r="AD2098" s="580">
        <f t="shared" si="196"/>
        <v>5</v>
      </c>
      <c r="AE2098" s="580">
        <f t="shared" si="197"/>
        <v>2.5</v>
      </c>
      <c r="AF2098" s="580">
        <f t="shared" si="198"/>
        <v>2.5</v>
      </c>
      <c r="AG2098" s="580">
        <f t="shared" si="199"/>
        <v>0</v>
      </c>
      <c r="AH2098" s="580">
        <f t="shared" si="200"/>
        <v>0</v>
      </c>
    </row>
    <row r="2099" spans="28:34">
      <c r="AB2099" s="580">
        <f>HLOOKUP("*"&amp;'Output annual'!$AC$2&amp;'Output annual'!$AD$2&amp;"*Zone People Number Of Occupants [](Hourly)",'Eplus results'!$1:$1048576,ROW(),FALSE)</f>
        <v>0</v>
      </c>
      <c r="AC2099" s="580">
        <f>HLOOKUP("*"&amp;'Output annual'!$AC$2&amp;'Output annual'!$AD$2&amp;"*FangerPMV(Hourly)",'Eplus results'!$1:$1048576,ROW(),FALSE)</f>
        <v>0</v>
      </c>
      <c r="AD2099" s="580">
        <f t="shared" si="196"/>
        <v>5</v>
      </c>
      <c r="AE2099" s="580">
        <f t="shared" si="197"/>
        <v>2.5</v>
      </c>
      <c r="AF2099" s="580">
        <f t="shared" si="198"/>
        <v>2.5</v>
      </c>
      <c r="AG2099" s="580">
        <f t="shared" si="199"/>
        <v>0</v>
      </c>
      <c r="AH2099" s="580">
        <f t="shared" si="200"/>
        <v>0</v>
      </c>
    </row>
    <row r="2100" spans="28:34">
      <c r="AB2100" s="580">
        <f>HLOOKUP("*"&amp;'Output annual'!$AC$2&amp;'Output annual'!$AD$2&amp;"*Zone People Number Of Occupants [](Hourly)",'Eplus results'!$1:$1048576,ROW(),FALSE)</f>
        <v>0</v>
      </c>
      <c r="AC2100" s="580">
        <f>HLOOKUP("*"&amp;'Output annual'!$AC$2&amp;'Output annual'!$AD$2&amp;"*FangerPMV(Hourly)",'Eplus results'!$1:$1048576,ROW(),FALSE)</f>
        <v>0</v>
      </c>
      <c r="AD2100" s="580">
        <f t="shared" si="196"/>
        <v>5</v>
      </c>
      <c r="AE2100" s="580">
        <f t="shared" si="197"/>
        <v>2.5</v>
      </c>
      <c r="AF2100" s="580">
        <f t="shared" si="198"/>
        <v>2.5</v>
      </c>
      <c r="AG2100" s="580">
        <f t="shared" si="199"/>
        <v>0</v>
      </c>
      <c r="AH2100" s="580">
        <f t="shared" si="200"/>
        <v>0</v>
      </c>
    </row>
    <row r="2101" spans="28:34">
      <c r="AB2101" s="580">
        <f>HLOOKUP("*"&amp;'Output annual'!$AC$2&amp;'Output annual'!$AD$2&amp;"*Zone People Number Of Occupants [](Hourly)",'Eplus results'!$1:$1048576,ROW(),FALSE)</f>
        <v>0</v>
      </c>
      <c r="AC2101" s="580">
        <f>HLOOKUP("*"&amp;'Output annual'!$AC$2&amp;'Output annual'!$AD$2&amp;"*FangerPMV(Hourly)",'Eplus results'!$1:$1048576,ROW(),FALSE)</f>
        <v>0</v>
      </c>
      <c r="AD2101" s="580">
        <f t="shared" si="196"/>
        <v>5</v>
      </c>
      <c r="AE2101" s="580">
        <f t="shared" si="197"/>
        <v>2.5</v>
      </c>
      <c r="AF2101" s="580">
        <f t="shared" si="198"/>
        <v>2.5</v>
      </c>
      <c r="AG2101" s="580">
        <f t="shared" si="199"/>
        <v>0</v>
      </c>
      <c r="AH2101" s="580">
        <f t="shared" si="200"/>
        <v>0</v>
      </c>
    </row>
    <row r="2102" spans="28:34">
      <c r="AB2102" s="580">
        <f>HLOOKUP("*"&amp;'Output annual'!$AC$2&amp;'Output annual'!$AD$2&amp;"*Zone People Number Of Occupants [](Hourly)",'Eplus results'!$1:$1048576,ROW(),FALSE)</f>
        <v>0</v>
      </c>
      <c r="AC2102" s="580">
        <f>HLOOKUP("*"&amp;'Output annual'!$AC$2&amp;'Output annual'!$AD$2&amp;"*FangerPMV(Hourly)",'Eplus results'!$1:$1048576,ROW(),FALSE)</f>
        <v>0</v>
      </c>
      <c r="AD2102" s="580">
        <f t="shared" si="196"/>
        <v>5</v>
      </c>
      <c r="AE2102" s="580">
        <f t="shared" si="197"/>
        <v>2.5</v>
      </c>
      <c r="AF2102" s="580">
        <f t="shared" si="198"/>
        <v>2.5</v>
      </c>
      <c r="AG2102" s="580">
        <f t="shared" si="199"/>
        <v>0</v>
      </c>
      <c r="AH2102" s="580">
        <f t="shared" si="200"/>
        <v>0</v>
      </c>
    </row>
    <row r="2103" spans="28:34">
      <c r="AB2103" s="580">
        <f>HLOOKUP("*"&amp;'Output annual'!$AC$2&amp;'Output annual'!$AD$2&amp;"*Zone People Number Of Occupants [](Hourly)",'Eplus results'!$1:$1048576,ROW(),FALSE)</f>
        <v>0</v>
      </c>
      <c r="AC2103" s="580">
        <f>HLOOKUP("*"&amp;'Output annual'!$AC$2&amp;'Output annual'!$AD$2&amp;"*FangerPMV(Hourly)",'Eplus results'!$1:$1048576,ROW(),FALSE)</f>
        <v>0</v>
      </c>
      <c r="AD2103" s="580">
        <f t="shared" si="196"/>
        <v>5</v>
      </c>
      <c r="AE2103" s="580">
        <f t="shared" si="197"/>
        <v>2.5</v>
      </c>
      <c r="AF2103" s="580">
        <f t="shared" si="198"/>
        <v>2.5</v>
      </c>
      <c r="AG2103" s="580">
        <f t="shared" si="199"/>
        <v>0</v>
      </c>
      <c r="AH2103" s="580">
        <f t="shared" si="200"/>
        <v>0</v>
      </c>
    </row>
    <row r="2104" spans="28:34">
      <c r="AB2104" s="580">
        <f>HLOOKUP("*"&amp;'Output annual'!$AC$2&amp;'Output annual'!$AD$2&amp;"*Zone People Number Of Occupants [](Hourly)",'Eplus results'!$1:$1048576,ROW(),FALSE)</f>
        <v>0</v>
      </c>
      <c r="AC2104" s="580">
        <f>HLOOKUP("*"&amp;'Output annual'!$AC$2&amp;'Output annual'!$AD$2&amp;"*FangerPMV(Hourly)",'Eplus results'!$1:$1048576,ROW(),FALSE)</f>
        <v>0</v>
      </c>
      <c r="AD2104" s="580">
        <f t="shared" si="196"/>
        <v>5</v>
      </c>
      <c r="AE2104" s="580">
        <f t="shared" si="197"/>
        <v>2.5</v>
      </c>
      <c r="AF2104" s="580">
        <f t="shared" si="198"/>
        <v>2.5</v>
      </c>
      <c r="AG2104" s="580">
        <f t="shared" si="199"/>
        <v>0</v>
      </c>
      <c r="AH2104" s="580">
        <f t="shared" si="200"/>
        <v>0</v>
      </c>
    </row>
    <row r="2105" spans="28:34">
      <c r="AB2105" s="580">
        <f>HLOOKUP("*"&amp;'Output annual'!$AC$2&amp;'Output annual'!$AD$2&amp;"*Zone People Number Of Occupants [](Hourly)",'Eplus results'!$1:$1048576,ROW(),FALSE)</f>
        <v>0</v>
      </c>
      <c r="AC2105" s="580">
        <f>HLOOKUP("*"&amp;'Output annual'!$AC$2&amp;'Output annual'!$AD$2&amp;"*FangerPMV(Hourly)",'Eplus results'!$1:$1048576,ROW(),FALSE)</f>
        <v>0</v>
      </c>
      <c r="AD2105" s="580">
        <f t="shared" si="196"/>
        <v>5</v>
      </c>
      <c r="AE2105" s="580">
        <f t="shared" si="197"/>
        <v>2.5</v>
      </c>
      <c r="AF2105" s="580">
        <f t="shared" si="198"/>
        <v>2.5</v>
      </c>
      <c r="AG2105" s="580">
        <f t="shared" si="199"/>
        <v>0</v>
      </c>
      <c r="AH2105" s="580">
        <f t="shared" si="200"/>
        <v>0</v>
      </c>
    </row>
    <row r="2106" spans="28:34">
      <c r="AB2106" s="580">
        <f>HLOOKUP("*"&amp;'Output annual'!$AC$2&amp;'Output annual'!$AD$2&amp;"*Zone People Number Of Occupants [](Hourly)",'Eplus results'!$1:$1048576,ROW(),FALSE)</f>
        <v>0</v>
      </c>
      <c r="AC2106" s="580">
        <f>HLOOKUP("*"&amp;'Output annual'!$AC$2&amp;'Output annual'!$AD$2&amp;"*FangerPMV(Hourly)",'Eplus results'!$1:$1048576,ROW(),FALSE)</f>
        <v>0</v>
      </c>
      <c r="AD2106" s="580">
        <f t="shared" si="196"/>
        <v>5</v>
      </c>
      <c r="AE2106" s="580">
        <f t="shared" si="197"/>
        <v>2.5</v>
      </c>
      <c r="AF2106" s="580">
        <f t="shared" si="198"/>
        <v>2.5</v>
      </c>
      <c r="AG2106" s="580">
        <f t="shared" si="199"/>
        <v>0</v>
      </c>
      <c r="AH2106" s="580">
        <f t="shared" si="200"/>
        <v>0</v>
      </c>
    </row>
    <row r="2107" spans="28:34">
      <c r="AB2107" s="580">
        <f>HLOOKUP("*"&amp;'Output annual'!$AC$2&amp;'Output annual'!$AD$2&amp;"*Zone People Number Of Occupants [](Hourly)",'Eplus results'!$1:$1048576,ROW(),FALSE)</f>
        <v>0</v>
      </c>
      <c r="AC2107" s="580">
        <f>HLOOKUP("*"&amp;'Output annual'!$AC$2&amp;'Output annual'!$AD$2&amp;"*FangerPMV(Hourly)",'Eplus results'!$1:$1048576,ROW(),FALSE)</f>
        <v>0</v>
      </c>
      <c r="AD2107" s="580">
        <f t="shared" si="196"/>
        <v>5</v>
      </c>
      <c r="AE2107" s="580">
        <f t="shared" si="197"/>
        <v>2.5</v>
      </c>
      <c r="AF2107" s="580">
        <f t="shared" si="198"/>
        <v>2.5</v>
      </c>
      <c r="AG2107" s="580">
        <f t="shared" si="199"/>
        <v>0</v>
      </c>
      <c r="AH2107" s="580">
        <f t="shared" si="200"/>
        <v>0</v>
      </c>
    </row>
    <row r="2108" spans="28:34">
      <c r="AB2108" s="580">
        <f>HLOOKUP("*"&amp;'Output annual'!$AC$2&amp;'Output annual'!$AD$2&amp;"*Zone People Number Of Occupants [](Hourly)",'Eplus results'!$1:$1048576,ROW(),FALSE)</f>
        <v>0</v>
      </c>
      <c r="AC2108" s="580">
        <f>HLOOKUP("*"&amp;'Output annual'!$AC$2&amp;'Output annual'!$AD$2&amp;"*FangerPMV(Hourly)",'Eplus results'!$1:$1048576,ROW(),FALSE)</f>
        <v>0</v>
      </c>
      <c r="AD2108" s="580">
        <f t="shared" si="196"/>
        <v>5</v>
      </c>
      <c r="AE2108" s="580">
        <f t="shared" si="197"/>
        <v>2.5</v>
      </c>
      <c r="AF2108" s="580">
        <f t="shared" si="198"/>
        <v>2.5</v>
      </c>
      <c r="AG2108" s="580">
        <f t="shared" si="199"/>
        <v>0</v>
      </c>
      <c r="AH2108" s="580">
        <f t="shared" si="200"/>
        <v>0</v>
      </c>
    </row>
    <row r="2109" spans="28:34">
      <c r="AB2109" s="580">
        <f>HLOOKUP("*"&amp;'Output annual'!$AC$2&amp;'Output annual'!$AD$2&amp;"*Zone People Number Of Occupants [](Hourly)",'Eplus results'!$1:$1048576,ROW(),FALSE)</f>
        <v>0</v>
      </c>
      <c r="AC2109" s="580">
        <f>HLOOKUP("*"&amp;'Output annual'!$AC$2&amp;'Output annual'!$AD$2&amp;"*FangerPMV(Hourly)",'Eplus results'!$1:$1048576,ROW(),FALSE)</f>
        <v>0</v>
      </c>
      <c r="AD2109" s="580">
        <f t="shared" si="196"/>
        <v>5</v>
      </c>
      <c r="AE2109" s="580">
        <f t="shared" si="197"/>
        <v>2.5</v>
      </c>
      <c r="AF2109" s="580">
        <f t="shared" si="198"/>
        <v>2.5</v>
      </c>
      <c r="AG2109" s="580">
        <f t="shared" si="199"/>
        <v>0</v>
      </c>
      <c r="AH2109" s="580">
        <f t="shared" si="200"/>
        <v>0</v>
      </c>
    </row>
    <row r="2110" spans="28:34">
      <c r="AB2110" s="580">
        <f>HLOOKUP("*"&amp;'Output annual'!$AC$2&amp;'Output annual'!$AD$2&amp;"*Zone People Number Of Occupants [](Hourly)",'Eplus results'!$1:$1048576,ROW(),FALSE)</f>
        <v>0</v>
      </c>
      <c r="AC2110" s="580">
        <f>HLOOKUP("*"&amp;'Output annual'!$AC$2&amp;'Output annual'!$AD$2&amp;"*FangerPMV(Hourly)",'Eplus results'!$1:$1048576,ROW(),FALSE)</f>
        <v>0</v>
      </c>
      <c r="AD2110" s="580">
        <f t="shared" si="196"/>
        <v>5</v>
      </c>
      <c r="AE2110" s="580">
        <f t="shared" si="197"/>
        <v>2.5</v>
      </c>
      <c r="AF2110" s="580">
        <f t="shared" si="198"/>
        <v>2.5</v>
      </c>
      <c r="AG2110" s="580">
        <f t="shared" si="199"/>
        <v>0</v>
      </c>
      <c r="AH2110" s="580">
        <f t="shared" si="200"/>
        <v>0</v>
      </c>
    </row>
    <row r="2111" spans="28:34">
      <c r="AB2111" s="580">
        <f>HLOOKUP("*"&amp;'Output annual'!$AC$2&amp;'Output annual'!$AD$2&amp;"*Zone People Number Of Occupants [](Hourly)",'Eplus results'!$1:$1048576,ROW(),FALSE)</f>
        <v>0</v>
      </c>
      <c r="AC2111" s="580">
        <f>HLOOKUP("*"&amp;'Output annual'!$AC$2&amp;'Output annual'!$AD$2&amp;"*FangerPMV(Hourly)",'Eplus results'!$1:$1048576,ROW(),FALSE)</f>
        <v>0</v>
      </c>
      <c r="AD2111" s="580">
        <f t="shared" si="196"/>
        <v>5</v>
      </c>
      <c r="AE2111" s="580">
        <f t="shared" si="197"/>
        <v>2.5</v>
      </c>
      <c r="AF2111" s="580">
        <f t="shared" si="198"/>
        <v>2.5</v>
      </c>
      <c r="AG2111" s="580">
        <f t="shared" si="199"/>
        <v>0</v>
      </c>
      <c r="AH2111" s="580">
        <f t="shared" si="200"/>
        <v>0</v>
      </c>
    </row>
    <row r="2112" spans="28:34">
      <c r="AB2112" s="580">
        <f>HLOOKUP("*"&amp;'Output annual'!$AC$2&amp;'Output annual'!$AD$2&amp;"*Zone People Number Of Occupants [](Hourly)",'Eplus results'!$1:$1048576,ROW(),FALSE)</f>
        <v>0</v>
      </c>
      <c r="AC2112" s="580">
        <f>HLOOKUP("*"&amp;'Output annual'!$AC$2&amp;'Output annual'!$AD$2&amp;"*FangerPMV(Hourly)",'Eplus results'!$1:$1048576,ROW(),FALSE)</f>
        <v>0</v>
      </c>
      <c r="AD2112" s="580">
        <f t="shared" si="196"/>
        <v>5</v>
      </c>
      <c r="AE2112" s="580">
        <f t="shared" si="197"/>
        <v>2.5</v>
      </c>
      <c r="AF2112" s="580">
        <f t="shared" si="198"/>
        <v>2.5</v>
      </c>
      <c r="AG2112" s="580">
        <f t="shared" si="199"/>
        <v>0</v>
      </c>
      <c r="AH2112" s="580">
        <f t="shared" si="200"/>
        <v>0</v>
      </c>
    </row>
    <row r="2113" spans="28:34">
      <c r="AB2113" s="580">
        <f>HLOOKUP("*"&amp;'Output annual'!$AC$2&amp;'Output annual'!$AD$2&amp;"*Zone People Number Of Occupants [](Hourly)",'Eplus results'!$1:$1048576,ROW(),FALSE)</f>
        <v>0</v>
      </c>
      <c r="AC2113" s="580">
        <f>HLOOKUP("*"&amp;'Output annual'!$AC$2&amp;'Output annual'!$AD$2&amp;"*FangerPMV(Hourly)",'Eplus results'!$1:$1048576,ROW(),FALSE)</f>
        <v>0</v>
      </c>
      <c r="AD2113" s="580">
        <f t="shared" si="196"/>
        <v>5</v>
      </c>
      <c r="AE2113" s="580">
        <f t="shared" si="197"/>
        <v>2.5</v>
      </c>
      <c r="AF2113" s="580">
        <f t="shared" si="198"/>
        <v>2.5</v>
      </c>
      <c r="AG2113" s="580">
        <f t="shared" si="199"/>
        <v>0</v>
      </c>
      <c r="AH2113" s="580">
        <f t="shared" si="200"/>
        <v>0</v>
      </c>
    </row>
    <row r="2114" spans="28:34">
      <c r="AB2114" s="580">
        <f>HLOOKUP("*"&amp;'Output annual'!$AC$2&amp;'Output annual'!$AD$2&amp;"*Zone People Number Of Occupants [](Hourly)",'Eplus results'!$1:$1048576,ROW(),FALSE)</f>
        <v>0</v>
      </c>
      <c r="AC2114" s="580">
        <f>HLOOKUP("*"&amp;'Output annual'!$AC$2&amp;'Output annual'!$AD$2&amp;"*FangerPMV(Hourly)",'Eplus results'!$1:$1048576,ROW(),FALSE)</f>
        <v>0</v>
      </c>
      <c r="AD2114" s="580">
        <f t="shared" si="196"/>
        <v>5</v>
      </c>
      <c r="AE2114" s="580">
        <f t="shared" si="197"/>
        <v>2.5</v>
      </c>
      <c r="AF2114" s="580">
        <f t="shared" si="198"/>
        <v>2.5</v>
      </c>
      <c r="AG2114" s="580">
        <f t="shared" si="199"/>
        <v>0</v>
      </c>
      <c r="AH2114" s="580">
        <f t="shared" si="200"/>
        <v>0</v>
      </c>
    </row>
    <row r="2115" spans="28:34">
      <c r="AB2115" s="580">
        <f>HLOOKUP("*"&amp;'Output annual'!$AC$2&amp;'Output annual'!$AD$2&amp;"*Zone People Number Of Occupants [](Hourly)",'Eplus results'!$1:$1048576,ROW(),FALSE)</f>
        <v>0</v>
      </c>
      <c r="AC2115" s="580">
        <f>HLOOKUP("*"&amp;'Output annual'!$AC$2&amp;'Output annual'!$AD$2&amp;"*FangerPMV(Hourly)",'Eplus results'!$1:$1048576,ROW(),FALSE)</f>
        <v>0</v>
      </c>
      <c r="AD2115" s="580">
        <f t="shared" ref="AD2115:AD2178" si="201">100-95*EXP(-0.03353*AC2115^4-0.2179*AC2115^2)</f>
        <v>5</v>
      </c>
      <c r="AE2115" s="580">
        <f t="shared" ref="AE2115:AE2178" si="202">AD2115*(1/(1+EXP(-6.3*$AC2115)))</f>
        <v>2.5</v>
      </c>
      <c r="AF2115" s="580">
        <f t="shared" ref="AF2115:AF2178" si="203">(AD2115-AE2115)</f>
        <v>2.5</v>
      </c>
      <c r="AG2115" s="580">
        <f t="shared" ref="AG2115:AG2178" si="204">AE2115*AB2115</f>
        <v>0</v>
      </c>
      <c r="AH2115" s="580">
        <f t="shared" ref="AH2115:AH2178" si="205">AF2115*AB2115</f>
        <v>0</v>
      </c>
    </row>
    <row r="2116" spans="28:34">
      <c r="AB2116" s="580">
        <f>HLOOKUP("*"&amp;'Output annual'!$AC$2&amp;'Output annual'!$AD$2&amp;"*Zone People Number Of Occupants [](Hourly)",'Eplus results'!$1:$1048576,ROW(),FALSE)</f>
        <v>0</v>
      </c>
      <c r="AC2116" s="580">
        <f>HLOOKUP("*"&amp;'Output annual'!$AC$2&amp;'Output annual'!$AD$2&amp;"*FangerPMV(Hourly)",'Eplus results'!$1:$1048576,ROW(),FALSE)</f>
        <v>0</v>
      </c>
      <c r="AD2116" s="580">
        <f t="shared" si="201"/>
        <v>5</v>
      </c>
      <c r="AE2116" s="580">
        <f t="shared" si="202"/>
        <v>2.5</v>
      </c>
      <c r="AF2116" s="580">
        <f t="shared" si="203"/>
        <v>2.5</v>
      </c>
      <c r="AG2116" s="580">
        <f t="shared" si="204"/>
        <v>0</v>
      </c>
      <c r="AH2116" s="580">
        <f t="shared" si="205"/>
        <v>0</v>
      </c>
    </row>
    <row r="2117" spans="28:34">
      <c r="AB2117" s="580">
        <f>HLOOKUP("*"&amp;'Output annual'!$AC$2&amp;'Output annual'!$AD$2&amp;"*Zone People Number Of Occupants [](Hourly)",'Eplus results'!$1:$1048576,ROW(),FALSE)</f>
        <v>0</v>
      </c>
      <c r="AC2117" s="580">
        <f>HLOOKUP("*"&amp;'Output annual'!$AC$2&amp;'Output annual'!$AD$2&amp;"*FangerPMV(Hourly)",'Eplus results'!$1:$1048576,ROW(),FALSE)</f>
        <v>0</v>
      </c>
      <c r="AD2117" s="580">
        <f t="shared" si="201"/>
        <v>5</v>
      </c>
      <c r="AE2117" s="580">
        <f t="shared" si="202"/>
        <v>2.5</v>
      </c>
      <c r="AF2117" s="580">
        <f t="shared" si="203"/>
        <v>2.5</v>
      </c>
      <c r="AG2117" s="580">
        <f t="shared" si="204"/>
        <v>0</v>
      </c>
      <c r="AH2117" s="580">
        <f t="shared" si="205"/>
        <v>0</v>
      </c>
    </row>
    <row r="2118" spans="28:34">
      <c r="AB2118" s="580">
        <f>HLOOKUP("*"&amp;'Output annual'!$AC$2&amp;'Output annual'!$AD$2&amp;"*Zone People Number Of Occupants [](Hourly)",'Eplus results'!$1:$1048576,ROW(),FALSE)</f>
        <v>0</v>
      </c>
      <c r="AC2118" s="580">
        <f>HLOOKUP("*"&amp;'Output annual'!$AC$2&amp;'Output annual'!$AD$2&amp;"*FangerPMV(Hourly)",'Eplus results'!$1:$1048576,ROW(),FALSE)</f>
        <v>0</v>
      </c>
      <c r="AD2118" s="580">
        <f t="shared" si="201"/>
        <v>5</v>
      </c>
      <c r="AE2118" s="580">
        <f t="shared" si="202"/>
        <v>2.5</v>
      </c>
      <c r="AF2118" s="580">
        <f t="shared" si="203"/>
        <v>2.5</v>
      </c>
      <c r="AG2118" s="580">
        <f t="shared" si="204"/>
        <v>0</v>
      </c>
      <c r="AH2118" s="580">
        <f t="shared" si="205"/>
        <v>0</v>
      </c>
    </row>
    <row r="2119" spans="28:34">
      <c r="AB2119" s="580">
        <f>HLOOKUP("*"&amp;'Output annual'!$AC$2&amp;'Output annual'!$AD$2&amp;"*Zone People Number Of Occupants [](Hourly)",'Eplus results'!$1:$1048576,ROW(),FALSE)</f>
        <v>0</v>
      </c>
      <c r="AC2119" s="580">
        <f>HLOOKUP("*"&amp;'Output annual'!$AC$2&amp;'Output annual'!$AD$2&amp;"*FangerPMV(Hourly)",'Eplus results'!$1:$1048576,ROW(),FALSE)</f>
        <v>0</v>
      </c>
      <c r="AD2119" s="580">
        <f t="shared" si="201"/>
        <v>5</v>
      </c>
      <c r="AE2119" s="580">
        <f t="shared" si="202"/>
        <v>2.5</v>
      </c>
      <c r="AF2119" s="580">
        <f t="shared" si="203"/>
        <v>2.5</v>
      </c>
      <c r="AG2119" s="580">
        <f t="shared" si="204"/>
        <v>0</v>
      </c>
      <c r="AH2119" s="580">
        <f t="shared" si="205"/>
        <v>0</v>
      </c>
    </row>
    <row r="2120" spans="28:34">
      <c r="AB2120" s="580">
        <f>HLOOKUP("*"&amp;'Output annual'!$AC$2&amp;'Output annual'!$AD$2&amp;"*Zone People Number Of Occupants [](Hourly)",'Eplus results'!$1:$1048576,ROW(),FALSE)</f>
        <v>0</v>
      </c>
      <c r="AC2120" s="580">
        <f>HLOOKUP("*"&amp;'Output annual'!$AC$2&amp;'Output annual'!$AD$2&amp;"*FangerPMV(Hourly)",'Eplus results'!$1:$1048576,ROW(),FALSE)</f>
        <v>0</v>
      </c>
      <c r="AD2120" s="580">
        <f t="shared" si="201"/>
        <v>5</v>
      </c>
      <c r="AE2120" s="580">
        <f t="shared" si="202"/>
        <v>2.5</v>
      </c>
      <c r="AF2120" s="580">
        <f t="shared" si="203"/>
        <v>2.5</v>
      </c>
      <c r="AG2120" s="580">
        <f t="shared" si="204"/>
        <v>0</v>
      </c>
      <c r="AH2120" s="580">
        <f t="shared" si="205"/>
        <v>0</v>
      </c>
    </row>
    <row r="2121" spans="28:34">
      <c r="AB2121" s="580">
        <f>HLOOKUP("*"&amp;'Output annual'!$AC$2&amp;'Output annual'!$AD$2&amp;"*Zone People Number Of Occupants [](Hourly)",'Eplus results'!$1:$1048576,ROW(),FALSE)</f>
        <v>0</v>
      </c>
      <c r="AC2121" s="580">
        <f>HLOOKUP("*"&amp;'Output annual'!$AC$2&amp;'Output annual'!$AD$2&amp;"*FangerPMV(Hourly)",'Eplus results'!$1:$1048576,ROW(),FALSE)</f>
        <v>0</v>
      </c>
      <c r="AD2121" s="580">
        <f t="shared" si="201"/>
        <v>5</v>
      </c>
      <c r="AE2121" s="580">
        <f t="shared" si="202"/>
        <v>2.5</v>
      </c>
      <c r="AF2121" s="580">
        <f t="shared" si="203"/>
        <v>2.5</v>
      </c>
      <c r="AG2121" s="580">
        <f t="shared" si="204"/>
        <v>0</v>
      </c>
      <c r="AH2121" s="580">
        <f t="shared" si="205"/>
        <v>0</v>
      </c>
    </row>
    <row r="2122" spans="28:34">
      <c r="AB2122" s="580">
        <f>HLOOKUP("*"&amp;'Output annual'!$AC$2&amp;'Output annual'!$AD$2&amp;"*Zone People Number Of Occupants [](Hourly)",'Eplus results'!$1:$1048576,ROW(),FALSE)</f>
        <v>0</v>
      </c>
      <c r="AC2122" s="580">
        <f>HLOOKUP("*"&amp;'Output annual'!$AC$2&amp;'Output annual'!$AD$2&amp;"*FangerPMV(Hourly)",'Eplus results'!$1:$1048576,ROW(),FALSE)</f>
        <v>0</v>
      </c>
      <c r="AD2122" s="580">
        <f t="shared" si="201"/>
        <v>5</v>
      </c>
      <c r="AE2122" s="580">
        <f t="shared" si="202"/>
        <v>2.5</v>
      </c>
      <c r="AF2122" s="580">
        <f t="shared" si="203"/>
        <v>2.5</v>
      </c>
      <c r="AG2122" s="580">
        <f t="shared" si="204"/>
        <v>0</v>
      </c>
      <c r="AH2122" s="580">
        <f t="shared" si="205"/>
        <v>0</v>
      </c>
    </row>
    <row r="2123" spans="28:34">
      <c r="AB2123" s="580">
        <f>HLOOKUP("*"&amp;'Output annual'!$AC$2&amp;'Output annual'!$AD$2&amp;"*Zone People Number Of Occupants [](Hourly)",'Eplus results'!$1:$1048576,ROW(),FALSE)</f>
        <v>0</v>
      </c>
      <c r="AC2123" s="580">
        <f>HLOOKUP("*"&amp;'Output annual'!$AC$2&amp;'Output annual'!$AD$2&amp;"*FangerPMV(Hourly)",'Eplus results'!$1:$1048576,ROW(),FALSE)</f>
        <v>0</v>
      </c>
      <c r="AD2123" s="580">
        <f t="shared" si="201"/>
        <v>5</v>
      </c>
      <c r="AE2123" s="580">
        <f t="shared" si="202"/>
        <v>2.5</v>
      </c>
      <c r="AF2123" s="580">
        <f t="shared" si="203"/>
        <v>2.5</v>
      </c>
      <c r="AG2123" s="580">
        <f t="shared" si="204"/>
        <v>0</v>
      </c>
      <c r="AH2123" s="580">
        <f t="shared" si="205"/>
        <v>0</v>
      </c>
    </row>
    <row r="2124" spans="28:34">
      <c r="AB2124" s="580">
        <f>HLOOKUP("*"&amp;'Output annual'!$AC$2&amp;'Output annual'!$AD$2&amp;"*Zone People Number Of Occupants [](Hourly)",'Eplus results'!$1:$1048576,ROW(),FALSE)</f>
        <v>0</v>
      </c>
      <c r="AC2124" s="580">
        <f>HLOOKUP("*"&amp;'Output annual'!$AC$2&amp;'Output annual'!$AD$2&amp;"*FangerPMV(Hourly)",'Eplus results'!$1:$1048576,ROW(),FALSE)</f>
        <v>0</v>
      </c>
      <c r="AD2124" s="580">
        <f t="shared" si="201"/>
        <v>5</v>
      </c>
      <c r="AE2124" s="580">
        <f t="shared" si="202"/>
        <v>2.5</v>
      </c>
      <c r="AF2124" s="580">
        <f t="shared" si="203"/>
        <v>2.5</v>
      </c>
      <c r="AG2124" s="580">
        <f t="shared" si="204"/>
        <v>0</v>
      </c>
      <c r="AH2124" s="580">
        <f t="shared" si="205"/>
        <v>0</v>
      </c>
    </row>
    <row r="2125" spans="28:34">
      <c r="AB2125" s="580">
        <f>HLOOKUP("*"&amp;'Output annual'!$AC$2&amp;'Output annual'!$AD$2&amp;"*Zone People Number Of Occupants [](Hourly)",'Eplus results'!$1:$1048576,ROW(),FALSE)</f>
        <v>0</v>
      </c>
      <c r="AC2125" s="580">
        <f>HLOOKUP("*"&amp;'Output annual'!$AC$2&amp;'Output annual'!$AD$2&amp;"*FangerPMV(Hourly)",'Eplus results'!$1:$1048576,ROW(),FALSE)</f>
        <v>0</v>
      </c>
      <c r="AD2125" s="580">
        <f t="shared" si="201"/>
        <v>5</v>
      </c>
      <c r="AE2125" s="580">
        <f t="shared" si="202"/>
        <v>2.5</v>
      </c>
      <c r="AF2125" s="580">
        <f t="shared" si="203"/>
        <v>2.5</v>
      </c>
      <c r="AG2125" s="580">
        <f t="shared" si="204"/>
        <v>0</v>
      </c>
      <c r="AH2125" s="580">
        <f t="shared" si="205"/>
        <v>0</v>
      </c>
    </row>
    <row r="2126" spans="28:34">
      <c r="AB2126" s="580">
        <f>HLOOKUP("*"&amp;'Output annual'!$AC$2&amp;'Output annual'!$AD$2&amp;"*Zone People Number Of Occupants [](Hourly)",'Eplus results'!$1:$1048576,ROW(),FALSE)</f>
        <v>0</v>
      </c>
      <c r="AC2126" s="580">
        <f>HLOOKUP("*"&amp;'Output annual'!$AC$2&amp;'Output annual'!$AD$2&amp;"*FangerPMV(Hourly)",'Eplus results'!$1:$1048576,ROW(),FALSE)</f>
        <v>0</v>
      </c>
      <c r="AD2126" s="580">
        <f t="shared" si="201"/>
        <v>5</v>
      </c>
      <c r="AE2126" s="580">
        <f t="shared" si="202"/>
        <v>2.5</v>
      </c>
      <c r="AF2126" s="580">
        <f t="shared" si="203"/>
        <v>2.5</v>
      </c>
      <c r="AG2126" s="580">
        <f t="shared" si="204"/>
        <v>0</v>
      </c>
      <c r="AH2126" s="580">
        <f t="shared" si="205"/>
        <v>0</v>
      </c>
    </row>
    <row r="2127" spans="28:34">
      <c r="AB2127" s="580">
        <f>HLOOKUP("*"&amp;'Output annual'!$AC$2&amp;'Output annual'!$AD$2&amp;"*Zone People Number Of Occupants [](Hourly)",'Eplus results'!$1:$1048576,ROW(),FALSE)</f>
        <v>0</v>
      </c>
      <c r="AC2127" s="580">
        <f>HLOOKUP("*"&amp;'Output annual'!$AC$2&amp;'Output annual'!$AD$2&amp;"*FangerPMV(Hourly)",'Eplus results'!$1:$1048576,ROW(),FALSE)</f>
        <v>0</v>
      </c>
      <c r="AD2127" s="580">
        <f t="shared" si="201"/>
        <v>5</v>
      </c>
      <c r="AE2127" s="580">
        <f t="shared" si="202"/>
        <v>2.5</v>
      </c>
      <c r="AF2127" s="580">
        <f t="shared" si="203"/>
        <v>2.5</v>
      </c>
      <c r="AG2127" s="580">
        <f t="shared" si="204"/>
        <v>0</v>
      </c>
      <c r="AH2127" s="580">
        <f t="shared" si="205"/>
        <v>0</v>
      </c>
    </row>
    <row r="2128" spans="28:34">
      <c r="AB2128" s="580">
        <f>HLOOKUP("*"&amp;'Output annual'!$AC$2&amp;'Output annual'!$AD$2&amp;"*Zone People Number Of Occupants [](Hourly)",'Eplus results'!$1:$1048576,ROW(),FALSE)</f>
        <v>0</v>
      </c>
      <c r="AC2128" s="580">
        <f>HLOOKUP("*"&amp;'Output annual'!$AC$2&amp;'Output annual'!$AD$2&amp;"*FangerPMV(Hourly)",'Eplus results'!$1:$1048576,ROW(),FALSE)</f>
        <v>0</v>
      </c>
      <c r="AD2128" s="580">
        <f t="shared" si="201"/>
        <v>5</v>
      </c>
      <c r="AE2128" s="580">
        <f t="shared" si="202"/>
        <v>2.5</v>
      </c>
      <c r="AF2128" s="580">
        <f t="shared" si="203"/>
        <v>2.5</v>
      </c>
      <c r="AG2128" s="580">
        <f t="shared" si="204"/>
        <v>0</v>
      </c>
      <c r="AH2128" s="580">
        <f t="shared" si="205"/>
        <v>0</v>
      </c>
    </row>
    <row r="2129" spans="28:34">
      <c r="AB2129" s="580">
        <f>HLOOKUP("*"&amp;'Output annual'!$AC$2&amp;'Output annual'!$AD$2&amp;"*Zone People Number Of Occupants [](Hourly)",'Eplus results'!$1:$1048576,ROW(),FALSE)</f>
        <v>0</v>
      </c>
      <c r="AC2129" s="580">
        <f>HLOOKUP("*"&amp;'Output annual'!$AC$2&amp;'Output annual'!$AD$2&amp;"*FangerPMV(Hourly)",'Eplus results'!$1:$1048576,ROW(),FALSE)</f>
        <v>0</v>
      </c>
      <c r="AD2129" s="580">
        <f t="shared" si="201"/>
        <v>5</v>
      </c>
      <c r="AE2129" s="580">
        <f t="shared" si="202"/>
        <v>2.5</v>
      </c>
      <c r="AF2129" s="580">
        <f t="shared" si="203"/>
        <v>2.5</v>
      </c>
      <c r="AG2129" s="580">
        <f t="shared" si="204"/>
        <v>0</v>
      </c>
      <c r="AH2129" s="580">
        <f t="shared" si="205"/>
        <v>0</v>
      </c>
    </row>
    <row r="2130" spans="28:34">
      <c r="AB2130" s="580">
        <f>HLOOKUP("*"&amp;'Output annual'!$AC$2&amp;'Output annual'!$AD$2&amp;"*Zone People Number Of Occupants [](Hourly)",'Eplus results'!$1:$1048576,ROW(),FALSE)</f>
        <v>0</v>
      </c>
      <c r="AC2130" s="580">
        <f>HLOOKUP("*"&amp;'Output annual'!$AC$2&amp;'Output annual'!$AD$2&amp;"*FangerPMV(Hourly)",'Eplus results'!$1:$1048576,ROW(),FALSE)</f>
        <v>0</v>
      </c>
      <c r="AD2130" s="580">
        <f t="shared" si="201"/>
        <v>5</v>
      </c>
      <c r="AE2130" s="580">
        <f t="shared" si="202"/>
        <v>2.5</v>
      </c>
      <c r="AF2130" s="580">
        <f t="shared" si="203"/>
        <v>2.5</v>
      </c>
      <c r="AG2130" s="580">
        <f t="shared" si="204"/>
        <v>0</v>
      </c>
      <c r="AH2130" s="580">
        <f t="shared" si="205"/>
        <v>0</v>
      </c>
    </row>
    <row r="2131" spans="28:34">
      <c r="AB2131" s="580">
        <f>HLOOKUP("*"&amp;'Output annual'!$AC$2&amp;'Output annual'!$AD$2&amp;"*Zone People Number Of Occupants [](Hourly)",'Eplus results'!$1:$1048576,ROW(),FALSE)</f>
        <v>0</v>
      </c>
      <c r="AC2131" s="580">
        <f>HLOOKUP("*"&amp;'Output annual'!$AC$2&amp;'Output annual'!$AD$2&amp;"*FangerPMV(Hourly)",'Eplus results'!$1:$1048576,ROW(),FALSE)</f>
        <v>0</v>
      </c>
      <c r="AD2131" s="580">
        <f t="shared" si="201"/>
        <v>5</v>
      </c>
      <c r="AE2131" s="580">
        <f t="shared" si="202"/>
        <v>2.5</v>
      </c>
      <c r="AF2131" s="580">
        <f t="shared" si="203"/>
        <v>2.5</v>
      </c>
      <c r="AG2131" s="580">
        <f t="shared" si="204"/>
        <v>0</v>
      </c>
      <c r="AH2131" s="580">
        <f t="shared" si="205"/>
        <v>0</v>
      </c>
    </row>
    <row r="2132" spans="28:34">
      <c r="AB2132" s="580">
        <f>HLOOKUP("*"&amp;'Output annual'!$AC$2&amp;'Output annual'!$AD$2&amp;"*Zone People Number Of Occupants [](Hourly)",'Eplus results'!$1:$1048576,ROW(),FALSE)</f>
        <v>0</v>
      </c>
      <c r="AC2132" s="580">
        <f>HLOOKUP("*"&amp;'Output annual'!$AC$2&amp;'Output annual'!$AD$2&amp;"*FangerPMV(Hourly)",'Eplus results'!$1:$1048576,ROW(),FALSE)</f>
        <v>0</v>
      </c>
      <c r="AD2132" s="580">
        <f t="shared" si="201"/>
        <v>5</v>
      </c>
      <c r="AE2132" s="580">
        <f t="shared" si="202"/>
        <v>2.5</v>
      </c>
      <c r="AF2132" s="580">
        <f t="shared" si="203"/>
        <v>2.5</v>
      </c>
      <c r="AG2132" s="580">
        <f t="shared" si="204"/>
        <v>0</v>
      </c>
      <c r="AH2132" s="580">
        <f t="shared" si="205"/>
        <v>0</v>
      </c>
    </row>
    <row r="2133" spans="28:34">
      <c r="AB2133" s="580">
        <f>HLOOKUP("*"&amp;'Output annual'!$AC$2&amp;'Output annual'!$AD$2&amp;"*Zone People Number Of Occupants [](Hourly)",'Eplus results'!$1:$1048576,ROW(),FALSE)</f>
        <v>0</v>
      </c>
      <c r="AC2133" s="580">
        <f>HLOOKUP("*"&amp;'Output annual'!$AC$2&amp;'Output annual'!$AD$2&amp;"*FangerPMV(Hourly)",'Eplus results'!$1:$1048576,ROW(),FALSE)</f>
        <v>0</v>
      </c>
      <c r="AD2133" s="580">
        <f t="shared" si="201"/>
        <v>5</v>
      </c>
      <c r="AE2133" s="580">
        <f t="shared" si="202"/>
        <v>2.5</v>
      </c>
      <c r="AF2133" s="580">
        <f t="shared" si="203"/>
        <v>2.5</v>
      </c>
      <c r="AG2133" s="580">
        <f t="shared" si="204"/>
        <v>0</v>
      </c>
      <c r="AH2133" s="580">
        <f t="shared" si="205"/>
        <v>0</v>
      </c>
    </row>
    <row r="2134" spans="28:34">
      <c r="AB2134" s="580">
        <f>HLOOKUP("*"&amp;'Output annual'!$AC$2&amp;'Output annual'!$AD$2&amp;"*Zone People Number Of Occupants [](Hourly)",'Eplus results'!$1:$1048576,ROW(),FALSE)</f>
        <v>0</v>
      </c>
      <c r="AC2134" s="580">
        <f>HLOOKUP("*"&amp;'Output annual'!$AC$2&amp;'Output annual'!$AD$2&amp;"*FangerPMV(Hourly)",'Eplus results'!$1:$1048576,ROW(),FALSE)</f>
        <v>0</v>
      </c>
      <c r="AD2134" s="580">
        <f t="shared" si="201"/>
        <v>5</v>
      </c>
      <c r="AE2134" s="580">
        <f t="shared" si="202"/>
        <v>2.5</v>
      </c>
      <c r="AF2134" s="580">
        <f t="shared" si="203"/>
        <v>2.5</v>
      </c>
      <c r="AG2134" s="580">
        <f t="shared" si="204"/>
        <v>0</v>
      </c>
      <c r="AH2134" s="580">
        <f t="shared" si="205"/>
        <v>0</v>
      </c>
    </row>
    <row r="2135" spans="28:34">
      <c r="AB2135" s="580">
        <f>HLOOKUP("*"&amp;'Output annual'!$AC$2&amp;'Output annual'!$AD$2&amp;"*Zone People Number Of Occupants [](Hourly)",'Eplus results'!$1:$1048576,ROW(),FALSE)</f>
        <v>0</v>
      </c>
      <c r="AC2135" s="580">
        <f>HLOOKUP("*"&amp;'Output annual'!$AC$2&amp;'Output annual'!$AD$2&amp;"*FangerPMV(Hourly)",'Eplus results'!$1:$1048576,ROW(),FALSE)</f>
        <v>0</v>
      </c>
      <c r="AD2135" s="580">
        <f t="shared" si="201"/>
        <v>5</v>
      </c>
      <c r="AE2135" s="580">
        <f t="shared" si="202"/>
        <v>2.5</v>
      </c>
      <c r="AF2135" s="580">
        <f t="shared" si="203"/>
        <v>2.5</v>
      </c>
      <c r="AG2135" s="580">
        <f t="shared" si="204"/>
        <v>0</v>
      </c>
      <c r="AH2135" s="580">
        <f t="shared" si="205"/>
        <v>0</v>
      </c>
    </row>
    <row r="2136" spans="28:34">
      <c r="AB2136" s="580">
        <f>HLOOKUP("*"&amp;'Output annual'!$AC$2&amp;'Output annual'!$AD$2&amp;"*Zone People Number Of Occupants [](Hourly)",'Eplus results'!$1:$1048576,ROW(),FALSE)</f>
        <v>0</v>
      </c>
      <c r="AC2136" s="580">
        <f>HLOOKUP("*"&amp;'Output annual'!$AC$2&amp;'Output annual'!$AD$2&amp;"*FangerPMV(Hourly)",'Eplus results'!$1:$1048576,ROW(),FALSE)</f>
        <v>0</v>
      </c>
      <c r="AD2136" s="580">
        <f t="shared" si="201"/>
        <v>5</v>
      </c>
      <c r="AE2136" s="580">
        <f t="shared" si="202"/>
        <v>2.5</v>
      </c>
      <c r="AF2136" s="580">
        <f t="shared" si="203"/>
        <v>2.5</v>
      </c>
      <c r="AG2136" s="580">
        <f t="shared" si="204"/>
        <v>0</v>
      </c>
      <c r="AH2136" s="580">
        <f t="shared" si="205"/>
        <v>0</v>
      </c>
    </row>
    <row r="2137" spans="28:34">
      <c r="AB2137" s="580">
        <f>HLOOKUP("*"&amp;'Output annual'!$AC$2&amp;'Output annual'!$AD$2&amp;"*Zone People Number Of Occupants [](Hourly)",'Eplus results'!$1:$1048576,ROW(),FALSE)</f>
        <v>0</v>
      </c>
      <c r="AC2137" s="580">
        <f>HLOOKUP("*"&amp;'Output annual'!$AC$2&amp;'Output annual'!$AD$2&amp;"*FangerPMV(Hourly)",'Eplus results'!$1:$1048576,ROW(),FALSE)</f>
        <v>0</v>
      </c>
      <c r="AD2137" s="580">
        <f t="shared" si="201"/>
        <v>5</v>
      </c>
      <c r="AE2137" s="580">
        <f t="shared" si="202"/>
        <v>2.5</v>
      </c>
      <c r="AF2137" s="580">
        <f t="shared" si="203"/>
        <v>2.5</v>
      </c>
      <c r="AG2137" s="580">
        <f t="shared" si="204"/>
        <v>0</v>
      </c>
      <c r="AH2137" s="580">
        <f t="shared" si="205"/>
        <v>0</v>
      </c>
    </row>
    <row r="2138" spans="28:34">
      <c r="AB2138" s="580">
        <f>HLOOKUP("*"&amp;'Output annual'!$AC$2&amp;'Output annual'!$AD$2&amp;"*Zone People Number Of Occupants [](Hourly)",'Eplus results'!$1:$1048576,ROW(),FALSE)</f>
        <v>0</v>
      </c>
      <c r="AC2138" s="580">
        <f>HLOOKUP("*"&amp;'Output annual'!$AC$2&amp;'Output annual'!$AD$2&amp;"*FangerPMV(Hourly)",'Eplus results'!$1:$1048576,ROW(),FALSE)</f>
        <v>0</v>
      </c>
      <c r="AD2138" s="580">
        <f t="shared" si="201"/>
        <v>5</v>
      </c>
      <c r="AE2138" s="580">
        <f t="shared" si="202"/>
        <v>2.5</v>
      </c>
      <c r="AF2138" s="580">
        <f t="shared" si="203"/>
        <v>2.5</v>
      </c>
      <c r="AG2138" s="580">
        <f t="shared" si="204"/>
        <v>0</v>
      </c>
      <c r="AH2138" s="580">
        <f t="shared" si="205"/>
        <v>0</v>
      </c>
    </row>
    <row r="2139" spans="28:34">
      <c r="AB2139" s="580">
        <f>HLOOKUP("*"&amp;'Output annual'!$AC$2&amp;'Output annual'!$AD$2&amp;"*Zone People Number Of Occupants [](Hourly)",'Eplus results'!$1:$1048576,ROW(),FALSE)</f>
        <v>0</v>
      </c>
      <c r="AC2139" s="580">
        <f>HLOOKUP("*"&amp;'Output annual'!$AC$2&amp;'Output annual'!$AD$2&amp;"*FangerPMV(Hourly)",'Eplus results'!$1:$1048576,ROW(),FALSE)</f>
        <v>0</v>
      </c>
      <c r="AD2139" s="580">
        <f t="shared" si="201"/>
        <v>5</v>
      </c>
      <c r="AE2139" s="580">
        <f t="shared" si="202"/>
        <v>2.5</v>
      </c>
      <c r="AF2139" s="580">
        <f t="shared" si="203"/>
        <v>2.5</v>
      </c>
      <c r="AG2139" s="580">
        <f t="shared" si="204"/>
        <v>0</v>
      </c>
      <c r="AH2139" s="580">
        <f t="shared" si="205"/>
        <v>0</v>
      </c>
    </row>
    <row r="2140" spans="28:34">
      <c r="AB2140" s="580">
        <f>HLOOKUP("*"&amp;'Output annual'!$AC$2&amp;'Output annual'!$AD$2&amp;"*Zone People Number Of Occupants [](Hourly)",'Eplus results'!$1:$1048576,ROW(),FALSE)</f>
        <v>0</v>
      </c>
      <c r="AC2140" s="580">
        <f>HLOOKUP("*"&amp;'Output annual'!$AC$2&amp;'Output annual'!$AD$2&amp;"*FangerPMV(Hourly)",'Eplus results'!$1:$1048576,ROW(),FALSE)</f>
        <v>0</v>
      </c>
      <c r="AD2140" s="580">
        <f t="shared" si="201"/>
        <v>5</v>
      </c>
      <c r="AE2140" s="580">
        <f t="shared" si="202"/>
        <v>2.5</v>
      </c>
      <c r="AF2140" s="580">
        <f t="shared" si="203"/>
        <v>2.5</v>
      </c>
      <c r="AG2140" s="580">
        <f t="shared" si="204"/>
        <v>0</v>
      </c>
      <c r="AH2140" s="580">
        <f t="shared" si="205"/>
        <v>0</v>
      </c>
    </row>
    <row r="2141" spans="28:34">
      <c r="AB2141" s="580">
        <f>HLOOKUP("*"&amp;'Output annual'!$AC$2&amp;'Output annual'!$AD$2&amp;"*Zone People Number Of Occupants [](Hourly)",'Eplus results'!$1:$1048576,ROW(),FALSE)</f>
        <v>0</v>
      </c>
      <c r="AC2141" s="580">
        <f>HLOOKUP("*"&amp;'Output annual'!$AC$2&amp;'Output annual'!$AD$2&amp;"*FangerPMV(Hourly)",'Eplus results'!$1:$1048576,ROW(),FALSE)</f>
        <v>0</v>
      </c>
      <c r="AD2141" s="580">
        <f t="shared" si="201"/>
        <v>5</v>
      </c>
      <c r="AE2141" s="580">
        <f t="shared" si="202"/>
        <v>2.5</v>
      </c>
      <c r="AF2141" s="580">
        <f t="shared" si="203"/>
        <v>2.5</v>
      </c>
      <c r="AG2141" s="580">
        <f t="shared" si="204"/>
        <v>0</v>
      </c>
      <c r="AH2141" s="580">
        <f t="shared" si="205"/>
        <v>0</v>
      </c>
    </row>
    <row r="2142" spans="28:34">
      <c r="AB2142" s="580">
        <f>HLOOKUP("*"&amp;'Output annual'!$AC$2&amp;'Output annual'!$AD$2&amp;"*Zone People Number Of Occupants [](Hourly)",'Eplus results'!$1:$1048576,ROW(),FALSE)</f>
        <v>0</v>
      </c>
      <c r="AC2142" s="580">
        <f>HLOOKUP("*"&amp;'Output annual'!$AC$2&amp;'Output annual'!$AD$2&amp;"*FangerPMV(Hourly)",'Eplus results'!$1:$1048576,ROW(),FALSE)</f>
        <v>0</v>
      </c>
      <c r="AD2142" s="580">
        <f t="shared" si="201"/>
        <v>5</v>
      </c>
      <c r="AE2142" s="580">
        <f t="shared" si="202"/>
        <v>2.5</v>
      </c>
      <c r="AF2142" s="580">
        <f t="shared" si="203"/>
        <v>2.5</v>
      </c>
      <c r="AG2142" s="580">
        <f t="shared" si="204"/>
        <v>0</v>
      </c>
      <c r="AH2142" s="580">
        <f t="shared" si="205"/>
        <v>0</v>
      </c>
    </row>
    <row r="2143" spans="28:34">
      <c r="AB2143" s="580">
        <f>HLOOKUP("*"&amp;'Output annual'!$AC$2&amp;'Output annual'!$AD$2&amp;"*Zone People Number Of Occupants [](Hourly)",'Eplus results'!$1:$1048576,ROW(),FALSE)</f>
        <v>0</v>
      </c>
      <c r="AC2143" s="580">
        <f>HLOOKUP("*"&amp;'Output annual'!$AC$2&amp;'Output annual'!$AD$2&amp;"*FangerPMV(Hourly)",'Eplus results'!$1:$1048576,ROW(),FALSE)</f>
        <v>0</v>
      </c>
      <c r="AD2143" s="580">
        <f t="shared" si="201"/>
        <v>5</v>
      </c>
      <c r="AE2143" s="580">
        <f t="shared" si="202"/>
        <v>2.5</v>
      </c>
      <c r="AF2143" s="580">
        <f t="shared" si="203"/>
        <v>2.5</v>
      </c>
      <c r="AG2143" s="580">
        <f t="shared" si="204"/>
        <v>0</v>
      </c>
      <c r="AH2143" s="580">
        <f t="shared" si="205"/>
        <v>0</v>
      </c>
    </row>
    <row r="2144" spans="28:34">
      <c r="AB2144" s="580">
        <f>HLOOKUP("*"&amp;'Output annual'!$AC$2&amp;'Output annual'!$AD$2&amp;"*Zone People Number Of Occupants [](Hourly)",'Eplus results'!$1:$1048576,ROW(),FALSE)</f>
        <v>0</v>
      </c>
      <c r="AC2144" s="580">
        <f>HLOOKUP("*"&amp;'Output annual'!$AC$2&amp;'Output annual'!$AD$2&amp;"*FangerPMV(Hourly)",'Eplus results'!$1:$1048576,ROW(),FALSE)</f>
        <v>0</v>
      </c>
      <c r="AD2144" s="580">
        <f t="shared" si="201"/>
        <v>5</v>
      </c>
      <c r="AE2144" s="580">
        <f t="shared" si="202"/>
        <v>2.5</v>
      </c>
      <c r="AF2144" s="580">
        <f t="shared" si="203"/>
        <v>2.5</v>
      </c>
      <c r="AG2144" s="580">
        <f t="shared" si="204"/>
        <v>0</v>
      </c>
      <c r="AH2144" s="580">
        <f t="shared" si="205"/>
        <v>0</v>
      </c>
    </row>
    <row r="2145" spans="28:34">
      <c r="AB2145" s="580">
        <f>HLOOKUP("*"&amp;'Output annual'!$AC$2&amp;'Output annual'!$AD$2&amp;"*Zone People Number Of Occupants [](Hourly)",'Eplus results'!$1:$1048576,ROW(),FALSE)</f>
        <v>0</v>
      </c>
      <c r="AC2145" s="580">
        <f>HLOOKUP("*"&amp;'Output annual'!$AC$2&amp;'Output annual'!$AD$2&amp;"*FangerPMV(Hourly)",'Eplus results'!$1:$1048576,ROW(),FALSE)</f>
        <v>0</v>
      </c>
      <c r="AD2145" s="580">
        <f t="shared" si="201"/>
        <v>5</v>
      </c>
      <c r="AE2145" s="580">
        <f t="shared" si="202"/>
        <v>2.5</v>
      </c>
      <c r="AF2145" s="580">
        <f t="shared" si="203"/>
        <v>2.5</v>
      </c>
      <c r="AG2145" s="580">
        <f t="shared" si="204"/>
        <v>0</v>
      </c>
      <c r="AH2145" s="580">
        <f t="shared" si="205"/>
        <v>0</v>
      </c>
    </row>
    <row r="2146" spans="28:34">
      <c r="AB2146" s="580">
        <f>HLOOKUP("*"&amp;'Output annual'!$AC$2&amp;'Output annual'!$AD$2&amp;"*Zone People Number Of Occupants [](Hourly)",'Eplus results'!$1:$1048576,ROW(),FALSE)</f>
        <v>0</v>
      </c>
      <c r="AC2146" s="580">
        <f>HLOOKUP("*"&amp;'Output annual'!$AC$2&amp;'Output annual'!$AD$2&amp;"*FangerPMV(Hourly)",'Eplus results'!$1:$1048576,ROW(),FALSE)</f>
        <v>0</v>
      </c>
      <c r="AD2146" s="580">
        <f t="shared" si="201"/>
        <v>5</v>
      </c>
      <c r="AE2146" s="580">
        <f t="shared" si="202"/>
        <v>2.5</v>
      </c>
      <c r="AF2146" s="580">
        <f t="shared" si="203"/>
        <v>2.5</v>
      </c>
      <c r="AG2146" s="580">
        <f t="shared" si="204"/>
        <v>0</v>
      </c>
      <c r="AH2146" s="580">
        <f t="shared" si="205"/>
        <v>0</v>
      </c>
    </row>
    <row r="2147" spans="28:34">
      <c r="AB2147" s="580">
        <f>HLOOKUP("*"&amp;'Output annual'!$AC$2&amp;'Output annual'!$AD$2&amp;"*Zone People Number Of Occupants [](Hourly)",'Eplus results'!$1:$1048576,ROW(),FALSE)</f>
        <v>0</v>
      </c>
      <c r="AC2147" s="580">
        <f>HLOOKUP("*"&amp;'Output annual'!$AC$2&amp;'Output annual'!$AD$2&amp;"*FangerPMV(Hourly)",'Eplus results'!$1:$1048576,ROW(),FALSE)</f>
        <v>0</v>
      </c>
      <c r="AD2147" s="580">
        <f t="shared" si="201"/>
        <v>5</v>
      </c>
      <c r="AE2147" s="580">
        <f t="shared" si="202"/>
        <v>2.5</v>
      </c>
      <c r="AF2147" s="580">
        <f t="shared" si="203"/>
        <v>2.5</v>
      </c>
      <c r="AG2147" s="580">
        <f t="shared" si="204"/>
        <v>0</v>
      </c>
      <c r="AH2147" s="580">
        <f t="shared" si="205"/>
        <v>0</v>
      </c>
    </row>
    <row r="2148" spans="28:34">
      <c r="AB2148" s="580">
        <f>HLOOKUP("*"&amp;'Output annual'!$AC$2&amp;'Output annual'!$AD$2&amp;"*Zone People Number Of Occupants [](Hourly)",'Eplus results'!$1:$1048576,ROW(),FALSE)</f>
        <v>0</v>
      </c>
      <c r="AC2148" s="580">
        <f>HLOOKUP("*"&amp;'Output annual'!$AC$2&amp;'Output annual'!$AD$2&amp;"*FangerPMV(Hourly)",'Eplus results'!$1:$1048576,ROW(),FALSE)</f>
        <v>0</v>
      </c>
      <c r="AD2148" s="580">
        <f t="shared" si="201"/>
        <v>5</v>
      </c>
      <c r="AE2148" s="580">
        <f t="shared" si="202"/>
        <v>2.5</v>
      </c>
      <c r="AF2148" s="580">
        <f t="shared" si="203"/>
        <v>2.5</v>
      </c>
      <c r="AG2148" s="580">
        <f t="shared" si="204"/>
        <v>0</v>
      </c>
      <c r="AH2148" s="580">
        <f t="shared" si="205"/>
        <v>0</v>
      </c>
    </row>
    <row r="2149" spans="28:34">
      <c r="AB2149" s="580">
        <f>HLOOKUP("*"&amp;'Output annual'!$AC$2&amp;'Output annual'!$AD$2&amp;"*Zone People Number Of Occupants [](Hourly)",'Eplus results'!$1:$1048576,ROW(),FALSE)</f>
        <v>0</v>
      </c>
      <c r="AC2149" s="580">
        <f>HLOOKUP("*"&amp;'Output annual'!$AC$2&amp;'Output annual'!$AD$2&amp;"*FangerPMV(Hourly)",'Eplus results'!$1:$1048576,ROW(),FALSE)</f>
        <v>0</v>
      </c>
      <c r="AD2149" s="580">
        <f t="shared" si="201"/>
        <v>5</v>
      </c>
      <c r="AE2149" s="580">
        <f t="shared" si="202"/>
        <v>2.5</v>
      </c>
      <c r="AF2149" s="580">
        <f t="shared" si="203"/>
        <v>2.5</v>
      </c>
      <c r="AG2149" s="580">
        <f t="shared" si="204"/>
        <v>0</v>
      </c>
      <c r="AH2149" s="580">
        <f t="shared" si="205"/>
        <v>0</v>
      </c>
    </row>
    <row r="2150" spans="28:34">
      <c r="AB2150" s="580">
        <f>HLOOKUP("*"&amp;'Output annual'!$AC$2&amp;'Output annual'!$AD$2&amp;"*Zone People Number Of Occupants [](Hourly)",'Eplus results'!$1:$1048576,ROW(),FALSE)</f>
        <v>0</v>
      </c>
      <c r="AC2150" s="580">
        <f>HLOOKUP("*"&amp;'Output annual'!$AC$2&amp;'Output annual'!$AD$2&amp;"*FangerPMV(Hourly)",'Eplus results'!$1:$1048576,ROW(),FALSE)</f>
        <v>0</v>
      </c>
      <c r="AD2150" s="580">
        <f t="shared" si="201"/>
        <v>5</v>
      </c>
      <c r="AE2150" s="580">
        <f t="shared" si="202"/>
        <v>2.5</v>
      </c>
      <c r="AF2150" s="580">
        <f t="shared" si="203"/>
        <v>2.5</v>
      </c>
      <c r="AG2150" s="580">
        <f t="shared" si="204"/>
        <v>0</v>
      </c>
      <c r="AH2150" s="580">
        <f t="shared" si="205"/>
        <v>0</v>
      </c>
    </row>
    <row r="2151" spans="28:34">
      <c r="AB2151" s="580">
        <f>HLOOKUP("*"&amp;'Output annual'!$AC$2&amp;'Output annual'!$AD$2&amp;"*Zone People Number Of Occupants [](Hourly)",'Eplus results'!$1:$1048576,ROW(),FALSE)</f>
        <v>0</v>
      </c>
      <c r="AC2151" s="580">
        <f>HLOOKUP("*"&amp;'Output annual'!$AC$2&amp;'Output annual'!$AD$2&amp;"*FangerPMV(Hourly)",'Eplus results'!$1:$1048576,ROW(),FALSE)</f>
        <v>0</v>
      </c>
      <c r="AD2151" s="580">
        <f t="shared" si="201"/>
        <v>5</v>
      </c>
      <c r="AE2151" s="580">
        <f t="shared" si="202"/>
        <v>2.5</v>
      </c>
      <c r="AF2151" s="580">
        <f t="shared" si="203"/>
        <v>2.5</v>
      </c>
      <c r="AG2151" s="580">
        <f t="shared" si="204"/>
        <v>0</v>
      </c>
      <c r="AH2151" s="580">
        <f t="shared" si="205"/>
        <v>0</v>
      </c>
    </row>
    <row r="2152" spans="28:34">
      <c r="AB2152" s="580">
        <f>HLOOKUP("*"&amp;'Output annual'!$AC$2&amp;'Output annual'!$AD$2&amp;"*Zone People Number Of Occupants [](Hourly)",'Eplus results'!$1:$1048576,ROW(),FALSE)</f>
        <v>0</v>
      </c>
      <c r="AC2152" s="580">
        <f>HLOOKUP("*"&amp;'Output annual'!$AC$2&amp;'Output annual'!$AD$2&amp;"*FangerPMV(Hourly)",'Eplus results'!$1:$1048576,ROW(),FALSE)</f>
        <v>0</v>
      </c>
      <c r="AD2152" s="580">
        <f t="shared" si="201"/>
        <v>5</v>
      </c>
      <c r="AE2152" s="580">
        <f t="shared" si="202"/>
        <v>2.5</v>
      </c>
      <c r="AF2152" s="580">
        <f t="shared" si="203"/>
        <v>2.5</v>
      </c>
      <c r="AG2152" s="580">
        <f t="shared" si="204"/>
        <v>0</v>
      </c>
      <c r="AH2152" s="580">
        <f t="shared" si="205"/>
        <v>0</v>
      </c>
    </row>
    <row r="2153" spans="28:34">
      <c r="AB2153" s="580">
        <f>HLOOKUP("*"&amp;'Output annual'!$AC$2&amp;'Output annual'!$AD$2&amp;"*Zone People Number Of Occupants [](Hourly)",'Eplus results'!$1:$1048576,ROW(),FALSE)</f>
        <v>0</v>
      </c>
      <c r="AC2153" s="580">
        <f>HLOOKUP("*"&amp;'Output annual'!$AC$2&amp;'Output annual'!$AD$2&amp;"*FangerPMV(Hourly)",'Eplus results'!$1:$1048576,ROW(),FALSE)</f>
        <v>0</v>
      </c>
      <c r="AD2153" s="580">
        <f t="shared" si="201"/>
        <v>5</v>
      </c>
      <c r="AE2153" s="580">
        <f t="shared" si="202"/>
        <v>2.5</v>
      </c>
      <c r="AF2153" s="580">
        <f t="shared" si="203"/>
        <v>2.5</v>
      </c>
      <c r="AG2153" s="580">
        <f t="shared" si="204"/>
        <v>0</v>
      </c>
      <c r="AH2153" s="580">
        <f t="shared" si="205"/>
        <v>0</v>
      </c>
    </row>
    <row r="2154" spans="28:34">
      <c r="AB2154" s="580">
        <f>HLOOKUP("*"&amp;'Output annual'!$AC$2&amp;'Output annual'!$AD$2&amp;"*Zone People Number Of Occupants [](Hourly)",'Eplus results'!$1:$1048576,ROW(),FALSE)</f>
        <v>0</v>
      </c>
      <c r="AC2154" s="580">
        <f>HLOOKUP("*"&amp;'Output annual'!$AC$2&amp;'Output annual'!$AD$2&amp;"*FangerPMV(Hourly)",'Eplus results'!$1:$1048576,ROW(),FALSE)</f>
        <v>0</v>
      </c>
      <c r="AD2154" s="580">
        <f t="shared" si="201"/>
        <v>5</v>
      </c>
      <c r="AE2154" s="580">
        <f t="shared" si="202"/>
        <v>2.5</v>
      </c>
      <c r="AF2154" s="580">
        <f t="shared" si="203"/>
        <v>2.5</v>
      </c>
      <c r="AG2154" s="580">
        <f t="shared" si="204"/>
        <v>0</v>
      </c>
      <c r="AH2154" s="580">
        <f t="shared" si="205"/>
        <v>0</v>
      </c>
    </row>
    <row r="2155" spans="28:34">
      <c r="AB2155" s="580">
        <f>HLOOKUP("*"&amp;'Output annual'!$AC$2&amp;'Output annual'!$AD$2&amp;"*Zone People Number Of Occupants [](Hourly)",'Eplus results'!$1:$1048576,ROW(),FALSE)</f>
        <v>0</v>
      </c>
      <c r="AC2155" s="580">
        <f>HLOOKUP("*"&amp;'Output annual'!$AC$2&amp;'Output annual'!$AD$2&amp;"*FangerPMV(Hourly)",'Eplus results'!$1:$1048576,ROW(),FALSE)</f>
        <v>0</v>
      </c>
      <c r="AD2155" s="580">
        <f t="shared" si="201"/>
        <v>5</v>
      </c>
      <c r="AE2155" s="580">
        <f t="shared" si="202"/>
        <v>2.5</v>
      </c>
      <c r="AF2155" s="580">
        <f t="shared" si="203"/>
        <v>2.5</v>
      </c>
      <c r="AG2155" s="580">
        <f t="shared" si="204"/>
        <v>0</v>
      </c>
      <c r="AH2155" s="580">
        <f t="shared" si="205"/>
        <v>0</v>
      </c>
    </row>
    <row r="2156" spans="28:34">
      <c r="AB2156" s="580">
        <f>HLOOKUP("*"&amp;'Output annual'!$AC$2&amp;'Output annual'!$AD$2&amp;"*Zone People Number Of Occupants [](Hourly)",'Eplus results'!$1:$1048576,ROW(),FALSE)</f>
        <v>0</v>
      </c>
      <c r="AC2156" s="580">
        <f>HLOOKUP("*"&amp;'Output annual'!$AC$2&amp;'Output annual'!$AD$2&amp;"*FangerPMV(Hourly)",'Eplus results'!$1:$1048576,ROW(),FALSE)</f>
        <v>0</v>
      </c>
      <c r="AD2156" s="580">
        <f t="shared" si="201"/>
        <v>5</v>
      </c>
      <c r="AE2156" s="580">
        <f t="shared" si="202"/>
        <v>2.5</v>
      </c>
      <c r="AF2156" s="580">
        <f t="shared" si="203"/>
        <v>2.5</v>
      </c>
      <c r="AG2156" s="580">
        <f t="shared" si="204"/>
        <v>0</v>
      </c>
      <c r="AH2156" s="580">
        <f t="shared" si="205"/>
        <v>0</v>
      </c>
    </row>
    <row r="2157" spans="28:34">
      <c r="AB2157" s="580">
        <f>HLOOKUP("*"&amp;'Output annual'!$AC$2&amp;'Output annual'!$AD$2&amp;"*Zone People Number Of Occupants [](Hourly)",'Eplus results'!$1:$1048576,ROW(),FALSE)</f>
        <v>0</v>
      </c>
      <c r="AC2157" s="580">
        <f>HLOOKUP("*"&amp;'Output annual'!$AC$2&amp;'Output annual'!$AD$2&amp;"*FangerPMV(Hourly)",'Eplus results'!$1:$1048576,ROW(),FALSE)</f>
        <v>0</v>
      </c>
      <c r="AD2157" s="580">
        <f t="shared" si="201"/>
        <v>5</v>
      </c>
      <c r="AE2157" s="580">
        <f t="shared" si="202"/>
        <v>2.5</v>
      </c>
      <c r="AF2157" s="580">
        <f t="shared" si="203"/>
        <v>2.5</v>
      </c>
      <c r="AG2157" s="580">
        <f t="shared" si="204"/>
        <v>0</v>
      </c>
      <c r="AH2157" s="580">
        <f t="shared" si="205"/>
        <v>0</v>
      </c>
    </row>
    <row r="2158" spans="28:34">
      <c r="AB2158" s="580">
        <f>HLOOKUP("*"&amp;'Output annual'!$AC$2&amp;'Output annual'!$AD$2&amp;"*Zone People Number Of Occupants [](Hourly)",'Eplus results'!$1:$1048576,ROW(),FALSE)</f>
        <v>0</v>
      </c>
      <c r="AC2158" s="580">
        <f>HLOOKUP("*"&amp;'Output annual'!$AC$2&amp;'Output annual'!$AD$2&amp;"*FangerPMV(Hourly)",'Eplus results'!$1:$1048576,ROW(),FALSE)</f>
        <v>0</v>
      </c>
      <c r="AD2158" s="580">
        <f t="shared" si="201"/>
        <v>5</v>
      </c>
      <c r="AE2158" s="580">
        <f t="shared" si="202"/>
        <v>2.5</v>
      </c>
      <c r="AF2158" s="580">
        <f t="shared" si="203"/>
        <v>2.5</v>
      </c>
      <c r="AG2158" s="580">
        <f t="shared" si="204"/>
        <v>0</v>
      </c>
      <c r="AH2158" s="580">
        <f t="shared" si="205"/>
        <v>0</v>
      </c>
    </row>
    <row r="2159" spans="28:34">
      <c r="AB2159" s="580">
        <f>HLOOKUP("*"&amp;'Output annual'!$AC$2&amp;'Output annual'!$AD$2&amp;"*Zone People Number Of Occupants [](Hourly)",'Eplus results'!$1:$1048576,ROW(),FALSE)</f>
        <v>0</v>
      </c>
      <c r="AC2159" s="580">
        <f>HLOOKUP("*"&amp;'Output annual'!$AC$2&amp;'Output annual'!$AD$2&amp;"*FangerPMV(Hourly)",'Eplus results'!$1:$1048576,ROW(),FALSE)</f>
        <v>0</v>
      </c>
      <c r="AD2159" s="580">
        <f t="shared" si="201"/>
        <v>5</v>
      </c>
      <c r="AE2159" s="580">
        <f t="shared" si="202"/>
        <v>2.5</v>
      </c>
      <c r="AF2159" s="580">
        <f t="shared" si="203"/>
        <v>2.5</v>
      </c>
      <c r="AG2159" s="580">
        <f t="shared" si="204"/>
        <v>0</v>
      </c>
      <c r="AH2159" s="580">
        <f t="shared" si="205"/>
        <v>0</v>
      </c>
    </row>
    <row r="2160" spans="28:34">
      <c r="AB2160" s="580">
        <f>HLOOKUP("*"&amp;'Output annual'!$AC$2&amp;'Output annual'!$AD$2&amp;"*Zone People Number Of Occupants [](Hourly)",'Eplus results'!$1:$1048576,ROW(),FALSE)</f>
        <v>0</v>
      </c>
      <c r="AC2160" s="580">
        <f>HLOOKUP("*"&amp;'Output annual'!$AC$2&amp;'Output annual'!$AD$2&amp;"*FangerPMV(Hourly)",'Eplus results'!$1:$1048576,ROW(),FALSE)</f>
        <v>0</v>
      </c>
      <c r="AD2160" s="580">
        <f t="shared" si="201"/>
        <v>5</v>
      </c>
      <c r="AE2160" s="580">
        <f t="shared" si="202"/>
        <v>2.5</v>
      </c>
      <c r="AF2160" s="580">
        <f t="shared" si="203"/>
        <v>2.5</v>
      </c>
      <c r="AG2160" s="580">
        <f t="shared" si="204"/>
        <v>0</v>
      </c>
      <c r="AH2160" s="580">
        <f t="shared" si="205"/>
        <v>0</v>
      </c>
    </row>
    <row r="2161" spans="28:34">
      <c r="AB2161" s="580">
        <f>HLOOKUP("*"&amp;'Output annual'!$AC$2&amp;'Output annual'!$AD$2&amp;"*Zone People Number Of Occupants [](Hourly)",'Eplus results'!$1:$1048576,ROW(),FALSE)</f>
        <v>0</v>
      </c>
      <c r="AC2161" s="580">
        <f>HLOOKUP("*"&amp;'Output annual'!$AC$2&amp;'Output annual'!$AD$2&amp;"*FangerPMV(Hourly)",'Eplus results'!$1:$1048576,ROW(),FALSE)</f>
        <v>0</v>
      </c>
      <c r="AD2161" s="580">
        <f t="shared" si="201"/>
        <v>5</v>
      </c>
      <c r="AE2161" s="580">
        <f t="shared" si="202"/>
        <v>2.5</v>
      </c>
      <c r="AF2161" s="580">
        <f t="shared" si="203"/>
        <v>2.5</v>
      </c>
      <c r="AG2161" s="580">
        <f t="shared" si="204"/>
        <v>0</v>
      </c>
      <c r="AH2161" s="580">
        <f t="shared" si="205"/>
        <v>0</v>
      </c>
    </row>
    <row r="2162" spans="28:34">
      <c r="AB2162" s="580">
        <f>HLOOKUP("*"&amp;'Output annual'!$AC$2&amp;'Output annual'!$AD$2&amp;"*Zone People Number Of Occupants [](Hourly)",'Eplus results'!$1:$1048576,ROW(),FALSE)</f>
        <v>0</v>
      </c>
      <c r="AC2162" s="580">
        <f>HLOOKUP("*"&amp;'Output annual'!$AC$2&amp;'Output annual'!$AD$2&amp;"*FangerPMV(Hourly)",'Eplus results'!$1:$1048576,ROW(),FALSE)</f>
        <v>0</v>
      </c>
      <c r="AD2162" s="580">
        <f t="shared" si="201"/>
        <v>5</v>
      </c>
      <c r="AE2162" s="580">
        <f t="shared" si="202"/>
        <v>2.5</v>
      </c>
      <c r="AF2162" s="580">
        <f t="shared" si="203"/>
        <v>2.5</v>
      </c>
      <c r="AG2162" s="580">
        <f t="shared" si="204"/>
        <v>0</v>
      </c>
      <c r="AH2162" s="580">
        <f t="shared" si="205"/>
        <v>0</v>
      </c>
    </row>
    <row r="2163" spans="28:34">
      <c r="AB2163" s="580">
        <f>HLOOKUP("*"&amp;'Output annual'!$AC$2&amp;'Output annual'!$AD$2&amp;"*Zone People Number Of Occupants [](Hourly)",'Eplus results'!$1:$1048576,ROW(),FALSE)</f>
        <v>0</v>
      </c>
      <c r="AC2163" s="580">
        <f>HLOOKUP("*"&amp;'Output annual'!$AC$2&amp;'Output annual'!$AD$2&amp;"*FangerPMV(Hourly)",'Eplus results'!$1:$1048576,ROW(),FALSE)</f>
        <v>0</v>
      </c>
      <c r="AD2163" s="580">
        <f t="shared" si="201"/>
        <v>5</v>
      </c>
      <c r="AE2163" s="580">
        <f t="shared" si="202"/>
        <v>2.5</v>
      </c>
      <c r="AF2163" s="580">
        <f t="shared" si="203"/>
        <v>2.5</v>
      </c>
      <c r="AG2163" s="580">
        <f t="shared" si="204"/>
        <v>0</v>
      </c>
      <c r="AH2163" s="580">
        <f t="shared" si="205"/>
        <v>0</v>
      </c>
    </row>
    <row r="2164" spans="28:34">
      <c r="AB2164" s="580">
        <f>HLOOKUP("*"&amp;'Output annual'!$AC$2&amp;'Output annual'!$AD$2&amp;"*Zone People Number Of Occupants [](Hourly)",'Eplus results'!$1:$1048576,ROW(),FALSE)</f>
        <v>0</v>
      </c>
      <c r="AC2164" s="580">
        <f>HLOOKUP("*"&amp;'Output annual'!$AC$2&amp;'Output annual'!$AD$2&amp;"*FangerPMV(Hourly)",'Eplus results'!$1:$1048576,ROW(),FALSE)</f>
        <v>0</v>
      </c>
      <c r="AD2164" s="580">
        <f t="shared" si="201"/>
        <v>5</v>
      </c>
      <c r="AE2164" s="580">
        <f t="shared" si="202"/>
        <v>2.5</v>
      </c>
      <c r="AF2164" s="580">
        <f t="shared" si="203"/>
        <v>2.5</v>
      </c>
      <c r="AG2164" s="580">
        <f t="shared" si="204"/>
        <v>0</v>
      </c>
      <c r="AH2164" s="580">
        <f t="shared" si="205"/>
        <v>0</v>
      </c>
    </row>
    <row r="2165" spans="28:34">
      <c r="AB2165" s="580">
        <f>HLOOKUP("*"&amp;'Output annual'!$AC$2&amp;'Output annual'!$AD$2&amp;"*Zone People Number Of Occupants [](Hourly)",'Eplus results'!$1:$1048576,ROW(),FALSE)</f>
        <v>0</v>
      </c>
      <c r="AC2165" s="580">
        <f>HLOOKUP("*"&amp;'Output annual'!$AC$2&amp;'Output annual'!$AD$2&amp;"*FangerPMV(Hourly)",'Eplus results'!$1:$1048576,ROW(),FALSE)</f>
        <v>0</v>
      </c>
      <c r="AD2165" s="580">
        <f t="shared" si="201"/>
        <v>5</v>
      </c>
      <c r="AE2165" s="580">
        <f t="shared" si="202"/>
        <v>2.5</v>
      </c>
      <c r="AF2165" s="580">
        <f t="shared" si="203"/>
        <v>2.5</v>
      </c>
      <c r="AG2165" s="580">
        <f t="shared" si="204"/>
        <v>0</v>
      </c>
      <c r="AH2165" s="580">
        <f t="shared" si="205"/>
        <v>0</v>
      </c>
    </row>
    <row r="2166" spans="28:34">
      <c r="AB2166" s="580">
        <f>HLOOKUP("*"&amp;'Output annual'!$AC$2&amp;'Output annual'!$AD$2&amp;"*Zone People Number Of Occupants [](Hourly)",'Eplus results'!$1:$1048576,ROW(),FALSE)</f>
        <v>0</v>
      </c>
      <c r="AC2166" s="580">
        <f>HLOOKUP("*"&amp;'Output annual'!$AC$2&amp;'Output annual'!$AD$2&amp;"*FangerPMV(Hourly)",'Eplus results'!$1:$1048576,ROW(),FALSE)</f>
        <v>0</v>
      </c>
      <c r="AD2166" s="580">
        <f t="shared" si="201"/>
        <v>5</v>
      </c>
      <c r="AE2166" s="580">
        <f t="shared" si="202"/>
        <v>2.5</v>
      </c>
      <c r="AF2166" s="580">
        <f t="shared" si="203"/>
        <v>2.5</v>
      </c>
      <c r="AG2166" s="580">
        <f t="shared" si="204"/>
        <v>0</v>
      </c>
      <c r="AH2166" s="580">
        <f t="shared" si="205"/>
        <v>0</v>
      </c>
    </row>
    <row r="2167" spans="28:34">
      <c r="AB2167" s="580">
        <f>HLOOKUP("*"&amp;'Output annual'!$AC$2&amp;'Output annual'!$AD$2&amp;"*Zone People Number Of Occupants [](Hourly)",'Eplus results'!$1:$1048576,ROW(),FALSE)</f>
        <v>0</v>
      </c>
      <c r="AC2167" s="580">
        <f>HLOOKUP("*"&amp;'Output annual'!$AC$2&amp;'Output annual'!$AD$2&amp;"*FangerPMV(Hourly)",'Eplus results'!$1:$1048576,ROW(),FALSE)</f>
        <v>0</v>
      </c>
      <c r="AD2167" s="580">
        <f t="shared" si="201"/>
        <v>5</v>
      </c>
      <c r="AE2167" s="580">
        <f t="shared" si="202"/>
        <v>2.5</v>
      </c>
      <c r="AF2167" s="580">
        <f t="shared" si="203"/>
        <v>2.5</v>
      </c>
      <c r="AG2167" s="580">
        <f t="shared" si="204"/>
        <v>0</v>
      </c>
      <c r="AH2167" s="580">
        <f t="shared" si="205"/>
        <v>0</v>
      </c>
    </row>
    <row r="2168" spans="28:34">
      <c r="AB2168" s="580">
        <f>HLOOKUP("*"&amp;'Output annual'!$AC$2&amp;'Output annual'!$AD$2&amp;"*Zone People Number Of Occupants [](Hourly)",'Eplus results'!$1:$1048576,ROW(),FALSE)</f>
        <v>0</v>
      </c>
      <c r="AC2168" s="580">
        <f>HLOOKUP("*"&amp;'Output annual'!$AC$2&amp;'Output annual'!$AD$2&amp;"*FangerPMV(Hourly)",'Eplus results'!$1:$1048576,ROW(),FALSE)</f>
        <v>0</v>
      </c>
      <c r="AD2168" s="580">
        <f t="shared" si="201"/>
        <v>5</v>
      </c>
      <c r="AE2168" s="580">
        <f t="shared" si="202"/>
        <v>2.5</v>
      </c>
      <c r="AF2168" s="580">
        <f t="shared" si="203"/>
        <v>2.5</v>
      </c>
      <c r="AG2168" s="580">
        <f t="shared" si="204"/>
        <v>0</v>
      </c>
      <c r="AH2168" s="580">
        <f t="shared" si="205"/>
        <v>0</v>
      </c>
    </row>
    <row r="2169" spans="28:34">
      <c r="AB2169" s="580">
        <f>HLOOKUP("*"&amp;'Output annual'!$AC$2&amp;'Output annual'!$AD$2&amp;"*Zone People Number Of Occupants [](Hourly)",'Eplus results'!$1:$1048576,ROW(),FALSE)</f>
        <v>0</v>
      </c>
      <c r="AC2169" s="580">
        <f>HLOOKUP("*"&amp;'Output annual'!$AC$2&amp;'Output annual'!$AD$2&amp;"*FangerPMV(Hourly)",'Eplus results'!$1:$1048576,ROW(),FALSE)</f>
        <v>0</v>
      </c>
      <c r="AD2169" s="580">
        <f t="shared" si="201"/>
        <v>5</v>
      </c>
      <c r="AE2169" s="580">
        <f t="shared" si="202"/>
        <v>2.5</v>
      </c>
      <c r="AF2169" s="580">
        <f t="shared" si="203"/>
        <v>2.5</v>
      </c>
      <c r="AG2169" s="580">
        <f t="shared" si="204"/>
        <v>0</v>
      </c>
      <c r="AH2169" s="580">
        <f t="shared" si="205"/>
        <v>0</v>
      </c>
    </row>
    <row r="2170" spans="28:34">
      <c r="AB2170" s="580">
        <f>HLOOKUP("*"&amp;'Output annual'!$AC$2&amp;'Output annual'!$AD$2&amp;"*Zone People Number Of Occupants [](Hourly)",'Eplus results'!$1:$1048576,ROW(),FALSE)</f>
        <v>0</v>
      </c>
      <c r="AC2170" s="580">
        <f>HLOOKUP("*"&amp;'Output annual'!$AC$2&amp;'Output annual'!$AD$2&amp;"*FangerPMV(Hourly)",'Eplus results'!$1:$1048576,ROW(),FALSE)</f>
        <v>0</v>
      </c>
      <c r="AD2170" s="580">
        <f t="shared" si="201"/>
        <v>5</v>
      </c>
      <c r="AE2170" s="580">
        <f t="shared" si="202"/>
        <v>2.5</v>
      </c>
      <c r="AF2170" s="580">
        <f t="shared" si="203"/>
        <v>2.5</v>
      </c>
      <c r="AG2170" s="580">
        <f t="shared" si="204"/>
        <v>0</v>
      </c>
      <c r="AH2170" s="580">
        <f t="shared" si="205"/>
        <v>0</v>
      </c>
    </row>
    <row r="2171" spans="28:34">
      <c r="AB2171" s="580">
        <f>HLOOKUP("*"&amp;'Output annual'!$AC$2&amp;'Output annual'!$AD$2&amp;"*Zone People Number Of Occupants [](Hourly)",'Eplus results'!$1:$1048576,ROW(),FALSE)</f>
        <v>0</v>
      </c>
      <c r="AC2171" s="580">
        <f>HLOOKUP("*"&amp;'Output annual'!$AC$2&amp;'Output annual'!$AD$2&amp;"*FangerPMV(Hourly)",'Eplus results'!$1:$1048576,ROW(),FALSE)</f>
        <v>0</v>
      </c>
      <c r="AD2171" s="580">
        <f t="shared" si="201"/>
        <v>5</v>
      </c>
      <c r="AE2171" s="580">
        <f t="shared" si="202"/>
        <v>2.5</v>
      </c>
      <c r="AF2171" s="580">
        <f t="shared" si="203"/>
        <v>2.5</v>
      </c>
      <c r="AG2171" s="580">
        <f t="shared" si="204"/>
        <v>0</v>
      </c>
      <c r="AH2171" s="580">
        <f t="shared" si="205"/>
        <v>0</v>
      </c>
    </row>
    <row r="2172" spans="28:34">
      <c r="AB2172" s="580">
        <f>HLOOKUP("*"&amp;'Output annual'!$AC$2&amp;'Output annual'!$AD$2&amp;"*Zone People Number Of Occupants [](Hourly)",'Eplus results'!$1:$1048576,ROW(),FALSE)</f>
        <v>0</v>
      </c>
      <c r="AC2172" s="580">
        <f>HLOOKUP("*"&amp;'Output annual'!$AC$2&amp;'Output annual'!$AD$2&amp;"*FangerPMV(Hourly)",'Eplus results'!$1:$1048576,ROW(),FALSE)</f>
        <v>0</v>
      </c>
      <c r="AD2172" s="580">
        <f t="shared" si="201"/>
        <v>5</v>
      </c>
      <c r="AE2172" s="580">
        <f t="shared" si="202"/>
        <v>2.5</v>
      </c>
      <c r="AF2172" s="580">
        <f t="shared" si="203"/>
        <v>2.5</v>
      </c>
      <c r="AG2172" s="580">
        <f t="shared" si="204"/>
        <v>0</v>
      </c>
      <c r="AH2172" s="580">
        <f t="shared" si="205"/>
        <v>0</v>
      </c>
    </row>
    <row r="2173" spans="28:34">
      <c r="AB2173" s="580">
        <f>HLOOKUP("*"&amp;'Output annual'!$AC$2&amp;'Output annual'!$AD$2&amp;"*Zone People Number Of Occupants [](Hourly)",'Eplus results'!$1:$1048576,ROW(),FALSE)</f>
        <v>0</v>
      </c>
      <c r="AC2173" s="580">
        <f>HLOOKUP("*"&amp;'Output annual'!$AC$2&amp;'Output annual'!$AD$2&amp;"*FangerPMV(Hourly)",'Eplus results'!$1:$1048576,ROW(),FALSE)</f>
        <v>0</v>
      </c>
      <c r="AD2173" s="580">
        <f t="shared" si="201"/>
        <v>5</v>
      </c>
      <c r="AE2173" s="580">
        <f t="shared" si="202"/>
        <v>2.5</v>
      </c>
      <c r="AF2173" s="580">
        <f t="shared" si="203"/>
        <v>2.5</v>
      </c>
      <c r="AG2173" s="580">
        <f t="shared" si="204"/>
        <v>0</v>
      </c>
      <c r="AH2173" s="580">
        <f t="shared" si="205"/>
        <v>0</v>
      </c>
    </row>
    <row r="2174" spans="28:34">
      <c r="AB2174" s="580">
        <f>HLOOKUP("*"&amp;'Output annual'!$AC$2&amp;'Output annual'!$AD$2&amp;"*Zone People Number Of Occupants [](Hourly)",'Eplus results'!$1:$1048576,ROW(),FALSE)</f>
        <v>0</v>
      </c>
      <c r="AC2174" s="580">
        <f>HLOOKUP("*"&amp;'Output annual'!$AC$2&amp;'Output annual'!$AD$2&amp;"*FangerPMV(Hourly)",'Eplus results'!$1:$1048576,ROW(),FALSE)</f>
        <v>0</v>
      </c>
      <c r="AD2174" s="580">
        <f t="shared" si="201"/>
        <v>5</v>
      </c>
      <c r="AE2174" s="580">
        <f t="shared" si="202"/>
        <v>2.5</v>
      </c>
      <c r="AF2174" s="580">
        <f t="shared" si="203"/>
        <v>2.5</v>
      </c>
      <c r="AG2174" s="580">
        <f t="shared" si="204"/>
        <v>0</v>
      </c>
      <c r="AH2174" s="580">
        <f t="shared" si="205"/>
        <v>0</v>
      </c>
    </row>
    <row r="2175" spans="28:34">
      <c r="AB2175" s="580">
        <f>HLOOKUP("*"&amp;'Output annual'!$AC$2&amp;'Output annual'!$AD$2&amp;"*Zone People Number Of Occupants [](Hourly)",'Eplus results'!$1:$1048576,ROW(),FALSE)</f>
        <v>0</v>
      </c>
      <c r="AC2175" s="580">
        <f>HLOOKUP("*"&amp;'Output annual'!$AC$2&amp;'Output annual'!$AD$2&amp;"*FangerPMV(Hourly)",'Eplus results'!$1:$1048576,ROW(),FALSE)</f>
        <v>0</v>
      </c>
      <c r="AD2175" s="580">
        <f t="shared" si="201"/>
        <v>5</v>
      </c>
      <c r="AE2175" s="580">
        <f t="shared" si="202"/>
        <v>2.5</v>
      </c>
      <c r="AF2175" s="580">
        <f t="shared" si="203"/>
        <v>2.5</v>
      </c>
      <c r="AG2175" s="580">
        <f t="shared" si="204"/>
        <v>0</v>
      </c>
      <c r="AH2175" s="580">
        <f t="shared" si="205"/>
        <v>0</v>
      </c>
    </row>
    <row r="2176" spans="28:34">
      <c r="AB2176" s="580">
        <f>HLOOKUP("*"&amp;'Output annual'!$AC$2&amp;'Output annual'!$AD$2&amp;"*Zone People Number Of Occupants [](Hourly)",'Eplus results'!$1:$1048576,ROW(),FALSE)</f>
        <v>0</v>
      </c>
      <c r="AC2176" s="580">
        <f>HLOOKUP("*"&amp;'Output annual'!$AC$2&amp;'Output annual'!$AD$2&amp;"*FangerPMV(Hourly)",'Eplus results'!$1:$1048576,ROW(),FALSE)</f>
        <v>0</v>
      </c>
      <c r="AD2176" s="580">
        <f t="shared" si="201"/>
        <v>5</v>
      </c>
      <c r="AE2176" s="580">
        <f t="shared" si="202"/>
        <v>2.5</v>
      </c>
      <c r="AF2176" s="580">
        <f t="shared" si="203"/>
        <v>2.5</v>
      </c>
      <c r="AG2176" s="580">
        <f t="shared" si="204"/>
        <v>0</v>
      </c>
      <c r="AH2176" s="580">
        <f t="shared" si="205"/>
        <v>0</v>
      </c>
    </row>
    <row r="2177" spans="28:34">
      <c r="AB2177" s="580">
        <f>HLOOKUP("*"&amp;'Output annual'!$AC$2&amp;'Output annual'!$AD$2&amp;"*Zone People Number Of Occupants [](Hourly)",'Eplus results'!$1:$1048576,ROW(),FALSE)</f>
        <v>0</v>
      </c>
      <c r="AC2177" s="580">
        <f>HLOOKUP("*"&amp;'Output annual'!$AC$2&amp;'Output annual'!$AD$2&amp;"*FangerPMV(Hourly)",'Eplus results'!$1:$1048576,ROW(),FALSE)</f>
        <v>0</v>
      </c>
      <c r="AD2177" s="580">
        <f t="shared" si="201"/>
        <v>5</v>
      </c>
      <c r="AE2177" s="580">
        <f t="shared" si="202"/>
        <v>2.5</v>
      </c>
      <c r="AF2177" s="580">
        <f t="shared" si="203"/>
        <v>2.5</v>
      </c>
      <c r="AG2177" s="580">
        <f t="shared" si="204"/>
        <v>0</v>
      </c>
      <c r="AH2177" s="580">
        <f t="shared" si="205"/>
        <v>0</v>
      </c>
    </row>
    <row r="2178" spans="28:34">
      <c r="AB2178" s="580">
        <f>HLOOKUP("*"&amp;'Output annual'!$AC$2&amp;'Output annual'!$AD$2&amp;"*Zone People Number Of Occupants [](Hourly)",'Eplus results'!$1:$1048576,ROW(),FALSE)</f>
        <v>0</v>
      </c>
      <c r="AC2178" s="580">
        <f>HLOOKUP("*"&amp;'Output annual'!$AC$2&amp;'Output annual'!$AD$2&amp;"*FangerPMV(Hourly)",'Eplus results'!$1:$1048576,ROW(),FALSE)</f>
        <v>0</v>
      </c>
      <c r="AD2178" s="580">
        <f t="shared" si="201"/>
        <v>5</v>
      </c>
      <c r="AE2178" s="580">
        <f t="shared" si="202"/>
        <v>2.5</v>
      </c>
      <c r="AF2178" s="580">
        <f t="shared" si="203"/>
        <v>2.5</v>
      </c>
      <c r="AG2178" s="580">
        <f t="shared" si="204"/>
        <v>0</v>
      </c>
      <c r="AH2178" s="580">
        <f t="shared" si="205"/>
        <v>0</v>
      </c>
    </row>
    <row r="2179" spans="28:34">
      <c r="AB2179" s="580">
        <f>HLOOKUP("*"&amp;'Output annual'!$AC$2&amp;'Output annual'!$AD$2&amp;"*Zone People Number Of Occupants [](Hourly)",'Eplus results'!$1:$1048576,ROW(),FALSE)</f>
        <v>0</v>
      </c>
      <c r="AC2179" s="580">
        <f>HLOOKUP("*"&amp;'Output annual'!$AC$2&amp;'Output annual'!$AD$2&amp;"*FangerPMV(Hourly)",'Eplus results'!$1:$1048576,ROW(),FALSE)</f>
        <v>0</v>
      </c>
      <c r="AD2179" s="580">
        <f t="shared" ref="AD2179:AD2242" si="206">100-95*EXP(-0.03353*AC2179^4-0.2179*AC2179^2)</f>
        <v>5</v>
      </c>
      <c r="AE2179" s="580">
        <f t="shared" ref="AE2179:AE2242" si="207">AD2179*(1/(1+EXP(-6.3*$AC2179)))</f>
        <v>2.5</v>
      </c>
      <c r="AF2179" s="580">
        <f t="shared" ref="AF2179:AF2242" si="208">(AD2179-AE2179)</f>
        <v>2.5</v>
      </c>
      <c r="AG2179" s="580">
        <f t="shared" ref="AG2179:AG2242" si="209">AE2179*AB2179</f>
        <v>0</v>
      </c>
      <c r="AH2179" s="580">
        <f t="shared" ref="AH2179:AH2242" si="210">AF2179*AB2179</f>
        <v>0</v>
      </c>
    </row>
    <row r="2180" spans="28:34">
      <c r="AB2180" s="580">
        <f>HLOOKUP("*"&amp;'Output annual'!$AC$2&amp;'Output annual'!$AD$2&amp;"*Zone People Number Of Occupants [](Hourly)",'Eplus results'!$1:$1048576,ROW(),FALSE)</f>
        <v>0</v>
      </c>
      <c r="AC2180" s="580">
        <f>HLOOKUP("*"&amp;'Output annual'!$AC$2&amp;'Output annual'!$AD$2&amp;"*FangerPMV(Hourly)",'Eplus results'!$1:$1048576,ROW(),FALSE)</f>
        <v>0</v>
      </c>
      <c r="AD2180" s="580">
        <f t="shared" si="206"/>
        <v>5</v>
      </c>
      <c r="AE2180" s="580">
        <f t="shared" si="207"/>
        <v>2.5</v>
      </c>
      <c r="AF2180" s="580">
        <f t="shared" si="208"/>
        <v>2.5</v>
      </c>
      <c r="AG2180" s="580">
        <f t="shared" si="209"/>
        <v>0</v>
      </c>
      <c r="AH2180" s="580">
        <f t="shared" si="210"/>
        <v>0</v>
      </c>
    </row>
    <row r="2181" spans="28:34">
      <c r="AB2181" s="580">
        <f>HLOOKUP("*"&amp;'Output annual'!$AC$2&amp;'Output annual'!$AD$2&amp;"*Zone People Number Of Occupants [](Hourly)",'Eplus results'!$1:$1048576,ROW(),FALSE)</f>
        <v>0</v>
      </c>
      <c r="AC2181" s="580">
        <f>HLOOKUP("*"&amp;'Output annual'!$AC$2&amp;'Output annual'!$AD$2&amp;"*FangerPMV(Hourly)",'Eplus results'!$1:$1048576,ROW(),FALSE)</f>
        <v>0</v>
      </c>
      <c r="AD2181" s="580">
        <f t="shared" si="206"/>
        <v>5</v>
      </c>
      <c r="AE2181" s="580">
        <f t="shared" si="207"/>
        <v>2.5</v>
      </c>
      <c r="AF2181" s="580">
        <f t="shared" si="208"/>
        <v>2.5</v>
      </c>
      <c r="AG2181" s="580">
        <f t="shared" si="209"/>
        <v>0</v>
      </c>
      <c r="AH2181" s="580">
        <f t="shared" si="210"/>
        <v>0</v>
      </c>
    </row>
    <row r="2182" spans="28:34">
      <c r="AB2182" s="580">
        <f>HLOOKUP("*"&amp;'Output annual'!$AC$2&amp;'Output annual'!$AD$2&amp;"*Zone People Number Of Occupants [](Hourly)",'Eplus results'!$1:$1048576,ROW(),FALSE)</f>
        <v>0</v>
      </c>
      <c r="AC2182" s="580">
        <f>HLOOKUP("*"&amp;'Output annual'!$AC$2&amp;'Output annual'!$AD$2&amp;"*FangerPMV(Hourly)",'Eplus results'!$1:$1048576,ROW(),FALSE)</f>
        <v>0</v>
      </c>
      <c r="AD2182" s="580">
        <f t="shared" si="206"/>
        <v>5</v>
      </c>
      <c r="AE2182" s="580">
        <f t="shared" si="207"/>
        <v>2.5</v>
      </c>
      <c r="AF2182" s="580">
        <f t="shared" si="208"/>
        <v>2.5</v>
      </c>
      <c r="AG2182" s="580">
        <f t="shared" si="209"/>
        <v>0</v>
      </c>
      <c r="AH2182" s="580">
        <f t="shared" si="210"/>
        <v>0</v>
      </c>
    </row>
    <row r="2183" spans="28:34">
      <c r="AB2183" s="580">
        <f>HLOOKUP("*"&amp;'Output annual'!$AC$2&amp;'Output annual'!$AD$2&amp;"*Zone People Number Of Occupants [](Hourly)",'Eplus results'!$1:$1048576,ROW(),FALSE)</f>
        <v>0</v>
      </c>
      <c r="AC2183" s="580">
        <f>HLOOKUP("*"&amp;'Output annual'!$AC$2&amp;'Output annual'!$AD$2&amp;"*FangerPMV(Hourly)",'Eplus results'!$1:$1048576,ROW(),FALSE)</f>
        <v>0</v>
      </c>
      <c r="AD2183" s="580">
        <f t="shared" si="206"/>
        <v>5</v>
      </c>
      <c r="AE2183" s="580">
        <f t="shared" si="207"/>
        <v>2.5</v>
      </c>
      <c r="AF2183" s="580">
        <f t="shared" si="208"/>
        <v>2.5</v>
      </c>
      <c r="AG2183" s="580">
        <f t="shared" si="209"/>
        <v>0</v>
      </c>
      <c r="AH2183" s="580">
        <f t="shared" si="210"/>
        <v>0</v>
      </c>
    </row>
    <row r="2184" spans="28:34">
      <c r="AB2184" s="580">
        <f>HLOOKUP("*"&amp;'Output annual'!$AC$2&amp;'Output annual'!$AD$2&amp;"*Zone People Number Of Occupants [](Hourly)",'Eplus results'!$1:$1048576,ROW(),FALSE)</f>
        <v>0</v>
      </c>
      <c r="AC2184" s="580">
        <f>HLOOKUP("*"&amp;'Output annual'!$AC$2&amp;'Output annual'!$AD$2&amp;"*FangerPMV(Hourly)",'Eplus results'!$1:$1048576,ROW(),FALSE)</f>
        <v>0</v>
      </c>
      <c r="AD2184" s="580">
        <f t="shared" si="206"/>
        <v>5</v>
      </c>
      <c r="AE2184" s="580">
        <f t="shared" si="207"/>
        <v>2.5</v>
      </c>
      <c r="AF2184" s="580">
        <f t="shared" si="208"/>
        <v>2.5</v>
      </c>
      <c r="AG2184" s="580">
        <f t="shared" si="209"/>
        <v>0</v>
      </c>
      <c r="AH2184" s="580">
        <f t="shared" si="210"/>
        <v>0</v>
      </c>
    </row>
    <row r="2185" spans="28:34">
      <c r="AB2185" s="580">
        <f>HLOOKUP("*"&amp;'Output annual'!$AC$2&amp;'Output annual'!$AD$2&amp;"*Zone People Number Of Occupants [](Hourly)",'Eplus results'!$1:$1048576,ROW(),FALSE)</f>
        <v>0</v>
      </c>
      <c r="AC2185" s="580">
        <f>HLOOKUP("*"&amp;'Output annual'!$AC$2&amp;'Output annual'!$AD$2&amp;"*FangerPMV(Hourly)",'Eplus results'!$1:$1048576,ROW(),FALSE)</f>
        <v>0</v>
      </c>
      <c r="AD2185" s="580">
        <f t="shared" si="206"/>
        <v>5</v>
      </c>
      <c r="AE2185" s="580">
        <f t="shared" si="207"/>
        <v>2.5</v>
      </c>
      <c r="AF2185" s="580">
        <f t="shared" si="208"/>
        <v>2.5</v>
      </c>
      <c r="AG2185" s="580">
        <f t="shared" si="209"/>
        <v>0</v>
      </c>
      <c r="AH2185" s="580">
        <f t="shared" si="210"/>
        <v>0</v>
      </c>
    </row>
    <row r="2186" spans="28:34">
      <c r="AB2186" s="580">
        <f>HLOOKUP("*"&amp;'Output annual'!$AC$2&amp;'Output annual'!$AD$2&amp;"*Zone People Number Of Occupants [](Hourly)",'Eplus results'!$1:$1048576,ROW(),FALSE)</f>
        <v>0</v>
      </c>
      <c r="AC2186" s="580">
        <f>HLOOKUP("*"&amp;'Output annual'!$AC$2&amp;'Output annual'!$AD$2&amp;"*FangerPMV(Hourly)",'Eplus results'!$1:$1048576,ROW(),FALSE)</f>
        <v>0</v>
      </c>
      <c r="AD2186" s="580">
        <f t="shared" si="206"/>
        <v>5</v>
      </c>
      <c r="AE2186" s="580">
        <f t="shared" si="207"/>
        <v>2.5</v>
      </c>
      <c r="AF2186" s="580">
        <f t="shared" si="208"/>
        <v>2.5</v>
      </c>
      <c r="AG2186" s="580">
        <f t="shared" si="209"/>
        <v>0</v>
      </c>
      <c r="AH2186" s="580">
        <f t="shared" si="210"/>
        <v>0</v>
      </c>
    </row>
    <row r="2187" spans="28:34">
      <c r="AB2187" s="580">
        <f>HLOOKUP("*"&amp;'Output annual'!$AC$2&amp;'Output annual'!$AD$2&amp;"*Zone People Number Of Occupants [](Hourly)",'Eplus results'!$1:$1048576,ROW(),FALSE)</f>
        <v>0</v>
      </c>
      <c r="AC2187" s="580">
        <f>HLOOKUP("*"&amp;'Output annual'!$AC$2&amp;'Output annual'!$AD$2&amp;"*FangerPMV(Hourly)",'Eplus results'!$1:$1048576,ROW(),FALSE)</f>
        <v>0</v>
      </c>
      <c r="AD2187" s="580">
        <f t="shared" si="206"/>
        <v>5</v>
      </c>
      <c r="AE2187" s="580">
        <f t="shared" si="207"/>
        <v>2.5</v>
      </c>
      <c r="AF2187" s="580">
        <f t="shared" si="208"/>
        <v>2.5</v>
      </c>
      <c r="AG2187" s="580">
        <f t="shared" si="209"/>
        <v>0</v>
      </c>
      <c r="AH2187" s="580">
        <f t="shared" si="210"/>
        <v>0</v>
      </c>
    </row>
    <row r="2188" spans="28:34">
      <c r="AB2188" s="580">
        <f>HLOOKUP("*"&amp;'Output annual'!$AC$2&amp;'Output annual'!$AD$2&amp;"*Zone People Number Of Occupants [](Hourly)",'Eplus results'!$1:$1048576,ROW(),FALSE)</f>
        <v>0</v>
      </c>
      <c r="AC2188" s="580">
        <f>HLOOKUP("*"&amp;'Output annual'!$AC$2&amp;'Output annual'!$AD$2&amp;"*FangerPMV(Hourly)",'Eplus results'!$1:$1048576,ROW(),FALSE)</f>
        <v>0</v>
      </c>
      <c r="AD2188" s="580">
        <f t="shared" si="206"/>
        <v>5</v>
      </c>
      <c r="AE2188" s="580">
        <f t="shared" si="207"/>
        <v>2.5</v>
      </c>
      <c r="AF2188" s="580">
        <f t="shared" si="208"/>
        <v>2.5</v>
      </c>
      <c r="AG2188" s="580">
        <f t="shared" si="209"/>
        <v>0</v>
      </c>
      <c r="AH2188" s="580">
        <f t="shared" si="210"/>
        <v>0</v>
      </c>
    </row>
    <row r="2189" spans="28:34">
      <c r="AB2189" s="580">
        <f>HLOOKUP("*"&amp;'Output annual'!$AC$2&amp;'Output annual'!$AD$2&amp;"*Zone People Number Of Occupants [](Hourly)",'Eplus results'!$1:$1048576,ROW(),FALSE)</f>
        <v>0</v>
      </c>
      <c r="AC2189" s="580">
        <f>HLOOKUP("*"&amp;'Output annual'!$AC$2&amp;'Output annual'!$AD$2&amp;"*FangerPMV(Hourly)",'Eplus results'!$1:$1048576,ROW(),FALSE)</f>
        <v>0</v>
      </c>
      <c r="AD2189" s="580">
        <f t="shared" si="206"/>
        <v>5</v>
      </c>
      <c r="AE2189" s="580">
        <f t="shared" si="207"/>
        <v>2.5</v>
      </c>
      <c r="AF2189" s="580">
        <f t="shared" si="208"/>
        <v>2.5</v>
      </c>
      <c r="AG2189" s="580">
        <f t="shared" si="209"/>
        <v>0</v>
      </c>
      <c r="AH2189" s="580">
        <f t="shared" si="210"/>
        <v>0</v>
      </c>
    </row>
    <row r="2190" spans="28:34">
      <c r="AB2190" s="580">
        <f>HLOOKUP("*"&amp;'Output annual'!$AC$2&amp;'Output annual'!$AD$2&amp;"*Zone People Number Of Occupants [](Hourly)",'Eplus results'!$1:$1048576,ROW(),FALSE)</f>
        <v>0</v>
      </c>
      <c r="AC2190" s="580">
        <f>HLOOKUP("*"&amp;'Output annual'!$AC$2&amp;'Output annual'!$AD$2&amp;"*FangerPMV(Hourly)",'Eplus results'!$1:$1048576,ROW(),FALSE)</f>
        <v>0</v>
      </c>
      <c r="AD2190" s="580">
        <f t="shared" si="206"/>
        <v>5</v>
      </c>
      <c r="AE2190" s="580">
        <f t="shared" si="207"/>
        <v>2.5</v>
      </c>
      <c r="AF2190" s="580">
        <f t="shared" si="208"/>
        <v>2.5</v>
      </c>
      <c r="AG2190" s="580">
        <f t="shared" si="209"/>
        <v>0</v>
      </c>
      <c r="AH2190" s="580">
        <f t="shared" si="210"/>
        <v>0</v>
      </c>
    </row>
    <row r="2191" spans="28:34">
      <c r="AB2191" s="580">
        <f>HLOOKUP("*"&amp;'Output annual'!$AC$2&amp;'Output annual'!$AD$2&amp;"*Zone People Number Of Occupants [](Hourly)",'Eplus results'!$1:$1048576,ROW(),FALSE)</f>
        <v>0</v>
      </c>
      <c r="AC2191" s="580">
        <f>HLOOKUP("*"&amp;'Output annual'!$AC$2&amp;'Output annual'!$AD$2&amp;"*FangerPMV(Hourly)",'Eplus results'!$1:$1048576,ROW(),FALSE)</f>
        <v>0</v>
      </c>
      <c r="AD2191" s="580">
        <f t="shared" si="206"/>
        <v>5</v>
      </c>
      <c r="AE2191" s="580">
        <f t="shared" si="207"/>
        <v>2.5</v>
      </c>
      <c r="AF2191" s="580">
        <f t="shared" si="208"/>
        <v>2.5</v>
      </c>
      <c r="AG2191" s="580">
        <f t="shared" si="209"/>
        <v>0</v>
      </c>
      <c r="AH2191" s="580">
        <f t="shared" si="210"/>
        <v>0</v>
      </c>
    </row>
    <row r="2192" spans="28:34">
      <c r="AB2192" s="580">
        <f>HLOOKUP("*"&amp;'Output annual'!$AC$2&amp;'Output annual'!$AD$2&amp;"*Zone People Number Of Occupants [](Hourly)",'Eplus results'!$1:$1048576,ROW(),FALSE)</f>
        <v>0</v>
      </c>
      <c r="AC2192" s="580">
        <f>HLOOKUP("*"&amp;'Output annual'!$AC$2&amp;'Output annual'!$AD$2&amp;"*FangerPMV(Hourly)",'Eplus results'!$1:$1048576,ROW(),FALSE)</f>
        <v>0</v>
      </c>
      <c r="AD2192" s="580">
        <f t="shared" si="206"/>
        <v>5</v>
      </c>
      <c r="AE2192" s="580">
        <f t="shared" si="207"/>
        <v>2.5</v>
      </c>
      <c r="AF2192" s="580">
        <f t="shared" si="208"/>
        <v>2.5</v>
      </c>
      <c r="AG2192" s="580">
        <f t="shared" si="209"/>
        <v>0</v>
      </c>
      <c r="AH2192" s="580">
        <f t="shared" si="210"/>
        <v>0</v>
      </c>
    </row>
    <row r="2193" spans="28:34">
      <c r="AB2193" s="580">
        <f>HLOOKUP("*"&amp;'Output annual'!$AC$2&amp;'Output annual'!$AD$2&amp;"*Zone People Number Of Occupants [](Hourly)",'Eplus results'!$1:$1048576,ROW(),FALSE)</f>
        <v>0</v>
      </c>
      <c r="AC2193" s="580">
        <f>HLOOKUP("*"&amp;'Output annual'!$AC$2&amp;'Output annual'!$AD$2&amp;"*FangerPMV(Hourly)",'Eplus results'!$1:$1048576,ROW(),FALSE)</f>
        <v>0</v>
      </c>
      <c r="AD2193" s="580">
        <f t="shared" si="206"/>
        <v>5</v>
      </c>
      <c r="AE2193" s="580">
        <f t="shared" si="207"/>
        <v>2.5</v>
      </c>
      <c r="AF2193" s="580">
        <f t="shared" si="208"/>
        <v>2.5</v>
      </c>
      <c r="AG2193" s="580">
        <f t="shared" si="209"/>
        <v>0</v>
      </c>
      <c r="AH2193" s="580">
        <f t="shared" si="210"/>
        <v>0</v>
      </c>
    </row>
    <row r="2194" spans="28:34">
      <c r="AB2194" s="580">
        <f>HLOOKUP("*"&amp;'Output annual'!$AC$2&amp;'Output annual'!$AD$2&amp;"*Zone People Number Of Occupants [](Hourly)",'Eplus results'!$1:$1048576,ROW(),FALSE)</f>
        <v>0</v>
      </c>
      <c r="AC2194" s="580">
        <f>HLOOKUP("*"&amp;'Output annual'!$AC$2&amp;'Output annual'!$AD$2&amp;"*FangerPMV(Hourly)",'Eplus results'!$1:$1048576,ROW(),FALSE)</f>
        <v>0</v>
      </c>
      <c r="AD2194" s="580">
        <f t="shared" si="206"/>
        <v>5</v>
      </c>
      <c r="AE2194" s="580">
        <f t="shared" si="207"/>
        <v>2.5</v>
      </c>
      <c r="AF2194" s="580">
        <f t="shared" si="208"/>
        <v>2.5</v>
      </c>
      <c r="AG2194" s="580">
        <f t="shared" si="209"/>
        <v>0</v>
      </c>
      <c r="AH2194" s="580">
        <f t="shared" si="210"/>
        <v>0</v>
      </c>
    </row>
    <row r="2195" spans="28:34">
      <c r="AB2195" s="580">
        <f>HLOOKUP("*"&amp;'Output annual'!$AC$2&amp;'Output annual'!$AD$2&amp;"*Zone People Number Of Occupants [](Hourly)",'Eplus results'!$1:$1048576,ROW(),FALSE)</f>
        <v>0</v>
      </c>
      <c r="AC2195" s="580">
        <f>HLOOKUP("*"&amp;'Output annual'!$AC$2&amp;'Output annual'!$AD$2&amp;"*FangerPMV(Hourly)",'Eplus results'!$1:$1048576,ROW(),FALSE)</f>
        <v>0</v>
      </c>
      <c r="AD2195" s="580">
        <f t="shared" si="206"/>
        <v>5</v>
      </c>
      <c r="AE2195" s="580">
        <f t="shared" si="207"/>
        <v>2.5</v>
      </c>
      <c r="AF2195" s="580">
        <f t="shared" si="208"/>
        <v>2.5</v>
      </c>
      <c r="AG2195" s="580">
        <f t="shared" si="209"/>
        <v>0</v>
      </c>
      <c r="AH2195" s="580">
        <f t="shared" si="210"/>
        <v>0</v>
      </c>
    </row>
    <row r="2196" spans="28:34">
      <c r="AB2196" s="580">
        <f>HLOOKUP("*"&amp;'Output annual'!$AC$2&amp;'Output annual'!$AD$2&amp;"*Zone People Number Of Occupants [](Hourly)",'Eplus results'!$1:$1048576,ROW(),FALSE)</f>
        <v>0</v>
      </c>
      <c r="AC2196" s="580">
        <f>HLOOKUP("*"&amp;'Output annual'!$AC$2&amp;'Output annual'!$AD$2&amp;"*FangerPMV(Hourly)",'Eplus results'!$1:$1048576,ROW(),FALSE)</f>
        <v>0</v>
      </c>
      <c r="AD2196" s="580">
        <f t="shared" si="206"/>
        <v>5</v>
      </c>
      <c r="AE2196" s="580">
        <f t="shared" si="207"/>
        <v>2.5</v>
      </c>
      <c r="AF2196" s="580">
        <f t="shared" si="208"/>
        <v>2.5</v>
      </c>
      <c r="AG2196" s="580">
        <f t="shared" si="209"/>
        <v>0</v>
      </c>
      <c r="AH2196" s="580">
        <f t="shared" si="210"/>
        <v>0</v>
      </c>
    </row>
    <row r="2197" spans="28:34">
      <c r="AB2197" s="580">
        <f>HLOOKUP("*"&amp;'Output annual'!$AC$2&amp;'Output annual'!$AD$2&amp;"*Zone People Number Of Occupants [](Hourly)",'Eplus results'!$1:$1048576,ROW(),FALSE)</f>
        <v>0</v>
      </c>
      <c r="AC2197" s="580">
        <f>HLOOKUP("*"&amp;'Output annual'!$AC$2&amp;'Output annual'!$AD$2&amp;"*FangerPMV(Hourly)",'Eplus results'!$1:$1048576,ROW(),FALSE)</f>
        <v>0</v>
      </c>
      <c r="AD2197" s="580">
        <f t="shared" si="206"/>
        <v>5</v>
      </c>
      <c r="AE2197" s="580">
        <f t="shared" si="207"/>
        <v>2.5</v>
      </c>
      <c r="AF2197" s="580">
        <f t="shared" si="208"/>
        <v>2.5</v>
      </c>
      <c r="AG2197" s="580">
        <f t="shared" si="209"/>
        <v>0</v>
      </c>
      <c r="AH2197" s="580">
        <f t="shared" si="210"/>
        <v>0</v>
      </c>
    </row>
    <row r="2198" spans="28:34">
      <c r="AB2198" s="580">
        <f>HLOOKUP("*"&amp;'Output annual'!$AC$2&amp;'Output annual'!$AD$2&amp;"*Zone People Number Of Occupants [](Hourly)",'Eplus results'!$1:$1048576,ROW(),FALSE)</f>
        <v>0</v>
      </c>
      <c r="AC2198" s="580">
        <f>HLOOKUP("*"&amp;'Output annual'!$AC$2&amp;'Output annual'!$AD$2&amp;"*FangerPMV(Hourly)",'Eplus results'!$1:$1048576,ROW(),FALSE)</f>
        <v>0</v>
      </c>
      <c r="AD2198" s="580">
        <f t="shared" si="206"/>
        <v>5</v>
      </c>
      <c r="AE2198" s="580">
        <f t="shared" si="207"/>
        <v>2.5</v>
      </c>
      <c r="AF2198" s="580">
        <f t="shared" si="208"/>
        <v>2.5</v>
      </c>
      <c r="AG2198" s="580">
        <f t="shared" si="209"/>
        <v>0</v>
      </c>
      <c r="AH2198" s="580">
        <f t="shared" si="210"/>
        <v>0</v>
      </c>
    </row>
    <row r="2199" spans="28:34">
      <c r="AB2199" s="580">
        <f>HLOOKUP("*"&amp;'Output annual'!$AC$2&amp;'Output annual'!$AD$2&amp;"*Zone People Number Of Occupants [](Hourly)",'Eplus results'!$1:$1048576,ROW(),FALSE)</f>
        <v>0</v>
      </c>
      <c r="AC2199" s="580">
        <f>HLOOKUP("*"&amp;'Output annual'!$AC$2&amp;'Output annual'!$AD$2&amp;"*FangerPMV(Hourly)",'Eplus results'!$1:$1048576,ROW(),FALSE)</f>
        <v>0</v>
      </c>
      <c r="AD2199" s="580">
        <f t="shared" si="206"/>
        <v>5</v>
      </c>
      <c r="AE2199" s="580">
        <f t="shared" si="207"/>
        <v>2.5</v>
      </c>
      <c r="AF2199" s="580">
        <f t="shared" si="208"/>
        <v>2.5</v>
      </c>
      <c r="AG2199" s="580">
        <f t="shared" si="209"/>
        <v>0</v>
      </c>
      <c r="AH2199" s="580">
        <f t="shared" si="210"/>
        <v>0</v>
      </c>
    </row>
    <row r="2200" spans="28:34">
      <c r="AB2200" s="580">
        <f>HLOOKUP("*"&amp;'Output annual'!$AC$2&amp;'Output annual'!$AD$2&amp;"*Zone People Number Of Occupants [](Hourly)",'Eplus results'!$1:$1048576,ROW(),FALSE)</f>
        <v>0</v>
      </c>
      <c r="AC2200" s="580">
        <f>HLOOKUP("*"&amp;'Output annual'!$AC$2&amp;'Output annual'!$AD$2&amp;"*FangerPMV(Hourly)",'Eplus results'!$1:$1048576,ROW(),FALSE)</f>
        <v>0</v>
      </c>
      <c r="AD2200" s="580">
        <f t="shared" si="206"/>
        <v>5</v>
      </c>
      <c r="AE2200" s="580">
        <f t="shared" si="207"/>
        <v>2.5</v>
      </c>
      <c r="AF2200" s="580">
        <f t="shared" si="208"/>
        <v>2.5</v>
      </c>
      <c r="AG2200" s="580">
        <f t="shared" si="209"/>
        <v>0</v>
      </c>
      <c r="AH2200" s="580">
        <f t="shared" si="210"/>
        <v>0</v>
      </c>
    </row>
    <row r="2201" spans="28:34">
      <c r="AB2201" s="580">
        <f>HLOOKUP("*"&amp;'Output annual'!$AC$2&amp;'Output annual'!$AD$2&amp;"*Zone People Number Of Occupants [](Hourly)",'Eplus results'!$1:$1048576,ROW(),FALSE)</f>
        <v>0</v>
      </c>
      <c r="AC2201" s="580">
        <f>HLOOKUP("*"&amp;'Output annual'!$AC$2&amp;'Output annual'!$AD$2&amp;"*FangerPMV(Hourly)",'Eplus results'!$1:$1048576,ROW(),FALSE)</f>
        <v>0</v>
      </c>
      <c r="AD2201" s="580">
        <f t="shared" si="206"/>
        <v>5</v>
      </c>
      <c r="AE2201" s="580">
        <f t="shared" si="207"/>
        <v>2.5</v>
      </c>
      <c r="AF2201" s="580">
        <f t="shared" si="208"/>
        <v>2.5</v>
      </c>
      <c r="AG2201" s="580">
        <f t="shared" si="209"/>
        <v>0</v>
      </c>
      <c r="AH2201" s="580">
        <f t="shared" si="210"/>
        <v>0</v>
      </c>
    </row>
    <row r="2202" spans="28:34">
      <c r="AB2202" s="580">
        <f>HLOOKUP("*"&amp;'Output annual'!$AC$2&amp;'Output annual'!$AD$2&amp;"*Zone People Number Of Occupants [](Hourly)",'Eplus results'!$1:$1048576,ROW(),FALSE)</f>
        <v>0</v>
      </c>
      <c r="AC2202" s="580">
        <f>HLOOKUP("*"&amp;'Output annual'!$AC$2&amp;'Output annual'!$AD$2&amp;"*FangerPMV(Hourly)",'Eplus results'!$1:$1048576,ROW(),FALSE)</f>
        <v>0</v>
      </c>
      <c r="AD2202" s="580">
        <f t="shared" si="206"/>
        <v>5</v>
      </c>
      <c r="AE2202" s="580">
        <f t="shared" si="207"/>
        <v>2.5</v>
      </c>
      <c r="AF2202" s="580">
        <f t="shared" si="208"/>
        <v>2.5</v>
      </c>
      <c r="AG2202" s="580">
        <f t="shared" si="209"/>
        <v>0</v>
      </c>
      <c r="AH2202" s="580">
        <f t="shared" si="210"/>
        <v>0</v>
      </c>
    </row>
    <row r="2203" spans="28:34">
      <c r="AB2203" s="580">
        <f>HLOOKUP("*"&amp;'Output annual'!$AC$2&amp;'Output annual'!$AD$2&amp;"*Zone People Number Of Occupants [](Hourly)",'Eplus results'!$1:$1048576,ROW(),FALSE)</f>
        <v>0</v>
      </c>
      <c r="AC2203" s="580">
        <f>HLOOKUP("*"&amp;'Output annual'!$AC$2&amp;'Output annual'!$AD$2&amp;"*FangerPMV(Hourly)",'Eplus results'!$1:$1048576,ROW(),FALSE)</f>
        <v>0</v>
      </c>
      <c r="AD2203" s="580">
        <f t="shared" si="206"/>
        <v>5</v>
      </c>
      <c r="AE2203" s="580">
        <f t="shared" si="207"/>
        <v>2.5</v>
      </c>
      <c r="AF2203" s="580">
        <f t="shared" si="208"/>
        <v>2.5</v>
      </c>
      <c r="AG2203" s="580">
        <f t="shared" si="209"/>
        <v>0</v>
      </c>
      <c r="AH2203" s="580">
        <f t="shared" si="210"/>
        <v>0</v>
      </c>
    </row>
    <row r="2204" spans="28:34">
      <c r="AB2204" s="580">
        <f>HLOOKUP("*"&amp;'Output annual'!$AC$2&amp;'Output annual'!$AD$2&amp;"*Zone People Number Of Occupants [](Hourly)",'Eplus results'!$1:$1048576,ROW(),FALSE)</f>
        <v>0</v>
      </c>
      <c r="AC2204" s="580">
        <f>HLOOKUP("*"&amp;'Output annual'!$AC$2&amp;'Output annual'!$AD$2&amp;"*FangerPMV(Hourly)",'Eplus results'!$1:$1048576,ROW(),FALSE)</f>
        <v>0</v>
      </c>
      <c r="AD2204" s="580">
        <f t="shared" si="206"/>
        <v>5</v>
      </c>
      <c r="AE2204" s="580">
        <f t="shared" si="207"/>
        <v>2.5</v>
      </c>
      <c r="AF2204" s="580">
        <f t="shared" si="208"/>
        <v>2.5</v>
      </c>
      <c r="AG2204" s="580">
        <f t="shared" si="209"/>
        <v>0</v>
      </c>
      <c r="AH2204" s="580">
        <f t="shared" si="210"/>
        <v>0</v>
      </c>
    </row>
    <row r="2205" spans="28:34">
      <c r="AB2205" s="580">
        <f>HLOOKUP("*"&amp;'Output annual'!$AC$2&amp;'Output annual'!$AD$2&amp;"*Zone People Number Of Occupants [](Hourly)",'Eplus results'!$1:$1048576,ROW(),FALSE)</f>
        <v>0</v>
      </c>
      <c r="AC2205" s="580">
        <f>HLOOKUP("*"&amp;'Output annual'!$AC$2&amp;'Output annual'!$AD$2&amp;"*FangerPMV(Hourly)",'Eplus results'!$1:$1048576,ROW(),FALSE)</f>
        <v>0</v>
      </c>
      <c r="AD2205" s="580">
        <f t="shared" si="206"/>
        <v>5</v>
      </c>
      <c r="AE2205" s="580">
        <f t="shared" si="207"/>
        <v>2.5</v>
      </c>
      <c r="AF2205" s="580">
        <f t="shared" si="208"/>
        <v>2.5</v>
      </c>
      <c r="AG2205" s="580">
        <f t="shared" si="209"/>
        <v>0</v>
      </c>
      <c r="AH2205" s="580">
        <f t="shared" si="210"/>
        <v>0</v>
      </c>
    </row>
    <row r="2206" spans="28:34">
      <c r="AB2206" s="580">
        <f>HLOOKUP("*"&amp;'Output annual'!$AC$2&amp;'Output annual'!$AD$2&amp;"*Zone People Number Of Occupants [](Hourly)",'Eplus results'!$1:$1048576,ROW(),FALSE)</f>
        <v>0</v>
      </c>
      <c r="AC2206" s="580">
        <f>HLOOKUP("*"&amp;'Output annual'!$AC$2&amp;'Output annual'!$AD$2&amp;"*FangerPMV(Hourly)",'Eplus results'!$1:$1048576,ROW(),FALSE)</f>
        <v>0</v>
      </c>
      <c r="AD2206" s="580">
        <f t="shared" si="206"/>
        <v>5</v>
      </c>
      <c r="AE2206" s="580">
        <f t="shared" si="207"/>
        <v>2.5</v>
      </c>
      <c r="AF2206" s="580">
        <f t="shared" si="208"/>
        <v>2.5</v>
      </c>
      <c r="AG2206" s="580">
        <f t="shared" si="209"/>
        <v>0</v>
      </c>
      <c r="AH2206" s="580">
        <f t="shared" si="210"/>
        <v>0</v>
      </c>
    </row>
    <row r="2207" spans="28:34">
      <c r="AB2207" s="580">
        <f>HLOOKUP("*"&amp;'Output annual'!$AC$2&amp;'Output annual'!$AD$2&amp;"*Zone People Number Of Occupants [](Hourly)",'Eplus results'!$1:$1048576,ROW(),FALSE)</f>
        <v>0</v>
      </c>
      <c r="AC2207" s="580">
        <f>HLOOKUP("*"&amp;'Output annual'!$AC$2&amp;'Output annual'!$AD$2&amp;"*FangerPMV(Hourly)",'Eplus results'!$1:$1048576,ROW(),FALSE)</f>
        <v>0</v>
      </c>
      <c r="AD2207" s="580">
        <f t="shared" si="206"/>
        <v>5</v>
      </c>
      <c r="AE2207" s="580">
        <f t="shared" si="207"/>
        <v>2.5</v>
      </c>
      <c r="AF2207" s="580">
        <f t="shared" si="208"/>
        <v>2.5</v>
      </c>
      <c r="AG2207" s="580">
        <f t="shared" si="209"/>
        <v>0</v>
      </c>
      <c r="AH2207" s="580">
        <f t="shared" si="210"/>
        <v>0</v>
      </c>
    </row>
    <row r="2208" spans="28:34">
      <c r="AB2208" s="580">
        <f>HLOOKUP("*"&amp;'Output annual'!$AC$2&amp;'Output annual'!$AD$2&amp;"*Zone People Number Of Occupants [](Hourly)",'Eplus results'!$1:$1048576,ROW(),FALSE)</f>
        <v>0</v>
      </c>
      <c r="AC2208" s="580">
        <f>HLOOKUP("*"&amp;'Output annual'!$AC$2&amp;'Output annual'!$AD$2&amp;"*FangerPMV(Hourly)",'Eplus results'!$1:$1048576,ROW(),FALSE)</f>
        <v>0</v>
      </c>
      <c r="AD2208" s="580">
        <f t="shared" si="206"/>
        <v>5</v>
      </c>
      <c r="AE2208" s="580">
        <f t="shared" si="207"/>
        <v>2.5</v>
      </c>
      <c r="AF2208" s="580">
        <f t="shared" si="208"/>
        <v>2.5</v>
      </c>
      <c r="AG2208" s="580">
        <f t="shared" si="209"/>
        <v>0</v>
      </c>
      <c r="AH2208" s="580">
        <f t="shared" si="210"/>
        <v>0</v>
      </c>
    </row>
    <row r="2209" spans="28:34">
      <c r="AB2209" s="580">
        <f>HLOOKUP("*"&amp;'Output annual'!$AC$2&amp;'Output annual'!$AD$2&amp;"*Zone People Number Of Occupants [](Hourly)",'Eplus results'!$1:$1048576,ROW(),FALSE)</f>
        <v>0</v>
      </c>
      <c r="AC2209" s="580">
        <f>HLOOKUP("*"&amp;'Output annual'!$AC$2&amp;'Output annual'!$AD$2&amp;"*FangerPMV(Hourly)",'Eplus results'!$1:$1048576,ROW(),FALSE)</f>
        <v>0</v>
      </c>
      <c r="AD2209" s="580">
        <f t="shared" si="206"/>
        <v>5</v>
      </c>
      <c r="AE2209" s="580">
        <f t="shared" si="207"/>
        <v>2.5</v>
      </c>
      <c r="AF2209" s="580">
        <f t="shared" si="208"/>
        <v>2.5</v>
      </c>
      <c r="AG2209" s="580">
        <f t="shared" si="209"/>
        <v>0</v>
      </c>
      <c r="AH2209" s="580">
        <f t="shared" si="210"/>
        <v>0</v>
      </c>
    </row>
    <row r="2210" spans="28:34">
      <c r="AB2210" s="580">
        <f>HLOOKUP("*"&amp;'Output annual'!$AC$2&amp;'Output annual'!$AD$2&amp;"*Zone People Number Of Occupants [](Hourly)",'Eplus results'!$1:$1048576,ROW(),FALSE)</f>
        <v>0</v>
      </c>
      <c r="AC2210" s="580">
        <f>HLOOKUP("*"&amp;'Output annual'!$AC$2&amp;'Output annual'!$AD$2&amp;"*FangerPMV(Hourly)",'Eplus results'!$1:$1048576,ROW(),FALSE)</f>
        <v>0</v>
      </c>
      <c r="AD2210" s="580">
        <f t="shared" si="206"/>
        <v>5</v>
      </c>
      <c r="AE2210" s="580">
        <f t="shared" si="207"/>
        <v>2.5</v>
      </c>
      <c r="AF2210" s="580">
        <f t="shared" si="208"/>
        <v>2.5</v>
      </c>
      <c r="AG2210" s="580">
        <f t="shared" si="209"/>
        <v>0</v>
      </c>
      <c r="AH2210" s="580">
        <f t="shared" si="210"/>
        <v>0</v>
      </c>
    </row>
    <row r="2211" spans="28:34">
      <c r="AB2211" s="580">
        <f>HLOOKUP("*"&amp;'Output annual'!$AC$2&amp;'Output annual'!$AD$2&amp;"*Zone People Number Of Occupants [](Hourly)",'Eplus results'!$1:$1048576,ROW(),FALSE)</f>
        <v>0</v>
      </c>
      <c r="AC2211" s="580">
        <f>HLOOKUP("*"&amp;'Output annual'!$AC$2&amp;'Output annual'!$AD$2&amp;"*FangerPMV(Hourly)",'Eplus results'!$1:$1048576,ROW(),FALSE)</f>
        <v>0</v>
      </c>
      <c r="AD2211" s="580">
        <f t="shared" si="206"/>
        <v>5</v>
      </c>
      <c r="AE2211" s="580">
        <f t="shared" si="207"/>
        <v>2.5</v>
      </c>
      <c r="AF2211" s="580">
        <f t="shared" si="208"/>
        <v>2.5</v>
      </c>
      <c r="AG2211" s="580">
        <f t="shared" si="209"/>
        <v>0</v>
      </c>
      <c r="AH2211" s="580">
        <f t="shared" si="210"/>
        <v>0</v>
      </c>
    </row>
    <row r="2212" spans="28:34">
      <c r="AB2212" s="580">
        <f>HLOOKUP("*"&amp;'Output annual'!$AC$2&amp;'Output annual'!$AD$2&amp;"*Zone People Number Of Occupants [](Hourly)",'Eplus results'!$1:$1048576,ROW(),FALSE)</f>
        <v>0</v>
      </c>
      <c r="AC2212" s="580">
        <f>HLOOKUP("*"&amp;'Output annual'!$AC$2&amp;'Output annual'!$AD$2&amp;"*FangerPMV(Hourly)",'Eplus results'!$1:$1048576,ROW(),FALSE)</f>
        <v>0</v>
      </c>
      <c r="AD2212" s="580">
        <f t="shared" si="206"/>
        <v>5</v>
      </c>
      <c r="AE2212" s="580">
        <f t="shared" si="207"/>
        <v>2.5</v>
      </c>
      <c r="AF2212" s="580">
        <f t="shared" si="208"/>
        <v>2.5</v>
      </c>
      <c r="AG2212" s="580">
        <f t="shared" si="209"/>
        <v>0</v>
      </c>
      <c r="AH2212" s="580">
        <f t="shared" si="210"/>
        <v>0</v>
      </c>
    </row>
    <row r="2213" spans="28:34">
      <c r="AB2213" s="580">
        <f>HLOOKUP("*"&amp;'Output annual'!$AC$2&amp;'Output annual'!$AD$2&amp;"*Zone People Number Of Occupants [](Hourly)",'Eplus results'!$1:$1048576,ROW(),FALSE)</f>
        <v>0</v>
      </c>
      <c r="AC2213" s="580">
        <f>HLOOKUP("*"&amp;'Output annual'!$AC$2&amp;'Output annual'!$AD$2&amp;"*FangerPMV(Hourly)",'Eplus results'!$1:$1048576,ROW(),FALSE)</f>
        <v>0</v>
      </c>
      <c r="AD2213" s="580">
        <f t="shared" si="206"/>
        <v>5</v>
      </c>
      <c r="AE2213" s="580">
        <f t="shared" si="207"/>
        <v>2.5</v>
      </c>
      <c r="AF2213" s="580">
        <f t="shared" si="208"/>
        <v>2.5</v>
      </c>
      <c r="AG2213" s="580">
        <f t="shared" si="209"/>
        <v>0</v>
      </c>
      <c r="AH2213" s="580">
        <f t="shared" si="210"/>
        <v>0</v>
      </c>
    </row>
    <row r="2214" spans="28:34">
      <c r="AB2214" s="580">
        <f>HLOOKUP("*"&amp;'Output annual'!$AC$2&amp;'Output annual'!$AD$2&amp;"*Zone People Number Of Occupants [](Hourly)",'Eplus results'!$1:$1048576,ROW(),FALSE)</f>
        <v>0</v>
      </c>
      <c r="AC2214" s="580">
        <f>HLOOKUP("*"&amp;'Output annual'!$AC$2&amp;'Output annual'!$AD$2&amp;"*FangerPMV(Hourly)",'Eplus results'!$1:$1048576,ROW(),FALSE)</f>
        <v>0</v>
      </c>
      <c r="AD2214" s="580">
        <f t="shared" si="206"/>
        <v>5</v>
      </c>
      <c r="AE2214" s="580">
        <f t="shared" si="207"/>
        <v>2.5</v>
      </c>
      <c r="AF2214" s="580">
        <f t="shared" si="208"/>
        <v>2.5</v>
      </c>
      <c r="AG2214" s="580">
        <f t="shared" si="209"/>
        <v>0</v>
      </c>
      <c r="AH2214" s="580">
        <f t="shared" si="210"/>
        <v>0</v>
      </c>
    </row>
    <row r="2215" spans="28:34">
      <c r="AB2215" s="580">
        <f>HLOOKUP("*"&amp;'Output annual'!$AC$2&amp;'Output annual'!$AD$2&amp;"*Zone People Number Of Occupants [](Hourly)",'Eplus results'!$1:$1048576,ROW(),FALSE)</f>
        <v>0</v>
      </c>
      <c r="AC2215" s="580">
        <f>HLOOKUP("*"&amp;'Output annual'!$AC$2&amp;'Output annual'!$AD$2&amp;"*FangerPMV(Hourly)",'Eplus results'!$1:$1048576,ROW(),FALSE)</f>
        <v>0</v>
      </c>
      <c r="AD2215" s="580">
        <f t="shared" si="206"/>
        <v>5</v>
      </c>
      <c r="AE2215" s="580">
        <f t="shared" si="207"/>
        <v>2.5</v>
      </c>
      <c r="AF2215" s="580">
        <f t="shared" si="208"/>
        <v>2.5</v>
      </c>
      <c r="AG2215" s="580">
        <f t="shared" si="209"/>
        <v>0</v>
      </c>
      <c r="AH2215" s="580">
        <f t="shared" si="210"/>
        <v>0</v>
      </c>
    </row>
    <row r="2216" spans="28:34">
      <c r="AB2216" s="580">
        <f>HLOOKUP("*"&amp;'Output annual'!$AC$2&amp;'Output annual'!$AD$2&amp;"*Zone People Number Of Occupants [](Hourly)",'Eplus results'!$1:$1048576,ROW(),FALSE)</f>
        <v>0</v>
      </c>
      <c r="AC2216" s="580">
        <f>HLOOKUP("*"&amp;'Output annual'!$AC$2&amp;'Output annual'!$AD$2&amp;"*FangerPMV(Hourly)",'Eplus results'!$1:$1048576,ROW(),FALSE)</f>
        <v>0</v>
      </c>
      <c r="AD2216" s="580">
        <f t="shared" si="206"/>
        <v>5</v>
      </c>
      <c r="AE2216" s="580">
        <f t="shared" si="207"/>
        <v>2.5</v>
      </c>
      <c r="AF2216" s="580">
        <f t="shared" si="208"/>
        <v>2.5</v>
      </c>
      <c r="AG2216" s="580">
        <f t="shared" si="209"/>
        <v>0</v>
      </c>
      <c r="AH2216" s="580">
        <f t="shared" si="210"/>
        <v>0</v>
      </c>
    </row>
    <row r="2217" spans="28:34">
      <c r="AB2217" s="580">
        <f>HLOOKUP("*"&amp;'Output annual'!$AC$2&amp;'Output annual'!$AD$2&amp;"*Zone People Number Of Occupants [](Hourly)",'Eplus results'!$1:$1048576,ROW(),FALSE)</f>
        <v>0</v>
      </c>
      <c r="AC2217" s="580">
        <f>HLOOKUP("*"&amp;'Output annual'!$AC$2&amp;'Output annual'!$AD$2&amp;"*FangerPMV(Hourly)",'Eplus results'!$1:$1048576,ROW(),FALSE)</f>
        <v>0</v>
      </c>
      <c r="AD2217" s="580">
        <f t="shared" si="206"/>
        <v>5</v>
      </c>
      <c r="AE2217" s="580">
        <f t="shared" si="207"/>
        <v>2.5</v>
      </c>
      <c r="AF2217" s="580">
        <f t="shared" si="208"/>
        <v>2.5</v>
      </c>
      <c r="AG2217" s="580">
        <f t="shared" si="209"/>
        <v>0</v>
      </c>
      <c r="AH2217" s="580">
        <f t="shared" si="210"/>
        <v>0</v>
      </c>
    </row>
    <row r="2218" spans="28:34">
      <c r="AB2218" s="580">
        <f>HLOOKUP("*"&amp;'Output annual'!$AC$2&amp;'Output annual'!$AD$2&amp;"*Zone People Number Of Occupants [](Hourly)",'Eplus results'!$1:$1048576,ROW(),FALSE)</f>
        <v>0</v>
      </c>
      <c r="AC2218" s="580">
        <f>HLOOKUP("*"&amp;'Output annual'!$AC$2&amp;'Output annual'!$AD$2&amp;"*FangerPMV(Hourly)",'Eplus results'!$1:$1048576,ROW(),FALSE)</f>
        <v>0</v>
      </c>
      <c r="AD2218" s="580">
        <f t="shared" si="206"/>
        <v>5</v>
      </c>
      <c r="AE2218" s="580">
        <f t="shared" si="207"/>
        <v>2.5</v>
      </c>
      <c r="AF2218" s="580">
        <f t="shared" si="208"/>
        <v>2.5</v>
      </c>
      <c r="AG2218" s="580">
        <f t="shared" si="209"/>
        <v>0</v>
      </c>
      <c r="AH2218" s="580">
        <f t="shared" si="210"/>
        <v>0</v>
      </c>
    </row>
    <row r="2219" spans="28:34">
      <c r="AB2219" s="580">
        <f>HLOOKUP("*"&amp;'Output annual'!$AC$2&amp;'Output annual'!$AD$2&amp;"*Zone People Number Of Occupants [](Hourly)",'Eplus results'!$1:$1048576,ROW(),FALSE)</f>
        <v>0</v>
      </c>
      <c r="AC2219" s="580">
        <f>HLOOKUP("*"&amp;'Output annual'!$AC$2&amp;'Output annual'!$AD$2&amp;"*FangerPMV(Hourly)",'Eplus results'!$1:$1048576,ROW(),FALSE)</f>
        <v>0</v>
      </c>
      <c r="AD2219" s="580">
        <f t="shared" si="206"/>
        <v>5</v>
      </c>
      <c r="AE2219" s="580">
        <f t="shared" si="207"/>
        <v>2.5</v>
      </c>
      <c r="AF2219" s="580">
        <f t="shared" si="208"/>
        <v>2.5</v>
      </c>
      <c r="AG2219" s="580">
        <f t="shared" si="209"/>
        <v>0</v>
      </c>
      <c r="AH2219" s="580">
        <f t="shared" si="210"/>
        <v>0</v>
      </c>
    </row>
    <row r="2220" spans="28:34">
      <c r="AB2220" s="580">
        <f>HLOOKUP("*"&amp;'Output annual'!$AC$2&amp;'Output annual'!$AD$2&amp;"*Zone People Number Of Occupants [](Hourly)",'Eplus results'!$1:$1048576,ROW(),FALSE)</f>
        <v>0</v>
      </c>
      <c r="AC2220" s="580">
        <f>HLOOKUP("*"&amp;'Output annual'!$AC$2&amp;'Output annual'!$AD$2&amp;"*FangerPMV(Hourly)",'Eplus results'!$1:$1048576,ROW(),FALSE)</f>
        <v>0</v>
      </c>
      <c r="AD2220" s="580">
        <f t="shared" si="206"/>
        <v>5</v>
      </c>
      <c r="AE2220" s="580">
        <f t="shared" si="207"/>
        <v>2.5</v>
      </c>
      <c r="AF2220" s="580">
        <f t="shared" si="208"/>
        <v>2.5</v>
      </c>
      <c r="AG2220" s="580">
        <f t="shared" si="209"/>
        <v>0</v>
      </c>
      <c r="AH2220" s="580">
        <f t="shared" si="210"/>
        <v>0</v>
      </c>
    </row>
    <row r="2221" spans="28:34">
      <c r="AB2221" s="580">
        <f>HLOOKUP("*"&amp;'Output annual'!$AC$2&amp;'Output annual'!$AD$2&amp;"*Zone People Number Of Occupants [](Hourly)",'Eplus results'!$1:$1048576,ROW(),FALSE)</f>
        <v>0</v>
      </c>
      <c r="AC2221" s="580">
        <f>HLOOKUP("*"&amp;'Output annual'!$AC$2&amp;'Output annual'!$AD$2&amp;"*FangerPMV(Hourly)",'Eplus results'!$1:$1048576,ROW(),FALSE)</f>
        <v>0</v>
      </c>
      <c r="AD2221" s="580">
        <f t="shared" si="206"/>
        <v>5</v>
      </c>
      <c r="AE2221" s="580">
        <f t="shared" si="207"/>
        <v>2.5</v>
      </c>
      <c r="AF2221" s="580">
        <f t="shared" si="208"/>
        <v>2.5</v>
      </c>
      <c r="AG2221" s="580">
        <f t="shared" si="209"/>
        <v>0</v>
      </c>
      <c r="AH2221" s="580">
        <f t="shared" si="210"/>
        <v>0</v>
      </c>
    </row>
    <row r="2222" spans="28:34">
      <c r="AB2222" s="580">
        <f>HLOOKUP("*"&amp;'Output annual'!$AC$2&amp;'Output annual'!$AD$2&amp;"*Zone People Number Of Occupants [](Hourly)",'Eplus results'!$1:$1048576,ROW(),FALSE)</f>
        <v>0</v>
      </c>
      <c r="AC2222" s="580">
        <f>HLOOKUP("*"&amp;'Output annual'!$AC$2&amp;'Output annual'!$AD$2&amp;"*FangerPMV(Hourly)",'Eplus results'!$1:$1048576,ROW(),FALSE)</f>
        <v>0</v>
      </c>
      <c r="AD2222" s="580">
        <f t="shared" si="206"/>
        <v>5</v>
      </c>
      <c r="AE2222" s="580">
        <f t="shared" si="207"/>
        <v>2.5</v>
      </c>
      <c r="AF2222" s="580">
        <f t="shared" si="208"/>
        <v>2.5</v>
      </c>
      <c r="AG2222" s="580">
        <f t="shared" si="209"/>
        <v>0</v>
      </c>
      <c r="AH2222" s="580">
        <f t="shared" si="210"/>
        <v>0</v>
      </c>
    </row>
    <row r="2223" spans="28:34">
      <c r="AB2223" s="580">
        <f>HLOOKUP("*"&amp;'Output annual'!$AC$2&amp;'Output annual'!$AD$2&amp;"*Zone People Number Of Occupants [](Hourly)",'Eplus results'!$1:$1048576,ROW(),FALSE)</f>
        <v>0</v>
      </c>
      <c r="AC2223" s="580">
        <f>HLOOKUP("*"&amp;'Output annual'!$AC$2&amp;'Output annual'!$AD$2&amp;"*FangerPMV(Hourly)",'Eplus results'!$1:$1048576,ROW(),FALSE)</f>
        <v>0</v>
      </c>
      <c r="AD2223" s="580">
        <f t="shared" si="206"/>
        <v>5</v>
      </c>
      <c r="AE2223" s="580">
        <f t="shared" si="207"/>
        <v>2.5</v>
      </c>
      <c r="AF2223" s="580">
        <f t="shared" si="208"/>
        <v>2.5</v>
      </c>
      <c r="AG2223" s="580">
        <f t="shared" si="209"/>
        <v>0</v>
      </c>
      <c r="AH2223" s="580">
        <f t="shared" si="210"/>
        <v>0</v>
      </c>
    </row>
    <row r="2224" spans="28:34">
      <c r="AB2224" s="580">
        <f>HLOOKUP("*"&amp;'Output annual'!$AC$2&amp;'Output annual'!$AD$2&amp;"*Zone People Number Of Occupants [](Hourly)",'Eplus results'!$1:$1048576,ROW(),FALSE)</f>
        <v>0</v>
      </c>
      <c r="AC2224" s="580">
        <f>HLOOKUP("*"&amp;'Output annual'!$AC$2&amp;'Output annual'!$AD$2&amp;"*FangerPMV(Hourly)",'Eplus results'!$1:$1048576,ROW(),FALSE)</f>
        <v>0</v>
      </c>
      <c r="AD2224" s="580">
        <f t="shared" si="206"/>
        <v>5</v>
      </c>
      <c r="AE2224" s="580">
        <f t="shared" si="207"/>
        <v>2.5</v>
      </c>
      <c r="AF2224" s="580">
        <f t="shared" si="208"/>
        <v>2.5</v>
      </c>
      <c r="AG2224" s="580">
        <f t="shared" si="209"/>
        <v>0</v>
      </c>
      <c r="AH2224" s="580">
        <f t="shared" si="210"/>
        <v>0</v>
      </c>
    </row>
    <row r="2225" spans="28:34">
      <c r="AB2225" s="580">
        <f>HLOOKUP("*"&amp;'Output annual'!$AC$2&amp;'Output annual'!$AD$2&amp;"*Zone People Number Of Occupants [](Hourly)",'Eplus results'!$1:$1048576,ROW(),FALSE)</f>
        <v>0</v>
      </c>
      <c r="AC2225" s="580">
        <f>HLOOKUP("*"&amp;'Output annual'!$AC$2&amp;'Output annual'!$AD$2&amp;"*FangerPMV(Hourly)",'Eplus results'!$1:$1048576,ROW(),FALSE)</f>
        <v>0</v>
      </c>
      <c r="AD2225" s="580">
        <f t="shared" si="206"/>
        <v>5</v>
      </c>
      <c r="AE2225" s="580">
        <f t="shared" si="207"/>
        <v>2.5</v>
      </c>
      <c r="AF2225" s="580">
        <f t="shared" si="208"/>
        <v>2.5</v>
      </c>
      <c r="AG2225" s="580">
        <f t="shared" si="209"/>
        <v>0</v>
      </c>
      <c r="AH2225" s="580">
        <f t="shared" si="210"/>
        <v>0</v>
      </c>
    </row>
    <row r="2226" spans="28:34">
      <c r="AB2226" s="580">
        <f>HLOOKUP("*"&amp;'Output annual'!$AC$2&amp;'Output annual'!$AD$2&amp;"*Zone People Number Of Occupants [](Hourly)",'Eplus results'!$1:$1048576,ROW(),FALSE)</f>
        <v>0</v>
      </c>
      <c r="AC2226" s="580">
        <f>HLOOKUP("*"&amp;'Output annual'!$AC$2&amp;'Output annual'!$AD$2&amp;"*FangerPMV(Hourly)",'Eplus results'!$1:$1048576,ROW(),FALSE)</f>
        <v>0</v>
      </c>
      <c r="AD2226" s="580">
        <f t="shared" si="206"/>
        <v>5</v>
      </c>
      <c r="AE2226" s="580">
        <f t="shared" si="207"/>
        <v>2.5</v>
      </c>
      <c r="AF2226" s="580">
        <f t="shared" si="208"/>
        <v>2.5</v>
      </c>
      <c r="AG2226" s="580">
        <f t="shared" si="209"/>
        <v>0</v>
      </c>
      <c r="AH2226" s="580">
        <f t="shared" si="210"/>
        <v>0</v>
      </c>
    </row>
    <row r="2227" spans="28:34">
      <c r="AB2227" s="580">
        <f>HLOOKUP("*"&amp;'Output annual'!$AC$2&amp;'Output annual'!$AD$2&amp;"*Zone People Number Of Occupants [](Hourly)",'Eplus results'!$1:$1048576,ROW(),FALSE)</f>
        <v>0</v>
      </c>
      <c r="AC2227" s="580">
        <f>HLOOKUP("*"&amp;'Output annual'!$AC$2&amp;'Output annual'!$AD$2&amp;"*FangerPMV(Hourly)",'Eplus results'!$1:$1048576,ROW(),FALSE)</f>
        <v>0</v>
      </c>
      <c r="AD2227" s="580">
        <f t="shared" si="206"/>
        <v>5</v>
      </c>
      <c r="AE2227" s="580">
        <f t="shared" si="207"/>
        <v>2.5</v>
      </c>
      <c r="AF2227" s="580">
        <f t="shared" si="208"/>
        <v>2.5</v>
      </c>
      <c r="AG2227" s="580">
        <f t="shared" si="209"/>
        <v>0</v>
      </c>
      <c r="AH2227" s="580">
        <f t="shared" si="210"/>
        <v>0</v>
      </c>
    </row>
    <row r="2228" spans="28:34">
      <c r="AB2228" s="580">
        <f>HLOOKUP("*"&amp;'Output annual'!$AC$2&amp;'Output annual'!$AD$2&amp;"*Zone People Number Of Occupants [](Hourly)",'Eplus results'!$1:$1048576,ROW(),FALSE)</f>
        <v>0</v>
      </c>
      <c r="AC2228" s="580">
        <f>HLOOKUP("*"&amp;'Output annual'!$AC$2&amp;'Output annual'!$AD$2&amp;"*FangerPMV(Hourly)",'Eplus results'!$1:$1048576,ROW(),FALSE)</f>
        <v>0</v>
      </c>
      <c r="AD2228" s="580">
        <f t="shared" si="206"/>
        <v>5</v>
      </c>
      <c r="AE2228" s="580">
        <f t="shared" si="207"/>
        <v>2.5</v>
      </c>
      <c r="AF2228" s="580">
        <f t="shared" si="208"/>
        <v>2.5</v>
      </c>
      <c r="AG2228" s="580">
        <f t="shared" si="209"/>
        <v>0</v>
      </c>
      <c r="AH2228" s="580">
        <f t="shared" si="210"/>
        <v>0</v>
      </c>
    </row>
    <row r="2229" spans="28:34">
      <c r="AB2229" s="580">
        <f>HLOOKUP("*"&amp;'Output annual'!$AC$2&amp;'Output annual'!$AD$2&amp;"*Zone People Number Of Occupants [](Hourly)",'Eplus results'!$1:$1048576,ROW(),FALSE)</f>
        <v>0</v>
      </c>
      <c r="AC2229" s="580">
        <f>HLOOKUP("*"&amp;'Output annual'!$AC$2&amp;'Output annual'!$AD$2&amp;"*FangerPMV(Hourly)",'Eplus results'!$1:$1048576,ROW(),FALSE)</f>
        <v>0</v>
      </c>
      <c r="AD2229" s="580">
        <f t="shared" si="206"/>
        <v>5</v>
      </c>
      <c r="AE2229" s="580">
        <f t="shared" si="207"/>
        <v>2.5</v>
      </c>
      <c r="AF2229" s="580">
        <f t="shared" si="208"/>
        <v>2.5</v>
      </c>
      <c r="AG2229" s="580">
        <f t="shared" si="209"/>
        <v>0</v>
      </c>
      <c r="AH2229" s="580">
        <f t="shared" si="210"/>
        <v>0</v>
      </c>
    </row>
    <row r="2230" spans="28:34">
      <c r="AB2230" s="580">
        <f>HLOOKUP("*"&amp;'Output annual'!$AC$2&amp;'Output annual'!$AD$2&amp;"*Zone People Number Of Occupants [](Hourly)",'Eplus results'!$1:$1048576,ROW(),FALSE)</f>
        <v>0</v>
      </c>
      <c r="AC2230" s="580">
        <f>HLOOKUP("*"&amp;'Output annual'!$AC$2&amp;'Output annual'!$AD$2&amp;"*FangerPMV(Hourly)",'Eplus results'!$1:$1048576,ROW(),FALSE)</f>
        <v>0</v>
      </c>
      <c r="AD2230" s="580">
        <f t="shared" si="206"/>
        <v>5</v>
      </c>
      <c r="AE2230" s="580">
        <f t="shared" si="207"/>
        <v>2.5</v>
      </c>
      <c r="AF2230" s="580">
        <f t="shared" si="208"/>
        <v>2.5</v>
      </c>
      <c r="AG2230" s="580">
        <f t="shared" si="209"/>
        <v>0</v>
      </c>
      <c r="AH2230" s="580">
        <f t="shared" si="210"/>
        <v>0</v>
      </c>
    </row>
    <row r="2231" spans="28:34">
      <c r="AB2231" s="580">
        <f>HLOOKUP("*"&amp;'Output annual'!$AC$2&amp;'Output annual'!$AD$2&amp;"*Zone People Number Of Occupants [](Hourly)",'Eplus results'!$1:$1048576,ROW(),FALSE)</f>
        <v>0</v>
      </c>
      <c r="AC2231" s="580">
        <f>HLOOKUP("*"&amp;'Output annual'!$AC$2&amp;'Output annual'!$AD$2&amp;"*FangerPMV(Hourly)",'Eplus results'!$1:$1048576,ROW(),FALSE)</f>
        <v>0</v>
      </c>
      <c r="AD2231" s="580">
        <f t="shared" si="206"/>
        <v>5</v>
      </c>
      <c r="AE2231" s="580">
        <f t="shared" si="207"/>
        <v>2.5</v>
      </c>
      <c r="AF2231" s="580">
        <f t="shared" si="208"/>
        <v>2.5</v>
      </c>
      <c r="AG2231" s="580">
        <f t="shared" si="209"/>
        <v>0</v>
      </c>
      <c r="AH2231" s="580">
        <f t="shared" si="210"/>
        <v>0</v>
      </c>
    </row>
    <row r="2232" spans="28:34">
      <c r="AB2232" s="580">
        <f>HLOOKUP("*"&amp;'Output annual'!$AC$2&amp;'Output annual'!$AD$2&amp;"*Zone People Number Of Occupants [](Hourly)",'Eplus results'!$1:$1048576,ROW(),FALSE)</f>
        <v>0</v>
      </c>
      <c r="AC2232" s="580">
        <f>HLOOKUP("*"&amp;'Output annual'!$AC$2&amp;'Output annual'!$AD$2&amp;"*FangerPMV(Hourly)",'Eplus results'!$1:$1048576,ROW(),FALSE)</f>
        <v>0</v>
      </c>
      <c r="AD2232" s="580">
        <f t="shared" si="206"/>
        <v>5</v>
      </c>
      <c r="AE2232" s="580">
        <f t="shared" si="207"/>
        <v>2.5</v>
      </c>
      <c r="AF2232" s="580">
        <f t="shared" si="208"/>
        <v>2.5</v>
      </c>
      <c r="AG2232" s="580">
        <f t="shared" si="209"/>
        <v>0</v>
      </c>
      <c r="AH2232" s="580">
        <f t="shared" si="210"/>
        <v>0</v>
      </c>
    </row>
    <row r="2233" spans="28:34">
      <c r="AB2233" s="580">
        <f>HLOOKUP("*"&amp;'Output annual'!$AC$2&amp;'Output annual'!$AD$2&amp;"*Zone People Number Of Occupants [](Hourly)",'Eplus results'!$1:$1048576,ROW(),FALSE)</f>
        <v>0</v>
      </c>
      <c r="AC2233" s="580">
        <f>HLOOKUP("*"&amp;'Output annual'!$AC$2&amp;'Output annual'!$AD$2&amp;"*FangerPMV(Hourly)",'Eplus results'!$1:$1048576,ROW(),FALSE)</f>
        <v>0</v>
      </c>
      <c r="AD2233" s="580">
        <f t="shared" si="206"/>
        <v>5</v>
      </c>
      <c r="AE2233" s="580">
        <f t="shared" si="207"/>
        <v>2.5</v>
      </c>
      <c r="AF2233" s="580">
        <f t="shared" si="208"/>
        <v>2.5</v>
      </c>
      <c r="AG2233" s="580">
        <f t="shared" si="209"/>
        <v>0</v>
      </c>
      <c r="AH2233" s="580">
        <f t="shared" si="210"/>
        <v>0</v>
      </c>
    </row>
    <row r="2234" spans="28:34">
      <c r="AB2234" s="580">
        <f>HLOOKUP("*"&amp;'Output annual'!$AC$2&amp;'Output annual'!$AD$2&amp;"*Zone People Number Of Occupants [](Hourly)",'Eplus results'!$1:$1048576,ROW(),FALSE)</f>
        <v>0</v>
      </c>
      <c r="AC2234" s="580">
        <f>HLOOKUP("*"&amp;'Output annual'!$AC$2&amp;'Output annual'!$AD$2&amp;"*FangerPMV(Hourly)",'Eplus results'!$1:$1048576,ROW(),FALSE)</f>
        <v>0</v>
      </c>
      <c r="AD2234" s="580">
        <f t="shared" si="206"/>
        <v>5</v>
      </c>
      <c r="AE2234" s="580">
        <f t="shared" si="207"/>
        <v>2.5</v>
      </c>
      <c r="AF2234" s="580">
        <f t="shared" si="208"/>
        <v>2.5</v>
      </c>
      <c r="AG2234" s="580">
        <f t="shared" si="209"/>
        <v>0</v>
      </c>
      <c r="AH2234" s="580">
        <f t="shared" si="210"/>
        <v>0</v>
      </c>
    </row>
    <row r="2235" spans="28:34">
      <c r="AB2235" s="580">
        <f>HLOOKUP("*"&amp;'Output annual'!$AC$2&amp;'Output annual'!$AD$2&amp;"*Zone People Number Of Occupants [](Hourly)",'Eplus results'!$1:$1048576,ROW(),FALSE)</f>
        <v>0</v>
      </c>
      <c r="AC2235" s="580">
        <f>HLOOKUP("*"&amp;'Output annual'!$AC$2&amp;'Output annual'!$AD$2&amp;"*FangerPMV(Hourly)",'Eplus results'!$1:$1048576,ROW(),FALSE)</f>
        <v>0</v>
      </c>
      <c r="AD2235" s="580">
        <f t="shared" si="206"/>
        <v>5</v>
      </c>
      <c r="AE2235" s="580">
        <f t="shared" si="207"/>
        <v>2.5</v>
      </c>
      <c r="AF2235" s="580">
        <f t="shared" si="208"/>
        <v>2.5</v>
      </c>
      <c r="AG2235" s="580">
        <f t="shared" si="209"/>
        <v>0</v>
      </c>
      <c r="AH2235" s="580">
        <f t="shared" si="210"/>
        <v>0</v>
      </c>
    </row>
    <row r="2236" spans="28:34">
      <c r="AB2236" s="580">
        <f>HLOOKUP("*"&amp;'Output annual'!$AC$2&amp;'Output annual'!$AD$2&amp;"*Zone People Number Of Occupants [](Hourly)",'Eplus results'!$1:$1048576,ROW(),FALSE)</f>
        <v>0</v>
      </c>
      <c r="AC2236" s="580">
        <f>HLOOKUP("*"&amp;'Output annual'!$AC$2&amp;'Output annual'!$AD$2&amp;"*FangerPMV(Hourly)",'Eplus results'!$1:$1048576,ROW(),FALSE)</f>
        <v>0</v>
      </c>
      <c r="AD2236" s="580">
        <f t="shared" si="206"/>
        <v>5</v>
      </c>
      <c r="AE2236" s="580">
        <f t="shared" si="207"/>
        <v>2.5</v>
      </c>
      <c r="AF2236" s="580">
        <f t="shared" si="208"/>
        <v>2.5</v>
      </c>
      <c r="AG2236" s="580">
        <f t="shared" si="209"/>
        <v>0</v>
      </c>
      <c r="AH2236" s="580">
        <f t="shared" si="210"/>
        <v>0</v>
      </c>
    </row>
    <row r="2237" spans="28:34">
      <c r="AB2237" s="580">
        <f>HLOOKUP("*"&amp;'Output annual'!$AC$2&amp;'Output annual'!$AD$2&amp;"*Zone People Number Of Occupants [](Hourly)",'Eplus results'!$1:$1048576,ROW(),FALSE)</f>
        <v>0</v>
      </c>
      <c r="AC2237" s="580">
        <f>HLOOKUP("*"&amp;'Output annual'!$AC$2&amp;'Output annual'!$AD$2&amp;"*FangerPMV(Hourly)",'Eplus results'!$1:$1048576,ROW(),FALSE)</f>
        <v>0</v>
      </c>
      <c r="AD2237" s="580">
        <f t="shared" si="206"/>
        <v>5</v>
      </c>
      <c r="AE2237" s="580">
        <f t="shared" si="207"/>
        <v>2.5</v>
      </c>
      <c r="AF2237" s="580">
        <f t="shared" si="208"/>
        <v>2.5</v>
      </c>
      <c r="AG2237" s="580">
        <f t="shared" si="209"/>
        <v>0</v>
      </c>
      <c r="AH2237" s="580">
        <f t="shared" si="210"/>
        <v>0</v>
      </c>
    </row>
    <row r="2238" spans="28:34">
      <c r="AB2238" s="580">
        <f>HLOOKUP("*"&amp;'Output annual'!$AC$2&amp;'Output annual'!$AD$2&amp;"*Zone People Number Of Occupants [](Hourly)",'Eplus results'!$1:$1048576,ROW(),FALSE)</f>
        <v>0</v>
      </c>
      <c r="AC2238" s="580">
        <f>HLOOKUP("*"&amp;'Output annual'!$AC$2&amp;'Output annual'!$AD$2&amp;"*FangerPMV(Hourly)",'Eplus results'!$1:$1048576,ROW(),FALSE)</f>
        <v>0</v>
      </c>
      <c r="AD2238" s="580">
        <f t="shared" si="206"/>
        <v>5</v>
      </c>
      <c r="AE2238" s="580">
        <f t="shared" si="207"/>
        <v>2.5</v>
      </c>
      <c r="AF2238" s="580">
        <f t="shared" si="208"/>
        <v>2.5</v>
      </c>
      <c r="AG2238" s="580">
        <f t="shared" si="209"/>
        <v>0</v>
      </c>
      <c r="AH2238" s="580">
        <f t="shared" si="210"/>
        <v>0</v>
      </c>
    </row>
    <row r="2239" spans="28:34">
      <c r="AB2239" s="580">
        <f>HLOOKUP("*"&amp;'Output annual'!$AC$2&amp;'Output annual'!$AD$2&amp;"*Zone People Number Of Occupants [](Hourly)",'Eplus results'!$1:$1048576,ROW(),FALSE)</f>
        <v>0</v>
      </c>
      <c r="AC2239" s="580">
        <f>HLOOKUP("*"&amp;'Output annual'!$AC$2&amp;'Output annual'!$AD$2&amp;"*FangerPMV(Hourly)",'Eplus results'!$1:$1048576,ROW(),FALSE)</f>
        <v>0</v>
      </c>
      <c r="AD2239" s="580">
        <f t="shared" si="206"/>
        <v>5</v>
      </c>
      <c r="AE2239" s="580">
        <f t="shared" si="207"/>
        <v>2.5</v>
      </c>
      <c r="AF2239" s="580">
        <f t="shared" si="208"/>
        <v>2.5</v>
      </c>
      <c r="AG2239" s="580">
        <f t="shared" si="209"/>
        <v>0</v>
      </c>
      <c r="AH2239" s="580">
        <f t="shared" si="210"/>
        <v>0</v>
      </c>
    </row>
    <row r="2240" spans="28:34">
      <c r="AB2240" s="580">
        <f>HLOOKUP("*"&amp;'Output annual'!$AC$2&amp;'Output annual'!$AD$2&amp;"*Zone People Number Of Occupants [](Hourly)",'Eplus results'!$1:$1048576,ROW(),FALSE)</f>
        <v>0</v>
      </c>
      <c r="AC2240" s="580">
        <f>HLOOKUP("*"&amp;'Output annual'!$AC$2&amp;'Output annual'!$AD$2&amp;"*FangerPMV(Hourly)",'Eplus results'!$1:$1048576,ROW(),FALSE)</f>
        <v>0</v>
      </c>
      <c r="AD2240" s="580">
        <f t="shared" si="206"/>
        <v>5</v>
      </c>
      <c r="AE2240" s="580">
        <f t="shared" si="207"/>
        <v>2.5</v>
      </c>
      <c r="AF2240" s="580">
        <f t="shared" si="208"/>
        <v>2.5</v>
      </c>
      <c r="AG2240" s="580">
        <f t="shared" si="209"/>
        <v>0</v>
      </c>
      <c r="AH2240" s="580">
        <f t="shared" si="210"/>
        <v>0</v>
      </c>
    </row>
    <row r="2241" spans="28:34">
      <c r="AB2241" s="580">
        <f>HLOOKUP("*"&amp;'Output annual'!$AC$2&amp;'Output annual'!$AD$2&amp;"*Zone People Number Of Occupants [](Hourly)",'Eplus results'!$1:$1048576,ROW(),FALSE)</f>
        <v>0</v>
      </c>
      <c r="AC2241" s="580">
        <f>HLOOKUP("*"&amp;'Output annual'!$AC$2&amp;'Output annual'!$AD$2&amp;"*FangerPMV(Hourly)",'Eplus results'!$1:$1048576,ROW(),FALSE)</f>
        <v>0</v>
      </c>
      <c r="AD2241" s="580">
        <f t="shared" si="206"/>
        <v>5</v>
      </c>
      <c r="AE2241" s="580">
        <f t="shared" si="207"/>
        <v>2.5</v>
      </c>
      <c r="AF2241" s="580">
        <f t="shared" si="208"/>
        <v>2.5</v>
      </c>
      <c r="AG2241" s="580">
        <f t="shared" si="209"/>
        <v>0</v>
      </c>
      <c r="AH2241" s="580">
        <f t="shared" si="210"/>
        <v>0</v>
      </c>
    </row>
    <row r="2242" spans="28:34">
      <c r="AB2242" s="580">
        <f>HLOOKUP("*"&amp;'Output annual'!$AC$2&amp;'Output annual'!$AD$2&amp;"*Zone People Number Of Occupants [](Hourly)",'Eplus results'!$1:$1048576,ROW(),FALSE)</f>
        <v>0</v>
      </c>
      <c r="AC2242" s="580">
        <f>HLOOKUP("*"&amp;'Output annual'!$AC$2&amp;'Output annual'!$AD$2&amp;"*FangerPMV(Hourly)",'Eplus results'!$1:$1048576,ROW(),FALSE)</f>
        <v>0</v>
      </c>
      <c r="AD2242" s="580">
        <f t="shared" si="206"/>
        <v>5</v>
      </c>
      <c r="AE2242" s="580">
        <f t="shared" si="207"/>
        <v>2.5</v>
      </c>
      <c r="AF2242" s="580">
        <f t="shared" si="208"/>
        <v>2.5</v>
      </c>
      <c r="AG2242" s="580">
        <f t="shared" si="209"/>
        <v>0</v>
      </c>
      <c r="AH2242" s="580">
        <f t="shared" si="210"/>
        <v>0</v>
      </c>
    </row>
    <row r="2243" spans="28:34">
      <c r="AB2243" s="580">
        <f>HLOOKUP("*"&amp;'Output annual'!$AC$2&amp;'Output annual'!$AD$2&amp;"*Zone People Number Of Occupants [](Hourly)",'Eplus results'!$1:$1048576,ROW(),FALSE)</f>
        <v>0</v>
      </c>
      <c r="AC2243" s="580">
        <f>HLOOKUP("*"&amp;'Output annual'!$AC$2&amp;'Output annual'!$AD$2&amp;"*FangerPMV(Hourly)",'Eplus results'!$1:$1048576,ROW(),FALSE)</f>
        <v>0</v>
      </c>
      <c r="AD2243" s="580">
        <f t="shared" ref="AD2243:AD2306" si="211">100-95*EXP(-0.03353*AC2243^4-0.2179*AC2243^2)</f>
        <v>5</v>
      </c>
      <c r="AE2243" s="580">
        <f t="shared" ref="AE2243:AE2306" si="212">AD2243*(1/(1+EXP(-6.3*$AC2243)))</f>
        <v>2.5</v>
      </c>
      <c r="AF2243" s="580">
        <f t="shared" ref="AF2243:AF2306" si="213">(AD2243-AE2243)</f>
        <v>2.5</v>
      </c>
      <c r="AG2243" s="580">
        <f t="shared" ref="AG2243:AG2306" si="214">AE2243*AB2243</f>
        <v>0</v>
      </c>
      <c r="AH2243" s="580">
        <f t="shared" ref="AH2243:AH2306" si="215">AF2243*AB2243</f>
        <v>0</v>
      </c>
    </row>
    <row r="2244" spans="28:34">
      <c r="AB2244" s="580">
        <f>HLOOKUP("*"&amp;'Output annual'!$AC$2&amp;'Output annual'!$AD$2&amp;"*Zone People Number Of Occupants [](Hourly)",'Eplus results'!$1:$1048576,ROW(),FALSE)</f>
        <v>0</v>
      </c>
      <c r="AC2244" s="580">
        <f>HLOOKUP("*"&amp;'Output annual'!$AC$2&amp;'Output annual'!$AD$2&amp;"*FangerPMV(Hourly)",'Eplus results'!$1:$1048576,ROW(),FALSE)</f>
        <v>0</v>
      </c>
      <c r="AD2244" s="580">
        <f t="shared" si="211"/>
        <v>5</v>
      </c>
      <c r="AE2244" s="580">
        <f t="shared" si="212"/>
        <v>2.5</v>
      </c>
      <c r="AF2244" s="580">
        <f t="shared" si="213"/>
        <v>2.5</v>
      </c>
      <c r="AG2244" s="580">
        <f t="shared" si="214"/>
        <v>0</v>
      </c>
      <c r="AH2244" s="580">
        <f t="shared" si="215"/>
        <v>0</v>
      </c>
    </row>
    <row r="2245" spans="28:34">
      <c r="AB2245" s="580">
        <f>HLOOKUP("*"&amp;'Output annual'!$AC$2&amp;'Output annual'!$AD$2&amp;"*Zone People Number Of Occupants [](Hourly)",'Eplus results'!$1:$1048576,ROW(),FALSE)</f>
        <v>0</v>
      </c>
      <c r="AC2245" s="580">
        <f>HLOOKUP("*"&amp;'Output annual'!$AC$2&amp;'Output annual'!$AD$2&amp;"*FangerPMV(Hourly)",'Eplus results'!$1:$1048576,ROW(),FALSE)</f>
        <v>0</v>
      </c>
      <c r="AD2245" s="580">
        <f t="shared" si="211"/>
        <v>5</v>
      </c>
      <c r="AE2245" s="580">
        <f t="shared" si="212"/>
        <v>2.5</v>
      </c>
      <c r="AF2245" s="580">
        <f t="shared" si="213"/>
        <v>2.5</v>
      </c>
      <c r="AG2245" s="580">
        <f t="shared" si="214"/>
        <v>0</v>
      </c>
      <c r="AH2245" s="580">
        <f t="shared" si="215"/>
        <v>0</v>
      </c>
    </row>
    <row r="2246" spans="28:34">
      <c r="AB2246" s="580">
        <f>HLOOKUP("*"&amp;'Output annual'!$AC$2&amp;'Output annual'!$AD$2&amp;"*Zone People Number Of Occupants [](Hourly)",'Eplus results'!$1:$1048576,ROW(),FALSE)</f>
        <v>0</v>
      </c>
      <c r="AC2246" s="580">
        <f>HLOOKUP("*"&amp;'Output annual'!$AC$2&amp;'Output annual'!$AD$2&amp;"*FangerPMV(Hourly)",'Eplus results'!$1:$1048576,ROW(),FALSE)</f>
        <v>0</v>
      </c>
      <c r="AD2246" s="580">
        <f t="shared" si="211"/>
        <v>5</v>
      </c>
      <c r="AE2246" s="580">
        <f t="shared" si="212"/>
        <v>2.5</v>
      </c>
      <c r="AF2246" s="580">
        <f t="shared" si="213"/>
        <v>2.5</v>
      </c>
      <c r="AG2246" s="580">
        <f t="shared" si="214"/>
        <v>0</v>
      </c>
      <c r="AH2246" s="580">
        <f t="shared" si="215"/>
        <v>0</v>
      </c>
    </row>
    <row r="2247" spans="28:34">
      <c r="AB2247" s="580">
        <f>HLOOKUP("*"&amp;'Output annual'!$AC$2&amp;'Output annual'!$AD$2&amp;"*Zone People Number Of Occupants [](Hourly)",'Eplus results'!$1:$1048576,ROW(),FALSE)</f>
        <v>0</v>
      </c>
      <c r="AC2247" s="580">
        <f>HLOOKUP("*"&amp;'Output annual'!$AC$2&amp;'Output annual'!$AD$2&amp;"*FangerPMV(Hourly)",'Eplus results'!$1:$1048576,ROW(),FALSE)</f>
        <v>0</v>
      </c>
      <c r="AD2247" s="580">
        <f t="shared" si="211"/>
        <v>5</v>
      </c>
      <c r="AE2247" s="580">
        <f t="shared" si="212"/>
        <v>2.5</v>
      </c>
      <c r="AF2247" s="580">
        <f t="shared" si="213"/>
        <v>2.5</v>
      </c>
      <c r="AG2247" s="580">
        <f t="shared" si="214"/>
        <v>0</v>
      </c>
      <c r="AH2247" s="580">
        <f t="shared" si="215"/>
        <v>0</v>
      </c>
    </row>
    <row r="2248" spans="28:34">
      <c r="AB2248" s="580">
        <f>HLOOKUP("*"&amp;'Output annual'!$AC$2&amp;'Output annual'!$AD$2&amp;"*Zone People Number Of Occupants [](Hourly)",'Eplus results'!$1:$1048576,ROW(),FALSE)</f>
        <v>0</v>
      </c>
      <c r="AC2248" s="580">
        <f>HLOOKUP("*"&amp;'Output annual'!$AC$2&amp;'Output annual'!$AD$2&amp;"*FangerPMV(Hourly)",'Eplus results'!$1:$1048576,ROW(),FALSE)</f>
        <v>0</v>
      </c>
      <c r="AD2248" s="580">
        <f t="shared" si="211"/>
        <v>5</v>
      </c>
      <c r="AE2248" s="580">
        <f t="shared" si="212"/>
        <v>2.5</v>
      </c>
      <c r="AF2248" s="580">
        <f t="shared" si="213"/>
        <v>2.5</v>
      </c>
      <c r="AG2248" s="580">
        <f t="shared" si="214"/>
        <v>0</v>
      </c>
      <c r="AH2248" s="580">
        <f t="shared" si="215"/>
        <v>0</v>
      </c>
    </row>
    <row r="2249" spans="28:34">
      <c r="AB2249" s="580">
        <f>HLOOKUP("*"&amp;'Output annual'!$AC$2&amp;'Output annual'!$AD$2&amp;"*Zone People Number Of Occupants [](Hourly)",'Eplus results'!$1:$1048576,ROW(),FALSE)</f>
        <v>0</v>
      </c>
      <c r="AC2249" s="580">
        <f>HLOOKUP("*"&amp;'Output annual'!$AC$2&amp;'Output annual'!$AD$2&amp;"*FangerPMV(Hourly)",'Eplus results'!$1:$1048576,ROW(),FALSE)</f>
        <v>0</v>
      </c>
      <c r="AD2249" s="580">
        <f t="shared" si="211"/>
        <v>5</v>
      </c>
      <c r="AE2249" s="580">
        <f t="shared" si="212"/>
        <v>2.5</v>
      </c>
      <c r="AF2249" s="580">
        <f t="shared" si="213"/>
        <v>2.5</v>
      </c>
      <c r="AG2249" s="580">
        <f t="shared" si="214"/>
        <v>0</v>
      </c>
      <c r="AH2249" s="580">
        <f t="shared" si="215"/>
        <v>0</v>
      </c>
    </row>
    <row r="2250" spans="28:34">
      <c r="AB2250" s="580">
        <f>HLOOKUP("*"&amp;'Output annual'!$AC$2&amp;'Output annual'!$AD$2&amp;"*Zone People Number Of Occupants [](Hourly)",'Eplus results'!$1:$1048576,ROW(),FALSE)</f>
        <v>0</v>
      </c>
      <c r="AC2250" s="580">
        <f>HLOOKUP("*"&amp;'Output annual'!$AC$2&amp;'Output annual'!$AD$2&amp;"*FangerPMV(Hourly)",'Eplus results'!$1:$1048576,ROW(),FALSE)</f>
        <v>0</v>
      </c>
      <c r="AD2250" s="580">
        <f t="shared" si="211"/>
        <v>5</v>
      </c>
      <c r="AE2250" s="580">
        <f t="shared" si="212"/>
        <v>2.5</v>
      </c>
      <c r="AF2250" s="580">
        <f t="shared" si="213"/>
        <v>2.5</v>
      </c>
      <c r="AG2250" s="580">
        <f t="shared" si="214"/>
        <v>0</v>
      </c>
      <c r="AH2250" s="580">
        <f t="shared" si="215"/>
        <v>0</v>
      </c>
    </row>
    <row r="2251" spans="28:34">
      <c r="AB2251" s="580">
        <f>HLOOKUP("*"&amp;'Output annual'!$AC$2&amp;'Output annual'!$AD$2&amp;"*Zone People Number Of Occupants [](Hourly)",'Eplus results'!$1:$1048576,ROW(),FALSE)</f>
        <v>0</v>
      </c>
      <c r="AC2251" s="580">
        <f>HLOOKUP("*"&amp;'Output annual'!$AC$2&amp;'Output annual'!$AD$2&amp;"*FangerPMV(Hourly)",'Eplus results'!$1:$1048576,ROW(),FALSE)</f>
        <v>0</v>
      </c>
      <c r="AD2251" s="580">
        <f t="shared" si="211"/>
        <v>5</v>
      </c>
      <c r="AE2251" s="580">
        <f t="shared" si="212"/>
        <v>2.5</v>
      </c>
      <c r="AF2251" s="580">
        <f t="shared" si="213"/>
        <v>2.5</v>
      </c>
      <c r="AG2251" s="580">
        <f t="shared" si="214"/>
        <v>0</v>
      </c>
      <c r="AH2251" s="580">
        <f t="shared" si="215"/>
        <v>0</v>
      </c>
    </row>
    <row r="2252" spans="28:34">
      <c r="AB2252" s="580">
        <f>HLOOKUP("*"&amp;'Output annual'!$AC$2&amp;'Output annual'!$AD$2&amp;"*Zone People Number Of Occupants [](Hourly)",'Eplus results'!$1:$1048576,ROW(),FALSE)</f>
        <v>0</v>
      </c>
      <c r="AC2252" s="580">
        <f>HLOOKUP("*"&amp;'Output annual'!$AC$2&amp;'Output annual'!$AD$2&amp;"*FangerPMV(Hourly)",'Eplus results'!$1:$1048576,ROW(),FALSE)</f>
        <v>0</v>
      </c>
      <c r="AD2252" s="580">
        <f t="shared" si="211"/>
        <v>5</v>
      </c>
      <c r="AE2252" s="580">
        <f t="shared" si="212"/>
        <v>2.5</v>
      </c>
      <c r="AF2252" s="580">
        <f t="shared" si="213"/>
        <v>2.5</v>
      </c>
      <c r="AG2252" s="580">
        <f t="shared" si="214"/>
        <v>0</v>
      </c>
      <c r="AH2252" s="580">
        <f t="shared" si="215"/>
        <v>0</v>
      </c>
    </row>
    <row r="2253" spans="28:34">
      <c r="AB2253" s="580">
        <f>HLOOKUP("*"&amp;'Output annual'!$AC$2&amp;'Output annual'!$AD$2&amp;"*Zone People Number Of Occupants [](Hourly)",'Eplus results'!$1:$1048576,ROW(),FALSE)</f>
        <v>0</v>
      </c>
      <c r="AC2253" s="580">
        <f>HLOOKUP("*"&amp;'Output annual'!$AC$2&amp;'Output annual'!$AD$2&amp;"*FangerPMV(Hourly)",'Eplus results'!$1:$1048576,ROW(),FALSE)</f>
        <v>0</v>
      </c>
      <c r="AD2253" s="580">
        <f t="shared" si="211"/>
        <v>5</v>
      </c>
      <c r="AE2253" s="580">
        <f t="shared" si="212"/>
        <v>2.5</v>
      </c>
      <c r="AF2253" s="580">
        <f t="shared" si="213"/>
        <v>2.5</v>
      </c>
      <c r="AG2253" s="580">
        <f t="shared" si="214"/>
        <v>0</v>
      </c>
      <c r="AH2253" s="580">
        <f t="shared" si="215"/>
        <v>0</v>
      </c>
    </row>
    <row r="2254" spans="28:34">
      <c r="AB2254" s="580">
        <f>HLOOKUP("*"&amp;'Output annual'!$AC$2&amp;'Output annual'!$AD$2&amp;"*Zone People Number Of Occupants [](Hourly)",'Eplus results'!$1:$1048576,ROW(),FALSE)</f>
        <v>0</v>
      </c>
      <c r="AC2254" s="580">
        <f>HLOOKUP("*"&amp;'Output annual'!$AC$2&amp;'Output annual'!$AD$2&amp;"*FangerPMV(Hourly)",'Eplus results'!$1:$1048576,ROW(),FALSE)</f>
        <v>0</v>
      </c>
      <c r="AD2254" s="580">
        <f t="shared" si="211"/>
        <v>5</v>
      </c>
      <c r="AE2254" s="580">
        <f t="shared" si="212"/>
        <v>2.5</v>
      </c>
      <c r="AF2254" s="580">
        <f t="shared" si="213"/>
        <v>2.5</v>
      </c>
      <c r="AG2254" s="580">
        <f t="shared" si="214"/>
        <v>0</v>
      </c>
      <c r="AH2254" s="580">
        <f t="shared" si="215"/>
        <v>0</v>
      </c>
    </row>
    <row r="2255" spans="28:34">
      <c r="AB2255" s="580">
        <f>HLOOKUP("*"&amp;'Output annual'!$AC$2&amp;'Output annual'!$AD$2&amp;"*Zone People Number Of Occupants [](Hourly)",'Eplus results'!$1:$1048576,ROW(),FALSE)</f>
        <v>0</v>
      </c>
      <c r="AC2255" s="580">
        <f>HLOOKUP("*"&amp;'Output annual'!$AC$2&amp;'Output annual'!$AD$2&amp;"*FangerPMV(Hourly)",'Eplus results'!$1:$1048576,ROW(),FALSE)</f>
        <v>0</v>
      </c>
      <c r="AD2255" s="580">
        <f t="shared" si="211"/>
        <v>5</v>
      </c>
      <c r="AE2255" s="580">
        <f t="shared" si="212"/>
        <v>2.5</v>
      </c>
      <c r="AF2255" s="580">
        <f t="shared" si="213"/>
        <v>2.5</v>
      </c>
      <c r="AG2255" s="580">
        <f t="shared" si="214"/>
        <v>0</v>
      </c>
      <c r="AH2255" s="580">
        <f t="shared" si="215"/>
        <v>0</v>
      </c>
    </row>
    <row r="2256" spans="28:34">
      <c r="AB2256" s="580">
        <f>HLOOKUP("*"&amp;'Output annual'!$AC$2&amp;'Output annual'!$AD$2&amp;"*Zone People Number Of Occupants [](Hourly)",'Eplus results'!$1:$1048576,ROW(),FALSE)</f>
        <v>0</v>
      </c>
      <c r="AC2256" s="580">
        <f>HLOOKUP("*"&amp;'Output annual'!$AC$2&amp;'Output annual'!$AD$2&amp;"*FangerPMV(Hourly)",'Eplus results'!$1:$1048576,ROW(),FALSE)</f>
        <v>0</v>
      </c>
      <c r="AD2256" s="580">
        <f t="shared" si="211"/>
        <v>5</v>
      </c>
      <c r="AE2256" s="580">
        <f t="shared" si="212"/>
        <v>2.5</v>
      </c>
      <c r="AF2256" s="580">
        <f t="shared" si="213"/>
        <v>2.5</v>
      </c>
      <c r="AG2256" s="580">
        <f t="shared" si="214"/>
        <v>0</v>
      </c>
      <c r="AH2256" s="580">
        <f t="shared" si="215"/>
        <v>0</v>
      </c>
    </row>
    <row r="2257" spans="28:34">
      <c r="AB2257" s="580">
        <f>HLOOKUP("*"&amp;'Output annual'!$AC$2&amp;'Output annual'!$AD$2&amp;"*Zone People Number Of Occupants [](Hourly)",'Eplus results'!$1:$1048576,ROW(),FALSE)</f>
        <v>0</v>
      </c>
      <c r="AC2257" s="580">
        <f>HLOOKUP("*"&amp;'Output annual'!$AC$2&amp;'Output annual'!$AD$2&amp;"*FangerPMV(Hourly)",'Eplus results'!$1:$1048576,ROW(),FALSE)</f>
        <v>0</v>
      </c>
      <c r="AD2257" s="580">
        <f t="shared" si="211"/>
        <v>5</v>
      </c>
      <c r="AE2257" s="580">
        <f t="shared" si="212"/>
        <v>2.5</v>
      </c>
      <c r="AF2257" s="580">
        <f t="shared" si="213"/>
        <v>2.5</v>
      </c>
      <c r="AG2257" s="580">
        <f t="shared" si="214"/>
        <v>0</v>
      </c>
      <c r="AH2257" s="580">
        <f t="shared" si="215"/>
        <v>0</v>
      </c>
    </row>
    <row r="2258" spans="28:34">
      <c r="AB2258" s="580">
        <f>HLOOKUP("*"&amp;'Output annual'!$AC$2&amp;'Output annual'!$AD$2&amp;"*Zone People Number Of Occupants [](Hourly)",'Eplus results'!$1:$1048576,ROW(),FALSE)</f>
        <v>0</v>
      </c>
      <c r="AC2258" s="580">
        <f>HLOOKUP("*"&amp;'Output annual'!$AC$2&amp;'Output annual'!$AD$2&amp;"*FangerPMV(Hourly)",'Eplus results'!$1:$1048576,ROW(),FALSE)</f>
        <v>0</v>
      </c>
      <c r="AD2258" s="580">
        <f t="shared" si="211"/>
        <v>5</v>
      </c>
      <c r="AE2258" s="580">
        <f t="shared" si="212"/>
        <v>2.5</v>
      </c>
      <c r="AF2258" s="580">
        <f t="shared" si="213"/>
        <v>2.5</v>
      </c>
      <c r="AG2258" s="580">
        <f t="shared" si="214"/>
        <v>0</v>
      </c>
      <c r="AH2258" s="580">
        <f t="shared" si="215"/>
        <v>0</v>
      </c>
    </row>
    <row r="2259" spans="28:34">
      <c r="AB2259" s="580">
        <f>HLOOKUP("*"&amp;'Output annual'!$AC$2&amp;'Output annual'!$AD$2&amp;"*Zone People Number Of Occupants [](Hourly)",'Eplus results'!$1:$1048576,ROW(),FALSE)</f>
        <v>0</v>
      </c>
      <c r="AC2259" s="580">
        <f>HLOOKUP("*"&amp;'Output annual'!$AC$2&amp;'Output annual'!$AD$2&amp;"*FangerPMV(Hourly)",'Eplus results'!$1:$1048576,ROW(),FALSE)</f>
        <v>0</v>
      </c>
      <c r="AD2259" s="580">
        <f t="shared" si="211"/>
        <v>5</v>
      </c>
      <c r="AE2259" s="580">
        <f t="shared" si="212"/>
        <v>2.5</v>
      </c>
      <c r="AF2259" s="580">
        <f t="shared" si="213"/>
        <v>2.5</v>
      </c>
      <c r="AG2259" s="580">
        <f t="shared" si="214"/>
        <v>0</v>
      </c>
      <c r="AH2259" s="580">
        <f t="shared" si="215"/>
        <v>0</v>
      </c>
    </row>
    <row r="2260" spans="28:34">
      <c r="AB2260" s="580">
        <f>HLOOKUP("*"&amp;'Output annual'!$AC$2&amp;'Output annual'!$AD$2&amp;"*Zone People Number Of Occupants [](Hourly)",'Eplus results'!$1:$1048576,ROW(),FALSE)</f>
        <v>0</v>
      </c>
      <c r="AC2260" s="580">
        <f>HLOOKUP("*"&amp;'Output annual'!$AC$2&amp;'Output annual'!$AD$2&amp;"*FangerPMV(Hourly)",'Eplus results'!$1:$1048576,ROW(),FALSE)</f>
        <v>0</v>
      </c>
      <c r="AD2260" s="580">
        <f t="shared" si="211"/>
        <v>5</v>
      </c>
      <c r="AE2260" s="580">
        <f t="shared" si="212"/>
        <v>2.5</v>
      </c>
      <c r="AF2260" s="580">
        <f t="shared" si="213"/>
        <v>2.5</v>
      </c>
      <c r="AG2260" s="580">
        <f t="shared" si="214"/>
        <v>0</v>
      </c>
      <c r="AH2260" s="580">
        <f t="shared" si="215"/>
        <v>0</v>
      </c>
    </row>
    <row r="2261" spans="28:34">
      <c r="AB2261" s="580">
        <f>HLOOKUP("*"&amp;'Output annual'!$AC$2&amp;'Output annual'!$AD$2&amp;"*Zone People Number Of Occupants [](Hourly)",'Eplus results'!$1:$1048576,ROW(),FALSE)</f>
        <v>0</v>
      </c>
      <c r="AC2261" s="580">
        <f>HLOOKUP("*"&amp;'Output annual'!$AC$2&amp;'Output annual'!$AD$2&amp;"*FangerPMV(Hourly)",'Eplus results'!$1:$1048576,ROW(),FALSE)</f>
        <v>0</v>
      </c>
      <c r="AD2261" s="580">
        <f t="shared" si="211"/>
        <v>5</v>
      </c>
      <c r="AE2261" s="580">
        <f t="shared" si="212"/>
        <v>2.5</v>
      </c>
      <c r="AF2261" s="580">
        <f t="shared" si="213"/>
        <v>2.5</v>
      </c>
      <c r="AG2261" s="580">
        <f t="shared" si="214"/>
        <v>0</v>
      </c>
      <c r="AH2261" s="580">
        <f t="shared" si="215"/>
        <v>0</v>
      </c>
    </row>
    <row r="2262" spans="28:34">
      <c r="AB2262" s="580">
        <f>HLOOKUP("*"&amp;'Output annual'!$AC$2&amp;'Output annual'!$AD$2&amp;"*Zone People Number Of Occupants [](Hourly)",'Eplus results'!$1:$1048576,ROW(),FALSE)</f>
        <v>0</v>
      </c>
      <c r="AC2262" s="580">
        <f>HLOOKUP("*"&amp;'Output annual'!$AC$2&amp;'Output annual'!$AD$2&amp;"*FangerPMV(Hourly)",'Eplus results'!$1:$1048576,ROW(),FALSE)</f>
        <v>0</v>
      </c>
      <c r="AD2262" s="580">
        <f t="shared" si="211"/>
        <v>5</v>
      </c>
      <c r="AE2262" s="580">
        <f t="shared" si="212"/>
        <v>2.5</v>
      </c>
      <c r="AF2262" s="580">
        <f t="shared" si="213"/>
        <v>2.5</v>
      </c>
      <c r="AG2262" s="580">
        <f t="shared" si="214"/>
        <v>0</v>
      </c>
      <c r="AH2262" s="580">
        <f t="shared" si="215"/>
        <v>0</v>
      </c>
    </row>
    <row r="2263" spans="28:34">
      <c r="AB2263" s="580">
        <f>HLOOKUP("*"&amp;'Output annual'!$AC$2&amp;'Output annual'!$AD$2&amp;"*Zone People Number Of Occupants [](Hourly)",'Eplus results'!$1:$1048576,ROW(),FALSE)</f>
        <v>0</v>
      </c>
      <c r="AC2263" s="580">
        <f>HLOOKUP("*"&amp;'Output annual'!$AC$2&amp;'Output annual'!$AD$2&amp;"*FangerPMV(Hourly)",'Eplus results'!$1:$1048576,ROW(),FALSE)</f>
        <v>0</v>
      </c>
      <c r="AD2263" s="580">
        <f t="shared" si="211"/>
        <v>5</v>
      </c>
      <c r="AE2263" s="580">
        <f t="shared" si="212"/>
        <v>2.5</v>
      </c>
      <c r="AF2263" s="580">
        <f t="shared" si="213"/>
        <v>2.5</v>
      </c>
      <c r="AG2263" s="580">
        <f t="shared" si="214"/>
        <v>0</v>
      </c>
      <c r="AH2263" s="580">
        <f t="shared" si="215"/>
        <v>0</v>
      </c>
    </row>
    <row r="2264" spans="28:34">
      <c r="AB2264" s="580">
        <f>HLOOKUP("*"&amp;'Output annual'!$AC$2&amp;'Output annual'!$AD$2&amp;"*Zone People Number Of Occupants [](Hourly)",'Eplus results'!$1:$1048576,ROW(),FALSE)</f>
        <v>0</v>
      </c>
      <c r="AC2264" s="580">
        <f>HLOOKUP("*"&amp;'Output annual'!$AC$2&amp;'Output annual'!$AD$2&amp;"*FangerPMV(Hourly)",'Eplus results'!$1:$1048576,ROW(),FALSE)</f>
        <v>0</v>
      </c>
      <c r="AD2264" s="580">
        <f t="shared" si="211"/>
        <v>5</v>
      </c>
      <c r="AE2264" s="580">
        <f t="shared" si="212"/>
        <v>2.5</v>
      </c>
      <c r="AF2264" s="580">
        <f t="shared" si="213"/>
        <v>2.5</v>
      </c>
      <c r="AG2264" s="580">
        <f t="shared" si="214"/>
        <v>0</v>
      </c>
      <c r="AH2264" s="580">
        <f t="shared" si="215"/>
        <v>0</v>
      </c>
    </row>
    <row r="2265" spans="28:34">
      <c r="AB2265" s="580">
        <f>HLOOKUP("*"&amp;'Output annual'!$AC$2&amp;'Output annual'!$AD$2&amp;"*Zone People Number Of Occupants [](Hourly)",'Eplus results'!$1:$1048576,ROW(),FALSE)</f>
        <v>0</v>
      </c>
      <c r="AC2265" s="580">
        <f>HLOOKUP("*"&amp;'Output annual'!$AC$2&amp;'Output annual'!$AD$2&amp;"*FangerPMV(Hourly)",'Eplus results'!$1:$1048576,ROW(),FALSE)</f>
        <v>0</v>
      </c>
      <c r="AD2265" s="580">
        <f t="shared" si="211"/>
        <v>5</v>
      </c>
      <c r="AE2265" s="580">
        <f t="shared" si="212"/>
        <v>2.5</v>
      </c>
      <c r="AF2265" s="580">
        <f t="shared" si="213"/>
        <v>2.5</v>
      </c>
      <c r="AG2265" s="580">
        <f t="shared" si="214"/>
        <v>0</v>
      </c>
      <c r="AH2265" s="580">
        <f t="shared" si="215"/>
        <v>0</v>
      </c>
    </row>
    <row r="2266" spans="28:34">
      <c r="AB2266" s="580">
        <f>HLOOKUP("*"&amp;'Output annual'!$AC$2&amp;'Output annual'!$AD$2&amp;"*Zone People Number Of Occupants [](Hourly)",'Eplus results'!$1:$1048576,ROW(),FALSE)</f>
        <v>0</v>
      </c>
      <c r="AC2266" s="580">
        <f>HLOOKUP("*"&amp;'Output annual'!$AC$2&amp;'Output annual'!$AD$2&amp;"*FangerPMV(Hourly)",'Eplus results'!$1:$1048576,ROW(),FALSE)</f>
        <v>0</v>
      </c>
      <c r="AD2266" s="580">
        <f t="shared" si="211"/>
        <v>5</v>
      </c>
      <c r="AE2266" s="580">
        <f t="shared" si="212"/>
        <v>2.5</v>
      </c>
      <c r="AF2266" s="580">
        <f t="shared" si="213"/>
        <v>2.5</v>
      </c>
      <c r="AG2266" s="580">
        <f t="shared" si="214"/>
        <v>0</v>
      </c>
      <c r="AH2266" s="580">
        <f t="shared" si="215"/>
        <v>0</v>
      </c>
    </row>
    <row r="2267" spans="28:34">
      <c r="AB2267" s="580">
        <f>HLOOKUP("*"&amp;'Output annual'!$AC$2&amp;'Output annual'!$AD$2&amp;"*Zone People Number Of Occupants [](Hourly)",'Eplus results'!$1:$1048576,ROW(),FALSE)</f>
        <v>0</v>
      </c>
      <c r="AC2267" s="580">
        <f>HLOOKUP("*"&amp;'Output annual'!$AC$2&amp;'Output annual'!$AD$2&amp;"*FangerPMV(Hourly)",'Eplus results'!$1:$1048576,ROW(),FALSE)</f>
        <v>0</v>
      </c>
      <c r="AD2267" s="580">
        <f t="shared" si="211"/>
        <v>5</v>
      </c>
      <c r="AE2267" s="580">
        <f t="shared" si="212"/>
        <v>2.5</v>
      </c>
      <c r="AF2267" s="580">
        <f t="shared" si="213"/>
        <v>2.5</v>
      </c>
      <c r="AG2267" s="580">
        <f t="shared" si="214"/>
        <v>0</v>
      </c>
      <c r="AH2267" s="580">
        <f t="shared" si="215"/>
        <v>0</v>
      </c>
    </row>
    <row r="2268" spans="28:34">
      <c r="AB2268" s="580">
        <f>HLOOKUP("*"&amp;'Output annual'!$AC$2&amp;'Output annual'!$AD$2&amp;"*Zone People Number Of Occupants [](Hourly)",'Eplus results'!$1:$1048576,ROW(),FALSE)</f>
        <v>0</v>
      </c>
      <c r="AC2268" s="580">
        <f>HLOOKUP("*"&amp;'Output annual'!$AC$2&amp;'Output annual'!$AD$2&amp;"*FangerPMV(Hourly)",'Eplus results'!$1:$1048576,ROW(),FALSE)</f>
        <v>0</v>
      </c>
      <c r="AD2268" s="580">
        <f t="shared" si="211"/>
        <v>5</v>
      </c>
      <c r="AE2268" s="580">
        <f t="shared" si="212"/>
        <v>2.5</v>
      </c>
      <c r="AF2268" s="580">
        <f t="shared" si="213"/>
        <v>2.5</v>
      </c>
      <c r="AG2268" s="580">
        <f t="shared" si="214"/>
        <v>0</v>
      </c>
      <c r="AH2268" s="580">
        <f t="shared" si="215"/>
        <v>0</v>
      </c>
    </row>
    <row r="2269" spans="28:34">
      <c r="AB2269" s="580">
        <f>HLOOKUP("*"&amp;'Output annual'!$AC$2&amp;'Output annual'!$AD$2&amp;"*Zone People Number Of Occupants [](Hourly)",'Eplus results'!$1:$1048576,ROW(),FALSE)</f>
        <v>0</v>
      </c>
      <c r="AC2269" s="580">
        <f>HLOOKUP("*"&amp;'Output annual'!$AC$2&amp;'Output annual'!$AD$2&amp;"*FangerPMV(Hourly)",'Eplus results'!$1:$1048576,ROW(),FALSE)</f>
        <v>0</v>
      </c>
      <c r="AD2269" s="580">
        <f t="shared" si="211"/>
        <v>5</v>
      </c>
      <c r="AE2269" s="580">
        <f t="shared" si="212"/>
        <v>2.5</v>
      </c>
      <c r="AF2269" s="580">
        <f t="shared" si="213"/>
        <v>2.5</v>
      </c>
      <c r="AG2269" s="580">
        <f t="shared" si="214"/>
        <v>0</v>
      </c>
      <c r="AH2269" s="580">
        <f t="shared" si="215"/>
        <v>0</v>
      </c>
    </row>
    <row r="2270" spans="28:34">
      <c r="AB2270" s="580">
        <f>HLOOKUP("*"&amp;'Output annual'!$AC$2&amp;'Output annual'!$AD$2&amp;"*Zone People Number Of Occupants [](Hourly)",'Eplus results'!$1:$1048576,ROW(),FALSE)</f>
        <v>0</v>
      </c>
      <c r="AC2270" s="580">
        <f>HLOOKUP("*"&amp;'Output annual'!$AC$2&amp;'Output annual'!$AD$2&amp;"*FangerPMV(Hourly)",'Eplus results'!$1:$1048576,ROW(),FALSE)</f>
        <v>0</v>
      </c>
      <c r="AD2270" s="580">
        <f t="shared" si="211"/>
        <v>5</v>
      </c>
      <c r="AE2270" s="580">
        <f t="shared" si="212"/>
        <v>2.5</v>
      </c>
      <c r="AF2270" s="580">
        <f t="shared" si="213"/>
        <v>2.5</v>
      </c>
      <c r="AG2270" s="580">
        <f t="shared" si="214"/>
        <v>0</v>
      </c>
      <c r="AH2270" s="580">
        <f t="shared" si="215"/>
        <v>0</v>
      </c>
    </row>
    <row r="2271" spans="28:34">
      <c r="AB2271" s="580">
        <f>HLOOKUP("*"&amp;'Output annual'!$AC$2&amp;'Output annual'!$AD$2&amp;"*Zone People Number Of Occupants [](Hourly)",'Eplus results'!$1:$1048576,ROW(),FALSE)</f>
        <v>0</v>
      </c>
      <c r="AC2271" s="580">
        <f>HLOOKUP("*"&amp;'Output annual'!$AC$2&amp;'Output annual'!$AD$2&amp;"*FangerPMV(Hourly)",'Eplus results'!$1:$1048576,ROW(),FALSE)</f>
        <v>0</v>
      </c>
      <c r="AD2271" s="580">
        <f t="shared" si="211"/>
        <v>5</v>
      </c>
      <c r="AE2271" s="580">
        <f t="shared" si="212"/>
        <v>2.5</v>
      </c>
      <c r="AF2271" s="580">
        <f t="shared" si="213"/>
        <v>2.5</v>
      </c>
      <c r="AG2271" s="580">
        <f t="shared" si="214"/>
        <v>0</v>
      </c>
      <c r="AH2271" s="580">
        <f t="shared" si="215"/>
        <v>0</v>
      </c>
    </row>
    <row r="2272" spans="28:34">
      <c r="AB2272" s="580">
        <f>HLOOKUP("*"&amp;'Output annual'!$AC$2&amp;'Output annual'!$AD$2&amp;"*Zone People Number Of Occupants [](Hourly)",'Eplus results'!$1:$1048576,ROW(),FALSE)</f>
        <v>0</v>
      </c>
      <c r="AC2272" s="580">
        <f>HLOOKUP("*"&amp;'Output annual'!$AC$2&amp;'Output annual'!$AD$2&amp;"*FangerPMV(Hourly)",'Eplus results'!$1:$1048576,ROW(),FALSE)</f>
        <v>0</v>
      </c>
      <c r="AD2272" s="580">
        <f t="shared" si="211"/>
        <v>5</v>
      </c>
      <c r="AE2272" s="580">
        <f t="shared" si="212"/>
        <v>2.5</v>
      </c>
      <c r="AF2272" s="580">
        <f t="shared" si="213"/>
        <v>2.5</v>
      </c>
      <c r="AG2272" s="580">
        <f t="shared" si="214"/>
        <v>0</v>
      </c>
      <c r="AH2272" s="580">
        <f t="shared" si="215"/>
        <v>0</v>
      </c>
    </row>
    <row r="2273" spans="28:34">
      <c r="AB2273" s="580">
        <f>HLOOKUP("*"&amp;'Output annual'!$AC$2&amp;'Output annual'!$AD$2&amp;"*Zone People Number Of Occupants [](Hourly)",'Eplus results'!$1:$1048576,ROW(),FALSE)</f>
        <v>0</v>
      </c>
      <c r="AC2273" s="580">
        <f>HLOOKUP("*"&amp;'Output annual'!$AC$2&amp;'Output annual'!$AD$2&amp;"*FangerPMV(Hourly)",'Eplus results'!$1:$1048576,ROW(),FALSE)</f>
        <v>0</v>
      </c>
      <c r="AD2273" s="580">
        <f t="shared" si="211"/>
        <v>5</v>
      </c>
      <c r="AE2273" s="580">
        <f t="shared" si="212"/>
        <v>2.5</v>
      </c>
      <c r="AF2273" s="580">
        <f t="shared" si="213"/>
        <v>2.5</v>
      </c>
      <c r="AG2273" s="580">
        <f t="shared" si="214"/>
        <v>0</v>
      </c>
      <c r="AH2273" s="580">
        <f t="shared" si="215"/>
        <v>0</v>
      </c>
    </row>
    <row r="2274" spans="28:34">
      <c r="AB2274" s="580">
        <f>HLOOKUP("*"&amp;'Output annual'!$AC$2&amp;'Output annual'!$AD$2&amp;"*Zone People Number Of Occupants [](Hourly)",'Eplus results'!$1:$1048576,ROW(),FALSE)</f>
        <v>0</v>
      </c>
      <c r="AC2274" s="580">
        <f>HLOOKUP("*"&amp;'Output annual'!$AC$2&amp;'Output annual'!$AD$2&amp;"*FangerPMV(Hourly)",'Eplus results'!$1:$1048576,ROW(),FALSE)</f>
        <v>0</v>
      </c>
      <c r="AD2274" s="580">
        <f t="shared" si="211"/>
        <v>5</v>
      </c>
      <c r="AE2274" s="580">
        <f t="shared" si="212"/>
        <v>2.5</v>
      </c>
      <c r="AF2274" s="580">
        <f t="shared" si="213"/>
        <v>2.5</v>
      </c>
      <c r="AG2274" s="580">
        <f t="shared" si="214"/>
        <v>0</v>
      </c>
      <c r="AH2274" s="580">
        <f t="shared" si="215"/>
        <v>0</v>
      </c>
    </row>
    <row r="2275" spans="28:34">
      <c r="AB2275" s="580">
        <f>HLOOKUP("*"&amp;'Output annual'!$AC$2&amp;'Output annual'!$AD$2&amp;"*Zone People Number Of Occupants [](Hourly)",'Eplus results'!$1:$1048576,ROW(),FALSE)</f>
        <v>0</v>
      </c>
      <c r="AC2275" s="580">
        <f>HLOOKUP("*"&amp;'Output annual'!$AC$2&amp;'Output annual'!$AD$2&amp;"*FangerPMV(Hourly)",'Eplus results'!$1:$1048576,ROW(),FALSE)</f>
        <v>0</v>
      </c>
      <c r="AD2275" s="580">
        <f t="shared" si="211"/>
        <v>5</v>
      </c>
      <c r="AE2275" s="580">
        <f t="shared" si="212"/>
        <v>2.5</v>
      </c>
      <c r="AF2275" s="580">
        <f t="shared" si="213"/>
        <v>2.5</v>
      </c>
      <c r="AG2275" s="580">
        <f t="shared" si="214"/>
        <v>0</v>
      </c>
      <c r="AH2275" s="580">
        <f t="shared" si="215"/>
        <v>0</v>
      </c>
    </row>
    <row r="2276" spans="28:34">
      <c r="AB2276" s="580">
        <f>HLOOKUP("*"&amp;'Output annual'!$AC$2&amp;'Output annual'!$AD$2&amp;"*Zone People Number Of Occupants [](Hourly)",'Eplus results'!$1:$1048576,ROW(),FALSE)</f>
        <v>0</v>
      </c>
      <c r="AC2276" s="580">
        <f>HLOOKUP("*"&amp;'Output annual'!$AC$2&amp;'Output annual'!$AD$2&amp;"*FangerPMV(Hourly)",'Eplus results'!$1:$1048576,ROW(),FALSE)</f>
        <v>0</v>
      </c>
      <c r="AD2276" s="580">
        <f t="shared" si="211"/>
        <v>5</v>
      </c>
      <c r="AE2276" s="580">
        <f t="shared" si="212"/>
        <v>2.5</v>
      </c>
      <c r="AF2276" s="580">
        <f t="shared" si="213"/>
        <v>2.5</v>
      </c>
      <c r="AG2276" s="580">
        <f t="shared" si="214"/>
        <v>0</v>
      </c>
      <c r="AH2276" s="580">
        <f t="shared" si="215"/>
        <v>0</v>
      </c>
    </row>
    <row r="2277" spans="28:34">
      <c r="AB2277" s="580">
        <f>HLOOKUP("*"&amp;'Output annual'!$AC$2&amp;'Output annual'!$AD$2&amp;"*Zone People Number Of Occupants [](Hourly)",'Eplus results'!$1:$1048576,ROW(),FALSE)</f>
        <v>0</v>
      </c>
      <c r="AC2277" s="580">
        <f>HLOOKUP("*"&amp;'Output annual'!$AC$2&amp;'Output annual'!$AD$2&amp;"*FangerPMV(Hourly)",'Eplus results'!$1:$1048576,ROW(),FALSE)</f>
        <v>0</v>
      </c>
      <c r="AD2277" s="580">
        <f t="shared" si="211"/>
        <v>5</v>
      </c>
      <c r="AE2277" s="580">
        <f t="shared" si="212"/>
        <v>2.5</v>
      </c>
      <c r="AF2277" s="580">
        <f t="shared" si="213"/>
        <v>2.5</v>
      </c>
      <c r="AG2277" s="580">
        <f t="shared" si="214"/>
        <v>0</v>
      </c>
      <c r="AH2277" s="580">
        <f t="shared" si="215"/>
        <v>0</v>
      </c>
    </row>
    <row r="2278" spans="28:34">
      <c r="AB2278" s="580">
        <f>HLOOKUP("*"&amp;'Output annual'!$AC$2&amp;'Output annual'!$AD$2&amp;"*Zone People Number Of Occupants [](Hourly)",'Eplus results'!$1:$1048576,ROW(),FALSE)</f>
        <v>0</v>
      </c>
      <c r="AC2278" s="580">
        <f>HLOOKUP("*"&amp;'Output annual'!$AC$2&amp;'Output annual'!$AD$2&amp;"*FangerPMV(Hourly)",'Eplus results'!$1:$1048576,ROW(),FALSE)</f>
        <v>0</v>
      </c>
      <c r="AD2278" s="580">
        <f t="shared" si="211"/>
        <v>5</v>
      </c>
      <c r="AE2278" s="580">
        <f t="shared" si="212"/>
        <v>2.5</v>
      </c>
      <c r="AF2278" s="580">
        <f t="shared" si="213"/>
        <v>2.5</v>
      </c>
      <c r="AG2278" s="580">
        <f t="shared" si="214"/>
        <v>0</v>
      </c>
      <c r="AH2278" s="580">
        <f t="shared" si="215"/>
        <v>0</v>
      </c>
    </row>
    <row r="2279" spans="28:34">
      <c r="AB2279" s="580">
        <f>HLOOKUP("*"&amp;'Output annual'!$AC$2&amp;'Output annual'!$AD$2&amp;"*Zone People Number Of Occupants [](Hourly)",'Eplus results'!$1:$1048576,ROW(),FALSE)</f>
        <v>0</v>
      </c>
      <c r="AC2279" s="580">
        <f>HLOOKUP("*"&amp;'Output annual'!$AC$2&amp;'Output annual'!$AD$2&amp;"*FangerPMV(Hourly)",'Eplus results'!$1:$1048576,ROW(),FALSE)</f>
        <v>0</v>
      </c>
      <c r="AD2279" s="580">
        <f t="shared" si="211"/>
        <v>5</v>
      </c>
      <c r="AE2279" s="580">
        <f t="shared" si="212"/>
        <v>2.5</v>
      </c>
      <c r="AF2279" s="580">
        <f t="shared" si="213"/>
        <v>2.5</v>
      </c>
      <c r="AG2279" s="580">
        <f t="shared" si="214"/>
        <v>0</v>
      </c>
      <c r="AH2279" s="580">
        <f t="shared" si="215"/>
        <v>0</v>
      </c>
    </row>
    <row r="2280" spans="28:34">
      <c r="AB2280" s="580">
        <f>HLOOKUP("*"&amp;'Output annual'!$AC$2&amp;'Output annual'!$AD$2&amp;"*Zone People Number Of Occupants [](Hourly)",'Eplus results'!$1:$1048576,ROW(),FALSE)</f>
        <v>0</v>
      </c>
      <c r="AC2280" s="580">
        <f>HLOOKUP("*"&amp;'Output annual'!$AC$2&amp;'Output annual'!$AD$2&amp;"*FangerPMV(Hourly)",'Eplus results'!$1:$1048576,ROW(),FALSE)</f>
        <v>0</v>
      </c>
      <c r="AD2280" s="580">
        <f t="shared" si="211"/>
        <v>5</v>
      </c>
      <c r="AE2280" s="580">
        <f t="shared" si="212"/>
        <v>2.5</v>
      </c>
      <c r="AF2280" s="580">
        <f t="shared" si="213"/>
        <v>2.5</v>
      </c>
      <c r="AG2280" s="580">
        <f t="shared" si="214"/>
        <v>0</v>
      </c>
      <c r="AH2280" s="580">
        <f t="shared" si="215"/>
        <v>0</v>
      </c>
    </row>
    <row r="2281" spans="28:34">
      <c r="AB2281" s="580">
        <f>HLOOKUP("*"&amp;'Output annual'!$AC$2&amp;'Output annual'!$AD$2&amp;"*Zone People Number Of Occupants [](Hourly)",'Eplus results'!$1:$1048576,ROW(),FALSE)</f>
        <v>0</v>
      </c>
      <c r="AC2281" s="580">
        <f>HLOOKUP("*"&amp;'Output annual'!$AC$2&amp;'Output annual'!$AD$2&amp;"*FangerPMV(Hourly)",'Eplus results'!$1:$1048576,ROW(),FALSE)</f>
        <v>0</v>
      </c>
      <c r="AD2281" s="580">
        <f t="shared" si="211"/>
        <v>5</v>
      </c>
      <c r="AE2281" s="580">
        <f t="shared" si="212"/>
        <v>2.5</v>
      </c>
      <c r="AF2281" s="580">
        <f t="shared" si="213"/>
        <v>2.5</v>
      </c>
      <c r="AG2281" s="580">
        <f t="shared" si="214"/>
        <v>0</v>
      </c>
      <c r="AH2281" s="580">
        <f t="shared" si="215"/>
        <v>0</v>
      </c>
    </row>
    <row r="2282" spans="28:34">
      <c r="AB2282" s="580">
        <f>HLOOKUP("*"&amp;'Output annual'!$AC$2&amp;'Output annual'!$AD$2&amp;"*Zone People Number Of Occupants [](Hourly)",'Eplus results'!$1:$1048576,ROW(),FALSE)</f>
        <v>0</v>
      </c>
      <c r="AC2282" s="580">
        <f>HLOOKUP("*"&amp;'Output annual'!$AC$2&amp;'Output annual'!$AD$2&amp;"*FangerPMV(Hourly)",'Eplus results'!$1:$1048576,ROW(),FALSE)</f>
        <v>0</v>
      </c>
      <c r="AD2282" s="580">
        <f t="shared" si="211"/>
        <v>5</v>
      </c>
      <c r="AE2282" s="580">
        <f t="shared" si="212"/>
        <v>2.5</v>
      </c>
      <c r="AF2282" s="580">
        <f t="shared" si="213"/>
        <v>2.5</v>
      </c>
      <c r="AG2282" s="580">
        <f t="shared" si="214"/>
        <v>0</v>
      </c>
      <c r="AH2282" s="580">
        <f t="shared" si="215"/>
        <v>0</v>
      </c>
    </row>
    <row r="2283" spans="28:34">
      <c r="AB2283" s="580">
        <f>HLOOKUP("*"&amp;'Output annual'!$AC$2&amp;'Output annual'!$AD$2&amp;"*Zone People Number Of Occupants [](Hourly)",'Eplus results'!$1:$1048576,ROW(),FALSE)</f>
        <v>0</v>
      </c>
      <c r="AC2283" s="580">
        <f>HLOOKUP("*"&amp;'Output annual'!$AC$2&amp;'Output annual'!$AD$2&amp;"*FangerPMV(Hourly)",'Eplus results'!$1:$1048576,ROW(),FALSE)</f>
        <v>0</v>
      </c>
      <c r="AD2283" s="580">
        <f t="shared" si="211"/>
        <v>5</v>
      </c>
      <c r="AE2283" s="580">
        <f t="shared" si="212"/>
        <v>2.5</v>
      </c>
      <c r="AF2283" s="580">
        <f t="shared" si="213"/>
        <v>2.5</v>
      </c>
      <c r="AG2283" s="580">
        <f t="shared" si="214"/>
        <v>0</v>
      </c>
      <c r="AH2283" s="580">
        <f t="shared" si="215"/>
        <v>0</v>
      </c>
    </row>
    <row r="2284" spans="28:34">
      <c r="AB2284" s="580">
        <f>HLOOKUP("*"&amp;'Output annual'!$AC$2&amp;'Output annual'!$AD$2&amp;"*Zone People Number Of Occupants [](Hourly)",'Eplus results'!$1:$1048576,ROW(),FALSE)</f>
        <v>0</v>
      </c>
      <c r="AC2284" s="580">
        <f>HLOOKUP("*"&amp;'Output annual'!$AC$2&amp;'Output annual'!$AD$2&amp;"*FangerPMV(Hourly)",'Eplus results'!$1:$1048576,ROW(),FALSE)</f>
        <v>0</v>
      </c>
      <c r="AD2284" s="580">
        <f t="shared" si="211"/>
        <v>5</v>
      </c>
      <c r="AE2284" s="580">
        <f t="shared" si="212"/>
        <v>2.5</v>
      </c>
      <c r="AF2284" s="580">
        <f t="shared" si="213"/>
        <v>2.5</v>
      </c>
      <c r="AG2284" s="580">
        <f t="shared" si="214"/>
        <v>0</v>
      </c>
      <c r="AH2284" s="580">
        <f t="shared" si="215"/>
        <v>0</v>
      </c>
    </row>
    <row r="2285" spans="28:34">
      <c r="AB2285" s="580">
        <f>HLOOKUP("*"&amp;'Output annual'!$AC$2&amp;'Output annual'!$AD$2&amp;"*Zone People Number Of Occupants [](Hourly)",'Eplus results'!$1:$1048576,ROW(),FALSE)</f>
        <v>0</v>
      </c>
      <c r="AC2285" s="580">
        <f>HLOOKUP("*"&amp;'Output annual'!$AC$2&amp;'Output annual'!$AD$2&amp;"*FangerPMV(Hourly)",'Eplus results'!$1:$1048576,ROW(),FALSE)</f>
        <v>0</v>
      </c>
      <c r="AD2285" s="580">
        <f t="shared" si="211"/>
        <v>5</v>
      </c>
      <c r="AE2285" s="580">
        <f t="shared" si="212"/>
        <v>2.5</v>
      </c>
      <c r="AF2285" s="580">
        <f t="shared" si="213"/>
        <v>2.5</v>
      </c>
      <c r="AG2285" s="580">
        <f t="shared" si="214"/>
        <v>0</v>
      </c>
      <c r="AH2285" s="580">
        <f t="shared" si="215"/>
        <v>0</v>
      </c>
    </row>
    <row r="2286" spans="28:34">
      <c r="AB2286" s="580">
        <f>HLOOKUP("*"&amp;'Output annual'!$AC$2&amp;'Output annual'!$AD$2&amp;"*Zone People Number Of Occupants [](Hourly)",'Eplus results'!$1:$1048576,ROW(),FALSE)</f>
        <v>0</v>
      </c>
      <c r="AC2286" s="580">
        <f>HLOOKUP("*"&amp;'Output annual'!$AC$2&amp;'Output annual'!$AD$2&amp;"*FangerPMV(Hourly)",'Eplus results'!$1:$1048576,ROW(),FALSE)</f>
        <v>0</v>
      </c>
      <c r="AD2286" s="580">
        <f t="shared" si="211"/>
        <v>5</v>
      </c>
      <c r="AE2286" s="580">
        <f t="shared" si="212"/>
        <v>2.5</v>
      </c>
      <c r="AF2286" s="580">
        <f t="shared" si="213"/>
        <v>2.5</v>
      </c>
      <c r="AG2286" s="580">
        <f t="shared" si="214"/>
        <v>0</v>
      </c>
      <c r="AH2286" s="580">
        <f t="shared" si="215"/>
        <v>0</v>
      </c>
    </row>
    <row r="2287" spans="28:34">
      <c r="AB2287" s="580">
        <f>HLOOKUP("*"&amp;'Output annual'!$AC$2&amp;'Output annual'!$AD$2&amp;"*Zone People Number Of Occupants [](Hourly)",'Eplus results'!$1:$1048576,ROW(),FALSE)</f>
        <v>0</v>
      </c>
      <c r="AC2287" s="580">
        <f>HLOOKUP("*"&amp;'Output annual'!$AC$2&amp;'Output annual'!$AD$2&amp;"*FangerPMV(Hourly)",'Eplus results'!$1:$1048576,ROW(),FALSE)</f>
        <v>0</v>
      </c>
      <c r="AD2287" s="580">
        <f t="shared" si="211"/>
        <v>5</v>
      </c>
      <c r="AE2287" s="580">
        <f t="shared" si="212"/>
        <v>2.5</v>
      </c>
      <c r="AF2287" s="580">
        <f t="shared" si="213"/>
        <v>2.5</v>
      </c>
      <c r="AG2287" s="580">
        <f t="shared" si="214"/>
        <v>0</v>
      </c>
      <c r="AH2287" s="580">
        <f t="shared" si="215"/>
        <v>0</v>
      </c>
    </row>
    <row r="2288" spans="28:34">
      <c r="AB2288" s="580">
        <f>HLOOKUP("*"&amp;'Output annual'!$AC$2&amp;'Output annual'!$AD$2&amp;"*Zone People Number Of Occupants [](Hourly)",'Eplus results'!$1:$1048576,ROW(),FALSE)</f>
        <v>0</v>
      </c>
      <c r="AC2288" s="580">
        <f>HLOOKUP("*"&amp;'Output annual'!$AC$2&amp;'Output annual'!$AD$2&amp;"*FangerPMV(Hourly)",'Eplus results'!$1:$1048576,ROW(),FALSE)</f>
        <v>0</v>
      </c>
      <c r="AD2288" s="580">
        <f t="shared" si="211"/>
        <v>5</v>
      </c>
      <c r="AE2288" s="580">
        <f t="shared" si="212"/>
        <v>2.5</v>
      </c>
      <c r="AF2288" s="580">
        <f t="shared" si="213"/>
        <v>2.5</v>
      </c>
      <c r="AG2288" s="580">
        <f t="shared" si="214"/>
        <v>0</v>
      </c>
      <c r="AH2288" s="580">
        <f t="shared" si="215"/>
        <v>0</v>
      </c>
    </row>
    <row r="2289" spans="28:34">
      <c r="AB2289" s="580">
        <f>HLOOKUP("*"&amp;'Output annual'!$AC$2&amp;'Output annual'!$AD$2&amp;"*Zone People Number Of Occupants [](Hourly)",'Eplus results'!$1:$1048576,ROW(),FALSE)</f>
        <v>0</v>
      </c>
      <c r="AC2289" s="580">
        <f>HLOOKUP("*"&amp;'Output annual'!$AC$2&amp;'Output annual'!$AD$2&amp;"*FangerPMV(Hourly)",'Eplus results'!$1:$1048576,ROW(),FALSE)</f>
        <v>0</v>
      </c>
      <c r="AD2289" s="580">
        <f t="shared" si="211"/>
        <v>5</v>
      </c>
      <c r="AE2289" s="580">
        <f t="shared" si="212"/>
        <v>2.5</v>
      </c>
      <c r="AF2289" s="580">
        <f t="shared" si="213"/>
        <v>2.5</v>
      </c>
      <c r="AG2289" s="580">
        <f t="shared" si="214"/>
        <v>0</v>
      </c>
      <c r="AH2289" s="580">
        <f t="shared" si="215"/>
        <v>0</v>
      </c>
    </row>
    <row r="2290" spans="28:34">
      <c r="AB2290" s="580">
        <f>HLOOKUP("*"&amp;'Output annual'!$AC$2&amp;'Output annual'!$AD$2&amp;"*Zone People Number Of Occupants [](Hourly)",'Eplus results'!$1:$1048576,ROW(),FALSE)</f>
        <v>0</v>
      </c>
      <c r="AC2290" s="580">
        <f>HLOOKUP("*"&amp;'Output annual'!$AC$2&amp;'Output annual'!$AD$2&amp;"*FangerPMV(Hourly)",'Eplus results'!$1:$1048576,ROW(),FALSE)</f>
        <v>0</v>
      </c>
      <c r="AD2290" s="580">
        <f t="shared" si="211"/>
        <v>5</v>
      </c>
      <c r="AE2290" s="580">
        <f t="shared" si="212"/>
        <v>2.5</v>
      </c>
      <c r="AF2290" s="580">
        <f t="shared" si="213"/>
        <v>2.5</v>
      </c>
      <c r="AG2290" s="580">
        <f t="shared" si="214"/>
        <v>0</v>
      </c>
      <c r="AH2290" s="580">
        <f t="shared" si="215"/>
        <v>0</v>
      </c>
    </row>
    <row r="2291" spans="28:34">
      <c r="AB2291" s="580">
        <f>HLOOKUP("*"&amp;'Output annual'!$AC$2&amp;'Output annual'!$AD$2&amp;"*Zone People Number Of Occupants [](Hourly)",'Eplus results'!$1:$1048576,ROW(),FALSE)</f>
        <v>0</v>
      </c>
      <c r="AC2291" s="580">
        <f>HLOOKUP("*"&amp;'Output annual'!$AC$2&amp;'Output annual'!$AD$2&amp;"*FangerPMV(Hourly)",'Eplus results'!$1:$1048576,ROW(),FALSE)</f>
        <v>0</v>
      </c>
      <c r="AD2291" s="580">
        <f t="shared" si="211"/>
        <v>5</v>
      </c>
      <c r="AE2291" s="580">
        <f t="shared" si="212"/>
        <v>2.5</v>
      </c>
      <c r="AF2291" s="580">
        <f t="shared" si="213"/>
        <v>2.5</v>
      </c>
      <c r="AG2291" s="580">
        <f t="shared" si="214"/>
        <v>0</v>
      </c>
      <c r="AH2291" s="580">
        <f t="shared" si="215"/>
        <v>0</v>
      </c>
    </row>
    <row r="2292" spans="28:34">
      <c r="AB2292" s="580">
        <f>HLOOKUP("*"&amp;'Output annual'!$AC$2&amp;'Output annual'!$AD$2&amp;"*Zone People Number Of Occupants [](Hourly)",'Eplus results'!$1:$1048576,ROW(),FALSE)</f>
        <v>0</v>
      </c>
      <c r="AC2292" s="580">
        <f>HLOOKUP("*"&amp;'Output annual'!$AC$2&amp;'Output annual'!$AD$2&amp;"*FangerPMV(Hourly)",'Eplus results'!$1:$1048576,ROW(),FALSE)</f>
        <v>0</v>
      </c>
      <c r="AD2292" s="580">
        <f t="shared" si="211"/>
        <v>5</v>
      </c>
      <c r="AE2292" s="580">
        <f t="shared" si="212"/>
        <v>2.5</v>
      </c>
      <c r="AF2292" s="580">
        <f t="shared" si="213"/>
        <v>2.5</v>
      </c>
      <c r="AG2292" s="580">
        <f t="shared" si="214"/>
        <v>0</v>
      </c>
      <c r="AH2292" s="580">
        <f t="shared" si="215"/>
        <v>0</v>
      </c>
    </row>
    <row r="2293" spans="28:34">
      <c r="AB2293" s="580">
        <f>HLOOKUP("*"&amp;'Output annual'!$AC$2&amp;'Output annual'!$AD$2&amp;"*Zone People Number Of Occupants [](Hourly)",'Eplus results'!$1:$1048576,ROW(),FALSE)</f>
        <v>0</v>
      </c>
      <c r="AC2293" s="580">
        <f>HLOOKUP("*"&amp;'Output annual'!$AC$2&amp;'Output annual'!$AD$2&amp;"*FangerPMV(Hourly)",'Eplus results'!$1:$1048576,ROW(),FALSE)</f>
        <v>0</v>
      </c>
      <c r="AD2293" s="580">
        <f t="shared" si="211"/>
        <v>5</v>
      </c>
      <c r="AE2293" s="580">
        <f t="shared" si="212"/>
        <v>2.5</v>
      </c>
      <c r="AF2293" s="580">
        <f t="shared" si="213"/>
        <v>2.5</v>
      </c>
      <c r="AG2293" s="580">
        <f t="shared" si="214"/>
        <v>0</v>
      </c>
      <c r="AH2293" s="580">
        <f t="shared" si="215"/>
        <v>0</v>
      </c>
    </row>
    <row r="2294" spans="28:34">
      <c r="AB2294" s="580">
        <f>HLOOKUP("*"&amp;'Output annual'!$AC$2&amp;'Output annual'!$AD$2&amp;"*Zone People Number Of Occupants [](Hourly)",'Eplus results'!$1:$1048576,ROW(),FALSE)</f>
        <v>0</v>
      </c>
      <c r="AC2294" s="580">
        <f>HLOOKUP("*"&amp;'Output annual'!$AC$2&amp;'Output annual'!$AD$2&amp;"*FangerPMV(Hourly)",'Eplus results'!$1:$1048576,ROW(),FALSE)</f>
        <v>0</v>
      </c>
      <c r="AD2294" s="580">
        <f t="shared" si="211"/>
        <v>5</v>
      </c>
      <c r="AE2294" s="580">
        <f t="shared" si="212"/>
        <v>2.5</v>
      </c>
      <c r="AF2294" s="580">
        <f t="shared" si="213"/>
        <v>2.5</v>
      </c>
      <c r="AG2294" s="580">
        <f t="shared" si="214"/>
        <v>0</v>
      </c>
      <c r="AH2294" s="580">
        <f t="shared" si="215"/>
        <v>0</v>
      </c>
    </row>
    <row r="2295" spans="28:34">
      <c r="AB2295" s="580">
        <f>HLOOKUP("*"&amp;'Output annual'!$AC$2&amp;'Output annual'!$AD$2&amp;"*Zone People Number Of Occupants [](Hourly)",'Eplus results'!$1:$1048576,ROW(),FALSE)</f>
        <v>0</v>
      </c>
      <c r="AC2295" s="580">
        <f>HLOOKUP("*"&amp;'Output annual'!$AC$2&amp;'Output annual'!$AD$2&amp;"*FangerPMV(Hourly)",'Eplus results'!$1:$1048576,ROW(),FALSE)</f>
        <v>0</v>
      </c>
      <c r="AD2295" s="580">
        <f t="shared" si="211"/>
        <v>5</v>
      </c>
      <c r="AE2295" s="580">
        <f t="shared" si="212"/>
        <v>2.5</v>
      </c>
      <c r="AF2295" s="580">
        <f t="shared" si="213"/>
        <v>2.5</v>
      </c>
      <c r="AG2295" s="580">
        <f t="shared" si="214"/>
        <v>0</v>
      </c>
      <c r="AH2295" s="580">
        <f t="shared" si="215"/>
        <v>0</v>
      </c>
    </row>
    <row r="2296" spans="28:34">
      <c r="AB2296" s="580">
        <f>HLOOKUP("*"&amp;'Output annual'!$AC$2&amp;'Output annual'!$AD$2&amp;"*Zone People Number Of Occupants [](Hourly)",'Eplus results'!$1:$1048576,ROW(),FALSE)</f>
        <v>0</v>
      </c>
      <c r="AC2296" s="580">
        <f>HLOOKUP("*"&amp;'Output annual'!$AC$2&amp;'Output annual'!$AD$2&amp;"*FangerPMV(Hourly)",'Eplus results'!$1:$1048576,ROW(),FALSE)</f>
        <v>0</v>
      </c>
      <c r="AD2296" s="580">
        <f t="shared" si="211"/>
        <v>5</v>
      </c>
      <c r="AE2296" s="580">
        <f t="shared" si="212"/>
        <v>2.5</v>
      </c>
      <c r="AF2296" s="580">
        <f t="shared" si="213"/>
        <v>2.5</v>
      </c>
      <c r="AG2296" s="580">
        <f t="shared" si="214"/>
        <v>0</v>
      </c>
      <c r="AH2296" s="580">
        <f t="shared" si="215"/>
        <v>0</v>
      </c>
    </row>
    <row r="2297" spans="28:34">
      <c r="AB2297" s="580">
        <f>HLOOKUP("*"&amp;'Output annual'!$AC$2&amp;'Output annual'!$AD$2&amp;"*Zone People Number Of Occupants [](Hourly)",'Eplus results'!$1:$1048576,ROW(),FALSE)</f>
        <v>0</v>
      </c>
      <c r="AC2297" s="580">
        <f>HLOOKUP("*"&amp;'Output annual'!$AC$2&amp;'Output annual'!$AD$2&amp;"*FangerPMV(Hourly)",'Eplus results'!$1:$1048576,ROW(),FALSE)</f>
        <v>0</v>
      </c>
      <c r="AD2297" s="580">
        <f t="shared" si="211"/>
        <v>5</v>
      </c>
      <c r="AE2297" s="580">
        <f t="shared" si="212"/>
        <v>2.5</v>
      </c>
      <c r="AF2297" s="580">
        <f t="shared" si="213"/>
        <v>2.5</v>
      </c>
      <c r="AG2297" s="580">
        <f t="shared" si="214"/>
        <v>0</v>
      </c>
      <c r="AH2297" s="580">
        <f t="shared" si="215"/>
        <v>0</v>
      </c>
    </row>
    <row r="2298" spans="28:34">
      <c r="AB2298" s="580">
        <f>HLOOKUP("*"&amp;'Output annual'!$AC$2&amp;'Output annual'!$AD$2&amp;"*Zone People Number Of Occupants [](Hourly)",'Eplus results'!$1:$1048576,ROW(),FALSE)</f>
        <v>0</v>
      </c>
      <c r="AC2298" s="580">
        <f>HLOOKUP("*"&amp;'Output annual'!$AC$2&amp;'Output annual'!$AD$2&amp;"*FangerPMV(Hourly)",'Eplus results'!$1:$1048576,ROW(),FALSE)</f>
        <v>0</v>
      </c>
      <c r="AD2298" s="580">
        <f t="shared" si="211"/>
        <v>5</v>
      </c>
      <c r="AE2298" s="580">
        <f t="shared" si="212"/>
        <v>2.5</v>
      </c>
      <c r="AF2298" s="580">
        <f t="shared" si="213"/>
        <v>2.5</v>
      </c>
      <c r="AG2298" s="580">
        <f t="shared" si="214"/>
        <v>0</v>
      </c>
      <c r="AH2298" s="580">
        <f t="shared" si="215"/>
        <v>0</v>
      </c>
    </row>
    <row r="2299" spans="28:34">
      <c r="AB2299" s="580">
        <f>HLOOKUP("*"&amp;'Output annual'!$AC$2&amp;'Output annual'!$AD$2&amp;"*Zone People Number Of Occupants [](Hourly)",'Eplus results'!$1:$1048576,ROW(),FALSE)</f>
        <v>0</v>
      </c>
      <c r="AC2299" s="580">
        <f>HLOOKUP("*"&amp;'Output annual'!$AC$2&amp;'Output annual'!$AD$2&amp;"*FangerPMV(Hourly)",'Eplus results'!$1:$1048576,ROW(),FALSE)</f>
        <v>0</v>
      </c>
      <c r="AD2299" s="580">
        <f t="shared" si="211"/>
        <v>5</v>
      </c>
      <c r="AE2299" s="580">
        <f t="shared" si="212"/>
        <v>2.5</v>
      </c>
      <c r="AF2299" s="580">
        <f t="shared" si="213"/>
        <v>2.5</v>
      </c>
      <c r="AG2299" s="580">
        <f t="shared" si="214"/>
        <v>0</v>
      </c>
      <c r="AH2299" s="580">
        <f t="shared" si="215"/>
        <v>0</v>
      </c>
    </row>
    <row r="2300" spans="28:34">
      <c r="AB2300" s="580">
        <f>HLOOKUP("*"&amp;'Output annual'!$AC$2&amp;'Output annual'!$AD$2&amp;"*Zone People Number Of Occupants [](Hourly)",'Eplus results'!$1:$1048576,ROW(),FALSE)</f>
        <v>0</v>
      </c>
      <c r="AC2300" s="580">
        <f>HLOOKUP("*"&amp;'Output annual'!$AC$2&amp;'Output annual'!$AD$2&amp;"*FangerPMV(Hourly)",'Eplus results'!$1:$1048576,ROW(),FALSE)</f>
        <v>0</v>
      </c>
      <c r="AD2300" s="580">
        <f t="shared" si="211"/>
        <v>5</v>
      </c>
      <c r="AE2300" s="580">
        <f t="shared" si="212"/>
        <v>2.5</v>
      </c>
      <c r="AF2300" s="580">
        <f t="shared" si="213"/>
        <v>2.5</v>
      </c>
      <c r="AG2300" s="580">
        <f t="shared" si="214"/>
        <v>0</v>
      </c>
      <c r="AH2300" s="580">
        <f t="shared" si="215"/>
        <v>0</v>
      </c>
    </row>
    <row r="2301" spans="28:34">
      <c r="AB2301" s="580">
        <f>HLOOKUP("*"&amp;'Output annual'!$AC$2&amp;'Output annual'!$AD$2&amp;"*Zone People Number Of Occupants [](Hourly)",'Eplus results'!$1:$1048576,ROW(),FALSE)</f>
        <v>0</v>
      </c>
      <c r="AC2301" s="580">
        <f>HLOOKUP("*"&amp;'Output annual'!$AC$2&amp;'Output annual'!$AD$2&amp;"*FangerPMV(Hourly)",'Eplus results'!$1:$1048576,ROW(),FALSE)</f>
        <v>0</v>
      </c>
      <c r="AD2301" s="580">
        <f t="shared" si="211"/>
        <v>5</v>
      </c>
      <c r="AE2301" s="580">
        <f t="shared" si="212"/>
        <v>2.5</v>
      </c>
      <c r="AF2301" s="580">
        <f t="shared" si="213"/>
        <v>2.5</v>
      </c>
      <c r="AG2301" s="580">
        <f t="shared" si="214"/>
        <v>0</v>
      </c>
      <c r="AH2301" s="580">
        <f t="shared" si="215"/>
        <v>0</v>
      </c>
    </row>
    <row r="2302" spans="28:34">
      <c r="AB2302" s="580">
        <f>HLOOKUP("*"&amp;'Output annual'!$AC$2&amp;'Output annual'!$AD$2&amp;"*Zone People Number Of Occupants [](Hourly)",'Eplus results'!$1:$1048576,ROW(),FALSE)</f>
        <v>0</v>
      </c>
      <c r="AC2302" s="580">
        <f>HLOOKUP("*"&amp;'Output annual'!$AC$2&amp;'Output annual'!$AD$2&amp;"*FangerPMV(Hourly)",'Eplus results'!$1:$1048576,ROW(),FALSE)</f>
        <v>0</v>
      </c>
      <c r="AD2302" s="580">
        <f t="shared" si="211"/>
        <v>5</v>
      </c>
      <c r="AE2302" s="580">
        <f t="shared" si="212"/>
        <v>2.5</v>
      </c>
      <c r="AF2302" s="580">
        <f t="shared" si="213"/>
        <v>2.5</v>
      </c>
      <c r="AG2302" s="580">
        <f t="shared" si="214"/>
        <v>0</v>
      </c>
      <c r="AH2302" s="580">
        <f t="shared" si="215"/>
        <v>0</v>
      </c>
    </row>
    <row r="2303" spans="28:34">
      <c r="AB2303" s="580">
        <f>HLOOKUP("*"&amp;'Output annual'!$AC$2&amp;'Output annual'!$AD$2&amp;"*Zone People Number Of Occupants [](Hourly)",'Eplus results'!$1:$1048576,ROW(),FALSE)</f>
        <v>0</v>
      </c>
      <c r="AC2303" s="580">
        <f>HLOOKUP("*"&amp;'Output annual'!$AC$2&amp;'Output annual'!$AD$2&amp;"*FangerPMV(Hourly)",'Eplus results'!$1:$1048576,ROW(),FALSE)</f>
        <v>0</v>
      </c>
      <c r="AD2303" s="580">
        <f t="shared" si="211"/>
        <v>5</v>
      </c>
      <c r="AE2303" s="580">
        <f t="shared" si="212"/>
        <v>2.5</v>
      </c>
      <c r="AF2303" s="580">
        <f t="shared" si="213"/>
        <v>2.5</v>
      </c>
      <c r="AG2303" s="580">
        <f t="shared" si="214"/>
        <v>0</v>
      </c>
      <c r="AH2303" s="580">
        <f t="shared" si="215"/>
        <v>0</v>
      </c>
    </row>
    <row r="2304" spans="28:34">
      <c r="AB2304" s="580">
        <f>HLOOKUP("*"&amp;'Output annual'!$AC$2&amp;'Output annual'!$AD$2&amp;"*Zone People Number Of Occupants [](Hourly)",'Eplus results'!$1:$1048576,ROW(),FALSE)</f>
        <v>0</v>
      </c>
      <c r="AC2304" s="580">
        <f>HLOOKUP("*"&amp;'Output annual'!$AC$2&amp;'Output annual'!$AD$2&amp;"*FangerPMV(Hourly)",'Eplus results'!$1:$1048576,ROW(),FALSE)</f>
        <v>0</v>
      </c>
      <c r="AD2304" s="580">
        <f t="shared" si="211"/>
        <v>5</v>
      </c>
      <c r="AE2304" s="580">
        <f t="shared" si="212"/>
        <v>2.5</v>
      </c>
      <c r="AF2304" s="580">
        <f t="shared" si="213"/>
        <v>2.5</v>
      </c>
      <c r="AG2304" s="580">
        <f t="shared" si="214"/>
        <v>0</v>
      </c>
      <c r="AH2304" s="580">
        <f t="shared" si="215"/>
        <v>0</v>
      </c>
    </row>
    <row r="2305" spans="28:34">
      <c r="AB2305" s="580">
        <f>HLOOKUP("*"&amp;'Output annual'!$AC$2&amp;'Output annual'!$AD$2&amp;"*Zone People Number Of Occupants [](Hourly)",'Eplus results'!$1:$1048576,ROW(),FALSE)</f>
        <v>0</v>
      </c>
      <c r="AC2305" s="580">
        <f>HLOOKUP("*"&amp;'Output annual'!$AC$2&amp;'Output annual'!$AD$2&amp;"*FangerPMV(Hourly)",'Eplus results'!$1:$1048576,ROW(),FALSE)</f>
        <v>0</v>
      </c>
      <c r="AD2305" s="580">
        <f t="shared" si="211"/>
        <v>5</v>
      </c>
      <c r="AE2305" s="580">
        <f t="shared" si="212"/>
        <v>2.5</v>
      </c>
      <c r="AF2305" s="580">
        <f t="shared" si="213"/>
        <v>2.5</v>
      </c>
      <c r="AG2305" s="580">
        <f t="shared" si="214"/>
        <v>0</v>
      </c>
      <c r="AH2305" s="580">
        <f t="shared" si="215"/>
        <v>0</v>
      </c>
    </row>
    <row r="2306" spans="28:34">
      <c r="AB2306" s="580">
        <f>HLOOKUP("*"&amp;'Output annual'!$AC$2&amp;'Output annual'!$AD$2&amp;"*Zone People Number Of Occupants [](Hourly)",'Eplus results'!$1:$1048576,ROW(),FALSE)</f>
        <v>0</v>
      </c>
      <c r="AC2306" s="580">
        <f>HLOOKUP("*"&amp;'Output annual'!$AC$2&amp;'Output annual'!$AD$2&amp;"*FangerPMV(Hourly)",'Eplus results'!$1:$1048576,ROW(),FALSE)</f>
        <v>0</v>
      </c>
      <c r="AD2306" s="580">
        <f t="shared" si="211"/>
        <v>5</v>
      </c>
      <c r="AE2306" s="580">
        <f t="shared" si="212"/>
        <v>2.5</v>
      </c>
      <c r="AF2306" s="580">
        <f t="shared" si="213"/>
        <v>2.5</v>
      </c>
      <c r="AG2306" s="580">
        <f t="shared" si="214"/>
        <v>0</v>
      </c>
      <c r="AH2306" s="580">
        <f t="shared" si="215"/>
        <v>0</v>
      </c>
    </row>
    <row r="2307" spans="28:34">
      <c r="AB2307" s="580">
        <f>HLOOKUP("*"&amp;'Output annual'!$AC$2&amp;'Output annual'!$AD$2&amp;"*Zone People Number Of Occupants [](Hourly)",'Eplus results'!$1:$1048576,ROW(),FALSE)</f>
        <v>0</v>
      </c>
      <c r="AC2307" s="580">
        <f>HLOOKUP("*"&amp;'Output annual'!$AC$2&amp;'Output annual'!$AD$2&amp;"*FangerPMV(Hourly)",'Eplus results'!$1:$1048576,ROW(),FALSE)</f>
        <v>0</v>
      </c>
      <c r="AD2307" s="580">
        <f t="shared" ref="AD2307:AD2370" si="216">100-95*EXP(-0.03353*AC2307^4-0.2179*AC2307^2)</f>
        <v>5</v>
      </c>
      <c r="AE2307" s="580">
        <f t="shared" ref="AE2307:AE2370" si="217">AD2307*(1/(1+EXP(-6.3*$AC2307)))</f>
        <v>2.5</v>
      </c>
      <c r="AF2307" s="580">
        <f t="shared" ref="AF2307:AF2370" si="218">(AD2307-AE2307)</f>
        <v>2.5</v>
      </c>
      <c r="AG2307" s="580">
        <f t="shared" ref="AG2307:AG2370" si="219">AE2307*AB2307</f>
        <v>0</v>
      </c>
      <c r="AH2307" s="580">
        <f t="shared" ref="AH2307:AH2370" si="220">AF2307*AB2307</f>
        <v>0</v>
      </c>
    </row>
    <row r="2308" spans="28:34">
      <c r="AB2308" s="580">
        <f>HLOOKUP("*"&amp;'Output annual'!$AC$2&amp;'Output annual'!$AD$2&amp;"*Zone People Number Of Occupants [](Hourly)",'Eplus results'!$1:$1048576,ROW(),FALSE)</f>
        <v>0</v>
      </c>
      <c r="AC2308" s="580">
        <f>HLOOKUP("*"&amp;'Output annual'!$AC$2&amp;'Output annual'!$AD$2&amp;"*FangerPMV(Hourly)",'Eplus results'!$1:$1048576,ROW(),FALSE)</f>
        <v>0</v>
      </c>
      <c r="AD2308" s="580">
        <f t="shared" si="216"/>
        <v>5</v>
      </c>
      <c r="AE2308" s="580">
        <f t="shared" si="217"/>
        <v>2.5</v>
      </c>
      <c r="AF2308" s="580">
        <f t="shared" si="218"/>
        <v>2.5</v>
      </c>
      <c r="AG2308" s="580">
        <f t="shared" si="219"/>
        <v>0</v>
      </c>
      <c r="AH2308" s="580">
        <f t="shared" si="220"/>
        <v>0</v>
      </c>
    </row>
    <row r="2309" spans="28:34">
      <c r="AB2309" s="580">
        <f>HLOOKUP("*"&amp;'Output annual'!$AC$2&amp;'Output annual'!$AD$2&amp;"*Zone People Number Of Occupants [](Hourly)",'Eplus results'!$1:$1048576,ROW(),FALSE)</f>
        <v>0</v>
      </c>
      <c r="AC2309" s="580">
        <f>HLOOKUP("*"&amp;'Output annual'!$AC$2&amp;'Output annual'!$AD$2&amp;"*FangerPMV(Hourly)",'Eplus results'!$1:$1048576,ROW(),FALSE)</f>
        <v>0</v>
      </c>
      <c r="AD2309" s="580">
        <f t="shared" si="216"/>
        <v>5</v>
      </c>
      <c r="AE2309" s="580">
        <f t="shared" si="217"/>
        <v>2.5</v>
      </c>
      <c r="AF2309" s="580">
        <f t="shared" si="218"/>
        <v>2.5</v>
      </c>
      <c r="AG2309" s="580">
        <f t="shared" si="219"/>
        <v>0</v>
      </c>
      <c r="AH2309" s="580">
        <f t="shared" si="220"/>
        <v>0</v>
      </c>
    </row>
    <row r="2310" spans="28:34">
      <c r="AB2310" s="580">
        <f>HLOOKUP("*"&amp;'Output annual'!$AC$2&amp;'Output annual'!$AD$2&amp;"*Zone People Number Of Occupants [](Hourly)",'Eplus results'!$1:$1048576,ROW(),FALSE)</f>
        <v>0</v>
      </c>
      <c r="AC2310" s="580">
        <f>HLOOKUP("*"&amp;'Output annual'!$AC$2&amp;'Output annual'!$AD$2&amp;"*FangerPMV(Hourly)",'Eplus results'!$1:$1048576,ROW(),FALSE)</f>
        <v>0</v>
      </c>
      <c r="AD2310" s="580">
        <f t="shared" si="216"/>
        <v>5</v>
      </c>
      <c r="AE2310" s="580">
        <f t="shared" si="217"/>
        <v>2.5</v>
      </c>
      <c r="AF2310" s="580">
        <f t="shared" si="218"/>
        <v>2.5</v>
      </c>
      <c r="AG2310" s="580">
        <f t="shared" si="219"/>
        <v>0</v>
      </c>
      <c r="AH2310" s="580">
        <f t="shared" si="220"/>
        <v>0</v>
      </c>
    </row>
    <row r="2311" spans="28:34">
      <c r="AB2311" s="580">
        <f>HLOOKUP("*"&amp;'Output annual'!$AC$2&amp;'Output annual'!$AD$2&amp;"*Zone People Number Of Occupants [](Hourly)",'Eplus results'!$1:$1048576,ROW(),FALSE)</f>
        <v>0</v>
      </c>
      <c r="AC2311" s="580">
        <f>HLOOKUP("*"&amp;'Output annual'!$AC$2&amp;'Output annual'!$AD$2&amp;"*FangerPMV(Hourly)",'Eplus results'!$1:$1048576,ROW(),FALSE)</f>
        <v>0</v>
      </c>
      <c r="AD2311" s="580">
        <f t="shared" si="216"/>
        <v>5</v>
      </c>
      <c r="AE2311" s="580">
        <f t="shared" si="217"/>
        <v>2.5</v>
      </c>
      <c r="AF2311" s="580">
        <f t="shared" si="218"/>
        <v>2.5</v>
      </c>
      <c r="AG2311" s="580">
        <f t="shared" si="219"/>
        <v>0</v>
      </c>
      <c r="AH2311" s="580">
        <f t="shared" si="220"/>
        <v>0</v>
      </c>
    </row>
    <row r="2312" spans="28:34">
      <c r="AB2312" s="580">
        <f>HLOOKUP("*"&amp;'Output annual'!$AC$2&amp;'Output annual'!$AD$2&amp;"*Zone People Number Of Occupants [](Hourly)",'Eplus results'!$1:$1048576,ROW(),FALSE)</f>
        <v>0</v>
      </c>
      <c r="AC2312" s="580">
        <f>HLOOKUP("*"&amp;'Output annual'!$AC$2&amp;'Output annual'!$AD$2&amp;"*FangerPMV(Hourly)",'Eplus results'!$1:$1048576,ROW(),FALSE)</f>
        <v>0</v>
      </c>
      <c r="AD2312" s="580">
        <f t="shared" si="216"/>
        <v>5</v>
      </c>
      <c r="AE2312" s="580">
        <f t="shared" si="217"/>
        <v>2.5</v>
      </c>
      <c r="AF2312" s="580">
        <f t="shared" si="218"/>
        <v>2.5</v>
      </c>
      <c r="AG2312" s="580">
        <f t="shared" si="219"/>
        <v>0</v>
      </c>
      <c r="AH2312" s="580">
        <f t="shared" si="220"/>
        <v>0</v>
      </c>
    </row>
    <row r="2313" spans="28:34">
      <c r="AB2313" s="580">
        <f>HLOOKUP("*"&amp;'Output annual'!$AC$2&amp;'Output annual'!$AD$2&amp;"*Zone People Number Of Occupants [](Hourly)",'Eplus results'!$1:$1048576,ROW(),FALSE)</f>
        <v>0</v>
      </c>
      <c r="AC2313" s="580">
        <f>HLOOKUP("*"&amp;'Output annual'!$AC$2&amp;'Output annual'!$AD$2&amp;"*FangerPMV(Hourly)",'Eplus results'!$1:$1048576,ROW(),FALSE)</f>
        <v>0</v>
      </c>
      <c r="AD2313" s="580">
        <f t="shared" si="216"/>
        <v>5</v>
      </c>
      <c r="AE2313" s="580">
        <f t="shared" si="217"/>
        <v>2.5</v>
      </c>
      <c r="AF2313" s="580">
        <f t="shared" si="218"/>
        <v>2.5</v>
      </c>
      <c r="AG2313" s="580">
        <f t="shared" si="219"/>
        <v>0</v>
      </c>
      <c r="AH2313" s="580">
        <f t="shared" si="220"/>
        <v>0</v>
      </c>
    </row>
    <row r="2314" spans="28:34">
      <c r="AB2314" s="580">
        <f>HLOOKUP("*"&amp;'Output annual'!$AC$2&amp;'Output annual'!$AD$2&amp;"*Zone People Number Of Occupants [](Hourly)",'Eplus results'!$1:$1048576,ROW(),FALSE)</f>
        <v>0</v>
      </c>
      <c r="AC2314" s="580">
        <f>HLOOKUP("*"&amp;'Output annual'!$AC$2&amp;'Output annual'!$AD$2&amp;"*FangerPMV(Hourly)",'Eplus results'!$1:$1048576,ROW(),FALSE)</f>
        <v>0</v>
      </c>
      <c r="AD2314" s="580">
        <f t="shared" si="216"/>
        <v>5</v>
      </c>
      <c r="AE2314" s="580">
        <f t="shared" si="217"/>
        <v>2.5</v>
      </c>
      <c r="AF2314" s="580">
        <f t="shared" si="218"/>
        <v>2.5</v>
      </c>
      <c r="AG2314" s="580">
        <f t="shared" si="219"/>
        <v>0</v>
      </c>
      <c r="AH2314" s="580">
        <f t="shared" si="220"/>
        <v>0</v>
      </c>
    </row>
    <row r="2315" spans="28:34">
      <c r="AB2315" s="580">
        <f>HLOOKUP("*"&amp;'Output annual'!$AC$2&amp;'Output annual'!$AD$2&amp;"*Zone People Number Of Occupants [](Hourly)",'Eplus results'!$1:$1048576,ROW(),FALSE)</f>
        <v>0</v>
      </c>
      <c r="AC2315" s="580">
        <f>HLOOKUP("*"&amp;'Output annual'!$AC$2&amp;'Output annual'!$AD$2&amp;"*FangerPMV(Hourly)",'Eplus results'!$1:$1048576,ROW(),FALSE)</f>
        <v>0</v>
      </c>
      <c r="AD2315" s="580">
        <f t="shared" si="216"/>
        <v>5</v>
      </c>
      <c r="AE2315" s="580">
        <f t="shared" si="217"/>
        <v>2.5</v>
      </c>
      <c r="AF2315" s="580">
        <f t="shared" si="218"/>
        <v>2.5</v>
      </c>
      <c r="AG2315" s="580">
        <f t="shared" si="219"/>
        <v>0</v>
      </c>
      <c r="AH2315" s="580">
        <f t="shared" si="220"/>
        <v>0</v>
      </c>
    </row>
    <row r="2316" spans="28:34">
      <c r="AB2316" s="580">
        <f>HLOOKUP("*"&amp;'Output annual'!$AC$2&amp;'Output annual'!$AD$2&amp;"*Zone People Number Of Occupants [](Hourly)",'Eplus results'!$1:$1048576,ROW(),FALSE)</f>
        <v>0</v>
      </c>
      <c r="AC2316" s="580">
        <f>HLOOKUP("*"&amp;'Output annual'!$AC$2&amp;'Output annual'!$AD$2&amp;"*FangerPMV(Hourly)",'Eplus results'!$1:$1048576,ROW(),FALSE)</f>
        <v>0</v>
      </c>
      <c r="AD2316" s="580">
        <f t="shared" si="216"/>
        <v>5</v>
      </c>
      <c r="AE2316" s="580">
        <f t="shared" si="217"/>
        <v>2.5</v>
      </c>
      <c r="AF2316" s="580">
        <f t="shared" si="218"/>
        <v>2.5</v>
      </c>
      <c r="AG2316" s="580">
        <f t="shared" si="219"/>
        <v>0</v>
      </c>
      <c r="AH2316" s="580">
        <f t="shared" si="220"/>
        <v>0</v>
      </c>
    </row>
    <row r="2317" spans="28:34">
      <c r="AB2317" s="580">
        <f>HLOOKUP("*"&amp;'Output annual'!$AC$2&amp;'Output annual'!$AD$2&amp;"*Zone People Number Of Occupants [](Hourly)",'Eplus results'!$1:$1048576,ROW(),FALSE)</f>
        <v>0</v>
      </c>
      <c r="AC2317" s="580">
        <f>HLOOKUP("*"&amp;'Output annual'!$AC$2&amp;'Output annual'!$AD$2&amp;"*FangerPMV(Hourly)",'Eplus results'!$1:$1048576,ROW(),FALSE)</f>
        <v>0</v>
      </c>
      <c r="AD2317" s="580">
        <f t="shared" si="216"/>
        <v>5</v>
      </c>
      <c r="AE2317" s="580">
        <f t="shared" si="217"/>
        <v>2.5</v>
      </c>
      <c r="AF2317" s="580">
        <f t="shared" si="218"/>
        <v>2.5</v>
      </c>
      <c r="AG2317" s="580">
        <f t="shared" si="219"/>
        <v>0</v>
      </c>
      <c r="AH2317" s="580">
        <f t="shared" si="220"/>
        <v>0</v>
      </c>
    </row>
    <row r="2318" spans="28:34">
      <c r="AB2318" s="580">
        <f>HLOOKUP("*"&amp;'Output annual'!$AC$2&amp;'Output annual'!$AD$2&amp;"*Zone People Number Of Occupants [](Hourly)",'Eplus results'!$1:$1048576,ROW(),FALSE)</f>
        <v>0</v>
      </c>
      <c r="AC2318" s="580">
        <f>HLOOKUP("*"&amp;'Output annual'!$AC$2&amp;'Output annual'!$AD$2&amp;"*FangerPMV(Hourly)",'Eplus results'!$1:$1048576,ROW(),FALSE)</f>
        <v>0</v>
      </c>
      <c r="AD2318" s="580">
        <f t="shared" si="216"/>
        <v>5</v>
      </c>
      <c r="AE2318" s="580">
        <f t="shared" si="217"/>
        <v>2.5</v>
      </c>
      <c r="AF2318" s="580">
        <f t="shared" si="218"/>
        <v>2.5</v>
      </c>
      <c r="AG2318" s="580">
        <f t="shared" si="219"/>
        <v>0</v>
      </c>
      <c r="AH2318" s="580">
        <f t="shared" si="220"/>
        <v>0</v>
      </c>
    </row>
    <row r="2319" spans="28:34">
      <c r="AB2319" s="580">
        <f>HLOOKUP("*"&amp;'Output annual'!$AC$2&amp;'Output annual'!$AD$2&amp;"*Zone People Number Of Occupants [](Hourly)",'Eplus results'!$1:$1048576,ROW(),FALSE)</f>
        <v>0</v>
      </c>
      <c r="AC2319" s="580">
        <f>HLOOKUP("*"&amp;'Output annual'!$AC$2&amp;'Output annual'!$AD$2&amp;"*FangerPMV(Hourly)",'Eplus results'!$1:$1048576,ROW(),FALSE)</f>
        <v>0</v>
      </c>
      <c r="AD2319" s="580">
        <f t="shared" si="216"/>
        <v>5</v>
      </c>
      <c r="AE2319" s="580">
        <f t="shared" si="217"/>
        <v>2.5</v>
      </c>
      <c r="AF2319" s="580">
        <f t="shared" si="218"/>
        <v>2.5</v>
      </c>
      <c r="AG2319" s="580">
        <f t="shared" si="219"/>
        <v>0</v>
      </c>
      <c r="AH2319" s="580">
        <f t="shared" si="220"/>
        <v>0</v>
      </c>
    </row>
    <row r="2320" spans="28:34">
      <c r="AB2320" s="580">
        <f>HLOOKUP("*"&amp;'Output annual'!$AC$2&amp;'Output annual'!$AD$2&amp;"*Zone People Number Of Occupants [](Hourly)",'Eplus results'!$1:$1048576,ROW(),FALSE)</f>
        <v>0</v>
      </c>
      <c r="AC2320" s="580">
        <f>HLOOKUP("*"&amp;'Output annual'!$AC$2&amp;'Output annual'!$AD$2&amp;"*FangerPMV(Hourly)",'Eplus results'!$1:$1048576,ROW(),FALSE)</f>
        <v>0</v>
      </c>
      <c r="AD2320" s="580">
        <f t="shared" si="216"/>
        <v>5</v>
      </c>
      <c r="AE2320" s="580">
        <f t="shared" si="217"/>
        <v>2.5</v>
      </c>
      <c r="AF2320" s="580">
        <f t="shared" si="218"/>
        <v>2.5</v>
      </c>
      <c r="AG2320" s="580">
        <f t="shared" si="219"/>
        <v>0</v>
      </c>
      <c r="AH2320" s="580">
        <f t="shared" si="220"/>
        <v>0</v>
      </c>
    </row>
    <row r="2321" spans="28:34">
      <c r="AB2321" s="580">
        <f>HLOOKUP("*"&amp;'Output annual'!$AC$2&amp;'Output annual'!$AD$2&amp;"*Zone People Number Of Occupants [](Hourly)",'Eplus results'!$1:$1048576,ROW(),FALSE)</f>
        <v>0</v>
      </c>
      <c r="AC2321" s="580">
        <f>HLOOKUP("*"&amp;'Output annual'!$AC$2&amp;'Output annual'!$AD$2&amp;"*FangerPMV(Hourly)",'Eplus results'!$1:$1048576,ROW(),FALSE)</f>
        <v>0</v>
      </c>
      <c r="AD2321" s="580">
        <f t="shared" si="216"/>
        <v>5</v>
      </c>
      <c r="AE2321" s="580">
        <f t="shared" si="217"/>
        <v>2.5</v>
      </c>
      <c r="AF2321" s="580">
        <f t="shared" si="218"/>
        <v>2.5</v>
      </c>
      <c r="AG2321" s="580">
        <f t="shared" si="219"/>
        <v>0</v>
      </c>
      <c r="AH2321" s="580">
        <f t="shared" si="220"/>
        <v>0</v>
      </c>
    </row>
    <row r="2322" spans="28:34">
      <c r="AB2322" s="580">
        <f>HLOOKUP("*"&amp;'Output annual'!$AC$2&amp;'Output annual'!$AD$2&amp;"*Zone People Number Of Occupants [](Hourly)",'Eplus results'!$1:$1048576,ROW(),FALSE)</f>
        <v>0</v>
      </c>
      <c r="AC2322" s="580">
        <f>HLOOKUP("*"&amp;'Output annual'!$AC$2&amp;'Output annual'!$AD$2&amp;"*FangerPMV(Hourly)",'Eplus results'!$1:$1048576,ROW(),FALSE)</f>
        <v>0</v>
      </c>
      <c r="AD2322" s="580">
        <f t="shared" si="216"/>
        <v>5</v>
      </c>
      <c r="AE2322" s="580">
        <f t="shared" si="217"/>
        <v>2.5</v>
      </c>
      <c r="AF2322" s="580">
        <f t="shared" si="218"/>
        <v>2.5</v>
      </c>
      <c r="AG2322" s="580">
        <f t="shared" si="219"/>
        <v>0</v>
      </c>
      <c r="AH2322" s="580">
        <f t="shared" si="220"/>
        <v>0</v>
      </c>
    </row>
    <row r="2323" spans="28:34">
      <c r="AB2323" s="580">
        <f>HLOOKUP("*"&amp;'Output annual'!$AC$2&amp;'Output annual'!$AD$2&amp;"*Zone People Number Of Occupants [](Hourly)",'Eplus results'!$1:$1048576,ROW(),FALSE)</f>
        <v>0</v>
      </c>
      <c r="AC2323" s="580">
        <f>HLOOKUP("*"&amp;'Output annual'!$AC$2&amp;'Output annual'!$AD$2&amp;"*FangerPMV(Hourly)",'Eplus results'!$1:$1048576,ROW(),FALSE)</f>
        <v>0</v>
      </c>
      <c r="AD2323" s="580">
        <f t="shared" si="216"/>
        <v>5</v>
      </c>
      <c r="AE2323" s="580">
        <f t="shared" si="217"/>
        <v>2.5</v>
      </c>
      <c r="AF2323" s="580">
        <f t="shared" si="218"/>
        <v>2.5</v>
      </c>
      <c r="AG2323" s="580">
        <f t="shared" si="219"/>
        <v>0</v>
      </c>
      <c r="AH2323" s="580">
        <f t="shared" si="220"/>
        <v>0</v>
      </c>
    </row>
    <row r="2324" spans="28:34">
      <c r="AB2324" s="580">
        <f>HLOOKUP("*"&amp;'Output annual'!$AC$2&amp;'Output annual'!$AD$2&amp;"*Zone People Number Of Occupants [](Hourly)",'Eplus results'!$1:$1048576,ROW(),FALSE)</f>
        <v>0</v>
      </c>
      <c r="AC2324" s="580">
        <f>HLOOKUP("*"&amp;'Output annual'!$AC$2&amp;'Output annual'!$AD$2&amp;"*FangerPMV(Hourly)",'Eplus results'!$1:$1048576,ROW(),FALSE)</f>
        <v>0</v>
      </c>
      <c r="AD2324" s="580">
        <f t="shared" si="216"/>
        <v>5</v>
      </c>
      <c r="AE2324" s="580">
        <f t="shared" si="217"/>
        <v>2.5</v>
      </c>
      <c r="AF2324" s="580">
        <f t="shared" si="218"/>
        <v>2.5</v>
      </c>
      <c r="AG2324" s="580">
        <f t="shared" si="219"/>
        <v>0</v>
      </c>
      <c r="AH2324" s="580">
        <f t="shared" si="220"/>
        <v>0</v>
      </c>
    </row>
    <row r="2325" spans="28:34">
      <c r="AB2325" s="580">
        <f>HLOOKUP("*"&amp;'Output annual'!$AC$2&amp;'Output annual'!$AD$2&amp;"*Zone People Number Of Occupants [](Hourly)",'Eplus results'!$1:$1048576,ROW(),FALSE)</f>
        <v>0</v>
      </c>
      <c r="AC2325" s="580">
        <f>HLOOKUP("*"&amp;'Output annual'!$AC$2&amp;'Output annual'!$AD$2&amp;"*FangerPMV(Hourly)",'Eplus results'!$1:$1048576,ROW(),FALSE)</f>
        <v>0</v>
      </c>
      <c r="AD2325" s="580">
        <f t="shared" si="216"/>
        <v>5</v>
      </c>
      <c r="AE2325" s="580">
        <f t="shared" si="217"/>
        <v>2.5</v>
      </c>
      <c r="AF2325" s="580">
        <f t="shared" si="218"/>
        <v>2.5</v>
      </c>
      <c r="AG2325" s="580">
        <f t="shared" si="219"/>
        <v>0</v>
      </c>
      <c r="AH2325" s="580">
        <f t="shared" si="220"/>
        <v>0</v>
      </c>
    </row>
    <row r="2326" spans="28:34">
      <c r="AB2326" s="580">
        <f>HLOOKUP("*"&amp;'Output annual'!$AC$2&amp;'Output annual'!$AD$2&amp;"*Zone People Number Of Occupants [](Hourly)",'Eplus results'!$1:$1048576,ROW(),FALSE)</f>
        <v>0</v>
      </c>
      <c r="AC2326" s="580">
        <f>HLOOKUP("*"&amp;'Output annual'!$AC$2&amp;'Output annual'!$AD$2&amp;"*FangerPMV(Hourly)",'Eplus results'!$1:$1048576,ROW(),FALSE)</f>
        <v>0</v>
      </c>
      <c r="AD2326" s="580">
        <f t="shared" si="216"/>
        <v>5</v>
      </c>
      <c r="AE2326" s="580">
        <f t="shared" si="217"/>
        <v>2.5</v>
      </c>
      <c r="AF2326" s="580">
        <f t="shared" si="218"/>
        <v>2.5</v>
      </c>
      <c r="AG2326" s="580">
        <f t="shared" si="219"/>
        <v>0</v>
      </c>
      <c r="AH2326" s="580">
        <f t="shared" si="220"/>
        <v>0</v>
      </c>
    </row>
    <row r="2327" spans="28:34">
      <c r="AB2327" s="580">
        <f>HLOOKUP("*"&amp;'Output annual'!$AC$2&amp;'Output annual'!$AD$2&amp;"*Zone People Number Of Occupants [](Hourly)",'Eplus results'!$1:$1048576,ROW(),FALSE)</f>
        <v>0</v>
      </c>
      <c r="AC2327" s="580">
        <f>HLOOKUP("*"&amp;'Output annual'!$AC$2&amp;'Output annual'!$AD$2&amp;"*FangerPMV(Hourly)",'Eplus results'!$1:$1048576,ROW(),FALSE)</f>
        <v>0</v>
      </c>
      <c r="AD2327" s="580">
        <f t="shared" si="216"/>
        <v>5</v>
      </c>
      <c r="AE2327" s="580">
        <f t="shared" si="217"/>
        <v>2.5</v>
      </c>
      <c r="AF2327" s="580">
        <f t="shared" si="218"/>
        <v>2.5</v>
      </c>
      <c r="AG2327" s="580">
        <f t="shared" si="219"/>
        <v>0</v>
      </c>
      <c r="AH2327" s="580">
        <f t="shared" si="220"/>
        <v>0</v>
      </c>
    </row>
    <row r="2328" spans="28:34">
      <c r="AB2328" s="580">
        <f>HLOOKUP("*"&amp;'Output annual'!$AC$2&amp;'Output annual'!$AD$2&amp;"*Zone People Number Of Occupants [](Hourly)",'Eplus results'!$1:$1048576,ROW(),FALSE)</f>
        <v>0</v>
      </c>
      <c r="AC2328" s="580">
        <f>HLOOKUP("*"&amp;'Output annual'!$AC$2&amp;'Output annual'!$AD$2&amp;"*FangerPMV(Hourly)",'Eplus results'!$1:$1048576,ROW(),FALSE)</f>
        <v>0</v>
      </c>
      <c r="AD2328" s="580">
        <f t="shared" si="216"/>
        <v>5</v>
      </c>
      <c r="AE2328" s="580">
        <f t="shared" si="217"/>
        <v>2.5</v>
      </c>
      <c r="AF2328" s="580">
        <f t="shared" si="218"/>
        <v>2.5</v>
      </c>
      <c r="AG2328" s="580">
        <f t="shared" si="219"/>
        <v>0</v>
      </c>
      <c r="AH2328" s="580">
        <f t="shared" si="220"/>
        <v>0</v>
      </c>
    </row>
    <row r="2329" spans="28:34">
      <c r="AB2329" s="580">
        <f>HLOOKUP("*"&amp;'Output annual'!$AC$2&amp;'Output annual'!$AD$2&amp;"*Zone People Number Of Occupants [](Hourly)",'Eplus results'!$1:$1048576,ROW(),FALSE)</f>
        <v>0</v>
      </c>
      <c r="AC2329" s="580">
        <f>HLOOKUP("*"&amp;'Output annual'!$AC$2&amp;'Output annual'!$AD$2&amp;"*FangerPMV(Hourly)",'Eplus results'!$1:$1048576,ROW(),FALSE)</f>
        <v>0</v>
      </c>
      <c r="AD2329" s="580">
        <f t="shared" si="216"/>
        <v>5</v>
      </c>
      <c r="AE2329" s="580">
        <f t="shared" si="217"/>
        <v>2.5</v>
      </c>
      <c r="AF2329" s="580">
        <f t="shared" si="218"/>
        <v>2.5</v>
      </c>
      <c r="AG2329" s="580">
        <f t="shared" si="219"/>
        <v>0</v>
      </c>
      <c r="AH2329" s="580">
        <f t="shared" si="220"/>
        <v>0</v>
      </c>
    </row>
    <row r="2330" spans="28:34">
      <c r="AB2330" s="580">
        <f>HLOOKUP("*"&amp;'Output annual'!$AC$2&amp;'Output annual'!$AD$2&amp;"*Zone People Number Of Occupants [](Hourly)",'Eplus results'!$1:$1048576,ROW(),FALSE)</f>
        <v>0</v>
      </c>
      <c r="AC2330" s="580">
        <f>HLOOKUP("*"&amp;'Output annual'!$AC$2&amp;'Output annual'!$AD$2&amp;"*FangerPMV(Hourly)",'Eplus results'!$1:$1048576,ROW(),FALSE)</f>
        <v>0</v>
      </c>
      <c r="AD2330" s="580">
        <f t="shared" si="216"/>
        <v>5</v>
      </c>
      <c r="AE2330" s="580">
        <f t="shared" si="217"/>
        <v>2.5</v>
      </c>
      <c r="AF2330" s="580">
        <f t="shared" si="218"/>
        <v>2.5</v>
      </c>
      <c r="AG2330" s="580">
        <f t="shared" si="219"/>
        <v>0</v>
      </c>
      <c r="AH2330" s="580">
        <f t="shared" si="220"/>
        <v>0</v>
      </c>
    </row>
    <row r="2331" spans="28:34">
      <c r="AB2331" s="580">
        <f>HLOOKUP("*"&amp;'Output annual'!$AC$2&amp;'Output annual'!$AD$2&amp;"*Zone People Number Of Occupants [](Hourly)",'Eplus results'!$1:$1048576,ROW(),FALSE)</f>
        <v>0</v>
      </c>
      <c r="AC2331" s="580">
        <f>HLOOKUP("*"&amp;'Output annual'!$AC$2&amp;'Output annual'!$AD$2&amp;"*FangerPMV(Hourly)",'Eplus results'!$1:$1048576,ROW(),FALSE)</f>
        <v>0</v>
      </c>
      <c r="AD2331" s="580">
        <f t="shared" si="216"/>
        <v>5</v>
      </c>
      <c r="AE2331" s="580">
        <f t="shared" si="217"/>
        <v>2.5</v>
      </c>
      <c r="AF2331" s="580">
        <f t="shared" si="218"/>
        <v>2.5</v>
      </c>
      <c r="AG2331" s="580">
        <f t="shared" si="219"/>
        <v>0</v>
      </c>
      <c r="AH2331" s="580">
        <f t="shared" si="220"/>
        <v>0</v>
      </c>
    </row>
    <row r="2332" spans="28:34">
      <c r="AB2332" s="580">
        <f>HLOOKUP("*"&amp;'Output annual'!$AC$2&amp;'Output annual'!$AD$2&amp;"*Zone People Number Of Occupants [](Hourly)",'Eplus results'!$1:$1048576,ROW(),FALSE)</f>
        <v>0</v>
      </c>
      <c r="AC2332" s="580">
        <f>HLOOKUP("*"&amp;'Output annual'!$AC$2&amp;'Output annual'!$AD$2&amp;"*FangerPMV(Hourly)",'Eplus results'!$1:$1048576,ROW(),FALSE)</f>
        <v>0</v>
      </c>
      <c r="AD2332" s="580">
        <f t="shared" si="216"/>
        <v>5</v>
      </c>
      <c r="AE2332" s="580">
        <f t="shared" si="217"/>
        <v>2.5</v>
      </c>
      <c r="AF2332" s="580">
        <f t="shared" si="218"/>
        <v>2.5</v>
      </c>
      <c r="AG2332" s="580">
        <f t="shared" si="219"/>
        <v>0</v>
      </c>
      <c r="AH2332" s="580">
        <f t="shared" si="220"/>
        <v>0</v>
      </c>
    </row>
    <row r="2333" spans="28:34">
      <c r="AB2333" s="580">
        <f>HLOOKUP("*"&amp;'Output annual'!$AC$2&amp;'Output annual'!$AD$2&amp;"*Zone People Number Of Occupants [](Hourly)",'Eplus results'!$1:$1048576,ROW(),FALSE)</f>
        <v>0</v>
      </c>
      <c r="AC2333" s="580">
        <f>HLOOKUP("*"&amp;'Output annual'!$AC$2&amp;'Output annual'!$AD$2&amp;"*FangerPMV(Hourly)",'Eplus results'!$1:$1048576,ROW(),FALSE)</f>
        <v>0</v>
      </c>
      <c r="AD2333" s="580">
        <f t="shared" si="216"/>
        <v>5</v>
      </c>
      <c r="AE2333" s="580">
        <f t="shared" si="217"/>
        <v>2.5</v>
      </c>
      <c r="AF2333" s="580">
        <f t="shared" si="218"/>
        <v>2.5</v>
      </c>
      <c r="AG2333" s="580">
        <f t="shared" si="219"/>
        <v>0</v>
      </c>
      <c r="AH2333" s="580">
        <f t="shared" si="220"/>
        <v>0</v>
      </c>
    </row>
    <row r="2334" spans="28:34">
      <c r="AB2334" s="580">
        <f>HLOOKUP("*"&amp;'Output annual'!$AC$2&amp;'Output annual'!$AD$2&amp;"*Zone People Number Of Occupants [](Hourly)",'Eplus results'!$1:$1048576,ROW(),FALSE)</f>
        <v>0</v>
      </c>
      <c r="AC2334" s="580">
        <f>HLOOKUP("*"&amp;'Output annual'!$AC$2&amp;'Output annual'!$AD$2&amp;"*FangerPMV(Hourly)",'Eplus results'!$1:$1048576,ROW(),FALSE)</f>
        <v>0</v>
      </c>
      <c r="AD2334" s="580">
        <f t="shared" si="216"/>
        <v>5</v>
      </c>
      <c r="AE2334" s="580">
        <f t="shared" si="217"/>
        <v>2.5</v>
      </c>
      <c r="AF2334" s="580">
        <f t="shared" si="218"/>
        <v>2.5</v>
      </c>
      <c r="AG2334" s="580">
        <f t="shared" si="219"/>
        <v>0</v>
      </c>
      <c r="AH2334" s="580">
        <f t="shared" si="220"/>
        <v>0</v>
      </c>
    </row>
    <row r="2335" spans="28:34">
      <c r="AB2335" s="580">
        <f>HLOOKUP("*"&amp;'Output annual'!$AC$2&amp;'Output annual'!$AD$2&amp;"*Zone People Number Of Occupants [](Hourly)",'Eplus results'!$1:$1048576,ROW(),FALSE)</f>
        <v>0</v>
      </c>
      <c r="AC2335" s="580">
        <f>HLOOKUP("*"&amp;'Output annual'!$AC$2&amp;'Output annual'!$AD$2&amp;"*FangerPMV(Hourly)",'Eplus results'!$1:$1048576,ROW(),FALSE)</f>
        <v>0</v>
      </c>
      <c r="AD2335" s="580">
        <f t="shared" si="216"/>
        <v>5</v>
      </c>
      <c r="AE2335" s="580">
        <f t="shared" si="217"/>
        <v>2.5</v>
      </c>
      <c r="AF2335" s="580">
        <f t="shared" si="218"/>
        <v>2.5</v>
      </c>
      <c r="AG2335" s="580">
        <f t="shared" si="219"/>
        <v>0</v>
      </c>
      <c r="AH2335" s="580">
        <f t="shared" si="220"/>
        <v>0</v>
      </c>
    </row>
    <row r="2336" spans="28:34">
      <c r="AB2336" s="580">
        <f>HLOOKUP("*"&amp;'Output annual'!$AC$2&amp;'Output annual'!$AD$2&amp;"*Zone People Number Of Occupants [](Hourly)",'Eplus results'!$1:$1048576,ROW(),FALSE)</f>
        <v>0</v>
      </c>
      <c r="AC2336" s="580">
        <f>HLOOKUP("*"&amp;'Output annual'!$AC$2&amp;'Output annual'!$AD$2&amp;"*FangerPMV(Hourly)",'Eplus results'!$1:$1048576,ROW(),FALSE)</f>
        <v>0</v>
      </c>
      <c r="AD2336" s="580">
        <f t="shared" si="216"/>
        <v>5</v>
      </c>
      <c r="AE2336" s="580">
        <f t="shared" si="217"/>
        <v>2.5</v>
      </c>
      <c r="AF2336" s="580">
        <f t="shared" si="218"/>
        <v>2.5</v>
      </c>
      <c r="AG2336" s="580">
        <f t="shared" si="219"/>
        <v>0</v>
      </c>
      <c r="AH2336" s="580">
        <f t="shared" si="220"/>
        <v>0</v>
      </c>
    </row>
    <row r="2337" spans="28:34">
      <c r="AB2337" s="580">
        <f>HLOOKUP("*"&amp;'Output annual'!$AC$2&amp;'Output annual'!$AD$2&amp;"*Zone People Number Of Occupants [](Hourly)",'Eplus results'!$1:$1048576,ROW(),FALSE)</f>
        <v>0</v>
      </c>
      <c r="AC2337" s="580">
        <f>HLOOKUP("*"&amp;'Output annual'!$AC$2&amp;'Output annual'!$AD$2&amp;"*FangerPMV(Hourly)",'Eplus results'!$1:$1048576,ROW(),FALSE)</f>
        <v>0</v>
      </c>
      <c r="AD2337" s="580">
        <f t="shared" si="216"/>
        <v>5</v>
      </c>
      <c r="AE2337" s="580">
        <f t="shared" si="217"/>
        <v>2.5</v>
      </c>
      <c r="AF2337" s="580">
        <f t="shared" si="218"/>
        <v>2.5</v>
      </c>
      <c r="AG2337" s="580">
        <f t="shared" si="219"/>
        <v>0</v>
      </c>
      <c r="AH2337" s="580">
        <f t="shared" si="220"/>
        <v>0</v>
      </c>
    </row>
    <row r="2338" spans="28:34">
      <c r="AB2338" s="580">
        <f>HLOOKUP("*"&amp;'Output annual'!$AC$2&amp;'Output annual'!$AD$2&amp;"*Zone People Number Of Occupants [](Hourly)",'Eplus results'!$1:$1048576,ROW(),FALSE)</f>
        <v>0</v>
      </c>
      <c r="AC2338" s="580">
        <f>HLOOKUP("*"&amp;'Output annual'!$AC$2&amp;'Output annual'!$AD$2&amp;"*FangerPMV(Hourly)",'Eplus results'!$1:$1048576,ROW(),FALSE)</f>
        <v>0</v>
      </c>
      <c r="AD2338" s="580">
        <f t="shared" si="216"/>
        <v>5</v>
      </c>
      <c r="AE2338" s="580">
        <f t="shared" si="217"/>
        <v>2.5</v>
      </c>
      <c r="AF2338" s="580">
        <f t="shared" si="218"/>
        <v>2.5</v>
      </c>
      <c r="AG2338" s="580">
        <f t="shared" si="219"/>
        <v>0</v>
      </c>
      <c r="AH2338" s="580">
        <f t="shared" si="220"/>
        <v>0</v>
      </c>
    </row>
    <row r="2339" spans="28:34">
      <c r="AB2339" s="580">
        <f>HLOOKUP("*"&amp;'Output annual'!$AC$2&amp;'Output annual'!$AD$2&amp;"*Zone People Number Of Occupants [](Hourly)",'Eplus results'!$1:$1048576,ROW(),FALSE)</f>
        <v>0</v>
      </c>
      <c r="AC2339" s="580">
        <f>HLOOKUP("*"&amp;'Output annual'!$AC$2&amp;'Output annual'!$AD$2&amp;"*FangerPMV(Hourly)",'Eplus results'!$1:$1048576,ROW(),FALSE)</f>
        <v>0</v>
      </c>
      <c r="AD2339" s="580">
        <f t="shared" si="216"/>
        <v>5</v>
      </c>
      <c r="AE2339" s="580">
        <f t="shared" si="217"/>
        <v>2.5</v>
      </c>
      <c r="AF2339" s="580">
        <f t="shared" si="218"/>
        <v>2.5</v>
      </c>
      <c r="AG2339" s="580">
        <f t="shared" si="219"/>
        <v>0</v>
      </c>
      <c r="AH2339" s="580">
        <f t="shared" si="220"/>
        <v>0</v>
      </c>
    </row>
    <row r="2340" spans="28:34">
      <c r="AB2340" s="580">
        <f>HLOOKUP("*"&amp;'Output annual'!$AC$2&amp;'Output annual'!$AD$2&amp;"*Zone People Number Of Occupants [](Hourly)",'Eplus results'!$1:$1048576,ROW(),FALSE)</f>
        <v>0</v>
      </c>
      <c r="AC2340" s="580">
        <f>HLOOKUP("*"&amp;'Output annual'!$AC$2&amp;'Output annual'!$AD$2&amp;"*FangerPMV(Hourly)",'Eplus results'!$1:$1048576,ROW(),FALSE)</f>
        <v>0</v>
      </c>
      <c r="AD2340" s="580">
        <f t="shared" si="216"/>
        <v>5</v>
      </c>
      <c r="AE2340" s="580">
        <f t="shared" si="217"/>
        <v>2.5</v>
      </c>
      <c r="AF2340" s="580">
        <f t="shared" si="218"/>
        <v>2.5</v>
      </c>
      <c r="AG2340" s="580">
        <f t="shared" si="219"/>
        <v>0</v>
      </c>
      <c r="AH2340" s="580">
        <f t="shared" si="220"/>
        <v>0</v>
      </c>
    </row>
    <row r="2341" spans="28:34">
      <c r="AB2341" s="580">
        <f>HLOOKUP("*"&amp;'Output annual'!$AC$2&amp;'Output annual'!$AD$2&amp;"*Zone People Number Of Occupants [](Hourly)",'Eplus results'!$1:$1048576,ROW(),FALSE)</f>
        <v>0</v>
      </c>
      <c r="AC2341" s="580">
        <f>HLOOKUP("*"&amp;'Output annual'!$AC$2&amp;'Output annual'!$AD$2&amp;"*FangerPMV(Hourly)",'Eplus results'!$1:$1048576,ROW(),FALSE)</f>
        <v>0</v>
      </c>
      <c r="AD2341" s="580">
        <f t="shared" si="216"/>
        <v>5</v>
      </c>
      <c r="AE2341" s="580">
        <f t="shared" si="217"/>
        <v>2.5</v>
      </c>
      <c r="AF2341" s="580">
        <f t="shared" si="218"/>
        <v>2.5</v>
      </c>
      <c r="AG2341" s="580">
        <f t="shared" si="219"/>
        <v>0</v>
      </c>
      <c r="AH2341" s="580">
        <f t="shared" si="220"/>
        <v>0</v>
      </c>
    </row>
    <row r="2342" spans="28:34">
      <c r="AB2342" s="580">
        <f>HLOOKUP("*"&amp;'Output annual'!$AC$2&amp;'Output annual'!$AD$2&amp;"*Zone People Number Of Occupants [](Hourly)",'Eplus results'!$1:$1048576,ROW(),FALSE)</f>
        <v>0</v>
      </c>
      <c r="AC2342" s="580">
        <f>HLOOKUP("*"&amp;'Output annual'!$AC$2&amp;'Output annual'!$AD$2&amp;"*FangerPMV(Hourly)",'Eplus results'!$1:$1048576,ROW(),FALSE)</f>
        <v>0</v>
      </c>
      <c r="AD2342" s="580">
        <f t="shared" si="216"/>
        <v>5</v>
      </c>
      <c r="AE2342" s="580">
        <f t="shared" si="217"/>
        <v>2.5</v>
      </c>
      <c r="AF2342" s="580">
        <f t="shared" si="218"/>
        <v>2.5</v>
      </c>
      <c r="AG2342" s="580">
        <f t="shared" si="219"/>
        <v>0</v>
      </c>
      <c r="AH2342" s="580">
        <f t="shared" si="220"/>
        <v>0</v>
      </c>
    </row>
    <row r="2343" spans="28:34">
      <c r="AB2343" s="580">
        <f>HLOOKUP("*"&amp;'Output annual'!$AC$2&amp;'Output annual'!$AD$2&amp;"*Zone People Number Of Occupants [](Hourly)",'Eplus results'!$1:$1048576,ROW(),FALSE)</f>
        <v>0</v>
      </c>
      <c r="AC2343" s="580">
        <f>HLOOKUP("*"&amp;'Output annual'!$AC$2&amp;'Output annual'!$AD$2&amp;"*FangerPMV(Hourly)",'Eplus results'!$1:$1048576,ROW(),FALSE)</f>
        <v>0</v>
      </c>
      <c r="AD2343" s="580">
        <f t="shared" si="216"/>
        <v>5</v>
      </c>
      <c r="AE2343" s="580">
        <f t="shared" si="217"/>
        <v>2.5</v>
      </c>
      <c r="AF2343" s="580">
        <f t="shared" si="218"/>
        <v>2.5</v>
      </c>
      <c r="AG2343" s="580">
        <f t="shared" si="219"/>
        <v>0</v>
      </c>
      <c r="AH2343" s="580">
        <f t="shared" si="220"/>
        <v>0</v>
      </c>
    </row>
    <row r="2344" spans="28:34">
      <c r="AB2344" s="580">
        <f>HLOOKUP("*"&amp;'Output annual'!$AC$2&amp;'Output annual'!$AD$2&amp;"*Zone People Number Of Occupants [](Hourly)",'Eplus results'!$1:$1048576,ROW(),FALSE)</f>
        <v>0</v>
      </c>
      <c r="AC2344" s="580">
        <f>HLOOKUP("*"&amp;'Output annual'!$AC$2&amp;'Output annual'!$AD$2&amp;"*FangerPMV(Hourly)",'Eplus results'!$1:$1048576,ROW(),FALSE)</f>
        <v>0</v>
      </c>
      <c r="AD2344" s="580">
        <f t="shared" si="216"/>
        <v>5</v>
      </c>
      <c r="AE2344" s="580">
        <f t="shared" si="217"/>
        <v>2.5</v>
      </c>
      <c r="AF2344" s="580">
        <f t="shared" si="218"/>
        <v>2.5</v>
      </c>
      <c r="AG2344" s="580">
        <f t="shared" si="219"/>
        <v>0</v>
      </c>
      <c r="AH2344" s="580">
        <f t="shared" si="220"/>
        <v>0</v>
      </c>
    </row>
    <row r="2345" spans="28:34">
      <c r="AB2345" s="580">
        <f>HLOOKUP("*"&amp;'Output annual'!$AC$2&amp;'Output annual'!$AD$2&amp;"*Zone People Number Of Occupants [](Hourly)",'Eplus results'!$1:$1048576,ROW(),FALSE)</f>
        <v>0</v>
      </c>
      <c r="AC2345" s="580">
        <f>HLOOKUP("*"&amp;'Output annual'!$AC$2&amp;'Output annual'!$AD$2&amp;"*FangerPMV(Hourly)",'Eplus results'!$1:$1048576,ROW(),FALSE)</f>
        <v>0</v>
      </c>
      <c r="AD2345" s="580">
        <f t="shared" si="216"/>
        <v>5</v>
      </c>
      <c r="AE2345" s="580">
        <f t="shared" si="217"/>
        <v>2.5</v>
      </c>
      <c r="AF2345" s="580">
        <f t="shared" si="218"/>
        <v>2.5</v>
      </c>
      <c r="AG2345" s="580">
        <f t="shared" si="219"/>
        <v>0</v>
      </c>
      <c r="AH2345" s="580">
        <f t="shared" si="220"/>
        <v>0</v>
      </c>
    </row>
    <row r="2346" spans="28:34">
      <c r="AB2346" s="580">
        <f>HLOOKUP("*"&amp;'Output annual'!$AC$2&amp;'Output annual'!$AD$2&amp;"*Zone People Number Of Occupants [](Hourly)",'Eplus results'!$1:$1048576,ROW(),FALSE)</f>
        <v>0</v>
      </c>
      <c r="AC2346" s="580">
        <f>HLOOKUP("*"&amp;'Output annual'!$AC$2&amp;'Output annual'!$AD$2&amp;"*FangerPMV(Hourly)",'Eplus results'!$1:$1048576,ROW(),FALSE)</f>
        <v>0</v>
      </c>
      <c r="AD2346" s="580">
        <f t="shared" si="216"/>
        <v>5</v>
      </c>
      <c r="AE2346" s="580">
        <f t="shared" si="217"/>
        <v>2.5</v>
      </c>
      <c r="AF2346" s="580">
        <f t="shared" si="218"/>
        <v>2.5</v>
      </c>
      <c r="AG2346" s="580">
        <f t="shared" si="219"/>
        <v>0</v>
      </c>
      <c r="AH2346" s="580">
        <f t="shared" si="220"/>
        <v>0</v>
      </c>
    </row>
    <row r="2347" spans="28:34">
      <c r="AB2347" s="580">
        <f>HLOOKUP("*"&amp;'Output annual'!$AC$2&amp;'Output annual'!$AD$2&amp;"*Zone People Number Of Occupants [](Hourly)",'Eplus results'!$1:$1048576,ROW(),FALSE)</f>
        <v>0</v>
      </c>
      <c r="AC2347" s="580">
        <f>HLOOKUP("*"&amp;'Output annual'!$AC$2&amp;'Output annual'!$AD$2&amp;"*FangerPMV(Hourly)",'Eplus results'!$1:$1048576,ROW(),FALSE)</f>
        <v>0</v>
      </c>
      <c r="AD2347" s="580">
        <f t="shared" si="216"/>
        <v>5</v>
      </c>
      <c r="AE2347" s="580">
        <f t="shared" si="217"/>
        <v>2.5</v>
      </c>
      <c r="AF2347" s="580">
        <f t="shared" si="218"/>
        <v>2.5</v>
      </c>
      <c r="AG2347" s="580">
        <f t="shared" si="219"/>
        <v>0</v>
      </c>
      <c r="AH2347" s="580">
        <f t="shared" si="220"/>
        <v>0</v>
      </c>
    </row>
    <row r="2348" spans="28:34">
      <c r="AB2348" s="580">
        <f>HLOOKUP("*"&amp;'Output annual'!$AC$2&amp;'Output annual'!$AD$2&amp;"*Zone People Number Of Occupants [](Hourly)",'Eplus results'!$1:$1048576,ROW(),FALSE)</f>
        <v>0</v>
      </c>
      <c r="AC2348" s="580">
        <f>HLOOKUP("*"&amp;'Output annual'!$AC$2&amp;'Output annual'!$AD$2&amp;"*FangerPMV(Hourly)",'Eplus results'!$1:$1048576,ROW(),FALSE)</f>
        <v>0</v>
      </c>
      <c r="AD2348" s="580">
        <f t="shared" si="216"/>
        <v>5</v>
      </c>
      <c r="AE2348" s="580">
        <f t="shared" si="217"/>
        <v>2.5</v>
      </c>
      <c r="AF2348" s="580">
        <f t="shared" si="218"/>
        <v>2.5</v>
      </c>
      <c r="AG2348" s="580">
        <f t="shared" si="219"/>
        <v>0</v>
      </c>
      <c r="AH2348" s="580">
        <f t="shared" si="220"/>
        <v>0</v>
      </c>
    </row>
    <row r="2349" spans="28:34">
      <c r="AB2349" s="580">
        <f>HLOOKUP("*"&amp;'Output annual'!$AC$2&amp;'Output annual'!$AD$2&amp;"*Zone People Number Of Occupants [](Hourly)",'Eplus results'!$1:$1048576,ROW(),FALSE)</f>
        <v>0</v>
      </c>
      <c r="AC2349" s="580">
        <f>HLOOKUP("*"&amp;'Output annual'!$AC$2&amp;'Output annual'!$AD$2&amp;"*FangerPMV(Hourly)",'Eplus results'!$1:$1048576,ROW(),FALSE)</f>
        <v>0</v>
      </c>
      <c r="AD2349" s="580">
        <f t="shared" si="216"/>
        <v>5</v>
      </c>
      <c r="AE2349" s="580">
        <f t="shared" si="217"/>
        <v>2.5</v>
      </c>
      <c r="AF2349" s="580">
        <f t="shared" si="218"/>
        <v>2.5</v>
      </c>
      <c r="AG2349" s="580">
        <f t="shared" si="219"/>
        <v>0</v>
      </c>
      <c r="AH2349" s="580">
        <f t="shared" si="220"/>
        <v>0</v>
      </c>
    </row>
    <row r="2350" spans="28:34">
      <c r="AB2350" s="580">
        <f>HLOOKUP("*"&amp;'Output annual'!$AC$2&amp;'Output annual'!$AD$2&amp;"*Zone People Number Of Occupants [](Hourly)",'Eplus results'!$1:$1048576,ROW(),FALSE)</f>
        <v>0</v>
      </c>
      <c r="AC2350" s="580">
        <f>HLOOKUP("*"&amp;'Output annual'!$AC$2&amp;'Output annual'!$AD$2&amp;"*FangerPMV(Hourly)",'Eplus results'!$1:$1048576,ROW(),FALSE)</f>
        <v>0</v>
      </c>
      <c r="AD2350" s="580">
        <f t="shared" si="216"/>
        <v>5</v>
      </c>
      <c r="AE2350" s="580">
        <f t="shared" si="217"/>
        <v>2.5</v>
      </c>
      <c r="AF2350" s="580">
        <f t="shared" si="218"/>
        <v>2.5</v>
      </c>
      <c r="AG2350" s="580">
        <f t="shared" si="219"/>
        <v>0</v>
      </c>
      <c r="AH2350" s="580">
        <f t="shared" si="220"/>
        <v>0</v>
      </c>
    </row>
    <row r="2351" spans="28:34">
      <c r="AB2351" s="580">
        <f>HLOOKUP("*"&amp;'Output annual'!$AC$2&amp;'Output annual'!$AD$2&amp;"*Zone People Number Of Occupants [](Hourly)",'Eplus results'!$1:$1048576,ROW(),FALSE)</f>
        <v>0</v>
      </c>
      <c r="AC2351" s="580">
        <f>HLOOKUP("*"&amp;'Output annual'!$AC$2&amp;'Output annual'!$AD$2&amp;"*FangerPMV(Hourly)",'Eplus results'!$1:$1048576,ROW(),FALSE)</f>
        <v>0</v>
      </c>
      <c r="AD2351" s="580">
        <f t="shared" si="216"/>
        <v>5</v>
      </c>
      <c r="AE2351" s="580">
        <f t="shared" si="217"/>
        <v>2.5</v>
      </c>
      <c r="AF2351" s="580">
        <f t="shared" si="218"/>
        <v>2.5</v>
      </c>
      <c r="AG2351" s="580">
        <f t="shared" si="219"/>
        <v>0</v>
      </c>
      <c r="AH2351" s="580">
        <f t="shared" si="220"/>
        <v>0</v>
      </c>
    </row>
    <row r="2352" spans="28:34">
      <c r="AB2352" s="580">
        <f>HLOOKUP("*"&amp;'Output annual'!$AC$2&amp;'Output annual'!$AD$2&amp;"*Zone People Number Of Occupants [](Hourly)",'Eplus results'!$1:$1048576,ROW(),FALSE)</f>
        <v>0</v>
      </c>
      <c r="AC2352" s="580">
        <f>HLOOKUP("*"&amp;'Output annual'!$AC$2&amp;'Output annual'!$AD$2&amp;"*FangerPMV(Hourly)",'Eplus results'!$1:$1048576,ROW(),FALSE)</f>
        <v>0</v>
      </c>
      <c r="AD2352" s="580">
        <f t="shared" si="216"/>
        <v>5</v>
      </c>
      <c r="AE2352" s="580">
        <f t="shared" si="217"/>
        <v>2.5</v>
      </c>
      <c r="AF2352" s="580">
        <f t="shared" si="218"/>
        <v>2.5</v>
      </c>
      <c r="AG2352" s="580">
        <f t="shared" si="219"/>
        <v>0</v>
      </c>
      <c r="AH2352" s="580">
        <f t="shared" si="220"/>
        <v>0</v>
      </c>
    </row>
    <row r="2353" spans="28:34">
      <c r="AB2353" s="580">
        <f>HLOOKUP("*"&amp;'Output annual'!$AC$2&amp;'Output annual'!$AD$2&amp;"*Zone People Number Of Occupants [](Hourly)",'Eplus results'!$1:$1048576,ROW(),FALSE)</f>
        <v>0</v>
      </c>
      <c r="AC2353" s="580">
        <f>HLOOKUP("*"&amp;'Output annual'!$AC$2&amp;'Output annual'!$AD$2&amp;"*FangerPMV(Hourly)",'Eplus results'!$1:$1048576,ROW(),FALSE)</f>
        <v>0</v>
      </c>
      <c r="AD2353" s="580">
        <f t="shared" si="216"/>
        <v>5</v>
      </c>
      <c r="AE2353" s="580">
        <f t="shared" si="217"/>
        <v>2.5</v>
      </c>
      <c r="AF2353" s="580">
        <f t="shared" si="218"/>
        <v>2.5</v>
      </c>
      <c r="AG2353" s="580">
        <f t="shared" si="219"/>
        <v>0</v>
      </c>
      <c r="AH2353" s="580">
        <f t="shared" si="220"/>
        <v>0</v>
      </c>
    </row>
    <row r="2354" spans="28:34">
      <c r="AB2354" s="580">
        <f>HLOOKUP("*"&amp;'Output annual'!$AC$2&amp;'Output annual'!$AD$2&amp;"*Zone People Number Of Occupants [](Hourly)",'Eplus results'!$1:$1048576,ROW(),FALSE)</f>
        <v>0</v>
      </c>
      <c r="AC2354" s="580">
        <f>HLOOKUP("*"&amp;'Output annual'!$AC$2&amp;'Output annual'!$AD$2&amp;"*FangerPMV(Hourly)",'Eplus results'!$1:$1048576,ROW(),FALSE)</f>
        <v>0</v>
      </c>
      <c r="AD2354" s="580">
        <f t="shared" si="216"/>
        <v>5</v>
      </c>
      <c r="AE2354" s="580">
        <f t="shared" si="217"/>
        <v>2.5</v>
      </c>
      <c r="AF2354" s="580">
        <f t="shared" si="218"/>
        <v>2.5</v>
      </c>
      <c r="AG2354" s="580">
        <f t="shared" si="219"/>
        <v>0</v>
      </c>
      <c r="AH2354" s="580">
        <f t="shared" si="220"/>
        <v>0</v>
      </c>
    </row>
    <row r="2355" spans="28:34">
      <c r="AB2355" s="580">
        <f>HLOOKUP("*"&amp;'Output annual'!$AC$2&amp;'Output annual'!$AD$2&amp;"*Zone People Number Of Occupants [](Hourly)",'Eplus results'!$1:$1048576,ROW(),FALSE)</f>
        <v>0</v>
      </c>
      <c r="AC2355" s="580">
        <f>HLOOKUP("*"&amp;'Output annual'!$AC$2&amp;'Output annual'!$AD$2&amp;"*FangerPMV(Hourly)",'Eplus results'!$1:$1048576,ROW(),FALSE)</f>
        <v>0</v>
      </c>
      <c r="AD2355" s="580">
        <f t="shared" si="216"/>
        <v>5</v>
      </c>
      <c r="AE2355" s="580">
        <f t="shared" si="217"/>
        <v>2.5</v>
      </c>
      <c r="AF2355" s="580">
        <f t="shared" si="218"/>
        <v>2.5</v>
      </c>
      <c r="AG2355" s="580">
        <f t="shared" si="219"/>
        <v>0</v>
      </c>
      <c r="AH2355" s="580">
        <f t="shared" si="220"/>
        <v>0</v>
      </c>
    </row>
    <row r="2356" spans="28:34">
      <c r="AB2356" s="580">
        <f>HLOOKUP("*"&amp;'Output annual'!$AC$2&amp;'Output annual'!$AD$2&amp;"*Zone People Number Of Occupants [](Hourly)",'Eplus results'!$1:$1048576,ROW(),FALSE)</f>
        <v>0</v>
      </c>
      <c r="AC2356" s="580">
        <f>HLOOKUP("*"&amp;'Output annual'!$AC$2&amp;'Output annual'!$AD$2&amp;"*FangerPMV(Hourly)",'Eplus results'!$1:$1048576,ROW(),FALSE)</f>
        <v>0</v>
      </c>
      <c r="AD2356" s="580">
        <f t="shared" si="216"/>
        <v>5</v>
      </c>
      <c r="AE2356" s="580">
        <f t="shared" si="217"/>
        <v>2.5</v>
      </c>
      <c r="AF2356" s="580">
        <f t="shared" si="218"/>
        <v>2.5</v>
      </c>
      <c r="AG2356" s="580">
        <f t="shared" si="219"/>
        <v>0</v>
      </c>
      <c r="AH2356" s="580">
        <f t="shared" si="220"/>
        <v>0</v>
      </c>
    </row>
    <row r="2357" spans="28:34">
      <c r="AB2357" s="580">
        <f>HLOOKUP("*"&amp;'Output annual'!$AC$2&amp;'Output annual'!$AD$2&amp;"*Zone People Number Of Occupants [](Hourly)",'Eplus results'!$1:$1048576,ROW(),FALSE)</f>
        <v>0</v>
      </c>
      <c r="AC2357" s="580">
        <f>HLOOKUP("*"&amp;'Output annual'!$AC$2&amp;'Output annual'!$AD$2&amp;"*FangerPMV(Hourly)",'Eplus results'!$1:$1048576,ROW(),FALSE)</f>
        <v>0</v>
      </c>
      <c r="AD2357" s="580">
        <f t="shared" si="216"/>
        <v>5</v>
      </c>
      <c r="AE2357" s="580">
        <f t="shared" si="217"/>
        <v>2.5</v>
      </c>
      <c r="AF2357" s="580">
        <f t="shared" si="218"/>
        <v>2.5</v>
      </c>
      <c r="AG2357" s="580">
        <f t="shared" si="219"/>
        <v>0</v>
      </c>
      <c r="AH2357" s="580">
        <f t="shared" si="220"/>
        <v>0</v>
      </c>
    </row>
    <row r="2358" spans="28:34">
      <c r="AB2358" s="580">
        <f>HLOOKUP("*"&amp;'Output annual'!$AC$2&amp;'Output annual'!$AD$2&amp;"*Zone People Number Of Occupants [](Hourly)",'Eplus results'!$1:$1048576,ROW(),FALSE)</f>
        <v>0</v>
      </c>
      <c r="AC2358" s="580">
        <f>HLOOKUP("*"&amp;'Output annual'!$AC$2&amp;'Output annual'!$AD$2&amp;"*FangerPMV(Hourly)",'Eplus results'!$1:$1048576,ROW(),FALSE)</f>
        <v>0</v>
      </c>
      <c r="AD2358" s="580">
        <f t="shared" si="216"/>
        <v>5</v>
      </c>
      <c r="AE2358" s="580">
        <f t="shared" si="217"/>
        <v>2.5</v>
      </c>
      <c r="AF2358" s="580">
        <f t="shared" si="218"/>
        <v>2.5</v>
      </c>
      <c r="AG2358" s="580">
        <f t="shared" si="219"/>
        <v>0</v>
      </c>
      <c r="AH2358" s="580">
        <f t="shared" si="220"/>
        <v>0</v>
      </c>
    </row>
    <row r="2359" spans="28:34">
      <c r="AB2359" s="580">
        <f>HLOOKUP("*"&amp;'Output annual'!$AC$2&amp;'Output annual'!$AD$2&amp;"*Zone People Number Of Occupants [](Hourly)",'Eplus results'!$1:$1048576,ROW(),FALSE)</f>
        <v>0</v>
      </c>
      <c r="AC2359" s="580">
        <f>HLOOKUP("*"&amp;'Output annual'!$AC$2&amp;'Output annual'!$AD$2&amp;"*FangerPMV(Hourly)",'Eplus results'!$1:$1048576,ROW(),FALSE)</f>
        <v>0</v>
      </c>
      <c r="AD2359" s="580">
        <f t="shared" si="216"/>
        <v>5</v>
      </c>
      <c r="AE2359" s="580">
        <f t="shared" si="217"/>
        <v>2.5</v>
      </c>
      <c r="AF2359" s="580">
        <f t="shared" si="218"/>
        <v>2.5</v>
      </c>
      <c r="AG2359" s="580">
        <f t="shared" si="219"/>
        <v>0</v>
      </c>
      <c r="AH2359" s="580">
        <f t="shared" si="220"/>
        <v>0</v>
      </c>
    </row>
    <row r="2360" spans="28:34">
      <c r="AB2360" s="580">
        <f>HLOOKUP("*"&amp;'Output annual'!$AC$2&amp;'Output annual'!$AD$2&amp;"*Zone People Number Of Occupants [](Hourly)",'Eplus results'!$1:$1048576,ROW(),FALSE)</f>
        <v>0</v>
      </c>
      <c r="AC2360" s="580">
        <f>HLOOKUP("*"&amp;'Output annual'!$AC$2&amp;'Output annual'!$AD$2&amp;"*FangerPMV(Hourly)",'Eplus results'!$1:$1048576,ROW(),FALSE)</f>
        <v>0</v>
      </c>
      <c r="AD2360" s="580">
        <f t="shared" si="216"/>
        <v>5</v>
      </c>
      <c r="AE2360" s="580">
        <f t="shared" si="217"/>
        <v>2.5</v>
      </c>
      <c r="AF2360" s="580">
        <f t="shared" si="218"/>
        <v>2.5</v>
      </c>
      <c r="AG2360" s="580">
        <f t="shared" si="219"/>
        <v>0</v>
      </c>
      <c r="AH2360" s="580">
        <f t="shared" si="220"/>
        <v>0</v>
      </c>
    </row>
    <row r="2361" spans="28:34">
      <c r="AB2361" s="580">
        <f>HLOOKUP("*"&amp;'Output annual'!$AC$2&amp;'Output annual'!$AD$2&amp;"*Zone People Number Of Occupants [](Hourly)",'Eplus results'!$1:$1048576,ROW(),FALSE)</f>
        <v>0</v>
      </c>
      <c r="AC2361" s="580">
        <f>HLOOKUP("*"&amp;'Output annual'!$AC$2&amp;'Output annual'!$AD$2&amp;"*FangerPMV(Hourly)",'Eplus results'!$1:$1048576,ROW(),FALSE)</f>
        <v>0</v>
      </c>
      <c r="AD2361" s="580">
        <f t="shared" si="216"/>
        <v>5</v>
      </c>
      <c r="AE2361" s="580">
        <f t="shared" si="217"/>
        <v>2.5</v>
      </c>
      <c r="AF2361" s="580">
        <f t="shared" si="218"/>
        <v>2.5</v>
      </c>
      <c r="AG2361" s="580">
        <f t="shared" si="219"/>
        <v>0</v>
      </c>
      <c r="AH2361" s="580">
        <f t="shared" si="220"/>
        <v>0</v>
      </c>
    </row>
    <row r="2362" spans="28:34">
      <c r="AB2362" s="580">
        <f>HLOOKUP("*"&amp;'Output annual'!$AC$2&amp;'Output annual'!$AD$2&amp;"*Zone People Number Of Occupants [](Hourly)",'Eplus results'!$1:$1048576,ROW(),FALSE)</f>
        <v>0</v>
      </c>
      <c r="AC2362" s="580">
        <f>HLOOKUP("*"&amp;'Output annual'!$AC$2&amp;'Output annual'!$AD$2&amp;"*FangerPMV(Hourly)",'Eplus results'!$1:$1048576,ROW(),FALSE)</f>
        <v>0</v>
      </c>
      <c r="AD2362" s="580">
        <f t="shared" si="216"/>
        <v>5</v>
      </c>
      <c r="AE2362" s="580">
        <f t="shared" si="217"/>
        <v>2.5</v>
      </c>
      <c r="AF2362" s="580">
        <f t="shared" si="218"/>
        <v>2.5</v>
      </c>
      <c r="AG2362" s="580">
        <f t="shared" si="219"/>
        <v>0</v>
      </c>
      <c r="AH2362" s="580">
        <f t="shared" si="220"/>
        <v>0</v>
      </c>
    </row>
    <row r="2363" spans="28:34">
      <c r="AB2363" s="580">
        <f>HLOOKUP("*"&amp;'Output annual'!$AC$2&amp;'Output annual'!$AD$2&amp;"*Zone People Number Of Occupants [](Hourly)",'Eplus results'!$1:$1048576,ROW(),FALSE)</f>
        <v>0</v>
      </c>
      <c r="AC2363" s="580">
        <f>HLOOKUP("*"&amp;'Output annual'!$AC$2&amp;'Output annual'!$AD$2&amp;"*FangerPMV(Hourly)",'Eplus results'!$1:$1048576,ROW(),FALSE)</f>
        <v>0</v>
      </c>
      <c r="AD2363" s="580">
        <f t="shared" si="216"/>
        <v>5</v>
      </c>
      <c r="AE2363" s="580">
        <f t="shared" si="217"/>
        <v>2.5</v>
      </c>
      <c r="AF2363" s="580">
        <f t="shared" si="218"/>
        <v>2.5</v>
      </c>
      <c r="AG2363" s="580">
        <f t="shared" si="219"/>
        <v>0</v>
      </c>
      <c r="AH2363" s="580">
        <f t="shared" si="220"/>
        <v>0</v>
      </c>
    </row>
    <row r="2364" spans="28:34">
      <c r="AB2364" s="580">
        <f>HLOOKUP("*"&amp;'Output annual'!$AC$2&amp;'Output annual'!$AD$2&amp;"*Zone People Number Of Occupants [](Hourly)",'Eplus results'!$1:$1048576,ROW(),FALSE)</f>
        <v>0</v>
      </c>
      <c r="AC2364" s="580">
        <f>HLOOKUP("*"&amp;'Output annual'!$AC$2&amp;'Output annual'!$AD$2&amp;"*FangerPMV(Hourly)",'Eplus results'!$1:$1048576,ROW(),FALSE)</f>
        <v>0</v>
      </c>
      <c r="AD2364" s="580">
        <f t="shared" si="216"/>
        <v>5</v>
      </c>
      <c r="AE2364" s="580">
        <f t="shared" si="217"/>
        <v>2.5</v>
      </c>
      <c r="AF2364" s="580">
        <f t="shared" si="218"/>
        <v>2.5</v>
      </c>
      <c r="AG2364" s="580">
        <f t="shared" si="219"/>
        <v>0</v>
      </c>
      <c r="AH2364" s="580">
        <f t="shared" si="220"/>
        <v>0</v>
      </c>
    </row>
    <row r="2365" spans="28:34">
      <c r="AB2365" s="580">
        <f>HLOOKUP("*"&amp;'Output annual'!$AC$2&amp;'Output annual'!$AD$2&amp;"*Zone People Number Of Occupants [](Hourly)",'Eplus results'!$1:$1048576,ROW(),FALSE)</f>
        <v>0</v>
      </c>
      <c r="AC2365" s="580">
        <f>HLOOKUP("*"&amp;'Output annual'!$AC$2&amp;'Output annual'!$AD$2&amp;"*FangerPMV(Hourly)",'Eplus results'!$1:$1048576,ROW(),FALSE)</f>
        <v>0</v>
      </c>
      <c r="AD2365" s="580">
        <f t="shared" si="216"/>
        <v>5</v>
      </c>
      <c r="AE2365" s="580">
        <f t="shared" si="217"/>
        <v>2.5</v>
      </c>
      <c r="AF2365" s="580">
        <f t="shared" si="218"/>
        <v>2.5</v>
      </c>
      <c r="AG2365" s="580">
        <f t="shared" si="219"/>
        <v>0</v>
      </c>
      <c r="AH2365" s="580">
        <f t="shared" si="220"/>
        <v>0</v>
      </c>
    </row>
    <row r="2366" spans="28:34">
      <c r="AB2366" s="580">
        <f>HLOOKUP("*"&amp;'Output annual'!$AC$2&amp;'Output annual'!$AD$2&amp;"*Zone People Number Of Occupants [](Hourly)",'Eplus results'!$1:$1048576,ROW(),FALSE)</f>
        <v>0</v>
      </c>
      <c r="AC2366" s="580">
        <f>HLOOKUP("*"&amp;'Output annual'!$AC$2&amp;'Output annual'!$AD$2&amp;"*FangerPMV(Hourly)",'Eplus results'!$1:$1048576,ROW(),FALSE)</f>
        <v>0</v>
      </c>
      <c r="AD2366" s="580">
        <f t="shared" si="216"/>
        <v>5</v>
      </c>
      <c r="AE2366" s="580">
        <f t="shared" si="217"/>
        <v>2.5</v>
      </c>
      <c r="AF2366" s="580">
        <f t="shared" si="218"/>
        <v>2.5</v>
      </c>
      <c r="AG2366" s="580">
        <f t="shared" si="219"/>
        <v>0</v>
      </c>
      <c r="AH2366" s="580">
        <f t="shared" si="220"/>
        <v>0</v>
      </c>
    </row>
    <row r="2367" spans="28:34">
      <c r="AB2367" s="580">
        <f>HLOOKUP("*"&amp;'Output annual'!$AC$2&amp;'Output annual'!$AD$2&amp;"*Zone People Number Of Occupants [](Hourly)",'Eplus results'!$1:$1048576,ROW(),FALSE)</f>
        <v>0</v>
      </c>
      <c r="AC2367" s="580">
        <f>HLOOKUP("*"&amp;'Output annual'!$AC$2&amp;'Output annual'!$AD$2&amp;"*FangerPMV(Hourly)",'Eplus results'!$1:$1048576,ROW(),FALSE)</f>
        <v>0</v>
      </c>
      <c r="AD2367" s="580">
        <f t="shared" si="216"/>
        <v>5</v>
      </c>
      <c r="AE2367" s="580">
        <f t="shared" si="217"/>
        <v>2.5</v>
      </c>
      <c r="AF2367" s="580">
        <f t="shared" si="218"/>
        <v>2.5</v>
      </c>
      <c r="AG2367" s="580">
        <f t="shared" si="219"/>
        <v>0</v>
      </c>
      <c r="AH2367" s="580">
        <f t="shared" si="220"/>
        <v>0</v>
      </c>
    </row>
    <row r="2368" spans="28:34">
      <c r="AB2368" s="580">
        <f>HLOOKUP("*"&amp;'Output annual'!$AC$2&amp;'Output annual'!$AD$2&amp;"*Zone People Number Of Occupants [](Hourly)",'Eplus results'!$1:$1048576,ROW(),FALSE)</f>
        <v>0</v>
      </c>
      <c r="AC2368" s="580">
        <f>HLOOKUP("*"&amp;'Output annual'!$AC$2&amp;'Output annual'!$AD$2&amp;"*FangerPMV(Hourly)",'Eplus results'!$1:$1048576,ROW(),FALSE)</f>
        <v>0</v>
      </c>
      <c r="AD2368" s="580">
        <f t="shared" si="216"/>
        <v>5</v>
      </c>
      <c r="AE2368" s="580">
        <f t="shared" si="217"/>
        <v>2.5</v>
      </c>
      <c r="AF2368" s="580">
        <f t="shared" si="218"/>
        <v>2.5</v>
      </c>
      <c r="AG2368" s="580">
        <f t="shared" si="219"/>
        <v>0</v>
      </c>
      <c r="AH2368" s="580">
        <f t="shared" si="220"/>
        <v>0</v>
      </c>
    </row>
    <row r="2369" spans="28:34">
      <c r="AB2369" s="580">
        <f>HLOOKUP("*"&amp;'Output annual'!$AC$2&amp;'Output annual'!$AD$2&amp;"*Zone People Number Of Occupants [](Hourly)",'Eplus results'!$1:$1048576,ROW(),FALSE)</f>
        <v>0</v>
      </c>
      <c r="AC2369" s="580">
        <f>HLOOKUP("*"&amp;'Output annual'!$AC$2&amp;'Output annual'!$AD$2&amp;"*FangerPMV(Hourly)",'Eplus results'!$1:$1048576,ROW(),FALSE)</f>
        <v>0</v>
      </c>
      <c r="AD2369" s="580">
        <f t="shared" si="216"/>
        <v>5</v>
      </c>
      <c r="AE2369" s="580">
        <f t="shared" si="217"/>
        <v>2.5</v>
      </c>
      <c r="AF2369" s="580">
        <f t="shared" si="218"/>
        <v>2.5</v>
      </c>
      <c r="AG2369" s="580">
        <f t="shared" si="219"/>
        <v>0</v>
      </c>
      <c r="AH2369" s="580">
        <f t="shared" si="220"/>
        <v>0</v>
      </c>
    </row>
    <row r="2370" spans="28:34">
      <c r="AB2370" s="580">
        <f>HLOOKUP("*"&amp;'Output annual'!$AC$2&amp;'Output annual'!$AD$2&amp;"*Zone People Number Of Occupants [](Hourly)",'Eplus results'!$1:$1048576,ROW(),FALSE)</f>
        <v>0</v>
      </c>
      <c r="AC2370" s="580">
        <f>HLOOKUP("*"&amp;'Output annual'!$AC$2&amp;'Output annual'!$AD$2&amp;"*FangerPMV(Hourly)",'Eplus results'!$1:$1048576,ROW(),FALSE)</f>
        <v>0</v>
      </c>
      <c r="AD2370" s="580">
        <f t="shared" si="216"/>
        <v>5</v>
      </c>
      <c r="AE2370" s="580">
        <f t="shared" si="217"/>
        <v>2.5</v>
      </c>
      <c r="AF2370" s="580">
        <f t="shared" si="218"/>
        <v>2.5</v>
      </c>
      <c r="AG2370" s="580">
        <f t="shared" si="219"/>
        <v>0</v>
      </c>
      <c r="AH2370" s="580">
        <f t="shared" si="220"/>
        <v>0</v>
      </c>
    </row>
    <row r="2371" spans="28:34">
      <c r="AB2371" s="580">
        <f>HLOOKUP("*"&amp;'Output annual'!$AC$2&amp;'Output annual'!$AD$2&amp;"*Zone People Number Of Occupants [](Hourly)",'Eplus results'!$1:$1048576,ROW(),FALSE)</f>
        <v>0</v>
      </c>
      <c r="AC2371" s="580">
        <f>HLOOKUP("*"&amp;'Output annual'!$AC$2&amp;'Output annual'!$AD$2&amp;"*FangerPMV(Hourly)",'Eplus results'!$1:$1048576,ROW(),FALSE)</f>
        <v>0</v>
      </c>
      <c r="AD2371" s="580">
        <f t="shared" ref="AD2371:AD2434" si="221">100-95*EXP(-0.03353*AC2371^4-0.2179*AC2371^2)</f>
        <v>5</v>
      </c>
      <c r="AE2371" s="580">
        <f t="shared" ref="AE2371:AE2434" si="222">AD2371*(1/(1+EXP(-6.3*$AC2371)))</f>
        <v>2.5</v>
      </c>
      <c r="AF2371" s="580">
        <f t="shared" ref="AF2371:AF2434" si="223">(AD2371-AE2371)</f>
        <v>2.5</v>
      </c>
      <c r="AG2371" s="580">
        <f t="shared" ref="AG2371:AG2434" si="224">AE2371*AB2371</f>
        <v>0</v>
      </c>
      <c r="AH2371" s="580">
        <f t="shared" ref="AH2371:AH2434" si="225">AF2371*AB2371</f>
        <v>0</v>
      </c>
    </row>
    <row r="2372" spans="28:34">
      <c r="AB2372" s="580">
        <f>HLOOKUP("*"&amp;'Output annual'!$AC$2&amp;'Output annual'!$AD$2&amp;"*Zone People Number Of Occupants [](Hourly)",'Eplus results'!$1:$1048576,ROW(),FALSE)</f>
        <v>0</v>
      </c>
      <c r="AC2372" s="580">
        <f>HLOOKUP("*"&amp;'Output annual'!$AC$2&amp;'Output annual'!$AD$2&amp;"*FangerPMV(Hourly)",'Eplus results'!$1:$1048576,ROW(),FALSE)</f>
        <v>0</v>
      </c>
      <c r="AD2372" s="580">
        <f t="shared" si="221"/>
        <v>5</v>
      </c>
      <c r="AE2372" s="580">
        <f t="shared" si="222"/>
        <v>2.5</v>
      </c>
      <c r="AF2372" s="580">
        <f t="shared" si="223"/>
        <v>2.5</v>
      </c>
      <c r="AG2372" s="580">
        <f t="shared" si="224"/>
        <v>0</v>
      </c>
      <c r="AH2372" s="580">
        <f t="shared" si="225"/>
        <v>0</v>
      </c>
    </row>
    <row r="2373" spans="28:34">
      <c r="AB2373" s="580">
        <f>HLOOKUP("*"&amp;'Output annual'!$AC$2&amp;'Output annual'!$AD$2&amp;"*Zone People Number Of Occupants [](Hourly)",'Eplus results'!$1:$1048576,ROW(),FALSE)</f>
        <v>0</v>
      </c>
      <c r="AC2373" s="580">
        <f>HLOOKUP("*"&amp;'Output annual'!$AC$2&amp;'Output annual'!$AD$2&amp;"*FangerPMV(Hourly)",'Eplus results'!$1:$1048576,ROW(),FALSE)</f>
        <v>0</v>
      </c>
      <c r="AD2373" s="580">
        <f t="shared" si="221"/>
        <v>5</v>
      </c>
      <c r="AE2373" s="580">
        <f t="shared" si="222"/>
        <v>2.5</v>
      </c>
      <c r="AF2373" s="580">
        <f t="shared" si="223"/>
        <v>2.5</v>
      </c>
      <c r="AG2373" s="580">
        <f t="shared" si="224"/>
        <v>0</v>
      </c>
      <c r="AH2373" s="580">
        <f t="shared" si="225"/>
        <v>0</v>
      </c>
    </row>
    <row r="2374" spans="28:34">
      <c r="AB2374" s="580">
        <f>HLOOKUP("*"&amp;'Output annual'!$AC$2&amp;'Output annual'!$AD$2&amp;"*Zone People Number Of Occupants [](Hourly)",'Eplus results'!$1:$1048576,ROW(),FALSE)</f>
        <v>0</v>
      </c>
      <c r="AC2374" s="580">
        <f>HLOOKUP("*"&amp;'Output annual'!$AC$2&amp;'Output annual'!$AD$2&amp;"*FangerPMV(Hourly)",'Eplus results'!$1:$1048576,ROW(),FALSE)</f>
        <v>0</v>
      </c>
      <c r="AD2374" s="580">
        <f t="shared" si="221"/>
        <v>5</v>
      </c>
      <c r="AE2374" s="580">
        <f t="shared" si="222"/>
        <v>2.5</v>
      </c>
      <c r="AF2374" s="580">
        <f t="shared" si="223"/>
        <v>2.5</v>
      </c>
      <c r="AG2374" s="580">
        <f t="shared" si="224"/>
        <v>0</v>
      </c>
      <c r="AH2374" s="580">
        <f t="shared" si="225"/>
        <v>0</v>
      </c>
    </row>
    <row r="2375" spans="28:34">
      <c r="AB2375" s="580">
        <f>HLOOKUP("*"&amp;'Output annual'!$AC$2&amp;'Output annual'!$AD$2&amp;"*Zone People Number Of Occupants [](Hourly)",'Eplus results'!$1:$1048576,ROW(),FALSE)</f>
        <v>0</v>
      </c>
      <c r="AC2375" s="580">
        <f>HLOOKUP("*"&amp;'Output annual'!$AC$2&amp;'Output annual'!$AD$2&amp;"*FangerPMV(Hourly)",'Eplus results'!$1:$1048576,ROW(),FALSE)</f>
        <v>0</v>
      </c>
      <c r="AD2375" s="580">
        <f t="shared" si="221"/>
        <v>5</v>
      </c>
      <c r="AE2375" s="580">
        <f t="shared" si="222"/>
        <v>2.5</v>
      </c>
      <c r="AF2375" s="580">
        <f t="shared" si="223"/>
        <v>2.5</v>
      </c>
      <c r="AG2375" s="580">
        <f t="shared" si="224"/>
        <v>0</v>
      </c>
      <c r="AH2375" s="580">
        <f t="shared" si="225"/>
        <v>0</v>
      </c>
    </row>
    <row r="2376" spans="28:34">
      <c r="AB2376" s="580">
        <f>HLOOKUP("*"&amp;'Output annual'!$AC$2&amp;'Output annual'!$AD$2&amp;"*Zone People Number Of Occupants [](Hourly)",'Eplus results'!$1:$1048576,ROW(),FALSE)</f>
        <v>0</v>
      </c>
      <c r="AC2376" s="580">
        <f>HLOOKUP("*"&amp;'Output annual'!$AC$2&amp;'Output annual'!$AD$2&amp;"*FangerPMV(Hourly)",'Eplus results'!$1:$1048576,ROW(),FALSE)</f>
        <v>0</v>
      </c>
      <c r="AD2376" s="580">
        <f t="shared" si="221"/>
        <v>5</v>
      </c>
      <c r="AE2376" s="580">
        <f t="shared" si="222"/>
        <v>2.5</v>
      </c>
      <c r="AF2376" s="580">
        <f t="shared" si="223"/>
        <v>2.5</v>
      </c>
      <c r="AG2376" s="580">
        <f t="shared" si="224"/>
        <v>0</v>
      </c>
      <c r="AH2376" s="580">
        <f t="shared" si="225"/>
        <v>0</v>
      </c>
    </row>
    <row r="2377" spans="28:34">
      <c r="AB2377" s="580">
        <f>HLOOKUP("*"&amp;'Output annual'!$AC$2&amp;'Output annual'!$AD$2&amp;"*Zone People Number Of Occupants [](Hourly)",'Eplus results'!$1:$1048576,ROW(),FALSE)</f>
        <v>0</v>
      </c>
      <c r="AC2377" s="580">
        <f>HLOOKUP("*"&amp;'Output annual'!$AC$2&amp;'Output annual'!$AD$2&amp;"*FangerPMV(Hourly)",'Eplus results'!$1:$1048576,ROW(),FALSE)</f>
        <v>0</v>
      </c>
      <c r="AD2377" s="580">
        <f t="shared" si="221"/>
        <v>5</v>
      </c>
      <c r="AE2377" s="580">
        <f t="shared" si="222"/>
        <v>2.5</v>
      </c>
      <c r="AF2377" s="580">
        <f t="shared" si="223"/>
        <v>2.5</v>
      </c>
      <c r="AG2377" s="580">
        <f t="shared" si="224"/>
        <v>0</v>
      </c>
      <c r="AH2377" s="580">
        <f t="shared" si="225"/>
        <v>0</v>
      </c>
    </row>
    <row r="2378" spans="28:34">
      <c r="AB2378" s="580">
        <f>HLOOKUP("*"&amp;'Output annual'!$AC$2&amp;'Output annual'!$AD$2&amp;"*Zone People Number Of Occupants [](Hourly)",'Eplus results'!$1:$1048576,ROW(),FALSE)</f>
        <v>0</v>
      </c>
      <c r="AC2378" s="580">
        <f>HLOOKUP("*"&amp;'Output annual'!$AC$2&amp;'Output annual'!$AD$2&amp;"*FangerPMV(Hourly)",'Eplus results'!$1:$1048576,ROW(),FALSE)</f>
        <v>0</v>
      </c>
      <c r="AD2378" s="580">
        <f t="shared" si="221"/>
        <v>5</v>
      </c>
      <c r="AE2378" s="580">
        <f t="shared" si="222"/>
        <v>2.5</v>
      </c>
      <c r="AF2378" s="580">
        <f t="shared" si="223"/>
        <v>2.5</v>
      </c>
      <c r="AG2378" s="580">
        <f t="shared" si="224"/>
        <v>0</v>
      </c>
      <c r="AH2378" s="580">
        <f t="shared" si="225"/>
        <v>0</v>
      </c>
    </row>
    <row r="2379" spans="28:34">
      <c r="AB2379" s="580">
        <f>HLOOKUP("*"&amp;'Output annual'!$AC$2&amp;'Output annual'!$AD$2&amp;"*Zone People Number Of Occupants [](Hourly)",'Eplus results'!$1:$1048576,ROW(),FALSE)</f>
        <v>0</v>
      </c>
      <c r="AC2379" s="580">
        <f>HLOOKUP("*"&amp;'Output annual'!$AC$2&amp;'Output annual'!$AD$2&amp;"*FangerPMV(Hourly)",'Eplus results'!$1:$1048576,ROW(),FALSE)</f>
        <v>0</v>
      </c>
      <c r="AD2379" s="580">
        <f t="shared" si="221"/>
        <v>5</v>
      </c>
      <c r="AE2379" s="580">
        <f t="shared" si="222"/>
        <v>2.5</v>
      </c>
      <c r="AF2379" s="580">
        <f t="shared" si="223"/>
        <v>2.5</v>
      </c>
      <c r="AG2379" s="580">
        <f t="shared" si="224"/>
        <v>0</v>
      </c>
      <c r="AH2379" s="580">
        <f t="shared" si="225"/>
        <v>0</v>
      </c>
    </row>
    <row r="2380" spans="28:34">
      <c r="AB2380" s="580">
        <f>HLOOKUP("*"&amp;'Output annual'!$AC$2&amp;'Output annual'!$AD$2&amp;"*Zone People Number Of Occupants [](Hourly)",'Eplus results'!$1:$1048576,ROW(),FALSE)</f>
        <v>0</v>
      </c>
      <c r="AC2380" s="580">
        <f>HLOOKUP("*"&amp;'Output annual'!$AC$2&amp;'Output annual'!$AD$2&amp;"*FangerPMV(Hourly)",'Eplus results'!$1:$1048576,ROW(),FALSE)</f>
        <v>0</v>
      </c>
      <c r="AD2380" s="580">
        <f t="shared" si="221"/>
        <v>5</v>
      </c>
      <c r="AE2380" s="580">
        <f t="shared" si="222"/>
        <v>2.5</v>
      </c>
      <c r="AF2380" s="580">
        <f t="shared" si="223"/>
        <v>2.5</v>
      </c>
      <c r="AG2380" s="580">
        <f t="shared" si="224"/>
        <v>0</v>
      </c>
      <c r="AH2380" s="580">
        <f t="shared" si="225"/>
        <v>0</v>
      </c>
    </row>
    <row r="2381" spans="28:34">
      <c r="AB2381" s="580">
        <f>HLOOKUP("*"&amp;'Output annual'!$AC$2&amp;'Output annual'!$AD$2&amp;"*Zone People Number Of Occupants [](Hourly)",'Eplus results'!$1:$1048576,ROW(),FALSE)</f>
        <v>0</v>
      </c>
      <c r="AC2381" s="580">
        <f>HLOOKUP("*"&amp;'Output annual'!$AC$2&amp;'Output annual'!$AD$2&amp;"*FangerPMV(Hourly)",'Eplus results'!$1:$1048576,ROW(),FALSE)</f>
        <v>0</v>
      </c>
      <c r="AD2381" s="580">
        <f t="shared" si="221"/>
        <v>5</v>
      </c>
      <c r="AE2381" s="580">
        <f t="shared" si="222"/>
        <v>2.5</v>
      </c>
      <c r="AF2381" s="580">
        <f t="shared" si="223"/>
        <v>2.5</v>
      </c>
      <c r="AG2381" s="580">
        <f t="shared" si="224"/>
        <v>0</v>
      </c>
      <c r="AH2381" s="580">
        <f t="shared" si="225"/>
        <v>0</v>
      </c>
    </row>
    <row r="2382" spans="28:34">
      <c r="AB2382" s="580">
        <f>HLOOKUP("*"&amp;'Output annual'!$AC$2&amp;'Output annual'!$AD$2&amp;"*Zone People Number Of Occupants [](Hourly)",'Eplus results'!$1:$1048576,ROW(),FALSE)</f>
        <v>0</v>
      </c>
      <c r="AC2382" s="580">
        <f>HLOOKUP("*"&amp;'Output annual'!$AC$2&amp;'Output annual'!$AD$2&amp;"*FangerPMV(Hourly)",'Eplus results'!$1:$1048576,ROW(),FALSE)</f>
        <v>0</v>
      </c>
      <c r="AD2382" s="580">
        <f t="shared" si="221"/>
        <v>5</v>
      </c>
      <c r="AE2382" s="580">
        <f t="shared" si="222"/>
        <v>2.5</v>
      </c>
      <c r="AF2382" s="580">
        <f t="shared" si="223"/>
        <v>2.5</v>
      </c>
      <c r="AG2382" s="580">
        <f t="shared" si="224"/>
        <v>0</v>
      </c>
      <c r="AH2382" s="580">
        <f t="shared" si="225"/>
        <v>0</v>
      </c>
    </row>
    <row r="2383" spans="28:34">
      <c r="AB2383" s="580">
        <f>HLOOKUP("*"&amp;'Output annual'!$AC$2&amp;'Output annual'!$AD$2&amp;"*Zone People Number Of Occupants [](Hourly)",'Eplus results'!$1:$1048576,ROW(),FALSE)</f>
        <v>0</v>
      </c>
      <c r="AC2383" s="580">
        <f>HLOOKUP("*"&amp;'Output annual'!$AC$2&amp;'Output annual'!$AD$2&amp;"*FangerPMV(Hourly)",'Eplus results'!$1:$1048576,ROW(),FALSE)</f>
        <v>0</v>
      </c>
      <c r="AD2383" s="580">
        <f t="shared" si="221"/>
        <v>5</v>
      </c>
      <c r="AE2383" s="580">
        <f t="shared" si="222"/>
        <v>2.5</v>
      </c>
      <c r="AF2383" s="580">
        <f t="shared" si="223"/>
        <v>2.5</v>
      </c>
      <c r="AG2383" s="580">
        <f t="shared" si="224"/>
        <v>0</v>
      </c>
      <c r="AH2383" s="580">
        <f t="shared" si="225"/>
        <v>0</v>
      </c>
    </row>
    <row r="2384" spans="28:34">
      <c r="AB2384" s="580">
        <f>HLOOKUP("*"&amp;'Output annual'!$AC$2&amp;'Output annual'!$AD$2&amp;"*Zone People Number Of Occupants [](Hourly)",'Eplus results'!$1:$1048576,ROW(),FALSE)</f>
        <v>0</v>
      </c>
      <c r="AC2384" s="580">
        <f>HLOOKUP("*"&amp;'Output annual'!$AC$2&amp;'Output annual'!$AD$2&amp;"*FangerPMV(Hourly)",'Eplus results'!$1:$1048576,ROW(),FALSE)</f>
        <v>0</v>
      </c>
      <c r="AD2384" s="580">
        <f t="shared" si="221"/>
        <v>5</v>
      </c>
      <c r="AE2384" s="580">
        <f t="shared" si="222"/>
        <v>2.5</v>
      </c>
      <c r="AF2384" s="580">
        <f t="shared" si="223"/>
        <v>2.5</v>
      </c>
      <c r="AG2384" s="580">
        <f t="shared" si="224"/>
        <v>0</v>
      </c>
      <c r="AH2384" s="580">
        <f t="shared" si="225"/>
        <v>0</v>
      </c>
    </row>
    <row r="2385" spans="28:34">
      <c r="AB2385" s="580">
        <f>HLOOKUP("*"&amp;'Output annual'!$AC$2&amp;'Output annual'!$AD$2&amp;"*Zone People Number Of Occupants [](Hourly)",'Eplus results'!$1:$1048576,ROW(),FALSE)</f>
        <v>0</v>
      </c>
      <c r="AC2385" s="580">
        <f>HLOOKUP("*"&amp;'Output annual'!$AC$2&amp;'Output annual'!$AD$2&amp;"*FangerPMV(Hourly)",'Eplus results'!$1:$1048576,ROW(),FALSE)</f>
        <v>0</v>
      </c>
      <c r="AD2385" s="580">
        <f t="shared" si="221"/>
        <v>5</v>
      </c>
      <c r="AE2385" s="580">
        <f t="shared" si="222"/>
        <v>2.5</v>
      </c>
      <c r="AF2385" s="580">
        <f t="shared" si="223"/>
        <v>2.5</v>
      </c>
      <c r="AG2385" s="580">
        <f t="shared" si="224"/>
        <v>0</v>
      </c>
      <c r="AH2385" s="580">
        <f t="shared" si="225"/>
        <v>0</v>
      </c>
    </row>
    <row r="2386" spans="28:34">
      <c r="AB2386" s="580">
        <f>HLOOKUP("*"&amp;'Output annual'!$AC$2&amp;'Output annual'!$AD$2&amp;"*Zone People Number Of Occupants [](Hourly)",'Eplus results'!$1:$1048576,ROW(),FALSE)</f>
        <v>0</v>
      </c>
      <c r="AC2386" s="580">
        <f>HLOOKUP("*"&amp;'Output annual'!$AC$2&amp;'Output annual'!$AD$2&amp;"*FangerPMV(Hourly)",'Eplus results'!$1:$1048576,ROW(),FALSE)</f>
        <v>0</v>
      </c>
      <c r="AD2386" s="580">
        <f t="shared" si="221"/>
        <v>5</v>
      </c>
      <c r="AE2386" s="580">
        <f t="shared" si="222"/>
        <v>2.5</v>
      </c>
      <c r="AF2386" s="580">
        <f t="shared" si="223"/>
        <v>2.5</v>
      </c>
      <c r="AG2386" s="580">
        <f t="shared" si="224"/>
        <v>0</v>
      </c>
      <c r="AH2386" s="580">
        <f t="shared" si="225"/>
        <v>0</v>
      </c>
    </row>
    <row r="2387" spans="28:34">
      <c r="AB2387" s="580">
        <f>HLOOKUP("*"&amp;'Output annual'!$AC$2&amp;'Output annual'!$AD$2&amp;"*Zone People Number Of Occupants [](Hourly)",'Eplus results'!$1:$1048576,ROW(),FALSE)</f>
        <v>0</v>
      </c>
      <c r="AC2387" s="580">
        <f>HLOOKUP("*"&amp;'Output annual'!$AC$2&amp;'Output annual'!$AD$2&amp;"*FangerPMV(Hourly)",'Eplus results'!$1:$1048576,ROW(),FALSE)</f>
        <v>0</v>
      </c>
      <c r="AD2387" s="580">
        <f t="shared" si="221"/>
        <v>5</v>
      </c>
      <c r="AE2387" s="580">
        <f t="shared" si="222"/>
        <v>2.5</v>
      </c>
      <c r="AF2387" s="580">
        <f t="shared" si="223"/>
        <v>2.5</v>
      </c>
      <c r="AG2387" s="580">
        <f t="shared" si="224"/>
        <v>0</v>
      </c>
      <c r="AH2387" s="580">
        <f t="shared" si="225"/>
        <v>0</v>
      </c>
    </row>
    <row r="2388" spans="28:34">
      <c r="AB2388" s="580">
        <f>HLOOKUP("*"&amp;'Output annual'!$AC$2&amp;'Output annual'!$AD$2&amp;"*Zone People Number Of Occupants [](Hourly)",'Eplus results'!$1:$1048576,ROW(),FALSE)</f>
        <v>0</v>
      </c>
      <c r="AC2388" s="580">
        <f>HLOOKUP("*"&amp;'Output annual'!$AC$2&amp;'Output annual'!$AD$2&amp;"*FangerPMV(Hourly)",'Eplus results'!$1:$1048576,ROW(),FALSE)</f>
        <v>0</v>
      </c>
      <c r="AD2388" s="580">
        <f t="shared" si="221"/>
        <v>5</v>
      </c>
      <c r="AE2388" s="580">
        <f t="shared" si="222"/>
        <v>2.5</v>
      </c>
      <c r="AF2388" s="580">
        <f t="shared" si="223"/>
        <v>2.5</v>
      </c>
      <c r="AG2388" s="580">
        <f t="shared" si="224"/>
        <v>0</v>
      </c>
      <c r="AH2388" s="580">
        <f t="shared" si="225"/>
        <v>0</v>
      </c>
    </row>
    <row r="2389" spans="28:34">
      <c r="AB2389" s="580">
        <f>HLOOKUP("*"&amp;'Output annual'!$AC$2&amp;'Output annual'!$AD$2&amp;"*Zone People Number Of Occupants [](Hourly)",'Eplus results'!$1:$1048576,ROW(),FALSE)</f>
        <v>0</v>
      </c>
      <c r="AC2389" s="580">
        <f>HLOOKUP("*"&amp;'Output annual'!$AC$2&amp;'Output annual'!$AD$2&amp;"*FangerPMV(Hourly)",'Eplus results'!$1:$1048576,ROW(),FALSE)</f>
        <v>0</v>
      </c>
      <c r="AD2389" s="580">
        <f t="shared" si="221"/>
        <v>5</v>
      </c>
      <c r="AE2389" s="580">
        <f t="shared" si="222"/>
        <v>2.5</v>
      </c>
      <c r="AF2389" s="580">
        <f t="shared" si="223"/>
        <v>2.5</v>
      </c>
      <c r="AG2389" s="580">
        <f t="shared" si="224"/>
        <v>0</v>
      </c>
      <c r="AH2389" s="580">
        <f t="shared" si="225"/>
        <v>0</v>
      </c>
    </row>
    <row r="2390" spans="28:34">
      <c r="AB2390" s="580">
        <f>HLOOKUP("*"&amp;'Output annual'!$AC$2&amp;'Output annual'!$AD$2&amp;"*Zone People Number Of Occupants [](Hourly)",'Eplus results'!$1:$1048576,ROW(),FALSE)</f>
        <v>0</v>
      </c>
      <c r="AC2390" s="580">
        <f>HLOOKUP("*"&amp;'Output annual'!$AC$2&amp;'Output annual'!$AD$2&amp;"*FangerPMV(Hourly)",'Eplus results'!$1:$1048576,ROW(),FALSE)</f>
        <v>0</v>
      </c>
      <c r="AD2390" s="580">
        <f t="shared" si="221"/>
        <v>5</v>
      </c>
      <c r="AE2390" s="580">
        <f t="shared" si="222"/>
        <v>2.5</v>
      </c>
      <c r="AF2390" s="580">
        <f t="shared" si="223"/>
        <v>2.5</v>
      </c>
      <c r="AG2390" s="580">
        <f t="shared" si="224"/>
        <v>0</v>
      </c>
      <c r="AH2390" s="580">
        <f t="shared" si="225"/>
        <v>0</v>
      </c>
    </row>
    <row r="2391" spans="28:34">
      <c r="AB2391" s="580">
        <f>HLOOKUP("*"&amp;'Output annual'!$AC$2&amp;'Output annual'!$AD$2&amp;"*Zone People Number Of Occupants [](Hourly)",'Eplus results'!$1:$1048576,ROW(),FALSE)</f>
        <v>0</v>
      </c>
      <c r="AC2391" s="580">
        <f>HLOOKUP("*"&amp;'Output annual'!$AC$2&amp;'Output annual'!$AD$2&amp;"*FangerPMV(Hourly)",'Eplus results'!$1:$1048576,ROW(),FALSE)</f>
        <v>0</v>
      </c>
      <c r="AD2391" s="580">
        <f t="shared" si="221"/>
        <v>5</v>
      </c>
      <c r="AE2391" s="580">
        <f t="shared" si="222"/>
        <v>2.5</v>
      </c>
      <c r="AF2391" s="580">
        <f t="shared" si="223"/>
        <v>2.5</v>
      </c>
      <c r="AG2391" s="580">
        <f t="shared" si="224"/>
        <v>0</v>
      </c>
      <c r="AH2391" s="580">
        <f t="shared" si="225"/>
        <v>0</v>
      </c>
    </row>
    <row r="2392" spans="28:34">
      <c r="AB2392" s="580">
        <f>HLOOKUP("*"&amp;'Output annual'!$AC$2&amp;'Output annual'!$AD$2&amp;"*Zone People Number Of Occupants [](Hourly)",'Eplus results'!$1:$1048576,ROW(),FALSE)</f>
        <v>0</v>
      </c>
      <c r="AC2392" s="580">
        <f>HLOOKUP("*"&amp;'Output annual'!$AC$2&amp;'Output annual'!$AD$2&amp;"*FangerPMV(Hourly)",'Eplus results'!$1:$1048576,ROW(),FALSE)</f>
        <v>0</v>
      </c>
      <c r="AD2392" s="580">
        <f t="shared" si="221"/>
        <v>5</v>
      </c>
      <c r="AE2392" s="580">
        <f t="shared" si="222"/>
        <v>2.5</v>
      </c>
      <c r="AF2392" s="580">
        <f t="shared" si="223"/>
        <v>2.5</v>
      </c>
      <c r="AG2392" s="580">
        <f t="shared" si="224"/>
        <v>0</v>
      </c>
      <c r="AH2392" s="580">
        <f t="shared" si="225"/>
        <v>0</v>
      </c>
    </row>
    <row r="2393" spans="28:34">
      <c r="AB2393" s="580">
        <f>HLOOKUP("*"&amp;'Output annual'!$AC$2&amp;'Output annual'!$AD$2&amp;"*Zone People Number Of Occupants [](Hourly)",'Eplus results'!$1:$1048576,ROW(),FALSE)</f>
        <v>0</v>
      </c>
      <c r="AC2393" s="580">
        <f>HLOOKUP("*"&amp;'Output annual'!$AC$2&amp;'Output annual'!$AD$2&amp;"*FangerPMV(Hourly)",'Eplus results'!$1:$1048576,ROW(),FALSE)</f>
        <v>0</v>
      </c>
      <c r="AD2393" s="580">
        <f t="shared" si="221"/>
        <v>5</v>
      </c>
      <c r="AE2393" s="580">
        <f t="shared" si="222"/>
        <v>2.5</v>
      </c>
      <c r="AF2393" s="580">
        <f t="shared" si="223"/>
        <v>2.5</v>
      </c>
      <c r="AG2393" s="580">
        <f t="shared" si="224"/>
        <v>0</v>
      </c>
      <c r="AH2393" s="580">
        <f t="shared" si="225"/>
        <v>0</v>
      </c>
    </row>
    <row r="2394" spans="28:34">
      <c r="AB2394" s="580">
        <f>HLOOKUP("*"&amp;'Output annual'!$AC$2&amp;'Output annual'!$AD$2&amp;"*Zone People Number Of Occupants [](Hourly)",'Eplus results'!$1:$1048576,ROW(),FALSE)</f>
        <v>0</v>
      </c>
      <c r="AC2394" s="580">
        <f>HLOOKUP("*"&amp;'Output annual'!$AC$2&amp;'Output annual'!$AD$2&amp;"*FangerPMV(Hourly)",'Eplus results'!$1:$1048576,ROW(),FALSE)</f>
        <v>0</v>
      </c>
      <c r="AD2394" s="580">
        <f t="shared" si="221"/>
        <v>5</v>
      </c>
      <c r="AE2394" s="580">
        <f t="shared" si="222"/>
        <v>2.5</v>
      </c>
      <c r="AF2394" s="580">
        <f t="shared" si="223"/>
        <v>2.5</v>
      </c>
      <c r="AG2394" s="580">
        <f t="shared" si="224"/>
        <v>0</v>
      </c>
      <c r="AH2394" s="580">
        <f t="shared" si="225"/>
        <v>0</v>
      </c>
    </row>
    <row r="2395" spans="28:34">
      <c r="AB2395" s="580">
        <f>HLOOKUP("*"&amp;'Output annual'!$AC$2&amp;'Output annual'!$AD$2&amp;"*Zone People Number Of Occupants [](Hourly)",'Eplus results'!$1:$1048576,ROW(),FALSE)</f>
        <v>0</v>
      </c>
      <c r="AC2395" s="580">
        <f>HLOOKUP("*"&amp;'Output annual'!$AC$2&amp;'Output annual'!$AD$2&amp;"*FangerPMV(Hourly)",'Eplus results'!$1:$1048576,ROW(),FALSE)</f>
        <v>0</v>
      </c>
      <c r="AD2395" s="580">
        <f t="shared" si="221"/>
        <v>5</v>
      </c>
      <c r="AE2395" s="580">
        <f t="shared" si="222"/>
        <v>2.5</v>
      </c>
      <c r="AF2395" s="580">
        <f t="shared" si="223"/>
        <v>2.5</v>
      </c>
      <c r="AG2395" s="580">
        <f t="shared" si="224"/>
        <v>0</v>
      </c>
      <c r="AH2395" s="580">
        <f t="shared" si="225"/>
        <v>0</v>
      </c>
    </row>
    <row r="2396" spans="28:34">
      <c r="AB2396" s="580">
        <f>HLOOKUP("*"&amp;'Output annual'!$AC$2&amp;'Output annual'!$AD$2&amp;"*Zone People Number Of Occupants [](Hourly)",'Eplus results'!$1:$1048576,ROW(),FALSE)</f>
        <v>0</v>
      </c>
      <c r="AC2396" s="580">
        <f>HLOOKUP("*"&amp;'Output annual'!$AC$2&amp;'Output annual'!$AD$2&amp;"*FangerPMV(Hourly)",'Eplus results'!$1:$1048576,ROW(),FALSE)</f>
        <v>0</v>
      </c>
      <c r="AD2396" s="580">
        <f t="shared" si="221"/>
        <v>5</v>
      </c>
      <c r="AE2396" s="580">
        <f t="shared" si="222"/>
        <v>2.5</v>
      </c>
      <c r="AF2396" s="580">
        <f t="shared" si="223"/>
        <v>2.5</v>
      </c>
      <c r="AG2396" s="580">
        <f t="shared" si="224"/>
        <v>0</v>
      </c>
      <c r="AH2396" s="580">
        <f t="shared" si="225"/>
        <v>0</v>
      </c>
    </row>
    <row r="2397" spans="28:34">
      <c r="AB2397" s="580">
        <f>HLOOKUP("*"&amp;'Output annual'!$AC$2&amp;'Output annual'!$AD$2&amp;"*Zone People Number Of Occupants [](Hourly)",'Eplus results'!$1:$1048576,ROW(),FALSE)</f>
        <v>0</v>
      </c>
      <c r="AC2397" s="580">
        <f>HLOOKUP("*"&amp;'Output annual'!$AC$2&amp;'Output annual'!$AD$2&amp;"*FangerPMV(Hourly)",'Eplus results'!$1:$1048576,ROW(),FALSE)</f>
        <v>0</v>
      </c>
      <c r="AD2397" s="580">
        <f t="shared" si="221"/>
        <v>5</v>
      </c>
      <c r="AE2397" s="580">
        <f t="shared" si="222"/>
        <v>2.5</v>
      </c>
      <c r="AF2397" s="580">
        <f t="shared" si="223"/>
        <v>2.5</v>
      </c>
      <c r="AG2397" s="580">
        <f t="shared" si="224"/>
        <v>0</v>
      </c>
      <c r="AH2397" s="580">
        <f t="shared" si="225"/>
        <v>0</v>
      </c>
    </row>
    <row r="2398" spans="28:34">
      <c r="AB2398" s="580">
        <f>HLOOKUP("*"&amp;'Output annual'!$AC$2&amp;'Output annual'!$AD$2&amp;"*Zone People Number Of Occupants [](Hourly)",'Eplus results'!$1:$1048576,ROW(),FALSE)</f>
        <v>0</v>
      </c>
      <c r="AC2398" s="580">
        <f>HLOOKUP("*"&amp;'Output annual'!$AC$2&amp;'Output annual'!$AD$2&amp;"*FangerPMV(Hourly)",'Eplus results'!$1:$1048576,ROW(),FALSE)</f>
        <v>0</v>
      </c>
      <c r="AD2398" s="580">
        <f t="shared" si="221"/>
        <v>5</v>
      </c>
      <c r="AE2398" s="580">
        <f t="shared" si="222"/>
        <v>2.5</v>
      </c>
      <c r="AF2398" s="580">
        <f t="shared" si="223"/>
        <v>2.5</v>
      </c>
      <c r="AG2398" s="580">
        <f t="shared" si="224"/>
        <v>0</v>
      </c>
      <c r="AH2398" s="580">
        <f t="shared" si="225"/>
        <v>0</v>
      </c>
    </row>
    <row r="2399" spans="28:34">
      <c r="AB2399" s="580">
        <f>HLOOKUP("*"&amp;'Output annual'!$AC$2&amp;'Output annual'!$AD$2&amp;"*Zone People Number Of Occupants [](Hourly)",'Eplus results'!$1:$1048576,ROW(),FALSE)</f>
        <v>0</v>
      </c>
      <c r="AC2399" s="580">
        <f>HLOOKUP("*"&amp;'Output annual'!$AC$2&amp;'Output annual'!$AD$2&amp;"*FangerPMV(Hourly)",'Eplus results'!$1:$1048576,ROW(),FALSE)</f>
        <v>0</v>
      </c>
      <c r="AD2399" s="580">
        <f t="shared" si="221"/>
        <v>5</v>
      </c>
      <c r="AE2399" s="580">
        <f t="shared" si="222"/>
        <v>2.5</v>
      </c>
      <c r="AF2399" s="580">
        <f t="shared" si="223"/>
        <v>2.5</v>
      </c>
      <c r="AG2399" s="580">
        <f t="shared" si="224"/>
        <v>0</v>
      </c>
      <c r="AH2399" s="580">
        <f t="shared" si="225"/>
        <v>0</v>
      </c>
    </row>
    <row r="2400" spans="28:34">
      <c r="AB2400" s="580">
        <f>HLOOKUP("*"&amp;'Output annual'!$AC$2&amp;'Output annual'!$AD$2&amp;"*Zone People Number Of Occupants [](Hourly)",'Eplus results'!$1:$1048576,ROW(),FALSE)</f>
        <v>0</v>
      </c>
      <c r="AC2400" s="580">
        <f>HLOOKUP("*"&amp;'Output annual'!$AC$2&amp;'Output annual'!$AD$2&amp;"*FangerPMV(Hourly)",'Eplus results'!$1:$1048576,ROW(),FALSE)</f>
        <v>0</v>
      </c>
      <c r="AD2400" s="580">
        <f t="shared" si="221"/>
        <v>5</v>
      </c>
      <c r="AE2400" s="580">
        <f t="shared" si="222"/>
        <v>2.5</v>
      </c>
      <c r="AF2400" s="580">
        <f t="shared" si="223"/>
        <v>2.5</v>
      </c>
      <c r="AG2400" s="580">
        <f t="shared" si="224"/>
        <v>0</v>
      </c>
      <c r="AH2400" s="580">
        <f t="shared" si="225"/>
        <v>0</v>
      </c>
    </row>
    <row r="2401" spans="28:34">
      <c r="AB2401" s="580">
        <f>HLOOKUP("*"&amp;'Output annual'!$AC$2&amp;'Output annual'!$AD$2&amp;"*Zone People Number Of Occupants [](Hourly)",'Eplus results'!$1:$1048576,ROW(),FALSE)</f>
        <v>0</v>
      </c>
      <c r="AC2401" s="580">
        <f>HLOOKUP("*"&amp;'Output annual'!$AC$2&amp;'Output annual'!$AD$2&amp;"*FangerPMV(Hourly)",'Eplus results'!$1:$1048576,ROW(),FALSE)</f>
        <v>0</v>
      </c>
      <c r="AD2401" s="580">
        <f t="shared" si="221"/>
        <v>5</v>
      </c>
      <c r="AE2401" s="580">
        <f t="shared" si="222"/>
        <v>2.5</v>
      </c>
      <c r="AF2401" s="580">
        <f t="shared" si="223"/>
        <v>2.5</v>
      </c>
      <c r="AG2401" s="580">
        <f t="shared" si="224"/>
        <v>0</v>
      </c>
      <c r="AH2401" s="580">
        <f t="shared" si="225"/>
        <v>0</v>
      </c>
    </row>
    <row r="2402" spans="28:34">
      <c r="AB2402" s="580">
        <f>HLOOKUP("*"&amp;'Output annual'!$AC$2&amp;'Output annual'!$AD$2&amp;"*Zone People Number Of Occupants [](Hourly)",'Eplus results'!$1:$1048576,ROW(),FALSE)</f>
        <v>0</v>
      </c>
      <c r="AC2402" s="580">
        <f>HLOOKUP("*"&amp;'Output annual'!$AC$2&amp;'Output annual'!$AD$2&amp;"*FangerPMV(Hourly)",'Eplus results'!$1:$1048576,ROW(),FALSE)</f>
        <v>0</v>
      </c>
      <c r="AD2402" s="580">
        <f t="shared" si="221"/>
        <v>5</v>
      </c>
      <c r="AE2402" s="580">
        <f t="shared" si="222"/>
        <v>2.5</v>
      </c>
      <c r="AF2402" s="580">
        <f t="shared" si="223"/>
        <v>2.5</v>
      </c>
      <c r="AG2402" s="580">
        <f t="shared" si="224"/>
        <v>0</v>
      </c>
      <c r="AH2402" s="580">
        <f t="shared" si="225"/>
        <v>0</v>
      </c>
    </row>
    <row r="2403" spans="28:34">
      <c r="AB2403" s="580">
        <f>HLOOKUP("*"&amp;'Output annual'!$AC$2&amp;'Output annual'!$AD$2&amp;"*Zone People Number Of Occupants [](Hourly)",'Eplus results'!$1:$1048576,ROW(),FALSE)</f>
        <v>0</v>
      </c>
      <c r="AC2403" s="580">
        <f>HLOOKUP("*"&amp;'Output annual'!$AC$2&amp;'Output annual'!$AD$2&amp;"*FangerPMV(Hourly)",'Eplus results'!$1:$1048576,ROW(),FALSE)</f>
        <v>0</v>
      </c>
      <c r="AD2403" s="580">
        <f t="shared" si="221"/>
        <v>5</v>
      </c>
      <c r="AE2403" s="580">
        <f t="shared" si="222"/>
        <v>2.5</v>
      </c>
      <c r="AF2403" s="580">
        <f t="shared" si="223"/>
        <v>2.5</v>
      </c>
      <c r="AG2403" s="580">
        <f t="shared" si="224"/>
        <v>0</v>
      </c>
      <c r="AH2403" s="580">
        <f t="shared" si="225"/>
        <v>0</v>
      </c>
    </row>
    <row r="2404" spans="28:34">
      <c r="AB2404" s="580">
        <f>HLOOKUP("*"&amp;'Output annual'!$AC$2&amp;'Output annual'!$AD$2&amp;"*Zone People Number Of Occupants [](Hourly)",'Eplus results'!$1:$1048576,ROW(),FALSE)</f>
        <v>0</v>
      </c>
      <c r="AC2404" s="580">
        <f>HLOOKUP("*"&amp;'Output annual'!$AC$2&amp;'Output annual'!$AD$2&amp;"*FangerPMV(Hourly)",'Eplus results'!$1:$1048576,ROW(),FALSE)</f>
        <v>0</v>
      </c>
      <c r="AD2404" s="580">
        <f t="shared" si="221"/>
        <v>5</v>
      </c>
      <c r="AE2404" s="580">
        <f t="shared" si="222"/>
        <v>2.5</v>
      </c>
      <c r="AF2404" s="580">
        <f t="shared" si="223"/>
        <v>2.5</v>
      </c>
      <c r="AG2404" s="580">
        <f t="shared" si="224"/>
        <v>0</v>
      </c>
      <c r="AH2404" s="580">
        <f t="shared" si="225"/>
        <v>0</v>
      </c>
    </row>
    <row r="2405" spans="28:34">
      <c r="AB2405" s="580">
        <f>HLOOKUP("*"&amp;'Output annual'!$AC$2&amp;'Output annual'!$AD$2&amp;"*Zone People Number Of Occupants [](Hourly)",'Eplus results'!$1:$1048576,ROW(),FALSE)</f>
        <v>0</v>
      </c>
      <c r="AC2405" s="580">
        <f>HLOOKUP("*"&amp;'Output annual'!$AC$2&amp;'Output annual'!$AD$2&amp;"*FangerPMV(Hourly)",'Eplus results'!$1:$1048576,ROW(),FALSE)</f>
        <v>0</v>
      </c>
      <c r="AD2405" s="580">
        <f t="shared" si="221"/>
        <v>5</v>
      </c>
      <c r="AE2405" s="580">
        <f t="shared" si="222"/>
        <v>2.5</v>
      </c>
      <c r="AF2405" s="580">
        <f t="shared" si="223"/>
        <v>2.5</v>
      </c>
      <c r="AG2405" s="580">
        <f t="shared" si="224"/>
        <v>0</v>
      </c>
      <c r="AH2405" s="580">
        <f t="shared" si="225"/>
        <v>0</v>
      </c>
    </row>
    <row r="2406" spans="28:34">
      <c r="AB2406" s="580">
        <f>HLOOKUP("*"&amp;'Output annual'!$AC$2&amp;'Output annual'!$AD$2&amp;"*Zone People Number Of Occupants [](Hourly)",'Eplus results'!$1:$1048576,ROW(),FALSE)</f>
        <v>0</v>
      </c>
      <c r="AC2406" s="580">
        <f>HLOOKUP("*"&amp;'Output annual'!$AC$2&amp;'Output annual'!$AD$2&amp;"*FangerPMV(Hourly)",'Eplus results'!$1:$1048576,ROW(),FALSE)</f>
        <v>0</v>
      </c>
      <c r="AD2406" s="580">
        <f t="shared" si="221"/>
        <v>5</v>
      </c>
      <c r="AE2406" s="580">
        <f t="shared" si="222"/>
        <v>2.5</v>
      </c>
      <c r="AF2406" s="580">
        <f t="shared" si="223"/>
        <v>2.5</v>
      </c>
      <c r="AG2406" s="580">
        <f t="shared" si="224"/>
        <v>0</v>
      </c>
      <c r="AH2406" s="580">
        <f t="shared" si="225"/>
        <v>0</v>
      </c>
    </row>
    <row r="2407" spans="28:34">
      <c r="AB2407" s="580">
        <f>HLOOKUP("*"&amp;'Output annual'!$AC$2&amp;'Output annual'!$AD$2&amp;"*Zone People Number Of Occupants [](Hourly)",'Eplus results'!$1:$1048576,ROW(),FALSE)</f>
        <v>0</v>
      </c>
      <c r="AC2407" s="580">
        <f>HLOOKUP("*"&amp;'Output annual'!$AC$2&amp;'Output annual'!$AD$2&amp;"*FangerPMV(Hourly)",'Eplus results'!$1:$1048576,ROW(),FALSE)</f>
        <v>0</v>
      </c>
      <c r="AD2407" s="580">
        <f t="shared" si="221"/>
        <v>5</v>
      </c>
      <c r="AE2407" s="580">
        <f t="shared" si="222"/>
        <v>2.5</v>
      </c>
      <c r="AF2407" s="580">
        <f t="shared" si="223"/>
        <v>2.5</v>
      </c>
      <c r="AG2407" s="580">
        <f t="shared" si="224"/>
        <v>0</v>
      </c>
      <c r="AH2407" s="580">
        <f t="shared" si="225"/>
        <v>0</v>
      </c>
    </row>
    <row r="2408" spans="28:34">
      <c r="AB2408" s="580">
        <f>HLOOKUP("*"&amp;'Output annual'!$AC$2&amp;'Output annual'!$AD$2&amp;"*Zone People Number Of Occupants [](Hourly)",'Eplus results'!$1:$1048576,ROW(),FALSE)</f>
        <v>0</v>
      </c>
      <c r="AC2408" s="580">
        <f>HLOOKUP("*"&amp;'Output annual'!$AC$2&amp;'Output annual'!$AD$2&amp;"*FangerPMV(Hourly)",'Eplus results'!$1:$1048576,ROW(),FALSE)</f>
        <v>0</v>
      </c>
      <c r="AD2408" s="580">
        <f t="shared" si="221"/>
        <v>5</v>
      </c>
      <c r="AE2408" s="580">
        <f t="shared" si="222"/>
        <v>2.5</v>
      </c>
      <c r="AF2408" s="580">
        <f t="shared" si="223"/>
        <v>2.5</v>
      </c>
      <c r="AG2408" s="580">
        <f t="shared" si="224"/>
        <v>0</v>
      </c>
      <c r="AH2408" s="580">
        <f t="shared" si="225"/>
        <v>0</v>
      </c>
    </row>
    <row r="2409" spans="28:34">
      <c r="AB2409" s="580">
        <f>HLOOKUP("*"&amp;'Output annual'!$AC$2&amp;'Output annual'!$AD$2&amp;"*Zone People Number Of Occupants [](Hourly)",'Eplus results'!$1:$1048576,ROW(),FALSE)</f>
        <v>0</v>
      </c>
      <c r="AC2409" s="580">
        <f>HLOOKUP("*"&amp;'Output annual'!$AC$2&amp;'Output annual'!$AD$2&amp;"*FangerPMV(Hourly)",'Eplus results'!$1:$1048576,ROW(),FALSE)</f>
        <v>0</v>
      </c>
      <c r="AD2409" s="580">
        <f t="shared" si="221"/>
        <v>5</v>
      </c>
      <c r="AE2409" s="580">
        <f t="shared" si="222"/>
        <v>2.5</v>
      </c>
      <c r="AF2409" s="580">
        <f t="shared" si="223"/>
        <v>2.5</v>
      </c>
      <c r="AG2409" s="580">
        <f t="shared" si="224"/>
        <v>0</v>
      </c>
      <c r="AH2409" s="580">
        <f t="shared" si="225"/>
        <v>0</v>
      </c>
    </row>
    <row r="2410" spans="28:34">
      <c r="AB2410" s="580">
        <f>HLOOKUP("*"&amp;'Output annual'!$AC$2&amp;'Output annual'!$AD$2&amp;"*Zone People Number Of Occupants [](Hourly)",'Eplus results'!$1:$1048576,ROW(),FALSE)</f>
        <v>0</v>
      </c>
      <c r="AC2410" s="580">
        <f>HLOOKUP("*"&amp;'Output annual'!$AC$2&amp;'Output annual'!$AD$2&amp;"*FangerPMV(Hourly)",'Eplus results'!$1:$1048576,ROW(),FALSE)</f>
        <v>0</v>
      </c>
      <c r="AD2410" s="580">
        <f t="shared" si="221"/>
        <v>5</v>
      </c>
      <c r="AE2410" s="580">
        <f t="shared" si="222"/>
        <v>2.5</v>
      </c>
      <c r="AF2410" s="580">
        <f t="shared" si="223"/>
        <v>2.5</v>
      </c>
      <c r="AG2410" s="580">
        <f t="shared" si="224"/>
        <v>0</v>
      </c>
      <c r="AH2410" s="580">
        <f t="shared" si="225"/>
        <v>0</v>
      </c>
    </row>
    <row r="2411" spans="28:34">
      <c r="AB2411" s="580">
        <f>HLOOKUP("*"&amp;'Output annual'!$AC$2&amp;'Output annual'!$AD$2&amp;"*Zone People Number Of Occupants [](Hourly)",'Eplus results'!$1:$1048576,ROW(),FALSE)</f>
        <v>0</v>
      </c>
      <c r="AC2411" s="580">
        <f>HLOOKUP("*"&amp;'Output annual'!$AC$2&amp;'Output annual'!$AD$2&amp;"*FangerPMV(Hourly)",'Eplus results'!$1:$1048576,ROW(),FALSE)</f>
        <v>0</v>
      </c>
      <c r="AD2411" s="580">
        <f t="shared" si="221"/>
        <v>5</v>
      </c>
      <c r="AE2411" s="580">
        <f t="shared" si="222"/>
        <v>2.5</v>
      </c>
      <c r="AF2411" s="580">
        <f t="shared" si="223"/>
        <v>2.5</v>
      </c>
      <c r="AG2411" s="580">
        <f t="shared" si="224"/>
        <v>0</v>
      </c>
      <c r="AH2411" s="580">
        <f t="shared" si="225"/>
        <v>0</v>
      </c>
    </row>
    <row r="2412" spans="28:34">
      <c r="AB2412" s="580">
        <f>HLOOKUP("*"&amp;'Output annual'!$AC$2&amp;'Output annual'!$AD$2&amp;"*Zone People Number Of Occupants [](Hourly)",'Eplus results'!$1:$1048576,ROW(),FALSE)</f>
        <v>0</v>
      </c>
      <c r="AC2412" s="580">
        <f>HLOOKUP("*"&amp;'Output annual'!$AC$2&amp;'Output annual'!$AD$2&amp;"*FangerPMV(Hourly)",'Eplus results'!$1:$1048576,ROW(),FALSE)</f>
        <v>0</v>
      </c>
      <c r="AD2412" s="580">
        <f t="shared" si="221"/>
        <v>5</v>
      </c>
      <c r="AE2412" s="580">
        <f t="shared" si="222"/>
        <v>2.5</v>
      </c>
      <c r="AF2412" s="580">
        <f t="shared" si="223"/>
        <v>2.5</v>
      </c>
      <c r="AG2412" s="580">
        <f t="shared" si="224"/>
        <v>0</v>
      </c>
      <c r="AH2412" s="580">
        <f t="shared" si="225"/>
        <v>0</v>
      </c>
    </row>
    <row r="2413" spans="28:34">
      <c r="AB2413" s="580">
        <f>HLOOKUP("*"&amp;'Output annual'!$AC$2&amp;'Output annual'!$AD$2&amp;"*Zone People Number Of Occupants [](Hourly)",'Eplus results'!$1:$1048576,ROW(),FALSE)</f>
        <v>0</v>
      </c>
      <c r="AC2413" s="580">
        <f>HLOOKUP("*"&amp;'Output annual'!$AC$2&amp;'Output annual'!$AD$2&amp;"*FangerPMV(Hourly)",'Eplus results'!$1:$1048576,ROW(),FALSE)</f>
        <v>0</v>
      </c>
      <c r="AD2413" s="580">
        <f t="shared" si="221"/>
        <v>5</v>
      </c>
      <c r="AE2413" s="580">
        <f t="shared" si="222"/>
        <v>2.5</v>
      </c>
      <c r="AF2413" s="580">
        <f t="shared" si="223"/>
        <v>2.5</v>
      </c>
      <c r="AG2413" s="580">
        <f t="shared" si="224"/>
        <v>0</v>
      </c>
      <c r="AH2413" s="580">
        <f t="shared" si="225"/>
        <v>0</v>
      </c>
    </row>
    <row r="2414" spans="28:34">
      <c r="AB2414" s="580">
        <f>HLOOKUP("*"&amp;'Output annual'!$AC$2&amp;'Output annual'!$AD$2&amp;"*Zone People Number Of Occupants [](Hourly)",'Eplus results'!$1:$1048576,ROW(),FALSE)</f>
        <v>0</v>
      </c>
      <c r="AC2414" s="580">
        <f>HLOOKUP("*"&amp;'Output annual'!$AC$2&amp;'Output annual'!$AD$2&amp;"*FangerPMV(Hourly)",'Eplus results'!$1:$1048576,ROW(),FALSE)</f>
        <v>0</v>
      </c>
      <c r="AD2414" s="580">
        <f t="shared" si="221"/>
        <v>5</v>
      </c>
      <c r="AE2414" s="580">
        <f t="shared" si="222"/>
        <v>2.5</v>
      </c>
      <c r="AF2414" s="580">
        <f t="shared" si="223"/>
        <v>2.5</v>
      </c>
      <c r="AG2414" s="580">
        <f t="shared" si="224"/>
        <v>0</v>
      </c>
      <c r="AH2414" s="580">
        <f t="shared" si="225"/>
        <v>0</v>
      </c>
    </row>
    <row r="2415" spans="28:34">
      <c r="AB2415" s="580">
        <f>HLOOKUP("*"&amp;'Output annual'!$AC$2&amp;'Output annual'!$AD$2&amp;"*Zone People Number Of Occupants [](Hourly)",'Eplus results'!$1:$1048576,ROW(),FALSE)</f>
        <v>0</v>
      </c>
      <c r="AC2415" s="580">
        <f>HLOOKUP("*"&amp;'Output annual'!$AC$2&amp;'Output annual'!$AD$2&amp;"*FangerPMV(Hourly)",'Eplus results'!$1:$1048576,ROW(),FALSE)</f>
        <v>0</v>
      </c>
      <c r="AD2415" s="580">
        <f t="shared" si="221"/>
        <v>5</v>
      </c>
      <c r="AE2415" s="580">
        <f t="shared" si="222"/>
        <v>2.5</v>
      </c>
      <c r="AF2415" s="580">
        <f t="shared" si="223"/>
        <v>2.5</v>
      </c>
      <c r="AG2415" s="580">
        <f t="shared" si="224"/>
        <v>0</v>
      </c>
      <c r="AH2415" s="580">
        <f t="shared" si="225"/>
        <v>0</v>
      </c>
    </row>
    <row r="2416" spans="28:34">
      <c r="AB2416" s="580">
        <f>HLOOKUP("*"&amp;'Output annual'!$AC$2&amp;'Output annual'!$AD$2&amp;"*Zone People Number Of Occupants [](Hourly)",'Eplus results'!$1:$1048576,ROW(),FALSE)</f>
        <v>0</v>
      </c>
      <c r="AC2416" s="580">
        <f>HLOOKUP("*"&amp;'Output annual'!$AC$2&amp;'Output annual'!$AD$2&amp;"*FangerPMV(Hourly)",'Eplus results'!$1:$1048576,ROW(),FALSE)</f>
        <v>0</v>
      </c>
      <c r="AD2416" s="580">
        <f t="shared" si="221"/>
        <v>5</v>
      </c>
      <c r="AE2416" s="580">
        <f t="shared" si="222"/>
        <v>2.5</v>
      </c>
      <c r="AF2416" s="580">
        <f t="shared" si="223"/>
        <v>2.5</v>
      </c>
      <c r="AG2416" s="580">
        <f t="shared" si="224"/>
        <v>0</v>
      </c>
      <c r="AH2416" s="580">
        <f t="shared" si="225"/>
        <v>0</v>
      </c>
    </row>
    <row r="2417" spans="28:34">
      <c r="AB2417" s="580">
        <f>HLOOKUP("*"&amp;'Output annual'!$AC$2&amp;'Output annual'!$AD$2&amp;"*Zone People Number Of Occupants [](Hourly)",'Eplus results'!$1:$1048576,ROW(),FALSE)</f>
        <v>0</v>
      </c>
      <c r="AC2417" s="580">
        <f>HLOOKUP("*"&amp;'Output annual'!$AC$2&amp;'Output annual'!$AD$2&amp;"*FangerPMV(Hourly)",'Eplus results'!$1:$1048576,ROW(),FALSE)</f>
        <v>0</v>
      </c>
      <c r="AD2417" s="580">
        <f t="shared" si="221"/>
        <v>5</v>
      </c>
      <c r="AE2417" s="580">
        <f t="shared" si="222"/>
        <v>2.5</v>
      </c>
      <c r="AF2417" s="580">
        <f t="shared" si="223"/>
        <v>2.5</v>
      </c>
      <c r="AG2417" s="580">
        <f t="shared" si="224"/>
        <v>0</v>
      </c>
      <c r="AH2417" s="580">
        <f t="shared" si="225"/>
        <v>0</v>
      </c>
    </row>
    <row r="2418" spans="28:34">
      <c r="AB2418" s="580">
        <f>HLOOKUP("*"&amp;'Output annual'!$AC$2&amp;'Output annual'!$AD$2&amp;"*Zone People Number Of Occupants [](Hourly)",'Eplus results'!$1:$1048576,ROW(),FALSE)</f>
        <v>0</v>
      </c>
      <c r="AC2418" s="580">
        <f>HLOOKUP("*"&amp;'Output annual'!$AC$2&amp;'Output annual'!$AD$2&amp;"*FangerPMV(Hourly)",'Eplus results'!$1:$1048576,ROW(),FALSE)</f>
        <v>0</v>
      </c>
      <c r="AD2418" s="580">
        <f t="shared" si="221"/>
        <v>5</v>
      </c>
      <c r="AE2418" s="580">
        <f t="shared" si="222"/>
        <v>2.5</v>
      </c>
      <c r="AF2418" s="580">
        <f t="shared" si="223"/>
        <v>2.5</v>
      </c>
      <c r="AG2418" s="580">
        <f t="shared" si="224"/>
        <v>0</v>
      </c>
      <c r="AH2418" s="580">
        <f t="shared" si="225"/>
        <v>0</v>
      </c>
    </row>
    <row r="2419" spans="28:34">
      <c r="AB2419" s="580">
        <f>HLOOKUP("*"&amp;'Output annual'!$AC$2&amp;'Output annual'!$AD$2&amp;"*Zone People Number Of Occupants [](Hourly)",'Eplus results'!$1:$1048576,ROW(),FALSE)</f>
        <v>0</v>
      </c>
      <c r="AC2419" s="580">
        <f>HLOOKUP("*"&amp;'Output annual'!$AC$2&amp;'Output annual'!$AD$2&amp;"*FangerPMV(Hourly)",'Eplus results'!$1:$1048576,ROW(),FALSE)</f>
        <v>0</v>
      </c>
      <c r="AD2419" s="580">
        <f t="shared" si="221"/>
        <v>5</v>
      </c>
      <c r="AE2419" s="580">
        <f t="shared" si="222"/>
        <v>2.5</v>
      </c>
      <c r="AF2419" s="580">
        <f t="shared" si="223"/>
        <v>2.5</v>
      </c>
      <c r="AG2419" s="580">
        <f t="shared" si="224"/>
        <v>0</v>
      </c>
      <c r="AH2419" s="580">
        <f t="shared" si="225"/>
        <v>0</v>
      </c>
    </row>
    <row r="2420" spans="28:34">
      <c r="AB2420" s="580">
        <f>HLOOKUP("*"&amp;'Output annual'!$AC$2&amp;'Output annual'!$AD$2&amp;"*Zone People Number Of Occupants [](Hourly)",'Eplus results'!$1:$1048576,ROW(),FALSE)</f>
        <v>0</v>
      </c>
      <c r="AC2420" s="580">
        <f>HLOOKUP("*"&amp;'Output annual'!$AC$2&amp;'Output annual'!$AD$2&amp;"*FangerPMV(Hourly)",'Eplus results'!$1:$1048576,ROW(),FALSE)</f>
        <v>0</v>
      </c>
      <c r="AD2420" s="580">
        <f t="shared" si="221"/>
        <v>5</v>
      </c>
      <c r="AE2420" s="580">
        <f t="shared" si="222"/>
        <v>2.5</v>
      </c>
      <c r="AF2420" s="580">
        <f t="shared" si="223"/>
        <v>2.5</v>
      </c>
      <c r="AG2420" s="580">
        <f t="shared" si="224"/>
        <v>0</v>
      </c>
      <c r="AH2420" s="580">
        <f t="shared" si="225"/>
        <v>0</v>
      </c>
    </row>
    <row r="2421" spans="28:34">
      <c r="AB2421" s="580">
        <f>HLOOKUP("*"&amp;'Output annual'!$AC$2&amp;'Output annual'!$AD$2&amp;"*Zone People Number Of Occupants [](Hourly)",'Eplus results'!$1:$1048576,ROW(),FALSE)</f>
        <v>0</v>
      </c>
      <c r="AC2421" s="580">
        <f>HLOOKUP("*"&amp;'Output annual'!$AC$2&amp;'Output annual'!$AD$2&amp;"*FangerPMV(Hourly)",'Eplus results'!$1:$1048576,ROW(),FALSE)</f>
        <v>0</v>
      </c>
      <c r="AD2421" s="580">
        <f t="shared" si="221"/>
        <v>5</v>
      </c>
      <c r="AE2421" s="580">
        <f t="shared" si="222"/>
        <v>2.5</v>
      </c>
      <c r="AF2421" s="580">
        <f t="shared" si="223"/>
        <v>2.5</v>
      </c>
      <c r="AG2421" s="580">
        <f t="shared" si="224"/>
        <v>0</v>
      </c>
      <c r="AH2421" s="580">
        <f t="shared" si="225"/>
        <v>0</v>
      </c>
    </row>
    <row r="2422" spans="28:34">
      <c r="AB2422" s="580">
        <f>HLOOKUP("*"&amp;'Output annual'!$AC$2&amp;'Output annual'!$AD$2&amp;"*Zone People Number Of Occupants [](Hourly)",'Eplus results'!$1:$1048576,ROW(),FALSE)</f>
        <v>0</v>
      </c>
      <c r="AC2422" s="580">
        <f>HLOOKUP("*"&amp;'Output annual'!$AC$2&amp;'Output annual'!$AD$2&amp;"*FangerPMV(Hourly)",'Eplus results'!$1:$1048576,ROW(),FALSE)</f>
        <v>0</v>
      </c>
      <c r="AD2422" s="580">
        <f t="shared" si="221"/>
        <v>5</v>
      </c>
      <c r="AE2422" s="580">
        <f t="shared" si="222"/>
        <v>2.5</v>
      </c>
      <c r="AF2422" s="580">
        <f t="shared" si="223"/>
        <v>2.5</v>
      </c>
      <c r="AG2422" s="580">
        <f t="shared" si="224"/>
        <v>0</v>
      </c>
      <c r="AH2422" s="580">
        <f t="shared" si="225"/>
        <v>0</v>
      </c>
    </row>
    <row r="2423" spans="28:34">
      <c r="AB2423" s="580">
        <f>HLOOKUP("*"&amp;'Output annual'!$AC$2&amp;'Output annual'!$AD$2&amp;"*Zone People Number Of Occupants [](Hourly)",'Eplus results'!$1:$1048576,ROW(),FALSE)</f>
        <v>0</v>
      </c>
      <c r="AC2423" s="580">
        <f>HLOOKUP("*"&amp;'Output annual'!$AC$2&amp;'Output annual'!$AD$2&amp;"*FangerPMV(Hourly)",'Eplus results'!$1:$1048576,ROW(),FALSE)</f>
        <v>0</v>
      </c>
      <c r="AD2423" s="580">
        <f t="shared" si="221"/>
        <v>5</v>
      </c>
      <c r="AE2423" s="580">
        <f t="shared" si="222"/>
        <v>2.5</v>
      </c>
      <c r="AF2423" s="580">
        <f t="shared" si="223"/>
        <v>2.5</v>
      </c>
      <c r="AG2423" s="580">
        <f t="shared" si="224"/>
        <v>0</v>
      </c>
      <c r="AH2423" s="580">
        <f t="shared" si="225"/>
        <v>0</v>
      </c>
    </row>
    <row r="2424" spans="28:34">
      <c r="AB2424" s="580">
        <f>HLOOKUP("*"&amp;'Output annual'!$AC$2&amp;'Output annual'!$AD$2&amp;"*Zone People Number Of Occupants [](Hourly)",'Eplus results'!$1:$1048576,ROW(),FALSE)</f>
        <v>0</v>
      </c>
      <c r="AC2424" s="580">
        <f>HLOOKUP("*"&amp;'Output annual'!$AC$2&amp;'Output annual'!$AD$2&amp;"*FangerPMV(Hourly)",'Eplus results'!$1:$1048576,ROW(),FALSE)</f>
        <v>0</v>
      </c>
      <c r="AD2424" s="580">
        <f t="shared" si="221"/>
        <v>5</v>
      </c>
      <c r="AE2424" s="580">
        <f t="shared" si="222"/>
        <v>2.5</v>
      </c>
      <c r="AF2424" s="580">
        <f t="shared" si="223"/>
        <v>2.5</v>
      </c>
      <c r="AG2424" s="580">
        <f t="shared" si="224"/>
        <v>0</v>
      </c>
      <c r="AH2424" s="580">
        <f t="shared" si="225"/>
        <v>0</v>
      </c>
    </row>
    <row r="2425" spans="28:34">
      <c r="AB2425" s="580">
        <f>HLOOKUP("*"&amp;'Output annual'!$AC$2&amp;'Output annual'!$AD$2&amp;"*Zone People Number Of Occupants [](Hourly)",'Eplus results'!$1:$1048576,ROW(),FALSE)</f>
        <v>0</v>
      </c>
      <c r="AC2425" s="580">
        <f>HLOOKUP("*"&amp;'Output annual'!$AC$2&amp;'Output annual'!$AD$2&amp;"*FangerPMV(Hourly)",'Eplus results'!$1:$1048576,ROW(),FALSE)</f>
        <v>0</v>
      </c>
      <c r="AD2425" s="580">
        <f t="shared" si="221"/>
        <v>5</v>
      </c>
      <c r="AE2425" s="580">
        <f t="shared" si="222"/>
        <v>2.5</v>
      </c>
      <c r="AF2425" s="580">
        <f t="shared" si="223"/>
        <v>2.5</v>
      </c>
      <c r="AG2425" s="580">
        <f t="shared" si="224"/>
        <v>0</v>
      </c>
      <c r="AH2425" s="580">
        <f t="shared" si="225"/>
        <v>0</v>
      </c>
    </row>
    <row r="2426" spans="28:34">
      <c r="AB2426" s="580">
        <f>HLOOKUP("*"&amp;'Output annual'!$AC$2&amp;'Output annual'!$AD$2&amp;"*Zone People Number Of Occupants [](Hourly)",'Eplus results'!$1:$1048576,ROW(),FALSE)</f>
        <v>0</v>
      </c>
      <c r="AC2426" s="580">
        <f>HLOOKUP("*"&amp;'Output annual'!$AC$2&amp;'Output annual'!$AD$2&amp;"*FangerPMV(Hourly)",'Eplus results'!$1:$1048576,ROW(),FALSE)</f>
        <v>0</v>
      </c>
      <c r="AD2426" s="580">
        <f t="shared" si="221"/>
        <v>5</v>
      </c>
      <c r="AE2426" s="580">
        <f t="shared" si="222"/>
        <v>2.5</v>
      </c>
      <c r="AF2426" s="580">
        <f t="shared" si="223"/>
        <v>2.5</v>
      </c>
      <c r="AG2426" s="580">
        <f t="shared" si="224"/>
        <v>0</v>
      </c>
      <c r="AH2426" s="580">
        <f t="shared" si="225"/>
        <v>0</v>
      </c>
    </row>
    <row r="2427" spans="28:34">
      <c r="AB2427" s="580">
        <f>HLOOKUP("*"&amp;'Output annual'!$AC$2&amp;'Output annual'!$AD$2&amp;"*Zone People Number Of Occupants [](Hourly)",'Eplus results'!$1:$1048576,ROW(),FALSE)</f>
        <v>0</v>
      </c>
      <c r="AC2427" s="580">
        <f>HLOOKUP("*"&amp;'Output annual'!$AC$2&amp;'Output annual'!$AD$2&amp;"*FangerPMV(Hourly)",'Eplus results'!$1:$1048576,ROW(),FALSE)</f>
        <v>0</v>
      </c>
      <c r="AD2427" s="580">
        <f t="shared" si="221"/>
        <v>5</v>
      </c>
      <c r="AE2427" s="580">
        <f t="shared" si="222"/>
        <v>2.5</v>
      </c>
      <c r="AF2427" s="580">
        <f t="shared" si="223"/>
        <v>2.5</v>
      </c>
      <c r="AG2427" s="580">
        <f t="shared" si="224"/>
        <v>0</v>
      </c>
      <c r="AH2427" s="580">
        <f t="shared" si="225"/>
        <v>0</v>
      </c>
    </row>
    <row r="2428" spans="28:34">
      <c r="AB2428" s="580">
        <f>HLOOKUP("*"&amp;'Output annual'!$AC$2&amp;'Output annual'!$AD$2&amp;"*Zone People Number Of Occupants [](Hourly)",'Eplus results'!$1:$1048576,ROW(),FALSE)</f>
        <v>0</v>
      </c>
      <c r="AC2428" s="580">
        <f>HLOOKUP("*"&amp;'Output annual'!$AC$2&amp;'Output annual'!$AD$2&amp;"*FangerPMV(Hourly)",'Eplus results'!$1:$1048576,ROW(),FALSE)</f>
        <v>0</v>
      </c>
      <c r="AD2428" s="580">
        <f t="shared" si="221"/>
        <v>5</v>
      </c>
      <c r="AE2428" s="580">
        <f t="shared" si="222"/>
        <v>2.5</v>
      </c>
      <c r="AF2428" s="580">
        <f t="shared" si="223"/>
        <v>2.5</v>
      </c>
      <c r="AG2428" s="580">
        <f t="shared" si="224"/>
        <v>0</v>
      </c>
      <c r="AH2428" s="580">
        <f t="shared" si="225"/>
        <v>0</v>
      </c>
    </row>
    <row r="2429" spans="28:34">
      <c r="AB2429" s="580">
        <f>HLOOKUP("*"&amp;'Output annual'!$AC$2&amp;'Output annual'!$AD$2&amp;"*Zone People Number Of Occupants [](Hourly)",'Eplus results'!$1:$1048576,ROW(),FALSE)</f>
        <v>0</v>
      </c>
      <c r="AC2429" s="580">
        <f>HLOOKUP("*"&amp;'Output annual'!$AC$2&amp;'Output annual'!$AD$2&amp;"*FangerPMV(Hourly)",'Eplus results'!$1:$1048576,ROW(),FALSE)</f>
        <v>0</v>
      </c>
      <c r="AD2429" s="580">
        <f t="shared" si="221"/>
        <v>5</v>
      </c>
      <c r="AE2429" s="580">
        <f t="shared" si="222"/>
        <v>2.5</v>
      </c>
      <c r="AF2429" s="580">
        <f t="shared" si="223"/>
        <v>2.5</v>
      </c>
      <c r="AG2429" s="580">
        <f t="shared" si="224"/>
        <v>0</v>
      </c>
      <c r="AH2429" s="580">
        <f t="shared" si="225"/>
        <v>0</v>
      </c>
    </row>
    <row r="2430" spans="28:34">
      <c r="AB2430" s="580">
        <f>HLOOKUP("*"&amp;'Output annual'!$AC$2&amp;'Output annual'!$AD$2&amp;"*Zone People Number Of Occupants [](Hourly)",'Eplus results'!$1:$1048576,ROW(),FALSE)</f>
        <v>0</v>
      </c>
      <c r="AC2430" s="580">
        <f>HLOOKUP("*"&amp;'Output annual'!$AC$2&amp;'Output annual'!$AD$2&amp;"*FangerPMV(Hourly)",'Eplus results'!$1:$1048576,ROW(),FALSE)</f>
        <v>0</v>
      </c>
      <c r="AD2430" s="580">
        <f t="shared" si="221"/>
        <v>5</v>
      </c>
      <c r="AE2430" s="580">
        <f t="shared" si="222"/>
        <v>2.5</v>
      </c>
      <c r="AF2430" s="580">
        <f t="shared" si="223"/>
        <v>2.5</v>
      </c>
      <c r="AG2430" s="580">
        <f t="shared" si="224"/>
        <v>0</v>
      </c>
      <c r="AH2430" s="580">
        <f t="shared" si="225"/>
        <v>0</v>
      </c>
    </row>
    <row r="2431" spans="28:34">
      <c r="AB2431" s="580">
        <f>HLOOKUP("*"&amp;'Output annual'!$AC$2&amp;'Output annual'!$AD$2&amp;"*Zone People Number Of Occupants [](Hourly)",'Eplus results'!$1:$1048576,ROW(),FALSE)</f>
        <v>0</v>
      </c>
      <c r="AC2431" s="580">
        <f>HLOOKUP("*"&amp;'Output annual'!$AC$2&amp;'Output annual'!$AD$2&amp;"*FangerPMV(Hourly)",'Eplus results'!$1:$1048576,ROW(),FALSE)</f>
        <v>0</v>
      </c>
      <c r="AD2431" s="580">
        <f t="shared" si="221"/>
        <v>5</v>
      </c>
      <c r="AE2431" s="580">
        <f t="shared" si="222"/>
        <v>2.5</v>
      </c>
      <c r="AF2431" s="580">
        <f t="shared" si="223"/>
        <v>2.5</v>
      </c>
      <c r="AG2431" s="580">
        <f t="shared" si="224"/>
        <v>0</v>
      </c>
      <c r="AH2431" s="580">
        <f t="shared" si="225"/>
        <v>0</v>
      </c>
    </row>
    <row r="2432" spans="28:34">
      <c r="AB2432" s="580">
        <f>HLOOKUP("*"&amp;'Output annual'!$AC$2&amp;'Output annual'!$AD$2&amp;"*Zone People Number Of Occupants [](Hourly)",'Eplus results'!$1:$1048576,ROW(),FALSE)</f>
        <v>0</v>
      </c>
      <c r="AC2432" s="580">
        <f>HLOOKUP("*"&amp;'Output annual'!$AC$2&amp;'Output annual'!$AD$2&amp;"*FangerPMV(Hourly)",'Eplus results'!$1:$1048576,ROW(),FALSE)</f>
        <v>0</v>
      </c>
      <c r="AD2432" s="580">
        <f t="shared" si="221"/>
        <v>5</v>
      </c>
      <c r="AE2432" s="580">
        <f t="shared" si="222"/>
        <v>2.5</v>
      </c>
      <c r="AF2432" s="580">
        <f t="shared" si="223"/>
        <v>2.5</v>
      </c>
      <c r="AG2432" s="580">
        <f t="shared" si="224"/>
        <v>0</v>
      </c>
      <c r="AH2432" s="580">
        <f t="shared" si="225"/>
        <v>0</v>
      </c>
    </row>
    <row r="2433" spans="28:34">
      <c r="AB2433" s="580">
        <f>HLOOKUP("*"&amp;'Output annual'!$AC$2&amp;'Output annual'!$AD$2&amp;"*Zone People Number Of Occupants [](Hourly)",'Eplus results'!$1:$1048576,ROW(),FALSE)</f>
        <v>0</v>
      </c>
      <c r="AC2433" s="580">
        <f>HLOOKUP("*"&amp;'Output annual'!$AC$2&amp;'Output annual'!$AD$2&amp;"*FangerPMV(Hourly)",'Eplus results'!$1:$1048576,ROW(),FALSE)</f>
        <v>0</v>
      </c>
      <c r="AD2433" s="580">
        <f t="shared" si="221"/>
        <v>5</v>
      </c>
      <c r="AE2433" s="580">
        <f t="shared" si="222"/>
        <v>2.5</v>
      </c>
      <c r="AF2433" s="580">
        <f t="shared" si="223"/>
        <v>2.5</v>
      </c>
      <c r="AG2433" s="580">
        <f t="shared" si="224"/>
        <v>0</v>
      </c>
      <c r="AH2433" s="580">
        <f t="shared" si="225"/>
        <v>0</v>
      </c>
    </row>
    <row r="2434" spans="28:34">
      <c r="AB2434" s="580">
        <f>HLOOKUP("*"&amp;'Output annual'!$AC$2&amp;'Output annual'!$AD$2&amp;"*Zone People Number Of Occupants [](Hourly)",'Eplus results'!$1:$1048576,ROW(),FALSE)</f>
        <v>0</v>
      </c>
      <c r="AC2434" s="580">
        <f>HLOOKUP("*"&amp;'Output annual'!$AC$2&amp;'Output annual'!$AD$2&amp;"*FangerPMV(Hourly)",'Eplus results'!$1:$1048576,ROW(),FALSE)</f>
        <v>0</v>
      </c>
      <c r="AD2434" s="580">
        <f t="shared" si="221"/>
        <v>5</v>
      </c>
      <c r="AE2434" s="580">
        <f t="shared" si="222"/>
        <v>2.5</v>
      </c>
      <c r="AF2434" s="580">
        <f t="shared" si="223"/>
        <v>2.5</v>
      </c>
      <c r="AG2434" s="580">
        <f t="shared" si="224"/>
        <v>0</v>
      </c>
      <c r="AH2434" s="580">
        <f t="shared" si="225"/>
        <v>0</v>
      </c>
    </row>
    <row r="2435" spans="28:34">
      <c r="AB2435" s="580">
        <f>HLOOKUP("*"&amp;'Output annual'!$AC$2&amp;'Output annual'!$AD$2&amp;"*Zone People Number Of Occupants [](Hourly)",'Eplus results'!$1:$1048576,ROW(),FALSE)</f>
        <v>0</v>
      </c>
      <c r="AC2435" s="580">
        <f>HLOOKUP("*"&amp;'Output annual'!$AC$2&amp;'Output annual'!$AD$2&amp;"*FangerPMV(Hourly)",'Eplus results'!$1:$1048576,ROW(),FALSE)</f>
        <v>0</v>
      </c>
      <c r="AD2435" s="580">
        <f t="shared" ref="AD2435:AD2498" si="226">100-95*EXP(-0.03353*AC2435^4-0.2179*AC2435^2)</f>
        <v>5</v>
      </c>
      <c r="AE2435" s="580">
        <f t="shared" ref="AE2435:AE2498" si="227">AD2435*(1/(1+EXP(-6.3*$AC2435)))</f>
        <v>2.5</v>
      </c>
      <c r="AF2435" s="580">
        <f t="shared" ref="AF2435:AF2498" si="228">(AD2435-AE2435)</f>
        <v>2.5</v>
      </c>
      <c r="AG2435" s="580">
        <f t="shared" ref="AG2435:AG2498" si="229">AE2435*AB2435</f>
        <v>0</v>
      </c>
      <c r="AH2435" s="580">
        <f t="shared" ref="AH2435:AH2498" si="230">AF2435*AB2435</f>
        <v>0</v>
      </c>
    </row>
    <row r="2436" spans="28:34">
      <c r="AB2436" s="580">
        <f>HLOOKUP("*"&amp;'Output annual'!$AC$2&amp;'Output annual'!$AD$2&amp;"*Zone People Number Of Occupants [](Hourly)",'Eplus results'!$1:$1048576,ROW(),FALSE)</f>
        <v>0</v>
      </c>
      <c r="AC2436" s="580">
        <f>HLOOKUP("*"&amp;'Output annual'!$AC$2&amp;'Output annual'!$AD$2&amp;"*FangerPMV(Hourly)",'Eplus results'!$1:$1048576,ROW(),FALSE)</f>
        <v>0</v>
      </c>
      <c r="AD2436" s="580">
        <f t="shared" si="226"/>
        <v>5</v>
      </c>
      <c r="AE2436" s="580">
        <f t="shared" si="227"/>
        <v>2.5</v>
      </c>
      <c r="AF2436" s="580">
        <f t="shared" si="228"/>
        <v>2.5</v>
      </c>
      <c r="AG2436" s="580">
        <f t="shared" si="229"/>
        <v>0</v>
      </c>
      <c r="AH2436" s="580">
        <f t="shared" si="230"/>
        <v>0</v>
      </c>
    </row>
    <row r="2437" spans="28:34">
      <c r="AB2437" s="580">
        <f>HLOOKUP("*"&amp;'Output annual'!$AC$2&amp;'Output annual'!$AD$2&amp;"*Zone People Number Of Occupants [](Hourly)",'Eplus results'!$1:$1048576,ROW(),FALSE)</f>
        <v>0</v>
      </c>
      <c r="AC2437" s="580">
        <f>HLOOKUP("*"&amp;'Output annual'!$AC$2&amp;'Output annual'!$AD$2&amp;"*FangerPMV(Hourly)",'Eplus results'!$1:$1048576,ROW(),FALSE)</f>
        <v>0</v>
      </c>
      <c r="AD2437" s="580">
        <f t="shared" si="226"/>
        <v>5</v>
      </c>
      <c r="AE2437" s="580">
        <f t="shared" si="227"/>
        <v>2.5</v>
      </c>
      <c r="AF2437" s="580">
        <f t="shared" si="228"/>
        <v>2.5</v>
      </c>
      <c r="AG2437" s="580">
        <f t="shared" si="229"/>
        <v>0</v>
      </c>
      <c r="AH2437" s="580">
        <f t="shared" si="230"/>
        <v>0</v>
      </c>
    </row>
    <row r="2438" spans="28:34">
      <c r="AB2438" s="580">
        <f>HLOOKUP("*"&amp;'Output annual'!$AC$2&amp;'Output annual'!$AD$2&amp;"*Zone People Number Of Occupants [](Hourly)",'Eplus results'!$1:$1048576,ROW(),FALSE)</f>
        <v>0</v>
      </c>
      <c r="AC2438" s="580">
        <f>HLOOKUP("*"&amp;'Output annual'!$AC$2&amp;'Output annual'!$AD$2&amp;"*FangerPMV(Hourly)",'Eplus results'!$1:$1048576,ROW(),FALSE)</f>
        <v>0</v>
      </c>
      <c r="AD2438" s="580">
        <f t="shared" si="226"/>
        <v>5</v>
      </c>
      <c r="AE2438" s="580">
        <f t="shared" si="227"/>
        <v>2.5</v>
      </c>
      <c r="AF2438" s="580">
        <f t="shared" si="228"/>
        <v>2.5</v>
      </c>
      <c r="AG2438" s="580">
        <f t="shared" si="229"/>
        <v>0</v>
      </c>
      <c r="AH2438" s="580">
        <f t="shared" si="230"/>
        <v>0</v>
      </c>
    </row>
    <row r="2439" spans="28:34">
      <c r="AB2439" s="580">
        <f>HLOOKUP("*"&amp;'Output annual'!$AC$2&amp;'Output annual'!$AD$2&amp;"*Zone People Number Of Occupants [](Hourly)",'Eplus results'!$1:$1048576,ROW(),FALSE)</f>
        <v>0</v>
      </c>
      <c r="AC2439" s="580">
        <f>HLOOKUP("*"&amp;'Output annual'!$AC$2&amp;'Output annual'!$AD$2&amp;"*FangerPMV(Hourly)",'Eplus results'!$1:$1048576,ROW(),FALSE)</f>
        <v>0</v>
      </c>
      <c r="AD2439" s="580">
        <f t="shared" si="226"/>
        <v>5</v>
      </c>
      <c r="AE2439" s="580">
        <f t="shared" si="227"/>
        <v>2.5</v>
      </c>
      <c r="AF2439" s="580">
        <f t="shared" si="228"/>
        <v>2.5</v>
      </c>
      <c r="AG2439" s="580">
        <f t="shared" si="229"/>
        <v>0</v>
      </c>
      <c r="AH2439" s="580">
        <f t="shared" si="230"/>
        <v>0</v>
      </c>
    </row>
    <row r="2440" spans="28:34">
      <c r="AB2440" s="580">
        <f>HLOOKUP("*"&amp;'Output annual'!$AC$2&amp;'Output annual'!$AD$2&amp;"*Zone People Number Of Occupants [](Hourly)",'Eplus results'!$1:$1048576,ROW(),FALSE)</f>
        <v>0</v>
      </c>
      <c r="AC2440" s="580">
        <f>HLOOKUP("*"&amp;'Output annual'!$AC$2&amp;'Output annual'!$AD$2&amp;"*FangerPMV(Hourly)",'Eplus results'!$1:$1048576,ROW(),FALSE)</f>
        <v>0</v>
      </c>
      <c r="AD2440" s="580">
        <f t="shared" si="226"/>
        <v>5</v>
      </c>
      <c r="AE2440" s="580">
        <f t="shared" si="227"/>
        <v>2.5</v>
      </c>
      <c r="AF2440" s="580">
        <f t="shared" si="228"/>
        <v>2.5</v>
      </c>
      <c r="AG2440" s="580">
        <f t="shared" si="229"/>
        <v>0</v>
      </c>
      <c r="AH2440" s="580">
        <f t="shared" si="230"/>
        <v>0</v>
      </c>
    </row>
    <row r="2441" spans="28:34">
      <c r="AB2441" s="580">
        <f>HLOOKUP("*"&amp;'Output annual'!$AC$2&amp;'Output annual'!$AD$2&amp;"*Zone People Number Of Occupants [](Hourly)",'Eplus results'!$1:$1048576,ROW(),FALSE)</f>
        <v>0</v>
      </c>
      <c r="AC2441" s="580">
        <f>HLOOKUP("*"&amp;'Output annual'!$AC$2&amp;'Output annual'!$AD$2&amp;"*FangerPMV(Hourly)",'Eplus results'!$1:$1048576,ROW(),FALSE)</f>
        <v>0</v>
      </c>
      <c r="AD2441" s="580">
        <f t="shared" si="226"/>
        <v>5</v>
      </c>
      <c r="AE2441" s="580">
        <f t="shared" si="227"/>
        <v>2.5</v>
      </c>
      <c r="AF2441" s="580">
        <f t="shared" si="228"/>
        <v>2.5</v>
      </c>
      <c r="AG2441" s="580">
        <f t="shared" si="229"/>
        <v>0</v>
      </c>
      <c r="AH2441" s="580">
        <f t="shared" si="230"/>
        <v>0</v>
      </c>
    </row>
    <row r="2442" spans="28:34">
      <c r="AB2442" s="580">
        <f>HLOOKUP("*"&amp;'Output annual'!$AC$2&amp;'Output annual'!$AD$2&amp;"*Zone People Number Of Occupants [](Hourly)",'Eplus results'!$1:$1048576,ROW(),FALSE)</f>
        <v>0</v>
      </c>
      <c r="AC2442" s="580">
        <f>HLOOKUP("*"&amp;'Output annual'!$AC$2&amp;'Output annual'!$AD$2&amp;"*FangerPMV(Hourly)",'Eplus results'!$1:$1048576,ROW(),FALSE)</f>
        <v>0</v>
      </c>
      <c r="AD2442" s="580">
        <f t="shared" si="226"/>
        <v>5</v>
      </c>
      <c r="AE2442" s="580">
        <f t="shared" si="227"/>
        <v>2.5</v>
      </c>
      <c r="AF2442" s="580">
        <f t="shared" si="228"/>
        <v>2.5</v>
      </c>
      <c r="AG2442" s="580">
        <f t="shared" si="229"/>
        <v>0</v>
      </c>
      <c r="AH2442" s="580">
        <f t="shared" si="230"/>
        <v>0</v>
      </c>
    </row>
    <row r="2443" spans="28:34">
      <c r="AB2443" s="580">
        <f>HLOOKUP("*"&amp;'Output annual'!$AC$2&amp;'Output annual'!$AD$2&amp;"*Zone People Number Of Occupants [](Hourly)",'Eplus results'!$1:$1048576,ROW(),FALSE)</f>
        <v>0</v>
      </c>
      <c r="AC2443" s="580">
        <f>HLOOKUP("*"&amp;'Output annual'!$AC$2&amp;'Output annual'!$AD$2&amp;"*FangerPMV(Hourly)",'Eplus results'!$1:$1048576,ROW(),FALSE)</f>
        <v>0</v>
      </c>
      <c r="AD2443" s="580">
        <f t="shared" si="226"/>
        <v>5</v>
      </c>
      <c r="AE2443" s="580">
        <f t="shared" si="227"/>
        <v>2.5</v>
      </c>
      <c r="AF2443" s="580">
        <f t="shared" si="228"/>
        <v>2.5</v>
      </c>
      <c r="AG2443" s="580">
        <f t="shared" si="229"/>
        <v>0</v>
      </c>
      <c r="AH2443" s="580">
        <f t="shared" si="230"/>
        <v>0</v>
      </c>
    </row>
    <row r="2444" spans="28:34">
      <c r="AB2444" s="580">
        <f>HLOOKUP("*"&amp;'Output annual'!$AC$2&amp;'Output annual'!$AD$2&amp;"*Zone People Number Of Occupants [](Hourly)",'Eplus results'!$1:$1048576,ROW(),FALSE)</f>
        <v>0</v>
      </c>
      <c r="AC2444" s="580">
        <f>HLOOKUP("*"&amp;'Output annual'!$AC$2&amp;'Output annual'!$AD$2&amp;"*FangerPMV(Hourly)",'Eplus results'!$1:$1048576,ROW(),FALSE)</f>
        <v>0</v>
      </c>
      <c r="AD2444" s="580">
        <f t="shared" si="226"/>
        <v>5</v>
      </c>
      <c r="AE2444" s="580">
        <f t="shared" si="227"/>
        <v>2.5</v>
      </c>
      <c r="AF2444" s="580">
        <f t="shared" si="228"/>
        <v>2.5</v>
      </c>
      <c r="AG2444" s="580">
        <f t="shared" si="229"/>
        <v>0</v>
      </c>
      <c r="AH2444" s="580">
        <f t="shared" si="230"/>
        <v>0</v>
      </c>
    </row>
    <row r="2445" spans="28:34">
      <c r="AB2445" s="580">
        <f>HLOOKUP("*"&amp;'Output annual'!$AC$2&amp;'Output annual'!$AD$2&amp;"*Zone People Number Of Occupants [](Hourly)",'Eplus results'!$1:$1048576,ROW(),FALSE)</f>
        <v>0</v>
      </c>
      <c r="AC2445" s="580">
        <f>HLOOKUP("*"&amp;'Output annual'!$AC$2&amp;'Output annual'!$AD$2&amp;"*FangerPMV(Hourly)",'Eplus results'!$1:$1048576,ROW(),FALSE)</f>
        <v>0</v>
      </c>
      <c r="AD2445" s="580">
        <f t="shared" si="226"/>
        <v>5</v>
      </c>
      <c r="AE2445" s="580">
        <f t="shared" si="227"/>
        <v>2.5</v>
      </c>
      <c r="AF2445" s="580">
        <f t="shared" si="228"/>
        <v>2.5</v>
      </c>
      <c r="AG2445" s="580">
        <f t="shared" si="229"/>
        <v>0</v>
      </c>
      <c r="AH2445" s="580">
        <f t="shared" si="230"/>
        <v>0</v>
      </c>
    </row>
    <row r="2446" spans="28:34">
      <c r="AB2446" s="580">
        <f>HLOOKUP("*"&amp;'Output annual'!$AC$2&amp;'Output annual'!$AD$2&amp;"*Zone People Number Of Occupants [](Hourly)",'Eplus results'!$1:$1048576,ROW(),FALSE)</f>
        <v>0</v>
      </c>
      <c r="AC2446" s="580">
        <f>HLOOKUP("*"&amp;'Output annual'!$AC$2&amp;'Output annual'!$AD$2&amp;"*FangerPMV(Hourly)",'Eplus results'!$1:$1048576,ROW(),FALSE)</f>
        <v>0</v>
      </c>
      <c r="AD2446" s="580">
        <f t="shared" si="226"/>
        <v>5</v>
      </c>
      <c r="AE2446" s="580">
        <f t="shared" si="227"/>
        <v>2.5</v>
      </c>
      <c r="AF2446" s="580">
        <f t="shared" si="228"/>
        <v>2.5</v>
      </c>
      <c r="AG2446" s="580">
        <f t="shared" si="229"/>
        <v>0</v>
      </c>
      <c r="AH2446" s="580">
        <f t="shared" si="230"/>
        <v>0</v>
      </c>
    </row>
    <row r="2447" spans="28:34">
      <c r="AB2447" s="580">
        <f>HLOOKUP("*"&amp;'Output annual'!$AC$2&amp;'Output annual'!$AD$2&amp;"*Zone People Number Of Occupants [](Hourly)",'Eplus results'!$1:$1048576,ROW(),FALSE)</f>
        <v>0</v>
      </c>
      <c r="AC2447" s="580">
        <f>HLOOKUP("*"&amp;'Output annual'!$AC$2&amp;'Output annual'!$AD$2&amp;"*FangerPMV(Hourly)",'Eplus results'!$1:$1048576,ROW(),FALSE)</f>
        <v>0</v>
      </c>
      <c r="AD2447" s="580">
        <f t="shared" si="226"/>
        <v>5</v>
      </c>
      <c r="AE2447" s="580">
        <f t="shared" si="227"/>
        <v>2.5</v>
      </c>
      <c r="AF2447" s="580">
        <f t="shared" si="228"/>
        <v>2.5</v>
      </c>
      <c r="AG2447" s="580">
        <f t="shared" si="229"/>
        <v>0</v>
      </c>
      <c r="AH2447" s="580">
        <f t="shared" si="230"/>
        <v>0</v>
      </c>
    </row>
    <row r="2448" spans="28:34">
      <c r="AB2448" s="580">
        <f>HLOOKUP("*"&amp;'Output annual'!$AC$2&amp;'Output annual'!$AD$2&amp;"*Zone People Number Of Occupants [](Hourly)",'Eplus results'!$1:$1048576,ROW(),FALSE)</f>
        <v>0</v>
      </c>
      <c r="AC2448" s="580">
        <f>HLOOKUP("*"&amp;'Output annual'!$AC$2&amp;'Output annual'!$AD$2&amp;"*FangerPMV(Hourly)",'Eplus results'!$1:$1048576,ROW(),FALSE)</f>
        <v>0</v>
      </c>
      <c r="AD2448" s="580">
        <f t="shared" si="226"/>
        <v>5</v>
      </c>
      <c r="AE2448" s="580">
        <f t="shared" si="227"/>
        <v>2.5</v>
      </c>
      <c r="AF2448" s="580">
        <f t="shared" si="228"/>
        <v>2.5</v>
      </c>
      <c r="AG2448" s="580">
        <f t="shared" si="229"/>
        <v>0</v>
      </c>
      <c r="AH2448" s="580">
        <f t="shared" si="230"/>
        <v>0</v>
      </c>
    </row>
    <row r="2449" spans="28:34">
      <c r="AB2449" s="580">
        <f>HLOOKUP("*"&amp;'Output annual'!$AC$2&amp;'Output annual'!$AD$2&amp;"*Zone People Number Of Occupants [](Hourly)",'Eplus results'!$1:$1048576,ROW(),FALSE)</f>
        <v>0</v>
      </c>
      <c r="AC2449" s="580">
        <f>HLOOKUP("*"&amp;'Output annual'!$AC$2&amp;'Output annual'!$AD$2&amp;"*FangerPMV(Hourly)",'Eplus results'!$1:$1048576,ROW(),FALSE)</f>
        <v>0</v>
      </c>
      <c r="AD2449" s="580">
        <f t="shared" si="226"/>
        <v>5</v>
      </c>
      <c r="AE2449" s="580">
        <f t="shared" si="227"/>
        <v>2.5</v>
      </c>
      <c r="AF2449" s="580">
        <f t="shared" si="228"/>
        <v>2.5</v>
      </c>
      <c r="AG2449" s="580">
        <f t="shared" si="229"/>
        <v>0</v>
      </c>
      <c r="AH2449" s="580">
        <f t="shared" si="230"/>
        <v>0</v>
      </c>
    </row>
    <row r="2450" spans="28:34">
      <c r="AB2450" s="580">
        <f>HLOOKUP("*"&amp;'Output annual'!$AC$2&amp;'Output annual'!$AD$2&amp;"*Zone People Number Of Occupants [](Hourly)",'Eplus results'!$1:$1048576,ROW(),FALSE)</f>
        <v>0</v>
      </c>
      <c r="AC2450" s="580">
        <f>HLOOKUP("*"&amp;'Output annual'!$AC$2&amp;'Output annual'!$AD$2&amp;"*FangerPMV(Hourly)",'Eplus results'!$1:$1048576,ROW(),FALSE)</f>
        <v>0</v>
      </c>
      <c r="AD2450" s="580">
        <f t="shared" si="226"/>
        <v>5</v>
      </c>
      <c r="AE2450" s="580">
        <f t="shared" si="227"/>
        <v>2.5</v>
      </c>
      <c r="AF2450" s="580">
        <f t="shared" si="228"/>
        <v>2.5</v>
      </c>
      <c r="AG2450" s="580">
        <f t="shared" si="229"/>
        <v>0</v>
      </c>
      <c r="AH2450" s="580">
        <f t="shared" si="230"/>
        <v>0</v>
      </c>
    </row>
    <row r="2451" spans="28:34">
      <c r="AB2451" s="580">
        <f>HLOOKUP("*"&amp;'Output annual'!$AC$2&amp;'Output annual'!$AD$2&amp;"*Zone People Number Of Occupants [](Hourly)",'Eplus results'!$1:$1048576,ROW(),FALSE)</f>
        <v>0</v>
      </c>
      <c r="AC2451" s="580">
        <f>HLOOKUP("*"&amp;'Output annual'!$AC$2&amp;'Output annual'!$AD$2&amp;"*FangerPMV(Hourly)",'Eplus results'!$1:$1048576,ROW(),FALSE)</f>
        <v>0</v>
      </c>
      <c r="AD2451" s="580">
        <f t="shared" si="226"/>
        <v>5</v>
      </c>
      <c r="AE2451" s="580">
        <f t="shared" si="227"/>
        <v>2.5</v>
      </c>
      <c r="AF2451" s="580">
        <f t="shared" si="228"/>
        <v>2.5</v>
      </c>
      <c r="AG2451" s="580">
        <f t="shared" si="229"/>
        <v>0</v>
      </c>
      <c r="AH2451" s="580">
        <f t="shared" si="230"/>
        <v>0</v>
      </c>
    </row>
    <row r="2452" spans="28:34">
      <c r="AB2452" s="580">
        <f>HLOOKUP("*"&amp;'Output annual'!$AC$2&amp;'Output annual'!$AD$2&amp;"*Zone People Number Of Occupants [](Hourly)",'Eplus results'!$1:$1048576,ROW(),FALSE)</f>
        <v>0</v>
      </c>
      <c r="AC2452" s="580">
        <f>HLOOKUP("*"&amp;'Output annual'!$AC$2&amp;'Output annual'!$AD$2&amp;"*FangerPMV(Hourly)",'Eplus results'!$1:$1048576,ROW(),FALSE)</f>
        <v>0</v>
      </c>
      <c r="AD2452" s="580">
        <f t="shared" si="226"/>
        <v>5</v>
      </c>
      <c r="AE2452" s="580">
        <f t="shared" si="227"/>
        <v>2.5</v>
      </c>
      <c r="AF2452" s="580">
        <f t="shared" si="228"/>
        <v>2.5</v>
      </c>
      <c r="AG2452" s="580">
        <f t="shared" si="229"/>
        <v>0</v>
      </c>
      <c r="AH2452" s="580">
        <f t="shared" si="230"/>
        <v>0</v>
      </c>
    </row>
    <row r="2453" spans="28:34">
      <c r="AB2453" s="580">
        <f>HLOOKUP("*"&amp;'Output annual'!$AC$2&amp;'Output annual'!$AD$2&amp;"*Zone People Number Of Occupants [](Hourly)",'Eplus results'!$1:$1048576,ROW(),FALSE)</f>
        <v>0</v>
      </c>
      <c r="AC2453" s="580">
        <f>HLOOKUP("*"&amp;'Output annual'!$AC$2&amp;'Output annual'!$AD$2&amp;"*FangerPMV(Hourly)",'Eplus results'!$1:$1048576,ROW(),FALSE)</f>
        <v>0</v>
      </c>
      <c r="AD2453" s="580">
        <f t="shared" si="226"/>
        <v>5</v>
      </c>
      <c r="AE2453" s="580">
        <f t="shared" si="227"/>
        <v>2.5</v>
      </c>
      <c r="AF2453" s="580">
        <f t="shared" si="228"/>
        <v>2.5</v>
      </c>
      <c r="AG2453" s="580">
        <f t="shared" si="229"/>
        <v>0</v>
      </c>
      <c r="AH2453" s="580">
        <f t="shared" si="230"/>
        <v>0</v>
      </c>
    </row>
    <row r="2454" spans="28:34">
      <c r="AB2454" s="580">
        <f>HLOOKUP("*"&amp;'Output annual'!$AC$2&amp;'Output annual'!$AD$2&amp;"*Zone People Number Of Occupants [](Hourly)",'Eplus results'!$1:$1048576,ROW(),FALSE)</f>
        <v>0</v>
      </c>
      <c r="AC2454" s="580">
        <f>HLOOKUP("*"&amp;'Output annual'!$AC$2&amp;'Output annual'!$AD$2&amp;"*FangerPMV(Hourly)",'Eplus results'!$1:$1048576,ROW(),FALSE)</f>
        <v>0</v>
      </c>
      <c r="AD2454" s="580">
        <f t="shared" si="226"/>
        <v>5</v>
      </c>
      <c r="AE2454" s="580">
        <f t="shared" si="227"/>
        <v>2.5</v>
      </c>
      <c r="AF2454" s="580">
        <f t="shared" si="228"/>
        <v>2.5</v>
      </c>
      <c r="AG2454" s="580">
        <f t="shared" si="229"/>
        <v>0</v>
      </c>
      <c r="AH2454" s="580">
        <f t="shared" si="230"/>
        <v>0</v>
      </c>
    </row>
    <row r="2455" spans="28:34">
      <c r="AB2455" s="580">
        <f>HLOOKUP("*"&amp;'Output annual'!$AC$2&amp;'Output annual'!$AD$2&amp;"*Zone People Number Of Occupants [](Hourly)",'Eplus results'!$1:$1048576,ROW(),FALSE)</f>
        <v>0</v>
      </c>
      <c r="AC2455" s="580">
        <f>HLOOKUP("*"&amp;'Output annual'!$AC$2&amp;'Output annual'!$AD$2&amp;"*FangerPMV(Hourly)",'Eplus results'!$1:$1048576,ROW(),FALSE)</f>
        <v>0</v>
      </c>
      <c r="AD2455" s="580">
        <f t="shared" si="226"/>
        <v>5</v>
      </c>
      <c r="AE2455" s="580">
        <f t="shared" si="227"/>
        <v>2.5</v>
      </c>
      <c r="AF2455" s="580">
        <f t="shared" si="228"/>
        <v>2.5</v>
      </c>
      <c r="AG2455" s="580">
        <f t="shared" si="229"/>
        <v>0</v>
      </c>
      <c r="AH2455" s="580">
        <f t="shared" si="230"/>
        <v>0</v>
      </c>
    </row>
    <row r="2456" spans="28:34">
      <c r="AB2456" s="580">
        <f>HLOOKUP("*"&amp;'Output annual'!$AC$2&amp;'Output annual'!$AD$2&amp;"*Zone People Number Of Occupants [](Hourly)",'Eplus results'!$1:$1048576,ROW(),FALSE)</f>
        <v>0</v>
      </c>
      <c r="AC2456" s="580">
        <f>HLOOKUP("*"&amp;'Output annual'!$AC$2&amp;'Output annual'!$AD$2&amp;"*FangerPMV(Hourly)",'Eplus results'!$1:$1048576,ROW(),FALSE)</f>
        <v>0</v>
      </c>
      <c r="AD2456" s="580">
        <f t="shared" si="226"/>
        <v>5</v>
      </c>
      <c r="AE2456" s="580">
        <f t="shared" si="227"/>
        <v>2.5</v>
      </c>
      <c r="AF2456" s="580">
        <f t="shared" si="228"/>
        <v>2.5</v>
      </c>
      <c r="AG2456" s="580">
        <f t="shared" si="229"/>
        <v>0</v>
      </c>
      <c r="AH2456" s="580">
        <f t="shared" si="230"/>
        <v>0</v>
      </c>
    </row>
    <row r="2457" spans="28:34">
      <c r="AB2457" s="580">
        <f>HLOOKUP("*"&amp;'Output annual'!$AC$2&amp;'Output annual'!$AD$2&amp;"*Zone People Number Of Occupants [](Hourly)",'Eplus results'!$1:$1048576,ROW(),FALSE)</f>
        <v>0</v>
      </c>
      <c r="AC2457" s="580">
        <f>HLOOKUP("*"&amp;'Output annual'!$AC$2&amp;'Output annual'!$AD$2&amp;"*FangerPMV(Hourly)",'Eplus results'!$1:$1048576,ROW(),FALSE)</f>
        <v>0</v>
      </c>
      <c r="AD2457" s="580">
        <f t="shared" si="226"/>
        <v>5</v>
      </c>
      <c r="AE2457" s="580">
        <f t="shared" si="227"/>
        <v>2.5</v>
      </c>
      <c r="AF2457" s="580">
        <f t="shared" si="228"/>
        <v>2.5</v>
      </c>
      <c r="AG2457" s="580">
        <f t="shared" si="229"/>
        <v>0</v>
      </c>
      <c r="AH2457" s="580">
        <f t="shared" si="230"/>
        <v>0</v>
      </c>
    </row>
    <row r="2458" spans="28:34">
      <c r="AB2458" s="580">
        <f>HLOOKUP("*"&amp;'Output annual'!$AC$2&amp;'Output annual'!$AD$2&amp;"*Zone People Number Of Occupants [](Hourly)",'Eplus results'!$1:$1048576,ROW(),FALSE)</f>
        <v>0</v>
      </c>
      <c r="AC2458" s="580">
        <f>HLOOKUP("*"&amp;'Output annual'!$AC$2&amp;'Output annual'!$AD$2&amp;"*FangerPMV(Hourly)",'Eplus results'!$1:$1048576,ROW(),FALSE)</f>
        <v>0</v>
      </c>
      <c r="AD2458" s="580">
        <f t="shared" si="226"/>
        <v>5</v>
      </c>
      <c r="AE2458" s="580">
        <f t="shared" si="227"/>
        <v>2.5</v>
      </c>
      <c r="AF2458" s="580">
        <f t="shared" si="228"/>
        <v>2.5</v>
      </c>
      <c r="AG2458" s="580">
        <f t="shared" si="229"/>
        <v>0</v>
      </c>
      <c r="AH2458" s="580">
        <f t="shared" si="230"/>
        <v>0</v>
      </c>
    </row>
    <row r="2459" spans="28:34">
      <c r="AB2459" s="580">
        <f>HLOOKUP("*"&amp;'Output annual'!$AC$2&amp;'Output annual'!$AD$2&amp;"*Zone People Number Of Occupants [](Hourly)",'Eplus results'!$1:$1048576,ROW(),FALSE)</f>
        <v>0</v>
      </c>
      <c r="AC2459" s="580">
        <f>HLOOKUP("*"&amp;'Output annual'!$AC$2&amp;'Output annual'!$AD$2&amp;"*FangerPMV(Hourly)",'Eplus results'!$1:$1048576,ROW(),FALSE)</f>
        <v>0</v>
      </c>
      <c r="AD2459" s="580">
        <f t="shared" si="226"/>
        <v>5</v>
      </c>
      <c r="AE2459" s="580">
        <f t="shared" si="227"/>
        <v>2.5</v>
      </c>
      <c r="AF2459" s="580">
        <f t="shared" si="228"/>
        <v>2.5</v>
      </c>
      <c r="AG2459" s="580">
        <f t="shared" si="229"/>
        <v>0</v>
      </c>
      <c r="AH2459" s="580">
        <f t="shared" si="230"/>
        <v>0</v>
      </c>
    </row>
    <row r="2460" spans="28:34">
      <c r="AB2460" s="580">
        <f>HLOOKUP("*"&amp;'Output annual'!$AC$2&amp;'Output annual'!$AD$2&amp;"*Zone People Number Of Occupants [](Hourly)",'Eplus results'!$1:$1048576,ROW(),FALSE)</f>
        <v>0</v>
      </c>
      <c r="AC2460" s="580">
        <f>HLOOKUP("*"&amp;'Output annual'!$AC$2&amp;'Output annual'!$AD$2&amp;"*FangerPMV(Hourly)",'Eplus results'!$1:$1048576,ROW(),FALSE)</f>
        <v>0</v>
      </c>
      <c r="AD2460" s="580">
        <f t="shared" si="226"/>
        <v>5</v>
      </c>
      <c r="AE2460" s="580">
        <f t="shared" si="227"/>
        <v>2.5</v>
      </c>
      <c r="AF2460" s="580">
        <f t="shared" si="228"/>
        <v>2.5</v>
      </c>
      <c r="AG2460" s="580">
        <f t="shared" si="229"/>
        <v>0</v>
      </c>
      <c r="AH2460" s="580">
        <f t="shared" si="230"/>
        <v>0</v>
      </c>
    </row>
    <row r="2461" spans="28:34">
      <c r="AB2461" s="580">
        <f>HLOOKUP("*"&amp;'Output annual'!$AC$2&amp;'Output annual'!$AD$2&amp;"*Zone People Number Of Occupants [](Hourly)",'Eplus results'!$1:$1048576,ROW(),FALSE)</f>
        <v>0</v>
      </c>
      <c r="AC2461" s="580">
        <f>HLOOKUP("*"&amp;'Output annual'!$AC$2&amp;'Output annual'!$AD$2&amp;"*FangerPMV(Hourly)",'Eplus results'!$1:$1048576,ROW(),FALSE)</f>
        <v>0</v>
      </c>
      <c r="AD2461" s="580">
        <f t="shared" si="226"/>
        <v>5</v>
      </c>
      <c r="AE2461" s="580">
        <f t="shared" si="227"/>
        <v>2.5</v>
      </c>
      <c r="AF2461" s="580">
        <f t="shared" si="228"/>
        <v>2.5</v>
      </c>
      <c r="AG2461" s="580">
        <f t="shared" si="229"/>
        <v>0</v>
      </c>
      <c r="AH2461" s="580">
        <f t="shared" si="230"/>
        <v>0</v>
      </c>
    </row>
    <row r="2462" spans="28:34">
      <c r="AB2462" s="580">
        <f>HLOOKUP("*"&amp;'Output annual'!$AC$2&amp;'Output annual'!$AD$2&amp;"*Zone People Number Of Occupants [](Hourly)",'Eplus results'!$1:$1048576,ROW(),FALSE)</f>
        <v>0</v>
      </c>
      <c r="AC2462" s="580">
        <f>HLOOKUP("*"&amp;'Output annual'!$AC$2&amp;'Output annual'!$AD$2&amp;"*FangerPMV(Hourly)",'Eplus results'!$1:$1048576,ROW(),FALSE)</f>
        <v>0</v>
      </c>
      <c r="AD2462" s="580">
        <f t="shared" si="226"/>
        <v>5</v>
      </c>
      <c r="AE2462" s="580">
        <f t="shared" si="227"/>
        <v>2.5</v>
      </c>
      <c r="AF2462" s="580">
        <f t="shared" si="228"/>
        <v>2.5</v>
      </c>
      <c r="AG2462" s="580">
        <f t="shared" si="229"/>
        <v>0</v>
      </c>
      <c r="AH2462" s="580">
        <f t="shared" si="230"/>
        <v>0</v>
      </c>
    </row>
    <row r="2463" spans="28:34">
      <c r="AB2463" s="580">
        <f>HLOOKUP("*"&amp;'Output annual'!$AC$2&amp;'Output annual'!$AD$2&amp;"*Zone People Number Of Occupants [](Hourly)",'Eplus results'!$1:$1048576,ROW(),FALSE)</f>
        <v>0</v>
      </c>
      <c r="AC2463" s="580">
        <f>HLOOKUP("*"&amp;'Output annual'!$AC$2&amp;'Output annual'!$AD$2&amp;"*FangerPMV(Hourly)",'Eplus results'!$1:$1048576,ROW(),FALSE)</f>
        <v>0</v>
      </c>
      <c r="AD2463" s="580">
        <f t="shared" si="226"/>
        <v>5</v>
      </c>
      <c r="AE2463" s="580">
        <f t="shared" si="227"/>
        <v>2.5</v>
      </c>
      <c r="AF2463" s="580">
        <f t="shared" si="228"/>
        <v>2.5</v>
      </c>
      <c r="AG2463" s="580">
        <f t="shared" si="229"/>
        <v>0</v>
      </c>
      <c r="AH2463" s="580">
        <f t="shared" si="230"/>
        <v>0</v>
      </c>
    </row>
    <row r="2464" spans="28:34">
      <c r="AB2464" s="580">
        <f>HLOOKUP("*"&amp;'Output annual'!$AC$2&amp;'Output annual'!$AD$2&amp;"*Zone People Number Of Occupants [](Hourly)",'Eplus results'!$1:$1048576,ROW(),FALSE)</f>
        <v>0</v>
      </c>
      <c r="AC2464" s="580">
        <f>HLOOKUP("*"&amp;'Output annual'!$AC$2&amp;'Output annual'!$AD$2&amp;"*FangerPMV(Hourly)",'Eplus results'!$1:$1048576,ROW(),FALSE)</f>
        <v>0</v>
      </c>
      <c r="AD2464" s="580">
        <f t="shared" si="226"/>
        <v>5</v>
      </c>
      <c r="AE2464" s="580">
        <f t="shared" si="227"/>
        <v>2.5</v>
      </c>
      <c r="AF2464" s="580">
        <f t="shared" si="228"/>
        <v>2.5</v>
      </c>
      <c r="AG2464" s="580">
        <f t="shared" si="229"/>
        <v>0</v>
      </c>
      <c r="AH2464" s="580">
        <f t="shared" si="230"/>
        <v>0</v>
      </c>
    </row>
    <row r="2465" spans="28:34">
      <c r="AB2465" s="580">
        <f>HLOOKUP("*"&amp;'Output annual'!$AC$2&amp;'Output annual'!$AD$2&amp;"*Zone People Number Of Occupants [](Hourly)",'Eplus results'!$1:$1048576,ROW(),FALSE)</f>
        <v>0</v>
      </c>
      <c r="AC2465" s="580">
        <f>HLOOKUP("*"&amp;'Output annual'!$AC$2&amp;'Output annual'!$AD$2&amp;"*FangerPMV(Hourly)",'Eplus results'!$1:$1048576,ROW(),FALSE)</f>
        <v>0</v>
      </c>
      <c r="AD2465" s="580">
        <f t="shared" si="226"/>
        <v>5</v>
      </c>
      <c r="AE2465" s="580">
        <f t="shared" si="227"/>
        <v>2.5</v>
      </c>
      <c r="AF2465" s="580">
        <f t="shared" si="228"/>
        <v>2.5</v>
      </c>
      <c r="AG2465" s="580">
        <f t="shared" si="229"/>
        <v>0</v>
      </c>
      <c r="AH2465" s="580">
        <f t="shared" si="230"/>
        <v>0</v>
      </c>
    </row>
    <row r="2466" spans="28:34">
      <c r="AB2466" s="580">
        <f>HLOOKUP("*"&amp;'Output annual'!$AC$2&amp;'Output annual'!$AD$2&amp;"*Zone People Number Of Occupants [](Hourly)",'Eplus results'!$1:$1048576,ROW(),FALSE)</f>
        <v>0</v>
      </c>
      <c r="AC2466" s="580">
        <f>HLOOKUP("*"&amp;'Output annual'!$AC$2&amp;'Output annual'!$AD$2&amp;"*FangerPMV(Hourly)",'Eplus results'!$1:$1048576,ROW(),FALSE)</f>
        <v>0</v>
      </c>
      <c r="AD2466" s="580">
        <f t="shared" si="226"/>
        <v>5</v>
      </c>
      <c r="AE2466" s="580">
        <f t="shared" si="227"/>
        <v>2.5</v>
      </c>
      <c r="AF2466" s="580">
        <f t="shared" si="228"/>
        <v>2.5</v>
      </c>
      <c r="AG2466" s="580">
        <f t="shared" si="229"/>
        <v>0</v>
      </c>
      <c r="AH2466" s="580">
        <f t="shared" si="230"/>
        <v>0</v>
      </c>
    </row>
    <row r="2467" spans="28:34">
      <c r="AB2467" s="580">
        <f>HLOOKUP("*"&amp;'Output annual'!$AC$2&amp;'Output annual'!$AD$2&amp;"*Zone People Number Of Occupants [](Hourly)",'Eplus results'!$1:$1048576,ROW(),FALSE)</f>
        <v>0</v>
      </c>
      <c r="AC2467" s="580">
        <f>HLOOKUP("*"&amp;'Output annual'!$AC$2&amp;'Output annual'!$AD$2&amp;"*FangerPMV(Hourly)",'Eplus results'!$1:$1048576,ROW(),FALSE)</f>
        <v>0</v>
      </c>
      <c r="AD2467" s="580">
        <f t="shared" si="226"/>
        <v>5</v>
      </c>
      <c r="AE2467" s="580">
        <f t="shared" si="227"/>
        <v>2.5</v>
      </c>
      <c r="AF2467" s="580">
        <f t="shared" si="228"/>
        <v>2.5</v>
      </c>
      <c r="AG2467" s="580">
        <f t="shared" si="229"/>
        <v>0</v>
      </c>
      <c r="AH2467" s="580">
        <f t="shared" si="230"/>
        <v>0</v>
      </c>
    </row>
    <row r="2468" spans="28:34">
      <c r="AB2468" s="580">
        <f>HLOOKUP("*"&amp;'Output annual'!$AC$2&amp;'Output annual'!$AD$2&amp;"*Zone People Number Of Occupants [](Hourly)",'Eplus results'!$1:$1048576,ROW(),FALSE)</f>
        <v>0</v>
      </c>
      <c r="AC2468" s="580">
        <f>HLOOKUP("*"&amp;'Output annual'!$AC$2&amp;'Output annual'!$AD$2&amp;"*FangerPMV(Hourly)",'Eplus results'!$1:$1048576,ROW(),FALSE)</f>
        <v>0</v>
      </c>
      <c r="AD2468" s="580">
        <f t="shared" si="226"/>
        <v>5</v>
      </c>
      <c r="AE2468" s="580">
        <f t="shared" si="227"/>
        <v>2.5</v>
      </c>
      <c r="AF2468" s="580">
        <f t="shared" si="228"/>
        <v>2.5</v>
      </c>
      <c r="AG2468" s="580">
        <f t="shared" si="229"/>
        <v>0</v>
      </c>
      <c r="AH2468" s="580">
        <f t="shared" si="230"/>
        <v>0</v>
      </c>
    </row>
    <row r="2469" spans="28:34">
      <c r="AB2469" s="580">
        <f>HLOOKUP("*"&amp;'Output annual'!$AC$2&amp;'Output annual'!$AD$2&amp;"*Zone People Number Of Occupants [](Hourly)",'Eplus results'!$1:$1048576,ROW(),FALSE)</f>
        <v>0</v>
      </c>
      <c r="AC2469" s="580">
        <f>HLOOKUP("*"&amp;'Output annual'!$AC$2&amp;'Output annual'!$AD$2&amp;"*FangerPMV(Hourly)",'Eplus results'!$1:$1048576,ROW(),FALSE)</f>
        <v>0</v>
      </c>
      <c r="AD2469" s="580">
        <f t="shared" si="226"/>
        <v>5</v>
      </c>
      <c r="AE2469" s="580">
        <f t="shared" si="227"/>
        <v>2.5</v>
      </c>
      <c r="AF2469" s="580">
        <f t="shared" si="228"/>
        <v>2.5</v>
      </c>
      <c r="AG2469" s="580">
        <f t="shared" si="229"/>
        <v>0</v>
      </c>
      <c r="AH2469" s="580">
        <f t="shared" si="230"/>
        <v>0</v>
      </c>
    </row>
    <row r="2470" spans="28:34">
      <c r="AB2470" s="580">
        <f>HLOOKUP("*"&amp;'Output annual'!$AC$2&amp;'Output annual'!$AD$2&amp;"*Zone People Number Of Occupants [](Hourly)",'Eplus results'!$1:$1048576,ROW(),FALSE)</f>
        <v>0</v>
      </c>
      <c r="AC2470" s="580">
        <f>HLOOKUP("*"&amp;'Output annual'!$AC$2&amp;'Output annual'!$AD$2&amp;"*FangerPMV(Hourly)",'Eplus results'!$1:$1048576,ROW(),FALSE)</f>
        <v>0</v>
      </c>
      <c r="AD2470" s="580">
        <f t="shared" si="226"/>
        <v>5</v>
      </c>
      <c r="AE2470" s="580">
        <f t="shared" si="227"/>
        <v>2.5</v>
      </c>
      <c r="AF2470" s="580">
        <f t="shared" si="228"/>
        <v>2.5</v>
      </c>
      <c r="AG2470" s="580">
        <f t="shared" si="229"/>
        <v>0</v>
      </c>
      <c r="AH2470" s="580">
        <f t="shared" si="230"/>
        <v>0</v>
      </c>
    </row>
    <row r="2471" spans="28:34">
      <c r="AB2471" s="580">
        <f>HLOOKUP("*"&amp;'Output annual'!$AC$2&amp;'Output annual'!$AD$2&amp;"*Zone People Number Of Occupants [](Hourly)",'Eplus results'!$1:$1048576,ROW(),FALSE)</f>
        <v>0</v>
      </c>
      <c r="AC2471" s="580">
        <f>HLOOKUP("*"&amp;'Output annual'!$AC$2&amp;'Output annual'!$AD$2&amp;"*FangerPMV(Hourly)",'Eplus results'!$1:$1048576,ROW(),FALSE)</f>
        <v>0</v>
      </c>
      <c r="AD2471" s="580">
        <f t="shared" si="226"/>
        <v>5</v>
      </c>
      <c r="AE2471" s="580">
        <f t="shared" si="227"/>
        <v>2.5</v>
      </c>
      <c r="AF2471" s="580">
        <f t="shared" si="228"/>
        <v>2.5</v>
      </c>
      <c r="AG2471" s="580">
        <f t="shared" si="229"/>
        <v>0</v>
      </c>
      <c r="AH2471" s="580">
        <f t="shared" si="230"/>
        <v>0</v>
      </c>
    </row>
    <row r="2472" spans="28:34">
      <c r="AB2472" s="580">
        <f>HLOOKUP("*"&amp;'Output annual'!$AC$2&amp;'Output annual'!$AD$2&amp;"*Zone People Number Of Occupants [](Hourly)",'Eplus results'!$1:$1048576,ROW(),FALSE)</f>
        <v>0</v>
      </c>
      <c r="AC2472" s="580">
        <f>HLOOKUP("*"&amp;'Output annual'!$AC$2&amp;'Output annual'!$AD$2&amp;"*FangerPMV(Hourly)",'Eplus results'!$1:$1048576,ROW(),FALSE)</f>
        <v>0</v>
      </c>
      <c r="AD2472" s="580">
        <f t="shared" si="226"/>
        <v>5</v>
      </c>
      <c r="AE2472" s="580">
        <f t="shared" si="227"/>
        <v>2.5</v>
      </c>
      <c r="AF2472" s="580">
        <f t="shared" si="228"/>
        <v>2.5</v>
      </c>
      <c r="AG2472" s="580">
        <f t="shared" si="229"/>
        <v>0</v>
      </c>
      <c r="AH2472" s="580">
        <f t="shared" si="230"/>
        <v>0</v>
      </c>
    </row>
    <row r="2473" spans="28:34">
      <c r="AB2473" s="580">
        <f>HLOOKUP("*"&amp;'Output annual'!$AC$2&amp;'Output annual'!$AD$2&amp;"*Zone People Number Of Occupants [](Hourly)",'Eplus results'!$1:$1048576,ROW(),FALSE)</f>
        <v>0</v>
      </c>
      <c r="AC2473" s="580">
        <f>HLOOKUP("*"&amp;'Output annual'!$AC$2&amp;'Output annual'!$AD$2&amp;"*FangerPMV(Hourly)",'Eplus results'!$1:$1048576,ROW(),FALSE)</f>
        <v>0</v>
      </c>
      <c r="AD2473" s="580">
        <f t="shared" si="226"/>
        <v>5</v>
      </c>
      <c r="AE2473" s="580">
        <f t="shared" si="227"/>
        <v>2.5</v>
      </c>
      <c r="AF2473" s="580">
        <f t="shared" si="228"/>
        <v>2.5</v>
      </c>
      <c r="AG2473" s="580">
        <f t="shared" si="229"/>
        <v>0</v>
      </c>
      <c r="AH2473" s="580">
        <f t="shared" si="230"/>
        <v>0</v>
      </c>
    </row>
    <row r="2474" spans="28:34">
      <c r="AB2474" s="580">
        <f>HLOOKUP("*"&amp;'Output annual'!$AC$2&amp;'Output annual'!$AD$2&amp;"*Zone People Number Of Occupants [](Hourly)",'Eplus results'!$1:$1048576,ROW(),FALSE)</f>
        <v>0</v>
      </c>
      <c r="AC2474" s="580">
        <f>HLOOKUP("*"&amp;'Output annual'!$AC$2&amp;'Output annual'!$AD$2&amp;"*FangerPMV(Hourly)",'Eplus results'!$1:$1048576,ROW(),FALSE)</f>
        <v>0</v>
      </c>
      <c r="AD2474" s="580">
        <f t="shared" si="226"/>
        <v>5</v>
      </c>
      <c r="AE2474" s="580">
        <f t="shared" si="227"/>
        <v>2.5</v>
      </c>
      <c r="AF2474" s="580">
        <f t="shared" si="228"/>
        <v>2.5</v>
      </c>
      <c r="AG2474" s="580">
        <f t="shared" si="229"/>
        <v>0</v>
      </c>
      <c r="AH2474" s="580">
        <f t="shared" si="230"/>
        <v>0</v>
      </c>
    </row>
    <row r="2475" spans="28:34">
      <c r="AB2475" s="580">
        <f>HLOOKUP("*"&amp;'Output annual'!$AC$2&amp;'Output annual'!$AD$2&amp;"*Zone People Number Of Occupants [](Hourly)",'Eplus results'!$1:$1048576,ROW(),FALSE)</f>
        <v>0</v>
      </c>
      <c r="AC2475" s="580">
        <f>HLOOKUP("*"&amp;'Output annual'!$AC$2&amp;'Output annual'!$AD$2&amp;"*FangerPMV(Hourly)",'Eplus results'!$1:$1048576,ROW(),FALSE)</f>
        <v>0</v>
      </c>
      <c r="AD2475" s="580">
        <f t="shared" si="226"/>
        <v>5</v>
      </c>
      <c r="AE2475" s="580">
        <f t="shared" si="227"/>
        <v>2.5</v>
      </c>
      <c r="AF2475" s="580">
        <f t="shared" si="228"/>
        <v>2.5</v>
      </c>
      <c r="AG2475" s="580">
        <f t="shared" si="229"/>
        <v>0</v>
      </c>
      <c r="AH2475" s="580">
        <f t="shared" si="230"/>
        <v>0</v>
      </c>
    </row>
    <row r="2476" spans="28:34">
      <c r="AB2476" s="580">
        <f>HLOOKUP("*"&amp;'Output annual'!$AC$2&amp;'Output annual'!$AD$2&amp;"*Zone People Number Of Occupants [](Hourly)",'Eplus results'!$1:$1048576,ROW(),FALSE)</f>
        <v>0</v>
      </c>
      <c r="AC2476" s="580">
        <f>HLOOKUP("*"&amp;'Output annual'!$AC$2&amp;'Output annual'!$AD$2&amp;"*FangerPMV(Hourly)",'Eplus results'!$1:$1048576,ROW(),FALSE)</f>
        <v>0</v>
      </c>
      <c r="AD2476" s="580">
        <f t="shared" si="226"/>
        <v>5</v>
      </c>
      <c r="AE2476" s="580">
        <f t="shared" si="227"/>
        <v>2.5</v>
      </c>
      <c r="AF2476" s="580">
        <f t="shared" si="228"/>
        <v>2.5</v>
      </c>
      <c r="AG2476" s="580">
        <f t="shared" si="229"/>
        <v>0</v>
      </c>
      <c r="AH2476" s="580">
        <f t="shared" si="230"/>
        <v>0</v>
      </c>
    </row>
    <row r="2477" spans="28:34">
      <c r="AB2477" s="580">
        <f>HLOOKUP("*"&amp;'Output annual'!$AC$2&amp;'Output annual'!$AD$2&amp;"*Zone People Number Of Occupants [](Hourly)",'Eplus results'!$1:$1048576,ROW(),FALSE)</f>
        <v>0</v>
      </c>
      <c r="AC2477" s="580">
        <f>HLOOKUP("*"&amp;'Output annual'!$AC$2&amp;'Output annual'!$AD$2&amp;"*FangerPMV(Hourly)",'Eplus results'!$1:$1048576,ROW(),FALSE)</f>
        <v>0</v>
      </c>
      <c r="AD2477" s="580">
        <f t="shared" si="226"/>
        <v>5</v>
      </c>
      <c r="AE2477" s="580">
        <f t="shared" si="227"/>
        <v>2.5</v>
      </c>
      <c r="AF2477" s="580">
        <f t="shared" si="228"/>
        <v>2.5</v>
      </c>
      <c r="AG2477" s="580">
        <f t="shared" si="229"/>
        <v>0</v>
      </c>
      <c r="AH2477" s="580">
        <f t="shared" si="230"/>
        <v>0</v>
      </c>
    </row>
    <row r="2478" spans="28:34">
      <c r="AB2478" s="580">
        <f>HLOOKUP("*"&amp;'Output annual'!$AC$2&amp;'Output annual'!$AD$2&amp;"*Zone People Number Of Occupants [](Hourly)",'Eplus results'!$1:$1048576,ROW(),FALSE)</f>
        <v>0</v>
      </c>
      <c r="AC2478" s="580">
        <f>HLOOKUP("*"&amp;'Output annual'!$AC$2&amp;'Output annual'!$AD$2&amp;"*FangerPMV(Hourly)",'Eplus results'!$1:$1048576,ROW(),FALSE)</f>
        <v>0</v>
      </c>
      <c r="AD2478" s="580">
        <f t="shared" si="226"/>
        <v>5</v>
      </c>
      <c r="AE2478" s="580">
        <f t="shared" si="227"/>
        <v>2.5</v>
      </c>
      <c r="AF2478" s="580">
        <f t="shared" si="228"/>
        <v>2.5</v>
      </c>
      <c r="AG2478" s="580">
        <f t="shared" si="229"/>
        <v>0</v>
      </c>
      <c r="AH2478" s="580">
        <f t="shared" si="230"/>
        <v>0</v>
      </c>
    </row>
    <row r="2479" spans="28:34">
      <c r="AB2479" s="580">
        <f>HLOOKUP("*"&amp;'Output annual'!$AC$2&amp;'Output annual'!$AD$2&amp;"*Zone People Number Of Occupants [](Hourly)",'Eplus results'!$1:$1048576,ROW(),FALSE)</f>
        <v>0</v>
      </c>
      <c r="AC2479" s="580">
        <f>HLOOKUP("*"&amp;'Output annual'!$AC$2&amp;'Output annual'!$AD$2&amp;"*FangerPMV(Hourly)",'Eplus results'!$1:$1048576,ROW(),FALSE)</f>
        <v>0</v>
      </c>
      <c r="AD2479" s="580">
        <f t="shared" si="226"/>
        <v>5</v>
      </c>
      <c r="AE2479" s="580">
        <f t="shared" si="227"/>
        <v>2.5</v>
      </c>
      <c r="AF2479" s="580">
        <f t="shared" si="228"/>
        <v>2.5</v>
      </c>
      <c r="AG2479" s="580">
        <f t="shared" si="229"/>
        <v>0</v>
      </c>
      <c r="AH2479" s="580">
        <f t="shared" si="230"/>
        <v>0</v>
      </c>
    </row>
    <row r="2480" spans="28:34">
      <c r="AB2480" s="580">
        <f>HLOOKUP("*"&amp;'Output annual'!$AC$2&amp;'Output annual'!$AD$2&amp;"*Zone People Number Of Occupants [](Hourly)",'Eplus results'!$1:$1048576,ROW(),FALSE)</f>
        <v>0</v>
      </c>
      <c r="AC2480" s="580">
        <f>HLOOKUP("*"&amp;'Output annual'!$AC$2&amp;'Output annual'!$AD$2&amp;"*FangerPMV(Hourly)",'Eplus results'!$1:$1048576,ROW(),FALSE)</f>
        <v>0</v>
      </c>
      <c r="AD2480" s="580">
        <f t="shared" si="226"/>
        <v>5</v>
      </c>
      <c r="AE2480" s="580">
        <f t="shared" si="227"/>
        <v>2.5</v>
      </c>
      <c r="AF2480" s="580">
        <f t="shared" si="228"/>
        <v>2.5</v>
      </c>
      <c r="AG2480" s="580">
        <f t="shared" si="229"/>
        <v>0</v>
      </c>
      <c r="AH2480" s="580">
        <f t="shared" si="230"/>
        <v>0</v>
      </c>
    </row>
    <row r="2481" spans="28:34">
      <c r="AB2481" s="580">
        <f>HLOOKUP("*"&amp;'Output annual'!$AC$2&amp;'Output annual'!$AD$2&amp;"*Zone People Number Of Occupants [](Hourly)",'Eplus results'!$1:$1048576,ROW(),FALSE)</f>
        <v>0</v>
      </c>
      <c r="AC2481" s="580">
        <f>HLOOKUP("*"&amp;'Output annual'!$AC$2&amp;'Output annual'!$AD$2&amp;"*FangerPMV(Hourly)",'Eplus results'!$1:$1048576,ROW(),FALSE)</f>
        <v>0</v>
      </c>
      <c r="AD2481" s="580">
        <f t="shared" si="226"/>
        <v>5</v>
      </c>
      <c r="AE2481" s="580">
        <f t="shared" si="227"/>
        <v>2.5</v>
      </c>
      <c r="AF2481" s="580">
        <f t="shared" si="228"/>
        <v>2.5</v>
      </c>
      <c r="AG2481" s="580">
        <f t="shared" si="229"/>
        <v>0</v>
      </c>
      <c r="AH2481" s="580">
        <f t="shared" si="230"/>
        <v>0</v>
      </c>
    </row>
    <row r="2482" spans="28:34">
      <c r="AB2482" s="580">
        <f>HLOOKUP("*"&amp;'Output annual'!$AC$2&amp;'Output annual'!$AD$2&amp;"*Zone People Number Of Occupants [](Hourly)",'Eplus results'!$1:$1048576,ROW(),FALSE)</f>
        <v>0</v>
      </c>
      <c r="AC2482" s="580">
        <f>HLOOKUP("*"&amp;'Output annual'!$AC$2&amp;'Output annual'!$AD$2&amp;"*FangerPMV(Hourly)",'Eplus results'!$1:$1048576,ROW(),FALSE)</f>
        <v>0</v>
      </c>
      <c r="AD2482" s="580">
        <f t="shared" si="226"/>
        <v>5</v>
      </c>
      <c r="AE2482" s="580">
        <f t="shared" si="227"/>
        <v>2.5</v>
      </c>
      <c r="AF2482" s="580">
        <f t="shared" si="228"/>
        <v>2.5</v>
      </c>
      <c r="AG2482" s="580">
        <f t="shared" si="229"/>
        <v>0</v>
      </c>
      <c r="AH2482" s="580">
        <f t="shared" si="230"/>
        <v>0</v>
      </c>
    </row>
    <row r="2483" spans="28:34">
      <c r="AB2483" s="580">
        <f>HLOOKUP("*"&amp;'Output annual'!$AC$2&amp;'Output annual'!$AD$2&amp;"*Zone People Number Of Occupants [](Hourly)",'Eplus results'!$1:$1048576,ROW(),FALSE)</f>
        <v>0</v>
      </c>
      <c r="AC2483" s="580">
        <f>HLOOKUP("*"&amp;'Output annual'!$AC$2&amp;'Output annual'!$AD$2&amp;"*FangerPMV(Hourly)",'Eplus results'!$1:$1048576,ROW(),FALSE)</f>
        <v>0</v>
      </c>
      <c r="AD2483" s="580">
        <f t="shared" si="226"/>
        <v>5</v>
      </c>
      <c r="AE2483" s="580">
        <f t="shared" si="227"/>
        <v>2.5</v>
      </c>
      <c r="AF2483" s="580">
        <f t="shared" si="228"/>
        <v>2.5</v>
      </c>
      <c r="AG2483" s="580">
        <f t="shared" si="229"/>
        <v>0</v>
      </c>
      <c r="AH2483" s="580">
        <f t="shared" si="230"/>
        <v>0</v>
      </c>
    </row>
    <row r="2484" spans="28:34">
      <c r="AB2484" s="580">
        <f>HLOOKUP("*"&amp;'Output annual'!$AC$2&amp;'Output annual'!$AD$2&amp;"*Zone People Number Of Occupants [](Hourly)",'Eplus results'!$1:$1048576,ROW(),FALSE)</f>
        <v>0</v>
      </c>
      <c r="AC2484" s="580">
        <f>HLOOKUP("*"&amp;'Output annual'!$AC$2&amp;'Output annual'!$AD$2&amp;"*FangerPMV(Hourly)",'Eplus results'!$1:$1048576,ROW(),FALSE)</f>
        <v>0</v>
      </c>
      <c r="AD2484" s="580">
        <f t="shared" si="226"/>
        <v>5</v>
      </c>
      <c r="AE2484" s="580">
        <f t="shared" si="227"/>
        <v>2.5</v>
      </c>
      <c r="AF2484" s="580">
        <f t="shared" si="228"/>
        <v>2.5</v>
      </c>
      <c r="AG2484" s="580">
        <f t="shared" si="229"/>
        <v>0</v>
      </c>
      <c r="AH2484" s="580">
        <f t="shared" si="230"/>
        <v>0</v>
      </c>
    </row>
    <row r="2485" spans="28:34">
      <c r="AB2485" s="580">
        <f>HLOOKUP("*"&amp;'Output annual'!$AC$2&amp;'Output annual'!$AD$2&amp;"*Zone People Number Of Occupants [](Hourly)",'Eplus results'!$1:$1048576,ROW(),FALSE)</f>
        <v>0</v>
      </c>
      <c r="AC2485" s="580">
        <f>HLOOKUP("*"&amp;'Output annual'!$AC$2&amp;'Output annual'!$AD$2&amp;"*FangerPMV(Hourly)",'Eplus results'!$1:$1048576,ROW(),FALSE)</f>
        <v>0</v>
      </c>
      <c r="AD2485" s="580">
        <f t="shared" si="226"/>
        <v>5</v>
      </c>
      <c r="AE2485" s="580">
        <f t="shared" si="227"/>
        <v>2.5</v>
      </c>
      <c r="AF2485" s="580">
        <f t="shared" si="228"/>
        <v>2.5</v>
      </c>
      <c r="AG2485" s="580">
        <f t="shared" si="229"/>
        <v>0</v>
      </c>
      <c r="AH2485" s="580">
        <f t="shared" si="230"/>
        <v>0</v>
      </c>
    </row>
    <row r="2486" spans="28:34">
      <c r="AB2486" s="580">
        <f>HLOOKUP("*"&amp;'Output annual'!$AC$2&amp;'Output annual'!$AD$2&amp;"*Zone People Number Of Occupants [](Hourly)",'Eplus results'!$1:$1048576,ROW(),FALSE)</f>
        <v>0</v>
      </c>
      <c r="AC2486" s="580">
        <f>HLOOKUP("*"&amp;'Output annual'!$AC$2&amp;'Output annual'!$AD$2&amp;"*FangerPMV(Hourly)",'Eplus results'!$1:$1048576,ROW(),FALSE)</f>
        <v>0</v>
      </c>
      <c r="AD2486" s="580">
        <f t="shared" si="226"/>
        <v>5</v>
      </c>
      <c r="AE2486" s="580">
        <f t="shared" si="227"/>
        <v>2.5</v>
      </c>
      <c r="AF2486" s="580">
        <f t="shared" si="228"/>
        <v>2.5</v>
      </c>
      <c r="AG2486" s="580">
        <f t="shared" si="229"/>
        <v>0</v>
      </c>
      <c r="AH2486" s="580">
        <f t="shared" si="230"/>
        <v>0</v>
      </c>
    </row>
    <row r="2487" spans="28:34">
      <c r="AB2487" s="580">
        <f>HLOOKUP("*"&amp;'Output annual'!$AC$2&amp;'Output annual'!$AD$2&amp;"*Zone People Number Of Occupants [](Hourly)",'Eplus results'!$1:$1048576,ROW(),FALSE)</f>
        <v>0</v>
      </c>
      <c r="AC2487" s="580">
        <f>HLOOKUP("*"&amp;'Output annual'!$AC$2&amp;'Output annual'!$AD$2&amp;"*FangerPMV(Hourly)",'Eplus results'!$1:$1048576,ROW(),FALSE)</f>
        <v>0</v>
      </c>
      <c r="AD2487" s="580">
        <f t="shared" si="226"/>
        <v>5</v>
      </c>
      <c r="AE2487" s="580">
        <f t="shared" si="227"/>
        <v>2.5</v>
      </c>
      <c r="AF2487" s="580">
        <f t="shared" si="228"/>
        <v>2.5</v>
      </c>
      <c r="AG2487" s="580">
        <f t="shared" si="229"/>
        <v>0</v>
      </c>
      <c r="AH2487" s="580">
        <f t="shared" si="230"/>
        <v>0</v>
      </c>
    </row>
    <row r="2488" spans="28:34">
      <c r="AB2488" s="580">
        <f>HLOOKUP("*"&amp;'Output annual'!$AC$2&amp;'Output annual'!$AD$2&amp;"*Zone People Number Of Occupants [](Hourly)",'Eplus results'!$1:$1048576,ROW(),FALSE)</f>
        <v>0</v>
      </c>
      <c r="AC2488" s="580">
        <f>HLOOKUP("*"&amp;'Output annual'!$AC$2&amp;'Output annual'!$AD$2&amp;"*FangerPMV(Hourly)",'Eplus results'!$1:$1048576,ROW(),FALSE)</f>
        <v>0</v>
      </c>
      <c r="AD2488" s="580">
        <f t="shared" si="226"/>
        <v>5</v>
      </c>
      <c r="AE2488" s="580">
        <f t="shared" si="227"/>
        <v>2.5</v>
      </c>
      <c r="AF2488" s="580">
        <f t="shared" si="228"/>
        <v>2.5</v>
      </c>
      <c r="AG2488" s="580">
        <f t="shared" si="229"/>
        <v>0</v>
      </c>
      <c r="AH2488" s="580">
        <f t="shared" si="230"/>
        <v>0</v>
      </c>
    </row>
    <row r="2489" spans="28:34">
      <c r="AB2489" s="580">
        <f>HLOOKUP("*"&amp;'Output annual'!$AC$2&amp;'Output annual'!$AD$2&amp;"*Zone People Number Of Occupants [](Hourly)",'Eplus results'!$1:$1048576,ROW(),FALSE)</f>
        <v>0</v>
      </c>
      <c r="AC2489" s="580">
        <f>HLOOKUP("*"&amp;'Output annual'!$AC$2&amp;'Output annual'!$AD$2&amp;"*FangerPMV(Hourly)",'Eplus results'!$1:$1048576,ROW(),FALSE)</f>
        <v>0</v>
      </c>
      <c r="AD2489" s="580">
        <f t="shared" si="226"/>
        <v>5</v>
      </c>
      <c r="AE2489" s="580">
        <f t="shared" si="227"/>
        <v>2.5</v>
      </c>
      <c r="AF2489" s="580">
        <f t="shared" si="228"/>
        <v>2.5</v>
      </c>
      <c r="AG2489" s="580">
        <f t="shared" si="229"/>
        <v>0</v>
      </c>
      <c r="AH2489" s="580">
        <f t="shared" si="230"/>
        <v>0</v>
      </c>
    </row>
    <row r="2490" spans="28:34">
      <c r="AB2490" s="580">
        <f>HLOOKUP("*"&amp;'Output annual'!$AC$2&amp;'Output annual'!$AD$2&amp;"*Zone People Number Of Occupants [](Hourly)",'Eplus results'!$1:$1048576,ROW(),FALSE)</f>
        <v>0</v>
      </c>
      <c r="AC2490" s="580">
        <f>HLOOKUP("*"&amp;'Output annual'!$AC$2&amp;'Output annual'!$AD$2&amp;"*FangerPMV(Hourly)",'Eplus results'!$1:$1048576,ROW(),FALSE)</f>
        <v>0</v>
      </c>
      <c r="AD2490" s="580">
        <f t="shared" si="226"/>
        <v>5</v>
      </c>
      <c r="AE2490" s="580">
        <f t="shared" si="227"/>
        <v>2.5</v>
      </c>
      <c r="AF2490" s="580">
        <f t="shared" si="228"/>
        <v>2.5</v>
      </c>
      <c r="AG2490" s="580">
        <f t="shared" si="229"/>
        <v>0</v>
      </c>
      <c r="AH2490" s="580">
        <f t="shared" si="230"/>
        <v>0</v>
      </c>
    </row>
    <row r="2491" spans="28:34">
      <c r="AB2491" s="580">
        <f>HLOOKUP("*"&amp;'Output annual'!$AC$2&amp;'Output annual'!$AD$2&amp;"*Zone People Number Of Occupants [](Hourly)",'Eplus results'!$1:$1048576,ROW(),FALSE)</f>
        <v>0</v>
      </c>
      <c r="AC2491" s="580">
        <f>HLOOKUP("*"&amp;'Output annual'!$AC$2&amp;'Output annual'!$AD$2&amp;"*FangerPMV(Hourly)",'Eplus results'!$1:$1048576,ROW(),FALSE)</f>
        <v>0</v>
      </c>
      <c r="AD2491" s="580">
        <f t="shared" si="226"/>
        <v>5</v>
      </c>
      <c r="AE2491" s="580">
        <f t="shared" si="227"/>
        <v>2.5</v>
      </c>
      <c r="AF2491" s="580">
        <f t="shared" si="228"/>
        <v>2.5</v>
      </c>
      <c r="AG2491" s="580">
        <f t="shared" si="229"/>
        <v>0</v>
      </c>
      <c r="AH2491" s="580">
        <f t="shared" si="230"/>
        <v>0</v>
      </c>
    </row>
    <row r="2492" spans="28:34">
      <c r="AB2492" s="580">
        <f>HLOOKUP("*"&amp;'Output annual'!$AC$2&amp;'Output annual'!$AD$2&amp;"*Zone People Number Of Occupants [](Hourly)",'Eplus results'!$1:$1048576,ROW(),FALSE)</f>
        <v>0</v>
      </c>
      <c r="AC2492" s="580">
        <f>HLOOKUP("*"&amp;'Output annual'!$AC$2&amp;'Output annual'!$AD$2&amp;"*FangerPMV(Hourly)",'Eplus results'!$1:$1048576,ROW(),FALSE)</f>
        <v>0</v>
      </c>
      <c r="AD2492" s="580">
        <f t="shared" si="226"/>
        <v>5</v>
      </c>
      <c r="AE2492" s="580">
        <f t="shared" si="227"/>
        <v>2.5</v>
      </c>
      <c r="AF2492" s="580">
        <f t="shared" si="228"/>
        <v>2.5</v>
      </c>
      <c r="AG2492" s="580">
        <f t="shared" si="229"/>
        <v>0</v>
      </c>
      <c r="AH2492" s="580">
        <f t="shared" si="230"/>
        <v>0</v>
      </c>
    </row>
    <row r="2493" spans="28:34">
      <c r="AB2493" s="580">
        <f>HLOOKUP("*"&amp;'Output annual'!$AC$2&amp;'Output annual'!$AD$2&amp;"*Zone People Number Of Occupants [](Hourly)",'Eplus results'!$1:$1048576,ROW(),FALSE)</f>
        <v>0</v>
      </c>
      <c r="AC2493" s="580">
        <f>HLOOKUP("*"&amp;'Output annual'!$AC$2&amp;'Output annual'!$AD$2&amp;"*FangerPMV(Hourly)",'Eplus results'!$1:$1048576,ROW(),FALSE)</f>
        <v>0</v>
      </c>
      <c r="AD2493" s="580">
        <f t="shared" si="226"/>
        <v>5</v>
      </c>
      <c r="AE2493" s="580">
        <f t="shared" si="227"/>
        <v>2.5</v>
      </c>
      <c r="AF2493" s="580">
        <f t="shared" si="228"/>
        <v>2.5</v>
      </c>
      <c r="AG2493" s="580">
        <f t="shared" si="229"/>
        <v>0</v>
      </c>
      <c r="AH2493" s="580">
        <f t="shared" si="230"/>
        <v>0</v>
      </c>
    </row>
    <row r="2494" spans="28:34">
      <c r="AB2494" s="580">
        <f>HLOOKUP("*"&amp;'Output annual'!$AC$2&amp;'Output annual'!$AD$2&amp;"*Zone People Number Of Occupants [](Hourly)",'Eplus results'!$1:$1048576,ROW(),FALSE)</f>
        <v>0</v>
      </c>
      <c r="AC2494" s="580">
        <f>HLOOKUP("*"&amp;'Output annual'!$AC$2&amp;'Output annual'!$AD$2&amp;"*FangerPMV(Hourly)",'Eplus results'!$1:$1048576,ROW(),FALSE)</f>
        <v>0</v>
      </c>
      <c r="AD2494" s="580">
        <f t="shared" si="226"/>
        <v>5</v>
      </c>
      <c r="AE2494" s="580">
        <f t="shared" si="227"/>
        <v>2.5</v>
      </c>
      <c r="AF2494" s="580">
        <f t="shared" si="228"/>
        <v>2.5</v>
      </c>
      <c r="AG2494" s="580">
        <f t="shared" si="229"/>
        <v>0</v>
      </c>
      <c r="AH2494" s="580">
        <f t="shared" si="230"/>
        <v>0</v>
      </c>
    </row>
    <row r="2495" spans="28:34">
      <c r="AB2495" s="580">
        <f>HLOOKUP("*"&amp;'Output annual'!$AC$2&amp;'Output annual'!$AD$2&amp;"*Zone People Number Of Occupants [](Hourly)",'Eplus results'!$1:$1048576,ROW(),FALSE)</f>
        <v>0</v>
      </c>
      <c r="AC2495" s="580">
        <f>HLOOKUP("*"&amp;'Output annual'!$AC$2&amp;'Output annual'!$AD$2&amp;"*FangerPMV(Hourly)",'Eplus results'!$1:$1048576,ROW(),FALSE)</f>
        <v>0</v>
      </c>
      <c r="AD2495" s="580">
        <f t="shared" si="226"/>
        <v>5</v>
      </c>
      <c r="AE2495" s="580">
        <f t="shared" si="227"/>
        <v>2.5</v>
      </c>
      <c r="AF2495" s="580">
        <f t="shared" si="228"/>
        <v>2.5</v>
      </c>
      <c r="AG2495" s="580">
        <f t="shared" si="229"/>
        <v>0</v>
      </c>
      <c r="AH2495" s="580">
        <f t="shared" si="230"/>
        <v>0</v>
      </c>
    </row>
    <row r="2496" spans="28:34">
      <c r="AB2496" s="580">
        <f>HLOOKUP("*"&amp;'Output annual'!$AC$2&amp;'Output annual'!$AD$2&amp;"*Zone People Number Of Occupants [](Hourly)",'Eplus results'!$1:$1048576,ROW(),FALSE)</f>
        <v>0</v>
      </c>
      <c r="AC2496" s="580">
        <f>HLOOKUP("*"&amp;'Output annual'!$AC$2&amp;'Output annual'!$AD$2&amp;"*FangerPMV(Hourly)",'Eplus results'!$1:$1048576,ROW(),FALSE)</f>
        <v>0</v>
      </c>
      <c r="AD2496" s="580">
        <f t="shared" si="226"/>
        <v>5</v>
      </c>
      <c r="AE2496" s="580">
        <f t="shared" si="227"/>
        <v>2.5</v>
      </c>
      <c r="AF2496" s="580">
        <f t="shared" si="228"/>
        <v>2.5</v>
      </c>
      <c r="AG2496" s="580">
        <f t="shared" si="229"/>
        <v>0</v>
      </c>
      <c r="AH2496" s="580">
        <f t="shared" si="230"/>
        <v>0</v>
      </c>
    </row>
    <row r="2497" spans="28:34">
      <c r="AB2497" s="580">
        <f>HLOOKUP("*"&amp;'Output annual'!$AC$2&amp;'Output annual'!$AD$2&amp;"*Zone People Number Of Occupants [](Hourly)",'Eplus results'!$1:$1048576,ROW(),FALSE)</f>
        <v>0</v>
      </c>
      <c r="AC2497" s="580">
        <f>HLOOKUP("*"&amp;'Output annual'!$AC$2&amp;'Output annual'!$AD$2&amp;"*FangerPMV(Hourly)",'Eplus results'!$1:$1048576,ROW(),FALSE)</f>
        <v>0</v>
      </c>
      <c r="AD2497" s="580">
        <f t="shared" si="226"/>
        <v>5</v>
      </c>
      <c r="AE2497" s="580">
        <f t="shared" si="227"/>
        <v>2.5</v>
      </c>
      <c r="AF2497" s="580">
        <f t="shared" si="228"/>
        <v>2.5</v>
      </c>
      <c r="AG2497" s="580">
        <f t="shared" si="229"/>
        <v>0</v>
      </c>
      <c r="AH2497" s="580">
        <f t="shared" si="230"/>
        <v>0</v>
      </c>
    </row>
    <row r="2498" spans="28:34">
      <c r="AB2498" s="580">
        <f>HLOOKUP("*"&amp;'Output annual'!$AC$2&amp;'Output annual'!$AD$2&amp;"*Zone People Number Of Occupants [](Hourly)",'Eplus results'!$1:$1048576,ROW(),FALSE)</f>
        <v>0</v>
      </c>
      <c r="AC2498" s="580">
        <f>HLOOKUP("*"&amp;'Output annual'!$AC$2&amp;'Output annual'!$AD$2&amp;"*FangerPMV(Hourly)",'Eplus results'!$1:$1048576,ROW(),FALSE)</f>
        <v>0</v>
      </c>
      <c r="AD2498" s="580">
        <f t="shared" si="226"/>
        <v>5</v>
      </c>
      <c r="AE2498" s="580">
        <f t="shared" si="227"/>
        <v>2.5</v>
      </c>
      <c r="AF2498" s="580">
        <f t="shared" si="228"/>
        <v>2.5</v>
      </c>
      <c r="AG2498" s="580">
        <f t="shared" si="229"/>
        <v>0</v>
      </c>
      <c r="AH2498" s="580">
        <f t="shared" si="230"/>
        <v>0</v>
      </c>
    </row>
    <row r="2499" spans="28:34">
      <c r="AB2499" s="580">
        <f>HLOOKUP("*"&amp;'Output annual'!$AC$2&amp;'Output annual'!$AD$2&amp;"*Zone People Number Of Occupants [](Hourly)",'Eplus results'!$1:$1048576,ROW(),FALSE)</f>
        <v>0</v>
      </c>
      <c r="AC2499" s="580">
        <f>HLOOKUP("*"&amp;'Output annual'!$AC$2&amp;'Output annual'!$AD$2&amp;"*FangerPMV(Hourly)",'Eplus results'!$1:$1048576,ROW(),FALSE)</f>
        <v>0</v>
      </c>
      <c r="AD2499" s="580">
        <f t="shared" ref="AD2499:AD2562" si="231">100-95*EXP(-0.03353*AC2499^4-0.2179*AC2499^2)</f>
        <v>5</v>
      </c>
      <c r="AE2499" s="580">
        <f t="shared" ref="AE2499:AE2562" si="232">AD2499*(1/(1+EXP(-6.3*$AC2499)))</f>
        <v>2.5</v>
      </c>
      <c r="AF2499" s="580">
        <f t="shared" ref="AF2499:AF2562" si="233">(AD2499-AE2499)</f>
        <v>2.5</v>
      </c>
      <c r="AG2499" s="580">
        <f t="shared" ref="AG2499:AG2562" si="234">AE2499*AB2499</f>
        <v>0</v>
      </c>
      <c r="AH2499" s="580">
        <f t="shared" ref="AH2499:AH2562" si="235">AF2499*AB2499</f>
        <v>0</v>
      </c>
    </row>
    <row r="2500" spans="28:34">
      <c r="AB2500" s="580">
        <f>HLOOKUP("*"&amp;'Output annual'!$AC$2&amp;'Output annual'!$AD$2&amp;"*Zone People Number Of Occupants [](Hourly)",'Eplus results'!$1:$1048576,ROW(),FALSE)</f>
        <v>0</v>
      </c>
      <c r="AC2500" s="580">
        <f>HLOOKUP("*"&amp;'Output annual'!$AC$2&amp;'Output annual'!$AD$2&amp;"*FangerPMV(Hourly)",'Eplus results'!$1:$1048576,ROW(),FALSE)</f>
        <v>0</v>
      </c>
      <c r="AD2500" s="580">
        <f t="shared" si="231"/>
        <v>5</v>
      </c>
      <c r="AE2500" s="580">
        <f t="shared" si="232"/>
        <v>2.5</v>
      </c>
      <c r="AF2500" s="580">
        <f t="shared" si="233"/>
        <v>2.5</v>
      </c>
      <c r="AG2500" s="580">
        <f t="shared" si="234"/>
        <v>0</v>
      </c>
      <c r="AH2500" s="580">
        <f t="shared" si="235"/>
        <v>0</v>
      </c>
    </row>
    <row r="2501" spans="28:34">
      <c r="AB2501" s="580">
        <f>HLOOKUP("*"&amp;'Output annual'!$AC$2&amp;'Output annual'!$AD$2&amp;"*Zone People Number Of Occupants [](Hourly)",'Eplus results'!$1:$1048576,ROW(),FALSE)</f>
        <v>0</v>
      </c>
      <c r="AC2501" s="580">
        <f>HLOOKUP("*"&amp;'Output annual'!$AC$2&amp;'Output annual'!$AD$2&amp;"*FangerPMV(Hourly)",'Eplus results'!$1:$1048576,ROW(),FALSE)</f>
        <v>0</v>
      </c>
      <c r="AD2501" s="580">
        <f t="shared" si="231"/>
        <v>5</v>
      </c>
      <c r="AE2501" s="580">
        <f t="shared" si="232"/>
        <v>2.5</v>
      </c>
      <c r="AF2501" s="580">
        <f t="shared" si="233"/>
        <v>2.5</v>
      </c>
      <c r="AG2501" s="580">
        <f t="shared" si="234"/>
        <v>0</v>
      </c>
      <c r="AH2501" s="580">
        <f t="shared" si="235"/>
        <v>0</v>
      </c>
    </row>
    <row r="2502" spans="28:34">
      <c r="AB2502" s="580">
        <f>HLOOKUP("*"&amp;'Output annual'!$AC$2&amp;'Output annual'!$AD$2&amp;"*Zone People Number Of Occupants [](Hourly)",'Eplus results'!$1:$1048576,ROW(),FALSE)</f>
        <v>0</v>
      </c>
      <c r="AC2502" s="580">
        <f>HLOOKUP("*"&amp;'Output annual'!$AC$2&amp;'Output annual'!$AD$2&amp;"*FangerPMV(Hourly)",'Eplus results'!$1:$1048576,ROW(),FALSE)</f>
        <v>0</v>
      </c>
      <c r="AD2502" s="580">
        <f t="shared" si="231"/>
        <v>5</v>
      </c>
      <c r="AE2502" s="580">
        <f t="shared" si="232"/>
        <v>2.5</v>
      </c>
      <c r="AF2502" s="580">
        <f t="shared" si="233"/>
        <v>2.5</v>
      </c>
      <c r="AG2502" s="580">
        <f t="shared" si="234"/>
        <v>0</v>
      </c>
      <c r="AH2502" s="580">
        <f t="shared" si="235"/>
        <v>0</v>
      </c>
    </row>
    <row r="2503" spans="28:34">
      <c r="AB2503" s="580">
        <f>HLOOKUP("*"&amp;'Output annual'!$AC$2&amp;'Output annual'!$AD$2&amp;"*Zone People Number Of Occupants [](Hourly)",'Eplus results'!$1:$1048576,ROW(),FALSE)</f>
        <v>0</v>
      </c>
      <c r="AC2503" s="580">
        <f>HLOOKUP("*"&amp;'Output annual'!$AC$2&amp;'Output annual'!$AD$2&amp;"*FangerPMV(Hourly)",'Eplus results'!$1:$1048576,ROW(),FALSE)</f>
        <v>0</v>
      </c>
      <c r="AD2503" s="580">
        <f t="shared" si="231"/>
        <v>5</v>
      </c>
      <c r="AE2503" s="580">
        <f t="shared" si="232"/>
        <v>2.5</v>
      </c>
      <c r="AF2503" s="580">
        <f t="shared" si="233"/>
        <v>2.5</v>
      </c>
      <c r="AG2503" s="580">
        <f t="shared" si="234"/>
        <v>0</v>
      </c>
      <c r="AH2503" s="580">
        <f t="shared" si="235"/>
        <v>0</v>
      </c>
    </row>
    <row r="2504" spans="28:34">
      <c r="AB2504" s="580">
        <f>HLOOKUP("*"&amp;'Output annual'!$AC$2&amp;'Output annual'!$AD$2&amp;"*Zone People Number Of Occupants [](Hourly)",'Eplus results'!$1:$1048576,ROW(),FALSE)</f>
        <v>0</v>
      </c>
      <c r="AC2504" s="580">
        <f>HLOOKUP("*"&amp;'Output annual'!$AC$2&amp;'Output annual'!$AD$2&amp;"*FangerPMV(Hourly)",'Eplus results'!$1:$1048576,ROW(),FALSE)</f>
        <v>0</v>
      </c>
      <c r="AD2504" s="580">
        <f t="shared" si="231"/>
        <v>5</v>
      </c>
      <c r="AE2504" s="580">
        <f t="shared" si="232"/>
        <v>2.5</v>
      </c>
      <c r="AF2504" s="580">
        <f t="shared" si="233"/>
        <v>2.5</v>
      </c>
      <c r="AG2504" s="580">
        <f t="shared" si="234"/>
        <v>0</v>
      </c>
      <c r="AH2504" s="580">
        <f t="shared" si="235"/>
        <v>0</v>
      </c>
    </row>
    <row r="2505" spans="28:34">
      <c r="AB2505" s="580">
        <f>HLOOKUP("*"&amp;'Output annual'!$AC$2&amp;'Output annual'!$AD$2&amp;"*Zone People Number Of Occupants [](Hourly)",'Eplus results'!$1:$1048576,ROW(),FALSE)</f>
        <v>0</v>
      </c>
      <c r="AC2505" s="580">
        <f>HLOOKUP("*"&amp;'Output annual'!$AC$2&amp;'Output annual'!$AD$2&amp;"*FangerPMV(Hourly)",'Eplus results'!$1:$1048576,ROW(),FALSE)</f>
        <v>0</v>
      </c>
      <c r="AD2505" s="580">
        <f t="shared" si="231"/>
        <v>5</v>
      </c>
      <c r="AE2505" s="580">
        <f t="shared" si="232"/>
        <v>2.5</v>
      </c>
      <c r="AF2505" s="580">
        <f t="shared" si="233"/>
        <v>2.5</v>
      </c>
      <c r="AG2505" s="580">
        <f t="shared" si="234"/>
        <v>0</v>
      </c>
      <c r="AH2505" s="580">
        <f t="shared" si="235"/>
        <v>0</v>
      </c>
    </row>
    <row r="2506" spans="28:34">
      <c r="AB2506" s="580">
        <f>HLOOKUP("*"&amp;'Output annual'!$AC$2&amp;'Output annual'!$AD$2&amp;"*Zone People Number Of Occupants [](Hourly)",'Eplus results'!$1:$1048576,ROW(),FALSE)</f>
        <v>0</v>
      </c>
      <c r="AC2506" s="580">
        <f>HLOOKUP("*"&amp;'Output annual'!$AC$2&amp;'Output annual'!$AD$2&amp;"*FangerPMV(Hourly)",'Eplus results'!$1:$1048576,ROW(),FALSE)</f>
        <v>0</v>
      </c>
      <c r="AD2506" s="580">
        <f t="shared" si="231"/>
        <v>5</v>
      </c>
      <c r="AE2506" s="580">
        <f t="shared" si="232"/>
        <v>2.5</v>
      </c>
      <c r="AF2506" s="580">
        <f t="shared" si="233"/>
        <v>2.5</v>
      </c>
      <c r="AG2506" s="580">
        <f t="shared" si="234"/>
        <v>0</v>
      </c>
      <c r="AH2506" s="580">
        <f t="shared" si="235"/>
        <v>0</v>
      </c>
    </row>
    <row r="2507" spans="28:34">
      <c r="AB2507" s="580">
        <f>HLOOKUP("*"&amp;'Output annual'!$AC$2&amp;'Output annual'!$AD$2&amp;"*Zone People Number Of Occupants [](Hourly)",'Eplus results'!$1:$1048576,ROW(),FALSE)</f>
        <v>0</v>
      </c>
      <c r="AC2507" s="580">
        <f>HLOOKUP("*"&amp;'Output annual'!$AC$2&amp;'Output annual'!$AD$2&amp;"*FangerPMV(Hourly)",'Eplus results'!$1:$1048576,ROW(),FALSE)</f>
        <v>0</v>
      </c>
      <c r="AD2507" s="580">
        <f t="shared" si="231"/>
        <v>5</v>
      </c>
      <c r="AE2507" s="580">
        <f t="shared" si="232"/>
        <v>2.5</v>
      </c>
      <c r="AF2507" s="580">
        <f t="shared" si="233"/>
        <v>2.5</v>
      </c>
      <c r="AG2507" s="580">
        <f t="shared" si="234"/>
        <v>0</v>
      </c>
      <c r="AH2507" s="580">
        <f t="shared" si="235"/>
        <v>0</v>
      </c>
    </row>
    <row r="2508" spans="28:34">
      <c r="AB2508" s="580">
        <f>HLOOKUP("*"&amp;'Output annual'!$AC$2&amp;'Output annual'!$AD$2&amp;"*Zone People Number Of Occupants [](Hourly)",'Eplus results'!$1:$1048576,ROW(),FALSE)</f>
        <v>0</v>
      </c>
      <c r="AC2508" s="580">
        <f>HLOOKUP("*"&amp;'Output annual'!$AC$2&amp;'Output annual'!$AD$2&amp;"*FangerPMV(Hourly)",'Eplus results'!$1:$1048576,ROW(),FALSE)</f>
        <v>0</v>
      </c>
      <c r="AD2508" s="580">
        <f t="shared" si="231"/>
        <v>5</v>
      </c>
      <c r="AE2508" s="580">
        <f t="shared" si="232"/>
        <v>2.5</v>
      </c>
      <c r="AF2508" s="580">
        <f t="shared" si="233"/>
        <v>2.5</v>
      </c>
      <c r="AG2508" s="580">
        <f t="shared" si="234"/>
        <v>0</v>
      </c>
      <c r="AH2508" s="580">
        <f t="shared" si="235"/>
        <v>0</v>
      </c>
    </row>
    <row r="2509" spans="28:34">
      <c r="AB2509" s="580">
        <f>HLOOKUP("*"&amp;'Output annual'!$AC$2&amp;'Output annual'!$AD$2&amp;"*Zone People Number Of Occupants [](Hourly)",'Eplus results'!$1:$1048576,ROW(),FALSE)</f>
        <v>0</v>
      </c>
      <c r="AC2509" s="580">
        <f>HLOOKUP("*"&amp;'Output annual'!$AC$2&amp;'Output annual'!$AD$2&amp;"*FangerPMV(Hourly)",'Eplus results'!$1:$1048576,ROW(),FALSE)</f>
        <v>0</v>
      </c>
      <c r="AD2509" s="580">
        <f t="shared" si="231"/>
        <v>5</v>
      </c>
      <c r="AE2509" s="580">
        <f t="shared" si="232"/>
        <v>2.5</v>
      </c>
      <c r="AF2509" s="580">
        <f t="shared" si="233"/>
        <v>2.5</v>
      </c>
      <c r="AG2509" s="580">
        <f t="shared" si="234"/>
        <v>0</v>
      </c>
      <c r="AH2509" s="580">
        <f t="shared" si="235"/>
        <v>0</v>
      </c>
    </row>
    <row r="2510" spans="28:34">
      <c r="AB2510" s="580">
        <f>HLOOKUP("*"&amp;'Output annual'!$AC$2&amp;'Output annual'!$AD$2&amp;"*Zone People Number Of Occupants [](Hourly)",'Eplus results'!$1:$1048576,ROW(),FALSE)</f>
        <v>0</v>
      </c>
      <c r="AC2510" s="580">
        <f>HLOOKUP("*"&amp;'Output annual'!$AC$2&amp;'Output annual'!$AD$2&amp;"*FangerPMV(Hourly)",'Eplus results'!$1:$1048576,ROW(),FALSE)</f>
        <v>0</v>
      </c>
      <c r="AD2510" s="580">
        <f t="shared" si="231"/>
        <v>5</v>
      </c>
      <c r="AE2510" s="580">
        <f t="shared" si="232"/>
        <v>2.5</v>
      </c>
      <c r="AF2510" s="580">
        <f t="shared" si="233"/>
        <v>2.5</v>
      </c>
      <c r="AG2510" s="580">
        <f t="shared" si="234"/>
        <v>0</v>
      </c>
      <c r="AH2510" s="580">
        <f t="shared" si="235"/>
        <v>0</v>
      </c>
    </row>
    <row r="2511" spans="28:34">
      <c r="AB2511" s="580">
        <f>HLOOKUP("*"&amp;'Output annual'!$AC$2&amp;'Output annual'!$AD$2&amp;"*Zone People Number Of Occupants [](Hourly)",'Eplus results'!$1:$1048576,ROW(),FALSE)</f>
        <v>0</v>
      </c>
      <c r="AC2511" s="580">
        <f>HLOOKUP("*"&amp;'Output annual'!$AC$2&amp;'Output annual'!$AD$2&amp;"*FangerPMV(Hourly)",'Eplus results'!$1:$1048576,ROW(),FALSE)</f>
        <v>0</v>
      </c>
      <c r="AD2511" s="580">
        <f t="shared" si="231"/>
        <v>5</v>
      </c>
      <c r="AE2511" s="580">
        <f t="shared" si="232"/>
        <v>2.5</v>
      </c>
      <c r="AF2511" s="580">
        <f t="shared" si="233"/>
        <v>2.5</v>
      </c>
      <c r="AG2511" s="580">
        <f t="shared" si="234"/>
        <v>0</v>
      </c>
      <c r="AH2511" s="580">
        <f t="shared" si="235"/>
        <v>0</v>
      </c>
    </row>
    <row r="2512" spans="28:34">
      <c r="AB2512" s="580">
        <f>HLOOKUP("*"&amp;'Output annual'!$AC$2&amp;'Output annual'!$AD$2&amp;"*Zone People Number Of Occupants [](Hourly)",'Eplus results'!$1:$1048576,ROW(),FALSE)</f>
        <v>0</v>
      </c>
      <c r="AC2512" s="580">
        <f>HLOOKUP("*"&amp;'Output annual'!$AC$2&amp;'Output annual'!$AD$2&amp;"*FangerPMV(Hourly)",'Eplus results'!$1:$1048576,ROW(),FALSE)</f>
        <v>0</v>
      </c>
      <c r="AD2512" s="580">
        <f t="shared" si="231"/>
        <v>5</v>
      </c>
      <c r="AE2512" s="580">
        <f t="shared" si="232"/>
        <v>2.5</v>
      </c>
      <c r="AF2512" s="580">
        <f t="shared" si="233"/>
        <v>2.5</v>
      </c>
      <c r="AG2512" s="580">
        <f t="shared" si="234"/>
        <v>0</v>
      </c>
      <c r="AH2512" s="580">
        <f t="shared" si="235"/>
        <v>0</v>
      </c>
    </row>
    <row r="2513" spans="28:34">
      <c r="AB2513" s="580">
        <f>HLOOKUP("*"&amp;'Output annual'!$AC$2&amp;'Output annual'!$AD$2&amp;"*Zone People Number Of Occupants [](Hourly)",'Eplus results'!$1:$1048576,ROW(),FALSE)</f>
        <v>0</v>
      </c>
      <c r="AC2513" s="580">
        <f>HLOOKUP("*"&amp;'Output annual'!$AC$2&amp;'Output annual'!$AD$2&amp;"*FangerPMV(Hourly)",'Eplus results'!$1:$1048576,ROW(),FALSE)</f>
        <v>0</v>
      </c>
      <c r="AD2513" s="580">
        <f t="shared" si="231"/>
        <v>5</v>
      </c>
      <c r="AE2513" s="580">
        <f t="shared" si="232"/>
        <v>2.5</v>
      </c>
      <c r="AF2513" s="580">
        <f t="shared" si="233"/>
        <v>2.5</v>
      </c>
      <c r="AG2513" s="580">
        <f t="shared" si="234"/>
        <v>0</v>
      </c>
      <c r="AH2513" s="580">
        <f t="shared" si="235"/>
        <v>0</v>
      </c>
    </row>
    <row r="2514" spans="28:34">
      <c r="AB2514" s="580">
        <f>HLOOKUP("*"&amp;'Output annual'!$AC$2&amp;'Output annual'!$AD$2&amp;"*Zone People Number Of Occupants [](Hourly)",'Eplus results'!$1:$1048576,ROW(),FALSE)</f>
        <v>0</v>
      </c>
      <c r="AC2514" s="580">
        <f>HLOOKUP("*"&amp;'Output annual'!$AC$2&amp;'Output annual'!$AD$2&amp;"*FangerPMV(Hourly)",'Eplus results'!$1:$1048576,ROW(),FALSE)</f>
        <v>0</v>
      </c>
      <c r="AD2514" s="580">
        <f t="shared" si="231"/>
        <v>5</v>
      </c>
      <c r="AE2514" s="580">
        <f t="shared" si="232"/>
        <v>2.5</v>
      </c>
      <c r="AF2514" s="580">
        <f t="shared" si="233"/>
        <v>2.5</v>
      </c>
      <c r="AG2514" s="580">
        <f t="shared" si="234"/>
        <v>0</v>
      </c>
      <c r="AH2514" s="580">
        <f t="shared" si="235"/>
        <v>0</v>
      </c>
    </row>
    <row r="2515" spans="28:34">
      <c r="AB2515" s="580">
        <f>HLOOKUP("*"&amp;'Output annual'!$AC$2&amp;'Output annual'!$AD$2&amp;"*Zone People Number Of Occupants [](Hourly)",'Eplus results'!$1:$1048576,ROW(),FALSE)</f>
        <v>0</v>
      </c>
      <c r="AC2515" s="580">
        <f>HLOOKUP("*"&amp;'Output annual'!$AC$2&amp;'Output annual'!$AD$2&amp;"*FangerPMV(Hourly)",'Eplus results'!$1:$1048576,ROW(),FALSE)</f>
        <v>0</v>
      </c>
      <c r="AD2515" s="580">
        <f t="shared" si="231"/>
        <v>5</v>
      </c>
      <c r="AE2515" s="580">
        <f t="shared" si="232"/>
        <v>2.5</v>
      </c>
      <c r="AF2515" s="580">
        <f t="shared" si="233"/>
        <v>2.5</v>
      </c>
      <c r="AG2515" s="580">
        <f t="shared" si="234"/>
        <v>0</v>
      </c>
      <c r="AH2515" s="580">
        <f t="shared" si="235"/>
        <v>0</v>
      </c>
    </row>
    <row r="2516" spans="28:34">
      <c r="AB2516" s="580">
        <f>HLOOKUP("*"&amp;'Output annual'!$AC$2&amp;'Output annual'!$AD$2&amp;"*Zone People Number Of Occupants [](Hourly)",'Eplus results'!$1:$1048576,ROW(),FALSE)</f>
        <v>0</v>
      </c>
      <c r="AC2516" s="580">
        <f>HLOOKUP("*"&amp;'Output annual'!$AC$2&amp;'Output annual'!$AD$2&amp;"*FangerPMV(Hourly)",'Eplus results'!$1:$1048576,ROW(),FALSE)</f>
        <v>0</v>
      </c>
      <c r="AD2516" s="580">
        <f t="shared" si="231"/>
        <v>5</v>
      </c>
      <c r="AE2516" s="580">
        <f t="shared" si="232"/>
        <v>2.5</v>
      </c>
      <c r="AF2516" s="580">
        <f t="shared" si="233"/>
        <v>2.5</v>
      </c>
      <c r="AG2516" s="580">
        <f t="shared" si="234"/>
        <v>0</v>
      </c>
      <c r="AH2516" s="580">
        <f t="shared" si="235"/>
        <v>0</v>
      </c>
    </row>
    <row r="2517" spans="28:34">
      <c r="AB2517" s="580">
        <f>HLOOKUP("*"&amp;'Output annual'!$AC$2&amp;'Output annual'!$AD$2&amp;"*Zone People Number Of Occupants [](Hourly)",'Eplus results'!$1:$1048576,ROW(),FALSE)</f>
        <v>0</v>
      </c>
      <c r="AC2517" s="580">
        <f>HLOOKUP("*"&amp;'Output annual'!$AC$2&amp;'Output annual'!$AD$2&amp;"*FangerPMV(Hourly)",'Eplus results'!$1:$1048576,ROW(),FALSE)</f>
        <v>0</v>
      </c>
      <c r="AD2517" s="580">
        <f t="shared" si="231"/>
        <v>5</v>
      </c>
      <c r="AE2517" s="580">
        <f t="shared" si="232"/>
        <v>2.5</v>
      </c>
      <c r="AF2517" s="580">
        <f t="shared" si="233"/>
        <v>2.5</v>
      </c>
      <c r="AG2517" s="580">
        <f t="shared" si="234"/>
        <v>0</v>
      </c>
      <c r="AH2517" s="580">
        <f t="shared" si="235"/>
        <v>0</v>
      </c>
    </row>
    <row r="2518" spans="28:34">
      <c r="AB2518" s="580">
        <f>HLOOKUP("*"&amp;'Output annual'!$AC$2&amp;'Output annual'!$AD$2&amp;"*Zone People Number Of Occupants [](Hourly)",'Eplus results'!$1:$1048576,ROW(),FALSE)</f>
        <v>0</v>
      </c>
      <c r="AC2518" s="580">
        <f>HLOOKUP("*"&amp;'Output annual'!$AC$2&amp;'Output annual'!$AD$2&amp;"*FangerPMV(Hourly)",'Eplus results'!$1:$1048576,ROW(),FALSE)</f>
        <v>0</v>
      </c>
      <c r="AD2518" s="580">
        <f t="shared" si="231"/>
        <v>5</v>
      </c>
      <c r="AE2518" s="580">
        <f t="shared" si="232"/>
        <v>2.5</v>
      </c>
      <c r="AF2518" s="580">
        <f t="shared" si="233"/>
        <v>2.5</v>
      </c>
      <c r="AG2518" s="580">
        <f t="shared" si="234"/>
        <v>0</v>
      </c>
      <c r="AH2518" s="580">
        <f t="shared" si="235"/>
        <v>0</v>
      </c>
    </row>
    <row r="2519" spans="28:34">
      <c r="AB2519" s="580">
        <f>HLOOKUP("*"&amp;'Output annual'!$AC$2&amp;'Output annual'!$AD$2&amp;"*Zone People Number Of Occupants [](Hourly)",'Eplus results'!$1:$1048576,ROW(),FALSE)</f>
        <v>0</v>
      </c>
      <c r="AC2519" s="580">
        <f>HLOOKUP("*"&amp;'Output annual'!$AC$2&amp;'Output annual'!$AD$2&amp;"*FangerPMV(Hourly)",'Eplus results'!$1:$1048576,ROW(),FALSE)</f>
        <v>0</v>
      </c>
      <c r="AD2519" s="580">
        <f t="shared" si="231"/>
        <v>5</v>
      </c>
      <c r="AE2519" s="580">
        <f t="shared" si="232"/>
        <v>2.5</v>
      </c>
      <c r="AF2519" s="580">
        <f t="shared" si="233"/>
        <v>2.5</v>
      </c>
      <c r="AG2519" s="580">
        <f t="shared" si="234"/>
        <v>0</v>
      </c>
      <c r="AH2519" s="580">
        <f t="shared" si="235"/>
        <v>0</v>
      </c>
    </row>
    <row r="2520" spans="28:34">
      <c r="AB2520" s="580">
        <f>HLOOKUP("*"&amp;'Output annual'!$AC$2&amp;'Output annual'!$AD$2&amp;"*Zone People Number Of Occupants [](Hourly)",'Eplus results'!$1:$1048576,ROW(),FALSE)</f>
        <v>0</v>
      </c>
      <c r="AC2520" s="580">
        <f>HLOOKUP("*"&amp;'Output annual'!$AC$2&amp;'Output annual'!$AD$2&amp;"*FangerPMV(Hourly)",'Eplus results'!$1:$1048576,ROW(),FALSE)</f>
        <v>0</v>
      </c>
      <c r="AD2520" s="580">
        <f t="shared" si="231"/>
        <v>5</v>
      </c>
      <c r="AE2520" s="580">
        <f t="shared" si="232"/>
        <v>2.5</v>
      </c>
      <c r="AF2520" s="580">
        <f t="shared" si="233"/>
        <v>2.5</v>
      </c>
      <c r="AG2520" s="580">
        <f t="shared" si="234"/>
        <v>0</v>
      </c>
      <c r="AH2520" s="580">
        <f t="shared" si="235"/>
        <v>0</v>
      </c>
    </row>
    <row r="2521" spans="28:34">
      <c r="AB2521" s="580">
        <f>HLOOKUP("*"&amp;'Output annual'!$AC$2&amp;'Output annual'!$AD$2&amp;"*Zone People Number Of Occupants [](Hourly)",'Eplus results'!$1:$1048576,ROW(),FALSE)</f>
        <v>0</v>
      </c>
      <c r="AC2521" s="580">
        <f>HLOOKUP("*"&amp;'Output annual'!$AC$2&amp;'Output annual'!$AD$2&amp;"*FangerPMV(Hourly)",'Eplus results'!$1:$1048576,ROW(),FALSE)</f>
        <v>0</v>
      </c>
      <c r="AD2521" s="580">
        <f t="shared" si="231"/>
        <v>5</v>
      </c>
      <c r="AE2521" s="580">
        <f t="shared" si="232"/>
        <v>2.5</v>
      </c>
      <c r="AF2521" s="580">
        <f t="shared" si="233"/>
        <v>2.5</v>
      </c>
      <c r="AG2521" s="580">
        <f t="shared" si="234"/>
        <v>0</v>
      </c>
      <c r="AH2521" s="580">
        <f t="shared" si="235"/>
        <v>0</v>
      </c>
    </row>
    <row r="2522" spans="28:34">
      <c r="AB2522" s="580">
        <f>HLOOKUP("*"&amp;'Output annual'!$AC$2&amp;'Output annual'!$AD$2&amp;"*Zone People Number Of Occupants [](Hourly)",'Eplus results'!$1:$1048576,ROW(),FALSE)</f>
        <v>0</v>
      </c>
      <c r="AC2522" s="580">
        <f>HLOOKUP("*"&amp;'Output annual'!$AC$2&amp;'Output annual'!$AD$2&amp;"*FangerPMV(Hourly)",'Eplus results'!$1:$1048576,ROW(),FALSE)</f>
        <v>0</v>
      </c>
      <c r="AD2522" s="580">
        <f t="shared" si="231"/>
        <v>5</v>
      </c>
      <c r="AE2522" s="580">
        <f t="shared" si="232"/>
        <v>2.5</v>
      </c>
      <c r="AF2522" s="580">
        <f t="shared" si="233"/>
        <v>2.5</v>
      </c>
      <c r="AG2522" s="580">
        <f t="shared" si="234"/>
        <v>0</v>
      </c>
      <c r="AH2522" s="580">
        <f t="shared" si="235"/>
        <v>0</v>
      </c>
    </row>
    <row r="2523" spans="28:34">
      <c r="AB2523" s="580">
        <f>HLOOKUP("*"&amp;'Output annual'!$AC$2&amp;'Output annual'!$AD$2&amp;"*Zone People Number Of Occupants [](Hourly)",'Eplus results'!$1:$1048576,ROW(),FALSE)</f>
        <v>0</v>
      </c>
      <c r="AC2523" s="580">
        <f>HLOOKUP("*"&amp;'Output annual'!$AC$2&amp;'Output annual'!$AD$2&amp;"*FangerPMV(Hourly)",'Eplus results'!$1:$1048576,ROW(),FALSE)</f>
        <v>0</v>
      </c>
      <c r="AD2523" s="580">
        <f t="shared" si="231"/>
        <v>5</v>
      </c>
      <c r="AE2523" s="580">
        <f t="shared" si="232"/>
        <v>2.5</v>
      </c>
      <c r="AF2523" s="580">
        <f t="shared" si="233"/>
        <v>2.5</v>
      </c>
      <c r="AG2523" s="580">
        <f t="shared" si="234"/>
        <v>0</v>
      </c>
      <c r="AH2523" s="580">
        <f t="shared" si="235"/>
        <v>0</v>
      </c>
    </row>
    <row r="2524" spans="28:34">
      <c r="AB2524" s="580">
        <f>HLOOKUP("*"&amp;'Output annual'!$AC$2&amp;'Output annual'!$AD$2&amp;"*Zone People Number Of Occupants [](Hourly)",'Eplus results'!$1:$1048576,ROW(),FALSE)</f>
        <v>0</v>
      </c>
      <c r="AC2524" s="580">
        <f>HLOOKUP("*"&amp;'Output annual'!$AC$2&amp;'Output annual'!$AD$2&amp;"*FangerPMV(Hourly)",'Eplus results'!$1:$1048576,ROW(),FALSE)</f>
        <v>0</v>
      </c>
      <c r="AD2524" s="580">
        <f t="shared" si="231"/>
        <v>5</v>
      </c>
      <c r="AE2524" s="580">
        <f t="shared" si="232"/>
        <v>2.5</v>
      </c>
      <c r="AF2524" s="580">
        <f t="shared" si="233"/>
        <v>2.5</v>
      </c>
      <c r="AG2524" s="580">
        <f t="shared" si="234"/>
        <v>0</v>
      </c>
      <c r="AH2524" s="580">
        <f t="shared" si="235"/>
        <v>0</v>
      </c>
    </row>
    <row r="2525" spans="28:34">
      <c r="AB2525" s="580">
        <f>HLOOKUP("*"&amp;'Output annual'!$AC$2&amp;'Output annual'!$AD$2&amp;"*Zone People Number Of Occupants [](Hourly)",'Eplus results'!$1:$1048576,ROW(),FALSE)</f>
        <v>0</v>
      </c>
      <c r="AC2525" s="580">
        <f>HLOOKUP("*"&amp;'Output annual'!$AC$2&amp;'Output annual'!$AD$2&amp;"*FangerPMV(Hourly)",'Eplus results'!$1:$1048576,ROW(),FALSE)</f>
        <v>0</v>
      </c>
      <c r="AD2525" s="580">
        <f t="shared" si="231"/>
        <v>5</v>
      </c>
      <c r="AE2525" s="580">
        <f t="shared" si="232"/>
        <v>2.5</v>
      </c>
      <c r="AF2525" s="580">
        <f t="shared" si="233"/>
        <v>2.5</v>
      </c>
      <c r="AG2525" s="580">
        <f t="shared" si="234"/>
        <v>0</v>
      </c>
      <c r="AH2525" s="580">
        <f t="shared" si="235"/>
        <v>0</v>
      </c>
    </row>
    <row r="2526" spans="28:34">
      <c r="AB2526" s="580">
        <f>HLOOKUP("*"&amp;'Output annual'!$AC$2&amp;'Output annual'!$AD$2&amp;"*Zone People Number Of Occupants [](Hourly)",'Eplus results'!$1:$1048576,ROW(),FALSE)</f>
        <v>0</v>
      </c>
      <c r="AC2526" s="580">
        <f>HLOOKUP("*"&amp;'Output annual'!$AC$2&amp;'Output annual'!$AD$2&amp;"*FangerPMV(Hourly)",'Eplus results'!$1:$1048576,ROW(),FALSE)</f>
        <v>0</v>
      </c>
      <c r="AD2526" s="580">
        <f t="shared" si="231"/>
        <v>5</v>
      </c>
      <c r="AE2526" s="580">
        <f t="shared" si="232"/>
        <v>2.5</v>
      </c>
      <c r="AF2526" s="580">
        <f t="shared" si="233"/>
        <v>2.5</v>
      </c>
      <c r="AG2526" s="580">
        <f t="shared" si="234"/>
        <v>0</v>
      </c>
      <c r="AH2526" s="580">
        <f t="shared" si="235"/>
        <v>0</v>
      </c>
    </row>
    <row r="2527" spans="28:34">
      <c r="AB2527" s="580">
        <f>HLOOKUP("*"&amp;'Output annual'!$AC$2&amp;'Output annual'!$AD$2&amp;"*Zone People Number Of Occupants [](Hourly)",'Eplus results'!$1:$1048576,ROW(),FALSE)</f>
        <v>0</v>
      </c>
      <c r="AC2527" s="580">
        <f>HLOOKUP("*"&amp;'Output annual'!$AC$2&amp;'Output annual'!$AD$2&amp;"*FangerPMV(Hourly)",'Eplus results'!$1:$1048576,ROW(),FALSE)</f>
        <v>0</v>
      </c>
      <c r="AD2527" s="580">
        <f t="shared" si="231"/>
        <v>5</v>
      </c>
      <c r="AE2527" s="580">
        <f t="shared" si="232"/>
        <v>2.5</v>
      </c>
      <c r="AF2527" s="580">
        <f t="shared" si="233"/>
        <v>2.5</v>
      </c>
      <c r="AG2527" s="580">
        <f t="shared" si="234"/>
        <v>0</v>
      </c>
      <c r="AH2527" s="580">
        <f t="shared" si="235"/>
        <v>0</v>
      </c>
    </row>
    <row r="2528" spans="28:34">
      <c r="AB2528" s="580">
        <f>HLOOKUP("*"&amp;'Output annual'!$AC$2&amp;'Output annual'!$AD$2&amp;"*Zone People Number Of Occupants [](Hourly)",'Eplus results'!$1:$1048576,ROW(),FALSE)</f>
        <v>0</v>
      </c>
      <c r="AC2528" s="580">
        <f>HLOOKUP("*"&amp;'Output annual'!$AC$2&amp;'Output annual'!$AD$2&amp;"*FangerPMV(Hourly)",'Eplus results'!$1:$1048576,ROW(),FALSE)</f>
        <v>0</v>
      </c>
      <c r="AD2528" s="580">
        <f t="shared" si="231"/>
        <v>5</v>
      </c>
      <c r="AE2528" s="580">
        <f t="shared" si="232"/>
        <v>2.5</v>
      </c>
      <c r="AF2528" s="580">
        <f t="shared" si="233"/>
        <v>2.5</v>
      </c>
      <c r="AG2528" s="580">
        <f t="shared" si="234"/>
        <v>0</v>
      </c>
      <c r="AH2528" s="580">
        <f t="shared" si="235"/>
        <v>0</v>
      </c>
    </row>
    <row r="2529" spans="28:34">
      <c r="AB2529" s="580">
        <f>HLOOKUP("*"&amp;'Output annual'!$AC$2&amp;'Output annual'!$AD$2&amp;"*Zone People Number Of Occupants [](Hourly)",'Eplus results'!$1:$1048576,ROW(),FALSE)</f>
        <v>0</v>
      </c>
      <c r="AC2529" s="580">
        <f>HLOOKUP("*"&amp;'Output annual'!$AC$2&amp;'Output annual'!$AD$2&amp;"*FangerPMV(Hourly)",'Eplus results'!$1:$1048576,ROW(),FALSE)</f>
        <v>0</v>
      </c>
      <c r="AD2529" s="580">
        <f t="shared" si="231"/>
        <v>5</v>
      </c>
      <c r="AE2529" s="580">
        <f t="shared" si="232"/>
        <v>2.5</v>
      </c>
      <c r="AF2529" s="580">
        <f t="shared" si="233"/>
        <v>2.5</v>
      </c>
      <c r="AG2529" s="580">
        <f t="shared" si="234"/>
        <v>0</v>
      </c>
      <c r="AH2529" s="580">
        <f t="shared" si="235"/>
        <v>0</v>
      </c>
    </row>
    <row r="2530" spans="28:34">
      <c r="AB2530" s="580">
        <f>HLOOKUP("*"&amp;'Output annual'!$AC$2&amp;'Output annual'!$AD$2&amp;"*Zone People Number Of Occupants [](Hourly)",'Eplus results'!$1:$1048576,ROW(),FALSE)</f>
        <v>0</v>
      </c>
      <c r="AC2530" s="580">
        <f>HLOOKUP("*"&amp;'Output annual'!$AC$2&amp;'Output annual'!$AD$2&amp;"*FangerPMV(Hourly)",'Eplus results'!$1:$1048576,ROW(),FALSE)</f>
        <v>0</v>
      </c>
      <c r="AD2530" s="580">
        <f t="shared" si="231"/>
        <v>5</v>
      </c>
      <c r="AE2530" s="580">
        <f t="shared" si="232"/>
        <v>2.5</v>
      </c>
      <c r="AF2530" s="580">
        <f t="shared" si="233"/>
        <v>2.5</v>
      </c>
      <c r="AG2530" s="580">
        <f t="shared" si="234"/>
        <v>0</v>
      </c>
      <c r="AH2530" s="580">
        <f t="shared" si="235"/>
        <v>0</v>
      </c>
    </row>
    <row r="2531" spans="28:34">
      <c r="AB2531" s="580">
        <f>HLOOKUP("*"&amp;'Output annual'!$AC$2&amp;'Output annual'!$AD$2&amp;"*Zone People Number Of Occupants [](Hourly)",'Eplus results'!$1:$1048576,ROW(),FALSE)</f>
        <v>0</v>
      </c>
      <c r="AC2531" s="580">
        <f>HLOOKUP("*"&amp;'Output annual'!$AC$2&amp;'Output annual'!$AD$2&amp;"*FangerPMV(Hourly)",'Eplus results'!$1:$1048576,ROW(),FALSE)</f>
        <v>0</v>
      </c>
      <c r="AD2531" s="580">
        <f t="shared" si="231"/>
        <v>5</v>
      </c>
      <c r="AE2531" s="580">
        <f t="shared" si="232"/>
        <v>2.5</v>
      </c>
      <c r="AF2531" s="580">
        <f t="shared" si="233"/>
        <v>2.5</v>
      </c>
      <c r="AG2531" s="580">
        <f t="shared" si="234"/>
        <v>0</v>
      </c>
      <c r="AH2531" s="580">
        <f t="shared" si="235"/>
        <v>0</v>
      </c>
    </row>
    <row r="2532" spans="28:34">
      <c r="AB2532" s="580">
        <f>HLOOKUP("*"&amp;'Output annual'!$AC$2&amp;'Output annual'!$AD$2&amp;"*Zone People Number Of Occupants [](Hourly)",'Eplus results'!$1:$1048576,ROW(),FALSE)</f>
        <v>0</v>
      </c>
      <c r="AC2532" s="580">
        <f>HLOOKUP("*"&amp;'Output annual'!$AC$2&amp;'Output annual'!$AD$2&amp;"*FangerPMV(Hourly)",'Eplus results'!$1:$1048576,ROW(),FALSE)</f>
        <v>0</v>
      </c>
      <c r="AD2532" s="580">
        <f t="shared" si="231"/>
        <v>5</v>
      </c>
      <c r="AE2532" s="580">
        <f t="shared" si="232"/>
        <v>2.5</v>
      </c>
      <c r="AF2532" s="580">
        <f t="shared" si="233"/>
        <v>2.5</v>
      </c>
      <c r="AG2532" s="580">
        <f t="shared" si="234"/>
        <v>0</v>
      </c>
      <c r="AH2532" s="580">
        <f t="shared" si="235"/>
        <v>0</v>
      </c>
    </row>
    <row r="2533" spans="28:34">
      <c r="AB2533" s="580">
        <f>HLOOKUP("*"&amp;'Output annual'!$AC$2&amp;'Output annual'!$AD$2&amp;"*Zone People Number Of Occupants [](Hourly)",'Eplus results'!$1:$1048576,ROW(),FALSE)</f>
        <v>0</v>
      </c>
      <c r="AC2533" s="580">
        <f>HLOOKUP("*"&amp;'Output annual'!$AC$2&amp;'Output annual'!$AD$2&amp;"*FangerPMV(Hourly)",'Eplus results'!$1:$1048576,ROW(),FALSE)</f>
        <v>0</v>
      </c>
      <c r="AD2533" s="580">
        <f t="shared" si="231"/>
        <v>5</v>
      </c>
      <c r="AE2533" s="580">
        <f t="shared" si="232"/>
        <v>2.5</v>
      </c>
      <c r="AF2533" s="580">
        <f t="shared" si="233"/>
        <v>2.5</v>
      </c>
      <c r="AG2533" s="580">
        <f t="shared" si="234"/>
        <v>0</v>
      </c>
      <c r="AH2533" s="580">
        <f t="shared" si="235"/>
        <v>0</v>
      </c>
    </row>
    <row r="2534" spans="28:34">
      <c r="AB2534" s="580">
        <f>HLOOKUP("*"&amp;'Output annual'!$AC$2&amp;'Output annual'!$AD$2&amp;"*Zone People Number Of Occupants [](Hourly)",'Eplus results'!$1:$1048576,ROW(),FALSE)</f>
        <v>0</v>
      </c>
      <c r="AC2534" s="580">
        <f>HLOOKUP("*"&amp;'Output annual'!$AC$2&amp;'Output annual'!$AD$2&amp;"*FangerPMV(Hourly)",'Eplus results'!$1:$1048576,ROW(),FALSE)</f>
        <v>0</v>
      </c>
      <c r="AD2534" s="580">
        <f t="shared" si="231"/>
        <v>5</v>
      </c>
      <c r="AE2534" s="580">
        <f t="shared" si="232"/>
        <v>2.5</v>
      </c>
      <c r="AF2534" s="580">
        <f t="shared" si="233"/>
        <v>2.5</v>
      </c>
      <c r="AG2534" s="580">
        <f t="shared" si="234"/>
        <v>0</v>
      </c>
      <c r="AH2534" s="580">
        <f t="shared" si="235"/>
        <v>0</v>
      </c>
    </row>
    <row r="2535" spans="28:34">
      <c r="AB2535" s="580">
        <f>HLOOKUP("*"&amp;'Output annual'!$AC$2&amp;'Output annual'!$AD$2&amp;"*Zone People Number Of Occupants [](Hourly)",'Eplus results'!$1:$1048576,ROW(),FALSE)</f>
        <v>0</v>
      </c>
      <c r="AC2535" s="580">
        <f>HLOOKUP("*"&amp;'Output annual'!$AC$2&amp;'Output annual'!$AD$2&amp;"*FangerPMV(Hourly)",'Eplus results'!$1:$1048576,ROW(),FALSE)</f>
        <v>0</v>
      </c>
      <c r="AD2535" s="580">
        <f t="shared" si="231"/>
        <v>5</v>
      </c>
      <c r="AE2535" s="580">
        <f t="shared" si="232"/>
        <v>2.5</v>
      </c>
      <c r="AF2535" s="580">
        <f t="shared" si="233"/>
        <v>2.5</v>
      </c>
      <c r="AG2535" s="580">
        <f t="shared" si="234"/>
        <v>0</v>
      </c>
      <c r="AH2535" s="580">
        <f t="shared" si="235"/>
        <v>0</v>
      </c>
    </row>
    <row r="2536" spans="28:34">
      <c r="AB2536" s="580">
        <f>HLOOKUP("*"&amp;'Output annual'!$AC$2&amp;'Output annual'!$AD$2&amp;"*Zone People Number Of Occupants [](Hourly)",'Eplus results'!$1:$1048576,ROW(),FALSE)</f>
        <v>0</v>
      </c>
      <c r="AC2536" s="580">
        <f>HLOOKUP("*"&amp;'Output annual'!$AC$2&amp;'Output annual'!$AD$2&amp;"*FangerPMV(Hourly)",'Eplus results'!$1:$1048576,ROW(),FALSE)</f>
        <v>0</v>
      </c>
      <c r="AD2536" s="580">
        <f t="shared" si="231"/>
        <v>5</v>
      </c>
      <c r="AE2536" s="580">
        <f t="shared" si="232"/>
        <v>2.5</v>
      </c>
      <c r="AF2536" s="580">
        <f t="shared" si="233"/>
        <v>2.5</v>
      </c>
      <c r="AG2536" s="580">
        <f t="shared" si="234"/>
        <v>0</v>
      </c>
      <c r="AH2536" s="580">
        <f t="shared" si="235"/>
        <v>0</v>
      </c>
    </row>
    <row r="2537" spans="28:34">
      <c r="AB2537" s="580">
        <f>HLOOKUP("*"&amp;'Output annual'!$AC$2&amp;'Output annual'!$AD$2&amp;"*Zone People Number Of Occupants [](Hourly)",'Eplus results'!$1:$1048576,ROW(),FALSE)</f>
        <v>0</v>
      </c>
      <c r="AC2537" s="580">
        <f>HLOOKUP("*"&amp;'Output annual'!$AC$2&amp;'Output annual'!$AD$2&amp;"*FangerPMV(Hourly)",'Eplus results'!$1:$1048576,ROW(),FALSE)</f>
        <v>0</v>
      </c>
      <c r="AD2537" s="580">
        <f t="shared" si="231"/>
        <v>5</v>
      </c>
      <c r="AE2537" s="580">
        <f t="shared" si="232"/>
        <v>2.5</v>
      </c>
      <c r="AF2537" s="580">
        <f t="shared" si="233"/>
        <v>2.5</v>
      </c>
      <c r="AG2537" s="580">
        <f t="shared" si="234"/>
        <v>0</v>
      </c>
      <c r="AH2537" s="580">
        <f t="shared" si="235"/>
        <v>0</v>
      </c>
    </row>
    <row r="2538" spans="28:34">
      <c r="AB2538" s="580">
        <f>HLOOKUP("*"&amp;'Output annual'!$AC$2&amp;'Output annual'!$AD$2&amp;"*Zone People Number Of Occupants [](Hourly)",'Eplus results'!$1:$1048576,ROW(),FALSE)</f>
        <v>0</v>
      </c>
      <c r="AC2538" s="580">
        <f>HLOOKUP("*"&amp;'Output annual'!$AC$2&amp;'Output annual'!$AD$2&amp;"*FangerPMV(Hourly)",'Eplus results'!$1:$1048576,ROW(),FALSE)</f>
        <v>0</v>
      </c>
      <c r="AD2538" s="580">
        <f t="shared" si="231"/>
        <v>5</v>
      </c>
      <c r="AE2538" s="580">
        <f t="shared" si="232"/>
        <v>2.5</v>
      </c>
      <c r="AF2538" s="580">
        <f t="shared" si="233"/>
        <v>2.5</v>
      </c>
      <c r="AG2538" s="580">
        <f t="shared" si="234"/>
        <v>0</v>
      </c>
      <c r="AH2538" s="580">
        <f t="shared" si="235"/>
        <v>0</v>
      </c>
    </row>
    <row r="2539" spans="28:34">
      <c r="AB2539" s="580">
        <f>HLOOKUP("*"&amp;'Output annual'!$AC$2&amp;'Output annual'!$AD$2&amp;"*Zone People Number Of Occupants [](Hourly)",'Eplus results'!$1:$1048576,ROW(),FALSE)</f>
        <v>0</v>
      </c>
      <c r="AC2539" s="580">
        <f>HLOOKUP("*"&amp;'Output annual'!$AC$2&amp;'Output annual'!$AD$2&amp;"*FangerPMV(Hourly)",'Eplus results'!$1:$1048576,ROW(),FALSE)</f>
        <v>0</v>
      </c>
      <c r="AD2539" s="580">
        <f t="shared" si="231"/>
        <v>5</v>
      </c>
      <c r="AE2539" s="580">
        <f t="shared" si="232"/>
        <v>2.5</v>
      </c>
      <c r="AF2539" s="580">
        <f t="shared" si="233"/>
        <v>2.5</v>
      </c>
      <c r="AG2539" s="580">
        <f t="shared" si="234"/>
        <v>0</v>
      </c>
      <c r="AH2539" s="580">
        <f t="shared" si="235"/>
        <v>0</v>
      </c>
    </row>
    <row r="2540" spans="28:34">
      <c r="AB2540" s="580">
        <f>HLOOKUP("*"&amp;'Output annual'!$AC$2&amp;'Output annual'!$AD$2&amp;"*Zone People Number Of Occupants [](Hourly)",'Eplus results'!$1:$1048576,ROW(),FALSE)</f>
        <v>0</v>
      </c>
      <c r="AC2540" s="580">
        <f>HLOOKUP("*"&amp;'Output annual'!$AC$2&amp;'Output annual'!$AD$2&amp;"*FangerPMV(Hourly)",'Eplus results'!$1:$1048576,ROW(),FALSE)</f>
        <v>0</v>
      </c>
      <c r="AD2540" s="580">
        <f t="shared" si="231"/>
        <v>5</v>
      </c>
      <c r="AE2540" s="580">
        <f t="shared" si="232"/>
        <v>2.5</v>
      </c>
      <c r="AF2540" s="580">
        <f t="shared" si="233"/>
        <v>2.5</v>
      </c>
      <c r="AG2540" s="580">
        <f t="shared" si="234"/>
        <v>0</v>
      </c>
      <c r="AH2540" s="580">
        <f t="shared" si="235"/>
        <v>0</v>
      </c>
    </row>
    <row r="2541" spans="28:34">
      <c r="AB2541" s="580">
        <f>HLOOKUP("*"&amp;'Output annual'!$AC$2&amp;'Output annual'!$AD$2&amp;"*Zone People Number Of Occupants [](Hourly)",'Eplus results'!$1:$1048576,ROW(),FALSE)</f>
        <v>0</v>
      </c>
      <c r="AC2541" s="580">
        <f>HLOOKUP("*"&amp;'Output annual'!$AC$2&amp;'Output annual'!$AD$2&amp;"*FangerPMV(Hourly)",'Eplus results'!$1:$1048576,ROW(),FALSE)</f>
        <v>0</v>
      </c>
      <c r="AD2541" s="580">
        <f t="shared" si="231"/>
        <v>5</v>
      </c>
      <c r="AE2541" s="580">
        <f t="shared" si="232"/>
        <v>2.5</v>
      </c>
      <c r="AF2541" s="580">
        <f t="shared" si="233"/>
        <v>2.5</v>
      </c>
      <c r="AG2541" s="580">
        <f t="shared" si="234"/>
        <v>0</v>
      </c>
      <c r="AH2541" s="580">
        <f t="shared" si="235"/>
        <v>0</v>
      </c>
    </row>
    <row r="2542" spans="28:34">
      <c r="AB2542" s="580">
        <f>HLOOKUP("*"&amp;'Output annual'!$AC$2&amp;'Output annual'!$AD$2&amp;"*Zone People Number Of Occupants [](Hourly)",'Eplus results'!$1:$1048576,ROW(),FALSE)</f>
        <v>0</v>
      </c>
      <c r="AC2542" s="580">
        <f>HLOOKUP("*"&amp;'Output annual'!$AC$2&amp;'Output annual'!$AD$2&amp;"*FangerPMV(Hourly)",'Eplus results'!$1:$1048576,ROW(),FALSE)</f>
        <v>0</v>
      </c>
      <c r="AD2542" s="580">
        <f t="shared" si="231"/>
        <v>5</v>
      </c>
      <c r="AE2542" s="580">
        <f t="shared" si="232"/>
        <v>2.5</v>
      </c>
      <c r="AF2542" s="580">
        <f t="shared" si="233"/>
        <v>2.5</v>
      </c>
      <c r="AG2542" s="580">
        <f t="shared" si="234"/>
        <v>0</v>
      </c>
      <c r="AH2542" s="580">
        <f t="shared" si="235"/>
        <v>0</v>
      </c>
    </row>
    <row r="2543" spans="28:34">
      <c r="AB2543" s="580">
        <f>HLOOKUP("*"&amp;'Output annual'!$AC$2&amp;'Output annual'!$AD$2&amp;"*Zone People Number Of Occupants [](Hourly)",'Eplus results'!$1:$1048576,ROW(),FALSE)</f>
        <v>0</v>
      </c>
      <c r="AC2543" s="580">
        <f>HLOOKUP("*"&amp;'Output annual'!$AC$2&amp;'Output annual'!$AD$2&amp;"*FangerPMV(Hourly)",'Eplus results'!$1:$1048576,ROW(),FALSE)</f>
        <v>0</v>
      </c>
      <c r="AD2543" s="580">
        <f t="shared" si="231"/>
        <v>5</v>
      </c>
      <c r="AE2543" s="580">
        <f t="shared" si="232"/>
        <v>2.5</v>
      </c>
      <c r="AF2543" s="580">
        <f t="shared" si="233"/>
        <v>2.5</v>
      </c>
      <c r="AG2543" s="580">
        <f t="shared" si="234"/>
        <v>0</v>
      </c>
      <c r="AH2543" s="580">
        <f t="shared" si="235"/>
        <v>0</v>
      </c>
    </row>
    <row r="2544" spans="28:34">
      <c r="AB2544" s="580">
        <f>HLOOKUP("*"&amp;'Output annual'!$AC$2&amp;'Output annual'!$AD$2&amp;"*Zone People Number Of Occupants [](Hourly)",'Eplus results'!$1:$1048576,ROW(),FALSE)</f>
        <v>0</v>
      </c>
      <c r="AC2544" s="580">
        <f>HLOOKUP("*"&amp;'Output annual'!$AC$2&amp;'Output annual'!$AD$2&amp;"*FangerPMV(Hourly)",'Eplus results'!$1:$1048576,ROW(),FALSE)</f>
        <v>0</v>
      </c>
      <c r="AD2544" s="580">
        <f t="shared" si="231"/>
        <v>5</v>
      </c>
      <c r="AE2544" s="580">
        <f t="shared" si="232"/>
        <v>2.5</v>
      </c>
      <c r="AF2544" s="580">
        <f t="shared" si="233"/>
        <v>2.5</v>
      </c>
      <c r="AG2544" s="580">
        <f t="shared" si="234"/>
        <v>0</v>
      </c>
      <c r="AH2544" s="580">
        <f t="shared" si="235"/>
        <v>0</v>
      </c>
    </row>
    <row r="2545" spans="28:34">
      <c r="AB2545" s="580">
        <f>HLOOKUP("*"&amp;'Output annual'!$AC$2&amp;'Output annual'!$AD$2&amp;"*Zone People Number Of Occupants [](Hourly)",'Eplus results'!$1:$1048576,ROW(),FALSE)</f>
        <v>0</v>
      </c>
      <c r="AC2545" s="580">
        <f>HLOOKUP("*"&amp;'Output annual'!$AC$2&amp;'Output annual'!$AD$2&amp;"*FangerPMV(Hourly)",'Eplus results'!$1:$1048576,ROW(),FALSE)</f>
        <v>0</v>
      </c>
      <c r="AD2545" s="580">
        <f t="shared" si="231"/>
        <v>5</v>
      </c>
      <c r="AE2545" s="580">
        <f t="shared" si="232"/>
        <v>2.5</v>
      </c>
      <c r="AF2545" s="580">
        <f t="shared" si="233"/>
        <v>2.5</v>
      </c>
      <c r="AG2545" s="580">
        <f t="shared" si="234"/>
        <v>0</v>
      </c>
      <c r="AH2545" s="580">
        <f t="shared" si="235"/>
        <v>0</v>
      </c>
    </row>
    <row r="2546" spans="28:34">
      <c r="AB2546" s="580">
        <f>HLOOKUP("*"&amp;'Output annual'!$AC$2&amp;'Output annual'!$AD$2&amp;"*Zone People Number Of Occupants [](Hourly)",'Eplus results'!$1:$1048576,ROW(),FALSE)</f>
        <v>0</v>
      </c>
      <c r="AC2546" s="580">
        <f>HLOOKUP("*"&amp;'Output annual'!$AC$2&amp;'Output annual'!$AD$2&amp;"*FangerPMV(Hourly)",'Eplus results'!$1:$1048576,ROW(),FALSE)</f>
        <v>0</v>
      </c>
      <c r="AD2546" s="580">
        <f t="shared" si="231"/>
        <v>5</v>
      </c>
      <c r="AE2546" s="580">
        <f t="shared" si="232"/>
        <v>2.5</v>
      </c>
      <c r="AF2546" s="580">
        <f t="shared" si="233"/>
        <v>2.5</v>
      </c>
      <c r="AG2546" s="580">
        <f t="shared" si="234"/>
        <v>0</v>
      </c>
      <c r="AH2546" s="580">
        <f t="shared" si="235"/>
        <v>0</v>
      </c>
    </row>
    <row r="2547" spans="28:34">
      <c r="AB2547" s="580">
        <f>HLOOKUP("*"&amp;'Output annual'!$AC$2&amp;'Output annual'!$AD$2&amp;"*Zone People Number Of Occupants [](Hourly)",'Eplus results'!$1:$1048576,ROW(),FALSE)</f>
        <v>0</v>
      </c>
      <c r="AC2547" s="580">
        <f>HLOOKUP("*"&amp;'Output annual'!$AC$2&amp;'Output annual'!$AD$2&amp;"*FangerPMV(Hourly)",'Eplus results'!$1:$1048576,ROW(),FALSE)</f>
        <v>0</v>
      </c>
      <c r="AD2547" s="580">
        <f t="shared" si="231"/>
        <v>5</v>
      </c>
      <c r="AE2547" s="580">
        <f t="shared" si="232"/>
        <v>2.5</v>
      </c>
      <c r="AF2547" s="580">
        <f t="shared" si="233"/>
        <v>2.5</v>
      </c>
      <c r="AG2547" s="580">
        <f t="shared" si="234"/>
        <v>0</v>
      </c>
      <c r="AH2547" s="580">
        <f t="shared" si="235"/>
        <v>0</v>
      </c>
    </row>
    <row r="2548" spans="28:34">
      <c r="AB2548" s="580">
        <f>HLOOKUP("*"&amp;'Output annual'!$AC$2&amp;'Output annual'!$AD$2&amp;"*Zone People Number Of Occupants [](Hourly)",'Eplus results'!$1:$1048576,ROW(),FALSE)</f>
        <v>0</v>
      </c>
      <c r="AC2548" s="580">
        <f>HLOOKUP("*"&amp;'Output annual'!$AC$2&amp;'Output annual'!$AD$2&amp;"*FangerPMV(Hourly)",'Eplus results'!$1:$1048576,ROW(),FALSE)</f>
        <v>0</v>
      </c>
      <c r="AD2548" s="580">
        <f t="shared" si="231"/>
        <v>5</v>
      </c>
      <c r="AE2548" s="580">
        <f t="shared" si="232"/>
        <v>2.5</v>
      </c>
      <c r="AF2548" s="580">
        <f t="shared" si="233"/>
        <v>2.5</v>
      </c>
      <c r="AG2548" s="580">
        <f t="shared" si="234"/>
        <v>0</v>
      </c>
      <c r="AH2548" s="580">
        <f t="shared" si="235"/>
        <v>0</v>
      </c>
    </row>
    <row r="2549" spans="28:34">
      <c r="AB2549" s="580">
        <f>HLOOKUP("*"&amp;'Output annual'!$AC$2&amp;'Output annual'!$AD$2&amp;"*Zone People Number Of Occupants [](Hourly)",'Eplus results'!$1:$1048576,ROW(),FALSE)</f>
        <v>0</v>
      </c>
      <c r="AC2549" s="580">
        <f>HLOOKUP("*"&amp;'Output annual'!$AC$2&amp;'Output annual'!$AD$2&amp;"*FangerPMV(Hourly)",'Eplus results'!$1:$1048576,ROW(),FALSE)</f>
        <v>0</v>
      </c>
      <c r="AD2549" s="580">
        <f t="shared" si="231"/>
        <v>5</v>
      </c>
      <c r="AE2549" s="580">
        <f t="shared" si="232"/>
        <v>2.5</v>
      </c>
      <c r="AF2549" s="580">
        <f t="shared" si="233"/>
        <v>2.5</v>
      </c>
      <c r="AG2549" s="580">
        <f t="shared" si="234"/>
        <v>0</v>
      </c>
      <c r="AH2549" s="580">
        <f t="shared" si="235"/>
        <v>0</v>
      </c>
    </row>
    <row r="2550" spans="28:34">
      <c r="AB2550" s="580">
        <f>HLOOKUP("*"&amp;'Output annual'!$AC$2&amp;'Output annual'!$AD$2&amp;"*Zone People Number Of Occupants [](Hourly)",'Eplus results'!$1:$1048576,ROW(),FALSE)</f>
        <v>0</v>
      </c>
      <c r="AC2550" s="580">
        <f>HLOOKUP("*"&amp;'Output annual'!$AC$2&amp;'Output annual'!$AD$2&amp;"*FangerPMV(Hourly)",'Eplus results'!$1:$1048576,ROW(),FALSE)</f>
        <v>0</v>
      </c>
      <c r="AD2550" s="580">
        <f t="shared" si="231"/>
        <v>5</v>
      </c>
      <c r="AE2550" s="580">
        <f t="shared" si="232"/>
        <v>2.5</v>
      </c>
      <c r="AF2550" s="580">
        <f t="shared" si="233"/>
        <v>2.5</v>
      </c>
      <c r="AG2550" s="580">
        <f t="shared" si="234"/>
        <v>0</v>
      </c>
      <c r="AH2550" s="580">
        <f t="shared" si="235"/>
        <v>0</v>
      </c>
    </row>
    <row r="2551" spans="28:34">
      <c r="AB2551" s="580">
        <f>HLOOKUP("*"&amp;'Output annual'!$AC$2&amp;'Output annual'!$AD$2&amp;"*Zone People Number Of Occupants [](Hourly)",'Eplus results'!$1:$1048576,ROW(),FALSE)</f>
        <v>0</v>
      </c>
      <c r="AC2551" s="580">
        <f>HLOOKUP("*"&amp;'Output annual'!$AC$2&amp;'Output annual'!$AD$2&amp;"*FangerPMV(Hourly)",'Eplus results'!$1:$1048576,ROW(),FALSE)</f>
        <v>0</v>
      </c>
      <c r="AD2551" s="580">
        <f t="shared" si="231"/>
        <v>5</v>
      </c>
      <c r="AE2551" s="580">
        <f t="shared" si="232"/>
        <v>2.5</v>
      </c>
      <c r="AF2551" s="580">
        <f t="shared" si="233"/>
        <v>2.5</v>
      </c>
      <c r="AG2551" s="580">
        <f t="shared" si="234"/>
        <v>0</v>
      </c>
      <c r="AH2551" s="580">
        <f t="shared" si="235"/>
        <v>0</v>
      </c>
    </row>
    <row r="2552" spans="28:34">
      <c r="AB2552" s="580">
        <f>HLOOKUP("*"&amp;'Output annual'!$AC$2&amp;'Output annual'!$AD$2&amp;"*Zone People Number Of Occupants [](Hourly)",'Eplus results'!$1:$1048576,ROW(),FALSE)</f>
        <v>0</v>
      </c>
      <c r="AC2552" s="580">
        <f>HLOOKUP("*"&amp;'Output annual'!$AC$2&amp;'Output annual'!$AD$2&amp;"*FangerPMV(Hourly)",'Eplus results'!$1:$1048576,ROW(),FALSE)</f>
        <v>0</v>
      </c>
      <c r="AD2552" s="580">
        <f t="shared" si="231"/>
        <v>5</v>
      </c>
      <c r="AE2552" s="580">
        <f t="shared" si="232"/>
        <v>2.5</v>
      </c>
      <c r="AF2552" s="580">
        <f t="shared" si="233"/>
        <v>2.5</v>
      </c>
      <c r="AG2552" s="580">
        <f t="shared" si="234"/>
        <v>0</v>
      </c>
      <c r="AH2552" s="580">
        <f t="shared" si="235"/>
        <v>0</v>
      </c>
    </row>
    <row r="2553" spans="28:34">
      <c r="AB2553" s="580">
        <f>HLOOKUP("*"&amp;'Output annual'!$AC$2&amp;'Output annual'!$AD$2&amp;"*Zone People Number Of Occupants [](Hourly)",'Eplus results'!$1:$1048576,ROW(),FALSE)</f>
        <v>0</v>
      </c>
      <c r="AC2553" s="580">
        <f>HLOOKUP("*"&amp;'Output annual'!$AC$2&amp;'Output annual'!$AD$2&amp;"*FangerPMV(Hourly)",'Eplus results'!$1:$1048576,ROW(),FALSE)</f>
        <v>0</v>
      </c>
      <c r="AD2553" s="580">
        <f t="shared" si="231"/>
        <v>5</v>
      </c>
      <c r="AE2553" s="580">
        <f t="shared" si="232"/>
        <v>2.5</v>
      </c>
      <c r="AF2553" s="580">
        <f t="shared" si="233"/>
        <v>2.5</v>
      </c>
      <c r="AG2553" s="580">
        <f t="shared" si="234"/>
        <v>0</v>
      </c>
      <c r="AH2553" s="580">
        <f t="shared" si="235"/>
        <v>0</v>
      </c>
    </row>
    <row r="2554" spans="28:34">
      <c r="AB2554" s="580">
        <f>HLOOKUP("*"&amp;'Output annual'!$AC$2&amp;'Output annual'!$AD$2&amp;"*Zone People Number Of Occupants [](Hourly)",'Eplus results'!$1:$1048576,ROW(),FALSE)</f>
        <v>0</v>
      </c>
      <c r="AC2554" s="580">
        <f>HLOOKUP("*"&amp;'Output annual'!$AC$2&amp;'Output annual'!$AD$2&amp;"*FangerPMV(Hourly)",'Eplus results'!$1:$1048576,ROW(),FALSE)</f>
        <v>0</v>
      </c>
      <c r="AD2554" s="580">
        <f t="shared" si="231"/>
        <v>5</v>
      </c>
      <c r="AE2554" s="580">
        <f t="shared" si="232"/>
        <v>2.5</v>
      </c>
      <c r="AF2554" s="580">
        <f t="shared" si="233"/>
        <v>2.5</v>
      </c>
      <c r="AG2554" s="580">
        <f t="shared" si="234"/>
        <v>0</v>
      </c>
      <c r="AH2554" s="580">
        <f t="shared" si="235"/>
        <v>0</v>
      </c>
    </row>
    <row r="2555" spans="28:34">
      <c r="AB2555" s="580">
        <f>HLOOKUP("*"&amp;'Output annual'!$AC$2&amp;'Output annual'!$AD$2&amp;"*Zone People Number Of Occupants [](Hourly)",'Eplus results'!$1:$1048576,ROW(),FALSE)</f>
        <v>0</v>
      </c>
      <c r="AC2555" s="580">
        <f>HLOOKUP("*"&amp;'Output annual'!$AC$2&amp;'Output annual'!$AD$2&amp;"*FangerPMV(Hourly)",'Eplus results'!$1:$1048576,ROW(),FALSE)</f>
        <v>0</v>
      </c>
      <c r="AD2555" s="580">
        <f t="shared" si="231"/>
        <v>5</v>
      </c>
      <c r="AE2555" s="580">
        <f t="shared" si="232"/>
        <v>2.5</v>
      </c>
      <c r="AF2555" s="580">
        <f t="shared" si="233"/>
        <v>2.5</v>
      </c>
      <c r="AG2555" s="580">
        <f t="shared" si="234"/>
        <v>0</v>
      </c>
      <c r="AH2555" s="580">
        <f t="shared" si="235"/>
        <v>0</v>
      </c>
    </row>
    <row r="2556" spans="28:34">
      <c r="AB2556" s="580">
        <f>HLOOKUP("*"&amp;'Output annual'!$AC$2&amp;'Output annual'!$AD$2&amp;"*Zone People Number Of Occupants [](Hourly)",'Eplus results'!$1:$1048576,ROW(),FALSE)</f>
        <v>0</v>
      </c>
      <c r="AC2556" s="580">
        <f>HLOOKUP("*"&amp;'Output annual'!$AC$2&amp;'Output annual'!$AD$2&amp;"*FangerPMV(Hourly)",'Eplus results'!$1:$1048576,ROW(),FALSE)</f>
        <v>0</v>
      </c>
      <c r="AD2556" s="580">
        <f t="shared" si="231"/>
        <v>5</v>
      </c>
      <c r="AE2556" s="580">
        <f t="shared" si="232"/>
        <v>2.5</v>
      </c>
      <c r="AF2556" s="580">
        <f t="shared" si="233"/>
        <v>2.5</v>
      </c>
      <c r="AG2556" s="580">
        <f t="shared" si="234"/>
        <v>0</v>
      </c>
      <c r="AH2556" s="580">
        <f t="shared" si="235"/>
        <v>0</v>
      </c>
    </row>
    <row r="2557" spans="28:34">
      <c r="AB2557" s="580">
        <f>HLOOKUP("*"&amp;'Output annual'!$AC$2&amp;'Output annual'!$AD$2&amp;"*Zone People Number Of Occupants [](Hourly)",'Eplus results'!$1:$1048576,ROW(),FALSE)</f>
        <v>0</v>
      </c>
      <c r="AC2557" s="580">
        <f>HLOOKUP("*"&amp;'Output annual'!$AC$2&amp;'Output annual'!$AD$2&amp;"*FangerPMV(Hourly)",'Eplus results'!$1:$1048576,ROW(),FALSE)</f>
        <v>0</v>
      </c>
      <c r="AD2557" s="580">
        <f t="shared" si="231"/>
        <v>5</v>
      </c>
      <c r="AE2557" s="580">
        <f t="shared" si="232"/>
        <v>2.5</v>
      </c>
      <c r="AF2557" s="580">
        <f t="shared" si="233"/>
        <v>2.5</v>
      </c>
      <c r="AG2557" s="580">
        <f t="shared" si="234"/>
        <v>0</v>
      </c>
      <c r="AH2557" s="580">
        <f t="shared" si="235"/>
        <v>0</v>
      </c>
    </row>
    <row r="2558" spans="28:34">
      <c r="AB2558" s="580">
        <f>HLOOKUP("*"&amp;'Output annual'!$AC$2&amp;'Output annual'!$AD$2&amp;"*Zone People Number Of Occupants [](Hourly)",'Eplus results'!$1:$1048576,ROW(),FALSE)</f>
        <v>0</v>
      </c>
      <c r="AC2558" s="580">
        <f>HLOOKUP("*"&amp;'Output annual'!$AC$2&amp;'Output annual'!$AD$2&amp;"*FangerPMV(Hourly)",'Eplus results'!$1:$1048576,ROW(),FALSE)</f>
        <v>0</v>
      </c>
      <c r="AD2558" s="580">
        <f t="shared" si="231"/>
        <v>5</v>
      </c>
      <c r="AE2558" s="580">
        <f t="shared" si="232"/>
        <v>2.5</v>
      </c>
      <c r="AF2558" s="580">
        <f t="shared" si="233"/>
        <v>2.5</v>
      </c>
      <c r="AG2558" s="580">
        <f t="shared" si="234"/>
        <v>0</v>
      </c>
      <c r="AH2558" s="580">
        <f t="shared" si="235"/>
        <v>0</v>
      </c>
    </row>
    <row r="2559" spans="28:34">
      <c r="AB2559" s="580">
        <f>HLOOKUP("*"&amp;'Output annual'!$AC$2&amp;'Output annual'!$AD$2&amp;"*Zone People Number Of Occupants [](Hourly)",'Eplus results'!$1:$1048576,ROW(),FALSE)</f>
        <v>0</v>
      </c>
      <c r="AC2559" s="580">
        <f>HLOOKUP("*"&amp;'Output annual'!$AC$2&amp;'Output annual'!$AD$2&amp;"*FangerPMV(Hourly)",'Eplus results'!$1:$1048576,ROW(),FALSE)</f>
        <v>0</v>
      </c>
      <c r="AD2559" s="580">
        <f t="shared" si="231"/>
        <v>5</v>
      </c>
      <c r="AE2559" s="580">
        <f t="shared" si="232"/>
        <v>2.5</v>
      </c>
      <c r="AF2559" s="580">
        <f t="shared" si="233"/>
        <v>2.5</v>
      </c>
      <c r="AG2559" s="580">
        <f t="shared" si="234"/>
        <v>0</v>
      </c>
      <c r="AH2559" s="580">
        <f t="shared" si="235"/>
        <v>0</v>
      </c>
    </row>
    <row r="2560" spans="28:34">
      <c r="AB2560" s="580">
        <f>HLOOKUP("*"&amp;'Output annual'!$AC$2&amp;'Output annual'!$AD$2&amp;"*Zone People Number Of Occupants [](Hourly)",'Eplus results'!$1:$1048576,ROW(),FALSE)</f>
        <v>0</v>
      </c>
      <c r="AC2560" s="580">
        <f>HLOOKUP("*"&amp;'Output annual'!$AC$2&amp;'Output annual'!$AD$2&amp;"*FangerPMV(Hourly)",'Eplus results'!$1:$1048576,ROW(),FALSE)</f>
        <v>0</v>
      </c>
      <c r="AD2560" s="580">
        <f t="shared" si="231"/>
        <v>5</v>
      </c>
      <c r="AE2560" s="580">
        <f t="shared" si="232"/>
        <v>2.5</v>
      </c>
      <c r="AF2560" s="580">
        <f t="shared" si="233"/>
        <v>2.5</v>
      </c>
      <c r="AG2560" s="580">
        <f t="shared" si="234"/>
        <v>0</v>
      </c>
      <c r="AH2560" s="580">
        <f t="shared" si="235"/>
        <v>0</v>
      </c>
    </row>
    <row r="2561" spans="28:34">
      <c r="AB2561" s="580">
        <f>HLOOKUP("*"&amp;'Output annual'!$AC$2&amp;'Output annual'!$AD$2&amp;"*Zone People Number Of Occupants [](Hourly)",'Eplus results'!$1:$1048576,ROW(),FALSE)</f>
        <v>0</v>
      </c>
      <c r="AC2561" s="580">
        <f>HLOOKUP("*"&amp;'Output annual'!$AC$2&amp;'Output annual'!$AD$2&amp;"*FangerPMV(Hourly)",'Eplus results'!$1:$1048576,ROW(),FALSE)</f>
        <v>0</v>
      </c>
      <c r="AD2561" s="580">
        <f t="shared" si="231"/>
        <v>5</v>
      </c>
      <c r="AE2561" s="580">
        <f t="shared" si="232"/>
        <v>2.5</v>
      </c>
      <c r="AF2561" s="580">
        <f t="shared" si="233"/>
        <v>2.5</v>
      </c>
      <c r="AG2561" s="580">
        <f t="shared" si="234"/>
        <v>0</v>
      </c>
      <c r="AH2561" s="580">
        <f t="shared" si="235"/>
        <v>0</v>
      </c>
    </row>
    <row r="2562" spans="28:34">
      <c r="AB2562" s="580">
        <f>HLOOKUP("*"&amp;'Output annual'!$AC$2&amp;'Output annual'!$AD$2&amp;"*Zone People Number Of Occupants [](Hourly)",'Eplus results'!$1:$1048576,ROW(),FALSE)</f>
        <v>0</v>
      </c>
      <c r="AC2562" s="580">
        <f>HLOOKUP("*"&amp;'Output annual'!$AC$2&amp;'Output annual'!$AD$2&amp;"*FangerPMV(Hourly)",'Eplus results'!$1:$1048576,ROW(),FALSE)</f>
        <v>0</v>
      </c>
      <c r="AD2562" s="580">
        <f t="shared" si="231"/>
        <v>5</v>
      </c>
      <c r="AE2562" s="580">
        <f t="shared" si="232"/>
        <v>2.5</v>
      </c>
      <c r="AF2562" s="580">
        <f t="shared" si="233"/>
        <v>2.5</v>
      </c>
      <c r="AG2562" s="580">
        <f t="shared" si="234"/>
        <v>0</v>
      </c>
      <c r="AH2562" s="580">
        <f t="shared" si="235"/>
        <v>0</v>
      </c>
    </row>
    <row r="2563" spans="28:34">
      <c r="AB2563" s="580">
        <f>HLOOKUP("*"&amp;'Output annual'!$AC$2&amp;'Output annual'!$AD$2&amp;"*Zone People Number Of Occupants [](Hourly)",'Eplus results'!$1:$1048576,ROW(),FALSE)</f>
        <v>0</v>
      </c>
      <c r="AC2563" s="580">
        <f>HLOOKUP("*"&amp;'Output annual'!$AC$2&amp;'Output annual'!$AD$2&amp;"*FangerPMV(Hourly)",'Eplus results'!$1:$1048576,ROW(),FALSE)</f>
        <v>0</v>
      </c>
      <c r="AD2563" s="580">
        <f t="shared" ref="AD2563:AD2626" si="236">100-95*EXP(-0.03353*AC2563^4-0.2179*AC2563^2)</f>
        <v>5</v>
      </c>
      <c r="AE2563" s="580">
        <f t="shared" ref="AE2563:AE2626" si="237">AD2563*(1/(1+EXP(-6.3*$AC2563)))</f>
        <v>2.5</v>
      </c>
      <c r="AF2563" s="580">
        <f t="shared" ref="AF2563:AF2626" si="238">(AD2563-AE2563)</f>
        <v>2.5</v>
      </c>
      <c r="AG2563" s="580">
        <f t="shared" ref="AG2563:AG2626" si="239">AE2563*AB2563</f>
        <v>0</v>
      </c>
      <c r="AH2563" s="580">
        <f t="shared" ref="AH2563:AH2626" si="240">AF2563*AB2563</f>
        <v>0</v>
      </c>
    </row>
    <row r="2564" spans="28:34">
      <c r="AB2564" s="580">
        <f>HLOOKUP("*"&amp;'Output annual'!$AC$2&amp;'Output annual'!$AD$2&amp;"*Zone People Number Of Occupants [](Hourly)",'Eplus results'!$1:$1048576,ROW(),FALSE)</f>
        <v>0</v>
      </c>
      <c r="AC2564" s="580">
        <f>HLOOKUP("*"&amp;'Output annual'!$AC$2&amp;'Output annual'!$AD$2&amp;"*FangerPMV(Hourly)",'Eplus results'!$1:$1048576,ROW(),FALSE)</f>
        <v>0</v>
      </c>
      <c r="AD2564" s="580">
        <f t="shared" si="236"/>
        <v>5</v>
      </c>
      <c r="AE2564" s="580">
        <f t="shared" si="237"/>
        <v>2.5</v>
      </c>
      <c r="AF2564" s="580">
        <f t="shared" si="238"/>
        <v>2.5</v>
      </c>
      <c r="AG2564" s="580">
        <f t="shared" si="239"/>
        <v>0</v>
      </c>
      <c r="AH2564" s="580">
        <f t="shared" si="240"/>
        <v>0</v>
      </c>
    </row>
    <row r="2565" spans="28:34">
      <c r="AB2565" s="580">
        <f>HLOOKUP("*"&amp;'Output annual'!$AC$2&amp;'Output annual'!$AD$2&amp;"*Zone People Number Of Occupants [](Hourly)",'Eplus results'!$1:$1048576,ROW(),FALSE)</f>
        <v>0</v>
      </c>
      <c r="AC2565" s="580">
        <f>HLOOKUP("*"&amp;'Output annual'!$AC$2&amp;'Output annual'!$AD$2&amp;"*FangerPMV(Hourly)",'Eplus results'!$1:$1048576,ROW(),FALSE)</f>
        <v>0</v>
      </c>
      <c r="AD2565" s="580">
        <f t="shared" si="236"/>
        <v>5</v>
      </c>
      <c r="AE2565" s="580">
        <f t="shared" si="237"/>
        <v>2.5</v>
      </c>
      <c r="AF2565" s="580">
        <f t="shared" si="238"/>
        <v>2.5</v>
      </c>
      <c r="AG2565" s="580">
        <f t="shared" si="239"/>
        <v>0</v>
      </c>
      <c r="AH2565" s="580">
        <f t="shared" si="240"/>
        <v>0</v>
      </c>
    </row>
    <row r="2566" spans="28:34">
      <c r="AB2566" s="580">
        <f>HLOOKUP("*"&amp;'Output annual'!$AC$2&amp;'Output annual'!$AD$2&amp;"*Zone People Number Of Occupants [](Hourly)",'Eplus results'!$1:$1048576,ROW(),FALSE)</f>
        <v>0</v>
      </c>
      <c r="AC2566" s="580">
        <f>HLOOKUP("*"&amp;'Output annual'!$AC$2&amp;'Output annual'!$AD$2&amp;"*FangerPMV(Hourly)",'Eplus results'!$1:$1048576,ROW(),FALSE)</f>
        <v>0</v>
      </c>
      <c r="AD2566" s="580">
        <f t="shared" si="236"/>
        <v>5</v>
      </c>
      <c r="AE2566" s="580">
        <f t="shared" si="237"/>
        <v>2.5</v>
      </c>
      <c r="AF2566" s="580">
        <f t="shared" si="238"/>
        <v>2.5</v>
      </c>
      <c r="AG2566" s="580">
        <f t="shared" si="239"/>
        <v>0</v>
      </c>
      <c r="AH2566" s="580">
        <f t="shared" si="240"/>
        <v>0</v>
      </c>
    </row>
    <row r="2567" spans="28:34">
      <c r="AB2567" s="580">
        <f>HLOOKUP("*"&amp;'Output annual'!$AC$2&amp;'Output annual'!$AD$2&amp;"*Zone People Number Of Occupants [](Hourly)",'Eplus results'!$1:$1048576,ROW(),FALSE)</f>
        <v>0</v>
      </c>
      <c r="AC2567" s="580">
        <f>HLOOKUP("*"&amp;'Output annual'!$AC$2&amp;'Output annual'!$AD$2&amp;"*FangerPMV(Hourly)",'Eplus results'!$1:$1048576,ROW(),FALSE)</f>
        <v>0</v>
      </c>
      <c r="AD2567" s="580">
        <f t="shared" si="236"/>
        <v>5</v>
      </c>
      <c r="AE2567" s="580">
        <f t="shared" si="237"/>
        <v>2.5</v>
      </c>
      <c r="AF2567" s="580">
        <f t="shared" si="238"/>
        <v>2.5</v>
      </c>
      <c r="AG2567" s="580">
        <f t="shared" si="239"/>
        <v>0</v>
      </c>
      <c r="AH2567" s="580">
        <f t="shared" si="240"/>
        <v>0</v>
      </c>
    </row>
    <row r="2568" spans="28:34">
      <c r="AB2568" s="580">
        <f>HLOOKUP("*"&amp;'Output annual'!$AC$2&amp;'Output annual'!$AD$2&amp;"*Zone People Number Of Occupants [](Hourly)",'Eplus results'!$1:$1048576,ROW(),FALSE)</f>
        <v>0</v>
      </c>
      <c r="AC2568" s="580">
        <f>HLOOKUP("*"&amp;'Output annual'!$AC$2&amp;'Output annual'!$AD$2&amp;"*FangerPMV(Hourly)",'Eplus results'!$1:$1048576,ROW(),FALSE)</f>
        <v>0</v>
      </c>
      <c r="AD2568" s="580">
        <f t="shared" si="236"/>
        <v>5</v>
      </c>
      <c r="AE2568" s="580">
        <f t="shared" si="237"/>
        <v>2.5</v>
      </c>
      <c r="AF2568" s="580">
        <f t="shared" si="238"/>
        <v>2.5</v>
      </c>
      <c r="AG2568" s="580">
        <f t="shared" si="239"/>
        <v>0</v>
      </c>
      <c r="AH2568" s="580">
        <f t="shared" si="240"/>
        <v>0</v>
      </c>
    </row>
    <row r="2569" spans="28:34">
      <c r="AB2569" s="580">
        <f>HLOOKUP("*"&amp;'Output annual'!$AC$2&amp;'Output annual'!$AD$2&amp;"*Zone People Number Of Occupants [](Hourly)",'Eplus results'!$1:$1048576,ROW(),FALSE)</f>
        <v>0</v>
      </c>
      <c r="AC2569" s="580">
        <f>HLOOKUP("*"&amp;'Output annual'!$AC$2&amp;'Output annual'!$AD$2&amp;"*FangerPMV(Hourly)",'Eplus results'!$1:$1048576,ROW(),FALSE)</f>
        <v>0</v>
      </c>
      <c r="AD2569" s="580">
        <f t="shared" si="236"/>
        <v>5</v>
      </c>
      <c r="AE2569" s="580">
        <f t="shared" si="237"/>
        <v>2.5</v>
      </c>
      <c r="AF2569" s="580">
        <f t="shared" si="238"/>
        <v>2.5</v>
      </c>
      <c r="AG2569" s="580">
        <f t="shared" si="239"/>
        <v>0</v>
      </c>
      <c r="AH2569" s="580">
        <f t="shared" si="240"/>
        <v>0</v>
      </c>
    </row>
    <row r="2570" spans="28:34">
      <c r="AB2570" s="580">
        <f>HLOOKUP("*"&amp;'Output annual'!$AC$2&amp;'Output annual'!$AD$2&amp;"*Zone People Number Of Occupants [](Hourly)",'Eplus results'!$1:$1048576,ROW(),FALSE)</f>
        <v>0</v>
      </c>
      <c r="AC2570" s="580">
        <f>HLOOKUP("*"&amp;'Output annual'!$AC$2&amp;'Output annual'!$AD$2&amp;"*FangerPMV(Hourly)",'Eplus results'!$1:$1048576,ROW(),FALSE)</f>
        <v>0</v>
      </c>
      <c r="AD2570" s="580">
        <f t="shared" si="236"/>
        <v>5</v>
      </c>
      <c r="AE2570" s="580">
        <f t="shared" si="237"/>
        <v>2.5</v>
      </c>
      <c r="AF2570" s="580">
        <f t="shared" si="238"/>
        <v>2.5</v>
      </c>
      <c r="AG2570" s="580">
        <f t="shared" si="239"/>
        <v>0</v>
      </c>
      <c r="AH2570" s="580">
        <f t="shared" si="240"/>
        <v>0</v>
      </c>
    </row>
    <row r="2571" spans="28:34">
      <c r="AB2571" s="580">
        <f>HLOOKUP("*"&amp;'Output annual'!$AC$2&amp;'Output annual'!$AD$2&amp;"*Zone People Number Of Occupants [](Hourly)",'Eplus results'!$1:$1048576,ROW(),FALSE)</f>
        <v>0</v>
      </c>
      <c r="AC2571" s="580">
        <f>HLOOKUP("*"&amp;'Output annual'!$AC$2&amp;'Output annual'!$AD$2&amp;"*FangerPMV(Hourly)",'Eplus results'!$1:$1048576,ROW(),FALSE)</f>
        <v>0</v>
      </c>
      <c r="AD2571" s="580">
        <f t="shared" si="236"/>
        <v>5</v>
      </c>
      <c r="AE2571" s="580">
        <f t="shared" si="237"/>
        <v>2.5</v>
      </c>
      <c r="AF2571" s="580">
        <f t="shared" si="238"/>
        <v>2.5</v>
      </c>
      <c r="AG2571" s="580">
        <f t="shared" si="239"/>
        <v>0</v>
      </c>
      <c r="AH2571" s="580">
        <f t="shared" si="240"/>
        <v>0</v>
      </c>
    </row>
    <row r="2572" spans="28:34">
      <c r="AB2572" s="580">
        <f>HLOOKUP("*"&amp;'Output annual'!$AC$2&amp;'Output annual'!$AD$2&amp;"*Zone People Number Of Occupants [](Hourly)",'Eplus results'!$1:$1048576,ROW(),FALSE)</f>
        <v>0</v>
      </c>
      <c r="AC2572" s="580">
        <f>HLOOKUP("*"&amp;'Output annual'!$AC$2&amp;'Output annual'!$AD$2&amp;"*FangerPMV(Hourly)",'Eplus results'!$1:$1048576,ROW(),FALSE)</f>
        <v>0</v>
      </c>
      <c r="AD2572" s="580">
        <f t="shared" si="236"/>
        <v>5</v>
      </c>
      <c r="AE2572" s="580">
        <f t="shared" si="237"/>
        <v>2.5</v>
      </c>
      <c r="AF2572" s="580">
        <f t="shared" si="238"/>
        <v>2.5</v>
      </c>
      <c r="AG2572" s="580">
        <f t="shared" si="239"/>
        <v>0</v>
      </c>
      <c r="AH2572" s="580">
        <f t="shared" si="240"/>
        <v>0</v>
      </c>
    </row>
    <row r="2573" spans="28:34">
      <c r="AB2573" s="580">
        <f>HLOOKUP("*"&amp;'Output annual'!$AC$2&amp;'Output annual'!$AD$2&amp;"*Zone People Number Of Occupants [](Hourly)",'Eplus results'!$1:$1048576,ROW(),FALSE)</f>
        <v>0</v>
      </c>
      <c r="AC2573" s="580">
        <f>HLOOKUP("*"&amp;'Output annual'!$AC$2&amp;'Output annual'!$AD$2&amp;"*FangerPMV(Hourly)",'Eplus results'!$1:$1048576,ROW(),FALSE)</f>
        <v>0</v>
      </c>
      <c r="AD2573" s="580">
        <f t="shared" si="236"/>
        <v>5</v>
      </c>
      <c r="AE2573" s="580">
        <f t="shared" si="237"/>
        <v>2.5</v>
      </c>
      <c r="AF2573" s="580">
        <f t="shared" si="238"/>
        <v>2.5</v>
      </c>
      <c r="AG2573" s="580">
        <f t="shared" si="239"/>
        <v>0</v>
      </c>
      <c r="AH2573" s="580">
        <f t="shared" si="240"/>
        <v>0</v>
      </c>
    </row>
    <row r="2574" spans="28:34">
      <c r="AB2574" s="580">
        <f>HLOOKUP("*"&amp;'Output annual'!$AC$2&amp;'Output annual'!$AD$2&amp;"*Zone People Number Of Occupants [](Hourly)",'Eplus results'!$1:$1048576,ROW(),FALSE)</f>
        <v>0</v>
      </c>
      <c r="AC2574" s="580">
        <f>HLOOKUP("*"&amp;'Output annual'!$AC$2&amp;'Output annual'!$AD$2&amp;"*FangerPMV(Hourly)",'Eplus results'!$1:$1048576,ROW(),FALSE)</f>
        <v>0</v>
      </c>
      <c r="AD2574" s="580">
        <f t="shared" si="236"/>
        <v>5</v>
      </c>
      <c r="AE2574" s="580">
        <f t="shared" si="237"/>
        <v>2.5</v>
      </c>
      <c r="AF2574" s="580">
        <f t="shared" si="238"/>
        <v>2.5</v>
      </c>
      <c r="AG2574" s="580">
        <f t="shared" si="239"/>
        <v>0</v>
      </c>
      <c r="AH2574" s="580">
        <f t="shared" si="240"/>
        <v>0</v>
      </c>
    </row>
    <row r="2575" spans="28:34">
      <c r="AB2575" s="580">
        <f>HLOOKUP("*"&amp;'Output annual'!$AC$2&amp;'Output annual'!$AD$2&amp;"*Zone People Number Of Occupants [](Hourly)",'Eplus results'!$1:$1048576,ROW(),FALSE)</f>
        <v>0</v>
      </c>
      <c r="AC2575" s="580">
        <f>HLOOKUP("*"&amp;'Output annual'!$AC$2&amp;'Output annual'!$AD$2&amp;"*FangerPMV(Hourly)",'Eplus results'!$1:$1048576,ROW(),FALSE)</f>
        <v>0</v>
      </c>
      <c r="AD2575" s="580">
        <f t="shared" si="236"/>
        <v>5</v>
      </c>
      <c r="AE2575" s="580">
        <f t="shared" si="237"/>
        <v>2.5</v>
      </c>
      <c r="AF2575" s="580">
        <f t="shared" si="238"/>
        <v>2.5</v>
      </c>
      <c r="AG2575" s="580">
        <f t="shared" si="239"/>
        <v>0</v>
      </c>
      <c r="AH2575" s="580">
        <f t="shared" si="240"/>
        <v>0</v>
      </c>
    </row>
    <row r="2576" spans="28:34">
      <c r="AB2576" s="580">
        <f>HLOOKUP("*"&amp;'Output annual'!$AC$2&amp;'Output annual'!$AD$2&amp;"*Zone People Number Of Occupants [](Hourly)",'Eplus results'!$1:$1048576,ROW(),FALSE)</f>
        <v>0</v>
      </c>
      <c r="AC2576" s="580">
        <f>HLOOKUP("*"&amp;'Output annual'!$AC$2&amp;'Output annual'!$AD$2&amp;"*FangerPMV(Hourly)",'Eplus results'!$1:$1048576,ROW(),FALSE)</f>
        <v>0</v>
      </c>
      <c r="AD2576" s="580">
        <f t="shared" si="236"/>
        <v>5</v>
      </c>
      <c r="AE2576" s="580">
        <f t="shared" si="237"/>
        <v>2.5</v>
      </c>
      <c r="AF2576" s="580">
        <f t="shared" si="238"/>
        <v>2.5</v>
      </c>
      <c r="AG2576" s="580">
        <f t="shared" si="239"/>
        <v>0</v>
      </c>
      <c r="AH2576" s="580">
        <f t="shared" si="240"/>
        <v>0</v>
      </c>
    </row>
    <row r="2577" spans="28:34">
      <c r="AB2577" s="580">
        <f>HLOOKUP("*"&amp;'Output annual'!$AC$2&amp;'Output annual'!$AD$2&amp;"*Zone People Number Of Occupants [](Hourly)",'Eplus results'!$1:$1048576,ROW(),FALSE)</f>
        <v>0</v>
      </c>
      <c r="AC2577" s="580">
        <f>HLOOKUP("*"&amp;'Output annual'!$AC$2&amp;'Output annual'!$AD$2&amp;"*FangerPMV(Hourly)",'Eplus results'!$1:$1048576,ROW(),FALSE)</f>
        <v>0</v>
      </c>
      <c r="AD2577" s="580">
        <f t="shared" si="236"/>
        <v>5</v>
      </c>
      <c r="AE2577" s="580">
        <f t="shared" si="237"/>
        <v>2.5</v>
      </c>
      <c r="AF2577" s="580">
        <f t="shared" si="238"/>
        <v>2.5</v>
      </c>
      <c r="AG2577" s="580">
        <f t="shared" si="239"/>
        <v>0</v>
      </c>
      <c r="AH2577" s="580">
        <f t="shared" si="240"/>
        <v>0</v>
      </c>
    </row>
    <row r="2578" spans="28:34">
      <c r="AB2578" s="580">
        <f>HLOOKUP("*"&amp;'Output annual'!$AC$2&amp;'Output annual'!$AD$2&amp;"*Zone People Number Of Occupants [](Hourly)",'Eplus results'!$1:$1048576,ROW(),FALSE)</f>
        <v>0</v>
      </c>
      <c r="AC2578" s="580">
        <f>HLOOKUP("*"&amp;'Output annual'!$AC$2&amp;'Output annual'!$AD$2&amp;"*FangerPMV(Hourly)",'Eplus results'!$1:$1048576,ROW(),FALSE)</f>
        <v>0</v>
      </c>
      <c r="AD2578" s="580">
        <f t="shared" si="236"/>
        <v>5</v>
      </c>
      <c r="AE2578" s="580">
        <f t="shared" si="237"/>
        <v>2.5</v>
      </c>
      <c r="AF2578" s="580">
        <f t="shared" si="238"/>
        <v>2.5</v>
      </c>
      <c r="AG2578" s="580">
        <f t="shared" si="239"/>
        <v>0</v>
      </c>
      <c r="AH2578" s="580">
        <f t="shared" si="240"/>
        <v>0</v>
      </c>
    </row>
    <row r="2579" spans="28:34">
      <c r="AB2579" s="580">
        <f>HLOOKUP("*"&amp;'Output annual'!$AC$2&amp;'Output annual'!$AD$2&amp;"*Zone People Number Of Occupants [](Hourly)",'Eplus results'!$1:$1048576,ROW(),FALSE)</f>
        <v>0</v>
      </c>
      <c r="AC2579" s="580">
        <f>HLOOKUP("*"&amp;'Output annual'!$AC$2&amp;'Output annual'!$AD$2&amp;"*FangerPMV(Hourly)",'Eplus results'!$1:$1048576,ROW(),FALSE)</f>
        <v>0</v>
      </c>
      <c r="AD2579" s="580">
        <f t="shared" si="236"/>
        <v>5</v>
      </c>
      <c r="AE2579" s="580">
        <f t="shared" si="237"/>
        <v>2.5</v>
      </c>
      <c r="AF2579" s="580">
        <f t="shared" si="238"/>
        <v>2.5</v>
      </c>
      <c r="AG2579" s="580">
        <f t="shared" si="239"/>
        <v>0</v>
      </c>
      <c r="AH2579" s="580">
        <f t="shared" si="240"/>
        <v>0</v>
      </c>
    </row>
    <row r="2580" spans="28:34">
      <c r="AB2580" s="580">
        <f>HLOOKUP("*"&amp;'Output annual'!$AC$2&amp;'Output annual'!$AD$2&amp;"*Zone People Number Of Occupants [](Hourly)",'Eplus results'!$1:$1048576,ROW(),FALSE)</f>
        <v>0</v>
      </c>
      <c r="AC2580" s="580">
        <f>HLOOKUP("*"&amp;'Output annual'!$AC$2&amp;'Output annual'!$AD$2&amp;"*FangerPMV(Hourly)",'Eplus results'!$1:$1048576,ROW(),FALSE)</f>
        <v>0</v>
      </c>
      <c r="AD2580" s="580">
        <f t="shared" si="236"/>
        <v>5</v>
      </c>
      <c r="AE2580" s="580">
        <f t="shared" si="237"/>
        <v>2.5</v>
      </c>
      <c r="AF2580" s="580">
        <f t="shared" si="238"/>
        <v>2.5</v>
      </c>
      <c r="AG2580" s="580">
        <f t="shared" si="239"/>
        <v>0</v>
      </c>
      <c r="AH2580" s="580">
        <f t="shared" si="240"/>
        <v>0</v>
      </c>
    </row>
    <row r="2581" spans="28:34">
      <c r="AB2581" s="580">
        <f>HLOOKUP("*"&amp;'Output annual'!$AC$2&amp;'Output annual'!$AD$2&amp;"*Zone People Number Of Occupants [](Hourly)",'Eplus results'!$1:$1048576,ROW(),FALSE)</f>
        <v>0</v>
      </c>
      <c r="AC2581" s="580">
        <f>HLOOKUP("*"&amp;'Output annual'!$AC$2&amp;'Output annual'!$AD$2&amp;"*FangerPMV(Hourly)",'Eplus results'!$1:$1048576,ROW(),FALSE)</f>
        <v>0</v>
      </c>
      <c r="AD2581" s="580">
        <f t="shared" si="236"/>
        <v>5</v>
      </c>
      <c r="AE2581" s="580">
        <f t="shared" si="237"/>
        <v>2.5</v>
      </c>
      <c r="AF2581" s="580">
        <f t="shared" si="238"/>
        <v>2.5</v>
      </c>
      <c r="AG2581" s="580">
        <f t="shared" si="239"/>
        <v>0</v>
      </c>
      <c r="AH2581" s="580">
        <f t="shared" si="240"/>
        <v>0</v>
      </c>
    </row>
    <row r="2582" spans="28:34">
      <c r="AB2582" s="580">
        <f>HLOOKUP("*"&amp;'Output annual'!$AC$2&amp;'Output annual'!$AD$2&amp;"*Zone People Number Of Occupants [](Hourly)",'Eplus results'!$1:$1048576,ROW(),FALSE)</f>
        <v>0</v>
      </c>
      <c r="AC2582" s="580">
        <f>HLOOKUP("*"&amp;'Output annual'!$AC$2&amp;'Output annual'!$AD$2&amp;"*FangerPMV(Hourly)",'Eplus results'!$1:$1048576,ROW(),FALSE)</f>
        <v>0</v>
      </c>
      <c r="AD2582" s="580">
        <f t="shared" si="236"/>
        <v>5</v>
      </c>
      <c r="AE2582" s="580">
        <f t="shared" si="237"/>
        <v>2.5</v>
      </c>
      <c r="AF2582" s="580">
        <f t="shared" si="238"/>
        <v>2.5</v>
      </c>
      <c r="AG2582" s="580">
        <f t="shared" si="239"/>
        <v>0</v>
      </c>
      <c r="AH2582" s="580">
        <f t="shared" si="240"/>
        <v>0</v>
      </c>
    </row>
    <row r="2583" spans="28:34">
      <c r="AB2583" s="580">
        <f>HLOOKUP("*"&amp;'Output annual'!$AC$2&amp;'Output annual'!$AD$2&amp;"*Zone People Number Of Occupants [](Hourly)",'Eplus results'!$1:$1048576,ROW(),FALSE)</f>
        <v>0</v>
      </c>
      <c r="AC2583" s="580">
        <f>HLOOKUP("*"&amp;'Output annual'!$AC$2&amp;'Output annual'!$AD$2&amp;"*FangerPMV(Hourly)",'Eplus results'!$1:$1048576,ROW(),FALSE)</f>
        <v>0</v>
      </c>
      <c r="AD2583" s="580">
        <f t="shared" si="236"/>
        <v>5</v>
      </c>
      <c r="AE2583" s="580">
        <f t="shared" si="237"/>
        <v>2.5</v>
      </c>
      <c r="AF2583" s="580">
        <f t="shared" si="238"/>
        <v>2.5</v>
      </c>
      <c r="AG2583" s="580">
        <f t="shared" si="239"/>
        <v>0</v>
      </c>
      <c r="AH2583" s="580">
        <f t="shared" si="240"/>
        <v>0</v>
      </c>
    </row>
    <row r="2584" spans="28:34">
      <c r="AB2584" s="580">
        <f>HLOOKUP("*"&amp;'Output annual'!$AC$2&amp;'Output annual'!$AD$2&amp;"*Zone People Number Of Occupants [](Hourly)",'Eplus results'!$1:$1048576,ROW(),FALSE)</f>
        <v>0</v>
      </c>
      <c r="AC2584" s="580">
        <f>HLOOKUP("*"&amp;'Output annual'!$AC$2&amp;'Output annual'!$AD$2&amp;"*FangerPMV(Hourly)",'Eplus results'!$1:$1048576,ROW(),FALSE)</f>
        <v>0</v>
      </c>
      <c r="AD2584" s="580">
        <f t="shared" si="236"/>
        <v>5</v>
      </c>
      <c r="AE2584" s="580">
        <f t="shared" si="237"/>
        <v>2.5</v>
      </c>
      <c r="AF2584" s="580">
        <f t="shared" si="238"/>
        <v>2.5</v>
      </c>
      <c r="AG2584" s="580">
        <f t="shared" si="239"/>
        <v>0</v>
      </c>
      <c r="AH2584" s="580">
        <f t="shared" si="240"/>
        <v>0</v>
      </c>
    </row>
    <row r="2585" spans="28:34">
      <c r="AB2585" s="580">
        <f>HLOOKUP("*"&amp;'Output annual'!$AC$2&amp;'Output annual'!$AD$2&amp;"*Zone People Number Of Occupants [](Hourly)",'Eplus results'!$1:$1048576,ROW(),FALSE)</f>
        <v>0</v>
      </c>
      <c r="AC2585" s="580">
        <f>HLOOKUP("*"&amp;'Output annual'!$AC$2&amp;'Output annual'!$AD$2&amp;"*FangerPMV(Hourly)",'Eplus results'!$1:$1048576,ROW(),FALSE)</f>
        <v>0</v>
      </c>
      <c r="AD2585" s="580">
        <f t="shared" si="236"/>
        <v>5</v>
      </c>
      <c r="AE2585" s="580">
        <f t="shared" si="237"/>
        <v>2.5</v>
      </c>
      <c r="AF2585" s="580">
        <f t="shared" si="238"/>
        <v>2.5</v>
      </c>
      <c r="AG2585" s="580">
        <f t="shared" si="239"/>
        <v>0</v>
      </c>
      <c r="AH2585" s="580">
        <f t="shared" si="240"/>
        <v>0</v>
      </c>
    </row>
    <row r="2586" spans="28:34">
      <c r="AB2586" s="580">
        <f>HLOOKUP("*"&amp;'Output annual'!$AC$2&amp;'Output annual'!$AD$2&amp;"*Zone People Number Of Occupants [](Hourly)",'Eplus results'!$1:$1048576,ROW(),FALSE)</f>
        <v>0</v>
      </c>
      <c r="AC2586" s="580">
        <f>HLOOKUP("*"&amp;'Output annual'!$AC$2&amp;'Output annual'!$AD$2&amp;"*FangerPMV(Hourly)",'Eplus results'!$1:$1048576,ROW(),FALSE)</f>
        <v>0</v>
      </c>
      <c r="AD2586" s="580">
        <f t="shared" si="236"/>
        <v>5</v>
      </c>
      <c r="AE2586" s="580">
        <f t="shared" si="237"/>
        <v>2.5</v>
      </c>
      <c r="AF2586" s="580">
        <f t="shared" si="238"/>
        <v>2.5</v>
      </c>
      <c r="AG2586" s="580">
        <f t="shared" si="239"/>
        <v>0</v>
      </c>
      <c r="AH2586" s="580">
        <f t="shared" si="240"/>
        <v>0</v>
      </c>
    </row>
    <row r="2587" spans="28:34">
      <c r="AB2587" s="580">
        <f>HLOOKUP("*"&amp;'Output annual'!$AC$2&amp;'Output annual'!$AD$2&amp;"*Zone People Number Of Occupants [](Hourly)",'Eplus results'!$1:$1048576,ROW(),FALSE)</f>
        <v>0</v>
      </c>
      <c r="AC2587" s="580">
        <f>HLOOKUP("*"&amp;'Output annual'!$AC$2&amp;'Output annual'!$AD$2&amp;"*FangerPMV(Hourly)",'Eplus results'!$1:$1048576,ROW(),FALSE)</f>
        <v>0</v>
      </c>
      <c r="AD2587" s="580">
        <f t="shared" si="236"/>
        <v>5</v>
      </c>
      <c r="AE2587" s="580">
        <f t="shared" si="237"/>
        <v>2.5</v>
      </c>
      <c r="AF2587" s="580">
        <f t="shared" si="238"/>
        <v>2.5</v>
      </c>
      <c r="AG2587" s="580">
        <f t="shared" si="239"/>
        <v>0</v>
      </c>
      <c r="AH2587" s="580">
        <f t="shared" si="240"/>
        <v>0</v>
      </c>
    </row>
    <row r="2588" spans="28:34">
      <c r="AB2588" s="580">
        <f>HLOOKUP("*"&amp;'Output annual'!$AC$2&amp;'Output annual'!$AD$2&amp;"*Zone People Number Of Occupants [](Hourly)",'Eplus results'!$1:$1048576,ROW(),FALSE)</f>
        <v>0</v>
      </c>
      <c r="AC2588" s="580">
        <f>HLOOKUP("*"&amp;'Output annual'!$AC$2&amp;'Output annual'!$AD$2&amp;"*FangerPMV(Hourly)",'Eplus results'!$1:$1048576,ROW(),FALSE)</f>
        <v>0</v>
      </c>
      <c r="AD2588" s="580">
        <f t="shared" si="236"/>
        <v>5</v>
      </c>
      <c r="AE2588" s="580">
        <f t="shared" si="237"/>
        <v>2.5</v>
      </c>
      <c r="AF2588" s="580">
        <f t="shared" si="238"/>
        <v>2.5</v>
      </c>
      <c r="AG2588" s="580">
        <f t="shared" si="239"/>
        <v>0</v>
      </c>
      <c r="AH2588" s="580">
        <f t="shared" si="240"/>
        <v>0</v>
      </c>
    </row>
    <row r="2589" spans="28:34">
      <c r="AB2589" s="580">
        <f>HLOOKUP("*"&amp;'Output annual'!$AC$2&amp;'Output annual'!$AD$2&amp;"*Zone People Number Of Occupants [](Hourly)",'Eplus results'!$1:$1048576,ROW(),FALSE)</f>
        <v>0</v>
      </c>
      <c r="AC2589" s="580">
        <f>HLOOKUP("*"&amp;'Output annual'!$AC$2&amp;'Output annual'!$AD$2&amp;"*FangerPMV(Hourly)",'Eplus results'!$1:$1048576,ROW(),FALSE)</f>
        <v>0</v>
      </c>
      <c r="AD2589" s="580">
        <f t="shared" si="236"/>
        <v>5</v>
      </c>
      <c r="AE2589" s="580">
        <f t="shared" si="237"/>
        <v>2.5</v>
      </c>
      <c r="AF2589" s="580">
        <f t="shared" si="238"/>
        <v>2.5</v>
      </c>
      <c r="AG2589" s="580">
        <f t="shared" si="239"/>
        <v>0</v>
      </c>
      <c r="AH2589" s="580">
        <f t="shared" si="240"/>
        <v>0</v>
      </c>
    </row>
    <row r="2590" spans="28:34">
      <c r="AB2590" s="580">
        <f>HLOOKUP("*"&amp;'Output annual'!$AC$2&amp;'Output annual'!$AD$2&amp;"*Zone People Number Of Occupants [](Hourly)",'Eplus results'!$1:$1048576,ROW(),FALSE)</f>
        <v>0</v>
      </c>
      <c r="AC2590" s="580">
        <f>HLOOKUP("*"&amp;'Output annual'!$AC$2&amp;'Output annual'!$AD$2&amp;"*FangerPMV(Hourly)",'Eplus results'!$1:$1048576,ROW(),FALSE)</f>
        <v>0</v>
      </c>
      <c r="AD2590" s="580">
        <f t="shared" si="236"/>
        <v>5</v>
      </c>
      <c r="AE2590" s="580">
        <f t="shared" si="237"/>
        <v>2.5</v>
      </c>
      <c r="AF2590" s="580">
        <f t="shared" si="238"/>
        <v>2.5</v>
      </c>
      <c r="AG2590" s="580">
        <f t="shared" si="239"/>
        <v>0</v>
      </c>
      <c r="AH2590" s="580">
        <f t="shared" si="240"/>
        <v>0</v>
      </c>
    </row>
    <row r="2591" spans="28:34">
      <c r="AB2591" s="580">
        <f>HLOOKUP("*"&amp;'Output annual'!$AC$2&amp;'Output annual'!$AD$2&amp;"*Zone People Number Of Occupants [](Hourly)",'Eplus results'!$1:$1048576,ROW(),FALSE)</f>
        <v>0</v>
      </c>
      <c r="AC2591" s="580">
        <f>HLOOKUP("*"&amp;'Output annual'!$AC$2&amp;'Output annual'!$AD$2&amp;"*FangerPMV(Hourly)",'Eplus results'!$1:$1048576,ROW(),FALSE)</f>
        <v>0</v>
      </c>
      <c r="AD2591" s="580">
        <f t="shared" si="236"/>
        <v>5</v>
      </c>
      <c r="AE2591" s="580">
        <f t="shared" si="237"/>
        <v>2.5</v>
      </c>
      <c r="AF2591" s="580">
        <f t="shared" si="238"/>
        <v>2.5</v>
      </c>
      <c r="AG2591" s="580">
        <f t="shared" si="239"/>
        <v>0</v>
      </c>
      <c r="AH2591" s="580">
        <f t="shared" si="240"/>
        <v>0</v>
      </c>
    </row>
    <row r="2592" spans="28:34">
      <c r="AB2592" s="580">
        <f>HLOOKUP("*"&amp;'Output annual'!$AC$2&amp;'Output annual'!$AD$2&amp;"*Zone People Number Of Occupants [](Hourly)",'Eplus results'!$1:$1048576,ROW(),FALSE)</f>
        <v>0</v>
      </c>
      <c r="AC2592" s="580">
        <f>HLOOKUP("*"&amp;'Output annual'!$AC$2&amp;'Output annual'!$AD$2&amp;"*FangerPMV(Hourly)",'Eplus results'!$1:$1048576,ROW(),FALSE)</f>
        <v>0</v>
      </c>
      <c r="AD2592" s="580">
        <f t="shared" si="236"/>
        <v>5</v>
      </c>
      <c r="AE2592" s="580">
        <f t="shared" si="237"/>
        <v>2.5</v>
      </c>
      <c r="AF2592" s="580">
        <f t="shared" si="238"/>
        <v>2.5</v>
      </c>
      <c r="AG2592" s="580">
        <f t="shared" si="239"/>
        <v>0</v>
      </c>
      <c r="AH2592" s="580">
        <f t="shared" si="240"/>
        <v>0</v>
      </c>
    </row>
    <row r="2593" spans="28:34">
      <c r="AB2593" s="580">
        <f>HLOOKUP("*"&amp;'Output annual'!$AC$2&amp;'Output annual'!$AD$2&amp;"*Zone People Number Of Occupants [](Hourly)",'Eplus results'!$1:$1048576,ROW(),FALSE)</f>
        <v>0</v>
      </c>
      <c r="AC2593" s="580">
        <f>HLOOKUP("*"&amp;'Output annual'!$AC$2&amp;'Output annual'!$AD$2&amp;"*FangerPMV(Hourly)",'Eplus results'!$1:$1048576,ROW(),FALSE)</f>
        <v>0</v>
      </c>
      <c r="AD2593" s="580">
        <f t="shared" si="236"/>
        <v>5</v>
      </c>
      <c r="AE2593" s="580">
        <f t="shared" si="237"/>
        <v>2.5</v>
      </c>
      <c r="AF2593" s="580">
        <f t="shared" si="238"/>
        <v>2.5</v>
      </c>
      <c r="AG2593" s="580">
        <f t="shared" si="239"/>
        <v>0</v>
      </c>
      <c r="AH2593" s="580">
        <f t="shared" si="240"/>
        <v>0</v>
      </c>
    </row>
    <row r="2594" spans="28:34">
      <c r="AB2594" s="580">
        <f>HLOOKUP("*"&amp;'Output annual'!$AC$2&amp;'Output annual'!$AD$2&amp;"*Zone People Number Of Occupants [](Hourly)",'Eplus results'!$1:$1048576,ROW(),FALSE)</f>
        <v>0</v>
      </c>
      <c r="AC2594" s="580">
        <f>HLOOKUP("*"&amp;'Output annual'!$AC$2&amp;'Output annual'!$AD$2&amp;"*FangerPMV(Hourly)",'Eplus results'!$1:$1048576,ROW(),FALSE)</f>
        <v>0</v>
      </c>
      <c r="AD2594" s="580">
        <f t="shared" si="236"/>
        <v>5</v>
      </c>
      <c r="AE2594" s="580">
        <f t="shared" si="237"/>
        <v>2.5</v>
      </c>
      <c r="AF2594" s="580">
        <f t="shared" si="238"/>
        <v>2.5</v>
      </c>
      <c r="AG2594" s="580">
        <f t="shared" si="239"/>
        <v>0</v>
      </c>
      <c r="AH2594" s="580">
        <f t="shared" si="240"/>
        <v>0</v>
      </c>
    </row>
    <row r="2595" spans="28:34">
      <c r="AB2595" s="580">
        <f>HLOOKUP("*"&amp;'Output annual'!$AC$2&amp;'Output annual'!$AD$2&amp;"*Zone People Number Of Occupants [](Hourly)",'Eplus results'!$1:$1048576,ROW(),FALSE)</f>
        <v>0</v>
      </c>
      <c r="AC2595" s="580">
        <f>HLOOKUP("*"&amp;'Output annual'!$AC$2&amp;'Output annual'!$AD$2&amp;"*FangerPMV(Hourly)",'Eplus results'!$1:$1048576,ROW(),FALSE)</f>
        <v>0</v>
      </c>
      <c r="AD2595" s="580">
        <f t="shared" si="236"/>
        <v>5</v>
      </c>
      <c r="AE2595" s="580">
        <f t="shared" si="237"/>
        <v>2.5</v>
      </c>
      <c r="AF2595" s="580">
        <f t="shared" si="238"/>
        <v>2.5</v>
      </c>
      <c r="AG2595" s="580">
        <f t="shared" si="239"/>
        <v>0</v>
      </c>
      <c r="AH2595" s="580">
        <f t="shared" si="240"/>
        <v>0</v>
      </c>
    </row>
    <row r="2596" spans="28:34">
      <c r="AB2596" s="580">
        <f>HLOOKUP("*"&amp;'Output annual'!$AC$2&amp;'Output annual'!$AD$2&amp;"*Zone People Number Of Occupants [](Hourly)",'Eplus results'!$1:$1048576,ROW(),FALSE)</f>
        <v>0</v>
      </c>
      <c r="AC2596" s="580">
        <f>HLOOKUP("*"&amp;'Output annual'!$AC$2&amp;'Output annual'!$AD$2&amp;"*FangerPMV(Hourly)",'Eplus results'!$1:$1048576,ROW(),FALSE)</f>
        <v>0</v>
      </c>
      <c r="AD2596" s="580">
        <f t="shared" si="236"/>
        <v>5</v>
      </c>
      <c r="AE2596" s="580">
        <f t="shared" si="237"/>
        <v>2.5</v>
      </c>
      <c r="AF2596" s="580">
        <f t="shared" si="238"/>
        <v>2.5</v>
      </c>
      <c r="AG2596" s="580">
        <f t="shared" si="239"/>
        <v>0</v>
      </c>
      <c r="AH2596" s="580">
        <f t="shared" si="240"/>
        <v>0</v>
      </c>
    </row>
    <row r="2597" spans="28:34">
      <c r="AB2597" s="580">
        <f>HLOOKUP("*"&amp;'Output annual'!$AC$2&amp;'Output annual'!$AD$2&amp;"*Zone People Number Of Occupants [](Hourly)",'Eplus results'!$1:$1048576,ROW(),FALSE)</f>
        <v>0</v>
      </c>
      <c r="AC2597" s="580">
        <f>HLOOKUP("*"&amp;'Output annual'!$AC$2&amp;'Output annual'!$AD$2&amp;"*FangerPMV(Hourly)",'Eplus results'!$1:$1048576,ROW(),FALSE)</f>
        <v>0</v>
      </c>
      <c r="AD2597" s="580">
        <f t="shared" si="236"/>
        <v>5</v>
      </c>
      <c r="AE2597" s="580">
        <f t="shared" si="237"/>
        <v>2.5</v>
      </c>
      <c r="AF2597" s="580">
        <f t="shared" si="238"/>
        <v>2.5</v>
      </c>
      <c r="AG2597" s="580">
        <f t="shared" si="239"/>
        <v>0</v>
      </c>
      <c r="AH2597" s="580">
        <f t="shared" si="240"/>
        <v>0</v>
      </c>
    </row>
    <row r="2598" spans="28:34">
      <c r="AB2598" s="580">
        <f>HLOOKUP("*"&amp;'Output annual'!$AC$2&amp;'Output annual'!$AD$2&amp;"*Zone People Number Of Occupants [](Hourly)",'Eplus results'!$1:$1048576,ROW(),FALSE)</f>
        <v>0</v>
      </c>
      <c r="AC2598" s="580">
        <f>HLOOKUP("*"&amp;'Output annual'!$AC$2&amp;'Output annual'!$AD$2&amp;"*FangerPMV(Hourly)",'Eplus results'!$1:$1048576,ROW(),FALSE)</f>
        <v>0</v>
      </c>
      <c r="AD2598" s="580">
        <f t="shared" si="236"/>
        <v>5</v>
      </c>
      <c r="AE2598" s="580">
        <f t="shared" si="237"/>
        <v>2.5</v>
      </c>
      <c r="AF2598" s="580">
        <f t="shared" si="238"/>
        <v>2.5</v>
      </c>
      <c r="AG2598" s="580">
        <f t="shared" si="239"/>
        <v>0</v>
      </c>
      <c r="AH2598" s="580">
        <f t="shared" si="240"/>
        <v>0</v>
      </c>
    </row>
    <row r="2599" spans="28:34">
      <c r="AB2599" s="580">
        <f>HLOOKUP("*"&amp;'Output annual'!$AC$2&amp;'Output annual'!$AD$2&amp;"*Zone People Number Of Occupants [](Hourly)",'Eplus results'!$1:$1048576,ROW(),FALSE)</f>
        <v>0</v>
      </c>
      <c r="AC2599" s="580">
        <f>HLOOKUP("*"&amp;'Output annual'!$AC$2&amp;'Output annual'!$AD$2&amp;"*FangerPMV(Hourly)",'Eplus results'!$1:$1048576,ROW(),FALSE)</f>
        <v>0</v>
      </c>
      <c r="AD2599" s="580">
        <f t="shared" si="236"/>
        <v>5</v>
      </c>
      <c r="AE2599" s="580">
        <f t="shared" si="237"/>
        <v>2.5</v>
      </c>
      <c r="AF2599" s="580">
        <f t="shared" si="238"/>
        <v>2.5</v>
      </c>
      <c r="AG2599" s="580">
        <f t="shared" si="239"/>
        <v>0</v>
      </c>
      <c r="AH2599" s="580">
        <f t="shared" si="240"/>
        <v>0</v>
      </c>
    </row>
    <row r="2600" spans="28:34">
      <c r="AB2600" s="580">
        <f>HLOOKUP("*"&amp;'Output annual'!$AC$2&amp;'Output annual'!$AD$2&amp;"*Zone People Number Of Occupants [](Hourly)",'Eplus results'!$1:$1048576,ROW(),FALSE)</f>
        <v>0</v>
      </c>
      <c r="AC2600" s="580">
        <f>HLOOKUP("*"&amp;'Output annual'!$AC$2&amp;'Output annual'!$AD$2&amp;"*FangerPMV(Hourly)",'Eplus results'!$1:$1048576,ROW(),FALSE)</f>
        <v>0</v>
      </c>
      <c r="AD2600" s="580">
        <f t="shared" si="236"/>
        <v>5</v>
      </c>
      <c r="AE2600" s="580">
        <f t="shared" si="237"/>
        <v>2.5</v>
      </c>
      <c r="AF2600" s="580">
        <f t="shared" si="238"/>
        <v>2.5</v>
      </c>
      <c r="AG2600" s="580">
        <f t="shared" si="239"/>
        <v>0</v>
      </c>
      <c r="AH2600" s="580">
        <f t="shared" si="240"/>
        <v>0</v>
      </c>
    </row>
    <row r="2601" spans="28:34">
      <c r="AB2601" s="580">
        <f>HLOOKUP("*"&amp;'Output annual'!$AC$2&amp;'Output annual'!$AD$2&amp;"*Zone People Number Of Occupants [](Hourly)",'Eplus results'!$1:$1048576,ROW(),FALSE)</f>
        <v>0</v>
      </c>
      <c r="AC2601" s="580">
        <f>HLOOKUP("*"&amp;'Output annual'!$AC$2&amp;'Output annual'!$AD$2&amp;"*FangerPMV(Hourly)",'Eplus results'!$1:$1048576,ROW(),FALSE)</f>
        <v>0</v>
      </c>
      <c r="AD2601" s="580">
        <f t="shared" si="236"/>
        <v>5</v>
      </c>
      <c r="AE2601" s="580">
        <f t="shared" si="237"/>
        <v>2.5</v>
      </c>
      <c r="AF2601" s="580">
        <f t="shared" si="238"/>
        <v>2.5</v>
      </c>
      <c r="AG2601" s="580">
        <f t="shared" si="239"/>
        <v>0</v>
      </c>
      <c r="AH2601" s="580">
        <f t="shared" si="240"/>
        <v>0</v>
      </c>
    </row>
    <row r="2602" spans="28:34">
      <c r="AB2602" s="580">
        <f>HLOOKUP("*"&amp;'Output annual'!$AC$2&amp;'Output annual'!$AD$2&amp;"*Zone People Number Of Occupants [](Hourly)",'Eplus results'!$1:$1048576,ROW(),FALSE)</f>
        <v>0</v>
      </c>
      <c r="AC2602" s="580">
        <f>HLOOKUP("*"&amp;'Output annual'!$AC$2&amp;'Output annual'!$AD$2&amp;"*FangerPMV(Hourly)",'Eplus results'!$1:$1048576,ROW(),FALSE)</f>
        <v>0</v>
      </c>
      <c r="AD2602" s="580">
        <f t="shared" si="236"/>
        <v>5</v>
      </c>
      <c r="AE2602" s="580">
        <f t="shared" si="237"/>
        <v>2.5</v>
      </c>
      <c r="AF2602" s="580">
        <f t="shared" si="238"/>
        <v>2.5</v>
      </c>
      <c r="AG2602" s="580">
        <f t="shared" si="239"/>
        <v>0</v>
      </c>
      <c r="AH2602" s="580">
        <f t="shared" si="240"/>
        <v>0</v>
      </c>
    </row>
    <row r="2603" spans="28:34">
      <c r="AB2603" s="580">
        <f>HLOOKUP("*"&amp;'Output annual'!$AC$2&amp;'Output annual'!$AD$2&amp;"*Zone People Number Of Occupants [](Hourly)",'Eplus results'!$1:$1048576,ROW(),FALSE)</f>
        <v>0</v>
      </c>
      <c r="AC2603" s="580">
        <f>HLOOKUP("*"&amp;'Output annual'!$AC$2&amp;'Output annual'!$AD$2&amp;"*FangerPMV(Hourly)",'Eplus results'!$1:$1048576,ROW(),FALSE)</f>
        <v>0</v>
      </c>
      <c r="AD2603" s="580">
        <f t="shared" si="236"/>
        <v>5</v>
      </c>
      <c r="AE2603" s="580">
        <f t="shared" si="237"/>
        <v>2.5</v>
      </c>
      <c r="AF2603" s="580">
        <f t="shared" si="238"/>
        <v>2.5</v>
      </c>
      <c r="AG2603" s="580">
        <f t="shared" si="239"/>
        <v>0</v>
      </c>
      <c r="AH2603" s="580">
        <f t="shared" si="240"/>
        <v>0</v>
      </c>
    </row>
    <row r="2604" spans="28:34">
      <c r="AB2604" s="580">
        <f>HLOOKUP("*"&amp;'Output annual'!$AC$2&amp;'Output annual'!$AD$2&amp;"*Zone People Number Of Occupants [](Hourly)",'Eplus results'!$1:$1048576,ROW(),FALSE)</f>
        <v>0</v>
      </c>
      <c r="AC2604" s="580">
        <f>HLOOKUP("*"&amp;'Output annual'!$AC$2&amp;'Output annual'!$AD$2&amp;"*FangerPMV(Hourly)",'Eplus results'!$1:$1048576,ROW(),FALSE)</f>
        <v>0</v>
      </c>
      <c r="AD2604" s="580">
        <f t="shared" si="236"/>
        <v>5</v>
      </c>
      <c r="AE2604" s="580">
        <f t="shared" si="237"/>
        <v>2.5</v>
      </c>
      <c r="AF2604" s="580">
        <f t="shared" si="238"/>
        <v>2.5</v>
      </c>
      <c r="AG2604" s="580">
        <f t="shared" si="239"/>
        <v>0</v>
      </c>
      <c r="AH2604" s="580">
        <f t="shared" si="240"/>
        <v>0</v>
      </c>
    </row>
    <row r="2605" spans="28:34">
      <c r="AB2605" s="580">
        <f>HLOOKUP("*"&amp;'Output annual'!$AC$2&amp;'Output annual'!$AD$2&amp;"*Zone People Number Of Occupants [](Hourly)",'Eplus results'!$1:$1048576,ROW(),FALSE)</f>
        <v>0</v>
      </c>
      <c r="AC2605" s="580">
        <f>HLOOKUP("*"&amp;'Output annual'!$AC$2&amp;'Output annual'!$AD$2&amp;"*FangerPMV(Hourly)",'Eplus results'!$1:$1048576,ROW(),FALSE)</f>
        <v>0</v>
      </c>
      <c r="AD2605" s="580">
        <f t="shared" si="236"/>
        <v>5</v>
      </c>
      <c r="AE2605" s="580">
        <f t="shared" si="237"/>
        <v>2.5</v>
      </c>
      <c r="AF2605" s="580">
        <f t="shared" si="238"/>
        <v>2.5</v>
      </c>
      <c r="AG2605" s="580">
        <f t="shared" si="239"/>
        <v>0</v>
      </c>
      <c r="AH2605" s="580">
        <f t="shared" si="240"/>
        <v>0</v>
      </c>
    </row>
    <row r="2606" spans="28:34">
      <c r="AB2606" s="580">
        <f>HLOOKUP("*"&amp;'Output annual'!$AC$2&amp;'Output annual'!$AD$2&amp;"*Zone People Number Of Occupants [](Hourly)",'Eplus results'!$1:$1048576,ROW(),FALSE)</f>
        <v>0</v>
      </c>
      <c r="AC2606" s="580">
        <f>HLOOKUP("*"&amp;'Output annual'!$AC$2&amp;'Output annual'!$AD$2&amp;"*FangerPMV(Hourly)",'Eplus results'!$1:$1048576,ROW(),FALSE)</f>
        <v>0</v>
      </c>
      <c r="AD2606" s="580">
        <f t="shared" si="236"/>
        <v>5</v>
      </c>
      <c r="AE2606" s="580">
        <f t="shared" si="237"/>
        <v>2.5</v>
      </c>
      <c r="AF2606" s="580">
        <f t="shared" si="238"/>
        <v>2.5</v>
      </c>
      <c r="AG2606" s="580">
        <f t="shared" si="239"/>
        <v>0</v>
      </c>
      <c r="AH2606" s="580">
        <f t="shared" si="240"/>
        <v>0</v>
      </c>
    </row>
    <row r="2607" spans="28:34">
      <c r="AB2607" s="580">
        <f>HLOOKUP("*"&amp;'Output annual'!$AC$2&amp;'Output annual'!$AD$2&amp;"*Zone People Number Of Occupants [](Hourly)",'Eplus results'!$1:$1048576,ROW(),FALSE)</f>
        <v>0</v>
      </c>
      <c r="AC2607" s="580">
        <f>HLOOKUP("*"&amp;'Output annual'!$AC$2&amp;'Output annual'!$AD$2&amp;"*FangerPMV(Hourly)",'Eplus results'!$1:$1048576,ROW(),FALSE)</f>
        <v>0</v>
      </c>
      <c r="AD2607" s="580">
        <f t="shared" si="236"/>
        <v>5</v>
      </c>
      <c r="AE2607" s="580">
        <f t="shared" si="237"/>
        <v>2.5</v>
      </c>
      <c r="AF2607" s="580">
        <f t="shared" si="238"/>
        <v>2.5</v>
      </c>
      <c r="AG2607" s="580">
        <f t="shared" si="239"/>
        <v>0</v>
      </c>
      <c r="AH2607" s="580">
        <f t="shared" si="240"/>
        <v>0</v>
      </c>
    </row>
    <row r="2608" spans="28:34">
      <c r="AB2608" s="580">
        <f>HLOOKUP("*"&amp;'Output annual'!$AC$2&amp;'Output annual'!$AD$2&amp;"*Zone People Number Of Occupants [](Hourly)",'Eplus results'!$1:$1048576,ROW(),FALSE)</f>
        <v>0</v>
      </c>
      <c r="AC2608" s="580">
        <f>HLOOKUP("*"&amp;'Output annual'!$AC$2&amp;'Output annual'!$AD$2&amp;"*FangerPMV(Hourly)",'Eplus results'!$1:$1048576,ROW(),FALSE)</f>
        <v>0</v>
      </c>
      <c r="AD2608" s="580">
        <f t="shared" si="236"/>
        <v>5</v>
      </c>
      <c r="AE2608" s="580">
        <f t="shared" si="237"/>
        <v>2.5</v>
      </c>
      <c r="AF2608" s="580">
        <f t="shared" si="238"/>
        <v>2.5</v>
      </c>
      <c r="AG2608" s="580">
        <f t="shared" si="239"/>
        <v>0</v>
      </c>
      <c r="AH2608" s="580">
        <f t="shared" si="240"/>
        <v>0</v>
      </c>
    </row>
    <row r="2609" spans="28:34">
      <c r="AB2609" s="580">
        <f>HLOOKUP("*"&amp;'Output annual'!$AC$2&amp;'Output annual'!$AD$2&amp;"*Zone People Number Of Occupants [](Hourly)",'Eplus results'!$1:$1048576,ROW(),FALSE)</f>
        <v>0</v>
      </c>
      <c r="AC2609" s="580">
        <f>HLOOKUP("*"&amp;'Output annual'!$AC$2&amp;'Output annual'!$AD$2&amp;"*FangerPMV(Hourly)",'Eplus results'!$1:$1048576,ROW(),FALSE)</f>
        <v>0</v>
      </c>
      <c r="AD2609" s="580">
        <f t="shared" si="236"/>
        <v>5</v>
      </c>
      <c r="AE2609" s="580">
        <f t="shared" si="237"/>
        <v>2.5</v>
      </c>
      <c r="AF2609" s="580">
        <f t="shared" si="238"/>
        <v>2.5</v>
      </c>
      <c r="AG2609" s="580">
        <f t="shared" si="239"/>
        <v>0</v>
      </c>
      <c r="AH2609" s="580">
        <f t="shared" si="240"/>
        <v>0</v>
      </c>
    </row>
    <row r="2610" spans="28:34">
      <c r="AB2610" s="580">
        <f>HLOOKUP("*"&amp;'Output annual'!$AC$2&amp;'Output annual'!$AD$2&amp;"*Zone People Number Of Occupants [](Hourly)",'Eplus results'!$1:$1048576,ROW(),FALSE)</f>
        <v>0</v>
      </c>
      <c r="AC2610" s="580">
        <f>HLOOKUP("*"&amp;'Output annual'!$AC$2&amp;'Output annual'!$AD$2&amp;"*FangerPMV(Hourly)",'Eplus results'!$1:$1048576,ROW(),FALSE)</f>
        <v>0</v>
      </c>
      <c r="AD2610" s="580">
        <f t="shared" si="236"/>
        <v>5</v>
      </c>
      <c r="AE2610" s="580">
        <f t="shared" si="237"/>
        <v>2.5</v>
      </c>
      <c r="AF2610" s="580">
        <f t="shared" si="238"/>
        <v>2.5</v>
      </c>
      <c r="AG2610" s="580">
        <f t="shared" si="239"/>
        <v>0</v>
      </c>
      <c r="AH2610" s="580">
        <f t="shared" si="240"/>
        <v>0</v>
      </c>
    </row>
    <row r="2611" spans="28:34">
      <c r="AB2611" s="580">
        <f>HLOOKUP("*"&amp;'Output annual'!$AC$2&amp;'Output annual'!$AD$2&amp;"*Zone People Number Of Occupants [](Hourly)",'Eplus results'!$1:$1048576,ROW(),FALSE)</f>
        <v>0</v>
      </c>
      <c r="AC2611" s="580">
        <f>HLOOKUP("*"&amp;'Output annual'!$AC$2&amp;'Output annual'!$AD$2&amp;"*FangerPMV(Hourly)",'Eplus results'!$1:$1048576,ROW(),FALSE)</f>
        <v>0</v>
      </c>
      <c r="AD2611" s="580">
        <f t="shared" si="236"/>
        <v>5</v>
      </c>
      <c r="AE2611" s="580">
        <f t="shared" si="237"/>
        <v>2.5</v>
      </c>
      <c r="AF2611" s="580">
        <f t="shared" si="238"/>
        <v>2.5</v>
      </c>
      <c r="AG2611" s="580">
        <f t="shared" si="239"/>
        <v>0</v>
      </c>
      <c r="AH2611" s="580">
        <f t="shared" si="240"/>
        <v>0</v>
      </c>
    </row>
    <row r="2612" spans="28:34">
      <c r="AB2612" s="580">
        <f>HLOOKUP("*"&amp;'Output annual'!$AC$2&amp;'Output annual'!$AD$2&amp;"*Zone People Number Of Occupants [](Hourly)",'Eplus results'!$1:$1048576,ROW(),FALSE)</f>
        <v>0</v>
      </c>
      <c r="AC2612" s="580">
        <f>HLOOKUP("*"&amp;'Output annual'!$AC$2&amp;'Output annual'!$AD$2&amp;"*FangerPMV(Hourly)",'Eplus results'!$1:$1048576,ROW(),FALSE)</f>
        <v>0</v>
      </c>
      <c r="AD2612" s="580">
        <f t="shared" si="236"/>
        <v>5</v>
      </c>
      <c r="AE2612" s="580">
        <f t="shared" si="237"/>
        <v>2.5</v>
      </c>
      <c r="AF2612" s="580">
        <f t="shared" si="238"/>
        <v>2.5</v>
      </c>
      <c r="AG2612" s="580">
        <f t="shared" si="239"/>
        <v>0</v>
      </c>
      <c r="AH2612" s="580">
        <f t="shared" si="240"/>
        <v>0</v>
      </c>
    </row>
    <row r="2613" spans="28:34">
      <c r="AB2613" s="580">
        <f>HLOOKUP("*"&amp;'Output annual'!$AC$2&amp;'Output annual'!$AD$2&amp;"*Zone People Number Of Occupants [](Hourly)",'Eplus results'!$1:$1048576,ROW(),FALSE)</f>
        <v>0</v>
      </c>
      <c r="AC2613" s="580">
        <f>HLOOKUP("*"&amp;'Output annual'!$AC$2&amp;'Output annual'!$AD$2&amp;"*FangerPMV(Hourly)",'Eplus results'!$1:$1048576,ROW(),FALSE)</f>
        <v>0</v>
      </c>
      <c r="AD2613" s="580">
        <f t="shared" si="236"/>
        <v>5</v>
      </c>
      <c r="AE2613" s="580">
        <f t="shared" si="237"/>
        <v>2.5</v>
      </c>
      <c r="AF2613" s="580">
        <f t="shared" si="238"/>
        <v>2.5</v>
      </c>
      <c r="AG2613" s="580">
        <f t="shared" si="239"/>
        <v>0</v>
      </c>
      <c r="AH2613" s="580">
        <f t="shared" si="240"/>
        <v>0</v>
      </c>
    </row>
    <row r="2614" spans="28:34">
      <c r="AB2614" s="580">
        <f>HLOOKUP("*"&amp;'Output annual'!$AC$2&amp;'Output annual'!$AD$2&amp;"*Zone People Number Of Occupants [](Hourly)",'Eplus results'!$1:$1048576,ROW(),FALSE)</f>
        <v>0</v>
      </c>
      <c r="AC2614" s="580">
        <f>HLOOKUP("*"&amp;'Output annual'!$AC$2&amp;'Output annual'!$AD$2&amp;"*FangerPMV(Hourly)",'Eplus results'!$1:$1048576,ROW(),FALSE)</f>
        <v>0</v>
      </c>
      <c r="AD2614" s="580">
        <f t="shared" si="236"/>
        <v>5</v>
      </c>
      <c r="AE2614" s="580">
        <f t="shared" si="237"/>
        <v>2.5</v>
      </c>
      <c r="AF2614" s="580">
        <f t="shared" si="238"/>
        <v>2.5</v>
      </c>
      <c r="AG2614" s="580">
        <f t="shared" si="239"/>
        <v>0</v>
      </c>
      <c r="AH2614" s="580">
        <f t="shared" si="240"/>
        <v>0</v>
      </c>
    </row>
    <row r="2615" spans="28:34">
      <c r="AB2615" s="580">
        <f>HLOOKUP("*"&amp;'Output annual'!$AC$2&amp;'Output annual'!$AD$2&amp;"*Zone People Number Of Occupants [](Hourly)",'Eplus results'!$1:$1048576,ROW(),FALSE)</f>
        <v>0</v>
      </c>
      <c r="AC2615" s="580">
        <f>HLOOKUP("*"&amp;'Output annual'!$AC$2&amp;'Output annual'!$AD$2&amp;"*FangerPMV(Hourly)",'Eplus results'!$1:$1048576,ROW(),FALSE)</f>
        <v>0</v>
      </c>
      <c r="AD2615" s="580">
        <f t="shared" si="236"/>
        <v>5</v>
      </c>
      <c r="AE2615" s="580">
        <f t="shared" si="237"/>
        <v>2.5</v>
      </c>
      <c r="AF2615" s="580">
        <f t="shared" si="238"/>
        <v>2.5</v>
      </c>
      <c r="AG2615" s="580">
        <f t="shared" si="239"/>
        <v>0</v>
      </c>
      <c r="AH2615" s="580">
        <f t="shared" si="240"/>
        <v>0</v>
      </c>
    </row>
    <row r="2616" spans="28:34">
      <c r="AB2616" s="580">
        <f>HLOOKUP("*"&amp;'Output annual'!$AC$2&amp;'Output annual'!$AD$2&amp;"*Zone People Number Of Occupants [](Hourly)",'Eplus results'!$1:$1048576,ROW(),FALSE)</f>
        <v>0</v>
      </c>
      <c r="AC2616" s="580">
        <f>HLOOKUP("*"&amp;'Output annual'!$AC$2&amp;'Output annual'!$AD$2&amp;"*FangerPMV(Hourly)",'Eplus results'!$1:$1048576,ROW(),FALSE)</f>
        <v>0</v>
      </c>
      <c r="AD2616" s="580">
        <f t="shared" si="236"/>
        <v>5</v>
      </c>
      <c r="AE2616" s="580">
        <f t="shared" si="237"/>
        <v>2.5</v>
      </c>
      <c r="AF2616" s="580">
        <f t="shared" si="238"/>
        <v>2.5</v>
      </c>
      <c r="AG2616" s="580">
        <f t="shared" si="239"/>
        <v>0</v>
      </c>
      <c r="AH2616" s="580">
        <f t="shared" si="240"/>
        <v>0</v>
      </c>
    </row>
    <row r="2617" spans="28:34">
      <c r="AB2617" s="580">
        <f>HLOOKUP("*"&amp;'Output annual'!$AC$2&amp;'Output annual'!$AD$2&amp;"*Zone People Number Of Occupants [](Hourly)",'Eplus results'!$1:$1048576,ROW(),FALSE)</f>
        <v>0</v>
      </c>
      <c r="AC2617" s="580">
        <f>HLOOKUP("*"&amp;'Output annual'!$AC$2&amp;'Output annual'!$AD$2&amp;"*FangerPMV(Hourly)",'Eplus results'!$1:$1048576,ROW(),FALSE)</f>
        <v>0</v>
      </c>
      <c r="AD2617" s="580">
        <f t="shared" si="236"/>
        <v>5</v>
      </c>
      <c r="AE2617" s="580">
        <f t="shared" si="237"/>
        <v>2.5</v>
      </c>
      <c r="AF2617" s="580">
        <f t="shared" si="238"/>
        <v>2.5</v>
      </c>
      <c r="AG2617" s="580">
        <f t="shared" si="239"/>
        <v>0</v>
      </c>
      <c r="AH2617" s="580">
        <f t="shared" si="240"/>
        <v>0</v>
      </c>
    </row>
    <row r="2618" spans="28:34">
      <c r="AB2618" s="580">
        <f>HLOOKUP("*"&amp;'Output annual'!$AC$2&amp;'Output annual'!$AD$2&amp;"*Zone People Number Of Occupants [](Hourly)",'Eplus results'!$1:$1048576,ROW(),FALSE)</f>
        <v>0</v>
      </c>
      <c r="AC2618" s="580">
        <f>HLOOKUP("*"&amp;'Output annual'!$AC$2&amp;'Output annual'!$AD$2&amp;"*FangerPMV(Hourly)",'Eplus results'!$1:$1048576,ROW(),FALSE)</f>
        <v>0</v>
      </c>
      <c r="AD2618" s="580">
        <f t="shared" si="236"/>
        <v>5</v>
      </c>
      <c r="AE2618" s="580">
        <f t="shared" si="237"/>
        <v>2.5</v>
      </c>
      <c r="AF2618" s="580">
        <f t="shared" si="238"/>
        <v>2.5</v>
      </c>
      <c r="AG2618" s="580">
        <f t="shared" si="239"/>
        <v>0</v>
      </c>
      <c r="AH2618" s="580">
        <f t="shared" si="240"/>
        <v>0</v>
      </c>
    </row>
    <row r="2619" spans="28:34">
      <c r="AB2619" s="580">
        <f>HLOOKUP("*"&amp;'Output annual'!$AC$2&amp;'Output annual'!$AD$2&amp;"*Zone People Number Of Occupants [](Hourly)",'Eplus results'!$1:$1048576,ROW(),FALSE)</f>
        <v>0</v>
      </c>
      <c r="AC2619" s="580">
        <f>HLOOKUP("*"&amp;'Output annual'!$AC$2&amp;'Output annual'!$AD$2&amp;"*FangerPMV(Hourly)",'Eplus results'!$1:$1048576,ROW(),FALSE)</f>
        <v>0</v>
      </c>
      <c r="AD2619" s="580">
        <f t="shared" si="236"/>
        <v>5</v>
      </c>
      <c r="AE2619" s="580">
        <f t="shared" si="237"/>
        <v>2.5</v>
      </c>
      <c r="AF2619" s="580">
        <f t="shared" si="238"/>
        <v>2.5</v>
      </c>
      <c r="AG2619" s="580">
        <f t="shared" si="239"/>
        <v>0</v>
      </c>
      <c r="AH2619" s="580">
        <f t="shared" si="240"/>
        <v>0</v>
      </c>
    </row>
    <row r="2620" spans="28:34">
      <c r="AB2620" s="580">
        <f>HLOOKUP("*"&amp;'Output annual'!$AC$2&amp;'Output annual'!$AD$2&amp;"*Zone People Number Of Occupants [](Hourly)",'Eplus results'!$1:$1048576,ROW(),FALSE)</f>
        <v>0</v>
      </c>
      <c r="AC2620" s="580">
        <f>HLOOKUP("*"&amp;'Output annual'!$AC$2&amp;'Output annual'!$AD$2&amp;"*FangerPMV(Hourly)",'Eplus results'!$1:$1048576,ROW(),FALSE)</f>
        <v>0</v>
      </c>
      <c r="AD2620" s="580">
        <f t="shared" si="236"/>
        <v>5</v>
      </c>
      <c r="AE2620" s="580">
        <f t="shared" si="237"/>
        <v>2.5</v>
      </c>
      <c r="AF2620" s="580">
        <f t="shared" si="238"/>
        <v>2.5</v>
      </c>
      <c r="AG2620" s="580">
        <f t="shared" si="239"/>
        <v>0</v>
      </c>
      <c r="AH2620" s="580">
        <f t="shared" si="240"/>
        <v>0</v>
      </c>
    </row>
    <row r="2621" spans="28:34">
      <c r="AB2621" s="580">
        <f>HLOOKUP("*"&amp;'Output annual'!$AC$2&amp;'Output annual'!$AD$2&amp;"*Zone People Number Of Occupants [](Hourly)",'Eplus results'!$1:$1048576,ROW(),FALSE)</f>
        <v>0</v>
      </c>
      <c r="AC2621" s="580">
        <f>HLOOKUP("*"&amp;'Output annual'!$AC$2&amp;'Output annual'!$AD$2&amp;"*FangerPMV(Hourly)",'Eplus results'!$1:$1048576,ROW(),FALSE)</f>
        <v>0</v>
      </c>
      <c r="AD2621" s="580">
        <f t="shared" si="236"/>
        <v>5</v>
      </c>
      <c r="AE2621" s="580">
        <f t="shared" si="237"/>
        <v>2.5</v>
      </c>
      <c r="AF2621" s="580">
        <f t="shared" si="238"/>
        <v>2.5</v>
      </c>
      <c r="AG2621" s="580">
        <f t="shared" si="239"/>
        <v>0</v>
      </c>
      <c r="AH2621" s="580">
        <f t="shared" si="240"/>
        <v>0</v>
      </c>
    </row>
    <row r="2622" spans="28:34">
      <c r="AB2622" s="580">
        <f>HLOOKUP("*"&amp;'Output annual'!$AC$2&amp;'Output annual'!$AD$2&amp;"*Zone People Number Of Occupants [](Hourly)",'Eplus results'!$1:$1048576,ROW(),FALSE)</f>
        <v>0</v>
      </c>
      <c r="AC2622" s="580">
        <f>HLOOKUP("*"&amp;'Output annual'!$AC$2&amp;'Output annual'!$AD$2&amp;"*FangerPMV(Hourly)",'Eplus results'!$1:$1048576,ROW(),FALSE)</f>
        <v>0</v>
      </c>
      <c r="AD2622" s="580">
        <f t="shared" si="236"/>
        <v>5</v>
      </c>
      <c r="AE2622" s="580">
        <f t="shared" si="237"/>
        <v>2.5</v>
      </c>
      <c r="AF2622" s="580">
        <f t="shared" si="238"/>
        <v>2.5</v>
      </c>
      <c r="AG2622" s="580">
        <f t="shared" si="239"/>
        <v>0</v>
      </c>
      <c r="AH2622" s="580">
        <f t="shared" si="240"/>
        <v>0</v>
      </c>
    </row>
    <row r="2623" spans="28:34">
      <c r="AB2623" s="580">
        <f>HLOOKUP("*"&amp;'Output annual'!$AC$2&amp;'Output annual'!$AD$2&amp;"*Zone People Number Of Occupants [](Hourly)",'Eplus results'!$1:$1048576,ROW(),FALSE)</f>
        <v>0</v>
      </c>
      <c r="AC2623" s="580">
        <f>HLOOKUP("*"&amp;'Output annual'!$AC$2&amp;'Output annual'!$AD$2&amp;"*FangerPMV(Hourly)",'Eplus results'!$1:$1048576,ROW(),FALSE)</f>
        <v>0</v>
      </c>
      <c r="AD2623" s="580">
        <f t="shared" si="236"/>
        <v>5</v>
      </c>
      <c r="AE2623" s="580">
        <f t="shared" si="237"/>
        <v>2.5</v>
      </c>
      <c r="AF2623" s="580">
        <f t="shared" si="238"/>
        <v>2.5</v>
      </c>
      <c r="AG2623" s="580">
        <f t="shared" si="239"/>
        <v>0</v>
      </c>
      <c r="AH2623" s="580">
        <f t="shared" si="240"/>
        <v>0</v>
      </c>
    </row>
    <row r="2624" spans="28:34">
      <c r="AB2624" s="580">
        <f>HLOOKUP("*"&amp;'Output annual'!$AC$2&amp;'Output annual'!$AD$2&amp;"*Zone People Number Of Occupants [](Hourly)",'Eplus results'!$1:$1048576,ROW(),FALSE)</f>
        <v>0</v>
      </c>
      <c r="AC2624" s="580">
        <f>HLOOKUP("*"&amp;'Output annual'!$AC$2&amp;'Output annual'!$AD$2&amp;"*FangerPMV(Hourly)",'Eplus results'!$1:$1048576,ROW(),FALSE)</f>
        <v>0</v>
      </c>
      <c r="AD2624" s="580">
        <f t="shared" si="236"/>
        <v>5</v>
      </c>
      <c r="AE2624" s="580">
        <f t="shared" si="237"/>
        <v>2.5</v>
      </c>
      <c r="AF2624" s="580">
        <f t="shared" si="238"/>
        <v>2.5</v>
      </c>
      <c r="AG2624" s="580">
        <f t="shared" si="239"/>
        <v>0</v>
      </c>
      <c r="AH2624" s="580">
        <f t="shared" si="240"/>
        <v>0</v>
      </c>
    </row>
    <row r="2625" spans="28:34">
      <c r="AB2625" s="580">
        <f>HLOOKUP("*"&amp;'Output annual'!$AC$2&amp;'Output annual'!$AD$2&amp;"*Zone People Number Of Occupants [](Hourly)",'Eplus results'!$1:$1048576,ROW(),FALSE)</f>
        <v>0</v>
      </c>
      <c r="AC2625" s="580">
        <f>HLOOKUP("*"&amp;'Output annual'!$AC$2&amp;'Output annual'!$AD$2&amp;"*FangerPMV(Hourly)",'Eplus results'!$1:$1048576,ROW(),FALSE)</f>
        <v>0</v>
      </c>
      <c r="AD2625" s="580">
        <f t="shared" si="236"/>
        <v>5</v>
      </c>
      <c r="AE2625" s="580">
        <f t="shared" si="237"/>
        <v>2.5</v>
      </c>
      <c r="AF2625" s="580">
        <f t="shared" si="238"/>
        <v>2.5</v>
      </c>
      <c r="AG2625" s="580">
        <f t="shared" si="239"/>
        <v>0</v>
      </c>
      <c r="AH2625" s="580">
        <f t="shared" si="240"/>
        <v>0</v>
      </c>
    </row>
    <row r="2626" spans="28:34">
      <c r="AB2626" s="580">
        <f>HLOOKUP("*"&amp;'Output annual'!$AC$2&amp;'Output annual'!$AD$2&amp;"*Zone People Number Of Occupants [](Hourly)",'Eplus results'!$1:$1048576,ROW(),FALSE)</f>
        <v>0</v>
      </c>
      <c r="AC2626" s="580">
        <f>HLOOKUP("*"&amp;'Output annual'!$AC$2&amp;'Output annual'!$AD$2&amp;"*FangerPMV(Hourly)",'Eplus results'!$1:$1048576,ROW(),FALSE)</f>
        <v>0</v>
      </c>
      <c r="AD2626" s="580">
        <f t="shared" si="236"/>
        <v>5</v>
      </c>
      <c r="AE2626" s="580">
        <f t="shared" si="237"/>
        <v>2.5</v>
      </c>
      <c r="AF2626" s="580">
        <f t="shared" si="238"/>
        <v>2.5</v>
      </c>
      <c r="AG2626" s="580">
        <f t="shared" si="239"/>
        <v>0</v>
      </c>
      <c r="AH2626" s="580">
        <f t="shared" si="240"/>
        <v>0</v>
      </c>
    </row>
    <row r="2627" spans="28:34">
      <c r="AB2627" s="580">
        <f>HLOOKUP("*"&amp;'Output annual'!$AC$2&amp;'Output annual'!$AD$2&amp;"*Zone People Number Of Occupants [](Hourly)",'Eplus results'!$1:$1048576,ROW(),FALSE)</f>
        <v>0</v>
      </c>
      <c r="AC2627" s="580">
        <f>HLOOKUP("*"&amp;'Output annual'!$AC$2&amp;'Output annual'!$AD$2&amp;"*FangerPMV(Hourly)",'Eplus results'!$1:$1048576,ROW(),FALSE)</f>
        <v>0</v>
      </c>
      <c r="AD2627" s="580">
        <f t="shared" ref="AD2627:AD2690" si="241">100-95*EXP(-0.03353*AC2627^4-0.2179*AC2627^2)</f>
        <v>5</v>
      </c>
      <c r="AE2627" s="580">
        <f t="shared" ref="AE2627:AE2690" si="242">AD2627*(1/(1+EXP(-6.3*$AC2627)))</f>
        <v>2.5</v>
      </c>
      <c r="AF2627" s="580">
        <f t="shared" ref="AF2627:AF2690" si="243">(AD2627-AE2627)</f>
        <v>2.5</v>
      </c>
      <c r="AG2627" s="580">
        <f t="shared" ref="AG2627:AG2690" si="244">AE2627*AB2627</f>
        <v>0</v>
      </c>
      <c r="AH2627" s="580">
        <f t="shared" ref="AH2627:AH2690" si="245">AF2627*AB2627</f>
        <v>0</v>
      </c>
    </row>
    <row r="2628" spans="28:34">
      <c r="AB2628" s="580">
        <f>HLOOKUP("*"&amp;'Output annual'!$AC$2&amp;'Output annual'!$AD$2&amp;"*Zone People Number Of Occupants [](Hourly)",'Eplus results'!$1:$1048576,ROW(),FALSE)</f>
        <v>0</v>
      </c>
      <c r="AC2628" s="580">
        <f>HLOOKUP("*"&amp;'Output annual'!$AC$2&amp;'Output annual'!$AD$2&amp;"*FangerPMV(Hourly)",'Eplus results'!$1:$1048576,ROW(),FALSE)</f>
        <v>0</v>
      </c>
      <c r="AD2628" s="580">
        <f t="shared" si="241"/>
        <v>5</v>
      </c>
      <c r="AE2628" s="580">
        <f t="shared" si="242"/>
        <v>2.5</v>
      </c>
      <c r="AF2628" s="580">
        <f t="shared" si="243"/>
        <v>2.5</v>
      </c>
      <c r="AG2628" s="580">
        <f t="shared" si="244"/>
        <v>0</v>
      </c>
      <c r="AH2628" s="580">
        <f t="shared" si="245"/>
        <v>0</v>
      </c>
    </row>
    <row r="2629" spans="28:34">
      <c r="AB2629" s="580">
        <f>HLOOKUP("*"&amp;'Output annual'!$AC$2&amp;'Output annual'!$AD$2&amp;"*Zone People Number Of Occupants [](Hourly)",'Eplus results'!$1:$1048576,ROW(),FALSE)</f>
        <v>0</v>
      </c>
      <c r="AC2629" s="580">
        <f>HLOOKUP("*"&amp;'Output annual'!$AC$2&amp;'Output annual'!$AD$2&amp;"*FangerPMV(Hourly)",'Eplus results'!$1:$1048576,ROW(),FALSE)</f>
        <v>0</v>
      </c>
      <c r="AD2629" s="580">
        <f t="shared" si="241"/>
        <v>5</v>
      </c>
      <c r="AE2629" s="580">
        <f t="shared" si="242"/>
        <v>2.5</v>
      </c>
      <c r="AF2629" s="580">
        <f t="shared" si="243"/>
        <v>2.5</v>
      </c>
      <c r="AG2629" s="580">
        <f t="shared" si="244"/>
        <v>0</v>
      </c>
      <c r="AH2629" s="580">
        <f t="shared" si="245"/>
        <v>0</v>
      </c>
    </row>
    <row r="2630" spans="28:34">
      <c r="AB2630" s="580">
        <f>HLOOKUP("*"&amp;'Output annual'!$AC$2&amp;'Output annual'!$AD$2&amp;"*Zone People Number Of Occupants [](Hourly)",'Eplus results'!$1:$1048576,ROW(),FALSE)</f>
        <v>0</v>
      </c>
      <c r="AC2630" s="580">
        <f>HLOOKUP("*"&amp;'Output annual'!$AC$2&amp;'Output annual'!$AD$2&amp;"*FangerPMV(Hourly)",'Eplus results'!$1:$1048576,ROW(),FALSE)</f>
        <v>0</v>
      </c>
      <c r="AD2630" s="580">
        <f t="shared" si="241"/>
        <v>5</v>
      </c>
      <c r="AE2630" s="580">
        <f t="shared" si="242"/>
        <v>2.5</v>
      </c>
      <c r="AF2630" s="580">
        <f t="shared" si="243"/>
        <v>2.5</v>
      </c>
      <c r="AG2630" s="580">
        <f t="shared" si="244"/>
        <v>0</v>
      </c>
      <c r="AH2630" s="580">
        <f t="shared" si="245"/>
        <v>0</v>
      </c>
    </row>
    <row r="2631" spans="28:34">
      <c r="AB2631" s="580">
        <f>HLOOKUP("*"&amp;'Output annual'!$AC$2&amp;'Output annual'!$AD$2&amp;"*Zone People Number Of Occupants [](Hourly)",'Eplus results'!$1:$1048576,ROW(),FALSE)</f>
        <v>0</v>
      </c>
      <c r="AC2631" s="580">
        <f>HLOOKUP("*"&amp;'Output annual'!$AC$2&amp;'Output annual'!$AD$2&amp;"*FangerPMV(Hourly)",'Eplus results'!$1:$1048576,ROW(),FALSE)</f>
        <v>0</v>
      </c>
      <c r="AD2631" s="580">
        <f t="shared" si="241"/>
        <v>5</v>
      </c>
      <c r="AE2631" s="580">
        <f t="shared" si="242"/>
        <v>2.5</v>
      </c>
      <c r="AF2631" s="580">
        <f t="shared" si="243"/>
        <v>2.5</v>
      </c>
      <c r="AG2631" s="580">
        <f t="shared" si="244"/>
        <v>0</v>
      </c>
      <c r="AH2631" s="580">
        <f t="shared" si="245"/>
        <v>0</v>
      </c>
    </row>
    <row r="2632" spans="28:34">
      <c r="AB2632" s="580">
        <f>HLOOKUP("*"&amp;'Output annual'!$AC$2&amp;'Output annual'!$AD$2&amp;"*Zone People Number Of Occupants [](Hourly)",'Eplus results'!$1:$1048576,ROW(),FALSE)</f>
        <v>0</v>
      </c>
      <c r="AC2632" s="580">
        <f>HLOOKUP("*"&amp;'Output annual'!$AC$2&amp;'Output annual'!$AD$2&amp;"*FangerPMV(Hourly)",'Eplus results'!$1:$1048576,ROW(),FALSE)</f>
        <v>0</v>
      </c>
      <c r="AD2632" s="580">
        <f t="shared" si="241"/>
        <v>5</v>
      </c>
      <c r="AE2632" s="580">
        <f t="shared" si="242"/>
        <v>2.5</v>
      </c>
      <c r="AF2632" s="580">
        <f t="shared" si="243"/>
        <v>2.5</v>
      </c>
      <c r="AG2632" s="580">
        <f t="shared" si="244"/>
        <v>0</v>
      </c>
      <c r="AH2632" s="580">
        <f t="shared" si="245"/>
        <v>0</v>
      </c>
    </row>
    <row r="2633" spans="28:34">
      <c r="AB2633" s="580">
        <f>HLOOKUP("*"&amp;'Output annual'!$AC$2&amp;'Output annual'!$AD$2&amp;"*Zone People Number Of Occupants [](Hourly)",'Eplus results'!$1:$1048576,ROW(),FALSE)</f>
        <v>0</v>
      </c>
      <c r="AC2633" s="580">
        <f>HLOOKUP("*"&amp;'Output annual'!$AC$2&amp;'Output annual'!$AD$2&amp;"*FangerPMV(Hourly)",'Eplus results'!$1:$1048576,ROW(),FALSE)</f>
        <v>0</v>
      </c>
      <c r="AD2633" s="580">
        <f t="shared" si="241"/>
        <v>5</v>
      </c>
      <c r="AE2633" s="580">
        <f t="shared" si="242"/>
        <v>2.5</v>
      </c>
      <c r="AF2633" s="580">
        <f t="shared" si="243"/>
        <v>2.5</v>
      </c>
      <c r="AG2633" s="580">
        <f t="shared" si="244"/>
        <v>0</v>
      </c>
      <c r="AH2633" s="580">
        <f t="shared" si="245"/>
        <v>0</v>
      </c>
    </row>
    <row r="2634" spans="28:34">
      <c r="AB2634" s="580">
        <f>HLOOKUP("*"&amp;'Output annual'!$AC$2&amp;'Output annual'!$AD$2&amp;"*Zone People Number Of Occupants [](Hourly)",'Eplus results'!$1:$1048576,ROW(),FALSE)</f>
        <v>0</v>
      </c>
      <c r="AC2634" s="580">
        <f>HLOOKUP("*"&amp;'Output annual'!$AC$2&amp;'Output annual'!$AD$2&amp;"*FangerPMV(Hourly)",'Eplus results'!$1:$1048576,ROW(),FALSE)</f>
        <v>0</v>
      </c>
      <c r="AD2634" s="580">
        <f t="shared" si="241"/>
        <v>5</v>
      </c>
      <c r="AE2634" s="580">
        <f t="shared" si="242"/>
        <v>2.5</v>
      </c>
      <c r="AF2634" s="580">
        <f t="shared" si="243"/>
        <v>2.5</v>
      </c>
      <c r="AG2634" s="580">
        <f t="shared" si="244"/>
        <v>0</v>
      </c>
      <c r="AH2634" s="580">
        <f t="shared" si="245"/>
        <v>0</v>
      </c>
    </row>
    <row r="2635" spans="28:34">
      <c r="AB2635" s="580">
        <f>HLOOKUP("*"&amp;'Output annual'!$AC$2&amp;'Output annual'!$AD$2&amp;"*Zone People Number Of Occupants [](Hourly)",'Eplus results'!$1:$1048576,ROW(),FALSE)</f>
        <v>0</v>
      </c>
      <c r="AC2635" s="580">
        <f>HLOOKUP("*"&amp;'Output annual'!$AC$2&amp;'Output annual'!$AD$2&amp;"*FangerPMV(Hourly)",'Eplus results'!$1:$1048576,ROW(),FALSE)</f>
        <v>0</v>
      </c>
      <c r="AD2635" s="580">
        <f t="shared" si="241"/>
        <v>5</v>
      </c>
      <c r="AE2635" s="580">
        <f t="shared" si="242"/>
        <v>2.5</v>
      </c>
      <c r="AF2635" s="580">
        <f t="shared" si="243"/>
        <v>2.5</v>
      </c>
      <c r="AG2635" s="580">
        <f t="shared" si="244"/>
        <v>0</v>
      </c>
      <c r="AH2635" s="580">
        <f t="shared" si="245"/>
        <v>0</v>
      </c>
    </row>
    <row r="2636" spans="28:34">
      <c r="AB2636" s="580">
        <f>HLOOKUP("*"&amp;'Output annual'!$AC$2&amp;'Output annual'!$AD$2&amp;"*Zone People Number Of Occupants [](Hourly)",'Eplus results'!$1:$1048576,ROW(),FALSE)</f>
        <v>0</v>
      </c>
      <c r="AC2636" s="580">
        <f>HLOOKUP("*"&amp;'Output annual'!$AC$2&amp;'Output annual'!$AD$2&amp;"*FangerPMV(Hourly)",'Eplus results'!$1:$1048576,ROW(),FALSE)</f>
        <v>0</v>
      </c>
      <c r="AD2636" s="580">
        <f t="shared" si="241"/>
        <v>5</v>
      </c>
      <c r="AE2636" s="580">
        <f t="shared" si="242"/>
        <v>2.5</v>
      </c>
      <c r="AF2636" s="580">
        <f t="shared" si="243"/>
        <v>2.5</v>
      </c>
      <c r="AG2636" s="580">
        <f t="shared" si="244"/>
        <v>0</v>
      </c>
      <c r="AH2636" s="580">
        <f t="shared" si="245"/>
        <v>0</v>
      </c>
    </row>
    <row r="2637" spans="28:34">
      <c r="AB2637" s="580">
        <f>HLOOKUP("*"&amp;'Output annual'!$AC$2&amp;'Output annual'!$AD$2&amp;"*Zone People Number Of Occupants [](Hourly)",'Eplus results'!$1:$1048576,ROW(),FALSE)</f>
        <v>0</v>
      </c>
      <c r="AC2637" s="580">
        <f>HLOOKUP("*"&amp;'Output annual'!$AC$2&amp;'Output annual'!$AD$2&amp;"*FangerPMV(Hourly)",'Eplus results'!$1:$1048576,ROW(),FALSE)</f>
        <v>0</v>
      </c>
      <c r="AD2637" s="580">
        <f t="shared" si="241"/>
        <v>5</v>
      </c>
      <c r="AE2637" s="580">
        <f t="shared" si="242"/>
        <v>2.5</v>
      </c>
      <c r="AF2637" s="580">
        <f t="shared" si="243"/>
        <v>2.5</v>
      </c>
      <c r="AG2637" s="580">
        <f t="shared" si="244"/>
        <v>0</v>
      </c>
      <c r="AH2637" s="580">
        <f t="shared" si="245"/>
        <v>0</v>
      </c>
    </row>
    <row r="2638" spans="28:34">
      <c r="AB2638" s="580">
        <f>HLOOKUP("*"&amp;'Output annual'!$AC$2&amp;'Output annual'!$AD$2&amp;"*Zone People Number Of Occupants [](Hourly)",'Eplus results'!$1:$1048576,ROW(),FALSE)</f>
        <v>0</v>
      </c>
      <c r="AC2638" s="580">
        <f>HLOOKUP("*"&amp;'Output annual'!$AC$2&amp;'Output annual'!$AD$2&amp;"*FangerPMV(Hourly)",'Eplus results'!$1:$1048576,ROW(),FALSE)</f>
        <v>0</v>
      </c>
      <c r="AD2638" s="580">
        <f t="shared" si="241"/>
        <v>5</v>
      </c>
      <c r="AE2638" s="580">
        <f t="shared" si="242"/>
        <v>2.5</v>
      </c>
      <c r="AF2638" s="580">
        <f t="shared" si="243"/>
        <v>2.5</v>
      </c>
      <c r="AG2638" s="580">
        <f t="shared" si="244"/>
        <v>0</v>
      </c>
      <c r="AH2638" s="580">
        <f t="shared" si="245"/>
        <v>0</v>
      </c>
    </row>
    <row r="2639" spans="28:34">
      <c r="AB2639" s="580">
        <f>HLOOKUP("*"&amp;'Output annual'!$AC$2&amp;'Output annual'!$AD$2&amp;"*Zone People Number Of Occupants [](Hourly)",'Eplus results'!$1:$1048576,ROW(),FALSE)</f>
        <v>0</v>
      </c>
      <c r="AC2639" s="580">
        <f>HLOOKUP("*"&amp;'Output annual'!$AC$2&amp;'Output annual'!$AD$2&amp;"*FangerPMV(Hourly)",'Eplus results'!$1:$1048576,ROW(),FALSE)</f>
        <v>0</v>
      </c>
      <c r="AD2639" s="580">
        <f t="shared" si="241"/>
        <v>5</v>
      </c>
      <c r="AE2639" s="580">
        <f t="shared" si="242"/>
        <v>2.5</v>
      </c>
      <c r="AF2639" s="580">
        <f t="shared" si="243"/>
        <v>2.5</v>
      </c>
      <c r="AG2639" s="580">
        <f t="shared" si="244"/>
        <v>0</v>
      </c>
      <c r="AH2639" s="580">
        <f t="shared" si="245"/>
        <v>0</v>
      </c>
    </row>
    <row r="2640" spans="28:34">
      <c r="AB2640" s="580">
        <f>HLOOKUP("*"&amp;'Output annual'!$AC$2&amp;'Output annual'!$AD$2&amp;"*Zone People Number Of Occupants [](Hourly)",'Eplus results'!$1:$1048576,ROW(),FALSE)</f>
        <v>0</v>
      </c>
      <c r="AC2640" s="580">
        <f>HLOOKUP("*"&amp;'Output annual'!$AC$2&amp;'Output annual'!$AD$2&amp;"*FangerPMV(Hourly)",'Eplus results'!$1:$1048576,ROW(),FALSE)</f>
        <v>0</v>
      </c>
      <c r="AD2640" s="580">
        <f t="shared" si="241"/>
        <v>5</v>
      </c>
      <c r="AE2640" s="580">
        <f t="shared" si="242"/>
        <v>2.5</v>
      </c>
      <c r="AF2640" s="580">
        <f t="shared" si="243"/>
        <v>2.5</v>
      </c>
      <c r="AG2640" s="580">
        <f t="shared" si="244"/>
        <v>0</v>
      </c>
      <c r="AH2640" s="580">
        <f t="shared" si="245"/>
        <v>0</v>
      </c>
    </row>
    <row r="2641" spans="28:34">
      <c r="AB2641" s="580">
        <f>HLOOKUP("*"&amp;'Output annual'!$AC$2&amp;'Output annual'!$AD$2&amp;"*Zone People Number Of Occupants [](Hourly)",'Eplus results'!$1:$1048576,ROW(),FALSE)</f>
        <v>0</v>
      </c>
      <c r="AC2641" s="580">
        <f>HLOOKUP("*"&amp;'Output annual'!$AC$2&amp;'Output annual'!$AD$2&amp;"*FangerPMV(Hourly)",'Eplus results'!$1:$1048576,ROW(),FALSE)</f>
        <v>0</v>
      </c>
      <c r="AD2641" s="580">
        <f t="shared" si="241"/>
        <v>5</v>
      </c>
      <c r="AE2641" s="580">
        <f t="shared" si="242"/>
        <v>2.5</v>
      </c>
      <c r="AF2641" s="580">
        <f t="shared" si="243"/>
        <v>2.5</v>
      </c>
      <c r="AG2641" s="580">
        <f t="shared" si="244"/>
        <v>0</v>
      </c>
      <c r="AH2641" s="580">
        <f t="shared" si="245"/>
        <v>0</v>
      </c>
    </row>
    <row r="2642" spans="28:34">
      <c r="AB2642" s="580">
        <f>HLOOKUP("*"&amp;'Output annual'!$AC$2&amp;'Output annual'!$AD$2&amp;"*Zone People Number Of Occupants [](Hourly)",'Eplus results'!$1:$1048576,ROW(),FALSE)</f>
        <v>0</v>
      </c>
      <c r="AC2642" s="580">
        <f>HLOOKUP("*"&amp;'Output annual'!$AC$2&amp;'Output annual'!$AD$2&amp;"*FangerPMV(Hourly)",'Eplus results'!$1:$1048576,ROW(),FALSE)</f>
        <v>0</v>
      </c>
      <c r="AD2642" s="580">
        <f t="shared" si="241"/>
        <v>5</v>
      </c>
      <c r="AE2642" s="580">
        <f t="shared" si="242"/>
        <v>2.5</v>
      </c>
      <c r="AF2642" s="580">
        <f t="shared" si="243"/>
        <v>2.5</v>
      </c>
      <c r="AG2642" s="580">
        <f t="shared" si="244"/>
        <v>0</v>
      </c>
      <c r="AH2642" s="580">
        <f t="shared" si="245"/>
        <v>0</v>
      </c>
    </row>
    <row r="2643" spans="28:34">
      <c r="AB2643" s="580">
        <f>HLOOKUP("*"&amp;'Output annual'!$AC$2&amp;'Output annual'!$AD$2&amp;"*Zone People Number Of Occupants [](Hourly)",'Eplus results'!$1:$1048576,ROW(),FALSE)</f>
        <v>0</v>
      </c>
      <c r="AC2643" s="580">
        <f>HLOOKUP("*"&amp;'Output annual'!$AC$2&amp;'Output annual'!$AD$2&amp;"*FangerPMV(Hourly)",'Eplus results'!$1:$1048576,ROW(),FALSE)</f>
        <v>0</v>
      </c>
      <c r="AD2643" s="580">
        <f t="shared" si="241"/>
        <v>5</v>
      </c>
      <c r="AE2643" s="580">
        <f t="shared" si="242"/>
        <v>2.5</v>
      </c>
      <c r="AF2643" s="580">
        <f t="shared" si="243"/>
        <v>2.5</v>
      </c>
      <c r="AG2643" s="580">
        <f t="shared" si="244"/>
        <v>0</v>
      </c>
      <c r="AH2643" s="580">
        <f t="shared" si="245"/>
        <v>0</v>
      </c>
    </row>
    <row r="2644" spans="28:34">
      <c r="AB2644" s="580">
        <f>HLOOKUP("*"&amp;'Output annual'!$AC$2&amp;'Output annual'!$AD$2&amp;"*Zone People Number Of Occupants [](Hourly)",'Eplus results'!$1:$1048576,ROW(),FALSE)</f>
        <v>0</v>
      </c>
      <c r="AC2644" s="580">
        <f>HLOOKUP("*"&amp;'Output annual'!$AC$2&amp;'Output annual'!$AD$2&amp;"*FangerPMV(Hourly)",'Eplus results'!$1:$1048576,ROW(),FALSE)</f>
        <v>0</v>
      </c>
      <c r="AD2644" s="580">
        <f t="shared" si="241"/>
        <v>5</v>
      </c>
      <c r="AE2644" s="580">
        <f t="shared" si="242"/>
        <v>2.5</v>
      </c>
      <c r="AF2644" s="580">
        <f t="shared" si="243"/>
        <v>2.5</v>
      </c>
      <c r="AG2644" s="580">
        <f t="shared" si="244"/>
        <v>0</v>
      </c>
      <c r="AH2644" s="580">
        <f t="shared" si="245"/>
        <v>0</v>
      </c>
    </row>
    <row r="2645" spans="28:34">
      <c r="AB2645" s="580">
        <f>HLOOKUP("*"&amp;'Output annual'!$AC$2&amp;'Output annual'!$AD$2&amp;"*Zone People Number Of Occupants [](Hourly)",'Eplus results'!$1:$1048576,ROW(),FALSE)</f>
        <v>0</v>
      </c>
      <c r="AC2645" s="580">
        <f>HLOOKUP("*"&amp;'Output annual'!$AC$2&amp;'Output annual'!$AD$2&amp;"*FangerPMV(Hourly)",'Eplus results'!$1:$1048576,ROW(),FALSE)</f>
        <v>0</v>
      </c>
      <c r="AD2645" s="580">
        <f t="shared" si="241"/>
        <v>5</v>
      </c>
      <c r="AE2645" s="580">
        <f t="shared" si="242"/>
        <v>2.5</v>
      </c>
      <c r="AF2645" s="580">
        <f t="shared" si="243"/>
        <v>2.5</v>
      </c>
      <c r="AG2645" s="580">
        <f t="shared" si="244"/>
        <v>0</v>
      </c>
      <c r="AH2645" s="580">
        <f t="shared" si="245"/>
        <v>0</v>
      </c>
    </row>
    <row r="2646" spans="28:34">
      <c r="AB2646" s="580">
        <f>HLOOKUP("*"&amp;'Output annual'!$AC$2&amp;'Output annual'!$AD$2&amp;"*Zone People Number Of Occupants [](Hourly)",'Eplus results'!$1:$1048576,ROW(),FALSE)</f>
        <v>0</v>
      </c>
      <c r="AC2646" s="580">
        <f>HLOOKUP("*"&amp;'Output annual'!$AC$2&amp;'Output annual'!$AD$2&amp;"*FangerPMV(Hourly)",'Eplus results'!$1:$1048576,ROW(),FALSE)</f>
        <v>0</v>
      </c>
      <c r="AD2646" s="580">
        <f t="shared" si="241"/>
        <v>5</v>
      </c>
      <c r="AE2646" s="580">
        <f t="shared" si="242"/>
        <v>2.5</v>
      </c>
      <c r="AF2646" s="580">
        <f t="shared" si="243"/>
        <v>2.5</v>
      </c>
      <c r="AG2646" s="580">
        <f t="shared" si="244"/>
        <v>0</v>
      </c>
      <c r="AH2646" s="580">
        <f t="shared" si="245"/>
        <v>0</v>
      </c>
    </row>
    <row r="2647" spans="28:34">
      <c r="AB2647" s="580">
        <f>HLOOKUP("*"&amp;'Output annual'!$AC$2&amp;'Output annual'!$AD$2&amp;"*Zone People Number Of Occupants [](Hourly)",'Eplus results'!$1:$1048576,ROW(),FALSE)</f>
        <v>0</v>
      </c>
      <c r="AC2647" s="580">
        <f>HLOOKUP("*"&amp;'Output annual'!$AC$2&amp;'Output annual'!$AD$2&amp;"*FangerPMV(Hourly)",'Eplus results'!$1:$1048576,ROW(),FALSE)</f>
        <v>0</v>
      </c>
      <c r="AD2647" s="580">
        <f t="shared" si="241"/>
        <v>5</v>
      </c>
      <c r="AE2647" s="580">
        <f t="shared" si="242"/>
        <v>2.5</v>
      </c>
      <c r="AF2647" s="580">
        <f t="shared" si="243"/>
        <v>2.5</v>
      </c>
      <c r="AG2647" s="580">
        <f t="shared" si="244"/>
        <v>0</v>
      </c>
      <c r="AH2647" s="580">
        <f t="shared" si="245"/>
        <v>0</v>
      </c>
    </row>
    <row r="2648" spans="28:34">
      <c r="AB2648" s="580">
        <f>HLOOKUP("*"&amp;'Output annual'!$AC$2&amp;'Output annual'!$AD$2&amp;"*Zone People Number Of Occupants [](Hourly)",'Eplus results'!$1:$1048576,ROW(),FALSE)</f>
        <v>0</v>
      </c>
      <c r="AC2648" s="580">
        <f>HLOOKUP("*"&amp;'Output annual'!$AC$2&amp;'Output annual'!$AD$2&amp;"*FangerPMV(Hourly)",'Eplus results'!$1:$1048576,ROW(),FALSE)</f>
        <v>0</v>
      </c>
      <c r="AD2648" s="580">
        <f t="shared" si="241"/>
        <v>5</v>
      </c>
      <c r="AE2648" s="580">
        <f t="shared" si="242"/>
        <v>2.5</v>
      </c>
      <c r="AF2648" s="580">
        <f t="shared" si="243"/>
        <v>2.5</v>
      </c>
      <c r="AG2648" s="580">
        <f t="shared" si="244"/>
        <v>0</v>
      </c>
      <c r="AH2648" s="580">
        <f t="shared" si="245"/>
        <v>0</v>
      </c>
    </row>
    <row r="2649" spans="28:34">
      <c r="AB2649" s="580">
        <f>HLOOKUP("*"&amp;'Output annual'!$AC$2&amp;'Output annual'!$AD$2&amp;"*Zone People Number Of Occupants [](Hourly)",'Eplus results'!$1:$1048576,ROW(),FALSE)</f>
        <v>0</v>
      </c>
      <c r="AC2649" s="580">
        <f>HLOOKUP("*"&amp;'Output annual'!$AC$2&amp;'Output annual'!$AD$2&amp;"*FangerPMV(Hourly)",'Eplus results'!$1:$1048576,ROW(),FALSE)</f>
        <v>0</v>
      </c>
      <c r="AD2649" s="580">
        <f t="shared" si="241"/>
        <v>5</v>
      </c>
      <c r="AE2649" s="580">
        <f t="shared" si="242"/>
        <v>2.5</v>
      </c>
      <c r="AF2649" s="580">
        <f t="shared" si="243"/>
        <v>2.5</v>
      </c>
      <c r="AG2649" s="580">
        <f t="shared" si="244"/>
        <v>0</v>
      </c>
      <c r="AH2649" s="580">
        <f t="shared" si="245"/>
        <v>0</v>
      </c>
    </row>
    <row r="2650" spans="28:34">
      <c r="AB2650" s="580">
        <f>HLOOKUP("*"&amp;'Output annual'!$AC$2&amp;'Output annual'!$AD$2&amp;"*Zone People Number Of Occupants [](Hourly)",'Eplus results'!$1:$1048576,ROW(),FALSE)</f>
        <v>0</v>
      </c>
      <c r="AC2650" s="580">
        <f>HLOOKUP("*"&amp;'Output annual'!$AC$2&amp;'Output annual'!$AD$2&amp;"*FangerPMV(Hourly)",'Eplus results'!$1:$1048576,ROW(),FALSE)</f>
        <v>0</v>
      </c>
      <c r="AD2650" s="580">
        <f t="shared" si="241"/>
        <v>5</v>
      </c>
      <c r="AE2650" s="580">
        <f t="shared" si="242"/>
        <v>2.5</v>
      </c>
      <c r="AF2650" s="580">
        <f t="shared" si="243"/>
        <v>2.5</v>
      </c>
      <c r="AG2650" s="580">
        <f t="shared" si="244"/>
        <v>0</v>
      </c>
      <c r="AH2650" s="580">
        <f t="shared" si="245"/>
        <v>0</v>
      </c>
    </row>
    <row r="2651" spans="28:34">
      <c r="AB2651" s="580">
        <f>HLOOKUP("*"&amp;'Output annual'!$AC$2&amp;'Output annual'!$AD$2&amp;"*Zone People Number Of Occupants [](Hourly)",'Eplus results'!$1:$1048576,ROW(),FALSE)</f>
        <v>0</v>
      </c>
      <c r="AC2651" s="580">
        <f>HLOOKUP("*"&amp;'Output annual'!$AC$2&amp;'Output annual'!$AD$2&amp;"*FangerPMV(Hourly)",'Eplus results'!$1:$1048576,ROW(),FALSE)</f>
        <v>0</v>
      </c>
      <c r="AD2651" s="580">
        <f t="shared" si="241"/>
        <v>5</v>
      </c>
      <c r="AE2651" s="580">
        <f t="shared" si="242"/>
        <v>2.5</v>
      </c>
      <c r="AF2651" s="580">
        <f t="shared" si="243"/>
        <v>2.5</v>
      </c>
      <c r="AG2651" s="580">
        <f t="shared" si="244"/>
        <v>0</v>
      </c>
      <c r="AH2651" s="580">
        <f t="shared" si="245"/>
        <v>0</v>
      </c>
    </row>
    <row r="2652" spans="28:34">
      <c r="AB2652" s="580">
        <f>HLOOKUP("*"&amp;'Output annual'!$AC$2&amp;'Output annual'!$AD$2&amp;"*Zone People Number Of Occupants [](Hourly)",'Eplus results'!$1:$1048576,ROW(),FALSE)</f>
        <v>0</v>
      </c>
      <c r="AC2652" s="580">
        <f>HLOOKUP("*"&amp;'Output annual'!$AC$2&amp;'Output annual'!$AD$2&amp;"*FangerPMV(Hourly)",'Eplus results'!$1:$1048576,ROW(),FALSE)</f>
        <v>0</v>
      </c>
      <c r="AD2652" s="580">
        <f t="shared" si="241"/>
        <v>5</v>
      </c>
      <c r="AE2652" s="580">
        <f t="shared" si="242"/>
        <v>2.5</v>
      </c>
      <c r="AF2652" s="580">
        <f t="shared" si="243"/>
        <v>2.5</v>
      </c>
      <c r="AG2652" s="580">
        <f t="shared" si="244"/>
        <v>0</v>
      </c>
      <c r="AH2652" s="580">
        <f t="shared" si="245"/>
        <v>0</v>
      </c>
    </row>
    <row r="2653" spans="28:34">
      <c r="AB2653" s="580">
        <f>HLOOKUP("*"&amp;'Output annual'!$AC$2&amp;'Output annual'!$AD$2&amp;"*Zone People Number Of Occupants [](Hourly)",'Eplus results'!$1:$1048576,ROW(),FALSE)</f>
        <v>0</v>
      </c>
      <c r="AC2653" s="580">
        <f>HLOOKUP("*"&amp;'Output annual'!$AC$2&amp;'Output annual'!$AD$2&amp;"*FangerPMV(Hourly)",'Eplus results'!$1:$1048576,ROW(),FALSE)</f>
        <v>0</v>
      </c>
      <c r="AD2653" s="580">
        <f t="shared" si="241"/>
        <v>5</v>
      </c>
      <c r="AE2653" s="580">
        <f t="shared" si="242"/>
        <v>2.5</v>
      </c>
      <c r="AF2653" s="580">
        <f t="shared" si="243"/>
        <v>2.5</v>
      </c>
      <c r="AG2653" s="580">
        <f t="shared" si="244"/>
        <v>0</v>
      </c>
      <c r="AH2653" s="580">
        <f t="shared" si="245"/>
        <v>0</v>
      </c>
    </row>
    <row r="2654" spans="28:34">
      <c r="AB2654" s="580">
        <f>HLOOKUP("*"&amp;'Output annual'!$AC$2&amp;'Output annual'!$AD$2&amp;"*Zone People Number Of Occupants [](Hourly)",'Eplus results'!$1:$1048576,ROW(),FALSE)</f>
        <v>0</v>
      </c>
      <c r="AC2654" s="580">
        <f>HLOOKUP("*"&amp;'Output annual'!$AC$2&amp;'Output annual'!$AD$2&amp;"*FangerPMV(Hourly)",'Eplus results'!$1:$1048576,ROW(),FALSE)</f>
        <v>0</v>
      </c>
      <c r="AD2654" s="580">
        <f t="shared" si="241"/>
        <v>5</v>
      </c>
      <c r="AE2654" s="580">
        <f t="shared" si="242"/>
        <v>2.5</v>
      </c>
      <c r="AF2654" s="580">
        <f t="shared" si="243"/>
        <v>2.5</v>
      </c>
      <c r="AG2654" s="580">
        <f t="shared" si="244"/>
        <v>0</v>
      </c>
      <c r="AH2654" s="580">
        <f t="shared" si="245"/>
        <v>0</v>
      </c>
    </row>
    <row r="2655" spans="28:34">
      <c r="AB2655" s="580">
        <f>HLOOKUP("*"&amp;'Output annual'!$AC$2&amp;'Output annual'!$AD$2&amp;"*Zone People Number Of Occupants [](Hourly)",'Eplus results'!$1:$1048576,ROW(),FALSE)</f>
        <v>0</v>
      </c>
      <c r="AC2655" s="580">
        <f>HLOOKUP("*"&amp;'Output annual'!$AC$2&amp;'Output annual'!$AD$2&amp;"*FangerPMV(Hourly)",'Eplus results'!$1:$1048576,ROW(),FALSE)</f>
        <v>0</v>
      </c>
      <c r="AD2655" s="580">
        <f t="shared" si="241"/>
        <v>5</v>
      </c>
      <c r="AE2655" s="580">
        <f t="shared" si="242"/>
        <v>2.5</v>
      </c>
      <c r="AF2655" s="580">
        <f t="shared" si="243"/>
        <v>2.5</v>
      </c>
      <c r="AG2655" s="580">
        <f t="shared" si="244"/>
        <v>0</v>
      </c>
      <c r="AH2655" s="580">
        <f t="shared" si="245"/>
        <v>0</v>
      </c>
    </row>
    <row r="2656" spans="28:34">
      <c r="AB2656" s="580">
        <f>HLOOKUP("*"&amp;'Output annual'!$AC$2&amp;'Output annual'!$AD$2&amp;"*Zone People Number Of Occupants [](Hourly)",'Eplus results'!$1:$1048576,ROW(),FALSE)</f>
        <v>0</v>
      </c>
      <c r="AC2656" s="580">
        <f>HLOOKUP("*"&amp;'Output annual'!$AC$2&amp;'Output annual'!$AD$2&amp;"*FangerPMV(Hourly)",'Eplus results'!$1:$1048576,ROW(),FALSE)</f>
        <v>0</v>
      </c>
      <c r="AD2656" s="580">
        <f t="shared" si="241"/>
        <v>5</v>
      </c>
      <c r="AE2656" s="580">
        <f t="shared" si="242"/>
        <v>2.5</v>
      </c>
      <c r="AF2656" s="580">
        <f t="shared" si="243"/>
        <v>2.5</v>
      </c>
      <c r="AG2656" s="580">
        <f t="shared" si="244"/>
        <v>0</v>
      </c>
      <c r="AH2656" s="580">
        <f t="shared" si="245"/>
        <v>0</v>
      </c>
    </row>
    <row r="2657" spans="28:34">
      <c r="AB2657" s="580">
        <f>HLOOKUP("*"&amp;'Output annual'!$AC$2&amp;'Output annual'!$AD$2&amp;"*Zone People Number Of Occupants [](Hourly)",'Eplus results'!$1:$1048576,ROW(),FALSE)</f>
        <v>0</v>
      </c>
      <c r="AC2657" s="580">
        <f>HLOOKUP("*"&amp;'Output annual'!$AC$2&amp;'Output annual'!$AD$2&amp;"*FangerPMV(Hourly)",'Eplus results'!$1:$1048576,ROW(),FALSE)</f>
        <v>0</v>
      </c>
      <c r="AD2657" s="580">
        <f t="shared" si="241"/>
        <v>5</v>
      </c>
      <c r="AE2657" s="580">
        <f t="shared" si="242"/>
        <v>2.5</v>
      </c>
      <c r="AF2657" s="580">
        <f t="shared" si="243"/>
        <v>2.5</v>
      </c>
      <c r="AG2657" s="580">
        <f t="shared" si="244"/>
        <v>0</v>
      </c>
      <c r="AH2657" s="580">
        <f t="shared" si="245"/>
        <v>0</v>
      </c>
    </row>
    <row r="2658" spans="28:34">
      <c r="AB2658" s="580">
        <f>HLOOKUP("*"&amp;'Output annual'!$AC$2&amp;'Output annual'!$AD$2&amp;"*Zone People Number Of Occupants [](Hourly)",'Eplus results'!$1:$1048576,ROW(),FALSE)</f>
        <v>0</v>
      </c>
      <c r="AC2658" s="580">
        <f>HLOOKUP("*"&amp;'Output annual'!$AC$2&amp;'Output annual'!$AD$2&amp;"*FangerPMV(Hourly)",'Eplus results'!$1:$1048576,ROW(),FALSE)</f>
        <v>0</v>
      </c>
      <c r="AD2658" s="580">
        <f t="shared" si="241"/>
        <v>5</v>
      </c>
      <c r="AE2658" s="580">
        <f t="shared" si="242"/>
        <v>2.5</v>
      </c>
      <c r="AF2658" s="580">
        <f t="shared" si="243"/>
        <v>2.5</v>
      </c>
      <c r="AG2658" s="580">
        <f t="shared" si="244"/>
        <v>0</v>
      </c>
      <c r="AH2658" s="580">
        <f t="shared" si="245"/>
        <v>0</v>
      </c>
    </row>
    <row r="2659" spans="28:34">
      <c r="AB2659" s="580">
        <f>HLOOKUP("*"&amp;'Output annual'!$AC$2&amp;'Output annual'!$AD$2&amp;"*Zone People Number Of Occupants [](Hourly)",'Eplus results'!$1:$1048576,ROW(),FALSE)</f>
        <v>0</v>
      </c>
      <c r="AC2659" s="580">
        <f>HLOOKUP("*"&amp;'Output annual'!$AC$2&amp;'Output annual'!$AD$2&amp;"*FangerPMV(Hourly)",'Eplus results'!$1:$1048576,ROW(),FALSE)</f>
        <v>0</v>
      </c>
      <c r="AD2659" s="580">
        <f t="shared" si="241"/>
        <v>5</v>
      </c>
      <c r="AE2659" s="580">
        <f t="shared" si="242"/>
        <v>2.5</v>
      </c>
      <c r="AF2659" s="580">
        <f t="shared" si="243"/>
        <v>2.5</v>
      </c>
      <c r="AG2659" s="580">
        <f t="shared" si="244"/>
        <v>0</v>
      </c>
      <c r="AH2659" s="580">
        <f t="shared" si="245"/>
        <v>0</v>
      </c>
    </row>
    <row r="2660" spans="28:34">
      <c r="AB2660" s="580">
        <f>HLOOKUP("*"&amp;'Output annual'!$AC$2&amp;'Output annual'!$AD$2&amp;"*Zone People Number Of Occupants [](Hourly)",'Eplus results'!$1:$1048576,ROW(),FALSE)</f>
        <v>0</v>
      </c>
      <c r="AC2660" s="580">
        <f>HLOOKUP("*"&amp;'Output annual'!$AC$2&amp;'Output annual'!$AD$2&amp;"*FangerPMV(Hourly)",'Eplus results'!$1:$1048576,ROW(),FALSE)</f>
        <v>0</v>
      </c>
      <c r="AD2660" s="580">
        <f t="shared" si="241"/>
        <v>5</v>
      </c>
      <c r="AE2660" s="580">
        <f t="shared" si="242"/>
        <v>2.5</v>
      </c>
      <c r="AF2660" s="580">
        <f t="shared" si="243"/>
        <v>2.5</v>
      </c>
      <c r="AG2660" s="580">
        <f t="shared" si="244"/>
        <v>0</v>
      </c>
      <c r="AH2660" s="580">
        <f t="shared" si="245"/>
        <v>0</v>
      </c>
    </row>
    <row r="2661" spans="28:34">
      <c r="AB2661" s="580">
        <f>HLOOKUP("*"&amp;'Output annual'!$AC$2&amp;'Output annual'!$AD$2&amp;"*Zone People Number Of Occupants [](Hourly)",'Eplus results'!$1:$1048576,ROW(),FALSE)</f>
        <v>0</v>
      </c>
      <c r="AC2661" s="580">
        <f>HLOOKUP("*"&amp;'Output annual'!$AC$2&amp;'Output annual'!$AD$2&amp;"*FangerPMV(Hourly)",'Eplus results'!$1:$1048576,ROW(),FALSE)</f>
        <v>0</v>
      </c>
      <c r="AD2661" s="580">
        <f t="shared" si="241"/>
        <v>5</v>
      </c>
      <c r="AE2661" s="580">
        <f t="shared" si="242"/>
        <v>2.5</v>
      </c>
      <c r="AF2661" s="580">
        <f t="shared" si="243"/>
        <v>2.5</v>
      </c>
      <c r="AG2661" s="580">
        <f t="shared" si="244"/>
        <v>0</v>
      </c>
      <c r="AH2661" s="580">
        <f t="shared" si="245"/>
        <v>0</v>
      </c>
    </row>
    <row r="2662" spans="28:34">
      <c r="AB2662" s="580">
        <f>HLOOKUP("*"&amp;'Output annual'!$AC$2&amp;'Output annual'!$AD$2&amp;"*Zone People Number Of Occupants [](Hourly)",'Eplus results'!$1:$1048576,ROW(),FALSE)</f>
        <v>0</v>
      </c>
      <c r="AC2662" s="580">
        <f>HLOOKUP("*"&amp;'Output annual'!$AC$2&amp;'Output annual'!$AD$2&amp;"*FangerPMV(Hourly)",'Eplus results'!$1:$1048576,ROW(),FALSE)</f>
        <v>0</v>
      </c>
      <c r="AD2662" s="580">
        <f t="shared" si="241"/>
        <v>5</v>
      </c>
      <c r="AE2662" s="580">
        <f t="shared" si="242"/>
        <v>2.5</v>
      </c>
      <c r="AF2662" s="580">
        <f t="shared" si="243"/>
        <v>2.5</v>
      </c>
      <c r="AG2662" s="580">
        <f t="shared" si="244"/>
        <v>0</v>
      </c>
      <c r="AH2662" s="580">
        <f t="shared" si="245"/>
        <v>0</v>
      </c>
    </row>
    <row r="2663" spans="28:34">
      <c r="AB2663" s="580">
        <f>HLOOKUP("*"&amp;'Output annual'!$AC$2&amp;'Output annual'!$AD$2&amp;"*Zone People Number Of Occupants [](Hourly)",'Eplus results'!$1:$1048576,ROW(),FALSE)</f>
        <v>0</v>
      </c>
      <c r="AC2663" s="580">
        <f>HLOOKUP("*"&amp;'Output annual'!$AC$2&amp;'Output annual'!$AD$2&amp;"*FangerPMV(Hourly)",'Eplus results'!$1:$1048576,ROW(),FALSE)</f>
        <v>0</v>
      </c>
      <c r="AD2663" s="580">
        <f t="shared" si="241"/>
        <v>5</v>
      </c>
      <c r="AE2663" s="580">
        <f t="shared" si="242"/>
        <v>2.5</v>
      </c>
      <c r="AF2663" s="580">
        <f t="shared" si="243"/>
        <v>2.5</v>
      </c>
      <c r="AG2663" s="580">
        <f t="shared" si="244"/>
        <v>0</v>
      </c>
      <c r="AH2663" s="580">
        <f t="shared" si="245"/>
        <v>0</v>
      </c>
    </row>
    <row r="2664" spans="28:34">
      <c r="AB2664" s="580">
        <f>HLOOKUP("*"&amp;'Output annual'!$AC$2&amp;'Output annual'!$AD$2&amp;"*Zone People Number Of Occupants [](Hourly)",'Eplus results'!$1:$1048576,ROW(),FALSE)</f>
        <v>0</v>
      </c>
      <c r="AC2664" s="580">
        <f>HLOOKUP("*"&amp;'Output annual'!$AC$2&amp;'Output annual'!$AD$2&amp;"*FangerPMV(Hourly)",'Eplus results'!$1:$1048576,ROW(),FALSE)</f>
        <v>0</v>
      </c>
      <c r="AD2664" s="580">
        <f t="shared" si="241"/>
        <v>5</v>
      </c>
      <c r="AE2664" s="580">
        <f t="shared" si="242"/>
        <v>2.5</v>
      </c>
      <c r="AF2664" s="580">
        <f t="shared" si="243"/>
        <v>2.5</v>
      </c>
      <c r="AG2664" s="580">
        <f t="shared" si="244"/>
        <v>0</v>
      </c>
      <c r="AH2664" s="580">
        <f t="shared" si="245"/>
        <v>0</v>
      </c>
    </row>
    <row r="2665" spans="28:34">
      <c r="AB2665" s="580">
        <f>HLOOKUP("*"&amp;'Output annual'!$AC$2&amp;'Output annual'!$AD$2&amp;"*Zone People Number Of Occupants [](Hourly)",'Eplus results'!$1:$1048576,ROW(),FALSE)</f>
        <v>0</v>
      </c>
      <c r="AC2665" s="580">
        <f>HLOOKUP("*"&amp;'Output annual'!$AC$2&amp;'Output annual'!$AD$2&amp;"*FangerPMV(Hourly)",'Eplus results'!$1:$1048576,ROW(),FALSE)</f>
        <v>0</v>
      </c>
      <c r="AD2665" s="580">
        <f t="shared" si="241"/>
        <v>5</v>
      </c>
      <c r="AE2665" s="580">
        <f t="shared" si="242"/>
        <v>2.5</v>
      </c>
      <c r="AF2665" s="580">
        <f t="shared" si="243"/>
        <v>2.5</v>
      </c>
      <c r="AG2665" s="580">
        <f t="shared" si="244"/>
        <v>0</v>
      </c>
      <c r="AH2665" s="580">
        <f t="shared" si="245"/>
        <v>0</v>
      </c>
    </row>
    <row r="2666" spans="28:34">
      <c r="AB2666" s="580">
        <f>HLOOKUP("*"&amp;'Output annual'!$AC$2&amp;'Output annual'!$AD$2&amp;"*Zone People Number Of Occupants [](Hourly)",'Eplus results'!$1:$1048576,ROW(),FALSE)</f>
        <v>0</v>
      </c>
      <c r="AC2666" s="580">
        <f>HLOOKUP("*"&amp;'Output annual'!$AC$2&amp;'Output annual'!$AD$2&amp;"*FangerPMV(Hourly)",'Eplus results'!$1:$1048576,ROW(),FALSE)</f>
        <v>0</v>
      </c>
      <c r="AD2666" s="580">
        <f t="shared" si="241"/>
        <v>5</v>
      </c>
      <c r="AE2666" s="580">
        <f t="shared" si="242"/>
        <v>2.5</v>
      </c>
      <c r="AF2666" s="580">
        <f t="shared" si="243"/>
        <v>2.5</v>
      </c>
      <c r="AG2666" s="580">
        <f t="shared" si="244"/>
        <v>0</v>
      </c>
      <c r="AH2666" s="580">
        <f t="shared" si="245"/>
        <v>0</v>
      </c>
    </row>
    <row r="2667" spans="28:34">
      <c r="AB2667" s="580">
        <f>HLOOKUP("*"&amp;'Output annual'!$AC$2&amp;'Output annual'!$AD$2&amp;"*Zone People Number Of Occupants [](Hourly)",'Eplus results'!$1:$1048576,ROW(),FALSE)</f>
        <v>0</v>
      </c>
      <c r="AC2667" s="580">
        <f>HLOOKUP("*"&amp;'Output annual'!$AC$2&amp;'Output annual'!$AD$2&amp;"*FangerPMV(Hourly)",'Eplus results'!$1:$1048576,ROW(),FALSE)</f>
        <v>0</v>
      </c>
      <c r="AD2667" s="580">
        <f t="shared" si="241"/>
        <v>5</v>
      </c>
      <c r="AE2667" s="580">
        <f t="shared" si="242"/>
        <v>2.5</v>
      </c>
      <c r="AF2667" s="580">
        <f t="shared" si="243"/>
        <v>2.5</v>
      </c>
      <c r="AG2667" s="580">
        <f t="shared" si="244"/>
        <v>0</v>
      </c>
      <c r="AH2667" s="580">
        <f t="shared" si="245"/>
        <v>0</v>
      </c>
    </row>
    <row r="2668" spans="28:34">
      <c r="AB2668" s="580">
        <f>HLOOKUP("*"&amp;'Output annual'!$AC$2&amp;'Output annual'!$AD$2&amp;"*Zone People Number Of Occupants [](Hourly)",'Eplus results'!$1:$1048576,ROW(),FALSE)</f>
        <v>0</v>
      </c>
      <c r="AC2668" s="580">
        <f>HLOOKUP("*"&amp;'Output annual'!$AC$2&amp;'Output annual'!$AD$2&amp;"*FangerPMV(Hourly)",'Eplus results'!$1:$1048576,ROW(),FALSE)</f>
        <v>0</v>
      </c>
      <c r="AD2668" s="580">
        <f t="shared" si="241"/>
        <v>5</v>
      </c>
      <c r="AE2668" s="580">
        <f t="shared" si="242"/>
        <v>2.5</v>
      </c>
      <c r="AF2668" s="580">
        <f t="shared" si="243"/>
        <v>2.5</v>
      </c>
      <c r="AG2668" s="580">
        <f t="shared" si="244"/>
        <v>0</v>
      </c>
      <c r="AH2668" s="580">
        <f t="shared" si="245"/>
        <v>0</v>
      </c>
    </row>
    <row r="2669" spans="28:34">
      <c r="AB2669" s="580">
        <f>HLOOKUP("*"&amp;'Output annual'!$AC$2&amp;'Output annual'!$AD$2&amp;"*Zone People Number Of Occupants [](Hourly)",'Eplus results'!$1:$1048576,ROW(),FALSE)</f>
        <v>0</v>
      </c>
      <c r="AC2669" s="580">
        <f>HLOOKUP("*"&amp;'Output annual'!$AC$2&amp;'Output annual'!$AD$2&amp;"*FangerPMV(Hourly)",'Eplus results'!$1:$1048576,ROW(),FALSE)</f>
        <v>0</v>
      </c>
      <c r="AD2669" s="580">
        <f t="shared" si="241"/>
        <v>5</v>
      </c>
      <c r="AE2669" s="580">
        <f t="shared" si="242"/>
        <v>2.5</v>
      </c>
      <c r="AF2669" s="580">
        <f t="shared" si="243"/>
        <v>2.5</v>
      </c>
      <c r="AG2669" s="580">
        <f t="shared" si="244"/>
        <v>0</v>
      </c>
      <c r="AH2669" s="580">
        <f t="shared" si="245"/>
        <v>0</v>
      </c>
    </row>
    <row r="2670" spans="28:34">
      <c r="AB2670" s="580">
        <f>HLOOKUP("*"&amp;'Output annual'!$AC$2&amp;'Output annual'!$AD$2&amp;"*Zone People Number Of Occupants [](Hourly)",'Eplus results'!$1:$1048576,ROW(),FALSE)</f>
        <v>0</v>
      </c>
      <c r="AC2670" s="580">
        <f>HLOOKUP("*"&amp;'Output annual'!$AC$2&amp;'Output annual'!$AD$2&amp;"*FangerPMV(Hourly)",'Eplus results'!$1:$1048576,ROW(),FALSE)</f>
        <v>0</v>
      </c>
      <c r="AD2670" s="580">
        <f t="shared" si="241"/>
        <v>5</v>
      </c>
      <c r="AE2670" s="580">
        <f t="shared" si="242"/>
        <v>2.5</v>
      </c>
      <c r="AF2670" s="580">
        <f t="shared" si="243"/>
        <v>2.5</v>
      </c>
      <c r="AG2670" s="580">
        <f t="shared" si="244"/>
        <v>0</v>
      </c>
      <c r="AH2670" s="580">
        <f t="shared" si="245"/>
        <v>0</v>
      </c>
    </row>
    <row r="2671" spans="28:34">
      <c r="AB2671" s="580">
        <f>HLOOKUP("*"&amp;'Output annual'!$AC$2&amp;'Output annual'!$AD$2&amp;"*Zone People Number Of Occupants [](Hourly)",'Eplus results'!$1:$1048576,ROW(),FALSE)</f>
        <v>0</v>
      </c>
      <c r="AC2671" s="580">
        <f>HLOOKUP("*"&amp;'Output annual'!$AC$2&amp;'Output annual'!$AD$2&amp;"*FangerPMV(Hourly)",'Eplus results'!$1:$1048576,ROW(),FALSE)</f>
        <v>0</v>
      </c>
      <c r="AD2671" s="580">
        <f t="shared" si="241"/>
        <v>5</v>
      </c>
      <c r="AE2671" s="580">
        <f t="shared" si="242"/>
        <v>2.5</v>
      </c>
      <c r="AF2671" s="580">
        <f t="shared" si="243"/>
        <v>2.5</v>
      </c>
      <c r="AG2671" s="580">
        <f t="shared" si="244"/>
        <v>0</v>
      </c>
      <c r="AH2671" s="580">
        <f t="shared" si="245"/>
        <v>0</v>
      </c>
    </row>
    <row r="2672" spans="28:34">
      <c r="AB2672" s="580">
        <f>HLOOKUP("*"&amp;'Output annual'!$AC$2&amp;'Output annual'!$AD$2&amp;"*Zone People Number Of Occupants [](Hourly)",'Eplus results'!$1:$1048576,ROW(),FALSE)</f>
        <v>0</v>
      </c>
      <c r="AC2672" s="580">
        <f>HLOOKUP("*"&amp;'Output annual'!$AC$2&amp;'Output annual'!$AD$2&amp;"*FangerPMV(Hourly)",'Eplus results'!$1:$1048576,ROW(),FALSE)</f>
        <v>0</v>
      </c>
      <c r="AD2672" s="580">
        <f t="shared" si="241"/>
        <v>5</v>
      </c>
      <c r="AE2672" s="580">
        <f t="shared" si="242"/>
        <v>2.5</v>
      </c>
      <c r="AF2672" s="580">
        <f t="shared" si="243"/>
        <v>2.5</v>
      </c>
      <c r="AG2672" s="580">
        <f t="shared" si="244"/>
        <v>0</v>
      </c>
      <c r="AH2672" s="580">
        <f t="shared" si="245"/>
        <v>0</v>
      </c>
    </row>
    <row r="2673" spans="28:34">
      <c r="AB2673" s="580">
        <f>HLOOKUP("*"&amp;'Output annual'!$AC$2&amp;'Output annual'!$AD$2&amp;"*Zone People Number Of Occupants [](Hourly)",'Eplus results'!$1:$1048576,ROW(),FALSE)</f>
        <v>0</v>
      </c>
      <c r="AC2673" s="580">
        <f>HLOOKUP("*"&amp;'Output annual'!$AC$2&amp;'Output annual'!$AD$2&amp;"*FangerPMV(Hourly)",'Eplus results'!$1:$1048576,ROW(),FALSE)</f>
        <v>0</v>
      </c>
      <c r="AD2673" s="580">
        <f t="shared" si="241"/>
        <v>5</v>
      </c>
      <c r="AE2673" s="580">
        <f t="shared" si="242"/>
        <v>2.5</v>
      </c>
      <c r="AF2673" s="580">
        <f t="shared" si="243"/>
        <v>2.5</v>
      </c>
      <c r="AG2673" s="580">
        <f t="shared" si="244"/>
        <v>0</v>
      </c>
      <c r="AH2673" s="580">
        <f t="shared" si="245"/>
        <v>0</v>
      </c>
    </row>
    <row r="2674" spans="28:34">
      <c r="AB2674" s="580">
        <f>HLOOKUP("*"&amp;'Output annual'!$AC$2&amp;'Output annual'!$AD$2&amp;"*Zone People Number Of Occupants [](Hourly)",'Eplus results'!$1:$1048576,ROW(),FALSE)</f>
        <v>0</v>
      </c>
      <c r="AC2674" s="580">
        <f>HLOOKUP("*"&amp;'Output annual'!$AC$2&amp;'Output annual'!$AD$2&amp;"*FangerPMV(Hourly)",'Eplus results'!$1:$1048576,ROW(),FALSE)</f>
        <v>0</v>
      </c>
      <c r="AD2674" s="580">
        <f t="shared" si="241"/>
        <v>5</v>
      </c>
      <c r="AE2674" s="580">
        <f t="shared" si="242"/>
        <v>2.5</v>
      </c>
      <c r="AF2674" s="580">
        <f t="shared" si="243"/>
        <v>2.5</v>
      </c>
      <c r="AG2674" s="580">
        <f t="shared" si="244"/>
        <v>0</v>
      </c>
      <c r="AH2674" s="580">
        <f t="shared" si="245"/>
        <v>0</v>
      </c>
    </row>
    <row r="2675" spans="28:34">
      <c r="AB2675" s="580">
        <f>HLOOKUP("*"&amp;'Output annual'!$AC$2&amp;'Output annual'!$AD$2&amp;"*Zone People Number Of Occupants [](Hourly)",'Eplus results'!$1:$1048576,ROW(),FALSE)</f>
        <v>0</v>
      </c>
      <c r="AC2675" s="580">
        <f>HLOOKUP("*"&amp;'Output annual'!$AC$2&amp;'Output annual'!$AD$2&amp;"*FangerPMV(Hourly)",'Eplus results'!$1:$1048576,ROW(),FALSE)</f>
        <v>0</v>
      </c>
      <c r="AD2675" s="580">
        <f t="shared" si="241"/>
        <v>5</v>
      </c>
      <c r="AE2675" s="580">
        <f t="shared" si="242"/>
        <v>2.5</v>
      </c>
      <c r="AF2675" s="580">
        <f t="shared" si="243"/>
        <v>2.5</v>
      </c>
      <c r="AG2675" s="580">
        <f t="shared" si="244"/>
        <v>0</v>
      </c>
      <c r="AH2675" s="580">
        <f t="shared" si="245"/>
        <v>0</v>
      </c>
    </row>
    <row r="2676" spans="28:34">
      <c r="AB2676" s="580">
        <f>HLOOKUP("*"&amp;'Output annual'!$AC$2&amp;'Output annual'!$AD$2&amp;"*Zone People Number Of Occupants [](Hourly)",'Eplus results'!$1:$1048576,ROW(),FALSE)</f>
        <v>0</v>
      </c>
      <c r="AC2676" s="580">
        <f>HLOOKUP("*"&amp;'Output annual'!$AC$2&amp;'Output annual'!$AD$2&amp;"*FangerPMV(Hourly)",'Eplus results'!$1:$1048576,ROW(),FALSE)</f>
        <v>0</v>
      </c>
      <c r="AD2676" s="580">
        <f t="shared" si="241"/>
        <v>5</v>
      </c>
      <c r="AE2676" s="580">
        <f t="shared" si="242"/>
        <v>2.5</v>
      </c>
      <c r="AF2676" s="580">
        <f t="shared" si="243"/>
        <v>2.5</v>
      </c>
      <c r="AG2676" s="580">
        <f t="shared" si="244"/>
        <v>0</v>
      </c>
      <c r="AH2676" s="580">
        <f t="shared" si="245"/>
        <v>0</v>
      </c>
    </row>
    <row r="2677" spans="28:34">
      <c r="AB2677" s="580">
        <f>HLOOKUP("*"&amp;'Output annual'!$AC$2&amp;'Output annual'!$AD$2&amp;"*Zone People Number Of Occupants [](Hourly)",'Eplus results'!$1:$1048576,ROW(),FALSE)</f>
        <v>0</v>
      </c>
      <c r="AC2677" s="580">
        <f>HLOOKUP("*"&amp;'Output annual'!$AC$2&amp;'Output annual'!$AD$2&amp;"*FangerPMV(Hourly)",'Eplus results'!$1:$1048576,ROW(),FALSE)</f>
        <v>0</v>
      </c>
      <c r="AD2677" s="580">
        <f t="shared" si="241"/>
        <v>5</v>
      </c>
      <c r="AE2677" s="580">
        <f t="shared" si="242"/>
        <v>2.5</v>
      </c>
      <c r="AF2677" s="580">
        <f t="shared" si="243"/>
        <v>2.5</v>
      </c>
      <c r="AG2677" s="580">
        <f t="shared" si="244"/>
        <v>0</v>
      </c>
      <c r="AH2677" s="580">
        <f t="shared" si="245"/>
        <v>0</v>
      </c>
    </row>
    <row r="2678" spans="28:34">
      <c r="AB2678" s="580">
        <f>HLOOKUP("*"&amp;'Output annual'!$AC$2&amp;'Output annual'!$AD$2&amp;"*Zone People Number Of Occupants [](Hourly)",'Eplus results'!$1:$1048576,ROW(),FALSE)</f>
        <v>0</v>
      </c>
      <c r="AC2678" s="580">
        <f>HLOOKUP("*"&amp;'Output annual'!$AC$2&amp;'Output annual'!$AD$2&amp;"*FangerPMV(Hourly)",'Eplus results'!$1:$1048576,ROW(),FALSE)</f>
        <v>0</v>
      </c>
      <c r="AD2678" s="580">
        <f t="shared" si="241"/>
        <v>5</v>
      </c>
      <c r="AE2678" s="580">
        <f t="shared" si="242"/>
        <v>2.5</v>
      </c>
      <c r="AF2678" s="580">
        <f t="shared" si="243"/>
        <v>2.5</v>
      </c>
      <c r="AG2678" s="580">
        <f t="shared" si="244"/>
        <v>0</v>
      </c>
      <c r="AH2678" s="580">
        <f t="shared" si="245"/>
        <v>0</v>
      </c>
    </row>
    <row r="2679" spans="28:34">
      <c r="AB2679" s="580">
        <f>HLOOKUP("*"&amp;'Output annual'!$AC$2&amp;'Output annual'!$AD$2&amp;"*Zone People Number Of Occupants [](Hourly)",'Eplus results'!$1:$1048576,ROW(),FALSE)</f>
        <v>0</v>
      </c>
      <c r="AC2679" s="580">
        <f>HLOOKUP("*"&amp;'Output annual'!$AC$2&amp;'Output annual'!$AD$2&amp;"*FangerPMV(Hourly)",'Eplus results'!$1:$1048576,ROW(),FALSE)</f>
        <v>0</v>
      </c>
      <c r="AD2679" s="580">
        <f t="shared" si="241"/>
        <v>5</v>
      </c>
      <c r="AE2679" s="580">
        <f t="shared" si="242"/>
        <v>2.5</v>
      </c>
      <c r="AF2679" s="580">
        <f t="shared" si="243"/>
        <v>2.5</v>
      </c>
      <c r="AG2679" s="580">
        <f t="shared" si="244"/>
        <v>0</v>
      </c>
      <c r="AH2679" s="580">
        <f t="shared" si="245"/>
        <v>0</v>
      </c>
    </row>
    <row r="2680" spans="28:34">
      <c r="AB2680" s="580">
        <f>HLOOKUP("*"&amp;'Output annual'!$AC$2&amp;'Output annual'!$AD$2&amp;"*Zone People Number Of Occupants [](Hourly)",'Eplus results'!$1:$1048576,ROW(),FALSE)</f>
        <v>0</v>
      </c>
      <c r="AC2680" s="580">
        <f>HLOOKUP("*"&amp;'Output annual'!$AC$2&amp;'Output annual'!$AD$2&amp;"*FangerPMV(Hourly)",'Eplus results'!$1:$1048576,ROW(),FALSE)</f>
        <v>0</v>
      </c>
      <c r="AD2680" s="580">
        <f t="shared" si="241"/>
        <v>5</v>
      </c>
      <c r="AE2680" s="580">
        <f t="shared" si="242"/>
        <v>2.5</v>
      </c>
      <c r="AF2680" s="580">
        <f t="shared" si="243"/>
        <v>2.5</v>
      </c>
      <c r="AG2680" s="580">
        <f t="shared" si="244"/>
        <v>0</v>
      </c>
      <c r="AH2680" s="580">
        <f t="shared" si="245"/>
        <v>0</v>
      </c>
    </row>
    <row r="2681" spans="28:34">
      <c r="AB2681" s="580">
        <f>HLOOKUP("*"&amp;'Output annual'!$AC$2&amp;'Output annual'!$AD$2&amp;"*Zone People Number Of Occupants [](Hourly)",'Eplus results'!$1:$1048576,ROW(),FALSE)</f>
        <v>0</v>
      </c>
      <c r="AC2681" s="580">
        <f>HLOOKUP("*"&amp;'Output annual'!$AC$2&amp;'Output annual'!$AD$2&amp;"*FangerPMV(Hourly)",'Eplus results'!$1:$1048576,ROW(),FALSE)</f>
        <v>0</v>
      </c>
      <c r="AD2681" s="580">
        <f t="shared" si="241"/>
        <v>5</v>
      </c>
      <c r="AE2681" s="580">
        <f t="shared" si="242"/>
        <v>2.5</v>
      </c>
      <c r="AF2681" s="580">
        <f t="shared" si="243"/>
        <v>2.5</v>
      </c>
      <c r="AG2681" s="580">
        <f t="shared" si="244"/>
        <v>0</v>
      </c>
      <c r="AH2681" s="580">
        <f t="shared" si="245"/>
        <v>0</v>
      </c>
    </row>
    <row r="2682" spans="28:34">
      <c r="AB2682" s="580">
        <f>HLOOKUP("*"&amp;'Output annual'!$AC$2&amp;'Output annual'!$AD$2&amp;"*Zone People Number Of Occupants [](Hourly)",'Eplus results'!$1:$1048576,ROW(),FALSE)</f>
        <v>0</v>
      </c>
      <c r="AC2682" s="580">
        <f>HLOOKUP("*"&amp;'Output annual'!$AC$2&amp;'Output annual'!$AD$2&amp;"*FangerPMV(Hourly)",'Eplus results'!$1:$1048576,ROW(),FALSE)</f>
        <v>0</v>
      </c>
      <c r="AD2682" s="580">
        <f t="shared" si="241"/>
        <v>5</v>
      </c>
      <c r="AE2682" s="580">
        <f t="shared" si="242"/>
        <v>2.5</v>
      </c>
      <c r="AF2682" s="580">
        <f t="shared" si="243"/>
        <v>2.5</v>
      </c>
      <c r="AG2682" s="580">
        <f t="shared" si="244"/>
        <v>0</v>
      </c>
      <c r="AH2682" s="580">
        <f t="shared" si="245"/>
        <v>0</v>
      </c>
    </row>
    <row r="2683" spans="28:34">
      <c r="AB2683" s="580">
        <f>HLOOKUP("*"&amp;'Output annual'!$AC$2&amp;'Output annual'!$AD$2&amp;"*Zone People Number Of Occupants [](Hourly)",'Eplus results'!$1:$1048576,ROW(),FALSE)</f>
        <v>0</v>
      </c>
      <c r="AC2683" s="580">
        <f>HLOOKUP("*"&amp;'Output annual'!$AC$2&amp;'Output annual'!$AD$2&amp;"*FangerPMV(Hourly)",'Eplus results'!$1:$1048576,ROW(),FALSE)</f>
        <v>0</v>
      </c>
      <c r="AD2683" s="580">
        <f t="shared" si="241"/>
        <v>5</v>
      </c>
      <c r="AE2683" s="580">
        <f t="shared" si="242"/>
        <v>2.5</v>
      </c>
      <c r="AF2683" s="580">
        <f t="shared" si="243"/>
        <v>2.5</v>
      </c>
      <c r="AG2683" s="580">
        <f t="shared" si="244"/>
        <v>0</v>
      </c>
      <c r="AH2683" s="580">
        <f t="shared" si="245"/>
        <v>0</v>
      </c>
    </row>
    <row r="2684" spans="28:34">
      <c r="AB2684" s="580">
        <f>HLOOKUP("*"&amp;'Output annual'!$AC$2&amp;'Output annual'!$AD$2&amp;"*Zone People Number Of Occupants [](Hourly)",'Eplus results'!$1:$1048576,ROW(),FALSE)</f>
        <v>0</v>
      </c>
      <c r="AC2684" s="580">
        <f>HLOOKUP("*"&amp;'Output annual'!$AC$2&amp;'Output annual'!$AD$2&amp;"*FangerPMV(Hourly)",'Eplus results'!$1:$1048576,ROW(),FALSE)</f>
        <v>0</v>
      </c>
      <c r="AD2684" s="580">
        <f t="shared" si="241"/>
        <v>5</v>
      </c>
      <c r="AE2684" s="580">
        <f t="shared" si="242"/>
        <v>2.5</v>
      </c>
      <c r="AF2684" s="580">
        <f t="shared" si="243"/>
        <v>2.5</v>
      </c>
      <c r="AG2684" s="580">
        <f t="shared" si="244"/>
        <v>0</v>
      </c>
      <c r="AH2684" s="580">
        <f t="shared" si="245"/>
        <v>0</v>
      </c>
    </row>
    <row r="2685" spans="28:34">
      <c r="AB2685" s="580">
        <f>HLOOKUP("*"&amp;'Output annual'!$AC$2&amp;'Output annual'!$AD$2&amp;"*Zone People Number Of Occupants [](Hourly)",'Eplus results'!$1:$1048576,ROW(),FALSE)</f>
        <v>0</v>
      </c>
      <c r="AC2685" s="580">
        <f>HLOOKUP("*"&amp;'Output annual'!$AC$2&amp;'Output annual'!$AD$2&amp;"*FangerPMV(Hourly)",'Eplus results'!$1:$1048576,ROW(),FALSE)</f>
        <v>0</v>
      </c>
      <c r="AD2685" s="580">
        <f t="shared" si="241"/>
        <v>5</v>
      </c>
      <c r="AE2685" s="580">
        <f t="shared" si="242"/>
        <v>2.5</v>
      </c>
      <c r="AF2685" s="580">
        <f t="shared" si="243"/>
        <v>2.5</v>
      </c>
      <c r="AG2685" s="580">
        <f t="shared" si="244"/>
        <v>0</v>
      </c>
      <c r="AH2685" s="580">
        <f t="shared" si="245"/>
        <v>0</v>
      </c>
    </row>
    <row r="2686" spans="28:34">
      <c r="AB2686" s="580">
        <f>HLOOKUP("*"&amp;'Output annual'!$AC$2&amp;'Output annual'!$AD$2&amp;"*Zone People Number Of Occupants [](Hourly)",'Eplus results'!$1:$1048576,ROW(),FALSE)</f>
        <v>0</v>
      </c>
      <c r="AC2686" s="580">
        <f>HLOOKUP("*"&amp;'Output annual'!$AC$2&amp;'Output annual'!$AD$2&amp;"*FangerPMV(Hourly)",'Eplus results'!$1:$1048576,ROW(),FALSE)</f>
        <v>0</v>
      </c>
      <c r="AD2686" s="580">
        <f t="shared" si="241"/>
        <v>5</v>
      </c>
      <c r="AE2686" s="580">
        <f t="shared" si="242"/>
        <v>2.5</v>
      </c>
      <c r="AF2686" s="580">
        <f t="shared" si="243"/>
        <v>2.5</v>
      </c>
      <c r="AG2686" s="580">
        <f t="shared" si="244"/>
        <v>0</v>
      </c>
      <c r="AH2686" s="580">
        <f t="shared" si="245"/>
        <v>0</v>
      </c>
    </row>
    <row r="2687" spans="28:34">
      <c r="AB2687" s="580">
        <f>HLOOKUP("*"&amp;'Output annual'!$AC$2&amp;'Output annual'!$AD$2&amp;"*Zone People Number Of Occupants [](Hourly)",'Eplus results'!$1:$1048576,ROW(),FALSE)</f>
        <v>0</v>
      </c>
      <c r="AC2687" s="580">
        <f>HLOOKUP("*"&amp;'Output annual'!$AC$2&amp;'Output annual'!$AD$2&amp;"*FangerPMV(Hourly)",'Eplus results'!$1:$1048576,ROW(),FALSE)</f>
        <v>0</v>
      </c>
      <c r="AD2687" s="580">
        <f t="shared" si="241"/>
        <v>5</v>
      </c>
      <c r="AE2687" s="580">
        <f t="shared" si="242"/>
        <v>2.5</v>
      </c>
      <c r="AF2687" s="580">
        <f t="shared" si="243"/>
        <v>2.5</v>
      </c>
      <c r="AG2687" s="580">
        <f t="shared" si="244"/>
        <v>0</v>
      </c>
      <c r="AH2687" s="580">
        <f t="shared" si="245"/>
        <v>0</v>
      </c>
    </row>
    <row r="2688" spans="28:34">
      <c r="AB2688" s="580">
        <f>HLOOKUP("*"&amp;'Output annual'!$AC$2&amp;'Output annual'!$AD$2&amp;"*Zone People Number Of Occupants [](Hourly)",'Eplus results'!$1:$1048576,ROW(),FALSE)</f>
        <v>0</v>
      </c>
      <c r="AC2688" s="580">
        <f>HLOOKUP("*"&amp;'Output annual'!$AC$2&amp;'Output annual'!$AD$2&amp;"*FangerPMV(Hourly)",'Eplus results'!$1:$1048576,ROW(),FALSE)</f>
        <v>0</v>
      </c>
      <c r="AD2688" s="580">
        <f t="shared" si="241"/>
        <v>5</v>
      </c>
      <c r="AE2688" s="580">
        <f t="shared" si="242"/>
        <v>2.5</v>
      </c>
      <c r="AF2688" s="580">
        <f t="shared" si="243"/>
        <v>2.5</v>
      </c>
      <c r="AG2688" s="580">
        <f t="shared" si="244"/>
        <v>0</v>
      </c>
      <c r="AH2688" s="580">
        <f t="shared" si="245"/>
        <v>0</v>
      </c>
    </row>
    <row r="2689" spans="28:34">
      <c r="AB2689" s="580">
        <f>HLOOKUP("*"&amp;'Output annual'!$AC$2&amp;'Output annual'!$AD$2&amp;"*Zone People Number Of Occupants [](Hourly)",'Eplus results'!$1:$1048576,ROW(),FALSE)</f>
        <v>0</v>
      </c>
      <c r="AC2689" s="580">
        <f>HLOOKUP("*"&amp;'Output annual'!$AC$2&amp;'Output annual'!$AD$2&amp;"*FangerPMV(Hourly)",'Eplus results'!$1:$1048576,ROW(),FALSE)</f>
        <v>0</v>
      </c>
      <c r="AD2689" s="580">
        <f t="shared" si="241"/>
        <v>5</v>
      </c>
      <c r="AE2689" s="580">
        <f t="shared" si="242"/>
        <v>2.5</v>
      </c>
      <c r="AF2689" s="580">
        <f t="shared" si="243"/>
        <v>2.5</v>
      </c>
      <c r="AG2689" s="580">
        <f t="shared" si="244"/>
        <v>0</v>
      </c>
      <c r="AH2689" s="580">
        <f t="shared" si="245"/>
        <v>0</v>
      </c>
    </row>
    <row r="2690" spans="28:34">
      <c r="AB2690" s="580">
        <f>HLOOKUP("*"&amp;'Output annual'!$AC$2&amp;'Output annual'!$AD$2&amp;"*Zone People Number Of Occupants [](Hourly)",'Eplus results'!$1:$1048576,ROW(),FALSE)</f>
        <v>0</v>
      </c>
      <c r="AC2690" s="580">
        <f>HLOOKUP("*"&amp;'Output annual'!$AC$2&amp;'Output annual'!$AD$2&amp;"*FangerPMV(Hourly)",'Eplus results'!$1:$1048576,ROW(),FALSE)</f>
        <v>0</v>
      </c>
      <c r="AD2690" s="580">
        <f t="shared" si="241"/>
        <v>5</v>
      </c>
      <c r="AE2690" s="580">
        <f t="shared" si="242"/>
        <v>2.5</v>
      </c>
      <c r="AF2690" s="580">
        <f t="shared" si="243"/>
        <v>2.5</v>
      </c>
      <c r="AG2690" s="580">
        <f t="shared" si="244"/>
        <v>0</v>
      </c>
      <c r="AH2690" s="580">
        <f t="shared" si="245"/>
        <v>0</v>
      </c>
    </row>
    <row r="2691" spans="28:34">
      <c r="AB2691" s="580">
        <f>HLOOKUP("*"&amp;'Output annual'!$AC$2&amp;'Output annual'!$AD$2&amp;"*Zone People Number Of Occupants [](Hourly)",'Eplus results'!$1:$1048576,ROW(),FALSE)</f>
        <v>0</v>
      </c>
      <c r="AC2691" s="580">
        <f>HLOOKUP("*"&amp;'Output annual'!$AC$2&amp;'Output annual'!$AD$2&amp;"*FangerPMV(Hourly)",'Eplus results'!$1:$1048576,ROW(),FALSE)</f>
        <v>0</v>
      </c>
      <c r="AD2691" s="580">
        <f t="shared" ref="AD2691:AD2754" si="246">100-95*EXP(-0.03353*AC2691^4-0.2179*AC2691^2)</f>
        <v>5</v>
      </c>
      <c r="AE2691" s="580">
        <f t="shared" ref="AE2691:AE2754" si="247">AD2691*(1/(1+EXP(-6.3*$AC2691)))</f>
        <v>2.5</v>
      </c>
      <c r="AF2691" s="580">
        <f t="shared" ref="AF2691:AF2754" si="248">(AD2691-AE2691)</f>
        <v>2.5</v>
      </c>
      <c r="AG2691" s="580">
        <f t="shared" ref="AG2691:AG2754" si="249">AE2691*AB2691</f>
        <v>0</v>
      </c>
      <c r="AH2691" s="580">
        <f t="shared" ref="AH2691:AH2754" si="250">AF2691*AB2691</f>
        <v>0</v>
      </c>
    </row>
    <row r="2692" spans="28:34">
      <c r="AB2692" s="580">
        <f>HLOOKUP("*"&amp;'Output annual'!$AC$2&amp;'Output annual'!$AD$2&amp;"*Zone People Number Of Occupants [](Hourly)",'Eplus results'!$1:$1048576,ROW(),FALSE)</f>
        <v>0</v>
      </c>
      <c r="AC2692" s="580">
        <f>HLOOKUP("*"&amp;'Output annual'!$AC$2&amp;'Output annual'!$AD$2&amp;"*FangerPMV(Hourly)",'Eplus results'!$1:$1048576,ROW(),FALSE)</f>
        <v>0</v>
      </c>
      <c r="AD2692" s="580">
        <f t="shared" si="246"/>
        <v>5</v>
      </c>
      <c r="AE2692" s="580">
        <f t="shared" si="247"/>
        <v>2.5</v>
      </c>
      <c r="AF2692" s="580">
        <f t="shared" si="248"/>
        <v>2.5</v>
      </c>
      <c r="AG2692" s="580">
        <f t="shared" si="249"/>
        <v>0</v>
      </c>
      <c r="AH2692" s="580">
        <f t="shared" si="250"/>
        <v>0</v>
      </c>
    </row>
    <row r="2693" spans="28:34">
      <c r="AB2693" s="580">
        <f>HLOOKUP("*"&amp;'Output annual'!$AC$2&amp;'Output annual'!$AD$2&amp;"*Zone People Number Of Occupants [](Hourly)",'Eplus results'!$1:$1048576,ROW(),FALSE)</f>
        <v>0</v>
      </c>
      <c r="AC2693" s="580">
        <f>HLOOKUP("*"&amp;'Output annual'!$AC$2&amp;'Output annual'!$AD$2&amp;"*FangerPMV(Hourly)",'Eplus results'!$1:$1048576,ROW(),FALSE)</f>
        <v>0</v>
      </c>
      <c r="AD2693" s="580">
        <f t="shared" si="246"/>
        <v>5</v>
      </c>
      <c r="AE2693" s="580">
        <f t="shared" si="247"/>
        <v>2.5</v>
      </c>
      <c r="AF2693" s="580">
        <f t="shared" si="248"/>
        <v>2.5</v>
      </c>
      <c r="AG2693" s="580">
        <f t="shared" si="249"/>
        <v>0</v>
      </c>
      <c r="AH2693" s="580">
        <f t="shared" si="250"/>
        <v>0</v>
      </c>
    </row>
    <row r="2694" spans="28:34">
      <c r="AB2694" s="580">
        <f>HLOOKUP("*"&amp;'Output annual'!$AC$2&amp;'Output annual'!$AD$2&amp;"*Zone People Number Of Occupants [](Hourly)",'Eplus results'!$1:$1048576,ROW(),FALSE)</f>
        <v>0</v>
      </c>
      <c r="AC2694" s="580">
        <f>HLOOKUP("*"&amp;'Output annual'!$AC$2&amp;'Output annual'!$AD$2&amp;"*FangerPMV(Hourly)",'Eplus results'!$1:$1048576,ROW(),FALSE)</f>
        <v>0</v>
      </c>
      <c r="AD2694" s="580">
        <f t="shared" si="246"/>
        <v>5</v>
      </c>
      <c r="AE2694" s="580">
        <f t="shared" si="247"/>
        <v>2.5</v>
      </c>
      <c r="AF2694" s="580">
        <f t="shared" si="248"/>
        <v>2.5</v>
      </c>
      <c r="AG2694" s="580">
        <f t="shared" si="249"/>
        <v>0</v>
      </c>
      <c r="AH2694" s="580">
        <f t="shared" si="250"/>
        <v>0</v>
      </c>
    </row>
    <row r="2695" spans="28:34">
      <c r="AB2695" s="580">
        <f>HLOOKUP("*"&amp;'Output annual'!$AC$2&amp;'Output annual'!$AD$2&amp;"*Zone People Number Of Occupants [](Hourly)",'Eplus results'!$1:$1048576,ROW(),FALSE)</f>
        <v>0</v>
      </c>
      <c r="AC2695" s="580">
        <f>HLOOKUP("*"&amp;'Output annual'!$AC$2&amp;'Output annual'!$AD$2&amp;"*FangerPMV(Hourly)",'Eplus results'!$1:$1048576,ROW(),FALSE)</f>
        <v>0</v>
      </c>
      <c r="AD2695" s="580">
        <f t="shared" si="246"/>
        <v>5</v>
      </c>
      <c r="AE2695" s="580">
        <f t="shared" si="247"/>
        <v>2.5</v>
      </c>
      <c r="AF2695" s="580">
        <f t="shared" si="248"/>
        <v>2.5</v>
      </c>
      <c r="AG2695" s="580">
        <f t="shared" si="249"/>
        <v>0</v>
      </c>
      <c r="AH2695" s="580">
        <f t="shared" si="250"/>
        <v>0</v>
      </c>
    </row>
    <row r="2696" spans="28:34">
      <c r="AB2696" s="580">
        <f>HLOOKUP("*"&amp;'Output annual'!$AC$2&amp;'Output annual'!$AD$2&amp;"*Zone People Number Of Occupants [](Hourly)",'Eplus results'!$1:$1048576,ROW(),FALSE)</f>
        <v>0</v>
      </c>
      <c r="AC2696" s="580">
        <f>HLOOKUP("*"&amp;'Output annual'!$AC$2&amp;'Output annual'!$AD$2&amp;"*FangerPMV(Hourly)",'Eplus results'!$1:$1048576,ROW(),FALSE)</f>
        <v>0</v>
      </c>
      <c r="AD2696" s="580">
        <f t="shared" si="246"/>
        <v>5</v>
      </c>
      <c r="AE2696" s="580">
        <f t="shared" si="247"/>
        <v>2.5</v>
      </c>
      <c r="AF2696" s="580">
        <f t="shared" si="248"/>
        <v>2.5</v>
      </c>
      <c r="AG2696" s="580">
        <f t="shared" si="249"/>
        <v>0</v>
      </c>
      <c r="AH2696" s="580">
        <f t="shared" si="250"/>
        <v>0</v>
      </c>
    </row>
    <row r="2697" spans="28:34">
      <c r="AB2697" s="580">
        <f>HLOOKUP("*"&amp;'Output annual'!$AC$2&amp;'Output annual'!$AD$2&amp;"*Zone People Number Of Occupants [](Hourly)",'Eplus results'!$1:$1048576,ROW(),FALSE)</f>
        <v>0</v>
      </c>
      <c r="AC2697" s="580">
        <f>HLOOKUP("*"&amp;'Output annual'!$AC$2&amp;'Output annual'!$AD$2&amp;"*FangerPMV(Hourly)",'Eplus results'!$1:$1048576,ROW(),FALSE)</f>
        <v>0</v>
      </c>
      <c r="AD2697" s="580">
        <f t="shared" si="246"/>
        <v>5</v>
      </c>
      <c r="AE2697" s="580">
        <f t="shared" si="247"/>
        <v>2.5</v>
      </c>
      <c r="AF2697" s="580">
        <f t="shared" si="248"/>
        <v>2.5</v>
      </c>
      <c r="AG2697" s="580">
        <f t="shared" si="249"/>
        <v>0</v>
      </c>
      <c r="AH2697" s="580">
        <f t="shared" si="250"/>
        <v>0</v>
      </c>
    </row>
    <row r="2698" spans="28:34">
      <c r="AB2698" s="580">
        <f>HLOOKUP("*"&amp;'Output annual'!$AC$2&amp;'Output annual'!$AD$2&amp;"*Zone People Number Of Occupants [](Hourly)",'Eplus results'!$1:$1048576,ROW(),FALSE)</f>
        <v>0</v>
      </c>
      <c r="AC2698" s="580">
        <f>HLOOKUP("*"&amp;'Output annual'!$AC$2&amp;'Output annual'!$AD$2&amp;"*FangerPMV(Hourly)",'Eplus results'!$1:$1048576,ROW(),FALSE)</f>
        <v>0</v>
      </c>
      <c r="AD2698" s="580">
        <f t="shared" si="246"/>
        <v>5</v>
      </c>
      <c r="AE2698" s="580">
        <f t="shared" si="247"/>
        <v>2.5</v>
      </c>
      <c r="AF2698" s="580">
        <f t="shared" si="248"/>
        <v>2.5</v>
      </c>
      <c r="AG2698" s="580">
        <f t="shared" si="249"/>
        <v>0</v>
      </c>
      <c r="AH2698" s="580">
        <f t="shared" si="250"/>
        <v>0</v>
      </c>
    </row>
    <row r="2699" spans="28:34">
      <c r="AB2699" s="580">
        <f>HLOOKUP("*"&amp;'Output annual'!$AC$2&amp;'Output annual'!$AD$2&amp;"*Zone People Number Of Occupants [](Hourly)",'Eplus results'!$1:$1048576,ROW(),FALSE)</f>
        <v>0</v>
      </c>
      <c r="AC2699" s="580">
        <f>HLOOKUP("*"&amp;'Output annual'!$AC$2&amp;'Output annual'!$AD$2&amp;"*FangerPMV(Hourly)",'Eplus results'!$1:$1048576,ROW(),FALSE)</f>
        <v>0</v>
      </c>
      <c r="AD2699" s="580">
        <f t="shared" si="246"/>
        <v>5</v>
      </c>
      <c r="AE2699" s="580">
        <f t="shared" si="247"/>
        <v>2.5</v>
      </c>
      <c r="AF2699" s="580">
        <f t="shared" si="248"/>
        <v>2.5</v>
      </c>
      <c r="AG2699" s="580">
        <f t="shared" si="249"/>
        <v>0</v>
      </c>
      <c r="AH2699" s="580">
        <f t="shared" si="250"/>
        <v>0</v>
      </c>
    </row>
    <row r="2700" spans="28:34">
      <c r="AB2700" s="580">
        <f>HLOOKUP("*"&amp;'Output annual'!$AC$2&amp;'Output annual'!$AD$2&amp;"*Zone People Number Of Occupants [](Hourly)",'Eplus results'!$1:$1048576,ROW(),FALSE)</f>
        <v>0</v>
      </c>
      <c r="AC2700" s="580">
        <f>HLOOKUP("*"&amp;'Output annual'!$AC$2&amp;'Output annual'!$AD$2&amp;"*FangerPMV(Hourly)",'Eplus results'!$1:$1048576,ROW(),FALSE)</f>
        <v>0</v>
      </c>
      <c r="AD2700" s="580">
        <f t="shared" si="246"/>
        <v>5</v>
      </c>
      <c r="AE2700" s="580">
        <f t="shared" si="247"/>
        <v>2.5</v>
      </c>
      <c r="AF2700" s="580">
        <f t="shared" si="248"/>
        <v>2.5</v>
      </c>
      <c r="AG2700" s="580">
        <f t="shared" si="249"/>
        <v>0</v>
      </c>
      <c r="AH2700" s="580">
        <f t="shared" si="250"/>
        <v>0</v>
      </c>
    </row>
    <row r="2701" spans="28:34">
      <c r="AB2701" s="580">
        <f>HLOOKUP("*"&amp;'Output annual'!$AC$2&amp;'Output annual'!$AD$2&amp;"*Zone People Number Of Occupants [](Hourly)",'Eplus results'!$1:$1048576,ROW(),FALSE)</f>
        <v>0</v>
      </c>
      <c r="AC2701" s="580">
        <f>HLOOKUP("*"&amp;'Output annual'!$AC$2&amp;'Output annual'!$AD$2&amp;"*FangerPMV(Hourly)",'Eplus results'!$1:$1048576,ROW(),FALSE)</f>
        <v>0</v>
      </c>
      <c r="AD2701" s="580">
        <f t="shared" si="246"/>
        <v>5</v>
      </c>
      <c r="AE2701" s="580">
        <f t="shared" si="247"/>
        <v>2.5</v>
      </c>
      <c r="AF2701" s="580">
        <f t="shared" si="248"/>
        <v>2.5</v>
      </c>
      <c r="AG2701" s="580">
        <f t="shared" si="249"/>
        <v>0</v>
      </c>
      <c r="AH2701" s="580">
        <f t="shared" si="250"/>
        <v>0</v>
      </c>
    </row>
    <row r="2702" spans="28:34">
      <c r="AB2702" s="580">
        <f>HLOOKUP("*"&amp;'Output annual'!$AC$2&amp;'Output annual'!$AD$2&amp;"*Zone People Number Of Occupants [](Hourly)",'Eplus results'!$1:$1048576,ROW(),FALSE)</f>
        <v>0</v>
      </c>
      <c r="AC2702" s="580">
        <f>HLOOKUP("*"&amp;'Output annual'!$AC$2&amp;'Output annual'!$AD$2&amp;"*FangerPMV(Hourly)",'Eplus results'!$1:$1048576,ROW(),FALSE)</f>
        <v>0</v>
      </c>
      <c r="AD2702" s="580">
        <f t="shared" si="246"/>
        <v>5</v>
      </c>
      <c r="AE2702" s="580">
        <f t="shared" si="247"/>
        <v>2.5</v>
      </c>
      <c r="AF2702" s="580">
        <f t="shared" si="248"/>
        <v>2.5</v>
      </c>
      <c r="AG2702" s="580">
        <f t="shared" si="249"/>
        <v>0</v>
      </c>
      <c r="AH2702" s="580">
        <f t="shared" si="250"/>
        <v>0</v>
      </c>
    </row>
    <row r="2703" spans="28:34">
      <c r="AB2703" s="580">
        <f>HLOOKUP("*"&amp;'Output annual'!$AC$2&amp;'Output annual'!$AD$2&amp;"*Zone People Number Of Occupants [](Hourly)",'Eplus results'!$1:$1048576,ROW(),FALSE)</f>
        <v>0</v>
      </c>
      <c r="AC2703" s="580">
        <f>HLOOKUP("*"&amp;'Output annual'!$AC$2&amp;'Output annual'!$AD$2&amp;"*FangerPMV(Hourly)",'Eplus results'!$1:$1048576,ROW(),FALSE)</f>
        <v>0</v>
      </c>
      <c r="AD2703" s="580">
        <f t="shared" si="246"/>
        <v>5</v>
      </c>
      <c r="AE2703" s="580">
        <f t="shared" si="247"/>
        <v>2.5</v>
      </c>
      <c r="AF2703" s="580">
        <f t="shared" si="248"/>
        <v>2.5</v>
      </c>
      <c r="AG2703" s="580">
        <f t="shared" si="249"/>
        <v>0</v>
      </c>
      <c r="AH2703" s="580">
        <f t="shared" si="250"/>
        <v>0</v>
      </c>
    </row>
    <row r="2704" spans="28:34">
      <c r="AB2704" s="580">
        <f>HLOOKUP("*"&amp;'Output annual'!$AC$2&amp;'Output annual'!$AD$2&amp;"*Zone People Number Of Occupants [](Hourly)",'Eplus results'!$1:$1048576,ROW(),FALSE)</f>
        <v>0</v>
      </c>
      <c r="AC2704" s="580">
        <f>HLOOKUP("*"&amp;'Output annual'!$AC$2&amp;'Output annual'!$AD$2&amp;"*FangerPMV(Hourly)",'Eplus results'!$1:$1048576,ROW(),FALSE)</f>
        <v>0</v>
      </c>
      <c r="AD2704" s="580">
        <f t="shared" si="246"/>
        <v>5</v>
      </c>
      <c r="AE2704" s="580">
        <f t="shared" si="247"/>
        <v>2.5</v>
      </c>
      <c r="AF2704" s="580">
        <f t="shared" si="248"/>
        <v>2.5</v>
      </c>
      <c r="AG2704" s="580">
        <f t="shared" si="249"/>
        <v>0</v>
      </c>
      <c r="AH2704" s="580">
        <f t="shared" si="250"/>
        <v>0</v>
      </c>
    </row>
    <row r="2705" spans="28:34">
      <c r="AB2705" s="580">
        <f>HLOOKUP("*"&amp;'Output annual'!$AC$2&amp;'Output annual'!$AD$2&amp;"*Zone People Number Of Occupants [](Hourly)",'Eplus results'!$1:$1048576,ROW(),FALSE)</f>
        <v>0</v>
      </c>
      <c r="AC2705" s="580">
        <f>HLOOKUP("*"&amp;'Output annual'!$AC$2&amp;'Output annual'!$AD$2&amp;"*FangerPMV(Hourly)",'Eplus results'!$1:$1048576,ROW(),FALSE)</f>
        <v>0</v>
      </c>
      <c r="AD2705" s="580">
        <f t="shared" si="246"/>
        <v>5</v>
      </c>
      <c r="AE2705" s="580">
        <f t="shared" si="247"/>
        <v>2.5</v>
      </c>
      <c r="AF2705" s="580">
        <f t="shared" si="248"/>
        <v>2.5</v>
      </c>
      <c r="AG2705" s="580">
        <f t="shared" si="249"/>
        <v>0</v>
      </c>
      <c r="AH2705" s="580">
        <f t="shared" si="250"/>
        <v>0</v>
      </c>
    </row>
    <row r="2706" spans="28:34">
      <c r="AB2706" s="580">
        <f>HLOOKUP("*"&amp;'Output annual'!$AC$2&amp;'Output annual'!$AD$2&amp;"*Zone People Number Of Occupants [](Hourly)",'Eplus results'!$1:$1048576,ROW(),FALSE)</f>
        <v>0</v>
      </c>
      <c r="AC2706" s="580">
        <f>HLOOKUP("*"&amp;'Output annual'!$AC$2&amp;'Output annual'!$AD$2&amp;"*FangerPMV(Hourly)",'Eplus results'!$1:$1048576,ROW(),FALSE)</f>
        <v>0</v>
      </c>
      <c r="AD2706" s="580">
        <f t="shared" si="246"/>
        <v>5</v>
      </c>
      <c r="AE2706" s="580">
        <f t="shared" si="247"/>
        <v>2.5</v>
      </c>
      <c r="AF2706" s="580">
        <f t="shared" si="248"/>
        <v>2.5</v>
      </c>
      <c r="AG2706" s="580">
        <f t="shared" si="249"/>
        <v>0</v>
      </c>
      <c r="AH2706" s="580">
        <f t="shared" si="250"/>
        <v>0</v>
      </c>
    </row>
    <row r="2707" spans="28:34">
      <c r="AB2707" s="580">
        <f>HLOOKUP("*"&amp;'Output annual'!$AC$2&amp;'Output annual'!$AD$2&amp;"*Zone People Number Of Occupants [](Hourly)",'Eplus results'!$1:$1048576,ROW(),FALSE)</f>
        <v>0</v>
      </c>
      <c r="AC2707" s="580">
        <f>HLOOKUP("*"&amp;'Output annual'!$AC$2&amp;'Output annual'!$AD$2&amp;"*FangerPMV(Hourly)",'Eplus results'!$1:$1048576,ROW(),FALSE)</f>
        <v>0</v>
      </c>
      <c r="AD2707" s="580">
        <f t="shared" si="246"/>
        <v>5</v>
      </c>
      <c r="AE2707" s="580">
        <f t="shared" si="247"/>
        <v>2.5</v>
      </c>
      <c r="AF2707" s="580">
        <f t="shared" si="248"/>
        <v>2.5</v>
      </c>
      <c r="AG2707" s="580">
        <f t="shared" si="249"/>
        <v>0</v>
      </c>
      <c r="AH2707" s="580">
        <f t="shared" si="250"/>
        <v>0</v>
      </c>
    </row>
    <row r="2708" spans="28:34">
      <c r="AB2708" s="580">
        <f>HLOOKUP("*"&amp;'Output annual'!$AC$2&amp;'Output annual'!$AD$2&amp;"*Zone People Number Of Occupants [](Hourly)",'Eplus results'!$1:$1048576,ROW(),FALSE)</f>
        <v>0</v>
      </c>
      <c r="AC2708" s="580">
        <f>HLOOKUP("*"&amp;'Output annual'!$AC$2&amp;'Output annual'!$AD$2&amp;"*FangerPMV(Hourly)",'Eplus results'!$1:$1048576,ROW(),FALSE)</f>
        <v>0</v>
      </c>
      <c r="AD2708" s="580">
        <f t="shared" si="246"/>
        <v>5</v>
      </c>
      <c r="AE2708" s="580">
        <f t="shared" si="247"/>
        <v>2.5</v>
      </c>
      <c r="AF2708" s="580">
        <f t="shared" si="248"/>
        <v>2.5</v>
      </c>
      <c r="AG2708" s="580">
        <f t="shared" si="249"/>
        <v>0</v>
      </c>
      <c r="AH2708" s="580">
        <f t="shared" si="250"/>
        <v>0</v>
      </c>
    </row>
    <row r="2709" spans="28:34">
      <c r="AB2709" s="580">
        <f>HLOOKUP("*"&amp;'Output annual'!$AC$2&amp;'Output annual'!$AD$2&amp;"*Zone People Number Of Occupants [](Hourly)",'Eplus results'!$1:$1048576,ROW(),FALSE)</f>
        <v>0</v>
      </c>
      <c r="AC2709" s="580">
        <f>HLOOKUP("*"&amp;'Output annual'!$AC$2&amp;'Output annual'!$AD$2&amp;"*FangerPMV(Hourly)",'Eplus results'!$1:$1048576,ROW(),FALSE)</f>
        <v>0</v>
      </c>
      <c r="AD2709" s="580">
        <f t="shared" si="246"/>
        <v>5</v>
      </c>
      <c r="AE2709" s="580">
        <f t="shared" si="247"/>
        <v>2.5</v>
      </c>
      <c r="AF2709" s="580">
        <f t="shared" si="248"/>
        <v>2.5</v>
      </c>
      <c r="AG2709" s="580">
        <f t="shared" si="249"/>
        <v>0</v>
      </c>
      <c r="AH2709" s="580">
        <f t="shared" si="250"/>
        <v>0</v>
      </c>
    </row>
    <row r="2710" spans="28:34">
      <c r="AB2710" s="580">
        <f>HLOOKUP("*"&amp;'Output annual'!$AC$2&amp;'Output annual'!$AD$2&amp;"*Zone People Number Of Occupants [](Hourly)",'Eplus results'!$1:$1048576,ROW(),FALSE)</f>
        <v>0</v>
      </c>
      <c r="AC2710" s="580">
        <f>HLOOKUP("*"&amp;'Output annual'!$AC$2&amp;'Output annual'!$AD$2&amp;"*FangerPMV(Hourly)",'Eplus results'!$1:$1048576,ROW(),FALSE)</f>
        <v>0</v>
      </c>
      <c r="AD2710" s="580">
        <f t="shared" si="246"/>
        <v>5</v>
      </c>
      <c r="AE2710" s="580">
        <f t="shared" si="247"/>
        <v>2.5</v>
      </c>
      <c r="AF2710" s="580">
        <f t="shared" si="248"/>
        <v>2.5</v>
      </c>
      <c r="AG2710" s="580">
        <f t="shared" si="249"/>
        <v>0</v>
      </c>
      <c r="AH2710" s="580">
        <f t="shared" si="250"/>
        <v>0</v>
      </c>
    </row>
    <row r="2711" spans="28:34">
      <c r="AB2711" s="580">
        <f>HLOOKUP("*"&amp;'Output annual'!$AC$2&amp;'Output annual'!$AD$2&amp;"*Zone People Number Of Occupants [](Hourly)",'Eplus results'!$1:$1048576,ROW(),FALSE)</f>
        <v>0</v>
      </c>
      <c r="AC2711" s="580">
        <f>HLOOKUP("*"&amp;'Output annual'!$AC$2&amp;'Output annual'!$AD$2&amp;"*FangerPMV(Hourly)",'Eplus results'!$1:$1048576,ROW(),FALSE)</f>
        <v>0</v>
      </c>
      <c r="AD2711" s="580">
        <f t="shared" si="246"/>
        <v>5</v>
      </c>
      <c r="AE2711" s="580">
        <f t="shared" si="247"/>
        <v>2.5</v>
      </c>
      <c r="AF2711" s="580">
        <f t="shared" si="248"/>
        <v>2.5</v>
      </c>
      <c r="AG2711" s="580">
        <f t="shared" si="249"/>
        <v>0</v>
      </c>
      <c r="AH2711" s="580">
        <f t="shared" si="250"/>
        <v>0</v>
      </c>
    </row>
    <row r="2712" spans="28:34">
      <c r="AB2712" s="580">
        <f>HLOOKUP("*"&amp;'Output annual'!$AC$2&amp;'Output annual'!$AD$2&amp;"*Zone People Number Of Occupants [](Hourly)",'Eplus results'!$1:$1048576,ROW(),FALSE)</f>
        <v>0</v>
      </c>
      <c r="AC2712" s="580">
        <f>HLOOKUP("*"&amp;'Output annual'!$AC$2&amp;'Output annual'!$AD$2&amp;"*FangerPMV(Hourly)",'Eplus results'!$1:$1048576,ROW(),FALSE)</f>
        <v>0</v>
      </c>
      <c r="AD2712" s="580">
        <f t="shared" si="246"/>
        <v>5</v>
      </c>
      <c r="AE2712" s="580">
        <f t="shared" si="247"/>
        <v>2.5</v>
      </c>
      <c r="AF2712" s="580">
        <f t="shared" si="248"/>
        <v>2.5</v>
      </c>
      <c r="AG2712" s="580">
        <f t="shared" si="249"/>
        <v>0</v>
      </c>
      <c r="AH2712" s="580">
        <f t="shared" si="250"/>
        <v>0</v>
      </c>
    </row>
    <row r="2713" spans="28:34">
      <c r="AB2713" s="580">
        <f>HLOOKUP("*"&amp;'Output annual'!$AC$2&amp;'Output annual'!$AD$2&amp;"*Zone People Number Of Occupants [](Hourly)",'Eplus results'!$1:$1048576,ROW(),FALSE)</f>
        <v>0</v>
      </c>
      <c r="AC2713" s="580">
        <f>HLOOKUP("*"&amp;'Output annual'!$AC$2&amp;'Output annual'!$AD$2&amp;"*FangerPMV(Hourly)",'Eplus results'!$1:$1048576,ROW(),FALSE)</f>
        <v>0</v>
      </c>
      <c r="AD2713" s="580">
        <f t="shared" si="246"/>
        <v>5</v>
      </c>
      <c r="AE2713" s="580">
        <f t="shared" si="247"/>
        <v>2.5</v>
      </c>
      <c r="AF2713" s="580">
        <f t="shared" si="248"/>
        <v>2.5</v>
      </c>
      <c r="AG2713" s="580">
        <f t="shared" si="249"/>
        <v>0</v>
      </c>
      <c r="AH2713" s="580">
        <f t="shared" si="250"/>
        <v>0</v>
      </c>
    </row>
    <row r="2714" spans="28:34">
      <c r="AB2714" s="580">
        <f>HLOOKUP("*"&amp;'Output annual'!$AC$2&amp;'Output annual'!$AD$2&amp;"*Zone People Number Of Occupants [](Hourly)",'Eplus results'!$1:$1048576,ROW(),FALSE)</f>
        <v>0</v>
      </c>
      <c r="AC2714" s="580">
        <f>HLOOKUP("*"&amp;'Output annual'!$AC$2&amp;'Output annual'!$AD$2&amp;"*FangerPMV(Hourly)",'Eplus results'!$1:$1048576,ROW(),FALSE)</f>
        <v>0</v>
      </c>
      <c r="AD2714" s="580">
        <f t="shared" si="246"/>
        <v>5</v>
      </c>
      <c r="AE2714" s="580">
        <f t="shared" si="247"/>
        <v>2.5</v>
      </c>
      <c r="AF2714" s="580">
        <f t="shared" si="248"/>
        <v>2.5</v>
      </c>
      <c r="AG2714" s="580">
        <f t="shared" si="249"/>
        <v>0</v>
      </c>
      <c r="AH2714" s="580">
        <f t="shared" si="250"/>
        <v>0</v>
      </c>
    </row>
    <row r="2715" spans="28:34">
      <c r="AB2715" s="580">
        <f>HLOOKUP("*"&amp;'Output annual'!$AC$2&amp;'Output annual'!$AD$2&amp;"*Zone People Number Of Occupants [](Hourly)",'Eplus results'!$1:$1048576,ROW(),FALSE)</f>
        <v>0</v>
      </c>
      <c r="AC2715" s="580">
        <f>HLOOKUP("*"&amp;'Output annual'!$AC$2&amp;'Output annual'!$AD$2&amp;"*FangerPMV(Hourly)",'Eplus results'!$1:$1048576,ROW(),FALSE)</f>
        <v>0</v>
      </c>
      <c r="AD2715" s="580">
        <f t="shared" si="246"/>
        <v>5</v>
      </c>
      <c r="AE2715" s="580">
        <f t="shared" si="247"/>
        <v>2.5</v>
      </c>
      <c r="AF2715" s="580">
        <f t="shared" si="248"/>
        <v>2.5</v>
      </c>
      <c r="AG2715" s="580">
        <f t="shared" si="249"/>
        <v>0</v>
      </c>
      <c r="AH2715" s="580">
        <f t="shared" si="250"/>
        <v>0</v>
      </c>
    </row>
    <row r="2716" spans="28:34">
      <c r="AB2716" s="580">
        <f>HLOOKUP("*"&amp;'Output annual'!$AC$2&amp;'Output annual'!$AD$2&amp;"*Zone People Number Of Occupants [](Hourly)",'Eplus results'!$1:$1048576,ROW(),FALSE)</f>
        <v>0</v>
      </c>
      <c r="AC2716" s="580">
        <f>HLOOKUP("*"&amp;'Output annual'!$AC$2&amp;'Output annual'!$AD$2&amp;"*FangerPMV(Hourly)",'Eplus results'!$1:$1048576,ROW(),FALSE)</f>
        <v>0</v>
      </c>
      <c r="AD2716" s="580">
        <f t="shared" si="246"/>
        <v>5</v>
      </c>
      <c r="AE2716" s="580">
        <f t="shared" si="247"/>
        <v>2.5</v>
      </c>
      <c r="AF2716" s="580">
        <f t="shared" si="248"/>
        <v>2.5</v>
      </c>
      <c r="AG2716" s="580">
        <f t="shared" si="249"/>
        <v>0</v>
      </c>
      <c r="AH2716" s="580">
        <f t="shared" si="250"/>
        <v>0</v>
      </c>
    </row>
    <row r="2717" spans="28:34">
      <c r="AB2717" s="580">
        <f>HLOOKUP("*"&amp;'Output annual'!$AC$2&amp;'Output annual'!$AD$2&amp;"*Zone People Number Of Occupants [](Hourly)",'Eplus results'!$1:$1048576,ROW(),FALSE)</f>
        <v>0</v>
      </c>
      <c r="AC2717" s="580">
        <f>HLOOKUP("*"&amp;'Output annual'!$AC$2&amp;'Output annual'!$AD$2&amp;"*FangerPMV(Hourly)",'Eplus results'!$1:$1048576,ROW(),FALSE)</f>
        <v>0</v>
      </c>
      <c r="AD2717" s="580">
        <f t="shared" si="246"/>
        <v>5</v>
      </c>
      <c r="AE2717" s="580">
        <f t="shared" si="247"/>
        <v>2.5</v>
      </c>
      <c r="AF2717" s="580">
        <f t="shared" si="248"/>
        <v>2.5</v>
      </c>
      <c r="AG2717" s="580">
        <f t="shared" si="249"/>
        <v>0</v>
      </c>
      <c r="AH2717" s="580">
        <f t="shared" si="250"/>
        <v>0</v>
      </c>
    </row>
    <row r="2718" spans="28:34">
      <c r="AB2718" s="580">
        <f>HLOOKUP("*"&amp;'Output annual'!$AC$2&amp;'Output annual'!$AD$2&amp;"*Zone People Number Of Occupants [](Hourly)",'Eplus results'!$1:$1048576,ROW(),FALSE)</f>
        <v>0</v>
      </c>
      <c r="AC2718" s="580">
        <f>HLOOKUP("*"&amp;'Output annual'!$AC$2&amp;'Output annual'!$AD$2&amp;"*FangerPMV(Hourly)",'Eplus results'!$1:$1048576,ROW(),FALSE)</f>
        <v>0</v>
      </c>
      <c r="AD2718" s="580">
        <f t="shared" si="246"/>
        <v>5</v>
      </c>
      <c r="AE2718" s="580">
        <f t="shared" si="247"/>
        <v>2.5</v>
      </c>
      <c r="AF2718" s="580">
        <f t="shared" si="248"/>
        <v>2.5</v>
      </c>
      <c r="AG2718" s="580">
        <f t="shared" si="249"/>
        <v>0</v>
      </c>
      <c r="AH2718" s="580">
        <f t="shared" si="250"/>
        <v>0</v>
      </c>
    </row>
    <row r="2719" spans="28:34">
      <c r="AB2719" s="580">
        <f>HLOOKUP("*"&amp;'Output annual'!$AC$2&amp;'Output annual'!$AD$2&amp;"*Zone People Number Of Occupants [](Hourly)",'Eplus results'!$1:$1048576,ROW(),FALSE)</f>
        <v>0</v>
      </c>
      <c r="AC2719" s="580">
        <f>HLOOKUP("*"&amp;'Output annual'!$AC$2&amp;'Output annual'!$AD$2&amp;"*FangerPMV(Hourly)",'Eplus results'!$1:$1048576,ROW(),FALSE)</f>
        <v>0</v>
      </c>
      <c r="AD2719" s="580">
        <f t="shared" si="246"/>
        <v>5</v>
      </c>
      <c r="AE2719" s="580">
        <f t="shared" si="247"/>
        <v>2.5</v>
      </c>
      <c r="AF2719" s="580">
        <f t="shared" si="248"/>
        <v>2.5</v>
      </c>
      <c r="AG2719" s="580">
        <f t="shared" si="249"/>
        <v>0</v>
      </c>
      <c r="AH2719" s="580">
        <f t="shared" si="250"/>
        <v>0</v>
      </c>
    </row>
    <row r="2720" spans="28:34">
      <c r="AB2720" s="580">
        <f>HLOOKUP("*"&amp;'Output annual'!$AC$2&amp;'Output annual'!$AD$2&amp;"*Zone People Number Of Occupants [](Hourly)",'Eplus results'!$1:$1048576,ROW(),FALSE)</f>
        <v>0</v>
      </c>
      <c r="AC2720" s="580">
        <f>HLOOKUP("*"&amp;'Output annual'!$AC$2&amp;'Output annual'!$AD$2&amp;"*FangerPMV(Hourly)",'Eplus results'!$1:$1048576,ROW(),FALSE)</f>
        <v>0</v>
      </c>
      <c r="AD2720" s="580">
        <f t="shared" si="246"/>
        <v>5</v>
      </c>
      <c r="AE2720" s="580">
        <f t="shared" si="247"/>
        <v>2.5</v>
      </c>
      <c r="AF2720" s="580">
        <f t="shared" si="248"/>
        <v>2.5</v>
      </c>
      <c r="AG2720" s="580">
        <f t="shared" si="249"/>
        <v>0</v>
      </c>
      <c r="AH2720" s="580">
        <f t="shared" si="250"/>
        <v>0</v>
      </c>
    </row>
    <row r="2721" spans="28:34">
      <c r="AB2721" s="580">
        <f>HLOOKUP("*"&amp;'Output annual'!$AC$2&amp;'Output annual'!$AD$2&amp;"*Zone People Number Of Occupants [](Hourly)",'Eplus results'!$1:$1048576,ROW(),FALSE)</f>
        <v>0</v>
      </c>
      <c r="AC2721" s="580">
        <f>HLOOKUP("*"&amp;'Output annual'!$AC$2&amp;'Output annual'!$AD$2&amp;"*FangerPMV(Hourly)",'Eplus results'!$1:$1048576,ROW(),FALSE)</f>
        <v>0</v>
      </c>
      <c r="AD2721" s="580">
        <f t="shared" si="246"/>
        <v>5</v>
      </c>
      <c r="AE2721" s="580">
        <f t="shared" si="247"/>
        <v>2.5</v>
      </c>
      <c r="AF2721" s="580">
        <f t="shared" si="248"/>
        <v>2.5</v>
      </c>
      <c r="AG2721" s="580">
        <f t="shared" si="249"/>
        <v>0</v>
      </c>
      <c r="AH2721" s="580">
        <f t="shared" si="250"/>
        <v>0</v>
      </c>
    </row>
    <row r="2722" spans="28:34">
      <c r="AB2722" s="580">
        <f>HLOOKUP("*"&amp;'Output annual'!$AC$2&amp;'Output annual'!$AD$2&amp;"*Zone People Number Of Occupants [](Hourly)",'Eplus results'!$1:$1048576,ROW(),FALSE)</f>
        <v>0</v>
      </c>
      <c r="AC2722" s="580">
        <f>HLOOKUP("*"&amp;'Output annual'!$AC$2&amp;'Output annual'!$AD$2&amp;"*FangerPMV(Hourly)",'Eplus results'!$1:$1048576,ROW(),FALSE)</f>
        <v>0</v>
      </c>
      <c r="AD2722" s="580">
        <f t="shared" si="246"/>
        <v>5</v>
      </c>
      <c r="AE2722" s="580">
        <f t="shared" si="247"/>
        <v>2.5</v>
      </c>
      <c r="AF2722" s="580">
        <f t="shared" si="248"/>
        <v>2.5</v>
      </c>
      <c r="AG2722" s="580">
        <f t="shared" si="249"/>
        <v>0</v>
      </c>
      <c r="AH2722" s="580">
        <f t="shared" si="250"/>
        <v>0</v>
      </c>
    </row>
    <row r="2723" spans="28:34">
      <c r="AB2723" s="580">
        <f>HLOOKUP("*"&amp;'Output annual'!$AC$2&amp;'Output annual'!$AD$2&amp;"*Zone People Number Of Occupants [](Hourly)",'Eplus results'!$1:$1048576,ROW(),FALSE)</f>
        <v>0</v>
      </c>
      <c r="AC2723" s="580">
        <f>HLOOKUP("*"&amp;'Output annual'!$AC$2&amp;'Output annual'!$AD$2&amp;"*FangerPMV(Hourly)",'Eplus results'!$1:$1048576,ROW(),FALSE)</f>
        <v>0</v>
      </c>
      <c r="AD2723" s="580">
        <f t="shared" si="246"/>
        <v>5</v>
      </c>
      <c r="AE2723" s="580">
        <f t="shared" si="247"/>
        <v>2.5</v>
      </c>
      <c r="AF2723" s="580">
        <f t="shared" si="248"/>
        <v>2.5</v>
      </c>
      <c r="AG2723" s="580">
        <f t="shared" si="249"/>
        <v>0</v>
      </c>
      <c r="AH2723" s="580">
        <f t="shared" si="250"/>
        <v>0</v>
      </c>
    </row>
    <row r="2724" spans="28:34">
      <c r="AB2724" s="580">
        <f>HLOOKUP("*"&amp;'Output annual'!$AC$2&amp;'Output annual'!$AD$2&amp;"*Zone People Number Of Occupants [](Hourly)",'Eplus results'!$1:$1048576,ROW(),FALSE)</f>
        <v>0</v>
      </c>
      <c r="AC2724" s="580">
        <f>HLOOKUP("*"&amp;'Output annual'!$AC$2&amp;'Output annual'!$AD$2&amp;"*FangerPMV(Hourly)",'Eplus results'!$1:$1048576,ROW(),FALSE)</f>
        <v>0</v>
      </c>
      <c r="AD2724" s="580">
        <f t="shared" si="246"/>
        <v>5</v>
      </c>
      <c r="AE2724" s="580">
        <f t="shared" si="247"/>
        <v>2.5</v>
      </c>
      <c r="AF2724" s="580">
        <f t="shared" si="248"/>
        <v>2.5</v>
      </c>
      <c r="AG2724" s="580">
        <f t="shared" si="249"/>
        <v>0</v>
      </c>
      <c r="AH2724" s="580">
        <f t="shared" si="250"/>
        <v>0</v>
      </c>
    </row>
    <row r="2725" spans="28:34">
      <c r="AB2725" s="580">
        <f>HLOOKUP("*"&amp;'Output annual'!$AC$2&amp;'Output annual'!$AD$2&amp;"*Zone People Number Of Occupants [](Hourly)",'Eplus results'!$1:$1048576,ROW(),FALSE)</f>
        <v>0</v>
      </c>
      <c r="AC2725" s="580">
        <f>HLOOKUP("*"&amp;'Output annual'!$AC$2&amp;'Output annual'!$AD$2&amp;"*FangerPMV(Hourly)",'Eplus results'!$1:$1048576,ROW(),FALSE)</f>
        <v>0</v>
      </c>
      <c r="AD2725" s="580">
        <f t="shared" si="246"/>
        <v>5</v>
      </c>
      <c r="AE2725" s="580">
        <f t="shared" si="247"/>
        <v>2.5</v>
      </c>
      <c r="AF2725" s="580">
        <f t="shared" si="248"/>
        <v>2.5</v>
      </c>
      <c r="AG2725" s="580">
        <f t="shared" si="249"/>
        <v>0</v>
      </c>
      <c r="AH2725" s="580">
        <f t="shared" si="250"/>
        <v>0</v>
      </c>
    </row>
    <row r="2726" spans="28:34">
      <c r="AB2726" s="580">
        <f>HLOOKUP("*"&amp;'Output annual'!$AC$2&amp;'Output annual'!$AD$2&amp;"*Zone People Number Of Occupants [](Hourly)",'Eplus results'!$1:$1048576,ROW(),FALSE)</f>
        <v>0</v>
      </c>
      <c r="AC2726" s="580">
        <f>HLOOKUP("*"&amp;'Output annual'!$AC$2&amp;'Output annual'!$AD$2&amp;"*FangerPMV(Hourly)",'Eplus results'!$1:$1048576,ROW(),FALSE)</f>
        <v>0</v>
      </c>
      <c r="AD2726" s="580">
        <f t="shared" si="246"/>
        <v>5</v>
      </c>
      <c r="AE2726" s="580">
        <f t="shared" si="247"/>
        <v>2.5</v>
      </c>
      <c r="AF2726" s="580">
        <f t="shared" si="248"/>
        <v>2.5</v>
      </c>
      <c r="AG2726" s="580">
        <f t="shared" si="249"/>
        <v>0</v>
      </c>
      <c r="AH2726" s="580">
        <f t="shared" si="250"/>
        <v>0</v>
      </c>
    </row>
    <row r="2727" spans="28:34">
      <c r="AB2727" s="580">
        <f>HLOOKUP("*"&amp;'Output annual'!$AC$2&amp;'Output annual'!$AD$2&amp;"*Zone People Number Of Occupants [](Hourly)",'Eplus results'!$1:$1048576,ROW(),FALSE)</f>
        <v>0</v>
      </c>
      <c r="AC2727" s="580">
        <f>HLOOKUP("*"&amp;'Output annual'!$AC$2&amp;'Output annual'!$AD$2&amp;"*FangerPMV(Hourly)",'Eplus results'!$1:$1048576,ROW(),FALSE)</f>
        <v>0</v>
      </c>
      <c r="AD2727" s="580">
        <f t="shared" si="246"/>
        <v>5</v>
      </c>
      <c r="AE2727" s="580">
        <f t="shared" si="247"/>
        <v>2.5</v>
      </c>
      <c r="AF2727" s="580">
        <f t="shared" si="248"/>
        <v>2.5</v>
      </c>
      <c r="AG2727" s="580">
        <f t="shared" si="249"/>
        <v>0</v>
      </c>
      <c r="AH2727" s="580">
        <f t="shared" si="250"/>
        <v>0</v>
      </c>
    </row>
    <row r="2728" spans="28:34">
      <c r="AB2728" s="580">
        <f>HLOOKUP("*"&amp;'Output annual'!$AC$2&amp;'Output annual'!$AD$2&amp;"*Zone People Number Of Occupants [](Hourly)",'Eplus results'!$1:$1048576,ROW(),FALSE)</f>
        <v>0</v>
      </c>
      <c r="AC2728" s="580">
        <f>HLOOKUP("*"&amp;'Output annual'!$AC$2&amp;'Output annual'!$AD$2&amp;"*FangerPMV(Hourly)",'Eplus results'!$1:$1048576,ROW(),FALSE)</f>
        <v>0</v>
      </c>
      <c r="AD2728" s="580">
        <f t="shared" si="246"/>
        <v>5</v>
      </c>
      <c r="AE2728" s="580">
        <f t="shared" si="247"/>
        <v>2.5</v>
      </c>
      <c r="AF2728" s="580">
        <f t="shared" si="248"/>
        <v>2.5</v>
      </c>
      <c r="AG2728" s="580">
        <f t="shared" si="249"/>
        <v>0</v>
      </c>
      <c r="AH2728" s="580">
        <f t="shared" si="250"/>
        <v>0</v>
      </c>
    </row>
    <row r="2729" spans="28:34">
      <c r="AB2729" s="580">
        <f>HLOOKUP("*"&amp;'Output annual'!$AC$2&amp;'Output annual'!$AD$2&amp;"*Zone People Number Of Occupants [](Hourly)",'Eplus results'!$1:$1048576,ROW(),FALSE)</f>
        <v>0</v>
      </c>
      <c r="AC2729" s="580">
        <f>HLOOKUP("*"&amp;'Output annual'!$AC$2&amp;'Output annual'!$AD$2&amp;"*FangerPMV(Hourly)",'Eplus results'!$1:$1048576,ROW(),FALSE)</f>
        <v>0</v>
      </c>
      <c r="AD2729" s="580">
        <f t="shared" si="246"/>
        <v>5</v>
      </c>
      <c r="AE2729" s="580">
        <f t="shared" si="247"/>
        <v>2.5</v>
      </c>
      <c r="AF2729" s="580">
        <f t="shared" si="248"/>
        <v>2.5</v>
      </c>
      <c r="AG2729" s="580">
        <f t="shared" si="249"/>
        <v>0</v>
      </c>
      <c r="AH2729" s="580">
        <f t="shared" si="250"/>
        <v>0</v>
      </c>
    </row>
    <row r="2730" spans="28:34">
      <c r="AB2730" s="580">
        <f>HLOOKUP("*"&amp;'Output annual'!$AC$2&amp;'Output annual'!$AD$2&amp;"*Zone People Number Of Occupants [](Hourly)",'Eplus results'!$1:$1048576,ROW(),FALSE)</f>
        <v>0</v>
      </c>
      <c r="AC2730" s="580">
        <f>HLOOKUP("*"&amp;'Output annual'!$AC$2&amp;'Output annual'!$AD$2&amp;"*FangerPMV(Hourly)",'Eplus results'!$1:$1048576,ROW(),FALSE)</f>
        <v>0</v>
      </c>
      <c r="AD2730" s="580">
        <f t="shared" si="246"/>
        <v>5</v>
      </c>
      <c r="AE2730" s="580">
        <f t="shared" si="247"/>
        <v>2.5</v>
      </c>
      <c r="AF2730" s="580">
        <f t="shared" si="248"/>
        <v>2.5</v>
      </c>
      <c r="AG2730" s="580">
        <f t="shared" si="249"/>
        <v>0</v>
      </c>
      <c r="AH2730" s="580">
        <f t="shared" si="250"/>
        <v>0</v>
      </c>
    </row>
    <row r="2731" spans="28:34">
      <c r="AB2731" s="580">
        <f>HLOOKUP("*"&amp;'Output annual'!$AC$2&amp;'Output annual'!$AD$2&amp;"*Zone People Number Of Occupants [](Hourly)",'Eplus results'!$1:$1048576,ROW(),FALSE)</f>
        <v>0</v>
      </c>
      <c r="AC2731" s="580">
        <f>HLOOKUP("*"&amp;'Output annual'!$AC$2&amp;'Output annual'!$AD$2&amp;"*FangerPMV(Hourly)",'Eplus results'!$1:$1048576,ROW(),FALSE)</f>
        <v>0</v>
      </c>
      <c r="AD2731" s="580">
        <f t="shared" si="246"/>
        <v>5</v>
      </c>
      <c r="AE2731" s="580">
        <f t="shared" si="247"/>
        <v>2.5</v>
      </c>
      <c r="AF2731" s="580">
        <f t="shared" si="248"/>
        <v>2.5</v>
      </c>
      <c r="AG2731" s="580">
        <f t="shared" si="249"/>
        <v>0</v>
      </c>
      <c r="AH2731" s="580">
        <f t="shared" si="250"/>
        <v>0</v>
      </c>
    </row>
    <row r="2732" spans="28:34">
      <c r="AB2732" s="580">
        <f>HLOOKUP("*"&amp;'Output annual'!$AC$2&amp;'Output annual'!$AD$2&amp;"*Zone People Number Of Occupants [](Hourly)",'Eplus results'!$1:$1048576,ROW(),FALSE)</f>
        <v>0</v>
      </c>
      <c r="AC2732" s="580">
        <f>HLOOKUP("*"&amp;'Output annual'!$AC$2&amp;'Output annual'!$AD$2&amp;"*FangerPMV(Hourly)",'Eplus results'!$1:$1048576,ROW(),FALSE)</f>
        <v>0</v>
      </c>
      <c r="AD2732" s="580">
        <f t="shared" si="246"/>
        <v>5</v>
      </c>
      <c r="AE2732" s="580">
        <f t="shared" si="247"/>
        <v>2.5</v>
      </c>
      <c r="AF2732" s="580">
        <f t="shared" si="248"/>
        <v>2.5</v>
      </c>
      <c r="AG2732" s="580">
        <f t="shared" si="249"/>
        <v>0</v>
      </c>
      <c r="AH2732" s="580">
        <f t="shared" si="250"/>
        <v>0</v>
      </c>
    </row>
    <row r="2733" spans="28:34">
      <c r="AB2733" s="580">
        <f>HLOOKUP("*"&amp;'Output annual'!$AC$2&amp;'Output annual'!$AD$2&amp;"*Zone People Number Of Occupants [](Hourly)",'Eplus results'!$1:$1048576,ROW(),FALSE)</f>
        <v>0</v>
      </c>
      <c r="AC2733" s="580">
        <f>HLOOKUP("*"&amp;'Output annual'!$AC$2&amp;'Output annual'!$AD$2&amp;"*FangerPMV(Hourly)",'Eplus results'!$1:$1048576,ROW(),FALSE)</f>
        <v>0</v>
      </c>
      <c r="AD2733" s="580">
        <f t="shared" si="246"/>
        <v>5</v>
      </c>
      <c r="AE2733" s="580">
        <f t="shared" si="247"/>
        <v>2.5</v>
      </c>
      <c r="AF2733" s="580">
        <f t="shared" si="248"/>
        <v>2.5</v>
      </c>
      <c r="AG2733" s="580">
        <f t="shared" si="249"/>
        <v>0</v>
      </c>
      <c r="AH2733" s="580">
        <f t="shared" si="250"/>
        <v>0</v>
      </c>
    </row>
    <row r="2734" spans="28:34">
      <c r="AB2734" s="580">
        <f>HLOOKUP("*"&amp;'Output annual'!$AC$2&amp;'Output annual'!$AD$2&amp;"*Zone People Number Of Occupants [](Hourly)",'Eplus results'!$1:$1048576,ROW(),FALSE)</f>
        <v>0</v>
      </c>
      <c r="AC2734" s="580">
        <f>HLOOKUP("*"&amp;'Output annual'!$AC$2&amp;'Output annual'!$AD$2&amp;"*FangerPMV(Hourly)",'Eplus results'!$1:$1048576,ROW(),FALSE)</f>
        <v>0</v>
      </c>
      <c r="AD2734" s="580">
        <f t="shared" si="246"/>
        <v>5</v>
      </c>
      <c r="AE2734" s="580">
        <f t="shared" si="247"/>
        <v>2.5</v>
      </c>
      <c r="AF2734" s="580">
        <f t="shared" si="248"/>
        <v>2.5</v>
      </c>
      <c r="AG2734" s="580">
        <f t="shared" si="249"/>
        <v>0</v>
      </c>
      <c r="AH2734" s="580">
        <f t="shared" si="250"/>
        <v>0</v>
      </c>
    </row>
    <row r="2735" spans="28:34">
      <c r="AB2735" s="580">
        <f>HLOOKUP("*"&amp;'Output annual'!$AC$2&amp;'Output annual'!$AD$2&amp;"*Zone People Number Of Occupants [](Hourly)",'Eplus results'!$1:$1048576,ROW(),FALSE)</f>
        <v>0</v>
      </c>
      <c r="AC2735" s="580">
        <f>HLOOKUP("*"&amp;'Output annual'!$AC$2&amp;'Output annual'!$AD$2&amp;"*FangerPMV(Hourly)",'Eplus results'!$1:$1048576,ROW(),FALSE)</f>
        <v>0</v>
      </c>
      <c r="AD2735" s="580">
        <f t="shared" si="246"/>
        <v>5</v>
      </c>
      <c r="AE2735" s="580">
        <f t="shared" si="247"/>
        <v>2.5</v>
      </c>
      <c r="AF2735" s="580">
        <f t="shared" si="248"/>
        <v>2.5</v>
      </c>
      <c r="AG2735" s="580">
        <f t="shared" si="249"/>
        <v>0</v>
      </c>
      <c r="AH2735" s="580">
        <f t="shared" si="250"/>
        <v>0</v>
      </c>
    </row>
    <row r="2736" spans="28:34">
      <c r="AB2736" s="580">
        <f>HLOOKUP("*"&amp;'Output annual'!$AC$2&amp;'Output annual'!$AD$2&amp;"*Zone People Number Of Occupants [](Hourly)",'Eplus results'!$1:$1048576,ROW(),FALSE)</f>
        <v>0</v>
      </c>
      <c r="AC2736" s="580">
        <f>HLOOKUP("*"&amp;'Output annual'!$AC$2&amp;'Output annual'!$AD$2&amp;"*FangerPMV(Hourly)",'Eplus results'!$1:$1048576,ROW(),FALSE)</f>
        <v>0</v>
      </c>
      <c r="AD2736" s="580">
        <f t="shared" si="246"/>
        <v>5</v>
      </c>
      <c r="AE2736" s="580">
        <f t="shared" si="247"/>
        <v>2.5</v>
      </c>
      <c r="AF2736" s="580">
        <f t="shared" si="248"/>
        <v>2.5</v>
      </c>
      <c r="AG2736" s="580">
        <f t="shared" si="249"/>
        <v>0</v>
      </c>
      <c r="AH2736" s="580">
        <f t="shared" si="250"/>
        <v>0</v>
      </c>
    </row>
    <row r="2737" spans="28:34">
      <c r="AB2737" s="580">
        <f>HLOOKUP("*"&amp;'Output annual'!$AC$2&amp;'Output annual'!$AD$2&amp;"*Zone People Number Of Occupants [](Hourly)",'Eplus results'!$1:$1048576,ROW(),FALSE)</f>
        <v>0</v>
      </c>
      <c r="AC2737" s="580">
        <f>HLOOKUP("*"&amp;'Output annual'!$AC$2&amp;'Output annual'!$AD$2&amp;"*FangerPMV(Hourly)",'Eplus results'!$1:$1048576,ROW(),FALSE)</f>
        <v>0</v>
      </c>
      <c r="AD2737" s="580">
        <f t="shared" si="246"/>
        <v>5</v>
      </c>
      <c r="AE2737" s="580">
        <f t="shared" si="247"/>
        <v>2.5</v>
      </c>
      <c r="AF2737" s="580">
        <f t="shared" si="248"/>
        <v>2.5</v>
      </c>
      <c r="AG2737" s="580">
        <f t="shared" si="249"/>
        <v>0</v>
      </c>
      <c r="AH2737" s="580">
        <f t="shared" si="250"/>
        <v>0</v>
      </c>
    </row>
    <row r="2738" spans="28:34">
      <c r="AB2738" s="580">
        <f>HLOOKUP("*"&amp;'Output annual'!$AC$2&amp;'Output annual'!$AD$2&amp;"*Zone People Number Of Occupants [](Hourly)",'Eplus results'!$1:$1048576,ROW(),FALSE)</f>
        <v>0</v>
      </c>
      <c r="AC2738" s="580">
        <f>HLOOKUP("*"&amp;'Output annual'!$AC$2&amp;'Output annual'!$AD$2&amp;"*FangerPMV(Hourly)",'Eplus results'!$1:$1048576,ROW(),FALSE)</f>
        <v>0</v>
      </c>
      <c r="AD2738" s="580">
        <f t="shared" si="246"/>
        <v>5</v>
      </c>
      <c r="AE2738" s="580">
        <f t="shared" si="247"/>
        <v>2.5</v>
      </c>
      <c r="AF2738" s="580">
        <f t="shared" si="248"/>
        <v>2.5</v>
      </c>
      <c r="AG2738" s="580">
        <f t="shared" si="249"/>
        <v>0</v>
      </c>
      <c r="AH2738" s="580">
        <f t="shared" si="250"/>
        <v>0</v>
      </c>
    </row>
    <row r="2739" spans="28:34">
      <c r="AB2739" s="580">
        <f>HLOOKUP("*"&amp;'Output annual'!$AC$2&amp;'Output annual'!$AD$2&amp;"*Zone People Number Of Occupants [](Hourly)",'Eplus results'!$1:$1048576,ROW(),FALSE)</f>
        <v>0</v>
      </c>
      <c r="AC2739" s="580">
        <f>HLOOKUP("*"&amp;'Output annual'!$AC$2&amp;'Output annual'!$AD$2&amp;"*FangerPMV(Hourly)",'Eplus results'!$1:$1048576,ROW(),FALSE)</f>
        <v>0</v>
      </c>
      <c r="AD2739" s="580">
        <f t="shared" si="246"/>
        <v>5</v>
      </c>
      <c r="AE2739" s="580">
        <f t="shared" si="247"/>
        <v>2.5</v>
      </c>
      <c r="AF2739" s="580">
        <f t="shared" si="248"/>
        <v>2.5</v>
      </c>
      <c r="AG2739" s="580">
        <f t="shared" si="249"/>
        <v>0</v>
      </c>
      <c r="AH2739" s="580">
        <f t="shared" si="250"/>
        <v>0</v>
      </c>
    </row>
    <row r="2740" spans="28:34">
      <c r="AB2740" s="580">
        <f>HLOOKUP("*"&amp;'Output annual'!$AC$2&amp;'Output annual'!$AD$2&amp;"*Zone People Number Of Occupants [](Hourly)",'Eplus results'!$1:$1048576,ROW(),FALSE)</f>
        <v>0</v>
      </c>
      <c r="AC2740" s="580">
        <f>HLOOKUP("*"&amp;'Output annual'!$AC$2&amp;'Output annual'!$AD$2&amp;"*FangerPMV(Hourly)",'Eplus results'!$1:$1048576,ROW(),FALSE)</f>
        <v>0</v>
      </c>
      <c r="AD2740" s="580">
        <f t="shared" si="246"/>
        <v>5</v>
      </c>
      <c r="AE2740" s="580">
        <f t="shared" si="247"/>
        <v>2.5</v>
      </c>
      <c r="AF2740" s="580">
        <f t="shared" si="248"/>
        <v>2.5</v>
      </c>
      <c r="AG2740" s="580">
        <f t="shared" si="249"/>
        <v>0</v>
      </c>
      <c r="AH2740" s="580">
        <f t="shared" si="250"/>
        <v>0</v>
      </c>
    </row>
    <row r="2741" spans="28:34">
      <c r="AB2741" s="580">
        <f>HLOOKUP("*"&amp;'Output annual'!$AC$2&amp;'Output annual'!$AD$2&amp;"*Zone People Number Of Occupants [](Hourly)",'Eplus results'!$1:$1048576,ROW(),FALSE)</f>
        <v>0</v>
      </c>
      <c r="AC2741" s="580">
        <f>HLOOKUP("*"&amp;'Output annual'!$AC$2&amp;'Output annual'!$AD$2&amp;"*FangerPMV(Hourly)",'Eplus results'!$1:$1048576,ROW(),FALSE)</f>
        <v>0</v>
      </c>
      <c r="AD2741" s="580">
        <f t="shared" si="246"/>
        <v>5</v>
      </c>
      <c r="AE2741" s="580">
        <f t="shared" si="247"/>
        <v>2.5</v>
      </c>
      <c r="AF2741" s="580">
        <f t="shared" si="248"/>
        <v>2.5</v>
      </c>
      <c r="AG2741" s="580">
        <f t="shared" si="249"/>
        <v>0</v>
      </c>
      <c r="AH2741" s="580">
        <f t="shared" si="250"/>
        <v>0</v>
      </c>
    </row>
    <row r="2742" spans="28:34">
      <c r="AB2742" s="580">
        <f>HLOOKUP("*"&amp;'Output annual'!$AC$2&amp;'Output annual'!$AD$2&amp;"*Zone People Number Of Occupants [](Hourly)",'Eplus results'!$1:$1048576,ROW(),FALSE)</f>
        <v>0</v>
      </c>
      <c r="AC2742" s="580">
        <f>HLOOKUP("*"&amp;'Output annual'!$AC$2&amp;'Output annual'!$AD$2&amp;"*FangerPMV(Hourly)",'Eplus results'!$1:$1048576,ROW(),FALSE)</f>
        <v>0</v>
      </c>
      <c r="AD2742" s="580">
        <f t="shared" si="246"/>
        <v>5</v>
      </c>
      <c r="AE2742" s="580">
        <f t="shared" si="247"/>
        <v>2.5</v>
      </c>
      <c r="AF2742" s="580">
        <f t="shared" si="248"/>
        <v>2.5</v>
      </c>
      <c r="AG2742" s="580">
        <f t="shared" si="249"/>
        <v>0</v>
      </c>
      <c r="AH2742" s="580">
        <f t="shared" si="250"/>
        <v>0</v>
      </c>
    </row>
    <row r="2743" spans="28:34">
      <c r="AB2743" s="580">
        <f>HLOOKUP("*"&amp;'Output annual'!$AC$2&amp;'Output annual'!$AD$2&amp;"*Zone People Number Of Occupants [](Hourly)",'Eplus results'!$1:$1048576,ROW(),FALSE)</f>
        <v>0</v>
      </c>
      <c r="AC2743" s="580">
        <f>HLOOKUP("*"&amp;'Output annual'!$AC$2&amp;'Output annual'!$AD$2&amp;"*FangerPMV(Hourly)",'Eplus results'!$1:$1048576,ROW(),FALSE)</f>
        <v>0</v>
      </c>
      <c r="AD2743" s="580">
        <f t="shared" si="246"/>
        <v>5</v>
      </c>
      <c r="AE2743" s="580">
        <f t="shared" si="247"/>
        <v>2.5</v>
      </c>
      <c r="AF2743" s="580">
        <f t="shared" si="248"/>
        <v>2.5</v>
      </c>
      <c r="AG2743" s="580">
        <f t="shared" si="249"/>
        <v>0</v>
      </c>
      <c r="AH2743" s="580">
        <f t="shared" si="250"/>
        <v>0</v>
      </c>
    </row>
    <row r="2744" spans="28:34">
      <c r="AB2744" s="580">
        <f>HLOOKUP("*"&amp;'Output annual'!$AC$2&amp;'Output annual'!$AD$2&amp;"*Zone People Number Of Occupants [](Hourly)",'Eplus results'!$1:$1048576,ROW(),FALSE)</f>
        <v>0</v>
      </c>
      <c r="AC2744" s="580">
        <f>HLOOKUP("*"&amp;'Output annual'!$AC$2&amp;'Output annual'!$AD$2&amp;"*FangerPMV(Hourly)",'Eplus results'!$1:$1048576,ROW(),FALSE)</f>
        <v>0</v>
      </c>
      <c r="AD2744" s="580">
        <f t="shared" si="246"/>
        <v>5</v>
      </c>
      <c r="AE2744" s="580">
        <f t="shared" si="247"/>
        <v>2.5</v>
      </c>
      <c r="AF2744" s="580">
        <f t="shared" si="248"/>
        <v>2.5</v>
      </c>
      <c r="AG2744" s="580">
        <f t="shared" si="249"/>
        <v>0</v>
      </c>
      <c r="AH2744" s="580">
        <f t="shared" si="250"/>
        <v>0</v>
      </c>
    </row>
    <row r="2745" spans="28:34">
      <c r="AB2745" s="580">
        <f>HLOOKUP("*"&amp;'Output annual'!$AC$2&amp;'Output annual'!$AD$2&amp;"*Zone People Number Of Occupants [](Hourly)",'Eplus results'!$1:$1048576,ROW(),FALSE)</f>
        <v>0</v>
      </c>
      <c r="AC2745" s="580">
        <f>HLOOKUP("*"&amp;'Output annual'!$AC$2&amp;'Output annual'!$AD$2&amp;"*FangerPMV(Hourly)",'Eplus results'!$1:$1048576,ROW(),FALSE)</f>
        <v>0</v>
      </c>
      <c r="AD2745" s="580">
        <f t="shared" si="246"/>
        <v>5</v>
      </c>
      <c r="AE2745" s="580">
        <f t="shared" si="247"/>
        <v>2.5</v>
      </c>
      <c r="AF2745" s="580">
        <f t="shared" si="248"/>
        <v>2.5</v>
      </c>
      <c r="AG2745" s="580">
        <f t="shared" si="249"/>
        <v>0</v>
      </c>
      <c r="AH2745" s="580">
        <f t="shared" si="250"/>
        <v>0</v>
      </c>
    </row>
    <row r="2746" spans="28:34">
      <c r="AB2746" s="580">
        <f>HLOOKUP("*"&amp;'Output annual'!$AC$2&amp;'Output annual'!$AD$2&amp;"*Zone People Number Of Occupants [](Hourly)",'Eplus results'!$1:$1048576,ROW(),FALSE)</f>
        <v>0</v>
      </c>
      <c r="AC2746" s="580">
        <f>HLOOKUP("*"&amp;'Output annual'!$AC$2&amp;'Output annual'!$AD$2&amp;"*FangerPMV(Hourly)",'Eplus results'!$1:$1048576,ROW(),FALSE)</f>
        <v>0</v>
      </c>
      <c r="AD2746" s="580">
        <f t="shared" si="246"/>
        <v>5</v>
      </c>
      <c r="AE2746" s="580">
        <f t="shared" si="247"/>
        <v>2.5</v>
      </c>
      <c r="AF2746" s="580">
        <f t="shared" si="248"/>
        <v>2.5</v>
      </c>
      <c r="AG2746" s="580">
        <f t="shared" si="249"/>
        <v>0</v>
      </c>
      <c r="AH2746" s="580">
        <f t="shared" si="250"/>
        <v>0</v>
      </c>
    </row>
    <row r="2747" spans="28:34">
      <c r="AB2747" s="580">
        <f>HLOOKUP("*"&amp;'Output annual'!$AC$2&amp;'Output annual'!$AD$2&amp;"*Zone People Number Of Occupants [](Hourly)",'Eplus results'!$1:$1048576,ROW(),FALSE)</f>
        <v>0</v>
      </c>
      <c r="AC2747" s="580">
        <f>HLOOKUP("*"&amp;'Output annual'!$AC$2&amp;'Output annual'!$AD$2&amp;"*FangerPMV(Hourly)",'Eplus results'!$1:$1048576,ROW(),FALSE)</f>
        <v>0</v>
      </c>
      <c r="AD2747" s="580">
        <f t="shared" si="246"/>
        <v>5</v>
      </c>
      <c r="AE2747" s="580">
        <f t="shared" si="247"/>
        <v>2.5</v>
      </c>
      <c r="AF2747" s="580">
        <f t="shared" si="248"/>
        <v>2.5</v>
      </c>
      <c r="AG2747" s="580">
        <f t="shared" si="249"/>
        <v>0</v>
      </c>
      <c r="AH2747" s="580">
        <f t="shared" si="250"/>
        <v>0</v>
      </c>
    </row>
    <row r="2748" spans="28:34">
      <c r="AB2748" s="580">
        <f>HLOOKUP("*"&amp;'Output annual'!$AC$2&amp;'Output annual'!$AD$2&amp;"*Zone People Number Of Occupants [](Hourly)",'Eplus results'!$1:$1048576,ROW(),FALSE)</f>
        <v>0</v>
      </c>
      <c r="AC2748" s="580">
        <f>HLOOKUP("*"&amp;'Output annual'!$AC$2&amp;'Output annual'!$AD$2&amp;"*FangerPMV(Hourly)",'Eplus results'!$1:$1048576,ROW(),FALSE)</f>
        <v>0</v>
      </c>
      <c r="AD2748" s="580">
        <f t="shared" si="246"/>
        <v>5</v>
      </c>
      <c r="AE2748" s="580">
        <f t="shared" si="247"/>
        <v>2.5</v>
      </c>
      <c r="AF2748" s="580">
        <f t="shared" si="248"/>
        <v>2.5</v>
      </c>
      <c r="AG2748" s="580">
        <f t="shared" si="249"/>
        <v>0</v>
      </c>
      <c r="AH2748" s="580">
        <f t="shared" si="250"/>
        <v>0</v>
      </c>
    </row>
    <row r="2749" spans="28:34">
      <c r="AB2749" s="580">
        <f>HLOOKUP("*"&amp;'Output annual'!$AC$2&amp;'Output annual'!$AD$2&amp;"*Zone People Number Of Occupants [](Hourly)",'Eplus results'!$1:$1048576,ROW(),FALSE)</f>
        <v>0</v>
      </c>
      <c r="AC2749" s="580">
        <f>HLOOKUP("*"&amp;'Output annual'!$AC$2&amp;'Output annual'!$AD$2&amp;"*FangerPMV(Hourly)",'Eplus results'!$1:$1048576,ROW(),FALSE)</f>
        <v>0</v>
      </c>
      <c r="AD2749" s="580">
        <f t="shared" si="246"/>
        <v>5</v>
      </c>
      <c r="AE2749" s="580">
        <f t="shared" si="247"/>
        <v>2.5</v>
      </c>
      <c r="AF2749" s="580">
        <f t="shared" si="248"/>
        <v>2.5</v>
      </c>
      <c r="AG2749" s="580">
        <f t="shared" si="249"/>
        <v>0</v>
      </c>
      <c r="AH2749" s="580">
        <f t="shared" si="250"/>
        <v>0</v>
      </c>
    </row>
    <row r="2750" spans="28:34">
      <c r="AB2750" s="580">
        <f>HLOOKUP("*"&amp;'Output annual'!$AC$2&amp;'Output annual'!$AD$2&amp;"*Zone People Number Of Occupants [](Hourly)",'Eplus results'!$1:$1048576,ROW(),FALSE)</f>
        <v>0</v>
      </c>
      <c r="AC2750" s="580">
        <f>HLOOKUP("*"&amp;'Output annual'!$AC$2&amp;'Output annual'!$AD$2&amp;"*FangerPMV(Hourly)",'Eplus results'!$1:$1048576,ROW(),FALSE)</f>
        <v>0</v>
      </c>
      <c r="AD2750" s="580">
        <f t="shared" si="246"/>
        <v>5</v>
      </c>
      <c r="AE2750" s="580">
        <f t="shared" si="247"/>
        <v>2.5</v>
      </c>
      <c r="AF2750" s="580">
        <f t="shared" si="248"/>
        <v>2.5</v>
      </c>
      <c r="AG2750" s="580">
        <f t="shared" si="249"/>
        <v>0</v>
      </c>
      <c r="AH2750" s="580">
        <f t="shared" si="250"/>
        <v>0</v>
      </c>
    </row>
    <row r="2751" spans="28:34">
      <c r="AB2751" s="580">
        <f>HLOOKUP("*"&amp;'Output annual'!$AC$2&amp;'Output annual'!$AD$2&amp;"*Zone People Number Of Occupants [](Hourly)",'Eplus results'!$1:$1048576,ROW(),FALSE)</f>
        <v>0</v>
      </c>
      <c r="AC2751" s="580">
        <f>HLOOKUP("*"&amp;'Output annual'!$AC$2&amp;'Output annual'!$AD$2&amp;"*FangerPMV(Hourly)",'Eplus results'!$1:$1048576,ROW(),FALSE)</f>
        <v>0</v>
      </c>
      <c r="AD2751" s="580">
        <f t="shared" si="246"/>
        <v>5</v>
      </c>
      <c r="AE2751" s="580">
        <f t="shared" si="247"/>
        <v>2.5</v>
      </c>
      <c r="AF2751" s="580">
        <f t="shared" si="248"/>
        <v>2.5</v>
      </c>
      <c r="AG2751" s="580">
        <f t="shared" si="249"/>
        <v>0</v>
      </c>
      <c r="AH2751" s="580">
        <f t="shared" si="250"/>
        <v>0</v>
      </c>
    </row>
    <row r="2752" spans="28:34">
      <c r="AB2752" s="580">
        <f>HLOOKUP("*"&amp;'Output annual'!$AC$2&amp;'Output annual'!$AD$2&amp;"*Zone People Number Of Occupants [](Hourly)",'Eplus results'!$1:$1048576,ROW(),FALSE)</f>
        <v>0</v>
      </c>
      <c r="AC2752" s="580">
        <f>HLOOKUP("*"&amp;'Output annual'!$AC$2&amp;'Output annual'!$AD$2&amp;"*FangerPMV(Hourly)",'Eplus results'!$1:$1048576,ROW(),FALSE)</f>
        <v>0</v>
      </c>
      <c r="AD2752" s="580">
        <f t="shared" si="246"/>
        <v>5</v>
      </c>
      <c r="AE2752" s="580">
        <f t="shared" si="247"/>
        <v>2.5</v>
      </c>
      <c r="AF2752" s="580">
        <f t="shared" si="248"/>
        <v>2.5</v>
      </c>
      <c r="AG2752" s="580">
        <f t="shared" si="249"/>
        <v>0</v>
      </c>
      <c r="AH2752" s="580">
        <f t="shared" si="250"/>
        <v>0</v>
      </c>
    </row>
    <row r="2753" spans="28:34">
      <c r="AB2753" s="580">
        <f>HLOOKUP("*"&amp;'Output annual'!$AC$2&amp;'Output annual'!$AD$2&amp;"*Zone People Number Of Occupants [](Hourly)",'Eplus results'!$1:$1048576,ROW(),FALSE)</f>
        <v>0</v>
      </c>
      <c r="AC2753" s="580">
        <f>HLOOKUP("*"&amp;'Output annual'!$AC$2&amp;'Output annual'!$AD$2&amp;"*FangerPMV(Hourly)",'Eplus results'!$1:$1048576,ROW(),FALSE)</f>
        <v>0</v>
      </c>
      <c r="AD2753" s="580">
        <f t="shared" si="246"/>
        <v>5</v>
      </c>
      <c r="AE2753" s="580">
        <f t="shared" si="247"/>
        <v>2.5</v>
      </c>
      <c r="AF2753" s="580">
        <f t="shared" si="248"/>
        <v>2.5</v>
      </c>
      <c r="AG2753" s="580">
        <f t="shared" si="249"/>
        <v>0</v>
      </c>
      <c r="AH2753" s="580">
        <f t="shared" si="250"/>
        <v>0</v>
      </c>
    </row>
    <row r="2754" spans="28:34">
      <c r="AB2754" s="580">
        <f>HLOOKUP("*"&amp;'Output annual'!$AC$2&amp;'Output annual'!$AD$2&amp;"*Zone People Number Of Occupants [](Hourly)",'Eplus results'!$1:$1048576,ROW(),FALSE)</f>
        <v>0</v>
      </c>
      <c r="AC2754" s="580">
        <f>HLOOKUP("*"&amp;'Output annual'!$AC$2&amp;'Output annual'!$AD$2&amp;"*FangerPMV(Hourly)",'Eplus results'!$1:$1048576,ROW(),FALSE)</f>
        <v>0</v>
      </c>
      <c r="AD2754" s="580">
        <f t="shared" si="246"/>
        <v>5</v>
      </c>
      <c r="AE2754" s="580">
        <f t="shared" si="247"/>
        <v>2.5</v>
      </c>
      <c r="AF2754" s="580">
        <f t="shared" si="248"/>
        <v>2.5</v>
      </c>
      <c r="AG2754" s="580">
        <f t="shared" si="249"/>
        <v>0</v>
      </c>
      <c r="AH2754" s="580">
        <f t="shared" si="250"/>
        <v>0</v>
      </c>
    </row>
    <row r="2755" spans="28:34">
      <c r="AB2755" s="580">
        <f>HLOOKUP("*"&amp;'Output annual'!$AC$2&amp;'Output annual'!$AD$2&amp;"*Zone People Number Of Occupants [](Hourly)",'Eplus results'!$1:$1048576,ROW(),FALSE)</f>
        <v>0</v>
      </c>
      <c r="AC2755" s="580">
        <f>HLOOKUP("*"&amp;'Output annual'!$AC$2&amp;'Output annual'!$AD$2&amp;"*FangerPMV(Hourly)",'Eplus results'!$1:$1048576,ROW(),FALSE)</f>
        <v>0</v>
      </c>
      <c r="AD2755" s="580">
        <f t="shared" ref="AD2755:AD2818" si="251">100-95*EXP(-0.03353*AC2755^4-0.2179*AC2755^2)</f>
        <v>5</v>
      </c>
      <c r="AE2755" s="580">
        <f t="shared" ref="AE2755:AE2818" si="252">AD2755*(1/(1+EXP(-6.3*$AC2755)))</f>
        <v>2.5</v>
      </c>
      <c r="AF2755" s="580">
        <f t="shared" ref="AF2755:AF2818" si="253">(AD2755-AE2755)</f>
        <v>2.5</v>
      </c>
      <c r="AG2755" s="580">
        <f t="shared" ref="AG2755:AG2818" si="254">AE2755*AB2755</f>
        <v>0</v>
      </c>
      <c r="AH2755" s="580">
        <f t="shared" ref="AH2755:AH2818" si="255">AF2755*AB2755</f>
        <v>0</v>
      </c>
    </row>
    <row r="2756" spans="28:34">
      <c r="AB2756" s="580">
        <f>HLOOKUP("*"&amp;'Output annual'!$AC$2&amp;'Output annual'!$AD$2&amp;"*Zone People Number Of Occupants [](Hourly)",'Eplus results'!$1:$1048576,ROW(),FALSE)</f>
        <v>0</v>
      </c>
      <c r="AC2756" s="580">
        <f>HLOOKUP("*"&amp;'Output annual'!$AC$2&amp;'Output annual'!$AD$2&amp;"*FangerPMV(Hourly)",'Eplus results'!$1:$1048576,ROW(),FALSE)</f>
        <v>0</v>
      </c>
      <c r="AD2756" s="580">
        <f t="shared" si="251"/>
        <v>5</v>
      </c>
      <c r="AE2756" s="580">
        <f t="shared" si="252"/>
        <v>2.5</v>
      </c>
      <c r="AF2756" s="580">
        <f t="shared" si="253"/>
        <v>2.5</v>
      </c>
      <c r="AG2756" s="580">
        <f t="shared" si="254"/>
        <v>0</v>
      </c>
      <c r="AH2756" s="580">
        <f t="shared" si="255"/>
        <v>0</v>
      </c>
    </row>
    <row r="2757" spans="28:34">
      <c r="AB2757" s="580">
        <f>HLOOKUP("*"&amp;'Output annual'!$AC$2&amp;'Output annual'!$AD$2&amp;"*Zone People Number Of Occupants [](Hourly)",'Eplus results'!$1:$1048576,ROW(),FALSE)</f>
        <v>0</v>
      </c>
      <c r="AC2757" s="580">
        <f>HLOOKUP("*"&amp;'Output annual'!$AC$2&amp;'Output annual'!$AD$2&amp;"*FangerPMV(Hourly)",'Eplus results'!$1:$1048576,ROW(),FALSE)</f>
        <v>0</v>
      </c>
      <c r="AD2757" s="580">
        <f t="shared" si="251"/>
        <v>5</v>
      </c>
      <c r="AE2757" s="580">
        <f t="shared" si="252"/>
        <v>2.5</v>
      </c>
      <c r="AF2757" s="580">
        <f t="shared" si="253"/>
        <v>2.5</v>
      </c>
      <c r="AG2757" s="580">
        <f t="shared" si="254"/>
        <v>0</v>
      </c>
      <c r="AH2757" s="580">
        <f t="shared" si="255"/>
        <v>0</v>
      </c>
    </row>
    <row r="2758" spans="28:34">
      <c r="AB2758" s="580">
        <f>HLOOKUP("*"&amp;'Output annual'!$AC$2&amp;'Output annual'!$AD$2&amp;"*Zone People Number Of Occupants [](Hourly)",'Eplus results'!$1:$1048576,ROW(),FALSE)</f>
        <v>0</v>
      </c>
      <c r="AC2758" s="580">
        <f>HLOOKUP("*"&amp;'Output annual'!$AC$2&amp;'Output annual'!$AD$2&amp;"*FangerPMV(Hourly)",'Eplus results'!$1:$1048576,ROW(),FALSE)</f>
        <v>0</v>
      </c>
      <c r="AD2758" s="580">
        <f t="shared" si="251"/>
        <v>5</v>
      </c>
      <c r="AE2758" s="580">
        <f t="shared" si="252"/>
        <v>2.5</v>
      </c>
      <c r="AF2758" s="580">
        <f t="shared" si="253"/>
        <v>2.5</v>
      </c>
      <c r="AG2758" s="580">
        <f t="shared" si="254"/>
        <v>0</v>
      </c>
      <c r="AH2758" s="580">
        <f t="shared" si="255"/>
        <v>0</v>
      </c>
    </row>
    <row r="2759" spans="28:34">
      <c r="AB2759" s="580">
        <f>HLOOKUP("*"&amp;'Output annual'!$AC$2&amp;'Output annual'!$AD$2&amp;"*Zone People Number Of Occupants [](Hourly)",'Eplus results'!$1:$1048576,ROW(),FALSE)</f>
        <v>0</v>
      </c>
      <c r="AC2759" s="580">
        <f>HLOOKUP("*"&amp;'Output annual'!$AC$2&amp;'Output annual'!$AD$2&amp;"*FangerPMV(Hourly)",'Eplus results'!$1:$1048576,ROW(),FALSE)</f>
        <v>0</v>
      </c>
      <c r="AD2759" s="580">
        <f t="shared" si="251"/>
        <v>5</v>
      </c>
      <c r="AE2759" s="580">
        <f t="shared" si="252"/>
        <v>2.5</v>
      </c>
      <c r="AF2759" s="580">
        <f t="shared" si="253"/>
        <v>2.5</v>
      </c>
      <c r="AG2759" s="580">
        <f t="shared" si="254"/>
        <v>0</v>
      </c>
      <c r="AH2759" s="580">
        <f t="shared" si="255"/>
        <v>0</v>
      </c>
    </row>
    <row r="2760" spans="28:34">
      <c r="AB2760" s="580">
        <f>HLOOKUP("*"&amp;'Output annual'!$AC$2&amp;'Output annual'!$AD$2&amp;"*Zone People Number Of Occupants [](Hourly)",'Eplus results'!$1:$1048576,ROW(),FALSE)</f>
        <v>0</v>
      </c>
      <c r="AC2760" s="580">
        <f>HLOOKUP("*"&amp;'Output annual'!$AC$2&amp;'Output annual'!$AD$2&amp;"*FangerPMV(Hourly)",'Eplus results'!$1:$1048576,ROW(),FALSE)</f>
        <v>0</v>
      </c>
      <c r="AD2760" s="580">
        <f t="shared" si="251"/>
        <v>5</v>
      </c>
      <c r="AE2760" s="580">
        <f t="shared" si="252"/>
        <v>2.5</v>
      </c>
      <c r="AF2760" s="580">
        <f t="shared" si="253"/>
        <v>2.5</v>
      </c>
      <c r="AG2760" s="580">
        <f t="shared" si="254"/>
        <v>0</v>
      </c>
      <c r="AH2760" s="580">
        <f t="shared" si="255"/>
        <v>0</v>
      </c>
    </row>
    <row r="2761" spans="28:34">
      <c r="AB2761" s="580">
        <f>HLOOKUP("*"&amp;'Output annual'!$AC$2&amp;'Output annual'!$AD$2&amp;"*Zone People Number Of Occupants [](Hourly)",'Eplus results'!$1:$1048576,ROW(),FALSE)</f>
        <v>0</v>
      </c>
      <c r="AC2761" s="580">
        <f>HLOOKUP("*"&amp;'Output annual'!$AC$2&amp;'Output annual'!$AD$2&amp;"*FangerPMV(Hourly)",'Eplus results'!$1:$1048576,ROW(),FALSE)</f>
        <v>0</v>
      </c>
      <c r="AD2761" s="580">
        <f t="shared" si="251"/>
        <v>5</v>
      </c>
      <c r="AE2761" s="580">
        <f t="shared" si="252"/>
        <v>2.5</v>
      </c>
      <c r="AF2761" s="580">
        <f t="shared" si="253"/>
        <v>2.5</v>
      </c>
      <c r="AG2761" s="580">
        <f t="shared" si="254"/>
        <v>0</v>
      </c>
      <c r="AH2761" s="580">
        <f t="shared" si="255"/>
        <v>0</v>
      </c>
    </row>
    <row r="2762" spans="28:34">
      <c r="AB2762" s="580">
        <f>HLOOKUP("*"&amp;'Output annual'!$AC$2&amp;'Output annual'!$AD$2&amp;"*Zone People Number Of Occupants [](Hourly)",'Eplus results'!$1:$1048576,ROW(),FALSE)</f>
        <v>0</v>
      </c>
      <c r="AC2762" s="580">
        <f>HLOOKUP("*"&amp;'Output annual'!$AC$2&amp;'Output annual'!$AD$2&amp;"*FangerPMV(Hourly)",'Eplus results'!$1:$1048576,ROW(),FALSE)</f>
        <v>0</v>
      </c>
      <c r="AD2762" s="580">
        <f t="shared" si="251"/>
        <v>5</v>
      </c>
      <c r="AE2762" s="580">
        <f t="shared" si="252"/>
        <v>2.5</v>
      </c>
      <c r="AF2762" s="580">
        <f t="shared" si="253"/>
        <v>2.5</v>
      </c>
      <c r="AG2762" s="580">
        <f t="shared" si="254"/>
        <v>0</v>
      </c>
      <c r="AH2762" s="580">
        <f t="shared" si="255"/>
        <v>0</v>
      </c>
    </row>
    <row r="2763" spans="28:34">
      <c r="AB2763" s="580">
        <f>HLOOKUP("*"&amp;'Output annual'!$AC$2&amp;'Output annual'!$AD$2&amp;"*Zone People Number Of Occupants [](Hourly)",'Eplus results'!$1:$1048576,ROW(),FALSE)</f>
        <v>0</v>
      </c>
      <c r="AC2763" s="580">
        <f>HLOOKUP("*"&amp;'Output annual'!$AC$2&amp;'Output annual'!$AD$2&amp;"*FangerPMV(Hourly)",'Eplus results'!$1:$1048576,ROW(),FALSE)</f>
        <v>0</v>
      </c>
      <c r="AD2763" s="580">
        <f t="shared" si="251"/>
        <v>5</v>
      </c>
      <c r="AE2763" s="580">
        <f t="shared" si="252"/>
        <v>2.5</v>
      </c>
      <c r="AF2763" s="580">
        <f t="shared" si="253"/>
        <v>2.5</v>
      </c>
      <c r="AG2763" s="580">
        <f t="shared" si="254"/>
        <v>0</v>
      </c>
      <c r="AH2763" s="580">
        <f t="shared" si="255"/>
        <v>0</v>
      </c>
    </row>
    <row r="2764" spans="28:34">
      <c r="AB2764" s="580">
        <f>HLOOKUP("*"&amp;'Output annual'!$AC$2&amp;'Output annual'!$AD$2&amp;"*Zone People Number Of Occupants [](Hourly)",'Eplus results'!$1:$1048576,ROW(),FALSE)</f>
        <v>0</v>
      </c>
      <c r="AC2764" s="580">
        <f>HLOOKUP("*"&amp;'Output annual'!$AC$2&amp;'Output annual'!$AD$2&amp;"*FangerPMV(Hourly)",'Eplus results'!$1:$1048576,ROW(),FALSE)</f>
        <v>0</v>
      </c>
      <c r="AD2764" s="580">
        <f t="shared" si="251"/>
        <v>5</v>
      </c>
      <c r="AE2764" s="580">
        <f t="shared" si="252"/>
        <v>2.5</v>
      </c>
      <c r="AF2764" s="580">
        <f t="shared" si="253"/>
        <v>2.5</v>
      </c>
      <c r="AG2764" s="580">
        <f t="shared" si="254"/>
        <v>0</v>
      </c>
      <c r="AH2764" s="580">
        <f t="shared" si="255"/>
        <v>0</v>
      </c>
    </row>
    <row r="2765" spans="28:34">
      <c r="AB2765" s="580">
        <f>HLOOKUP("*"&amp;'Output annual'!$AC$2&amp;'Output annual'!$AD$2&amp;"*Zone People Number Of Occupants [](Hourly)",'Eplus results'!$1:$1048576,ROW(),FALSE)</f>
        <v>0</v>
      </c>
      <c r="AC2765" s="580">
        <f>HLOOKUP("*"&amp;'Output annual'!$AC$2&amp;'Output annual'!$AD$2&amp;"*FangerPMV(Hourly)",'Eplus results'!$1:$1048576,ROW(),FALSE)</f>
        <v>0</v>
      </c>
      <c r="AD2765" s="580">
        <f t="shared" si="251"/>
        <v>5</v>
      </c>
      <c r="AE2765" s="580">
        <f t="shared" si="252"/>
        <v>2.5</v>
      </c>
      <c r="AF2765" s="580">
        <f t="shared" si="253"/>
        <v>2.5</v>
      </c>
      <c r="AG2765" s="580">
        <f t="shared" si="254"/>
        <v>0</v>
      </c>
      <c r="AH2765" s="580">
        <f t="shared" si="255"/>
        <v>0</v>
      </c>
    </row>
    <row r="2766" spans="28:34">
      <c r="AB2766" s="580">
        <f>HLOOKUP("*"&amp;'Output annual'!$AC$2&amp;'Output annual'!$AD$2&amp;"*Zone People Number Of Occupants [](Hourly)",'Eplus results'!$1:$1048576,ROW(),FALSE)</f>
        <v>0</v>
      </c>
      <c r="AC2766" s="580">
        <f>HLOOKUP("*"&amp;'Output annual'!$AC$2&amp;'Output annual'!$AD$2&amp;"*FangerPMV(Hourly)",'Eplus results'!$1:$1048576,ROW(),FALSE)</f>
        <v>0</v>
      </c>
      <c r="AD2766" s="580">
        <f t="shared" si="251"/>
        <v>5</v>
      </c>
      <c r="AE2766" s="580">
        <f t="shared" si="252"/>
        <v>2.5</v>
      </c>
      <c r="AF2766" s="580">
        <f t="shared" si="253"/>
        <v>2.5</v>
      </c>
      <c r="AG2766" s="580">
        <f t="shared" si="254"/>
        <v>0</v>
      </c>
      <c r="AH2766" s="580">
        <f t="shared" si="255"/>
        <v>0</v>
      </c>
    </row>
    <row r="2767" spans="28:34">
      <c r="AB2767" s="580">
        <f>HLOOKUP("*"&amp;'Output annual'!$AC$2&amp;'Output annual'!$AD$2&amp;"*Zone People Number Of Occupants [](Hourly)",'Eplus results'!$1:$1048576,ROW(),FALSE)</f>
        <v>0</v>
      </c>
      <c r="AC2767" s="580">
        <f>HLOOKUP("*"&amp;'Output annual'!$AC$2&amp;'Output annual'!$AD$2&amp;"*FangerPMV(Hourly)",'Eplus results'!$1:$1048576,ROW(),FALSE)</f>
        <v>0</v>
      </c>
      <c r="AD2767" s="580">
        <f t="shared" si="251"/>
        <v>5</v>
      </c>
      <c r="AE2767" s="580">
        <f t="shared" si="252"/>
        <v>2.5</v>
      </c>
      <c r="AF2767" s="580">
        <f t="shared" si="253"/>
        <v>2.5</v>
      </c>
      <c r="AG2767" s="580">
        <f t="shared" si="254"/>
        <v>0</v>
      </c>
      <c r="AH2767" s="580">
        <f t="shared" si="255"/>
        <v>0</v>
      </c>
    </row>
    <row r="2768" spans="28:34">
      <c r="AB2768" s="580">
        <f>HLOOKUP("*"&amp;'Output annual'!$AC$2&amp;'Output annual'!$AD$2&amp;"*Zone People Number Of Occupants [](Hourly)",'Eplus results'!$1:$1048576,ROW(),FALSE)</f>
        <v>0</v>
      </c>
      <c r="AC2768" s="580">
        <f>HLOOKUP("*"&amp;'Output annual'!$AC$2&amp;'Output annual'!$AD$2&amp;"*FangerPMV(Hourly)",'Eplus results'!$1:$1048576,ROW(),FALSE)</f>
        <v>0</v>
      </c>
      <c r="AD2768" s="580">
        <f t="shared" si="251"/>
        <v>5</v>
      </c>
      <c r="AE2768" s="580">
        <f t="shared" si="252"/>
        <v>2.5</v>
      </c>
      <c r="AF2768" s="580">
        <f t="shared" si="253"/>
        <v>2.5</v>
      </c>
      <c r="AG2768" s="580">
        <f t="shared" si="254"/>
        <v>0</v>
      </c>
      <c r="AH2768" s="580">
        <f t="shared" si="255"/>
        <v>0</v>
      </c>
    </row>
    <row r="2769" spans="28:34">
      <c r="AB2769" s="580">
        <f>HLOOKUP("*"&amp;'Output annual'!$AC$2&amp;'Output annual'!$AD$2&amp;"*Zone People Number Of Occupants [](Hourly)",'Eplus results'!$1:$1048576,ROW(),FALSE)</f>
        <v>0</v>
      </c>
      <c r="AC2769" s="580">
        <f>HLOOKUP("*"&amp;'Output annual'!$AC$2&amp;'Output annual'!$AD$2&amp;"*FangerPMV(Hourly)",'Eplus results'!$1:$1048576,ROW(),FALSE)</f>
        <v>0</v>
      </c>
      <c r="AD2769" s="580">
        <f t="shared" si="251"/>
        <v>5</v>
      </c>
      <c r="AE2769" s="580">
        <f t="shared" si="252"/>
        <v>2.5</v>
      </c>
      <c r="AF2769" s="580">
        <f t="shared" si="253"/>
        <v>2.5</v>
      </c>
      <c r="AG2769" s="580">
        <f t="shared" si="254"/>
        <v>0</v>
      </c>
      <c r="AH2769" s="580">
        <f t="shared" si="255"/>
        <v>0</v>
      </c>
    </row>
    <row r="2770" spans="28:34">
      <c r="AB2770" s="580">
        <f>HLOOKUP("*"&amp;'Output annual'!$AC$2&amp;'Output annual'!$AD$2&amp;"*Zone People Number Of Occupants [](Hourly)",'Eplus results'!$1:$1048576,ROW(),FALSE)</f>
        <v>0</v>
      </c>
      <c r="AC2770" s="580">
        <f>HLOOKUP("*"&amp;'Output annual'!$AC$2&amp;'Output annual'!$AD$2&amp;"*FangerPMV(Hourly)",'Eplus results'!$1:$1048576,ROW(),FALSE)</f>
        <v>0</v>
      </c>
      <c r="AD2770" s="580">
        <f t="shared" si="251"/>
        <v>5</v>
      </c>
      <c r="AE2770" s="580">
        <f t="shared" si="252"/>
        <v>2.5</v>
      </c>
      <c r="AF2770" s="580">
        <f t="shared" si="253"/>
        <v>2.5</v>
      </c>
      <c r="AG2770" s="580">
        <f t="shared" si="254"/>
        <v>0</v>
      </c>
      <c r="AH2770" s="580">
        <f t="shared" si="255"/>
        <v>0</v>
      </c>
    </row>
    <row r="2771" spans="28:34">
      <c r="AB2771" s="580">
        <f>HLOOKUP("*"&amp;'Output annual'!$AC$2&amp;'Output annual'!$AD$2&amp;"*Zone People Number Of Occupants [](Hourly)",'Eplus results'!$1:$1048576,ROW(),FALSE)</f>
        <v>0</v>
      </c>
      <c r="AC2771" s="580">
        <f>HLOOKUP("*"&amp;'Output annual'!$AC$2&amp;'Output annual'!$AD$2&amp;"*FangerPMV(Hourly)",'Eplus results'!$1:$1048576,ROW(),FALSE)</f>
        <v>0</v>
      </c>
      <c r="AD2771" s="580">
        <f t="shared" si="251"/>
        <v>5</v>
      </c>
      <c r="AE2771" s="580">
        <f t="shared" si="252"/>
        <v>2.5</v>
      </c>
      <c r="AF2771" s="580">
        <f t="shared" si="253"/>
        <v>2.5</v>
      </c>
      <c r="AG2771" s="580">
        <f t="shared" si="254"/>
        <v>0</v>
      </c>
      <c r="AH2771" s="580">
        <f t="shared" si="255"/>
        <v>0</v>
      </c>
    </row>
    <row r="2772" spans="28:34">
      <c r="AB2772" s="580">
        <f>HLOOKUP("*"&amp;'Output annual'!$AC$2&amp;'Output annual'!$AD$2&amp;"*Zone People Number Of Occupants [](Hourly)",'Eplus results'!$1:$1048576,ROW(),FALSE)</f>
        <v>0</v>
      </c>
      <c r="AC2772" s="580">
        <f>HLOOKUP("*"&amp;'Output annual'!$AC$2&amp;'Output annual'!$AD$2&amp;"*FangerPMV(Hourly)",'Eplus results'!$1:$1048576,ROW(),FALSE)</f>
        <v>0</v>
      </c>
      <c r="AD2772" s="580">
        <f t="shared" si="251"/>
        <v>5</v>
      </c>
      <c r="AE2772" s="580">
        <f t="shared" si="252"/>
        <v>2.5</v>
      </c>
      <c r="AF2772" s="580">
        <f t="shared" si="253"/>
        <v>2.5</v>
      </c>
      <c r="AG2772" s="580">
        <f t="shared" si="254"/>
        <v>0</v>
      </c>
      <c r="AH2772" s="580">
        <f t="shared" si="255"/>
        <v>0</v>
      </c>
    </row>
    <row r="2773" spans="28:34">
      <c r="AB2773" s="580">
        <f>HLOOKUP("*"&amp;'Output annual'!$AC$2&amp;'Output annual'!$AD$2&amp;"*Zone People Number Of Occupants [](Hourly)",'Eplus results'!$1:$1048576,ROW(),FALSE)</f>
        <v>0</v>
      </c>
      <c r="AC2773" s="580">
        <f>HLOOKUP("*"&amp;'Output annual'!$AC$2&amp;'Output annual'!$AD$2&amp;"*FangerPMV(Hourly)",'Eplus results'!$1:$1048576,ROW(),FALSE)</f>
        <v>0</v>
      </c>
      <c r="AD2773" s="580">
        <f t="shared" si="251"/>
        <v>5</v>
      </c>
      <c r="AE2773" s="580">
        <f t="shared" si="252"/>
        <v>2.5</v>
      </c>
      <c r="AF2773" s="580">
        <f t="shared" si="253"/>
        <v>2.5</v>
      </c>
      <c r="AG2773" s="580">
        <f t="shared" si="254"/>
        <v>0</v>
      </c>
      <c r="AH2773" s="580">
        <f t="shared" si="255"/>
        <v>0</v>
      </c>
    </row>
    <row r="2774" spans="28:34">
      <c r="AB2774" s="580">
        <f>HLOOKUP("*"&amp;'Output annual'!$AC$2&amp;'Output annual'!$AD$2&amp;"*Zone People Number Of Occupants [](Hourly)",'Eplus results'!$1:$1048576,ROW(),FALSE)</f>
        <v>0</v>
      </c>
      <c r="AC2774" s="580">
        <f>HLOOKUP("*"&amp;'Output annual'!$AC$2&amp;'Output annual'!$AD$2&amp;"*FangerPMV(Hourly)",'Eplus results'!$1:$1048576,ROW(),FALSE)</f>
        <v>0</v>
      </c>
      <c r="AD2774" s="580">
        <f t="shared" si="251"/>
        <v>5</v>
      </c>
      <c r="AE2774" s="580">
        <f t="shared" si="252"/>
        <v>2.5</v>
      </c>
      <c r="AF2774" s="580">
        <f t="shared" si="253"/>
        <v>2.5</v>
      </c>
      <c r="AG2774" s="580">
        <f t="shared" si="254"/>
        <v>0</v>
      </c>
      <c r="AH2774" s="580">
        <f t="shared" si="255"/>
        <v>0</v>
      </c>
    </row>
    <row r="2775" spans="28:34">
      <c r="AB2775" s="580">
        <f>HLOOKUP("*"&amp;'Output annual'!$AC$2&amp;'Output annual'!$AD$2&amp;"*Zone People Number Of Occupants [](Hourly)",'Eplus results'!$1:$1048576,ROW(),FALSE)</f>
        <v>0</v>
      </c>
      <c r="AC2775" s="580">
        <f>HLOOKUP("*"&amp;'Output annual'!$AC$2&amp;'Output annual'!$AD$2&amp;"*FangerPMV(Hourly)",'Eplus results'!$1:$1048576,ROW(),FALSE)</f>
        <v>0</v>
      </c>
      <c r="AD2775" s="580">
        <f t="shared" si="251"/>
        <v>5</v>
      </c>
      <c r="AE2775" s="580">
        <f t="shared" si="252"/>
        <v>2.5</v>
      </c>
      <c r="AF2775" s="580">
        <f t="shared" si="253"/>
        <v>2.5</v>
      </c>
      <c r="AG2775" s="580">
        <f t="shared" si="254"/>
        <v>0</v>
      </c>
      <c r="AH2775" s="580">
        <f t="shared" si="255"/>
        <v>0</v>
      </c>
    </row>
    <row r="2776" spans="28:34">
      <c r="AB2776" s="580">
        <f>HLOOKUP("*"&amp;'Output annual'!$AC$2&amp;'Output annual'!$AD$2&amp;"*Zone People Number Of Occupants [](Hourly)",'Eplus results'!$1:$1048576,ROW(),FALSE)</f>
        <v>0</v>
      </c>
      <c r="AC2776" s="580">
        <f>HLOOKUP("*"&amp;'Output annual'!$AC$2&amp;'Output annual'!$AD$2&amp;"*FangerPMV(Hourly)",'Eplus results'!$1:$1048576,ROW(),FALSE)</f>
        <v>0</v>
      </c>
      <c r="AD2776" s="580">
        <f t="shared" si="251"/>
        <v>5</v>
      </c>
      <c r="AE2776" s="580">
        <f t="shared" si="252"/>
        <v>2.5</v>
      </c>
      <c r="AF2776" s="580">
        <f t="shared" si="253"/>
        <v>2.5</v>
      </c>
      <c r="AG2776" s="580">
        <f t="shared" si="254"/>
        <v>0</v>
      </c>
      <c r="AH2776" s="580">
        <f t="shared" si="255"/>
        <v>0</v>
      </c>
    </row>
    <row r="2777" spans="28:34">
      <c r="AB2777" s="580">
        <f>HLOOKUP("*"&amp;'Output annual'!$AC$2&amp;'Output annual'!$AD$2&amp;"*Zone People Number Of Occupants [](Hourly)",'Eplus results'!$1:$1048576,ROW(),FALSE)</f>
        <v>0</v>
      </c>
      <c r="AC2777" s="580">
        <f>HLOOKUP("*"&amp;'Output annual'!$AC$2&amp;'Output annual'!$AD$2&amp;"*FangerPMV(Hourly)",'Eplus results'!$1:$1048576,ROW(),FALSE)</f>
        <v>0</v>
      </c>
      <c r="AD2777" s="580">
        <f t="shared" si="251"/>
        <v>5</v>
      </c>
      <c r="AE2777" s="580">
        <f t="shared" si="252"/>
        <v>2.5</v>
      </c>
      <c r="AF2777" s="580">
        <f t="shared" si="253"/>
        <v>2.5</v>
      </c>
      <c r="AG2777" s="580">
        <f t="shared" si="254"/>
        <v>0</v>
      </c>
      <c r="AH2777" s="580">
        <f t="shared" si="255"/>
        <v>0</v>
      </c>
    </row>
    <row r="2778" spans="28:34">
      <c r="AB2778" s="580">
        <f>HLOOKUP("*"&amp;'Output annual'!$AC$2&amp;'Output annual'!$AD$2&amp;"*Zone People Number Of Occupants [](Hourly)",'Eplus results'!$1:$1048576,ROW(),FALSE)</f>
        <v>0</v>
      </c>
      <c r="AC2778" s="580">
        <f>HLOOKUP("*"&amp;'Output annual'!$AC$2&amp;'Output annual'!$AD$2&amp;"*FangerPMV(Hourly)",'Eplus results'!$1:$1048576,ROW(),FALSE)</f>
        <v>0</v>
      </c>
      <c r="AD2778" s="580">
        <f t="shared" si="251"/>
        <v>5</v>
      </c>
      <c r="AE2778" s="580">
        <f t="shared" si="252"/>
        <v>2.5</v>
      </c>
      <c r="AF2778" s="580">
        <f t="shared" si="253"/>
        <v>2.5</v>
      </c>
      <c r="AG2778" s="580">
        <f t="shared" si="254"/>
        <v>0</v>
      </c>
      <c r="AH2778" s="580">
        <f t="shared" si="255"/>
        <v>0</v>
      </c>
    </row>
    <row r="2779" spans="28:34">
      <c r="AB2779" s="580">
        <f>HLOOKUP("*"&amp;'Output annual'!$AC$2&amp;'Output annual'!$AD$2&amp;"*Zone People Number Of Occupants [](Hourly)",'Eplus results'!$1:$1048576,ROW(),FALSE)</f>
        <v>0</v>
      </c>
      <c r="AC2779" s="580">
        <f>HLOOKUP("*"&amp;'Output annual'!$AC$2&amp;'Output annual'!$AD$2&amp;"*FangerPMV(Hourly)",'Eplus results'!$1:$1048576,ROW(),FALSE)</f>
        <v>0</v>
      </c>
      <c r="AD2779" s="580">
        <f t="shared" si="251"/>
        <v>5</v>
      </c>
      <c r="AE2779" s="580">
        <f t="shared" si="252"/>
        <v>2.5</v>
      </c>
      <c r="AF2779" s="580">
        <f t="shared" si="253"/>
        <v>2.5</v>
      </c>
      <c r="AG2779" s="580">
        <f t="shared" si="254"/>
        <v>0</v>
      </c>
      <c r="AH2779" s="580">
        <f t="shared" si="255"/>
        <v>0</v>
      </c>
    </row>
    <row r="2780" spans="28:34">
      <c r="AB2780" s="580">
        <f>HLOOKUP("*"&amp;'Output annual'!$AC$2&amp;'Output annual'!$AD$2&amp;"*Zone People Number Of Occupants [](Hourly)",'Eplus results'!$1:$1048576,ROW(),FALSE)</f>
        <v>0</v>
      </c>
      <c r="AC2780" s="580">
        <f>HLOOKUP("*"&amp;'Output annual'!$AC$2&amp;'Output annual'!$AD$2&amp;"*FangerPMV(Hourly)",'Eplus results'!$1:$1048576,ROW(),FALSE)</f>
        <v>0</v>
      </c>
      <c r="AD2780" s="580">
        <f t="shared" si="251"/>
        <v>5</v>
      </c>
      <c r="AE2780" s="580">
        <f t="shared" si="252"/>
        <v>2.5</v>
      </c>
      <c r="AF2780" s="580">
        <f t="shared" si="253"/>
        <v>2.5</v>
      </c>
      <c r="AG2780" s="580">
        <f t="shared" si="254"/>
        <v>0</v>
      </c>
      <c r="AH2780" s="580">
        <f t="shared" si="255"/>
        <v>0</v>
      </c>
    </row>
    <row r="2781" spans="28:34">
      <c r="AB2781" s="580">
        <f>HLOOKUP("*"&amp;'Output annual'!$AC$2&amp;'Output annual'!$AD$2&amp;"*Zone People Number Of Occupants [](Hourly)",'Eplus results'!$1:$1048576,ROW(),FALSE)</f>
        <v>0</v>
      </c>
      <c r="AC2781" s="580">
        <f>HLOOKUP("*"&amp;'Output annual'!$AC$2&amp;'Output annual'!$AD$2&amp;"*FangerPMV(Hourly)",'Eplus results'!$1:$1048576,ROW(),FALSE)</f>
        <v>0</v>
      </c>
      <c r="AD2781" s="580">
        <f t="shared" si="251"/>
        <v>5</v>
      </c>
      <c r="AE2781" s="580">
        <f t="shared" si="252"/>
        <v>2.5</v>
      </c>
      <c r="AF2781" s="580">
        <f t="shared" si="253"/>
        <v>2.5</v>
      </c>
      <c r="AG2781" s="580">
        <f t="shared" si="254"/>
        <v>0</v>
      </c>
      <c r="AH2781" s="580">
        <f t="shared" si="255"/>
        <v>0</v>
      </c>
    </row>
    <row r="2782" spans="28:34">
      <c r="AB2782" s="580">
        <f>HLOOKUP("*"&amp;'Output annual'!$AC$2&amp;'Output annual'!$AD$2&amp;"*Zone People Number Of Occupants [](Hourly)",'Eplus results'!$1:$1048576,ROW(),FALSE)</f>
        <v>0</v>
      </c>
      <c r="AC2782" s="580">
        <f>HLOOKUP("*"&amp;'Output annual'!$AC$2&amp;'Output annual'!$AD$2&amp;"*FangerPMV(Hourly)",'Eplus results'!$1:$1048576,ROW(),FALSE)</f>
        <v>0</v>
      </c>
      <c r="AD2782" s="580">
        <f t="shared" si="251"/>
        <v>5</v>
      </c>
      <c r="AE2782" s="580">
        <f t="shared" si="252"/>
        <v>2.5</v>
      </c>
      <c r="AF2782" s="580">
        <f t="shared" si="253"/>
        <v>2.5</v>
      </c>
      <c r="AG2782" s="580">
        <f t="shared" si="254"/>
        <v>0</v>
      </c>
      <c r="AH2782" s="580">
        <f t="shared" si="255"/>
        <v>0</v>
      </c>
    </row>
    <row r="2783" spans="28:34">
      <c r="AB2783" s="580">
        <f>HLOOKUP("*"&amp;'Output annual'!$AC$2&amp;'Output annual'!$AD$2&amp;"*Zone People Number Of Occupants [](Hourly)",'Eplus results'!$1:$1048576,ROW(),FALSE)</f>
        <v>0</v>
      </c>
      <c r="AC2783" s="580">
        <f>HLOOKUP("*"&amp;'Output annual'!$AC$2&amp;'Output annual'!$AD$2&amp;"*FangerPMV(Hourly)",'Eplus results'!$1:$1048576,ROW(),FALSE)</f>
        <v>0</v>
      </c>
      <c r="AD2783" s="580">
        <f t="shared" si="251"/>
        <v>5</v>
      </c>
      <c r="AE2783" s="580">
        <f t="shared" si="252"/>
        <v>2.5</v>
      </c>
      <c r="AF2783" s="580">
        <f t="shared" si="253"/>
        <v>2.5</v>
      </c>
      <c r="AG2783" s="580">
        <f t="shared" si="254"/>
        <v>0</v>
      </c>
      <c r="AH2783" s="580">
        <f t="shared" si="255"/>
        <v>0</v>
      </c>
    </row>
    <row r="2784" spans="28:34">
      <c r="AB2784" s="580">
        <f>HLOOKUP("*"&amp;'Output annual'!$AC$2&amp;'Output annual'!$AD$2&amp;"*Zone People Number Of Occupants [](Hourly)",'Eplus results'!$1:$1048576,ROW(),FALSE)</f>
        <v>0</v>
      </c>
      <c r="AC2784" s="580">
        <f>HLOOKUP("*"&amp;'Output annual'!$AC$2&amp;'Output annual'!$AD$2&amp;"*FangerPMV(Hourly)",'Eplus results'!$1:$1048576,ROW(),FALSE)</f>
        <v>0</v>
      </c>
      <c r="AD2784" s="580">
        <f t="shared" si="251"/>
        <v>5</v>
      </c>
      <c r="AE2784" s="580">
        <f t="shared" si="252"/>
        <v>2.5</v>
      </c>
      <c r="AF2784" s="580">
        <f t="shared" si="253"/>
        <v>2.5</v>
      </c>
      <c r="AG2784" s="580">
        <f t="shared" si="254"/>
        <v>0</v>
      </c>
      <c r="AH2784" s="580">
        <f t="shared" si="255"/>
        <v>0</v>
      </c>
    </row>
    <row r="2785" spans="28:34">
      <c r="AB2785" s="580">
        <f>HLOOKUP("*"&amp;'Output annual'!$AC$2&amp;'Output annual'!$AD$2&amp;"*Zone People Number Of Occupants [](Hourly)",'Eplus results'!$1:$1048576,ROW(),FALSE)</f>
        <v>0</v>
      </c>
      <c r="AC2785" s="580">
        <f>HLOOKUP("*"&amp;'Output annual'!$AC$2&amp;'Output annual'!$AD$2&amp;"*FangerPMV(Hourly)",'Eplus results'!$1:$1048576,ROW(),FALSE)</f>
        <v>0</v>
      </c>
      <c r="AD2785" s="580">
        <f t="shared" si="251"/>
        <v>5</v>
      </c>
      <c r="AE2785" s="580">
        <f t="shared" si="252"/>
        <v>2.5</v>
      </c>
      <c r="AF2785" s="580">
        <f t="shared" si="253"/>
        <v>2.5</v>
      </c>
      <c r="AG2785" s="580">
        <f t="shared" si="254"/>
        <v>0</v>
      </c>
      <c r="AH2785" s="580">
        <f t="shared" si="255"/>
        <v>0</v>
      </c>
    </row>
    <row r="2786" spans="28:34">
      <c r="AB2786" s="580">
        <f>HLOOKUP("*"&amp;'Output annual'!$AC$2&amp;'Output annual'!$AD$2&amp;"*Zone People Number Of Occupants [](Hourly)",'Eplus results'!$1:$1048576,ROW(),FALSE)</f>
        <v>0</v>
      </c>
      <c r="AC2786" s="580">
        <f>HLOOKUP("*"&amp;'Output annual'!$AC$2&amp;'Output annual'!$AD$2&amp;"*FangerPMV(Hourly)",'Eplus results'!$1:$1048576,ROW(),FALSE)</f>
        <v>0</v>
      </c>
      <c r="AD2786" s="580">
        <f t="shared" si="251"/>
        <v>5</v>
      </c>
      <c r="AE2786" s="580">
        <f t="shared" si="252"/>
        <v>2.5</v>
      </c>
      <c r="AF2786" s="580">
        <f t="shared" si="253"/>
        <v>2.5</v>
      </c>
      <c r="AG2786" s="580">
        <f t="shared" si="254"/>
        <v>0</v>
      </c>
      <c r="AH2786" s="580">
        <f t="shared" si="255"/>
        <v>0</v>
      </c>
    </row>
    <row r="2787" spans="28:34">
      <c r="AB2787" s="580">
        <f>HLOOKUP("*"&amp;'Output annual'!$AC$2&amp;'Output annual'!$AD$2&amp;"*Zone People Number Of Occupants [](Hourly)",'Eplus results'!$1:$1048576,ROW(),FALSE)</f>
        <v>0</v>
      </c>
      <c r="AC2787" s="580">
        <f>HLOOKUP("*"&amp;'Output annual'!$AC$2&amp;'Output annual'!$AD$2&amp;"*FangerPMV(Hourly)",'Eplus results'!$1:$1048576,ROW(),FALSE)</f>
        <v>0</v>
      </c>
      <c r="AD2787" s="580">
        <f t="shared" si="251"/>
        <v>5</v>
      </c>
      <c r="AE2787" s="580">
        <f t="shared" si="252"/>
        <v>2.5</v>
      </c>
      <c r="AF2787" s="580">
        <f t="shared" si="253"/>
        <v>2.5</v>
      </c>
      <c r="AG2787" s="580">
        <f t="shared" si="254"/>
        <v>0</v>
      </c>
      <c r="AH2787" s="580">
        <f t="shared" si="255"/>
        <v>0</v>
      </c>
    </row>
    <row r="2788" spans="28:34">
      <c r="AB2788" s="580">
        <f>HLOOKUP("*"&amp;'Output annual'!$AC$2&amp;'Output annual'!$AD$2&amp;"*Zone People Number Of Occupants [](Hourly)",'Eplus results'!$1:$1048576,ROW(),FALSE)</f>
        <v>0</v>
      </c>
      <c r="AC2788" s="580">
        <f>HLOOKUP("*"&amp;'Output annual'!$AC$2&amp;'Output annual'!$AD$2&amp;"*FangerPMV(Hourly)",'Eplus results'!$1:$1048576,ROW(),FALSE)</f>
        <v>0</v>
      </c>
      <c r="AD2788" s="580">
        <f t="shared" si="251"/>
        <v>5</v>
      </c>
      <c r="AE2788" s="580">
        <f t="shared" si="252"/>
        <v>2.5</v>
      </c>
      <c r="AF2788" s="580">
        <f t="shared" si="253"/>
        <v>2.5</v>
      </c>
      <c r="AG2788" s="580">
        <f t="shared" si="254"/>
        <v>0</v>
      </c>
      <c r="AH2788" s="580">
        <f t="shared" si="255"/>
        <v>0</v>
      </c>
    </row>
    <row r="2789" spans="28:34">
      <c r="AB2789" s="580">
        <f>HLOOKUP("*"&amp;'Output annual'!$AC$2&amp;'Output annual'!$AD$2&amp;"*Zone People Number Of Occupants [](Hourly)",'Eplus results'!$1:$1048576,ROW(),FALSE)</f>
        <v>0</v>
      </c>
      <c r="AC2789" s="580">
        <f>HLOOKUP("*"&amp;'Output annual'!$AC$2&amp;'Output annual'!$AD$2&amp;"*FangerPMV(Hourly)",'Eplus results'!$1:$1048576,ROW(),FALSE)</f>
        <v>0</v>
      </c>
      <c r="AD2789" s="580">
        <f t="shared" si="251"/>
        <v>5</v>
      </c>
      <c r="AE2789" s="580">
        <f t="shared" si="252"/>
        <v>2.5</v>
      </c>
      <c r="AF2789" s="580">
        <f t="shared" si="253"/>
        <v>2.5</v>
      </c>
      <c r="AG2789" s="580">
        <f t="shared" si="254"/>
        <v>0</v>
      </c>
      <c r="AH2789" s="580">
        <f t="shared" si="255"/>
        <v>0</v>
      </c>
    </row>
    <row r="2790" spans="28:34">
      <c r="AB2790" s="580">
        <f>HLOOKUP("*"&amp;'Output annual'!$AC$2&amp;'Output annual'!$AD$2&amp;"*Zone People Number Of Occupants [](Hourly)",'Eplus results'!$1:$1048576,ROW(),FALSE)</f>
        <v>0</v>
      </c>
      <c r="AC2790" s="580">
        <f>HLOOKUP("*"&amp;'Output annual'!$AC$2&amp;'Output annual'!$AD$2&amp;"*FangerPMV(Hourly)",'Eplus results'!$1:$1048576,ROW(),FALSE)</f>
        <v>0</v>
      </c>
      <c r="AD2790" s="580">
        <f t="shared" si="251"/>
        <v>5</v>
      </c>
      <c r="AE2790" s="580">
        <f t="shared" si="252"/>
        <v>2.5</v>
      </c>
      <c r="AF2790" s="580">
        <f t="shared" si="253"/>
        <v>2.5</v>
      </c>
      <c r="AG2790" s="580">
        <f t="shared" si="254"/>
        <v>0</v>
      </c>
      <c r="AH2790" s="580">
        <f t="shared" si="255"/>
        <v>0</v>
      </c>
    </row>
    <row r="2791" spans="28:34">
      <c r="AB2791" s="580">
        <f>HLOOKUP("*"&amp;'Output annual'!$AC$2&amp;'Output annual'!$AD$2&amp;"*Zone People Number Of Occupants [](Hourly)",'Eplus results'!$1:$1048576,ROW(),FALSE)</f>
        <v>0</v>
      </c>
      <c r="AC2791" s="580">
        <f>HLOOKUP("*"&amp;'Output annual'!$AC$2&amp;'Output annual'!$AD$2&amp;"*FangerPMV(Hourly)",'Eplus results'!$1:$1048576,ROW(),FALSE)</f>
        <v>0</v>
      </c>
      <c r="AD2791" s="580">
        <f t="shared" si="251"/>
        <v>5</v>
      </c>
      <c r="AE2791" s="580">
        <f t="shared" si="252"/>
        <v>2.5</v>
      </c>
      <c r="AF2791" s="580">
        <f t="shared" si="253"/>
        <v>2.5</v>
      </c>
      <c r="AG2791" s="580">
        <f t="shared" si="254"/>
        <v>0</v>
      </c>
      <c r="AH2791" s="580">
        <f t="shared" si="255"/>
        <v>0</v>
      </c>
    </row>
    <row r="2792" spans="28:34">
      <c r="AB2792" s="580">
        <f>HLOOKUP("*"&amp;'Output annual'!$AC$2&amp;'Output annual'!$AD$2&amp;"*Zone People Number Of Occupants [](Hourly)",'Eplus results'!$1:$1048576,ROW(),FALSE)</f>
        <v>0</v>
      </c>
      <c r="AC2792" s="580">
        <f>HLOOKUP("*"&amp;'Output annual'!$AC$2&amp;'Output annual'!$AD$2&amp;"*FangerPMV(Hourly)",'Eplus results'!$1:$1048576,ROW(),FALSE)</f>
        <v>0</v>
      </c>
      <c r="AD2792" s="580">
        <f t="shared" si="251"/>
        <v>5</v>
      </c>
      <c r="AE2792" s="580">
        <f t="shared" si="252"/>
        <v>2.5</v>
      </c>
      <c r="AF2792" s="580">
        <f t="shared" si="253"/>
        <v>2.5</v>
      </c>
      <c r="AG2792" s="580">
        <f t="shared" si="254"/>
        <v>0</v>
      </c>
      <c r="AH2792" s="580">
        <f t="shared" si="255"/>
        <v>0</v>
      </c>
    </row>
    <row r="2793" spans="28:34">
      <c r="AB2793" s="580">
        <f>HLOOKUP("*"&amp;'Output annual'!$AC$2&amp;'Output annual'!$AD$2&amp;"*Zone People Number Of Occupants [](Hourly)",'Eplus results'!$1:$1048576,ROW(),FALSE)</f>
        <v>0</v>
      </c>
      <c r="AC2793" s="580">
        <f>HLOOKUP("*"&amp;'Output annual'!$AC$2&amp;'Output annual'!$AD$2&amp;"*FangerPMV(Hourly)",'Eplus results'!$1:$1048576,ROW(),FALSE)</f>
        <v>0</v>
      </c>
      <c r="AD2793" s="580">
        <f t="shared" si="251"/>
        <v>5</v>
      </c>
      <c r="AE2793" s="580">
        <f t="shared" si="252"/>
        <v>2.5</v>
      </c>
      <c r="AF2793" s="580">
        <f t="shared" si="253"/>
        <v>2.5</v>
      </c>
      <c r="AG2793" s="580">
        <f t="shared" si="254"/>
        <v>0</v>
      </c>
      <c r="AH2793" s="580">
        <f t="shared" si="255"/>
        <v>0</v>
      </c>
    </row>
    <row r="2794" spans="28:34">
      <c r="AB2794" s="580">
        <f>HLOOKUP("*"&amp;'Output annual'!$AC$2&amp;'Output annual'!$AD$2&amp;"*Zone People Number Of Occupants [](Hourly)",'Eplus results'!$1:$1048576,ROW(),FALSE)</f>
        <v>0</v>
      </c>
      <c r="AC2794" s="580">
        <f>HLOOKUP("*"&amp;'Output annual'!$AC$2&amp;'Output annual'!$AD$2&amp;"*FangerPMV(Hourly)",'Eplus results'!$1:$1048576,ROW(),FALSE)</f>
        <v>0</v>
      </c>
      <c r="AD2794" s="580">
        <f t="shared" si="251"/>
        <v>5</v>
      </c>
      <c r="AE2794" s="580">
        <f t="shared" si="252"/>
        <v>2.5</v>
      </c>
      <c r="AF2794" s="580">
        <f t="shared" si="253"/>
        <v>2.5</v>
      </c>
      <c r="AG2794" s="580">
        <f t="shared" si="254"/>
        <v>0</v>
      </c>
      <c r="AH2794" s="580">
        <f t="shared" si="255"/>
        <v>0</v>
      </c>
    </row>
    <row r="2795" spans="28:34">
      <c r="AB2795" s="580">
        <f>HLOOKUP("*"&amp;'Output annual'!$AC$2&amp;'Output annual'!$AD$2&amp;"*Zone People Number Of Occupants [](Hourly)",'Eplus results'!$1:$1048576,ROW(),FALSE)</f>
        <v>0</v>
      </c>
      <c r="AC2795" s="580">
        <f>HLOOKUP("*"&amp;'Output annual'!$AC$2&amp;'Output annual'!$AD$2&amp;"*FangerPMV(Hourly)",'Eplus results'!$1:$1048576,ROW(),FALSE)</f>
        <v>0</v>
      </c>
      <c r="AD2795" s="580">
        <f t="shared" si="251"/>
        <v>5</v>
      </c>
      <c r="AE2795" s="580">
        <f t="shared" si="252"/>
        <v>2.5</v>
      </c>
      <c r="AF2795" s="580">
        <f t="shared" si="253"/>
        <v>2.5</v>
      </c>
      <c r="AG2795" s="580">
        <f t="shared" si="254"/>
        <v>0</v>
      </c>
      <c r="AH2795" s="580">
        <f t="shared" si="255"/>
        <v>0</v>
      </c>
    </row>
    <row r="2796" spans="28:34">
      <c r="AB2796" s="580">
        <f>HLOOKUP("*"&amp;'Output annual'!$AC$2&amp;'Output annual'!$AD$2&amp;"*Zone People Number Of Occupants [](Hourly)",'Eplus results'!$1:$1048576,ROW(),FALSE)</f>
        <v>0</v>
      </c>
      <c r="AC2796" s="580">
        <f>HLOOKUP("*"&amp;'Output annual'!$AC$2&amp;'Output annual'!$AD$2&amp;"*FangerPMV(Hourly)",'Eplus results'!$1:$1048576,ROW(),FALSE)</f>
        <v>0</v>
      </c>
      <c r="AD2796" s="580">
        <f t="shared" si="251"/>
        <v>5</v>
      </c>
      <c r="AE2796" s="580">
        <f t="shared" si="252"/>
        <v>2.5</v>
      </c>
      <c r="AF2796" s="580">
        <f t="shared" si="253"/>
        <v>2.5</v>
      </c>
      <c r="AG2796" s="580">
        <f t="shared" si="254"/>
        <v>0</v>
      </c>
      <c r="AH2796" s="580">
        <f t="shared" si="255"/>
        <v>0</v>
      </c>
    </row>
    <row r="2797" spans="28:34">
      <c r="AB2797" s="580">
        <f>HLOOKUP("*"&amp;'Output annual'!$AC$2&amp;'Output annual'!$AD$2&amp;"*Zone People Number Of Occupants [](Hourly)",'Eplus results'!$1:$1048576,ROW(),FALSE)</f>
        <v>0</v>
      </c>
      <c r="AC2797" s="580">
        <f>HLOOKUP("*"&amp;'Output annual'!$AC$2&amp;'Output annual'!$AD$2&amp;"*FangerPMV(Hourly)",'Eplus results'!$1:$1048576,ROW(),FALSE)</f>
        <v>0</v>
      </c>
      <c r="AD2797" s="580">
        <f t="shared" si="251"/>
        <v>5</v>
      </c>
      <c r="AE2797" s="580">
        <f t="shared" si="252"/>
        <v>2.5</v>
      </c>
      <c r="AF2797" s="580">
        <f t="shared" si="253"/>
        <v>2.5</v>
      </c>
      <c r="AG2797" s="580">
        <f t="shared" si="254"/>
        <v>0</v>
      </c>
      <c r="AH2797" s="580">
        <f t="shared" si="255"/>
        <v>0</v>
      </c>
    </row>
    <row r="2798" spans="28:34">
      <c r="AB2798" s="580">
        <f>HLOOKUP("*"&amp;'Output annual'!$AC$2&amp;'Output annual'!$AD$2&amp;"*Zone People Number Of Occupants [](Hourly)",'Eplus results'!$1:$1048576,ROW(),FALSE)</f>
        <v>0</v>
      </c>
      <c r="AC2798" s="580">
        <f>HLOOKUP("*"&amp;'Output annual'!$AC$2&amp;'Output annual'!$AD$2&amp;"*FangerPMV(Hourly)",'Eplus results'!$1:$1048576,ROW(),FALSE)</f>
        <v>0</v>
      </c>
      <c r="AD2798" s="580">
        <f t="shared" si="251"/>
        <v>5</v>
      </c>
      <c r="AE2798" s="580">
        <f t="shared" si="252"/>
        <v>2.5</v>
      </c>
      <c r="AF2798" s="580">
        <f t="shared" si="253"/>
        <v>2.5</v>
      </c>
      <c r="AG2798" s="580">
        <f t="shared" si="254"/>
        <v>0</v>
      </c>
      <c r="AH2798" s="580">
        <f t="shared" si="255"/>
        <v>0</v>
      </c>
    </row>
    <row r="2799" spans="28:34">
      <c r="AB2799" s="580">
        <f>HLOOKUP("*"&amp;'Output annual'!$AC$2&amp;'Output annual'!$AD$2&amp;"*Zone People Number Of Occupants [](Hourly)",'Eplus results'!$1:$1048576,ROW(),FALSE)</f>
        <v>0</v>
      </c>
      <c r="AC2799" s="580">
        <f>HLOOKUP("*"&amp;'Output annual'!$AC$2&amp;'Output annual'!$AD$2&amp;"*FangerPMV(Hourly)",'Eplus results'!$1:$1048576,ROW(),FALSE)</f>
        <v>0</v>
      </c>
      <c r="AD2799" s="580">
        <f t="shared" si="251"/>
        <v>5</v>
      </c>
      <c r="AE2799" s="580">
        <f t="shared" si="252"/>
        <v>2.5</v>
      </c>
      <c r="AF2799" s="580">
        <f t="shared" si="253"/>
        <v>2.5</v>
      </c>
      <c r="AG2799" s="580">
        <f t="shared" si="254"/>
        <v>0</v>
      </c>
      <c r="AH2799" s="580">
        <f t="shared" si="255"/>
        <v>0</v>
      </c>
    </row>
    <row r="2800" spans="28:34">
      <c r="AB2800" s="580">
        <f>HLOOKUP("*"&amp;'Output annual'!$AC$2&amp;'Output annual'!$AD$2&amp;"*Zone People Number Of Occupants [](Hourly)",'Eplus results'!$1:$1048576,ROW(),FALSE)</f>
        <v>0</v>
      </c>
      <c r="AC2800" s="580">
        <f>HLOOKUP("*"&amp;'Output annual'!$AC$2&amp;'Output annual'!$AD$2&amp;"*FangerPMV(Hourly)",'Eplus results'!$1:$1048576,ROW(),FALSE)</f>
        <v>0</v>
      </c>
      <c r="AD2800" s="580">
        <f t="shared" si="251"/>
        <v>5</v>
      </c>
      <c r="AE2800" s="580">
        <f t="shared" si="252"/>
        <v>2.5</v>
      </c>
      <c r="AF2800" s="580">
        <f t="shared" si="253"/>
        <v>2.5</v>
      </c>
      <c r="AG2800" s="580">
        <f t="shared" si="254"/>
        <v>0</v>
      </c>
      <c r="AH2800" s="580">
        <f t="shared" si="255"/>
        <v>0</v>
      </c>
    </row>
    <row r="2801" spans="28:34">
      <c r="AB2801" s="580">
        <f>HLOOKUP("*"&amp;'Output annual'!$AC$2&amp;'Output annual'!$AD$2&amp;"*Zone People Number Of Occupants [](Hourly)",'Eplus results'!$1:$1048576,ROW(),FALSE)</f>
        <v>0</v>
      </c>
      <c r="AC2801" s="580">
        <f>HLOOKUP("*"&amp;'Output annual'!$AC$2&amp;'Output annual'!$AD$2&amp;"*FangerPMV(Hourly)",'Eplus results'!$1:$1048576,ROW(),FALSE)</f>
        <v>0</v>
      </c>
      <c r="AD2801" s="580">
        <f t="shared" si="251"/>
        <v>5</v>
      </c>
      <c r="AE2801" s="580">
        <f t="shared" si="252"/>
        <v>2.5</v>
      </c>
      <c r="AF2801" s="580">
        <f t="shared" si="253"/>
        <v>2.5</v>
      </c>
      <c r="AG2801" s="580">
        <f t="shared" si="254"/>
        <v>0</v>
      </c>
      <c r="AH2801" s="580">
        <f t="shared" si="255"/>
        <v>0</v>
      </c>
    </row>
    <row r="2802" spans="28:34">
      <c r="AB2802" s="580">
        <f>HLOOKUP("*"&amp;'Output annual'!$AC$2&amp;'Output annual'!$AD$2&amp;"*Zone People Number Of Occupants [](Hourly)",'Eplus results'!$1:$1048576,ROW(),FALSE)</f>
        <v>0</v>
      </c>
      <c r="AC2802" s="580">
        <f>HLOOKUP("*"&amp;'Output annual'!$AC$2&amp;'Output annual'!$AD$2&amp;"*FangerPMV(Hourly)",'Eplus results'!$1:$1048576,ROW(),FALSE)</f>
        <v>0</v>
      </c>
      <c r="AD2802" s="580">
        <f t="shared" si="251"/>
        <v>5</v>
      </c>
      <c r="AE2802" s="580">
        <f t="shared" si="252"/>
        <v>2.5</v>
      </c>
      <c r="AF2802" s="580">
        <f t="shared" si="253"/>
        <v>2.5</v>
      </c>
      <c r="AG2802" s="580">
        <f t="shared" si="254"/>
        <v>0</v>
      </c>
      <c r="AH2802" s="580">
        <f t="shared" si="255"/>
        <v>0</v>
      </c>
    </row>
    <row r="2803" spans="28:34">
      <c r="AB2803" s="580">
        <f>HLOOKUP("*"&amp;'Output annual'!$AC$2&amp;'Output annual'!$AD$2&amp;"*Zone People Number Of Occupants [](Hourly)",'Eplus results'!$1:$1048576,ROW(),FALSE)</f>
        <v>0</v>
      </c>
      <c r="AC2803" s="580">
        <f>HLOOKUP("*"&amp;'Output annual'!$AC$2&amp;'Output annual'!$AD$2&amp;"*FangerPMV(Hourly)",'Eplus results'!$1:$1048576,ROW(),FALSE)</f>
        <v>0</v>
      </c>
      <c r="AD2803" s="580">
        <f t="shared" si="251"/>
        <v>5</v>
      </c>
      <c r="AE2803" s="580">
        <f t="shared" si="252"/>
        <v>2.5</v>
      </c>
      <c r="AF2803" s="580">
        <f t="shared" si="253"/>
        <v>2.5</v>
      </c>
      <c r="AG2803" s="580">
        <f t="shared" si="254"/>
        <v>0</v>
      </c>
      <c r="AH2803" s="580">
        <f t="shared" si="255"/>
        <v>0</v>
      </c>
    </row>
    <row r="2804" spans="28:34">
      <c r="AB2804" s="580">
        <f>HLOOKUP("*"&amp;'Output annual'!$AC$2&amp;'Output annual'!$AD$2&amp;"*Zone People Number Of Occupants [](Hourly)",'Eplus results'!$1:$1048576,ROW(),FALSE)</f>
        <v>0</v>
      </c>
      <c r="AC2804" s="580">
        <f>HLOOKUP("*"&amp;'Output annual'!$AC$2&amp;'Output annual'!$AD$2&amp;"*FangerPMV(Hourly)",'Eplus results'!$1:$1048576,ROW(),FALSE)</f>
        <v>0</v>
      </c>
      <c r="AD2804" s="580">
        <f t="shared" si="251"/>
        <v>5</v>
      </c>
      <c r="AE2804" s="580">
        <f t="shared" si="252"/>
        <v>2.5</v>
      </c>
      <c r="AF2804" s="580">
        <f t="shared" si="253"/>
        <v>2.5</v>
      </c>
      <c r="AG2804" s="580">
        <f t="shared" si="254"/>
        <v>0</v>
      </c>
      <c r="AH2804" s="580">
        <f t="shared" si="255"/>
        <v>0</v>
      </c>
    </row>
    <row r="2805" spans="28:34">
      <c r="AB2805" s="580">
        <f>HLOOKUP("*"&amp;'Output annual'!$AC$2&amp;'Output annual'!$AD$2&amp;"*Zone People Number Of Occupants [](Hourly)",'Eplus results'!$1:$1048576,ROW(),FALSE)</f>
        <v>0</v>
      </c>
      <c r="AC2805" s="580">
        <f>HLOOKUP("*"&amp;'Output annual'!$AC$2&amp;'Output annual'!$AD$2&amp;"*FangerPMV(Hourly)",'Eplus results'!$1:$1048576,ROW(),FALSE)</f>
        <v>0</v>
      </c>
      <c r="AD2805" s="580">
        <f t="shared" si="251"/>
        <v>5</v>
      </c>
      <c r="AE2805" s="580">
        <f t="shared" si="252"/>
        <v>2.5</v>
      </c>
      <c r="AF2805" s="580">
        <f t="shared" si="253"/>
        <v>2.5</v>
      </c>
      <c r="AG2805" s="580">
        <f t="shared" si="254"/>
        <v>0</v>
      </c>
      <c r="AH2805" s="580">
        <f t="shared" si="255"/>
        <v>0</v>
      </c>
    </row>
    <row r="2806" spans="28:34">
      <c r="AB2806" s="580">
        <f>HLOOKUP("*"&amp;'Output annual'!$AC$2&amp;'Output annual'!$AD$2&amp;"*Zone People Number Of Occupants [](Hourly)",'Eplus results'!$1:$1048576,ROW(),FALSE)</f>
        <v>0</v>
      </c>
      <c r="AC2806" s="580">
        <f>HLOOKUP("*"&amp;'Output annual'!$AC$2&amp;'Output annual'!$AD$2&amp;"*FangerPMV(Hourly)",'Eplus results'!$1:$1048576,ROW(),FALSE)</f>
        <v>0</v>
      </c>
      <c r="AD2806" s="580">
        <f t="shared" si="251"/>
        <v>5</v>
      </c>
      <c r="AE2806" s="580">
        <f t="shared" si="252"/>
        <v>2.5</v>
      </c>
      <c r="AF2806" s="580">
        <f t="shared" si="253"/>
        <v>2.5</v>
      </c>
      <c r="AG2806" s="580">
        <f t="shared" si="254"/>
        <v>0</v>
      </c>
      <c r="AH2806" s="580">
        <f t="shared" si="255"/>
        <v>0</v>
      </c>
    </row>
    <row r="2807" spans="28:34">
      <c r="AB2807" s="580">
        <f>HLOOKUP("*"&amp;'Output annual'!$AC$2&amp;'Output annual'!$AD$2&amp;"*Zone People Number Of Occupants [](Hourly)",'Eplus results'!$1:$1048576,ROW(),FALSE)</f>
        <v>0</v>
      </c>
      <c r="AC2807" s="580">
        <f>HLOOKUP("*"&amp;'Output annual'!$AC$2&amp;'Output annual'!$AD$2&amp;"*FangerPMV(Hourly)",'Eplus results'!$1:$1048576,ROW(),FALSE)</f>
        <v>0</v>
      </c>
      <c r="AD2807" s="580">
        <f t="shared" si="251"/>
        <v>5</v>
      </c>
      <c r="AE2807" s="580">
        <f t="shared" si="252"/>
        <v>2.5</v>
      </c>
      <c r="AF2807" s="580">
        <f t="shared" si="253"/>
        <v>2.5</v>
      </c>
      <c r="AG2807" s="580">
        <f t="shared" si="254"/>
        <v>0</v>
      </c>
      <c r="AH2807" s="580">
        <f t="shared" si="255"/>
        <v>0</v>
      </c>
    </row>
    <row r="2808" spans="28:34">
      <c r="AB2808" s="580">
        <f>HLOOKUP("*"&amp;'Output annual'!$AC$2&amp;'Output annual'!$AD$2&amp;"*Zone People Number Of Occupants [](Hourly)",'Eplus results'!$1:$1048576,ROW(),FALSE)</f>
        <v>0</v>
      </c>
      <c r="AC2808" s="580">
        <f>HLOOKUP("*"&amp;'Output annual'!$AC$2&amp;'Output annual'!$AD$2&amp;"*FangerPMV(Hourly)",'Eplus results'!$1:$1048576,ROW(),FALSE)</f>
        <v>0</v>
      </c>
      <c r="AD2808" s="580">
        <f t="shared" si="251"/>
        <v>5</v>
      </c>
      <c r="AE2808" s="580">
        <f t="shared" si="252"/>
        <v>2.5</v>
      </c>
      <c r="AF2808" s="580">
        <f t="shared" si="253"/>
        <v>2.5</v>
      </c>
      <c r="AG2808" s="580">
        <f t="shared" si="254"/>
        <v>0</v>
      </c>
      <c r="AH2808" s="580">
        <f t="shared" si="255"/>
        <v>0</v>
      </c>
    </row>
    <row r="2809" spans="28:34">
      <c r="AB2809" s="580">
        <f>HLOOKUP("*"&amp;'Output annual'!$AC$2&amp;'Output annual'!$AD$2&amp;"*Zone People Number Of Occupants [](Hourly)",'Eplus results'!$1:$1048576,ROW(),FALSE)</f>
        <v>0</v>
      </c>
      <c r="AC2809" s="580">
        <f>HLOOKUP("*"&amp;'Output annual'!$AC$2&amp;'Output annual'!$AD$2&amp;"*FangerPMV(Hourly)",'Eplus results'!$1:$1048576,ROW(),FALSE)</f>
        <v>0</v>
      </c>
      <c r="AD2809" s="580">
        <f t="shared" si="251"/>
        <v>5</v>
      </c>
      <c r="AE2809" s="580">
        <f t="shared" si="252"/>
        <v>2.5</v>
      </c>
      <c r="AF2809" s="580">
        <f t="shared" si="253"/>
        <v>2.5</v>
      </c>
      <c r="AG2809" s="580">
        <f t="shared" si="254"/>
        <v>0</v>
      </c>
      <c r="AH2809" s="580">
        <f t="shared" si="255"/>
        <v>0</v>
      </c>
    </row>
    <row r="2810" spans="28:34">
      <c r="AB2810" s="580">
        <f>HLOOKUP("*"&amp;'Output annual'!$AC$2&amp;'Output annual'!$AD$2&amp;"*Zone People Number Of Occupants [](Hourly)",'Eplus results'!$1:$1048576,ROW(),FALSE)</f>
        <v>0</v>
      </c>
      <c r="AC2810" s="580">
        <f>HLOOKUP("*"&amp;'Output annual'!$AC$2&amp;'Output annual'!$AD$2&amp;"*FangerPMV(Hourly)",'Eplus results'!$1:$1048576,ROW(),FALSE)</f>
        <v>0</v>
      </c>
      <c r="AD2810" s="580">
        <f t="shared" si="251"/>
        <v>5</v>
      </c>
      <c r="AE2810" s="580">
        <f t="shared" si="252"/>
        <v>2.5</v>
      </c>
      <c r="AF2810" s="580">
        <f t="shared" si="253"/>
        <v>2.5</v>
      </c>
      <c r="AG2810" s="580">
        <f t="shared" si="254"/>
        <v>0</v>
      </c>
      <c r="AH2810" s="580">
        <f t="shared" si="255"/>
        <v>0</v>
      </c>
    </row>
    <row r="2811" spans="28:34">
      <c r="AB2811" s="580">
        <f>HLOOKUP("*"&amp;'Output annual'!$AC$2&amp;'Output annual'!$AD$2&amp;"*Zone People Number Of Occupants [](Hourly)",'Eplus results'!$1:$1048576,ROW(),FALSE)</f>
        <v>0</v>
      </c>
      <c r="AC2811" s="580">
        <f>HLOOKUP("*"&amp;'Output annual'!$AC$2&amp;'Output annual'!$AD$2&amp;"*FangerPMV(Hourly)",'Eplus results'!$1:$1048576,ROW(),FALSE)</f>
        <v>0</v>
      </c>
      <c r="AD2811" s="580">
        <f t="shared" si="251"/>
        <v>5</v>
      </c>
      <c r="AE2811" s="580">
        <f t="shared" si="252"/>
        <v>2.5</v>
      </c>
      <c r="AF2811" s="580">
        <f t="shared" si="253"/>
        <v>2.5</v>
      </c>
      <c r="AG2811" s="580">
        <f t="shared" si="254"/>
        <v>0</v>
      </c>
      <c r="AH2811" s="580">
        <f t="shared" si="255"/>
        <v>0</v>
      </c>
    </row>
    <row r="2812" spans="28:34">
      <c r="AB2812" s="580">
        <f>HLOOKUP("*"&amp;'Output annual'!$AC$2&amp;'Output annual'!$AD$2&amp;"*Zone People Number Of Occupants [](Hourly)",'Eplus results'!$1:$1048576,ROW(),FALSE)</f>
        <v>0</v>
      </c>
      <c r="AC2812" s="580">
        <f>HLOOKUP("*"&amp;'Output annual'!$AC$2&amp;'Output annual'!$AD$2&amp;"*FangerPMV(Hourly)",'Eplus results'!$1:$1048576,ROW(),FALSE)</f>
        <v>0</v>
      </c>
      <c r="AD2812" s="580">
        <f t="shared" si="251"/>
        <v>5</v>
      </c>
      <c r="AE2812" s="580">
        <f t="shared" si="252"/>
        <v>2.5</v>
      </c>
      <c r="AF2812" s="580">
        <f t="shared" si="253"/>
        <v>2.5</v>
      </c>
      <c r="AG2812" s="580">
        <f t="shared" si="254"/>
        <v>0</v>
      </c>
      <c r="AH2812" s="580">
        <f t="shared" si="255"/>
        <v>0</v>
      </c>
    </row>
    <row r="2813" spans="28:34">
      <c r="AB2813" s="580">
        <f>HLOOKUP("*"&amp;'Output annual'!$AC$2&amp;'Output annual'!$AD$2&amp;"*Zone People Number Of Occupants [](Hourly)",'Eplus results'!$1:$1048576,ROW(),FALSE)</f>
        <v>0</v>
      </c>
      <c r="AC2813" s="580">
        <f>HLOOKUP("*"&amp;'Output annual'!$AC$2&amp;'Output annual'!$AD$2&amp;"*FangerPMV(Hourly)",'Eplus results'!$1:$1048576,ROW(),FALSE)</f>
        <v>0</v>
      </c>
      <c r="AD2813" s="580">
        <f t="shared" si="251"/>
        <v>5</v>
      </c>
      <c r="AE2813" s="580">
        <f t="shared" si="252"/>
        <v>2.5</v>
      </c>
      <c r="AF2813" s="580">
        <f t="shared" si="253"/>
        <v>2.5</v>
      </c>
      <c r="AG2813" s="580">
        <f t="shared" si="254"/>
        <v>0</v>
      </c>
      <c r="AH2813" s="580">
        <f t="shared" si="255"/>
        <v>0</v>
      </c>
    </row>
    <row r="2814" spans="28:34">
      <c r="AB2814" s="580">
        <f>HLOOKUP("*"&amp;'Output annual'!$AC$2&amp;'Output annual'!$AD$2&amp;"*Zone People Number Of Occupants [](Hourly)",'Eplus results'!$1:$1048576,ROW(),FALSE)</f>
        <v>0</v>
      </c>
      <c r="AC2814" s="580">
        <f>HLOOKUP("*"&amp;'Output annual'!$AC$2&amp;'Output annual'!$AD$2&amp;"*FangerPMV(Hourly)",'Eplus results'!$1:$1048576,ROW(),FALSE)</f>
        <v>0</v>
      </c>
      <c r="AD2814" s="580">
        <f t="shared" si="251"/>
        <v>5</v>
      </c>
      <c r="AE2814" s="580">
        <f t="shared" si="252"/>
        <v>2.5</v>
      </c>
      <c r="AF2814" s="580">
        <f t="shared" si="253"/>
        <v>2.5</v>
      </c>
      <c r="AG2814" s="580">
        <f t="shared" si="254"/>
        <v>0</v>
      </c>
      <c r="AH2814" s="580">
        <f t="shared" si="255"/>
        <v>0</v>
      </c>
    </row>
    <row r="2815" spans="28:34">
      <c r="AB2815" s="580">
        <f>HLOOKUP("*"&amp;'Output annual'!$AC$2&amp;'Output annual'!$AD$2&amp;"*Zone People Number Of Occupants [](Hourly)",'Eplus results'!$1:$1048576,ROW(),FALSE)</f>
        <v>0</v>
      </c>
      <c r="AC2815" s="580">
        <f>HLOOKUP("*"&amp;'Output annual'!$AC$2&amp;'Output annual'!$AD$2&amp;"*FangerPMV(Hourly)",'Eplus results'!$1:$1048576,ROW(),FALSE)</f>
        <v>0</v>
      </c>
      <c r="AD2815" s="580">
        <f t="shared" si="251"/>
        <v>5</v>
      </c>
      <c r="AE2815" s="580">
        <f t="shared" si="252"/>
        <v>2.5</v>
      </c>
      <c r="AF2815" s="580">
        <f t="shared" si="253"/>
        <v>2.5</v>
      </c>
      <c r="AG2815" s="580">
        <f t="shared" si="254"/>
        <v>0</v>
      </c>
      <c r="AH2815" s="580">
        <f t="shared" si="255"/>
        <v>0</v>
      </c>
    </row>
    <row r="2816" spans="28:34">
      <c r="AB2816" s="580">
        <f>HLOOKUP("*"&amp;'Output annual'!$AC$2&amp;'Output annual'!$AD$2&amp;"*Zone People Number Of Occupants [](Hourly)",'Eplus results'!$1:$1048576,ROW(),FALSE)</f>
        <v>0</v>
      </c>
      <c r="AC2816" s="580">
        <f>HLOOKUP("*"&amp;'Output annual'!$AC$2&amp;'Output annual'!$AD$2&amp;"*FangerPMV(Hourly)",'Eplus results'!$1:$1048576,ROW(),FALSE)</f>
        <v>0</v>
      </c>
      <c r="AD2816" s="580">
        <f t="shared" si="251"/>
        <v>5</v>
      </c>
      <c r="AE2816" s="580">
        <f t="shared" si="252"/>
        <v>2.5</v>
      </c>
      <c r="AF2816" s="580">
        <f t="shared" si="253"/>
        <v>2.5</v>
      </c>
      <c r="AG2816" s="580">
        <f t="shared" si="254"/>
        <v>0</v>
      </c>
      <c r="AH2816" s="580">
        <f t="shared" si="255"/>
        <v>0</v>
      </c>
    </row>
    <row r="2817" spans="28:34">
      <c r="AB2817" s="580">
        <f>HLOOKUP("*"&amp;'Output annual'!$AC$2&amp;'Output annual'!$AD$2&amp;"*Zone People Number Of Occupants [](Hourly)",'Eplus results'!$1:$1048576,ROW(),FALSE)</f>
        <v>0</v>
      </c>
      <c r="AC2817" s="580">
        <f>HLOOKUP("*"&amp;'Output annual'!$AC$2&amp;'Output annual'!$AD$2&amp;"*FangerPMV(Hourly)",'Eplus results'!$1:$1048576,ROW(),FALSE)</f>
        <v>0</v>
      </c>
      <c r="AD2817" s="580">
        <f t="shared" si="251"/>
        <v>5</v>
      </c>
      <c r="AE2817" s="580">
        <f t="shared" si="252"/>
        <v>2.5</v>
      </c>
      <c r="AF2817" s="580">
        <f t="shared" si="253"/>
        <v>2.5</v>
      </c>
      <c r="AG2817" s="580">
        <f t="shared" si="254"/>
        <v>0</v>
      </c>
      <c r="AH2817" s="580">
        <f t="shared" si="255"/>
        <v>0</v>
      </c>
    </row>
    <row r="2818" spans="28:34">
      <c r="AB2818" s="580">
        <f>HLOOKUP("*"&amp;'Output annual'!$AC$2&amp;'Output annual'!$AD$2&amp;"*Zone People Number Of Occupants [](Hourly)",'Eplus results'!$1:$1048576,ROW(),FALSE)</f>
        <v>0</v>
      </c>
      <c r="AC2818" s="580">
        <f>HLOOKUP("*"&amp;'Output annual'!$AC$2&amp;'Output annual'!$AD$2&amp;"*FangerPMV(Hourly)",'Eplus results'!$1:$1048576,ROW(),FALSE)</f>
        <v>0</v>
      </c>
      <c r="AD2818" s="580">
        <f t="shared" si="251"/>
        <v>5</v>
      </c>
      <c r="AE2818" s="580">
        <f t="shared" si="252"/>
        <v>2.5</v>
      </c>
      <c r="AF2818" s="580">
        <f t="shared" si="253"/>
        <v>2.5</v>
      </c>
      <c r="AG2818" s="580">
        <f t="shared" si="254"/>
        <v>0</v>
      </c>
      <c r="AH2818" s="580">
        <f t="shared" si="255"/>
        <v>0</v>
      </c>
    </row>
    <row r="2819" spans="28:34">
      <c r="AB2819" s="580">
        <f>HLOOKUP("*"&amp;'Output annual'!$AC$2&amp;'Output annual'!$AD$2&amp;"*Zone People Number Of Occupants [](Hourly)",'Eplus results'!$1:$1048576,ROW(),FALSE)</f>
        <v>0</v>
      </c>
      <c r="AC2819" s="580">
        <f>HLOOKUP("*"&amp;'Output annual'!$AC$2&amp;'Output annual'!$AD$2&amp;"*FangerPMV(Hourly)",'Eplus results'!$1:$1048576,ROW(),FALSE)</f>
        <v>0</v>
      </c>
      <c r="AD2819" s="580">
        <f t="shared" ref="AD2819:AD2882" si="256">100-95*EXP(-0.03353*AC2819^4-0.2179*AC2819^2)</f>
        <v>5</v>
      </c>
      <c r="AE2819" s="580">
        <f t="shared" ref="AE2819:AE2882" si="257">AD2819*(1/(1+EXP(-6.3*$AC2819)))</f>
        <v>2.5</v>
      </c>
      <c r="AF2819" s="580">
        <f t="shared" ref="AF2819:AF2882" si="258">(AD2819-AE2819)</f>
        <v>2.5</v>
      </c>
      <c r="AG2819" s="580">
        <f t="shared" ref="AG2819:AG2882" si="259">AE2819*AB2819</f>
        <v>0</v>
      </c>
      <c r="AH2819" s="580">
        <f t="shared" ref="AH2819:AH2882" si="260">AF2819*AB2819</f>
        <v>0</v>
      </c>
    </row>
    <row r="2820" spans="28:34">
      <c r="AB2820" s="580">
        <f>HLOOKUP("*"&amp;'Output annual'!$AC$2&amp;'Output annual'!$AD$2&amp;"*Zone People Number Of Occupants [](Hourly)",'Eplus results'!$1:$1048576,ROW(),FALSE)</f>
        <v>0</v>
      </c>
      <c r="AC2820" s="580">
        <f>HLOOKUP("*"&amp;'Output annual'!$AC$2&amp;'Output annual'!$AD$2&amp;"*FangerPMV(Hourly)",'Eplus results'!$1:$1048576,ROW(),FALSE)</f>
        <v>0</v>
      </c>
      <c r="AD2820" s="580">
        <f t="shared" si="256"/>
        <v>5</v>
      </c>
      <c r="AE2820" s="580">
        <f t="shared" si="257"/>
        <v>2.5</v>
      </c>
      <c r="AF2820" s="580">
        <f t="shared" si="258"/>
        <v>2.5</v>
      </c>
      <c r="AG2820" s="580">
        <f t="shared" si="259"/>
        <v>0</v>
      </c>
      <c r="AH2820" s="580">
        <f t="shared" si="260"/>
        <v>0</v>
      </c>
    </row>
    <row r="2821" spans="28:34">
      <c r="AB2821" s="580">
        <f>HLOOKUP("*"&amp;'Output annual'!$AC$2&amp;'Output annual'!$AD$2&amp;"*Zone People Number Of Occupants [](Hourly)",'Eplus results'!$1:$1048576,ROW(),FALSE)</f>
        <v>0</v>
      </c>
      <c r="AC2821" s="580">
        <f>HLOOKUP("*"&amp;'Output annual'!$AC$2&amp;'Output annual'!$AD$2&amp;"*FangerPMV(Hourly)",'Eplus results'!$1:$1048576,ROW(),FALSE)</f>
        <v>0</v>
      </c>
      <c r="AD2821" s="580">
        <f t="shared" si="256"/>
        <v>5</v>
      </c>
      <c r="AE2821" s="580">
        <f t="shared" si="257"/>
        <v>2.5</v>
      </c>
      <c r="AF2821" s="580">
        <f t="shared" si="258"/>
        <v>2.5</v>
      </c>
      <c r="AG2821" s="580">
        <f t="shared" si="259"/>
        <v>0</v>
      </c>
      <c r="AH2821" s="580">
        <f t="shared" si="260"/>
        <v>0</v>
      </c>
    </row>
    <row r="2822" spans="28:34">
      <c r="AB2822" s="580">
        <f>HLOOKUP("*"&amp;'Output annual'!$AC$2&amp;'Output annual'!$AD$2&amp;"*Zone People Number Of Occupants [](Hourly)",'Eplus results'!$1:$1048576,ROW(),FALSE)</f>
        <v>0</v>
      </c>
      <c r="AC2822" s="580">
        <f>HLOOKUP("*"&amp;'Output annual'!$AC$2&amp;'Output annual'!$AD$2&amp;"*FangerPMV(Hourly)",'Eplus results'!$1:$1048576,ROW(),FALSE)</f>
        <v>0</v>
      </c>
      <c r="AD2822" s="580">
        <f t="shared" si="256"/>
        <v>5</v>
      </c>
      <c r="AE2822" s="580">
        <f t="shared" si="257"/>
        <v>2.5</v>
      </c>
      <c r="AF2822" s="580">
        <f t="shared" si="258"/>
        <v>2.5</v>
      </c>
      <c r="AG2822" s="580">
        <f t="shared" si="259"/>
        <v>0</v>
      </c>
      <c r="AH2822" s="580">
        <f t="shared" si="260"/>
        <v>0</v>
      </c>
    </row>
    <row r="2823" spans="28:34">
      <c r="AB2823" s="580">
        <f>HLOOKUP("*"&amp;'Output annual'!$AC$2&amp;'Output annual'!$AD$2&amp;"*Zone People Number Of Occupants [](Hourly)",'Eplus results'!$1:$1048576,ROW(),FALSE)</f>
        <v>0</v>
      </c>
      <c r="AC2823" s="580">
        <f>HLOOKUP("*"&amp;'Output annual'!$AC$2&amp;'Output annual'!$AD$2&amp;"*FangerPMV(Hourly)",'Eplus results'!$1:$1048576,ROW(),FALSE)</f>
        <v>0</v>
      </c>
      <c r="AD2823" s="580">
        <f t="shared" si="256"/>
        <v>5</v>
      </c>
      <c r="AE2823" s="580">
        <f t="shared" si="257"/>
        <v>2.5</v>
      </c>
      <c r="AF2823" s="580">
        <f t="shared" si="258"/>
        <v>2.5</v>
      </c>
      <c r="AG2823" s="580">
        <f t="shared" si="259"/>
        <v>0</v>
      </c>
      <c r="AH2823" s="580">
        <f t="shared" si="260"/>
        <v>0</v>
      </c>
    </row>
    <row r="2824" spans="28:34">
      <c r="AB2824" s="580">
        <f>HLOOKUP("*"&amp;'Output annual'!$AC$2&amp;'Output annual'!$AD$2&amp;"*Zone People Number Of Occupants [](Hourly)",'Eplus results'!$1:$1048576,ROW(),FALSE)</f>
        <v>0</v>
      </c>
      <c r="AC2824" s="580">
        <f>HLOOKUP("*"&amp;'Output annual'!$AC$2&amp;'Output annual'!$AD$2&amp;"*FangerPMV(Hourly)",'Eplus results'!$1:$1048576,ROW(),FALSE)</f>
        <v>0</v>
      </c>
      <c r="AD2824" s="580">
        <f t="shared" si="256"/>
        <v>5</v>
      </c>
      <c r="AE2824" s="580">
        <f t="shared" si="257"/>
        <v>2.5</v>
      </c>
      <c r="AF2824" s="580">
        <f t="shared" si="258"/>
        <v>2.5</v>
      </c>
      <c r="AG2824" s="580">
        <f t="shared" si="259"/>
        <v>0</v>
      </c>
      <c r="AH2824" s="580">
        <f t="shared" si="260"/>
        <v>0</v>
      </c>
    </row>
    <row r="2825" spans="28:34">
      <c r="AB2825" s="580">
        <f>HLOOKUP("*"&amp;'Output annual'!$AC$2&amp;'Output annual'!$AD$2&amp;"*Zone People Number Of Occupants [](Hourly)",'Eplus results'!$1:$1048576,ROW(),FALSE)</f>
        <v>0</v>
      </c>
      <c r="AC2825" s="580">
        <f>HLOOKUP("*"&amp;'Output annual'!$AC$2&amp;'Output annual'!$AD$2&amp;"*FangerPMV(Hourly)",'Eplus results'!$1:$1048576,ROW(),FALSE)</f>
        <v>0</v>
      </c>
      <c r="AD2825" s="580">
        <f t="shared" si="256"/>
        <v>5</v>
      </c>
      <c r="AE2825" s="580">
        <f t="shared" si="257"/>
        <v>2.5</v>
      </c>
      <c r="AF2825" s="580">
        <f t="shared" si="258"/>
        <v>2.5</v>
      </c>
      <c r="AG2825" s="580">
        <f t="shared" si="259"/>
        <v>0</v>
      </c>
      <c r="AH2825" s="580">
        <f t="shared" si="260"/>
        <v>0</v>
      </c>
    </row>
    <row r="2826" spans="28:34">
      <c r="AB2826" s="580">
        <f>HLOOKUP("*"&amp;'Output annual'!$AC$2&amp;'Output annual'!$AD$2&amp;"*Zone People Number Of Occupants [](Hourly)",'Eplus results'!$1:$1048576,ROW(),FALSE)</f>
        <v>0</v>
      </c>
      <c r="AC2826" s="580">
        <f>HLOOKUP("*"&amp;'Output annual'!$AC$2&amp;'Output annual'!$AD$2&amp;"*FangerPMV(Hourly)",'Eplus results'!$1:$1048576,ROW(),FALSE)</f>
        <v>0</v>
      </c>
      <c r="AD2826" s="580">
        <f t="shared" si="256"/>
        <v>5</v>
      </c>
      <c r="AE2826" s="580">
        <f t="shared" si="257"/>
        <v>2.5</v>
      </c>
      <c r="AF2826" s="580">
        <f t="shared" si="258"/>
        <v>2.5</v>
      </c>
      <c r="AG2826" s="580">
        <f t="shared" si="259"/>
        <v>0</v>
      </c>
      <c r="AH2826" s="580">
        <f t="shared" si="260"/>
        <v>0</v>
      </c>
    </row>
    <row r="2827" spans="28:34">
      <c r="AB2827" s="580">
        <f>HLOOKUP("*"&amp;'Output annual'!$AC$2&amp;'Output annual'!$AD$2&amp;"*Zone People Number Of Occupants [](Hourly)",'Eplus results'!$1:$1048576,ROW(),FALSE)</f>
        <v>0</v>
      </c>
      <c r="AC2827" s="580">
        <f>HLOOKUP("*"&amp;'Output annual'!$AC$2&amp;'Output annual'!$AD$2&amp;"*FangerPMV(Hourly)",'Eplus results'!$1:$1048576,ROW(),FALSE)</f>
        <v>0</v>
      </c>
      <c r="AD2827" s="580">
        <f t="shared" si="256"/>
        <v>5</v>
      </c>
      <c r="AE2827" s="580">
        <f t="shared" si="257"/>
        <v>2.5</v>
      </c>
      <c r="AF2827" s="580">
        <f t="shared" si="258"/>
        <v>2.5</v>
      </c>
      <c r="AG2827" s="580">
        <f t="shared" si="259"/>
        <v>0</v>
      </c>
      <c r="AH2827" s="580">
        <f t="shared" si="260"/>
        <v>0</v>
      </c>
    </row>
    <row r="2828" spans="28:34">
      <c r="AB2828" s="580">
        <f>HLOOKUP("*"&amp;'Output annual'!$AC$2&amp;'Output annual'!$AD$2&amp;"*Zone People Number Of Occupants [](Hourly)",'Eplus results'!$1:$1048576,ROW(),FALSE)</f>
        <v>0</v>
      </c>
      <c r="AC2828" s="580">
        <f>HLOOKUP("*"&amp;'Output annual'!$AC$2&amp;'Output annual'!$AD$2&amp;"*FangerPMV(Hourly)",'Eplus results'!$1:$1048576,ROW(),FALSE)</f>
        <v>0</v>
      </c>
      <c r="AD2828" s="580">
        <f t="shared" si="256"/>
        <v>5</v>
      </c>
      <c r="AE2828" s="580">
        <f t="shared" si="257"/>
        <v>2.5</v>
      </c>
      <c r="AF2828" s="580">
        <f t="shared" si="258"/>
        <v>2.5</v>
      </c>
      <c r="AG2828" s="580">
        <f t="shared" si="259"/>
        <v>0</v>
      </c>
      <c r="AH2828" s="580">
        <f t="shared" si="260"/>
        <v>0</v>
      </c>
    </row>
    <row r="2829" spans="28:34">
      <c r="AB2829" s="580">
        <f>HLOOKUP("*"&amp;'Output annual'!$AC$2&amp;'Output annual'!$AD$2&amp;"*Zone People Number Of Occupants [](Hourly)",'Eplus results'!$1:$1048576,ROW(),FALSE)</f>
        <v>0</v>
      </c>
      <c r="AC2829" s="580">
        <f>HLOOKUP("*"&amp;'Output annual'!$AC$2&amp;'Output annual'!$AD$2&amp;"*FangerPMV(Hourly)",'Eplus results'!$1:$1048576,ROW(),FALSE)</f>
        <v>0</v>
      </c>
      <c r="AD2829" s="580">
        <f t="shared" si="256"/>
        <v>5</v>
      </c>
      <c r="AE2829" s="580">
        <f t="shared" si="257"/>
        <v>2.5</v>
      </c>
      <c r="AF2829" s="580">
        <f t="shared" si="258"/>
        <v>2.5</v>
      </c>
      <c r="AG2829" s="580">
        <f t="shared" si="259"/>
        <v>0</v>
      </c>
      <c r="AH2829" s="580">
        <f t="shared" si="260"/>
        <v>0</v>
      </c>
    </row>
    <row r="2830" spans="28:34">
      <c r="AB2830" s="580">
        <f>HLOOKUP("*"&amp;'Output annual'!$AC$2&amp;'Output annual'!$AD$2&amp;"*Zone People Number Of Occupants [](Hourly)",'Eplus results'!$1:$1048576,ROW(),FALSE)</f>
        <v>0</v>
      </c>
      <c r="AC2830" s="580">
        <f>HLOOKUP("*"&amp;'Output annual'!$AC$2&amp;'Output annual'!$AD$2&amp;"*FangerPMV(Hourly)",'Eplus results'!$1:$1048576,ROW(),FALSE)</f>
        <v>0</v>
      </c>
      <c r="AD2830" s="580">
        <f t="shared" si="256"/>
        <v>5</v>
      </c>
      <c r="AE2830" s="580">
        <f t="shared" si="257"/>
        <v>2.5</v>
      </c>
      <c r="AF2830" s="580">
        <f t="shared" si="258"/>
        <v>2.5</v>
      </c>
      <c r="AG2830" s="580">
        <f t="shared" si="259"/>
        <v>0</v>
      </c>
      <c r="AH2830" s="580">
        <f t="shared" si="260"/>
        <v>0</v>
      </c>
    </row>
    <row r="2831" spans="28:34">
      <c r="AB2831" s="580">
        <f>HLOOKUP("*"&amp;'Output annual'!$AC$2&amp;'Output annual'!$AD$2&amp;"*Zone People Number Of Occupants [](Hourly)",'Eplus results'!$1:$1048576,ROW(),FALSE)</f>
        <v>0</v>
      </c>
      <c r="AC2831" s="580">
        <f>HLOOKUP("*"&amp;'Output annual'!$AC$2&amp;'Output annual'!$AD$2&amp;"*FangerPMV(Hourly)",'Eplus results'!$1:$1048576,ROW(),FALSE)</f>
        <v>0</v>
      </c>
      <c r="AD2831" s="580">
        <f t="shared" si="256"/>
        <v>5</v>
      </c>
      <c r="AE2831" s="580">
        <f t="shared" si="257"/>
        <v>2.5</v>
      </c>
      <c r="AF2831" s="580">
        <f t="shared" si="258"/>
        <v>2.5</v>
      </c>
      <c r="AG2831" s="580">
        <f t="shared" si="259"/>
        <v>0</v>
      </c>
      <c r="AH2831" s="580">
        <f t="shared" si="260"/>
        <v>0</v>
      </c>
    </row>
    <row r="2832" spans="28:34">
      <c r="AB2832" s="580">
        <f>HLOOKUP("*"&amp;'Output annual'!$AC$2&amp;'Output annual'!$AD$2&amp;"*Zone People Number Of Occupants [](Hourly)",'Eplus results'!$1:$1048576,ROW(),FALSE)</f>
        <v>0</v>
      </c>
      <c r="AC2832" s="580">
        <f>HLOOKUP("*"&amp;'Output annual'!$AC$2&amp;'Output annual'!$AD$2&amp;"*FangerPMV(Hourly)",'Eplus results'!$1:$1048576,ROW(),FALSE)</f>
        <v>0</v>
      </c>
      <c r="AD2832" s="580">
        <f t="shared" si="256"/>
        <v>5</v>
      </c>
      <c r="AE2832" s="580">
        <f t="shared" si="257"/>
        <v>2.5</v>
      </c>
      <c r="AF2832" s="580">
        <f t="shared" si="258"/>
        <v>2.5</v>
      </c>
      <c r="AG2832" s="580">
        <f t="shared" si="259"/>
        <v>0</v>
      </c>
      <c r="AH2832" s="580">
        <f t="shared" si="260"/>
        <v>0</v>
      </c>
    </row>
    <row r="2833" spans="28:34">
      <c r="AB2833" s="580">
        <f>HLOOKUP("*"&amp;'Output annual'!$AC$2&amp;'Output annual'!$AD$2&amp;"*Zone People Number Of Occupants [](Hourly)",'Eplus results'!$1:$1048576,ROW(),FALSE)</f>
        <v>0</v>
      </c>
      <c r="AC2833" s="580">
        <f>HLOOKUP("*"&amp;'Output annual'!$AC$2&amp;'Output annual'!$AD$2&amp;"*FangerPMV(Hourly)",'Eplus results'!$1:$1048576,ROW(),FALSE)</f>
        <v>0</v>
      </c>
      <c r="AD2833" s="580">
        <f t="shared" si="256"/>
        <v>5</v>
      </c>
      <c r="AE2833" s="580">
        <f t="shared" si="257"/>
        <v>2.5</v>
      </c>
      <c r="AF2833" s="580">
        <f t="shared" si="258"/>
        <v>2.5</v>
      </c>
      <c r="AG2833" s="580">
        <f t="shared" si="259"/>
        <v>0</v>
      </c>
      <c r="AH2833" s="580">
        <f t="shared" si="260"/>
        <v>0</v>
      </c>
    </row>
    <row r="2834" spans="28:34">
      <c r="AB2834" s="580">
        <f>HLOOKUP("*"&amp;'Output annual'!$AC$2&amp;'Output annual'!$AD$2&amp;"*Zone People Number Of Occupants [](Hourly)",'Eplus results'!$1:$1048576,ROW(),FALSE)</f>
        <v>0</v>
      </c>
      <c r="AC2834" s="580">
        <f>HLOOKUP("*"&amp;'Output annual'!$AC$2&amp;'Output annual'!$AD$2&amp;"*FangerPMV(Hourly)",'Eplus results'!$1:$1048576,ROW(),FALSE)</f>
        <v>0</v>
      </c>
      <c r="AD2834" s="580">
        <f t="shared" si="256"/>
        <v>5</v>
      </c>
      <c r="AE2834" s="580">
        <f t="shared" si="257"/>
        <v>2.5</v>
      </c>
      <c r="AF2834" s="580">
        <f t="shared" si="258"/>
        <v>2.5</v>
      </c>
      <c r="AG2834" s="580">
        <f t="shared" si="259"/>
        <v>0</v>
      </c>
      <c r="AH2834" s="580">
        <f t="shared" si="260"/>
        <v>0</v>
      </c>
    </row>
    <row r="2835" spans="28:34">
      <c r="AB2835" s="580">
        <f>HLOOKUP("*"&amp;'Output annual'!$AC$2&amp;'Output annual'!$AD$2&amp;"*Zone People Number Of Occupants [](Hourly)",'Eplus results'!$1:$1048576,ROW(),FALSE)</f>
        <v>0</v>
      </c>
      <c r="AC2835" s="580">
        <f>HLOOKUP("*"&amp;'Output annual'!$AC$2&amp;'Output annual'!$AD$2&amp;"*FangerPMV(Hourly)",'Eplus results'!$1:$1048576,ROW(),FALSE)</f>
        <v>0</v>
      </c>
      <c r="AD2835" s="580">
        <f t="shared" si="256"/>
        <v>5</v>
      </c>
      <c r="AE2835" s="580">
        <f t="shared" si="257"/>
        <v>2.5</v>
      </c>
      <c r="AF2835" s="580">
        <f t="shared" si="258"/>
        <v>2.5</v>
      </c>
      <c r="AG2835" s="580">
        <f t="shared" si="259"/>
        <v>0</v>
      </c>
      <c r="AH2835" s="580">
        <f t="shared" si="260"/>
        <v>0</v>
      </c>
    </row>
    <row r="2836" spans="28:34">
      <c r="AB2836" s="580">
        <f>HLOOKUP("*"&amp;'Output annual'!$AC$2&amp;'Output annual'!$AD$2&amp;"*Zone People Number Of Occupants [](Hourly)",'Eplus results'!$1:$1048576,ROW(),FALSE)</f>
        <v>0</v>
      </c>
      <c r="AC2836" s="580">
        <f>HLOOKUP("*"&amp;'Output annual'!$AC$2&amp;'Output annual'!$AD$2&amp;"*FangerPMV(Hourly)",'Eplus results'!$1:$1048576,ROW(),FALSE)</f>
        <v>0</v>
      </c>
      <c r="AD2836" s="580">
        <f t="shared" si="256"/>
        <v>5</v>
      </c>
      <c r="AE2836" s="580">
        <f t="shared" si="257"/>
        <v>2.5</v>
      </c>
      <c r="AF2836" s="580">
        <f t="shared" si="258"/>
        <v>2.5</v>
      </c>
      <c r="AG2836" s="580">
        <f t="shared" si="259"/>
        <v>0</v>
      </c>
      <c r="AH2836" s="580">
        <f t="shared" si="260"/>
        <v>0</v>
      </c>
    </row>
    <row r="2837" spans="28:34">
      <c r="AB2837" s="580">
        <f>HLOOKUP("*"&amp;'Output annual'!$AC$2&amp;'Output annual'!$AD$2&amp;"*Zone People Number Of Occupants [](Hourly)",'Eplus results'!$1:$1048576,ROW(),FALSE)</f>
        <v>0</v>
      </c>
      <c r="AC2837" s="580">
        <f>HLOOKUP("*"&amp;'Output annual'!$AC$2&amp;'Output annual'!$AD$2&amp;"*FangerPMV(Hourly)",'Eplus results'!$1:$1048576,ROW(),FALSE)</f>
        <v>0</v>
      </c>
      <c r="AD2837" s="580">
        <f t="shared" si="256"/>
        <v>5</v>
      </c>
      <c r="AE2837" s="580">
        <f t="shared" si="257"/>
        <v>2.5</v>
      </c>
      <c r="AF2837" s="580">
        <f t="shared" si="258"/>
        <v>2.5</v>
      </c>
      <c r="AG2837" s="580">
        <f t="shared" si="259"/>
        <v>0</v>
      </c>
      <c r="AH2837" s="580">
        <f t="shared" si="260"/>
        <v>0</v>
      </c>
    </row>
    <row r="2838" spans="28:34">
      <c r="AB2838" s="580">
        <f>HLOOKUP("*"&amp;'Output annual'!$AC$2&amp;'Output annual'!$AD$2&amp;"*Zone People Number Of Occupants [](Hourly)",'Eplus results'!$1:$1048576,ROW(),FALSE)</f>
        <v>0</v>
      </c>
      <c r="AC2838" s="580">
        <f>HLOOKUP("*"&amp;'Output annual'!$AC$2&amp;'Output annual'!$AD$2&amp;"*FangerPMV(Hourly)",'Eplus results'!$1:$1048576,ROW(),FALSE)</f>
        <v>0</v>
      </c>
      <c r="AD2838" s="580">
        <f t="shared" si="256"/>
        <v>5</v>
      </c>
      <c r="AE2838" s="580">
        <f t="shared" si="257"/>
        <v>2.5</v>
      </c>
      <c r="AF2838" s="580">
        <f t="shared" si="258"/>
        <v>2.5</v>
      </c>
      <c r="AG2838" s="580">
        <f t="shared" si="259"/>
        <v>0</v>
      </c>
      <c r="AH2838" s="580">
        <f t="shared" si="260"/>
        <v>0</v>
      </c>
    </row>
    <row r="2839" spans="28:34">
      <c r="AB2839" s="580">
        <f>HLOOKUP("*"&amp;'Output annual'!$AC$2&amp;'Output annual'!$AD$2&amp;"*Zone People Number Of Occupants [](Hourly)",'Eplus results'!$1:$1048576,ROW(),FALSE)</f>
        <v>0</v>
      </c>
      <c r="AC2839" s="580">
        <f>HLOOKUP("*"&amp;'Output annual'!$AC$2&amp;'Output annual'!$AD$2&amp;"*FangerPMV(Hourly)",'Eplus results'!$1:$1048576,ROW(),FALSE)</f>
        <v>0</v>
      </c>
      <c r="AD2839" s="580">
        <f t="shared" si="256"/>
        <v>5</v>
      </c>
      <c r="AE2839" s="580">
        <f t="shared" si="257"/>
        <v>2.5</v>
      </c>
      <c r="AF2839" s="580">
        <f t="shared" si="258"/>
        <v>2.5</v>
      </c>
      <c r="AG2839" s="580">
        <f t="shared" si="259"/>
        <v>0</v>
      </c>
      <c r="AH2839" s="580">
        <f t="shared" si="260"/>
        <v>0</v>
      </c>
    </row>
    <row r="2840" spans="28:34">
      <c r="AB2840" s="580">
        <f>HLOOKUP("*"&amp;'Output annual'!$AC$2&amp;'Output annual'!$AD$2&amp;"*Zone People Number Of Occupants [](Hourly)",'Eplus results'!$1:$1048576,ROW(),FALSE)</f>
        <v>0</v>
      </c>
      <c r="AC2840" s="580">
        <f>HLOOKUP("*"&amp;'Output annual'!$AC$2&amp;'Output annual'!$AD$2&amp;"*FangerPMV(Hourly)",'Eplus results'!$1:$1048576,ROW(),FALSE)</f>
        <v>0</v>
      </c>
      <c r="AD2840" s="580">
        <f t="shared" si="256"/>
        <v>5</v>
      </c>
      <c r="AE2840" s="580">
        <f t="shared" si="257"/>
        <v>2.5</v>
      </c>
      <c r="AF2840" s="580">
        <f t="shared" si="258"/>
        <v>2.5</v>
      </c>
      <c r="AG2840" s="580">
        <f t="shared" si="259"/>
        <v>0</v>
      </c>
      <c r="AH2840" s="580">
        <f t="shared" si="260"/>
        <v>0</v>
      </c>
    </row>
    <row r="2841" spans="28:34">
      <c r="AB2841" s="580">
        <f>HLOOKUP("*"&amp;'Output annual'!$AC$2&amp;'Output annual'!$AD$2&amp;"*Zone People Number Of Occupants [](Hourly)",'Eplus results'!$1:$1048576,ROW(),FALSE)</f>
        <v>0</v>
      </c>
      <c r="AC2841" s="580">
        <f>HLOOKUP("*"&amp;'Output annual'!$AC$2&amp;'Output annual'!$AD$2&amp;"*FangerPMV(Hourly)",'Eplus results'!$1:$1048576,ROW(),FALSE)</f>
        <v>0</v>
      </c>
      <c r="AD2841" s="580">
        <f t="shared" si="256"/>
        <v>5</v>
      </c>
      <c r="AE2841" s="580">
        <f t="shared" si="257"/>
        <v>2.5</v>
      </c>
      <c r="AF2841" s="580">
        <f t="shared" si="258"/>
        <v>2.5</v>
      </c>
      <c r="AG2841" s="580">
        <f t="shared" si="259"/>
        <v>0</v>
      </c>
      <c r="AH2841" s="580">
        <f t="shared" si="260"/>
        <v>0</v>
      </c>
    </row>
    <row r="2842" spans="28:34">
      <c r="AB2842" s="580">
        <f>HLOOKUP("*"&amp;'Output annual'!$AC$2&amp;'Output annual'!$AD$2&amp;"*Zone People Number Of Occupants [](Hourly)",'Eplus results'!$1:$1048576,ROW(),FALSE)</f>
        <v>0</v>
      </c>
      <c r="AC2842" s="580">
        <f>HLOOKUP("*"&amp;'Output annual'!$AC$2&amp;'Output annual'!$AD$2&amp;"*FangerPMV(Hourly)",'Eplus results'!$1:$1048576,ROW(),FALSE)</f>
        <v>0</v>
      </c>
      <c r="AD2842" s="580">
        <f t="shared" si="256"/>
        <v>5</v>
      </c>
      <c r="AE2842" s="580">
        <f t="shared" si="257"/>
        <v>2.5</v>
      </c>
      <c r="AF2842" s="580">
        <f t="shared" si="258"/>
        <v>2.5</v>
      </c>
      <c r="AG2842" s="580">
        <f t="shared" si="259"/>
        <v>0</v>
      </c>
      <c r="AH2842" s="580">
        <f t="shared" si="260"/>
        <v>0</v>
      </c>
    </row>
    <row r="2843" spans="28:34">
      <c r="AB2843" s="580">
        <f>HLOOKUP("*"&amp;'Output annual'!$AC$2&amp;'Output annual'!$AD$2&amp;"*Zone People Number Of Occupants [](Hourly)",'Eplus results'!$1:$1048576,ROW(),FALSE)</f>
        <v>0</v>
      </c>
      <c r="AC2843" s="580">
        <f>HLOOKUP("*"&amp;'Output annual'!$AC$2&amp;'Output annual'!$AD$2&amp;"*FangerPMV(Hourly)",'Eplus results'!$1:$1048576,ROW(),FALSE)</f>
        <v>0</v>
      </c>
      <c r="AD2843" s="580">
        <f t="shared" si="256"/>
        <v>5</v>
      </c>
      <c r="AE2843" s="580">
        <f t="shared" si="257"/>
        <v>2.5</v>
      </c>
      <c r="AF2843" s="580">
        <f t="shared" si="258"/>
        <v>2.5</v>
      </c>
      <c r="AG2843" s="580">
        <f t="shared" si="259"/>
        <v>0</v>
      </c>
      <c r="AH2843" s="580">
        <f t="shared" si="260"/>
        <v>0</v>
      </c>
    </row>
    <row r="2844" spans="28:34">
      <c r="AB2844" s="580">
        <f>HLOOKUP("*"&amp;'Output annual'!$AC$2&amp;'Output annual'!$AD$2&amp;"*Zone People Number Of Occupants [](Hourly)",'Eplus results'!$1:$1048576,ROW(),FALSE)</f>
        <v>0</v>
      </c>
      <c r="AC2844" s="580">
        <f>HLOOKUP("*"&amp;'Output annual'!$AC$2&amp;'Output annual'!$AD$2&amp;"*FangerPMV(Hourly)",'Eplus results'!$1:$1048576,ROW(),FALSE)</f>
        <v>0</v>
      </c>
      <c r="AD2844" s="580">
        <f t="shared" si="256"/>
        <v>5</v>
      </c>
      <c r="AE2844" s="580">
        <f t="shared" si="257"/>
        <v>2.5</v>
      </c>
      <c r="AF2844" s="580">
        <f t="shared" si="258"/>
        <v>2.5</v>
      </c>
      <c r="AG2844" s="580">
        <f t="shared" si="259"/>
        <v>0</v>
      </c>
      <c r="AH2844" s="580">
        <f t="shared" si="260"/>
        <v>0</v>
      </c>
    </row>
    <row r="2845" spans="28:34">
      <c r="AB2845" s="580">
        <f>HLOOKUP("*"&amp;'Output annual'!$AC$2&amp;'Output annual'!$AD$2&amp;"*Zone People Number Of Occupants [](Hourly)",'Eplus results'!$1:$1048576,ROW(),FALSE)</f>
        <v>0</v>
      </c>
      <c r="AC2845" s="580">
        <f>HLOOKUP("*"&amp;'Output annual'!$AC$2&amp;'Output annual'!$AD$2&amp;"*FangerPMV(Hourly)",'Eplus results'!$1:$1048576,ROW(),FALSE)</f>
        <v>0</v>
      </c>
      <c r="AD2845" s="580">
        <f t="shared" si="256"/>
        <v>5</v>
      </c>
      <c r="AE2845" s="580">
        <f t="shared" si="257"/>
        <v>2.5</v>
      </c>
      <c r="AF2845" s="580">
        <f t="shared" si="258"/>
        <v>2.5</v>
      </c>
      <c r="AG2845" s="580">
        <f t="shared" si="259"/>
        <v>0</v>
      </c>
      <c r="AH2845" s="580">
        <f t="shared" si="260"/>
        <v>0</v>
      </c>
    </row>
    <row r="2846" spans="28:34">
      <c r="AB2846" s="580">
        <f>HLOOKUP("*"&amp;'Output annual'!$AC$2&amp;'Output annual'!$AD$2&amp;"*Zone People Number Of Occupants [](Hourly)",'Eplus results'!$1:$1048576,ROW(),FALSE)</f>
        <v>0</v>
      </c>
      <c r="AC2846" s="580">
        <f>HLOOKUP("*"&amp;'Output annual'!$AC$2&amp;'Output annual'!$AD$2&amp;"*FangerPMV(Hourly)",'Eplus results'!$1:$1048576,ROW(),FALSE)</f>
        <v>0</v>
      </c>
      <c r="AD2846" s="580">
        <f t="shared" si="256"/>
        <v>5</v>
      </c>
      <c r="AE2846" s="580">
        <f t="shared" si="257"/>
        <v>2.5</v>
      </c>
      <c r="AF2846" s="580">
        <f t="shared" si="258"/>
        <v>2.5</v>
      </c>
      <c r="AG2846" s="580">
        <f t="shared" si="259"/>
        <v>0</v>
      </c>
      <c r="AH2846" s="580">
        <f t="shared" si="260"/>
        <v>0</v>
      </c>
    </row>
    <row r="2847" spans="28:34">
      <c r="AB2847" s="580">
        <f>HLOOKUP("*"&amp;'Output annual'!$AC$2&amp;'Output annual'!$AD$2&amp;"*Zone People Number Of Occupants [](Hourly)",'Eplus results'!$1:$1048576,ROW(),FALSE)</f>
        <v>0</v>
      </c>
      <c r="AC2847" s="580">
        <f>HLOOKUP("*"&amp;'Output annual'!$AC$2&amp;'Output annual'!$AD$2&amp;"*FangerPMV(Hourly)",'Eplus results'!$1:$1048576,ROW(),FALSE)</f>
        <v>0</v>
      </c>
      <c r="AD2847" s="580">
        <f t="shared" si="256"/>
        <v>5</v>
      </c>
      <c r="AE2847" s="580">
        <f t="shared" si="257"/>
        <v>2.5</v>
      </c>
      <c r="AF2847" s="580">
        <f t="shared" si="258"/>
        <v>2.5</v>
      </c>
      <c r="AG2847" s="580">
        <f t="shared" si="259"/>
        <v>0</v>
      </c>
      <c r="AH2847" s="580">
        <f t="shared" si="260"/>
        <v>0</v>
      </c>
    </row>
    <row r="2848" spans="28:34">
      <c r="AB2848" s="580">
        <f>HLOOKUP("*"&amp;'Output annual'!$AC$2&amp;'Output annual'!$AD$2&amp;"*Zone People Number Of Occupants [](Hourly)",'Eplus results'!$1:$1048576,ROW(),FALSE)</f>
        <v>0</v>
      </c>
      <c r="AC2848" s="580">
        <f>HLOOKUP("*"&amp;'Output annual'!$AC$2&amp;'Output annual'!$AD$2&amp;"*FangerPMV(Hourly)",'Eplus results'!$1:$1048576,ROW(),FALSE)</f>
        <v>0</v>
      </c>
      <c r="AD2848" s="580">
        <f t="shared" si="256"/>
        <v>5</v>
      </c>
      <c r="AE2848" s="580">
        <f t="shared" si="257"/>
        <v>2.5</v>
      </c>
      <c r="AF2848" s="580">
        <f t="shared" si="258"/>
        <v>2.5</v>
      </c>
      <c r="AG2848" s="580">
        <f t="shared" si="259"/>
        <v>0</v>
      </c>
      <c r="AH2848" s="580">
        <f t="shared" si="260"/>
        <v>0</v>
      </c>
    </row>
    <row r="2849" spans="28:34">
      <c r="AB2849" s="580">
        <f>HLOOKUP("*"&amp;'Output annual'!$AC$2&amp;'Output annual'!$AD$2&amp;"*Zone People Number Of Occupants [](Hourly)",'Eplus results'!$1:$1048576,ROW(),FALSE)</f>
        <v>0</v>
      </c>
      <c r="AC2849" s="580">
        <f>HLOOKUP("*"&amp;'Output annual'!$AC$2&amp;'Output annual'!$AD$2&amp;"*FangerPMV(Hourly)",'Eplus results'!$1:$1048576,ROW(),FALSE)</f>
        <v>0</v>
      </c>
      <c r="AD2849" s="580">
        <f t="shared" si="256"/>
        <v>5</v>
      </c>
      <c r="AE2849" s="580">
        <f t="shared" si="257"/>
        <v>2.5</v>
      </c>
      <c r="AF2849" s="580">
        <f t="shared" si="258"/>
        <v>2.5</v>
      </c>
      <c r="AG2849" s="580">
        <f t="shared" si="259"/>
        <v>0</v>
      </c>
      <c r="AH2849" s="580">
        <f t="shared" si="260"/>
        <v>0</v>
      </c>
    </row>
    <row r="2850" spans="28:34">
      <c r="AB2850" s="580">
        <f>HLOOKUP("*"&amp;'Output annual'!$AC$2&amp;'Output annual'!$AD$2&amp;"*Zone People Number Of Occupants [](Hourly)",'Eplus results'!$1:$1048576,ROW(),FALSE)</f>
        <v>0</v>
      </c>
      <c r="AC2850" s="580">
        <f>HLOOKUP("*"&amp;'Output annual'!$AC$2&amp;'Output annual'!$AD$2&amp;"*FangerPMV(Hourly)",'Eplus results'!$1:$1048576,ROW(),FALSE)</f>
        <v>0</v>
      </c>
      <c r="AD2850" s="580">
        <f t="shared" si="256"/>
        <v>5</v>
      </c>
      <c r="AE2850" s="580">
        <f t="shared" si="257"/>
        <v>2.5</v>
      </c>
      <c r="AF2850" s="580">
        <f t="shared" si="258"/>
        <v>2.5</v>
      </c>
      <c r="AG2850" s="580">
        <f t="shared" si="259"/>
        <v>0</v>
      </c>
      <c r="AH2850" s="580">
        <f t="shared" si="260"/>
        <v>0</v>
      </c>
    </row>
    <row r="2851" spans="28:34">
      <c r="AB2851" s="580">
        <f>HLOOKUP("*"&amp;'Output annual'!$AC$2&amp;'Output annual'!$AD$2&amp;"*Zone People Number Of Occupants [](Hourly)",'Eplus results'!$1:$1048576,ROW(),FALSE)</f>
        <v>0</v>
      </c>
      <c r="AC2851" s="580">
        <f>HLOOKUP("*"&amp;'Output annual'!$AC$2&amp;'Output annual'!$AD$2&amp;"*FangerPMV(Hourly)",'Eplus results'!$1:$1048576,ROW(),FALSE)</f>
        <v>0</v>
      </c>
      <c r="AD2851" s="580">
        <f t="shared" si="256"/>
        <v>5</v>
      </c>
      <c r="AE2851" s="580">
        <f t="shared" si="257"/>
        <v>2.5</v>
      </c>
      <c r="AF2851" s="580">
        <f t="shared" si="258"/>
        <v>2.5</v>
      </c>
      <c r="AG2851" s="580">
        <f t="shared" si="259"/>
        <v>0</v>
      </c>
      <c r="AH2851" s="580">
        <f t="shared" si="260"/>
        <v>0</v>
      </c>
    </row>
    <row r="2852" spans="28:34">
      <c r="AB2852" s="580">
        <f>HLOOKUP("*"&amp;'Output annual'!$AC$2&amp;'Output annual'!$AD$2&amp;"*Zone People Number Of Occupants [](Hourly)",'Eplus results'!$1:$1048576,ROW(),FALSE)</f>
        <v>0</v>
      </c>
      <c r="AC2852" s="580">
        <f>HLOOKUP("*"&amp;'Output annual'!$AC$2&amp;'Output annual'!$AD$2&amp;"*FangerPMV(Hourly)",'Eplus results'!$1:$1048576,ROW(),FALSE)</f>
        <v>0</v>
      </c>
      <c r="AD2852" s="580">
        <f t="shared" si="256"/>
        <v>5</v>
      </c>
      <c r="AE2852" s="580">
        <f t="shared" si="257"/>
        <v>2.5</v>
      </c>
      <c r="AF2852" s="580">
        <f t="shared" si="258"/>
        <v>2.5</v>
      </c>
      <c r="AG2852" s="580">
        <f t="shared" si="259"/>
        <v>0</v>
      </c>
      <c r="AH2852" s="580">
        <f t="shared" si="260"/>
        <v>0</v>
      </c>
    </row>
    <row r="2853" spans="28:34">
      <c r="AB2853" s="580">
        <f>HLOOKUP("*"&amp;'Output annual'!$AC$2&amp;'Output annual'!$AD$2&amp;"*Zone People Number Of Occupants [](Hourly)",'Eplus results'!$1:$1048576,ROW(),FALSE)</f>
        <v>0</v>
      </c>
      <c r="AC2853" s="580">
        <f>HLOOKUP("*"&amp;'Output annual'!$AC$2&amp;'Output annual'!$AD$2&amp;"*FangerPMV(Hourly)",'Eplus results'!$1:$1048576,ROW(),FALSE)</f>
        <v>0</v>
      </c>
      <c r="AD2853" s="580">
        <f t="shared" si="256"/>
        <v>5</v>
      </c>
      <c r="AE2853" s="580">
        <f t="shared" si="257"/>
        <v>2.5</v>
      </c>
      <c r="AF2853" s="580">
        <f t="shared" si="258"/>
        <v>2.5</v>
      </c>
      <c r="AG2853" s="580">
        <f t="shared" si="259"/>
        <v>0</v>
      </c>
      <c r="AH2853" s="580">
        <f t="shared" si="260"/>
        <v>0</v>
      </c>
    </row>
    <row r="2854" spans="28:34">
      <c r="AB2854" s="580">
        <f>HLOOKUP("*"&amp;'Output annual'!$AC$2&amp;'Output annual'!$AD$2&amp;"*Zone People Number Of Occupants [](Hourly)",'Eplus results'!$1:$1048576,ROW(),FALSE)</f>
        <v>0</v>
      </c>
      <c r="AC2854" s="580">
        <f>HLOOKUP("*"&amp;'Output annual'!$AC$2&amp;'Output annual'!$AD$2&amp;"*FangerPMV(Hourly)",'Eplus results'!$1:$1048576,ROW(),FALSE)</f>
        <v>0</v>
      </c>
      <c r="AD2854" s="580">
        <f t="shared" si="256"/>
        <v>5</v>
      </c>
      <c r="AE2854" s="580">
        <f t="shared" si="257"/>
        <v>2.5</v>
      </c>
      <c r="AF2854" s="580">
        <f t="shared" si="258"/>
        <v>2.5</v>
      </c>
      <c r="AG2854" s="580">
        <f t="shared" si="259"/>
        <v>0</v>
      </c>
      <c r="AH2854" s="580">
        <f t="shared" si="260"/>
        <v>0</v>
      </c>
    </row>
    <row r="2855" spans="28:34">
      <c r="AB2855" s="580">
        <f>HLOOKUP("*"&amp;'Output annual'!$AC$2&amp;'Output annual'!$AD$2&amp;"*Zone People Number Of Occupants [](Hourly)",'Eplus results'!$1:$1048576,ROW(),FALSE)</f>
        <v>0</v>
      </c>
      <c r="AC2855" s="580">
        <f>HLOOKUP("*"&amp;'Output annual'!$AC$2&amp;'Output annual'!$AD$2&amp;"*FangerPMV(Hourly)",'Eplus results'!$1:$1048576,ROW(),FALSE)</f>
        <v>0</v>
      </c>
      <c r="AD2855" s="580">
        <f t="shared" si="256"/>
        <v>5</v>
      </c>
      <c r="AE2855" s="580">
        <f t="shared" si="257"/>
        <v>2.5</v>
      </c>
      <c r="AF2855" s="580">
        <f t="shared" si="258"/>
        <v>2.5</v>
      </c>
      <c r="AG2855" s="580">
        <f t="shared" si="259"/>
        <v>0</v>
      </c>
      <c r="AH2855" s="580">
        <f t="shared" si="260"/>
        <v>0</v>
      </c>
    </row>
    <row r="2856" spans="28:34">
      <c r="AB2856" s="580">
        <f>HLOOKUP("*"&amp;'Output annual'!$AC$2&amp;'Output annual'!$AD$2&amp;"*Zone People Number Of Occupants [](Hourly)",'Eplus results'!$1:$1048576,ROW(),FALSE)</f>
        <v>0</v>
      </c>
      <c r="AC2856" s="580">
        <f>HLOOKUP("*"&amp;'Output annual'!$AC$2&amp;'Output annual'!$AD$2&amp;"*FangerPMV(Hourly)",'Eplus results'!$1:$1048576,ROW(),FALSE)</f>
        <v>0</v>
      </c>
      <c r="AD2856" s="580">
        <f t="shared" si="256"/>
        <v>5</v>
      </c>
      <c r="AE2856" s="580">
        <f t="shared" si="257"/>
        <v>2.5</v>
      </c>
      <c r="AF2856" s="580">
        <f t="shared" si="258"/>
        <v>2.5</v>
      </c>
      <c r="AG2856" s="580">
        <f t="shared" si="259"/>
        <v>0</v>
      </c>
      <c r="AH2856" s="580">
        <f t="shared" si="260"/>
        <v>0</v>
      </c>
    </row>
    <row r="2857" spans="28:34">
      <c r="AB2857" s="580">
        <f>HLOOKUP("*"&amp;'Output annual'!$AC$2&amp;'Output annual'!$AD$2&amp;"*Zone People Number Of Occupants [](Hourly)",'Eplus results'!$1:$1048576,ROW(),FALSE)</f>
        <v>0</v>
      </c>
      <c r="AC2857" s="580">
        <f>HLOOKUP("*"&amp;'Output annual'!$AC$2&amp;'Output annual'!$AD$2&amp;"*FangerPMV(Hourly)",'Eplus results'!$1:$1048576,ROW(),FALSE)</f>
        <v>0</v>
      </c>
      <c r="AD2857" s="580">
        <f t="shared" si="256"/>
        <v>5</v>
      </c>
      <c r="AE2857" s="580">
        <f t="shared" si="257"/>
        <v>2.5</v>
      </c>
      <c r="AF2857" s="580">
        <f t="shared" si="258"/>
        <v>2.5</v>
      </c>
      <c r="AG2857" s="580">
        <f t="shared" si="259"/>
        <v>0</v>
      </c>
      <c r="AH2857" s="580">
        <f t="shared" si="260"/>
        <v>0</v>
      </c>
    </row>
    <row r="2858" spans="28:34">
      <c r="AB2858" s="580">
        <f>HLOOKUP("*"&amp;'Output annual'!$AC$2&amp;'Output annual'!$AD$2&amp;"*Zone People Number Of Occupants [](Hourly)",'Eplus results'!$1:$1048576,ROW(),FALSE)</f>
        <v>0</v>
      </c>
      <c r="AC2858" s="580">
        <f>HLOOKUP("*"&amp;'Output annual'!$AC$2&amp;'Output annual'!$AD$2&amp;"*FangerPMV(Hourly)",'Eplus results'!$1:$1048576,ROW(),FALSE)</f>
        <v>0</v>
      </c>
      <c r="AD2858" s="580">
        <f t="shared" si="256"/>
        <v>5</v>
      </c>
      <c r="AE2858" s="580">
        <f t="shared" si="257"/>
        <v>2.5</v>
      </c>
      <c r="AF2858" s="580">
        <f t="shared" si="258"/>
        <v>2.5</v>
      </c>
      <c r="AG2858" s="580">
        <f t="shared" si="259"/>
        <v>0</v>
      </c>
      <c r="AH2858" s="580">
        <f t="shared" si="260"/>
        <v>0</v>
      </c>
    </row>
    <row r="2859" spans="28:34">
      <c r="AB2859" s="580">
        <f>HLOOKUP("*"&amp;'Output annual'!$AC$2&amp;'Output annual'!$AD$2&amp;"*Zone People Number Of Occupants [](Hourly)",'Eplus results'!$1:$1048576,ROW(),FALSE)</f>
        <v>0</v>
      </c>
      <c r="AC2859" s="580">
        <f>HLOOKUP("*"&amp;'Output annual'!$AC$2&amp;'Output annual'!$AD$2&amp;"*FangerPMV(Hourly)",'Eplus results'!$1:$1048576,ROW(),FALSE)</f>
        <v>0</v>
      </c>
      <c r="AD2859" s="580">
        <f t="shared" si="256"/>
        <v>5</v>
      </c>
      <c r="AE2859" s="580">
        <f t="shared" si="257"/>
        <v>2.5</v>
      </c>
      <c r="AF2859" s="580">
        <f t="shared" si="258"/>
        <v>2.5</v>
      </c>
      <c r="AG2859" s="580">
        <f t="shared" si="259"/>
        <v>0</v>
      </c>
      <c r="AH2859" s="580">
        <f t="shared" si="260"/>
        <v>0</v>
      </c>
    </row>
    <row r="2860" spans="28:34">
      <c r="AB2860" s="580">
        <f>HLOOKUP("*"&amp;'Output annual'!$AC$2&amp;'Output annual'!$AD$2&amp;"*Zone People Number Of Occupants [](Hourly)",'Eplus results'!$1:$1048576,ROW(),FALSE)</f>
        <v>0</v>
      </c>
      <c r="AC2860" s="580">
        <f>HLOOKUP("*"&amp;'Output annual'!$AC$2&amp;'Output annual'!$AD$2&amp;"*FangerPMV(Hourly)",'Eplus results'!$1:$1048576,ROW(),FALSE)</f>
        <v>0</v>
      </c>
      <c r="AD2860" s="580">
        <f t="shared" si="256"/>
        <v>5</v>
      </c>
      <c r="AE2860" s="580">
        <f t="shared" si="257"/>
        <v>2.5</v>
      </c>
      <c r="AF2860" s="580">
        <f t="shared" si="258"/>
        <v>2.5</v>
      </c>
      <c r="AG2860" s="580">
        <f t="shared" si="259"/>
        <v>0</v>
      </c>
      <c r="AH2860" s="580">
        <f t="shared" si="260"/>
        <v>0</v>
      </c>
    </row>
    <row r="2861" spans="28:34">
      <c r="AB2861" s="580">
        <f>HLOOKUP("*"&amp;'Output annual'!$AC$2&amp;'Output annual'!$AD$2&amp;"*Zone People Number Of Occupants [](Hourly)",'Eplus results'!$1:$1048576,ROW(),FALSE)</f>
        <v>0</v>
      </c>
      <c r="AC2861" s="580">
        <f>HLOOKUP("*"&amp;'Output annual'!$AC$2&amp;'Output annual'!$AD$2&amp;"*FangerPMV(Hourly)",'Eplus results'!$1:$1048576,ROW(),FALSE)</f>
        <v>0</v>
      </c>
      <c r="AD2861" s="580">
        <f t="shared" si="256"/>
        <v>5</v>
      </c>
      <c r="AE2861" s="580">
        <f t="shared" si="257"/>
        <v>2.5</v>
      </c>
      <c r="AF2861" s="580">
        <f t="shared" si="258"/>
        <v>2.5</v>
      </c>
      <c r="AG2861" s="580">
        <f t="shared" si="259"/>
        <v>0</v>
      </c>
      <c r="AH2861" s="580">
        <f t="shared" si="260"/>
        <v>0</v>
      </c>
    </row>
    <row r="2862" spans="28:34">
      <c r="AB2862" s="580">
        <f>HLOOKUP("*"&amp;'Output annual'!$AC$2&amp;'Output annual'!$AD$2&amp;"*Zone People Number Of Occupants [](Hourly)",'Eplus results'!$1:$1048576,ROW(),FALSE)</f>
        <v>0</v>
      </c>
      <c r="AC2862" s="580">
        <f>HLOOKUP("*"&amp;'Output annual'!$AC$2&amp;'Output annual'!$AD$2&amp;"*FangerPMV(Hourly)",'Eplus results'!$1:$1048576,ROW(),FALSE)</f>
        <v>0</v>
      </c>
      <c r="AD2862" s="580">
        <f t="shared" si="256"/>
        <v>5</v>
      </c>
      <c r="AE2862" s="580">
        <f t="shared" si="257"/>
        <v>2.5</v>
      </c>
      <c r="AF2862" s="580">
        <f t="shared" si="258"/>
        <v>2.5</v>
      </c>
      <c r="AG2862" s="580">
        <f t="shared" si="259"/>
        <v>0</v>
      </c>
      <c r="AH2862" s="580">
        <f t="shared" si="260"/>
        <v>0</v>
      </c>
    </row>
    <row r="2863" spans="28:34">
      <c r="AB2863" s="580">
        <f>HLOOKUP("*"&amp;'Output annual'!$AC$2&amp;'Output annual'!$AD$2&amp;"*Zone People Number Of Occupants [](Hourly)",'Eplus results'!$1:$1048576,ROW(),FALSE)</f>
        <v>0</v>
      </c>
      <c r="AC2863" s="580">
        <f>HLOOKUP("*"&amp;'Output annual'!$AC$2&amp;'Output annual'!$AD$2&amp;"*FangerPMV(Hourly)",'Eplus results'!$1:$1048576,ROW(),FALSE)</f>
        <v>0</v>
      </c>
      <c r="AD2863" s="580">
        <f t="shared" si="256"/>
        <v>5</v>
      </c>
      <c r="AE2863" s="580">
        <f t="shared" si="257"/>
        <v>2.5</v>
      </c>
      <c r="AF2863" s="580">
        <f t="shared" si="258"/>
        <v>2.5</v>
      </c>
      <c r="AG2863" s="580">
        <f t="shared" si="259"/>
        <v>0</v>
      </c>
      <c r="AH2863" s="580">
        <f t="shared" si="260"/>
        <v>0</v>
      </c>
    </row>
    <row r="2864" spans="28:34">
      <c r="AB2864" s="580">
        <f>HLOOKUP("*"&amp;'Output annual'!$AC$2&amp;'Output annual'!$AD$2&amp;"*Zone People Number Of Occupants [](Hourly)",'Eplus results'!$1:$1048576,ROW(),FALSE)</f>
        <v>0</v>
      </c>
      <c r="AC2864" s="580">
        <f>HLOOKUP("*"&amp;'Output annual'!$AC$2&amp;'Output annual'!$AD$2&amp;"*FangerPMV(Hourly)",'Eplus results'!$1:$1048576,ROW(),FALSE)</f>
        <v>0</v>
      </c>
      <c r="AD2864" s="580">
        <f t="shared" si="256"/>
        <v>5</v>
      </c>
      <c r="AE2864" s="580">
        <f t="shared" si="257"/>
        <v>2.5</v>
      </c>
      <c r="AF2864" s="580">
        <f t="shared" si="258"/>
        <v>2.5</v>
      </c>
      <c r="AG2864" s="580">
        <f t="shared" si="259"/>
        <v>0</v>
      </c>
      <c r="AH2864" s="580">
        <f t="shared" si="260"/>
        <v>0</v>
      </c>
    </row>
    <row r="2865" spans="28:34">
      <c r="AB2865" s="580">
        <f>HLOOKUP("*"&amp;'Output annual'!$AC$2&amp;'Output annual'!$AD$2&amp;"*Zone People Number Of Occupants [](Hourly)",'Eplus results'!$1:$1048576,ROW(),FALSE)</f>
        <v>0</v>
      </c>
      <c r="AC2865" s="580">
        <f>HLOOKUP("*"&amp;'Output annual'!$AC$2&amp;'Output annual'!$AD$2&amp;"*FangerPMV(Hourly)",'Eplus results'!$1:$1048576,ROW(),FALSE)</f>
        <v>0</v>
      </c>
      <c r="AD2865" s="580">
        <f t="shared" si="256"/>
        <v>5</v>
      </c>
      <c r="AE2865" s="580">
        <f t="shared" si="257"/>
        <v>2.5</v>
      </c>
      <c r="AF2865" s="580">
        <f t="shared" si="258"/>
        <v>2.5</v>
      </c>
      <c r="AG2865" s="580">
        <f t="shared" si="259"/>
        <v>0</v>
      </c>
      <c r="AH2865" s="580">
        <f t="shared" si="260"/>
        <v>0</v>
      </c>
    </row>
    <row r="2866" spans="28:34">
      <c r="AB2866" s="580">
        <f>HLOOKUP("*"&amp;'Output annual'!$AC$2&amp;'Output annual'!$AD$2&amp;"*Zone People Number Of Occupants [](Hourly)",'Eplus results'!$1:$1048576,ROW(),FALSE)</f>
        <v>0</v>
      </c>
      <c r="AC2866" s="580">
        <f>HLOOKUP("*"&amp;'Output annual'!$AC$2&amp;'Output annual'!$AD$2&amp;"*FangerPMV(Hourly)",'Eplus results'!$1:$1048576,ROW(),FALSE)</f>
        <v>0</v>
      </c>
      <c r="AD2866" s="580">
        <f t="shared" si="256"/>
        <v>5</v>
      </c>
      <c r="AE2866" s="580">
        <f t="shared" si="257"/>
        <v>2.5</v>
      </c>
      <c r="AF2866" s="580">
        <f t="shared" si="258"/>
        <v>2.5</v>
      </c>
      <c r="AG2866" s="580">
        <f t="shared" si="259"/>
        <v>0</v>
      </c>
      <c r="AH2866" s="580">
        <f t="shared" si="260"/>
        <v>0</v>
      </c>
    </row>
    <row r="2867" spans="28:34">
      <c r="AB2867" s="580">
        <f>HLOOKUP("*"&amp;'Output annual'!$AC$2&amp;'Output annual'!$AD$2&amp;"*Zone People Number Of Occupants [](Hourly)",'Eplus results'!$1:$1048576,ROW(),FALSE)</f>
        <v>0</v>
      </c>
      <c r="AC2867" s="580">
        <f>HLOOKUP("*"&amp;'Output annual'!$AC$2&amp;'Output annual'!$AD$2&amp;"*FangerPMV(Hourly)",'Eplus results'!$1:$1048576,ROW(),FALSE)</f>
        <v>0</v>
      </c>
      <c r="AD2867" s="580">
        <f t="shared" si="256"/>
        <v>5</v>
      </c>
      <c r="AE2867" s="580">
        <f t="shared" si="257"/>
        <v>2.5</v>
      </c>
      <c r="AF2867" s="580">
        <f t="shared" si="258"/>
        <v>2.5</v>
      </c>
      <c r="AG2867" s="580">
        <f t="shared" si="259"/>
        <v>0</v>
      </c>
      <c r="AH2867" s="580">
        <f t="shared" si="260"/>
        <v>0</v>
      </c>
    </row>
    <row r="2868" spans="28:34">
      <c r="AB2868" s="580">
        <f>HLOOKUP("*"&amp;'Output annual'!$AC$2&amp;'Output annual'!$AD$2&amp;"*Zone People Number Of Occupants [](Hourly)",'Eplus results'!$1:$1048576,ROW(),FALSE)</f>
        <v>0</v>
      </c>
      <c r="AC2868" s="580">
        <f>HLOOKUP("*"&amp;'Output annual'!$AC$2&amp;'Output annual'!$AD$2&amp;"*FangerPMV(Hourly)",'Eplus results'!$1:$1048576,ROW(),FALSE)</f>
        <v>0</v>
      </c>
      <c r="AD2868" s="580">
        <f t="shared" si="256"/>
        <v>5</v>
      </c>
      <c r="AE2868" s="580">
        <f t="shared" si="257"/>
        <v>2.5</v>
      </c>
      <c r="AF2868" s="580">
        <f t="shared" si="258"/>
        <v>2.5</v>
      </c>
      <c r="AG2868" s="580">
        <f t="shared" si="259"/>
        <v>0</v>
      </c>
      <c r="AH2868" s="580">
        <f t="shared" si="260"/>
        <v>0</v>
      </c>
    </row>
    <row r="2869" spans="28:34">
      <c r="AB2869" s="580">
        <f>HLOOKUP("*"&amp;'Output annual'!$AC$2&amp;'Output annual'!$AD$2&amp;"*Zone People Number Of Occupants [](Hourly)",'Eplus results'!$1:$1048576,ROW(),FALSE)</f>
        <v>0</v>
      </c>
      <c r="AC2869" s="580">
        <f>HLOOKUP("*"&amp;'Output annual'!$AC$2&amp;'Output annual'!$AD$2&amp;"*FangerPMV(Hourly)",'Eplus results'!$1:$1048576,ROW(),FALSE)</f>
        <v>0</v>
      </c>
      <c r="AD2869" s="580">
        <f t="shared" si="256"/>
        <v>5</v>
      </c>
      <c r="AE2869" s="580">
        <f t="shared" si="257"/>
        <v>2.5</v>
      </c>
      <c r="AF2869" s="580">
        <f t="shared" si="258"/>
        <v>2.5</v>
      </c>
      <c r="AG2869" s="580">
        <f t="shared" si="259"/>
        <v>0</v>
      </c>
      <c r="AH2869" s="580">
        <f t="shared" si="260"/>
        <v>0</v>
      </c>
    </row>
    <row r="2870" spans="28:34">
      <c r="AB2870" s="580">
        <f>HLOOKUP("*"&amp;'Output annual'!$AC$2&amp;'Output annual'!$AD$2&amp;"*Zone People Number Of Occupants [](Hourly)",'Eplus results'!$1:$1048576,ROW(),FALSE)</f>
        <v>0</v>
      </c>
      <c r="AC2870" s="580">
        <f>HLOOKUP("*"&amp;'Output annual'!$AC$2&amp;'Output annual'!$AD$2&amp;"*FangerPMV(Hourly)",'Eplus results'!$1:$1048576,ROW(),FALSE)</f>
        <v>0</v>
      </c>
      <c r="AD2870" s="580">
        <f t="shared" si="256"/>
        <v>5</v>
      </c>
      <c r="AE2870" s="580">
        <f t="shared" si="257"/>
        <v>2.5</v>
      </c>
      <c r="AF2870" s="580">
        <f t="shared" si="258"/>
        <v>2.5</v>
      </c>
      <c r="AG2870" s="580">
        <f t="shared" si="259"/>
        <v>0</v>
      </c>
      <c r="AH2870" s="580">
        <f t="shared" si="260"/>
        <v>0</v>
      </c>
    </row>
    <row r="2871" spans="28:34">
      <c r="AB2871" s="580">
        <f>HLOOKUP("*"&amp;'Output annual'!$AC$2&amp;'Output annual'!$AD$2&amp;"*Zone People Number Of Occupants [](Hourly)",'Eplus results'!$1:$1048576,ROW(),FALSE)</f>
        <v>0</v>
      </c>
      <c r="AC2871" s="580">
        <f>HLOOKUP("*"&amp;'Output annual'!$AC$2&amp;'Output annual'!$AD$2&amp;"*FangerPMV(Hourly)",'Eplus results'!$1:$1048576,ROW(),FALSE)</f>
        <v>0</v>
      </c>
      <c r="AD2871" s="580">
        <f t="shared" si="256"/>
        <v>5</v>
      </c>
      <c r="AE2871" s="580">
        <f t="shared" si="257"/>
        <v>2.5</v>
      </c>
      <c r="AF2871" s="580">
        <f t="shared" si="258"/>
        <v>2.5</v>
      </c>
      <c r="AG2871" s="580">
        <f t="shared" si="259"/>
        <v>0</v>
      </c>
      <c r="AH2871" s="580">
        <f t="shared" si="260"/>
        <v>0</v>
      </c>
    </row>
    <row r="2872" spans="28:34">
      <c r="AB2872" s="580">
        <f>HLOOKUP("*"&amp;'Output annual'!$AC$2&amp;'Output annual'!$AD$2&amp;"*Zone People Number Of Occupants [](Hourly)",'Eplus results'!$1:$1048576,ROW(),FALSE)</f>
        <v>0</v>
      </c>
      <c r="AC2872" s="580">
        <f>HLOOKUP("*"&amp;'Output annual'!$AC$2&amp;'Output annual'!$AD$2&amp;"*FangerPMV(Hourly)",'Eplus results'!$1:$1048576,ROW(),FALSE)</f>
        <v>0</v>
      </c>
      <c r="AD2872" s="580">
        <f t="shared" si="256"/>
        <v>5</v>
      </c>
      <c r="AE2872" s="580">
        <f t="shared" si="257"/>
        <v>2.5</v>
      </c>
      <c r="AF2872" s="580">
        <f t="shared" si="258"/>
        <v>2.5</v>
      </c>
      <c r="AG2872" s="580">
        <f t="shared" si="259"/>
        <v>0</v>
      </c>
      <c r="AH2872" s="580">
        <f t="shared" si="260"/>
        <v>0</v>
      </c>
    </row>
    <row r="2873" spans="28:34">
      <c r="AB2873" s="580">
        <f>HLOOKUP("*"&amp;'Output annual'!$AC$2&amp;'Output annual'!$AD$2&amp;"*Zone People Number Of Occupants [](Hourly)",'Eplus results'!$1:$1048576,ROW(),FALSE)</f>
        <v>0</v>
      </c>
      <c r="AC2873" s="580">
        <f>HLOOKUP("*"&amp;'Output annual'!$AC$2&amp;'Output annual'!$AD$2&amp;"*FangerPMV(Hourly)",'Eplus results'!$1:$1048576,ROW(),FALSE)</f>
        <v>0</v>
      </c>
      <c r="AD2873" s="580">
        <f t="shared" si="256"/>
        <v>5</v>
      </c>
      <c r="AE2873" s="580">
        <f t="shared" si="257"/>
        <v>2.5</v>
      </c>
      <c r="AF2873" s="580">
        <f t="shared" si="258"/>
        <v>2.5</v>
      </c>
      <c r="AG2873" s="580">
        <f t="shared" si="259"/>
        <v>0</v>
      </c>
      <c r="AH2873" s="580">
        <f t="shared" si="260"/>
        <v>0</v>
      </c>
    </row>
    <row r="2874" spans="28:34">
      <c r="AB2874" s="580">
        <f>HLOOKUP("*"&amp;'Output annual'!$AC$2&amp;'Output annual'!$AD$2&amp;"*Zone People Number Of Occupants [](Hourly)",'Eplus results'!$1:$1048576,ROW(),FALSE)</f>
        <v>0</v>
      </c>
      <c r="AC2874" s="580">
        <f>HLOOKUP("*"&amp;'Output annual'!$AC$2&amp;'Output annual'!$AD$2&amp;"*FangerPMV(Hourly)",'Eplus results'!$1:$1048576,ROW(),FALSE)</f>
        <v>0</v>
      </c>
      <c r="AD2874" s="580">
        <f t="shared" si="256"/>
        <v>5</v>
      </c>
      <c r="AE2874" s="580">
        <f t="shared" si="257"/>
        <v>2.5</v>
      </c>
      <c r="AF2874" s="580">
        <f t="shared" si="258"/>
        <v>2.5</v>
      </c>
      <c r="AG2874" s="580">
        <f t="shared" si="259"/>
        <v>0</v>
      </c>
      <c r="AH2874" s="580">
        <f t="shared" si="260"/>
        <v>0</v>
      </c>
    </row>
    <row r="2875" spans="28:34">
      <c r="AB2875" s="580">
        <f>HLOOKUP("*"&amp;'Output annual'!$AC$2&amp;'Output annual'!$AD$2&amp;"*Zone People Number Of Occupants [](Hourly)",'Eplus results'!$1:$1048576,ROW(),FALSE)</f>
        <v>0</v>
      </c>
      <c r="AC2875" s="580">
        <f>HLOOKUP("*"&amp;'Output annual'!$AC$2&amp;'Output annual'!$AD$2&amp;"*FangerPMV(Hourly)",'Eplus results'!$1:$1048576,ROW(),FALSE)</f>
        <v>0</v>
      </c>
      <c r="AD2875" s="580">
        <f t="shared" si="256"/>
        <v>5</v>
      </c>
      <c r="AE2875" s="580">
        <f t="shared" si="257"/>
        <v>2.5</v>
      </c>
      <c r="AF2875" s="580">
        <f t="shared" si="258"/>
        <v>2.5</v>
      </c>
      <c r="AG2875" s="580">
        <f t="shared" si="259"/>
        <v>0</v>
      </c>
      <c r="AH2875" s="580">
        <f t="shared" si="260"/>
        <v>0</v>
      </c>
    </row>
    <row r="2876" spans="28:34">
      <c r="AB2876" s="580">
        <f>HLOOKUP("*"&amp;'Output annual'!$AC$2&amp;'Output annual'!$AD$2&amp;"*Zone People Number Of Occupants [](Hourly)",'Eplus results'!$1:$1048576,ROW(),FALSE)</f>
        <v>0</v>
      </c>
      <c r="AC2876" s="580">
        <f>HLOOKUP("*"&amp;'Output annual'!$AC$2&amp;'Output annual'!$AD$2&amp;"*FangerPMV(Hourly)",'Eplus results'!$1:$1048576,ROW(),FALSE)</f>
        <v>0</v>
      </c>
      <c r="AD2876" s="580">
        <f t="shared" si="256"/>
        <v>5</v>
      </c>
      <c r="AE2876" s="580">
        <f t="shared" si="257"/>
        <v>2.5</v>
      </c>
      <c r="AF2876" s="580">
        <f t="shared" si="258"/>
        <v>2.5</v>
      </c>
      <c r="AG2876" s="580">
        <f t="shared" si="259"/>
        <v>0</v>
      </c>
      <c r="AH2876" s="580">
        <f t="shared" si="260"/>
        <v>0</v>
      </c>
    </row>
    <row r="2877" spans="28:34">
      <c r="AB2877" s="580">
        <f>HLOOKUP("*"&amp;'Output annual'!$AC$2&amp;'Output annual'!$AD$2&amp;"*Zone People Number Of Occupants [](Hourly)",'Eplus results'!$1:$1048576,ROW(),FALSE)</f>
        <v>0</v>
      </c>
      <c r="AC2877" s="580">
        <f>HLOOKUP("*"&amp;'Output annual'!$AC$2&amp;'Output annual'!$AD$2&amp;"*FangerPMV(Hourly)",'Eplus results'!$1:$1048576,ROW(),FALSE)</f>
        <v>0</v>
      </c>
      <c r="AD2877" s="580">
        <f t="shared" si="256"/>
        <v>5</v>
      </c>
      <c r="AE2877" s="580">
        <f t="shared" si="257"/>
        <v>2.5</v>
      </c>
      <c r="AF2877" s="580">
        <f t="shared" si="258"/>
        <v>2.5</v>
      </c>
      <c r="AG2877" s="580">
        <f t="shared" si="259"/>
        <v>0</v>
      </c>
      <c r="AH2877" s="580">
        <f t="shared" si="260"/>
        <v>0</v>
      </c>
    </row>
    <row r="2878" spans="28:34">
      <c r="AB2878" s="580">
        <f>HLOOKUP("*"&amp;'Output annual'!$AC$2&amp;'Output annual'!$AD$2&amp;"*Zone People Number Of Occupants [](Hourly)",'Eplus results'!$1:$1048576,ROW(),FALSE)</f>
        <v>0</v>
      </c>
      <c r="AC2878" s="580">
        <f>HLOOKUP("*"&amp;'Output annual'!$AC$2&amp;'Output annual'!$AD$2&amp;"*FangerPMV(Hourly)",'Eplus results'!$1:$1048576,ROW(),FALSE)</f>
        <v>0</v>
      </c>
      <c r="AD2878" s="580">
        <f t="shared" si="256"/>
        <v>5</v>
      </c>
      <c r="AE2878" s="580">
        <f t="shared" si="257"/>
        <v>2.5</v>
      </c>
      <c r="AF2878" s="580">
        <f t="shared" si="258"/>
        <v>2.5</v>
      </c>
      <c r="AG2878" s="580">
        <f t="shared" si="259"/>
        <v>0</v>
      </c>
      <c r="AH2878" s="580">
        <f t="shared" si="260"/>
        <v>0</v>
      </c>
    </row>
    <row r="2879" spans="28:34">
      <c r="AB2879" s="580">
        <f>HLOOKUP("*"&amp;'Output annual'!$AC$2&amp;'Output annual'!$AD$2&amp;"*Zone People Number Of Occupants [](Hourly)",'Eplus results'!$1:$1048576,ROW(),FALSE)</f>
        <v>0</v>
      </c>
      <c r="AC2879" s="580">
        <f>HLOOKUP("*"&amp;'Output annual'!$AC$2&amp;'Output annual'!$AD$2&amp;"*FangerPMV(Hourly)",'Eplus results'!$1:$1048576,ROW(),FALSE)</f>
        <v>0</v>
      </c>
      <c r="AD2879" s="580">
        <f t="shared" si="256"/>
        <v>5</v>
      </c>
      <c r="AE2879" s="580">
        <f t="shared" si="257"/>
        <v>2.5</v>
      </c>
      <c r="AF2879" s="580">
        <f t="shared" si="258"/>
        <v>2.5</v>
      </c>
      <c r="AG2879" s="580">
        <f t="shared" si="259"/>
        <v>0</v>
      </c>
      <c r="AH2879" s="580">
        <f t="shared" si="260"/>
        <v>0</v>
      </c>
    </row>
    <row r="2880" spans="28:34">
      <c r="AB2880" s="580">
        <f>HLOOKUP("*"&amp;'Output annual'!$AC$2&amp;'Output annual'!$AD$2&amp;"*Zone People Number Of Occupants [](Hourly)",'Eplus results'!$1:$1048576,ROW(),FALSE)</f>
        <v>0</v>
      </c>
      <c r="AC2880" s="580">
        <f>HLOOKUP("*"&amp;'Output annual'!$AC$2&amp;'Output annual'!$AD$2&amp;"*FangerPMV(Hourly)",'Eplus results'!$1:$1048576,ROW(),FALSE)</f>
        <v>0</v>
      </c>
      <c r="AD2880" s="580">
        <f t="shared" si="256"/>
        <v>5</v>
      </c>
      <c r="AE2880" s="580">
        <f t="shared" si="257"/>
        <v>2.5</v>
      </c>
      <c r="AF2880" s="580">
        <f t="shared" si="258"/>
        <v>2.5</v>
      </c>
      <c r="AG2880" s="580">
        <f t="shared" si="259"/>
        <v>0</v>
      </c>
      <c r="AH2880" s="580">
        <f t="shared" si="260"/>
        <v>0</v>
      </c>
    </row>
    <row r="2881" spans="28:34">
      <c r="AB2881" s="580">
        <f>HLOOKUP("*"&amp;'Output annual'!$AC$2&amp;'Output annual'!$AD$2&amp;"*Zone People Number Of Occupants [](Hourly)",'Eplus results'!$1:$1048576,ROW(),FALSE)</f>
        <v>0</v>
      </c>
      <c r="AC2881" s="580">
        <f>HLOOKUP("*"&amp;'Output annual'!$AC$2&amp;'Output annual'!$AD$2&amp;"*FangerPMV(Hourly)",'Eplus results'!$1:$1048576,ROW(),FALSE)</f>
        <v>0</v>
      </c>
      <c r="AD2881" s="580">
        <f t="shared" si="256"/>
        <v>5</v>
      </c>
      <c r="AE2881" s="580">
        <f t="shared" si="257"/>
        <v>2.5</v>
      </c>
      <c r="AF2881" s="580">
        <f t="shared" si="258"/>
        <v>2.5</v>
      </c>
      <c r="AG2881" s="580">
        <f t="shared" si="259"/>
        <v>0</v>
      </c>
      <c r="AH2881" s="580">
        <f t="shared" si="260"/>
        <v>0</v>
      </c>
    </row>
    <row r="2882" spans="28:34">
      <c r="AB2882" s="580">
        <f>HLOOKUP("*"&amp;'Output annual'!$AC$2&amp;'Output annual'!$AD$2&amp;"*Zone People Number Of Occupants [](Hourly)",'Eplus results'!$1:$1048576,ROW(),FALSE)</f>
        <v>0</v>
      </c>
      <c r="AC2882" s="580">
        <f>HLOOKUP("*"&amp;'Output annual'!$AC$2&amp;'Output annual'!$AD$2&amp;"*FangerPMV(Hourly)",'Eplus results'!$1:$1048576,ROW(),FALSE)</f>
        <v>0</v>
      </c>
      <c r="AD2882" s="580">
        <f t="shared" si="256"/>
        <v>5</v>
      </c>
      <c r="AE2882" s="580">
        <f t="shared" si="257"/>
        <v>2.5</v>
      </c>
      <c r="AF2882" s="580">
        <f t="shared" si="258"/>
        <v>2.5</v>
      </c>
      <c r="AG2882" s="580">
        <f t="shared" si="259"/>
        <v>0</v>
      </c>
      <c r="AH2882" s="580">
        <f t="shared" si="260"/>
        <v>0</v>
      </c>
    </row>
    <row r="2883" spans="28:34">
      <c r="AB2883" s="580">
        <f>HLOOKUP("*"&amp;'Output annual'!$AC$2&amp;'Output annual'!$AD$2&amp;"*Zone People Number Of Occupants [](Hourly)",'Eplus results'!$1:$1048576,ROW(),FALSE)</f>
        <v>0</v>
      </c>
      <c r="AC2883" s="580">
        <f>HLOOKUP("*"&amp;'Output annual'!$AC$2&amp;'Output annual'!$AD$2&amp;"*FangerPMV(Hourly)",'Eplus results'!$1:$1048576,ROW(),FALSE)</f>
        <v>0</v>
      </c>
      <c r="AD2883" s="580">
        <f t="shared" ref="AD2883:AD2946" si="261">100-95*EXP(-0.03353*AC2883^4-0.2179*AC2883^2)</f>
        <v>5</v>
      </c>
      <c r="AE2883" s="580">
        <f t="shared" ref="AE2883:AE2946" si="262">AD2883*(1/(1+EXP(-6.3*$AC2883)))</f>
        <v>2.5</v>
      </c>
      <c r="AF2883" s="580">
        <f t="shared" ref="AF2883:AF2946" si="263">(AD2883-AE2883)</f>
        <v>2.5</v>
      </c>
      <c r="AG2883" s="580">
        <f t="shared" ref="AG2883:AG2946" si="264">AE2883*AB2883</f>
        <v>0</v>
      </c>
      <c r="AH2883" s="580">
        <f t="shared" ref="AH2883:AH2946" si="265">AF2883*AB2883</f>
        <v>0</v>
      </c>
    </row>
    <row r="2884" spans="28:34">
      <c r="AB2884" s="580">
        <f>HLOOKUP("*"&amp;'Output annual'!$AC$2&amp;'Output annual'!$AD$2&amp;"*Zone People Number Of Occupants [](Hourly)",'Eplus results'!$1:$1048576,ROW(),FALSE)</f>
        <v>0</v>
      </c>
      <c r="AC2884" s="580">
        <f>HLOOKUP("*"&amp;'Output annual'!$AC$2&amp;'Output annual'!$AD$2&amp;"*FangerPMV(Hourly)",'Eplus results'!$1:$1048576,ROW(),FALSE)</f>
        <v>0</v>
      </c>
      <c r="AD2884" s="580">
        <f t="shared" si="261"/>
        <v>5</v>
      </c>
      <c r="AE2884" s="580">
        <f t="shared" si="262"/>
        <v>2.5</v>
      </c>
      <c r="AF2884" s="580">
        <f t="shared" si="263"/>
        <v>2.5</v>
      </c>
      <c r="AG2884" s="580">
        <f t="shared" si="264"/>
        <v>0</v>
      </c>
      <c r="AH2884" s="580">
        <f t="shared" si="265"/>
        <v>0</v>
      </c>
    </row>
    <row r="2885" spans="28:34">
      <c r="AB2885" s="580">
        <f>HLOOKUP("*"&amp;'Output annual'!$AC$2&amp;'Output annual'!$AD$2&amp;"*Zone People Number Of Occupants [](Hourly)",'Eplus results'!$1:$1048576,ROW(),FALSE)</f>
        <v>0</v>
      </c>
      <c r="AC2885" s="580">
        <f>HLOOKUP("*"&amp;'Output annual'!$AC$2&amp;'Output annual'!$AD$2&amp;"*FangerPMV(Hourly)",'Eplus results'!$1:$1048576,ROW(),FALSE)</f>
        <v>0</v>
      </c>
      <c r="AD2885" s="580">
        <f t="shared" si="261"/>
        <v>5</v>
      </c>
      <c r="AE2885" s="580">
        <f t="shared" si="262"/>
        <v>2.5</v>
      </c>
      <c r="AF2885" s="580">
        <f t="shared" si="263"/>
        <v>2.5</v>
      </c>
      <c r="AG2885" s="580">
        <f t="shared" si="264"/>
        <v>0</v>
      </c>
      <c r="AH2885" s="580">
        <f t="shared" si="265"/>
        <v>0</v>
      </c>
    </row>
    <row r="2886" spans="28:34">
      <c r="AB2886" s="580">
        <f>HLOOKUP("*"&amp;'Output annual'!$AC$2&amp;'Output annual'!$AD$2&amp;"*Zone People Number Of Occupants [](Hourly)",'Eplus results'!$1:$1048576,ROW(),FALSE)</f>
        <v>0</v>
      </c>
      <c r="AC2886" s="580">
        <f>HLOOKUP("*"&amp;'Output annual'!$AC$2&amp;'Output annual'!$AD$2&amp;"*FangerPMV(Hourly)",'Eplus results'!$1:$1048576,ROW(),FALSE)</f>
        <v>0</v>
      </c>
      <c r="AD2886" s="580">
        <f t="shared" si="261"/>
        <v>5</v>
      </c>
      <c r="AE2886" s="580">
        <f t="shared" si="262"/>
        <v>2.5</v>
      </c>
      <c r="AF2886" s="580">
        <f t="shared" si="263"/>
        <v>2.5</v>
      </c>
      <c r="AG2886" s="580">
        <f t="shared" si="264"/>
        <v>0</v>
      </c>
      <c r="AH2886" s="580">
        <f t="shared" si="265"/>
        <v>0</v>
      </c>
    </row>
    <row r="2887" spans="28:34">
      <c r="AB2887" s="580">
        <f>HLOOKUP("*"&amp;'Output annual'!$AC$2&amp;'Output annual'!$AD$2&amp;"*Zone People Number Of Occupants [](Hourly)",'Eplus results'!$1:$1048576,ROW(),FALSE)</f>
        <v>0</v>
      </c>
      <c r="AC2887" s="580">
        <f>HLOOKUP("*"&amp;'Output annual'!$AC$2&amp;'Output annual'!$AD$2&amp;"*FangerPMV(Hourly)",'Eplus results'!$1:$1048576,ROW(),FALSE)</f>
        <v>0</v>
      </c>
      <c r="AD2887" s="580">
        <f t="shared" si="261"/>
        <v>5</v>
      </c>
      <c r="AE2887" s="580">
        <f t="shared" si="262"/>
        <v>2.5</v>
      </c>
      <c r="AF2887" s="580">
        <f t="shared" si="263"/>
        <v>2.5</v>
      </c>
      <c r="AG2887" s="580">
        <f t="shared" si="264"/>
        <v>0</v>
      </c>
      <c r="AH2887" s="580">
        <f t="shared" si="265"/>
        <v>0</v>
      </c>
    </row>
    <row r="2888" spans="28:34">
      <c r="AB2888" s="580">
        <f>HLOOKUP("*"&amp;'Output annual'!$AC$2&amp;'Output annual'!$AD$2&amp;"*Zone People Number Of Occupants [](Hourly)",'Eplus results'!$1:$1048576,ROW(),FALSE)</f>
        <v>0</v>
      </c>
      <c r="AC2888" s="580">
        <f>HLOOKUP("*"&amp;'Output annual'!$AC$2&amp;'Output annual'!$AD$2&amp;"*FangerPMV(Hourly)",'Eplus results'!$1:$1048576,ROW(),FALSE)</f>
        <v>0</v>
      </c>
      <c r="AD2888" s="580">
        <f t="shared" si="261"/>
        <v>5</v>
      </c>
      <c r="AE2888" s="580">
        <f t="shared" si="262"/>
        <v>2.5</v>
      </c>
      <c r="AF2888" s="580">
        <f t="shared" si="263"/>
        <v>2.5</v>
      </c>
      <c r="AG2888" s="580">
        <f t="shared" si="264"/>
        <v>0</v>
      </c>
      <c r="AH2888" s="580">
        <f t="shared" si="265"/>
        <v>0</v>
      </c>
    </row>
    <row r="2889" spans="28:34">
      <c r="AB2889" s="580">
        <f>HLOOKUP("*"&amp;'Output annual'!$AC$2&amp;'Output annual'!$AD$2&amp;"*Zone People Number Of Occupants [](Hourly)",'Eplus results'!$1:$1048576,ROW(),FALSE)</f>
        <v>0</v>
      </c>
      <c r="AC2889" s="580">
        <f>HLOOKUP("*"&amp;'Output annual'!$AC$2&amp;'Output annual'!$AD$2&amp;"*FangerPMV(Hourly)",'Eplus results'!$1:$1048576,ROW(),FALSE)</f>
        <v>0</v>
      </c>
      <c r="AD2889" s="580">
        <f t="shared" si="261"/>
        <v>5</v>
      </c>
      <c r="AE2889" s="580">
        <f t="shared" si="262"/>
        <v>2.5</v>
      </c>
      <c r="AF2889" s="580">
        <f t="shared" si="263"/>
        <v>2.5</v>
      </c>
      <c r="AG2889" s="580">
        <f t="shared" si="264"/>
        <v>0</v>
      </c>
      <c r="AH2889" s="580">
        <f t="shared" si="265"/>
        <v>0</v>
      </c>
    </row>
    <row r="2890" spans="28:34">
      <c r="AB2890" s="580">
        <f>HLOOKUP("*"&amp;'Output annual'!$AC$2&amp;'Output annual'!$AD$2&amp;"*Zone People Number Of Occupants [](Hourly)",'Eplus results'!$1:$1048576,ROW(),FALSE)</f>
        <v>0</v>
      </c>
      <c r="AC2890" s="580">
        <f>HLOOKUP("*"&amp;'Output annual'!$AC$2&amp;'Output annual'!$AD$2&amp;"*FangerPMV(Hourly)",'Eplus results'!$1:$1048576,ROW(),FALSE)</f>
        <v>0</v>
      </c>
      <c r="AD2890" s="580">
        <f t="shared" si="261"/>
        <v>5</v>
      </c>
      <c r="AE2890" s="580">
        <f t="shared" si="262"/>
        <v>2.5</v>
      </c>
      <c r="AF2890" s="580">
        <f t="shared" si="263"/>
        <v>2.5</v>
      </c>
      <c r="AG2890" s="580">
        <f t="shared" si="264"/>
        <v>0</v>
      </c>
      <c r="AH2890" s="580">
        <f t="shared" si="265"/>
        <v>0</v>
      </c>
    </row>
    <row r="2891" spans="28:34">
      <c r="AB2891" s="580">
        <f>HLOOKUP("*"&amp;'Output annual'!$AC$2&amp;'Output annual'!$AD$2&amp;"*Zone People Number Of Occupants [](Hourly)",'Eplus results'!$1:$1048576,ROW(),FALSE)</f>
        <v>0</v>
      </c>
      <c r="AC2891" s="580">
        <f>HLOOKUP("*"&amp;'Output annual'!$AC$2&amp;'Output annual'!$AD$2&amp;"*FangerPMV(Hourly)",'Eplus results'!$1:$1048576,ROW(),FALSE)</f>
        <v>0</v>
      </c>
      <c r="AD2891" s="580">
        <f t="shared" si="261"/>
        <v>5</v>
      </c>
      <c r="AE2891" s="580">
        <f t="shared" si="262"/>
        <v>2.5</v>
      </c>
      <c r="AF2891" s="580">
        <f t="shared" si="263"/>
        <v>2.5</v>
      </c>
      <c r="AG2891" s="580">
        <f t="shared" si="264"/>
        <v>0</v>
      </c>
      <c r="AH2891" s="580">
        <f t="shared" si="265"/>
        <v>0</v>
      </c>
    </row>
    <row r="2892" spans="28:34">
      <c r="AB2892" s="580">
        <f>HLOOKUP("*"&amp;'Output annual'!$AC$2&amp;'Output annual'!$AD$2&amp;"*Zone People Number Of Occupants [](Hourly)",'Eplus results'!$1:$1048576,ROW(),FALSE)</f>
        <v>0</v>
      </c>
      <c r="AC2892" s="580">
        <f>HLOOKUP("*"&amp;'Output annual'!$AC$2&amp;'Output annual'!$AD$2&amp;"*FangerPMV(Hourly)",'Eplus results'!$1:$1048576,ROW(),FALSE)</f>
        <v>0</v>
      </c>
      <c r="AD2892" s="580">
        <f t="shared" si="261"/>
        <v>5</v>
      </c>
      <c r="AE2892" s="580">
        <f t="shared" si="262"/>
        <v>2.5</v>
      </c>
      <c r="AF2892" s="580">
        <f t="shared" si="263"/>
        <v>2.5</v>
      </c>
      <c r="AG2892" s="580">
        <f t="shared" si="264"/>
        <v>0</v>
      </c>
      <c r="AH2892" s="580">
        <f t="shared" si="265"/>
        <v>0</v>
      </c>
    </row>
    <row r="2893" spans="28:34">
      <c r="AB2893" s="580">
        <f>HLOOKUP("*"&amp;'Output annual'!$AC$2&amp;'Output annual'!$AD$2&amp;"*Zone People Number Of Occupants [](Hourly)",'Eplus results'!$1:$1048576,ROW(),FALSE)</f>
        <v>0</v>
      </c>
      <c r="AC2893" s="580">
        <f>HLOOKUP("*"&amp;'Output annual'!$AC$2&amp;'Output annual'!$AD$2&amp;"*FangerPMV(Hourly)",'Eplus results'!$1:$1048576,ROW(),FALSE)</f>
        <v>0</v>
      </c>
      <c r="AD2893" s="580">
        <f t="shared" si="261"/>
        <v>5</v>
      </c>
      <c r="AE2893" s="580">
        <f t="shared" si="262"/>
        <v>2.5</v>
      </c>
      <c r="AF2893" s="580">
        <f t="shared" si="263"/>
        <v>2.5</v>
      </c>
      <c r="AG2893" s="580">
        <f t="shared" si="264"/>
        <v>0</v>
      </c>
      <c r="AH2893" s="580">
        <f t="shared" si="265"/>
        <v>0</v>
      </c>
    </row>
    <row r="2894" spans="28:34">
      <c r="AB2894" s="580">
        <f>HLOOKUP("*"&amp;'Output annual'!$AC$2&amp;'Output annual'!$AD$2&amp;"*Zone People Number Of Occupants [](Hourly)",'Eplus results'!$1:$1048576,ROW(),FALSE)</f>
        <v>0</v>
      </c>
      <c r="AC2894" s="580">
        <f>HLOOKUP("*"&amp;'Output annual'!$AC$2&amp;'Output annual'!$AD$2&amp;"*FangerPMV(Hourly)",'Eplus results'!$1:$1048576,ROW(),FALSE)</f>
        <v>0</v>
      </c>
      <c r="AD2894" s="580">
        <f t="shared" si="261"/>
        <v>5</v>
      </c>
      <c r="AE2894" s="580">
        <f t="shared" si="262"/>
        <v>2.5</v>
      </c>
      <c r="AF2894" s="580">
        <f t="shared" si="263"/>
        <v>2.5</v>
      </c>
      <c r="AG2894" s="580">
        <f t="shared" si="264"/>
        <v>0</v>
      </c>
      <c r="AH2894" s="580">
        <f t="shared" si="265"/>
        <v>0</v>
      </c>
    </row>
    <row r="2895" spans="28:34">
      <c r="AB2895" s="580">
        <f>HLOOKUP("*"&amp;'Output annual'!$AC$2&amp;'Output annual'!$AD$2&amp;"*Zone People Number Of Occupants [](Hourly)",'Eplus results'!$1:$1048576,ROW(),FALSE)</f>
        <v>0</v>
      </c>
      <c r="AC2895" s="580">
        <f>HLOOKUP("*"&amp;'Output annual'!$AC$2&amp;'Output annual'!$AD$2&amp;"*FangerPMV(Hourly)",'Eplus results'!$1:$1048576,ROW(),FALSE)</f>
        <v>0</v>
      </c>
      <c r="AD2895" s="580">
        <f t="shared" si="261"/>
        <v>5</v>
      </c>
      <c r="AE2895" s="580">
        <f t="shared" si="262"/>
        <v>2.5</v>
      </c>
      <c r="AF2895" s="580">
        <f t="shared" si="263"/>
        <v>2.5</v>
      </c>
      <c r="AG2895" s="580">
        <f t="shared" si="264"/>
        <v>0</v>
      </c>
      <c r="AH2895" s="580">
        <f t="shared" si="265"/>
        <v>0</v>
      </c>
    </row>
    <row r="2896" spans="28:34">
      <c r="AB2896" s="580">
        <f>HLOOKUP("*"&amp;'Output annual'!$AC$2&amp;'Output annual'!$AD$2&amp;"*Zone People Number Of Occupants [](Hourly)",'Eplus results'!$1:$1048576,ROW(),FALSE)</f>
        <v>0</v>
      </c>
      <c r="AC2896" s="580">
        <f>HLOOKUP("*"&amp;'Output annual'!$AC$2&amp;'Output annual'!$AD$2&amp;"*FangerPMV(Hourly)",'Eplus results'!$1:$1048576,ROW(),FALSE)</f>
        <v>0</v>
      </c>
      <c r="AD2896" s="580">
        <f t="shared" si="261"/>
        <v>5</v>
      </c>
      <c r="AE2896" s="580">
        <f t="shared" si="262"/>
        <v>2.5</v>
      </c>
      <c r="AF2896" s="580">
        <f t="shared" si="263"/>
        <v>2.5</v>
      </c>
      <c r="AG2896" s="580">
        <f t="shared" si="264"/>
        <v>0</v>
      </c>
      <c r="AH2896" s="580">
        <f t="shared" si="265"/>
        <v>0</v>
      </c>
    </row>
    <row r="2897" spans="28:34">
      <c r="AB2897" s="580">
        <f>HLOOKUP("*"&amp;'Output annual'!$AC$2&amp;'Output annual'!$AD$2&amp;"*Zone People Number Of Occupants [](Hourly)",'Eplus results'!$1:$1048576,ROW(),FALSE)</f>
        <v>0</v>
      </c>
      <c r="AC2897" s="580">
        <f>HLOOKUP("*"&amp;'Output annual'!$AC$2&amp;'Output annual'!$AD$2&amp;"*FangerPMV(Hourly)",'Eplus results'!$1:$1048576,ROW(),FALSE)</f>
        <v>0</v>
      </c>
      <c r="AD2897" s="580">
        <f t="shared" si="261"/>
        <v>5</v>
      </c>
      <c r="AE2897" s="580">
        <f t="shared" si="262"/>
        <v>2.5</v>
      </c>
      <c r="AF2897" s="580">
        <f t="shared" si="263"/>
        <v>2.5</v>
      </c>
      <c r="AG2897" s="580">
        <f t="shared" si="264"/>
        <v>0</v>
      </c>
      <c r="AH2897" s="580">
        <f t="shared" si="265"/>
        <v>0</v>
      </c>
    </row>
    <row r="2898" spans="28:34">
      <c r="AB2898" s="580">
        <f>HLOOKUP("*"&amp;'Output annual'!$AC$2&amp;'Output annual'!$AD$2&amp;"*Zone People Number Of Occupants [](Hourly)",'Eplus results'!$1:$1048576,ROW(),FALSE)</f>
        <v>0</v>
      </c>
      <c r="AC2898" s="580">
        <f>HLOOKUP("*"&amp;'Output annual'!$AC$2&amp;'Output annual'!$AD$2&amp;"*FangerPMV(Hourly)",'Eplus results'!$1:$1048576,ROW(),FALSE)</f>
        <v>0</v>
      </c>
      <c r="AD2898" s="580">
        <f t="shared" si="261"/>
        <v>5</v>
      </c>
      <c r="AE2898" s="580">
        <f t="shared" si="262"/>
        <v>2.5</v>
      </c>
      <c r="AF2898" s="580">
        <f t="shared" si="263"/>
        <v>2.5</v>
      </c>
      <c r="AG2898" s="580">
        <f t="shared" si="264"/>
        <v>0</v>
      </c>
      <c r="AH2898" s="580">
        <f t="shared" si="265"/>
        <v>0</v>
      </c>
    </row>
    <row r="2899" spans="28:34">
      <c r="AB2899" s="580">
        <f>HLOOKUP("*"&amp;'Output annual'!$AC$2&amp;'Output annual'!$AD$2&amp;"*Zone People Number Of Occupants [](Hourly)",'Eplus results'!$1:$1048576,ROW(),FALSE)</f>
        <v>0</v>
      </c>
      <c r="AC2899" s="580">
        <f>HLOOKUP("*"&amp;'Output annual'!$AC$2&amp;'Output annual'!$AD$2&amp;"*FangerPMV(Hourly)",'Eplus results'!$1:$1048576,ROW(),FALSE)</f>
        <v>0</v>
      </c>
      <c r="AD2899" s="580">
        <f t="shared" si="261"/>
        <v>5</v>
      </c>
      <c r="AE2899" s="580">
        <f t="shared" si="262"/>
        <v>2.5</v>
      </c>
      <c r="AF2899" s="580">
        <f t="shared" si="263"/>
        <v>2.5</v>
      </c>
      <c r="AG2899" s="580">
        <f t="shared" si="264"/>
        <v>0</v>
      </c>
      <c r="AH2899" s="580">
        <f t="shared" si="265"/>
        <v>0</v>
      </c>
    </row>
    <row r="2900" spans="28:34">
      <c r="AB2900" s="580">
        <f>HLOOKUP("*"&amp;'Output annual'!$AC$2&amp;'Output annual'!$AD$2&amp;"*Zone People Number Of Occupants [](Hourly)",'Eplus results'!$1:$1048576,ROW(),FALSE)</f>
        <v>0</v>
      </c>
      <c r="AC2900" s="580">
        <f>HLOOKUP("*"&amp;'Output annual'!$AC$2&amp;'Output annual'!$AD$2&amp;"*FangerPMV(Hourly)",'Eplus results'!$1:$1048576,ROW(),FALSE)</f>
        <v>0</v>
      </c>
      <c r="AD2900" s="580">
        <f t="shared" si="261"/>
        <v>5</v>
      </c>
      <c r="AE2900" s="580">
        <f t="shared" si="262"/>
        <v>2.5</v>
      </c>
      <c r="AF2900" s="580">
        <f t="shared" si="263"/>
        <v>2.5</v>
      </c>
      <c r="AG2900" s="580">
        <f t="shared" si="264"/>
        <v>0</v>
      </c>
      <c r="AH2900" s="580">
        <f t="shared" si="265"/>
        <v>0</v>
      </c>
    </row>
    <row r="2901" spans="28:34">
      <c r="AB2901" s="580">
        <f>HLOOKUP("*"&amp;'Output annual'!$AC$2&amp;'Output annual'!$AD$2&amp;"*Zone People Number Of Occupants [](Hourly)",'Eplus results'!$1:$1048576,ROW(),FALSE)</f>
        <v>0</v>
      </c>
      <c r="AC2901" s="580">
        <f>HLOOKUP("*"&amp;'Output annual'!$AC$2&amp;'Output annual'!$AD$2&amp;"*FangerPMV(Hourly)",'Eplus results'!$1:$1048576,ROW(),FALSE)</f>
        <v>0</v>
      </c>
      <c r="AD2901" s="580">
        <f t="shared" si="261"/>
        <v>5</v>
      </c>
      <c r="AE2901" s="580">
        <f t="shared" si="262"/>
        <v>2.5</v>
      </c>
      <c r="AF2901" s="580">
        <f t="shared" si="263"/>
        <v>2.5</v>
      </c>
      <c r="AG2901" s="580">
        <f t="shared" si="264"/>
        <v>0</v>
      </c>
      <c r="AH2901" s="580">
        <f t="shared" si="265"/>
        <v>0</v>
      </c>
    </row>
    <row r="2902" spans="28:34">
      <c r="AB2902" s="580">
        <f>HLOOKUP("*"&amp;'Output annual'!$AC$2&amp;'Output annual'!$AD$2&amp;"*Zone People Number Of Occupants [](Hourly)",'Eplus results'!$1:$1048576,ROW(),FALSE)</f>
        <v>0</v>
      </c>
      <c r="AC2902" s="580">
        <f>HLOOKUP("*"&amp;'Output annual'!$AC$2&amp;'Output annual'!$AD$2&amp;"*FangerPMV(Hourly)",'Eplus results'!$1:$1048576,ROW(),FALSE)</f>
        <v>0</v>
      </c>
      <c r="AD2902" s="580">
        <f t="shared" si="261"/>
        <v>5</v>
      </c>
      <c r="AE2902" s="580">
        <f t="shared" si="262"/>
        <v>2.5</v>
      </c>
      <c r="AF2902" s="580">
        <f t="shared" si="263"/>
        <v>2.5</v>
      </c>
      <c r="AG2902" s="580">
        <f t="shared" si="264"/>
        <v>0</v>
      </c>
      <c r="AH2902" s="580">
        <f t="shared" si="265"/>
        <v>0</v>
      </c>
    </row>
    <row r="2903" spans="28:34">
      <c r="AB2903" s="580">
        <f>HLOOKUP("*"&amp;'Output annual'!$AC$2&amp;'Output annual'!$AD$2&amp;"*Zone People Number Of Occupants [](Hourly)",'Eplus results'!$1:$1048576,ROW(),FALSE)</f>
        <v>0</v>
      </c>
      <c r="AC2903" s="580">
        <f>HLOOKUP("*"&amp;'Output annual'!$AC$2&amp;'Output annual'!$AD$2&amp;"*FangerPMV(Hourly)",'Eplus results'!$1:$1048576,ROW(),FALSE)</f>
        <v>0</v>
      </c>
      <c r="AD2903" s="580">
        <f t="shared" si="261"/>
        <v>5</v>
      </c>
      <c r="AE2903" s="580">
        <f t="shared" si="262"/>
        <v>2.5</v>
      </c>
      <c r="AF2903" s="580">
        <f t="shared" si="263"/>
        <v>2.5</v>
      </c>
      <c r="AG2903" s="580">
        <f t="shared" si="264"/>
        <v>0</v>
      </c>
      <c r="AH2903" s="580">
        <f t="shared" si="265"/>
        <v>0</v>
      </c>
    </row>
    <row r="2904" spans="28:34">
      <c r="AB2904" s="580">
        <f>HLOOKUP("*"&amp;'Output annual'!$AC$2&amp;'Output annual'!$AD$2&amp;"*Zone People Number Of Occupants [](Hourly)",'Eplus results'!$1:$1048576,ROW(),FALSE)</f>
        <v>0</v>
      </c>
      <c r="AC2904" s="580">
        <f>HLOOKUP("*"&amp;'Output annual'!$AC$2&amp;'Output annual'!$AD$2&amp;"*FangerPMV(Hourly)",'Eplus results'!$1:$1048576,ROW(),FALSE)</f>
        <v>0</v>
      </c>
      <c r="AD2904" s="580">
        <f t="shared" si="261"/>
        <v>5</v>
      </c>
      <c r="AE2904" s="580">
        <f t="shared" si="262"/>
        <v>2.5</v>
      </c>
      <c r="AF2904" s="580">
        <f t="shared" si="263"/>
        <v>2.5</v>
      </c>
      <c r="AG2904" s="580">
        <f t="shared" si="264"/>
        <v>0</v>
      </c>
      <c r="AH2904" s="580">
        <f t="shared" si="265"/>
        <v>0</v>
      </c>
    </row>
    <row r="2905" spans="28:34">
      <c r="AB2905" s="580">
        <f>HLOOKUP("*"&amp;'Output annual'!$AC$2&amp;'Output annual'!$AD$2&amp;"*Zone People Number Of Occupants [](Hourly)",'Eplus results'!$1:$1048576,ROW(),FALSE)</f>
        <v>0</v>
      </c>
      <c r="AC2905" s="580">
        <f>HLOOKUP("*"&amp;'Output annual'!$AC$2&amp;'Output annual'!$AD$2&amp;"*FangerPMV(Hourly)",'Eplus results'!$1:$1048576,ROW(),FALSE)</f>
        <v>0</v>
      </c>
      <c r="AD2905" s="580">
        <f t="shared" si="261"/>
        <v>5</v>
      </c>
      <c r="AE2905" s="580">
        <f t="shared" si="262"/>
        <v>2.5</v>
      </c>
      <c r="AF2905" s="580">
        <f t="shared" si="263"/>
        <v>2.5</v>
      </c>
      <c r="AG2905" s="580">
        <f t="shared" si="264"/>
        <v>0</v>
      </c>
      <c r="AH2905" s="580">
        <f t="shared" si="265"/>
        <v>0</v>
      </c>
    </row>
    <row r="2906" spans="28:34">
      <c r="AB2906" s="580">
        <f>HLOOKUP("*"&amp;'Output annual'!$AC$2&amp;'Output annual'!$AD$2&amp;"*Zone People Number Of Occupants [](Hourly)",'Eplus results'!$1:$1048576,ROW(),FALSE)</f>
        <v>0</v>
      </c>
      <c r="AC2906" s="580">
        <f>HLOOKUP("*"&amp;'Output annual'!$AC$2&amp;'Output annual'!$AD$2&amp;"*FangerPMV(Hourly)",'Eplus results'!$1:$1048576,ROW(),FALSE)</f>
        <v>0</v>
      </c>
      <c r="AD2906" s="580">
        <f t="shared" si="261"/>
        <v>5</v>
      </c>
      <c r="AE2906" s="580">
        <f t="shared" si="262"/>
        <v>2.5</v>
      </c>
      <c r="AF2906" s="580">
        <f t="shared" si="263"/>
        <v>2.5</v>
      </c>
      <c r="AG2906" s="580">
        <f t="shared" si="264"/>
        <v>0</v>
      </c>
      <c r="AH2906" s="580">
        <f t="shared" si="265"/>
        <v>0</v>
      </c>
    </row>
    <row r="2907" spans="28:34">
      <c r="AB2907" s="580">
        <f>HLOOKUP("*"&amp;'Output annual'!$AC$2&amp;'Output annual'!$AD$2&amp;"*Zone People Number Of Occupants [](Hourly)",'Eplus results'!$1:$1048576,ROW(),FALSE)</f>
        <v>0</v>
      </c>
      <c r="AC2907" s="580">
        <f>HLOOKUP("*"&amp;'Output annual'!$AC$2&amp;'Output annual'!$AD$2&amp;"*FangerPMV(Hourly)",'Eplus results'!$1:$1048576,ROW(),FALSE)</f>
        <v>0</v>
      </c>
      <c r="AD2907" s="580">
        <f t="shared" si="261"/>
        <v>5</v>
      </c>
      <c r="AE2907" s="580">
        <f t="shared" si="262"/>
        <v>2.5</v>
      </c>
      <c r="AF2907" s="580">
        <f t="shared" si="263"/>
        <v>2.5</v>
      </c>
      <c r="AG2907" s="580">
        <f t="shared" si="264"/>
        <v>0</v>
      </c>
      <c r="AH2907" s="580">
        <f t="shared" si="265"/>
        <v>0</v>
      </c>
    </row>
    <row r="2908" spans="28:34">
      <c r="AB2908" s="580">
        <f>HLOOKUP("*"&amp;'Output annual'!$AC$2&amp;'Output annual'!$AD$2&amp;"*Zone People Number Of Occupants [](Hourly)",'Eplus results'!$1:$1048576,ROW(),FALSE)</f>
        <v>0</v>
      </c>
      <c r="AC2908" s="580">
        <f>HLOOKUP("*"&amp;'Output annual'!$AC$2&amp;'Output annual'!$AD$2&amp;"*FangerPMV(Hourly)",'Eplus results'!$1:$1048576,ROW(),FALSE)</f>
        <v>0</v>
      </c>
      <c r="AD2908" s="580">
        <f t="shared" si="261"/>
        <v>5</v>
      </c>
      <c r="AE2908" s="580">
        <f t="shared" si="262"/>
        <v>2.5</v>
      </c>
      <c r="AF2908" s="580">
        <f t="shared" si="263"/>
        <v>2.5</v>
      </c>
      <c r="AG2908" s="580">
        <f t="shared" si="264"/>
        <v>0</v>
      </c>
      <c r="AH2908" s="580">
        <f t="shared" si="265"/>
        <v>0</v>
      </c>
    </row>
    <row r="2909" spans="28:34">
      <c r="AB2909" s="580">
        <f>HLOOKUP("*"&amp;'Output annual'!$AC$2&amp;'Output annual'!$AD$2&amp;"*Zone People Number Of Occupants [](Hourly)",'Eplus results'!$1:$1048576,ROW(),FALSE)</f>
        <v>0</v>
      </c>
      <c r="AC2909" s="580">
        <f>HLOOKUP("*"&amp;'Output annual'!$AC$2&amp;'Output annual'!$AD$2&amp;"*FangerPMV(Hourly)",'Eplus results'!$1:$1048576,ROW(),FALSE)</f>
        <v>0</v>
      </c>
      <c r="AD2909" s="580">
        <f t="shared" si="261"/>
        <v>5</v>
      </c>
      <c r="AE2909" s="580">
        <f t="shared" si="262"/>
        <v>2.5</v>
      </c>
      <c r="AF2909" s="580">
        <f t="shared" si="263"/>
        <v>2.5</v>
      </c>
      <c r="AG2909" s="580">
        <f t="shared" si="264"/>
        <v>0</v>
      </c>
      <c r="AH2909" s="580">
        <f t="shared" si="265"/>
        <v>0</v>
      </c>
    </row>
    <row r="2910" spans="28:34">
      <c r="AB2910" s="580">
        <f>HLOOKUP("*"&amp;'Output annual'!$AC$2&amp;'Output annual'!$AD$2&amp;"*Zone People Number Of Occupants [](Hourly)",'Eplus results'!$1:$1048576,ROW(),FALSE)</f>
        <v>0</v>
      </c>
      <c r="AC2910" s="580">
        <f>HLOOKUP("*"&amp;'Output annual'!$AC$2&amp;'Output annual'!$AD$2&amp;"*FangerPMV(Hourly)",'Eplus results'!$1:$1048576,ROW(),FALSE)</f>
        <v>0</v>
      </c>
      <c r="AD2910" s="580">
        <f t="shared" si="261"/>
        <v>5</v>
      </c>
      <c r="AE2910" s="580">
        <f t="shared" si="262"/>
        <v>2.5</v>
      </c>
      <c r="AF2910" s="580">
        <f t="shared" si="263"/>
        <v>2.5</v>
      </c>
      <c r="AG2910" s="580">
        <f t="shared" si="264"/>
        <v>0</v>
      </c>
      <c r="AH2910" s="580">
        <f t="shared" si="265"/>
        <v>0</v>
      </c>
    </row>
    <row r="2911" spans="28:34">
      <c r="AB2911" s="580">
        <f>HLOOKUP("*"&amp;'Output annual'!$AC$2&amp;'Output annual'!$AD$2&amp;"*Zone People Number Of Occupants [](Hourly)",'Eplus results'!$1:$1048576,ROW(),FALSE)</f>
        <v>0</v>
      </c>
      <c r="AC2911" s="580">
        <f>HLOOKUP("*"&amp;'Output annual'!$AC$2&amp;'Output annual'!$AD$2&amp;"*FangerPMV(Hourly)",'Eplus results'!$1:$1048576,ROW(),FALSE)</f>
        <v>0</v>
      </c>
      <c r="AD2911" s="580">
        <f t="shared" si="261"/>
        <v>5</v>
      </c>
      <c r="AE2911" s="580">
        <f t="shared" si="262"/>
        <v>2.5</v>
      </c>
      <c r="AF2911" s="580">
        <f t="shared" si="263"/>
        <v>2.5</v>
      </c>
      <c r="AG2911" s="580">
        <f t="shared" si="264"/>
        <v>0</v>
      </c>
      <c r="AH2911" s="580">
        <f t="shared" si="265"/>
        <v>0</v>
      </c>
    </row>
    <row r="2912" spans="28:34">
      <c r="AB2912" s="580">
        <f>HLOOKUP("*"&amp;'Output annual'!$AC$2&amp;'Output annual'!$AD$2&amp;"*Zone People Number Of Occupants [](Hourly)",'Eplus results'!$1:$1048576,ROW(),FALSE)</f>
        <v>0</v>
      </c>
      <c r="AC2912" s="580">
        <f>HLOOKUP("*"&amp;'Output annual'!$AC$2&amp;'Output annual'!$AD$2&amp;"*FangerPMV(Hourly)",'Eplus results'!$1:$1048576,ROW(),FALSE)</f>
        <v>0</v>
      </c>
      <c r="AD2912" s="580">
        <f t="shared" si="261"/>
        <v>5</v>
      </c>
      <c r="AE2912" s="580">
        <f t="shared" si="262"/>
        <v>2.5</v>
      </c>
      <c r="AF2912" s="580">
        <f t="shared" si="263"/>
        <v>2.5</v>
      </c>
      <c r="AG2912" s="580">
        <f t="shared" si="264"/>
        <v>0</v>
      </c>
      <c r="AH2912" s="580">
        <f t="shared" si="265"/>
        <v>0</v>
      </c>
    </row>
    <row r="2913" spans="28:34">
      <c r="AB2913" s="580">
        <f>HLOOKUP("*"&amp;'Output annual'!$AC$2&amp;'Output annual'!$AD$2&amp;"*Zone People Number Of Occupants [](Hourly)",'Eplus results'!$1:$1048576,ROW(),FALSE)</f>
        <v>0</v>
      </c>
      <c r="AC2913" s="580">
        <f>HLOOKUP("*"&amp;'Output annual'!$AC$2&amp;'Output annual'!$AD$2&amp;"*FangerPMV(Hourly)",'Eplus results'!$1:$1048576,ROW(),FALSE)</f>
        <v>0</v>
      </c>
      <c r="AD2913" s="580">
        <f t="shared" si="261"/>
        <v>5</v>
      </c>
      <c r="AE2913" s="580">
        <f t="shared" si="262"/>
        <v>2.5</v>
      </c>
      <c r="AF2913" s="580">
        <f t="shared" si="263"/>
        <v>2.5</v>
      </c>
      <c r="AG2913" s="580">
        <f t="shared" si="264"/>
        <v>0</v>
      </c>
      <c r="AH2913" s="580">
        <f t="shared" si="265"/>
        <v>0</v>
      </c>
    </row>
    <row r="2914" spans="28:34">
      <c r="AB2914" s="580">
        <f>HLOOKUP("*"&amp;'Output annual'!$AC$2&amp;'Output annual'!$AD$2&amp;"*Zone People Number Of Occupants [](Hourly)",'Eplus results'!$1:$1048576,ROW(),FALSE)</f>
        <v>0</v>
      </c>
      <c r="AC2914" s="580">
        <f>HLOOKUP("*"&amp;'Output annual'!$AC$2&amp;'Output annual'!$AD$2&amp;"*FangerPMV(Hourly)",'Eplus results'!$1:$1048576,ROW(),FALSE)</f>
        <v>0</v>
      </c>
      <c r="AD2914" s="580">
        <f t="shared" si="261"/>
        <v>5</v>
      </c>
      <c r="AE2914" s="580">
        <f t="shared" si="262"/>
        <v>2.5</v>
      </c>
      <c r="AF2914" s="580">
        <f t="shared" si="263"/>
        <v>2.5</v>
      </c>
      <c r="AG2914" s="580">
        <f t="shared" si="264"/>
        <v>0</v>
      </c>
      <c r="AH2914" s="580">
        <f t="shared" si="265"/>
        <v>0</v>
      </c>
    </row>
    <row r="2915" spans="28:34">
      <c r="AB2915" s="580">
        <f>HLOOKUP("*"&amp;'Output annual'!$AC$2&amp;'Output annual'!$AD$2&amp;"*Zone People Number Of Occupants [](Hourly)",'Eplus results'!$1:$1048576,ROW(),FALSE)</f>
        <v>0</v>
      </c>
      <c r="AC2915" s="580">
        <f>HLOOKUP("*"&amp;'Output annual'!$AC$2&amp;'Output annual'!$AD$2&amp;"*FangerPMV(Hourly)",'Eplus results'!$1:$1048576,ROW(),FALSE)</f>
        <v>0</v>
      </c>
      <c r="AD2915" s="580">
        <f t="shared" si="261"/>
        <v>5</v>
      </c>
      <c r="AE2915" s="580">
        <f t="shared" si="262"/>
        <v>2.5</v>
      </c>
      <c r="AF2915" s="580">
        <f t="shared" si="263"/>
        <v>2.5</v>
      </c>
      <c r="AG2915" s="580">
        <f t="shared" si="264"/>
        <v>0</v>
      </c>
      <c r="AH2915" s="580">
        <f t="shared" si="265"/>
        <v>0</v>
      </c>
    </row>
    <row r="2916" spans="28:34">
      <c r="AB2916" s="580">
        <f>HLOOKUP("*"&amp;'Output annual'!$AC$2&amp;'Output annual'!$AD$2&amp;"*Zone People Number Of Occupants [](Hourly)",'Eplus results'!$1:$1048576,ROW(),FALSE)</f>
        <v>0</v>
      </c>
      <c r="AC2916" s="580">
        <f>HLOOKUP("*"&amp;'Output annual'!$AC$2&amp;'Output annual'!$AD$2&amp;"*FangerPMV(Hourly)",'Eplus results'!$1:$1048576,ROW(),FALSE)</f>
        <v>0</v>
      </c>
      <c r="AD2916" s="580">
        <f t="shared" si="261"/>
        <v>5</v>
      </c>
      <c r="AE2916" s="580">
        <f t="shared" si="262"/>
        <v>2.5</v>
      </c>
      <c r="AF2916" s="580">
        <f t="shared" si="263"/>
        <v>2.5</v>
      </c>
      <c r="AG2916" s="580">
        <f t="shared" si="264"/>
        <v>0</v>
      </c>
      <c r="AH2916" s="580">
        <f t="shared" si="265"/>
        <v>0</v>
      </c>
    </row>
    <row r="2917" spans="28:34">
      <c r="AB2917" s="580">
        <f>HLOOKUP("*"&amp;'Output annual'!$AC$2&amp;'Output annual'!$AD$2&amp;"*Zone People Number Of Occupants [](Hourly)",'Eplus results'!$1:$1048576,ROW(),FALSE)</f>
        <v>0</v>
      </c>
      <c r="AC2917" s="580">
        <f>HLOOKUP("*"&amp;'Output annual'!$AC$2&amp;'Output annual'!$AD$2&amp;"*FangerPMV(Hourly)",'Eplus results'!$1:$1048576,ROW(),FALSE)</f>
        <v>0</v>
      </c>
      <c r="AD2917" s="580">
        <f t="shared" si="261"/>
        <v>5</v>
      </c>
      <c r="AE2917" s="580">
        <f t="shared" si="262"/>
        <v>2.5</v>
      </c>
      <c r="AF2917" s="580">
        <f t="shared" si="263"/>
        <v>2.5</v>
      </c>
      <c r="AG2917" s="580">
        <f t="shared" si="264"/>
        <v>0</v>
      </c>
      <c r="AH2917" s="580">
        <f t="shared" si="265"/>
        <v>0</v>
      </c>
    </row>
    <row r="2918" spans="28:34">
      <c r="AB2918" s="580">
        <f>HLOOKUP("*"&amp;'Output annual'!$AC$2&amp;'Output annual'!$AD$2&amp;"*Zone People Number Of Occupants [](Hourly)",'Eplus results'!$1:$1048576,ROW(),FALSE)</f>
        <v>0</v>
      </c>
      <c r="AC2918" s="580">
        <f>HLOOKUP("*"&amp;'Output annual'!$AC$2&amp;'Output annual'!$AD$2&amp;"*FangerPMV(Hourly)",'Eplus results'!$1:$1048576,ROW(),FALSE)</f>
        <v>0</v>
      </c>
      <c r="AD2918" s="580">
        <f t="shared" si="261"/>
        <v>5</v>
      </c>
      <c r="AE2918" s="580">
        <f t="shared" si="262"/>
        <v>2.5</v>
      </c>
      <c r="AF2918" s="580">
        <f t="shared" si="263"/>
        <v>2.5</v>
      </c>
      <c r="AG2918" s="580">
        <f t="shared" si="264"/>
        <v>0</v>
      </c>
      <c r="AH2918" s="580">
        <f t="shared" si="265"/>
        <v>0</v>
      </c>
    </row>
    <row r="2919" spans="28:34">
      <c r="AB2919" s="580">
        <f>HLOOKUP("*"&amp;'Output annual'!$AC$2&amp;'Output annual'!$AD$2&amp;"*Zone People Number Of Occupants [](Hourly)",'Eplus results'!$1:$1048576,ROW(),FALSE)</f>
        <v>0</v>
      </c>
      <c r="AC2919" s="580">
        <f>HLOOKUP("*"&amp;'Output annual'!$AC$2&amp;'Output annual'!$AD$2&amp;"*FangerPMV(Hourly)",'Eplus results'!$1:$1048576,ROW(),FALSE)</f>
        <v>0</v>
      </c>
      <c r="AD2919" s="580">
        <f t="shared" si="261"/>
        <v>5</v>
      </c>
      <c r="AE2919" s="580">
        <f t="shared" si="262"/>
        <v>2.5</v>
      </c>
      <c r="AF2919" s="580">
        <f t="shared" si="263"/>
        <v>2.5</v>
      </c>
      <c r="AG2919" s="580">
        <f t="shared" si="264"/>
        <v>0</v>
      </c>
      <c r="AH2919" s="580">
        <f t="shared" si="265"/>
        <v>0</v>
      </c>
    </row>
    <row r="2920" spans="28:34">
      <c r="AB2920" s="580">
        <f>HLOOKUP("*"&amp;'Output annual'!$AC$2&amp;'Output annual'!$AD$2&amp;"*Zone People Number Of Occupants [](Hourly)",'Eplus results'!$1:$1048576,ROW(),FALSE)</f>
        <v>0</v>
      </c>
      <c r="AC2920" s="580">
        <f>HLOOKUP("*"&amp;'Output annual'!$AC$2&amp;'Output annual'!$AD$2&amp;"*FangerPMV(Hourly)",'Eplus results'!$1:$1048576,ROW(),FALSE)</f>
        <v>0</v>
      </c>
      <c r="AD2920" s="580">
        <f t="shared" si="261"/>
        <v>5</v>
      </c>
      <c r="AE2920" s="580">
        <f t="shared" si="262"/>
        <v>2.5</v>
      </c>
      <c r="AF2920" s="580">
        <f t="shared" si="263"/>
        <v>2.5</v>
      </c>
      <c r="AG2920" s="580">
        <f t="shared" si="264"/>
        <v>0</v>
      </c>
      <c r="AH2920" s="580">
        <f t="shared" si="265"/>
        <v>0</v>
      </c>
    </row>
    <row r="2921" spans="28:34">
      <c r="AB2921" s="580">
        <f>HLOOKUP("*"&amp;'Output annual'!$AC$2&amp;'Output annual'!$AD$2&amp;"*Zone People Number Of Occupants [](Hourly)",'Eplus results'!$1:$1048576,ROW(),FALSE)</f>
        <v>0</v>
      </c>
      <c r="AC2921" s="580">
        <f>HLOOKUP("*"&amp;'Output annual'!$AC$2&amp;'Output annual'!$AD$2&amp;"*FangerPMV(Hourly)",'Eplus results'!$1:$1048576,ROW(),FALSE)</f>
        <v>0</v>
      </c>
      <c r="AD2921" s="580">
        <f t="shared" si="261"/>
        <v>5</v>
      </c>
      <c r="AE2921" s="580">
        <f t="shared" si="262"/>
        <v>2.5</v>
      </c>
      <c r="AF2921" s="580">
        <f t="shared" si="263"/>
        <v>2.5</v>
      </c>
      <c r="AG2921" s="580">
        <f t="shared" si="264"/>
        <v>0</v>
      </c>
      <c r="AH2921" s="580">
        <f t="shared" si="265"/>
        <v>0</v>
      </c>
    </row>
    <row r="2922" spans="28:34">
      <c r="AB2922" s="580">
        <f>HLOOKUP("*"&amp;'Output annual'!$AC$2&amp;'Output annual'!$AD$2&amp;"*Zone People Number Of Occupants [](Hourly)",'Eplus results'!$1:$1048576,ROW(),FALSE)</f>
        <v>0</v>
      </c>
      <c r="AC2922" s="580">
        <f>HLOOKUP("*"&amp;'Output annual'!$AC$2&amp;'Output annual'!$AD$2&amp;"*FangerPMV(Hourly)",'Eplus results'!$1:$1048576,ROW(),FALSE)</f>
        <v>0</v>
      </c>
      <c r="AD2922" s="580">
        <f t="shared" si="261"/>
        <v>5</v>
      </c>
      <c r="AE2922" s="580">
        <f t="shared" si="262"/>
        <v>2.5</v>
      </c>
      <c r="AF2922" s="580">
        <f t="shared" si="263"/>
        <v>2.5</v>
      </c>
      <c r="AG2922" s="580">
        <f t="shared" si="264"/>
        <v>0</v>
      </c>
      <c r="AH2922" s="580">
        <f t="shared" si="265"/>
        <v>0</v>
      </c>
    </row>
    <row r="2923" spans="28:34">
      <c r="AB2923" s="580">
        <f>HLOOKUP("*"&amp;'Output annual'!$AC$2&amp;'Output annual'!$AD$2&amp;"*Zone People Number Of Occupants [](Hourly)",'Eplus results'!$1:$1048576,ROW(),FALSE)</f>
        <v>0</v>
      </c>
      <c r="AC2923" s="580">
        <f>HLOOKUP("*"&amp;'Output annual'!$AC$2&amp;'Output annual'!$AD$2&amp;"*FangerPMV(Hourly)",'Eplus results'!$1:$1048576,ROW(),FALSE)</f>
        <v>0</v>
      </c>
      <c r="AD2923" s="580">
        <f t="shared" si="261"/>
        <v>5</v>
      </c>
      <c r="AE2923" s="580">
        <f t="shared" si="262"/>
        <v>2.5</v>
      </c>
      <c r="AF2923" s="580">
        <f t="shared" si="263"/>
        <v>2.5</v>
      </c>
      <c r="AG2923" s="580">
        <f t="shared" si="264"/>
        <v>0</v>
      </c>
      <c r="AH2923" s="580">
        <f t="shared" si="265"/>
        <v>0</v>
      </c>
    </row>
    <row r="2924" spans="28:34">
      <c r="AB2924" s="580">
        <f>HLOOKUP("*"&amp;'Output annual'!$AC$2&amp;'Output annual'!$AD$2&amp;"*Zone People Number Of Occupants [](Hourly)",'Eplus results'!$1:$1048576,ROW(),FALSE)</f>
        <v>0</v>
      </c>
      <c r="AC2924" s="580">
        <f>HLOOKUP("*"&amp;'Output annual'!$AC$2&amp;'Output annual'!$AD$2&amp;"*FangerPMV(Hourly)",'Eplus results'!$1:$1048576,ROW(),FALSE)</f>
        <v>0</v>
      </c>
      <c r="AD2924" s="580">
        <f t="shared" si="261"/>
        <v>5</v>
      </c>
      <c r="AE2924" s="580">
        <f t="shared" si="262"/>
        <v>2.5</v>
      </c>
      <c r="AF2924" s="580">
        <f t="shared" si="263"/>
        <v>2.5</v>
      </c>
      <c r="AG2924" s="580">
        <f t="shared" si="264"/>
        <v>0</v>
      </c>
      <c r="AH2924" s="580">
        <f t="shared" si="265"/>
        <v>0</v>
      </c>
    </row>
    <row r="2925" spans="28:34">
      <c r="AB2925" s="580">
        <f>HLOOKUP("*"&amp;'Output annual'!$AC$2&amp;'Output annual'!$AD$2&amp;"*Zone People Number Of Occupants [](Hourly)",'Eplus results'!$1:$1048576,ROW(),FALSE)</f>
        <v>0</v>
      </c>
      <c r="AC2925" s="580">
        <f>HLOOKUP("*"&amp;'Output annual'!$AC$2&amp;'Output annual'!$AD$2&amp;"*FangerPMV(Hourly)",'Eplus results'!$1:$1048576,ROW(),FALSE)</f>
        <v>0</v>
      </c>
      <c r="AD2925" s="580">
        <f t="shared" si="261"/>
        <v>5</v>
      </c>
      <c r="AE2925" s="580">
        <f t="shared" si="262"/>
        <v>2.5</v>
      </c>
      <c r="AF2925" s="580">
        <f t="shared" si="263"/>
        <v>2.5</v>
      </c>
      <c r="AG2925" s="580">
        <f t="shared" si="264"/>
        <v>0</v>
      </c>
      <c r="AH2925" s="580">
        <f t="shared" si="265"/>
        <v>0</v>
      </c>
    </row>
    <row r="2926" spans="28:34">
      <c r="AB2926" s="580">
        <f>HLOOKUP("*"&amp;'Output annual'!$AC$2&amp;'Output annual'!$AD$2&amp;"*Zone People Number Of Occupants [](Hourly)",'Eplus results'!$1:$1048576,ROW(),FALSE)</f>
        <v>0</v>
      </c>
      <c r="AC2926" s="580">
        <f>HLOOKUP("*"&amp;'Output annual'!$AC$2&amp;'Output annual'!$AD$2&amp;"*FangerPMV(Hourly)",'Eplus results'!$1:$1048576,ROW(),FALSE)</f>
        <v>0</v>
      </c>
      <c r="AD2926" s="580">
        <f t="shared" si="261"/>
        <v>5</v>
      </c>
      <c r="AE2926" s="580">
        <f t="shared" si="262"/>
        <v>2.5</v>
      </c>
      <c r="AF2926" s="580">
        <f t="shared" si="263"/>
        <v>2.5</v>
      </c>
      <c r="AG2926" s="580">
        <f t="shared" si="264"/>
        <v>0</v>
      </c>
      <c r="AH2926" s="580">
        <f t="shared" si="265"/>
        <v>0</v>
      </c>
    </row>
    <row r="2927" spans="28:34">
      <c r="AB2927" s="580">
        <f>HLOOKUP("*"&amp;'Output annual'!$AC$2&amp;'Output annual'!$AD$2&amp;"*Zone People Number Of Occupants [](Hourly)",'Eplus results'!$1:$1048576,ROW(),FALSE)</f>
        <v>0</v>
      </c>
      <c r="AC2927" s="580">
        <f>HLOOKUP("*"&amp;'Output annual'!$AC$2&amp;'Output annual'!$AD$2&amp;"*FangerPMV(Hourly)",'Eplus results'!$1:$1048576,ROW(),FALSE)</f>
        <v>0</v>
      </c>
      <c r="AD2927" s="580">
        <f t="shared" si="261"/>
        <v>5</v>
      </c>
      <c r="AE2927" s="580">
        <f t="shared" si="262"/>
        <v>2.5</v>
      </c>
      <c r="AF2927" s="580">
        <f t="shared" si="263"/>
        <v>2.5</v>
      </c>
      <c r="AG2927" s="580">
        <f t="shared" si="264"/>
        <v>0</v>
      </c>
      <c r="AH2927" s="580">
        <f t="shared" si="265"/>
        <v>0</v>
      </c>
    </row>
    <row r="2928" spans="28:34">
      <c r="AB2928" s="580">
        <f>HLOOKUP("*"&amp;'Output annual'!$AC$2&amp;'Output annual'!$AD$2&amp;"*Zone People Number Of Occupants [](Hourly)",'Eplus results'!$1:$1048576,ROW(),FALSE)</f>
        <v>0</v>
      </c>
      <c r="AC2928" s="580">
        <f>HLOOKUP("*"&amp;'Output annual'!$AC$2&amp;'Output annual'!$AD$2&amp;"*FangerPMV(Hourly)",'Eplus results'!$1:$1048576,ROW(),FALSE)</f>
        <v>0</v>
      </c>
      <c r="AD2928" s="580">
        <f t="shared" si="261"/>
        <v>5</v>
      </c>
      <c r="AE2928" s="580">
        <f t="shared" si="262"/>
        <v>2.5</v>
      </c>
      <c r="AF2928" s="580">
        <f t="shared" si="263"/>
        <v>2.5</v>
      </c>
      <c r="AG2928" s="580">
        <f t="shared" si="264"/>
        <v>0</v>
      </c>
      <c r="AH2928" s="580">
        <f t="shared" si="265"/>
        <v>0</v>
      </c>
    </row>
    <row r="2929" spans="28:34">
      <c r="AB2929" s="580">
        <f>HLOOKUP("*"&amp;'Output annual'!$AC$2&amp;'Output annual'!$AD$2&amp;"*Zone People Number Of Occupants [](Hourly)",'Eplus results'!$1:$1048576,ROW(),FALSE)</f>
        <v>0</v>
      </c>
      <c r="AC2929" s="580">
        <f>HLOOKUP("*"&amp;'Output annual'!$AC$2&amp;'Output annual'!$AD$2&amp;"*FangerPMV(Hourly)",'Eplus results'!$1:$1048576,ROW(),FALSE)</f>
        <v>0</v>
      </c>
      <c r="AD2929" s="580">
        <f t="shared" si="261"/>
        <v>5</v>
      </c>
      <c r="AE2929" s="580">
        <f t="shared" si="262"/>
        <v>2.5</v>
      </c>
      <c r="AF2929" s="580">
        <f t="shared" si="263"/>
        <v>2.5</v>
      </c>
      <c r="AG2929" s="580">
        <f t="shared" si="264"/>
        <v>0</v>
      </c>
      <c r="AH2929" s="580">
        <f t="shared" si="265"/>
        <v>0</v>
      </c>
    </row>
    <row r="2930" spans="28:34">
      <c r="AB2930" s="580">
        <f>HLOOKUP("*"&amp;'Output annual'!$AC$2&amp;'Output annual'!$AD$2&amp;"*Zone People Number Of Occupants [](Hourly)",'Eplus results'!$1:$1048576,ROW(),FALSE)</f>
        <v>0</v>
      </c>
      <c r="AC2930" s="580">
        <f>HLOOKUP("*"&amp;'Output annual'!$AC$2&amp;'Output annual'!$AD$2&amp;"*FangerPMV(Hourly)",'Eplus results'!$1:$1048576,ROW(),FALSE)</f>
        <v>0</v>
      </c>
      <c r="AD2930" s="580">
        <f t="shared" si="261"/>
        <v>5</v>
      </c>
      <c r="AE2930" s="580">
        <f t="shared" si="262"/>
        <v>2.5</v>
      </c>
      <c r="AF2930" s="580">
        <f t="shared" si="263"/>
        <v>2.5</v>
      </c>
      <c r="AG2930" s="580">
        <f t="shared" si="264"/>
        <v>0</v>
      </c>
      <c r="AH2930" s="580">
        <f t="shared" si="265"/>
        <v>0</v>
      </c>
    </row>
    <row r="2931" spans="28:34">
      <c r="AB2931" s="580">
        <f>HLOOKUP("*"&amp;'Output annual'!$AC$2&amp;'Output annual'!$AD$2&amp;"*Zone People Number Of Occupants [](Hourly)",'Eplus results'!$1:$1048576,ROW(),FALSE)</f>
        <v>0</v>
      </c>
      <c r="AC2931" s="580">
        <f>HLOOKUP("*"&amp;'Output annual'!$AC$2&amp;'Output annual'!$AD$2&amp;"*FangerPMV(Hourly)",'Eplus results'!$1:$1048576,ROW(),FALSE)</f>
        <v>0</v>
      </c>
      <c r="AD2931" s="580">
        <f t="shared" si="261"/>
        <v>5</v>
      </c>
      <c r="AE2931" s="580">
        <f t="shared" si="262"/>
        <v>2.5</v>
      </c>
      <c r="AF2931" s="580">
        <f t="shared" si="263"/>
        <v>2.5</v>
      </c>
      <c r="AG2931" s="580">
        <f t="shared" si="264"/>
        <v>0</v>
      </c>
      <c r="AH2931" s="580">
        <f t="shared" si="265"/>
        <v>0</v>
      </c>
    </row>
    <row r="2932" spans="28:34">
      <c r="AB2932" s="580">
        <f>HLOOKUP("*"&amp;'Output annual'!$AC$2&amp;'Output annual'!$AD$2&amp;"*Zone People Number Of Occupants [](Hourly)",'Eplus results'!$1:$1048576,ROW(),FALSE)</f>
        <v>0</v>
      </c>
      <c r="AC2932" s="580">
        <f>HLOOKUP("*"&amp;'Output annual'!$AC$2&amp;'Output annual'!$AD$2&amp;"*FangerPMV(Hourly)",'Eplus results'!$1:$1048576,ROW(),FALSE)</f>
        <v>0</v>
      </c>
      <c r="AD2932" s="580">
        <f t="shared" si="261"/>
        <v>5</v>
      </c>
      <c r="AE2932" s="580">
        <f t="shared" si="262"/>
        <v>2.5</v>
      </c>
      <c r="AF2932" s="580">
        <f t="shared" si="263"/>
        <v>2.5</v>
      </c>
      <c r="AG2932" s="580">
        <f t="shared" si="264"/>
        <v>0</v>
      </c>
      <c r="AH2932" s="580">
        <f t="shared" si="265"/>
        <v>0</v>
      </c>
    </row>
    <row r="2933" spans="28:34">
      <c r="AB2933" s="580">
        <f>HLOOKUP("*"&amp;'Output annual'!$AC$2&amp;'Output annual'!$AD$2&amp;"*Zone People Number Of Occupants [](Hourly)",'Eplus results'!$1:$1048576,ROW(),FALSE)</f>
        <v>0</v>
      </c>
      <c r="AC2933" s="580">
        <f>HLOOKUP("*"&amp;'Output annual'!$AC$2&amp;'Output annual'!$AD$2&amp;"*FangerPMV(Hourly)",'Eplus results'!$1:$1048576,ROW(),FALSE)</f>
        <v>0</v>
      </c>
      <c r="AD2933" s="580">
        <f t="shared" si="261"/>
        <v>5</v>
      </c>
      <c r="AE2933" s="580">
        <f t="shared" si="262"/>
        <v>2.5</v>
      </c>
      <c r="AF2933" s="580">
        <f t="shared" si="263"/>
        <v>2.5</v>
      </c>
      <c r="AG2933" s="580">
        <f t="shared" si="264"/>
        <v>0</v>
      </c>
      <c r="AH2933" s="580">
        <f t="shared" si="265"/>
        <v>0</v>
      </c>
    </row>
    <row r="2934" spans="28:34">
      <c r="AB2934" s="580">
        <f>HLOOKUP("*"&amp;'Output annual'!$AC$2&amp;'Output annual'!$AD$2&amp;"*Zone People Number Of Occupants [](Hourly)",'Eplus results'!$1:$1048576,ROW(),FALSE)</f>
        <v>0</v>
      </c>
      <c r="AC2934" s="580">
        <f>HLOOKUP("*"&amp;'Output annual'!$AC$2&amp;'Output annual'!$AD$2&amp;"*FangerPMV(Hourly)",'Eplus results'!$1:$1048576,ROW(),FALSE)</f>
        <v>0</v>
      </c>
      <c r="AD2934" s="580">
        <f t="shared" si="261"/>
        <v>5</v>
      </c>
      <c r="AE2934" s="580">
        <f t="shared" si="262"/>
        <v>2.5</v>
      </c>
      <c r="AF2934" s="580">
        <f t="shared" si="263"/>
        <v>2.5</v>
      </c>
      <c r="AG2934" s="580">
        <f t="shared" si="264"/>
        <v>0</v>
      </c>
      <c r="AH2934" s="580">
        <f t="shared" si="265"/>
        <v>0</v>
      </c>
    </row>
    <row r="2935" spans="28:34">
      <c r="AB2935" s="580">
        <f>HLOOKUP("*"&amp;'Output annual'!$AC$2&amp;'Output annual'!$AD$2&amp;"*Zone People Number Of Occupants [](Hourly)",'Eplus results'!$1:$1048576,ROW(),FALSE)</f>
        <v>0</v>
      </c>
      <c r="AC2935" s="580">
        <f>HLOOKUP("*"&amp;'Output annual'!$AC$2&amp;'Output annual'!$AD$2&amp;"*FangerPMV(Hourly)",'Eplus results'!$1:$1048576,ROW(),FALSE)</f>
        <v>0</v>
      </c>
      <c r="AD2935" s="580">
        <f t="shared" si="261"/>
        <v>5</v>
      </c>
      <c r="AE2935" s="580">
        <f t="shared" si="262"/>
        <v>2.5</v>
      </c>
      <c r="AF2935" s="580">
        <f t="shared" si="263"/>
        <v>2.5</v>
      </c>
      <c r="AG2935" s="580">
        <f t="shared" si="264"/>
        <v>0</v>
      </c>
      <c r="AH2935" s="580">
        <f t="shared" si="265"/>
        <v>0</v>
      </c>
    </row>
    <row r="2936" spans="28:34">
      <c r="AB2936" s="580">
        <f>HLOOKUP("*"&amp;'Output annual'!$AC$2&amp;'Output annual'!$AD$2&amp;"*Zone People Number Of Occupants [](Hourly)",'Eplus results'!$1:$1048576,ROW(),FALSE)</f>
        <v>0</v>
      </c>
      <c r="AC2936" s="580">
        <f>HLOOKUP("*"&amp;'Output annual'!$AC$2&amp;'Output annual'!$AD$2&amp;"*FangerPMV(Hourly)",'Eplus results'!$1:$1048576,ROW(),FALSE)</f>
        <v>0</v>
      </c>
      <c r="AD2936" s="580">
        <f t="shared" si="261"/>
        <v>5</v>
      </c>
      <c r="AE2936" s="580">
        <f t="shared" si="262"/>
        <v>2.5</v>
      </c>
      <c r="AF2936" s="580">
        <f t="shared" si="263"/>
        <v>2.5</v>
      </c>
      <c r="AG2936" s="580">
        <f t="shared" si="264"/>
        <v>0</v>
      </c>
      <c r="AH2936" s="580">
        <f t="shared" si="265"/>
        <v>0</v>
      </c>
    </row>
    <row r="2937" spans="28:34">
      <c r="AB2937" s="580">
        <f>HLOOKUP("*"&amp;'Output annual'!$AC$2&amp;'Output annual'!$AD$2&amp;"*Zone People Number Of Occupants [](Hourly)",'Eplus results'!$1:$1048576,ROW(),FALSE)</f>
        <v>0</v>
      </c>
      <c r="AC2937" s="580">
        <f>HLOOKUP("*"&amp;'Output annual'!$AC$2&amp;'Output annual'!$AD$2&amp;"*FangerPMV(Hourly)",'Eplus results'!$1:$1048576,ROW(),FALSE)</f>
        <v>0</v>
      </c>
      <c r="AD2937" s="580">
        <f t="shared" si="261"/>
        <v>5</v>
      </c>
      <c r="AE2937" s="580">
        <f t="shared" si="262"/>
        <v>2.5</v>
      </c>
      <c r="AF2937" s="580">
        <f t="shared" si="263"/>
        <v>2.5</v>
      </c>
      <c r="AG2937" s="580">
        <f t="shared" si="264"/>
        <v>0</v>
      </c>
      <c r="AH2937" s="580">
        <f t="shared" si="265"/>
        <v>0</v>
      </c>
    </row>
    <row r="2938" spans="28:34">
      <c r="AB2938" s="580">
        <f>HLOOKUP("*"&amp;'Output annual'!$AC$2&amp;'Output annual'!$AD$2&amp;"*Zone People Number Of Occupants [](Hourly)",'Eplus results'!$1:$1048576,ROW(),FALSE)</f>
        <v>0</v>
      </c>
      <c r="AC2938" s="580">
        <f>HLOOKUP("*"&amp;'Output annual'!$AC$2&amp;'Output annual'!$AD$2&amp;"*FangerPMV(Hourly)",'Eplus results'!$1:$1048576,ROW(),FALSE)</f>
        <v>0</v>
      </c>
      <c r="AD2938" s="580">
        <f t="shared" si="261"/>
        <v>5</v>
      </c>
      <c r="AE2938" s="580">
        <f t="shared" si="262"/>
        <v>2.5</v>
      </c>
      <c r="AF2938" s="580">
        <f t="shared" si="263"/>
        <v>2.5</v>
      </c>
      <c r="AG2938" s="580">
        <f t="shared" si="264"/>
        <v>0</v>
      </c>
      <c r="AH2938" s="580">
        <f t="shared" si="265"/>
        <v>0</v>
      </c>
    </row>
    <row r="2939" spans="28:34">
      <c r="AB2939" s="580">
        <f>HLOOKUP("*"&amp;'Output annual'!$AC$2&amp;'Output annual'!$AD$2&amp;"*Zone People Number Of Occupants [](Hourly)",'Eplus results'!$1:$1048576,ROW(),FALSE)</f>
        <v>0</v>
      </c>
      <c r="AC2939" s="580">
        <f>HLOOKUP("*"&amp;'Output annual'!$AC$2&amp;'Output annual'!$AD$2&amp;"*FangerPMV(Hourly)",'Eplus results'!$1:$1048576,ROW(),FALSE)</f>
        <v>0</v>
      </c>
      <c r="AD2939" s="580">
        <f t="shared" si="261"/>
        <v>5</v>
      </c>
      <c r="AE2939" s="580">
        <f t="shared" si="262"/>
        <v>2.5</v>
      </c>
      <c r="AF2939" s="580">
        <f t="shared" si="263"/>
        <v>2.5</v>
      </c>
      <c r="AG2939" s="580">
        <f t="shared" si="264"/>
        <v>0</v>
      </c>
      <c r="AH2939" s="580">
        <f t="shared" si="265"/>
        <v>0</v>
      </c>
    </row>
    <row r="2940" spans="28:34">
      <c r="AB2940" s="580">
        <f>HLOOKUP("*"&amp;'Output annual'!$AC$2&amp;'Output annual'!$AD$2&amp;"*Zone People Number Of Occupants [](Hourly)",'Eplus results'!$1:$1048576,ROW(),FALSE)</f>
        <v>0</v>
      </c>
      <c r="AC2940" s="580">
        <f>HLOOKUP("*"&amp;'Output annual'!$AC$2&amp;'Output annual'!$AD$2&amp;"*FangerPMV(Hourly)",'Eplus results'!$1:$1048576,ROW(),FALSE)</f>
        <v>0</v>
      </c>
      <c r="AD2940" s="580">
        <f t="shared" si="261"/>
        <v>5</v>
      </c>
      <c r="AE2940" s="580">
        <f t="shared" si="262"/>
        <v>2.5</v>
      </c>
      <c r="AF2940" s="580">
        <f t="shared" si="263"/>
        <v>2.5</v>
      </c>
      <c r="AG2940" s="580">
        <f t="shared" si="264"/>
        <v>0</v>
      </c>
      <c r="AH2940" s="580">
        <f t="shared" si="265"/>
        <v>0</v>
      </c>
    </row>
    <row r="2941" spans="28:34">
      <c r="AB2941" s="580">
        <f>HLOOKUP("*"&amp;'Output annual'!$AC$2&amp;'Output annual'!$AD$2&amp;"*Zone People Number Of Occupants [](Hourly)",'Eplus results'!$1:$1048576,ROW(),FALSE)</f>
        <v>0</v>
      </c>
      <c r="AC2941" s="580">
        <f>HLOOKUP("*"&amp;'Output annual'!$AC$2&amp;'Output annual'!$AD$2&amp;"*FangerPMV(Hourly)",'Eplus results'!$1:$1048576,ROW(),FALSE)</f>
        <v>0</v>
      </c>
      <c r="AD2941" s="580">
        <f t="shared" si="261"/>
        <v>5</v>
      </c>
      <c r="AE2941" s="580">
        <f t="shared" si="262"/>
        <v>2.5</v>
      </c>
      <c r="AF2941" s="580">
        <f t="shared" si="263"/>
        <v>2.5</v>
      </c>
      <c r="AG2941" s="580">
        <f t="shared" si="264"/>
        <v>0</v>
      </c>
      <c r="AH2941" s="580">
        <f t="shared" si="265"/>
        <v>0</v>
      </c>
    </row>
    <row r="2942" spans="28:34">
      <c r="AB2942" s="580">
        <f>HLOOKUP("*"&amp;'Output annual'!$AC$2&amp;'Output annual'!$AD$2&amp;"*Zone People Number Of Occupants [](Hourly)",'Eplus results'!$1:$1048576,ROW(),FALSE)</f>
        <v>0</v>
      </c>
      <c r="AC2942" s="580">
        <f>HLOOKUP("*"&amp;'Output annual'!$AC$2&amp;'Output annual'!$AD$2&amp;"*FangerPMV(Hourly)",'Eplus results'!$1:$1048576,ROW(),FALSE)</f>
        <v>0</v>
      </c>
      <c r="AD2942" s="580">
        <f t="shared" si="261"/>
        <v>5</v>
      </c>
      <c r="AE2942" s="580">
        <f t="shared" si="262"/>
        <v>2.5</v>
      </c>
      <c r="AF2942" s="580">
        <f t="shared" si="263"/>
        <v>2.5</v>
      </c>
      <c r="AG2942" s="580">
        <f t="shared" si="264"/>
        <v>0</v>
      </c>
      <c r="AH2942" s="580">
        <f t="shared" si="265"/>
        <v>0</v>
      </c>
    </row>
    <row r="2943" spans="28:34">
      <c r="AB2943" s="580">
        <f>HLOOKUP("*"&amp;'Output annual'!$AC$2&amp;'Output annual'!$AD$2&amp;"*Zone People Number Of Occupants [](Hourly)",'Eplus results'!$1:$1048576,ROW(),FALSE)</f>
        <v>0</v>
      </c>
      <c r="AC2943" s="580">
        <f>HLOOKUP("*"&amp;'Output annual'!$AC$2&amp;'Output annual'!$AD$2&amp;"*FangerPMV(Hourly)",'Eplus results'!$1:$1048576,ROW(),FALSE)</f>
        <v>0</v>
      </c>
      <c r="AD2943" s="580">
        <f t="shared" si="261"/>
        <v>5</v>
      </c>
      <c r="AE2943" s="580">
        <f t="shared" si="262"/>
        <v>2.5</v>
      </c>
      <c r="AF2943" s="580">
        <f t="shared" si="263"/>
        <v>2.5</v>
      </c>
      <c r="AG2943" s="580">
        <f t="shared" si="264"/>
        <v>0</v>
      </c>
      <c r="AH2943" s="580">
        <f t="shared" si="265"/>
        <v>0</v>
      </c>
    </row>
    <row r="2944" spans="28:34">
      <c r="AB2944" s="580">
        <f>HLOOKUP("*"&amp;'Output annual'!$AC$2&amp;'Output annual'!$AD$2&amp;"*Zone People Number Of Occupants [](Hourly)",'Eplus results'!$1:$1048576,ROW(),FALSE)</f>
        <v>0</v>
      </c>
      <c r="AC2944" s="580">
        <f>HLOOKUP("*"&amp;'Output annual'!$AC$2&amp;'Output annual'!$AD$2&amp;"*FangerPMV(Hourly)",'Eplus results'!$1:$1048576,ROW(),FALSE)</f>
        <v>0</v>
      </c>
      <c r="AD2944" s="580">
        <f t="shared" si="261"/>
        <v>5</v>
      </c>
      <c r="AE2944" s="580">
        <f t="shared" si="262"/>
        <v>2.5</v>
      </c>
      <c r="AF2944" s="580">
        <f t="shared" si="263"/>
        <v>2.5</v>
      </c>
      <c r="AG2944" s="580">
        <f t="shared" si="264"/>
        <v>0</v>
      </c>
      <c r="AH2944" s="580">
        <f t="shared" si="265"/>
        <v>0</v>
      </c>
    </row>
    <row r="2945" spans="28:34">
      <c r="AB2945" s="580">
        <f>HLOOKUP("*"&amp;'Output annual'!$AC$2&amp;'Output annual'!$AD$2&amp;"*Zone People Number Of Occupants [](Hourly)",'Eplus results'!$1:$1048576,ROW(),FALSE)</f>
        <v>0</v>
      </c>
      <c r="AC2945" s="580">
        <f>HLOOKUP("*"&amp;'Output annual'!$AC$2&amp;'Output annual'!$AD$2&amp;"*FangerPMV(Hourly)",'Eplus results'!$1:$1048576,ROW(),FALSE)</f>
        <v>0</v>
      </c>
      <c r="AD2945" s="580">
        <f t="shared" si="261"/>
        <v>5</v>
      </c>
      <c r="AE2945" s="580">
        <f t="shared" si="262"/>
        <v>2.5</v>
      </c>
      <c r="AF2945" s="580">
        <f t="shared" si="263"/>
        <v>2.5</v>
      </c>
      <c r="AG2945" s="580">
        <f t="shared" si="264"/>
        <v>0</v>
      </c>
      <c r="AH2945" s="580">
        <f t="shared" si="265"/>
        <v>0</v>
      </c>
    </row>
    <row r="2946" spans="28:34">
      <c r="AB2946" s="580">
        <f>HLOOKUP("*"&amp;'Output annual'!$AC$2&amp;'Output annual'!$AD$2&amp;"*Zone People Number Of Occupants [](Hourly)",'Eplus results'!$1:$1048576,ROW(),FALSE)</f>
        <v>0</v>
      </c>
      <c r="AC2946" s="580">
        <f>HLOOKUP("*"&amp;'Output annual'!$AC$2&amp;'Output annual'!$AD$2&amp;"*FangerPMV(Hourly)",'Eplus results'!$1:$1048576,ROW(),FALSE)</f>
        <v>0</v>
      </c>
      <c r="AD2946" s="580">
        <f t="shared" si="261"/>
        <v>5</v>
      </c>
      <c r="AE2946" s="580">
        <f t="shared" si="262"/>
        <v>2.5</v>
      </c>
      <c r="AF2946" s="580">
        <f t="shared" si="263"/>
        <v>2.5</v>
      </c>
      <c r="AG2946" s="580">
        <f t="shared" si="264"/>
        <v>0</v>
      </c>
      <c r="AH2946" s="580">
        <f t="shared" si="265"/>
        <v>0</v>
      </c>
    </row>
    <row r="2947" spans="28:34">
      <c r="AB2947" s="580">
        <f>HLOOKUP("*"&amp;'Output annual'!$AC$2&amp;'Output annual'!$AD$2&amp;"*Zone People Number Of Occupants [](Hourly)",'Eplus results'!$1:$1048576,ROW(),FALSE)</f>
        <v>0</v>
      </c>
      <c r="AC2947" s="580">
        <f>HLOOKUP("*"&amp;'Output annual'!$AC$2&amp;'Output annual'!$AD$2&amp;"*FangerPMV(Hourly)",'Eplus results'!$1:$1048576,ROW(),FALSE)</f>
        <v>0</v>
      </c>
      <c r="AD2947" s="580">
        <f t="shared" ref="AD2947:AD3010" si="266">100-95*EXP(-0.03353*AC2947^4-0.2179*AC2947^2)</f>
        <v>5</v>
      </c>
      <c r="AE2947" s="580">
        <f t="shared" ref="AE2947:AE3010" si="267">AD2947*(1/(1+EXP(-6.3*$AC2947)))</f>
        <v>2.5</v>
      </c>
      <c r="AF2947" s="580">
        <f t="shared" ref="AF2947:AF3010" si="268">(AD2947-AE2947)</f>
        <v>2.5</v>
      </c>
      <c r="AG2947" s="580">
        <f t="shared" ref="AG2947:AG3010" si="269">AE2947*AB2947</f>
        <v>0</v>
      </c>
      <c r="AH2947" s="580">
        <f t="shared" ref="AH2947:AH3010" si="270">AF2947*AB2947</f>
        <v>0</v>
      </c>
    </row>
    <row r="2948" spans="28:34">
      <c r="AB2948" s="580">
        <f>HLOOKUP("*"&amp;'Output annual'!$AC$2&amp;'Output annual'!$AD$2&amp;"*Zone People Number Of Occupants [](Hourly)",'Eplus results'!$1:$1048576,ROW(),FALSE)</f>
        <v>0</v>
      </c>
      <c r="AC2948" s="580">
        <f>HLOOKUP("*"&amp;'Output annual'!$AC$2&amp;'Output annual'!$AD$2&amp;"*FangerPMV(Hourly)",'Eplus results'!$1:$1048576,ROW(),FALSE)</f>
        <v>0</v>
      </c>
      <c r="AD2948" s="580">
        <f t="shared" si="266"/>
        <v>5</v>
      </c>
      <c r="AE2948" s="580">
        <f t="shared" si="267"/>
        <v>2.5</v>
      </c>
      <c r="AF2948" s="580">
        <f t="shared" si="268"/>
        <v>2.5</v>
      </c>
      <c r="AG2948" s="580">
        <f t="shared" si="269"/>
        <v>0</v>
      </c>
      <c r="AH2948" s="580">
        <f t="shared" si="270"/>
        <v>0</v>
      </c>
    </row>
    <row r="2949" spans="28:34">
      <c r="AB2949" s="580">
        <f>HLOOKUP("*"&amp;'Output annual'!$AC$2&amp;'Output annual'!$AD$2&amp;"*Zone People Number Of Occupants [](Hourly)",'Eplus results'!$1:$1048576,ROW(),FALSE)</f>
        <v>0</v>
      </c>
      <c r="AC2949" s="580">
        <f>HLOOKUP("*"&amp;'Output annual'!$AC$2&amp;'Output annual'!$AD$2&amp;"*FangerPMV(Hourly)",'Eplus results'!$1:$1048576,ROW(),FALSE)</f>
        <v>0</v>
      </c>
      <c r="AD2949" s="580">
        <f t="shared" si="266"/>
        <v>5</v>
      </c>
      <c r="AE2949" s="580">
        <f t="shared" si="267"/>
        <v>2.5</v>
      </c>
      <c r="AF2949" s="580">
        <f t="shared" si="268"/>
        <v>2.5</v>
      </c>
      <c r="AG2949" s="580">
        <f t="shared" si="269"/>
        <v>0</v>
      </c>
      <c r="AH2949" s="580">
        <f t="shared" si="270"/>
        <v>0</v>
      </c>
    </row>
    <row r="2950" spans="28:34">
      <c r="AB2950" s="580">
        <f>HLOOKUP("*"&amp;'Output annual'!$AC$2&amp;'Output annual'!$AD$2&amp;"*Zone People Number Of Occupants [](Hourly)",'Eplus results'!$1:$1048576,ROW(),FALSE)</f>
        <v>0</v>
      </c>
      <c r="AC2950" s="580">
        <f>HLOOKUP("*"&amp;'Output annual'!$AC$2&amp;'Output annual'!$AD$2&amp;"*FangerPMV(Hourly)",'Eplus results'!$1:$1048576,ROW(),FALSE)</f>
        <v>0</v>
      </c>
      <c r="AD2950" s="580">
        <f t="shared" si="266"/>
        <v>5</v>
      </c>
      <c r="AE2950" s="580">
        <f t="shared" si="267"/>
        <v>2.5</v>
      </c>
      <c r="AF2950" s="580">
        <f t="shared" si="268"/>
        <v>2.5</v>
      </c>
      <c r="AG2950" s="580">
        <f t="shared" si="269"/>
        <v>0</v>
      </c>
      <c r="AH2950" s="580">
        <f t="shared" si="270"/>
        <v>0</v>
      </c>
    </row>
    <row r="2951" spans="28:34">
      <c r="AB2951" s="580">
        <f>HLOOKUP("*"&amp;'Output annual'!$AC$2&amp;'Output annual'!$AD$2&amp;"*Zone People Number Of Occupants [](Hourly)",'Eplus results'!$1:$1048576,ROW(),FALSE)</f>
        <v>0</v>
      </c>
      <c r="AC2951" s="580">
        <f>HLOOKUP("*"&amp;'Output annual'!$AC$2&amp;'Output annual'!$AD$2&amp;"*FangerPMV(Hourly)",'Eplus results'!$1:$1048576,ROW(),FALSE)</f>
        <v>0</v>
      </c>
      <c r="AD2951" s="580">
        <f t="shared" si="266"/>
        <v>5</v>
      </c>
      <c r="AE2951" s="580">
        <f t="shared" si="267"/>
        <v>2.5</v>
      </c>
      <c r="AF2951" s="580">
        <f t="shared" si="268"/>
        <v>2.5</v>
      </c>
      <c r="AG2951" s="580">
        <f t="shared" si="269"/>
        <v>0</v>
      </c>
      <c r="AH2951" s="580">
        <f t="shared" si="270"/>
        <v>0</v>
      </c>
    </row>
    <row r="2952" spans="28:34">
      <c r="AB2952" s="580">
        <f>HLOOKUP("*"&amp;'Output annual'!$AC$2&amp;'Output annual'!$AD$2&amp;"*Zone People Number Of Occupants [](Hourly)",'Eplus results'!$1:$1048576,ROW(),FALSE)</f>
        <v>0</v>
      </c>
      <c r="AC2952" s="580">
        <f>HLOOKUP("*"&amp;'Output annual'!$AC$2&amp;'Output annual'!$AD$2&amp;"*FangerPMV(Hourly)",'Eplus results'!$1:$1048576,ROW(),FALSE)</f>
        <v>0</v>
      </c>
      <c r="AD2952" s="580">
        <f t="shared" si="266"/>
        <v>5</v>
      </c>
      <c r="AE2952" s="580">
        <f t="shared" si="267"/>
        <v>2.5</v>
      </c>
      <c r="AF2952" s="580">
        <f t="shared" si="268"/>
        <v>2.5</v>
      </c>
      <c r="AG2952" s="580">
        <f t="shared" si="269"/>
        <v>0</v>
      </c>
      <c r="AH2952" s="580">
        <f t="shared" si="270"/>
        <v>0</v>
      </c>
    </row>
    <row r="2953" spans="28:34">
      <c r="AB2953" s="580">
        <f>HLOOKUP("*"&amp;'Output annual'!$AC$2&amp;'Output annual'!$AD$2&amp;"*Zone People Number Of Occupants [](Hourly)",'Eplus results'!$1:$1048576,ROW(),FALSE)</f>
        <v>0</v>
      </c>
      <c r="AC2953" s="580">
        <f>HLOOKUP("*"&amp;'Output annual'!$AC$2&amp;'Output annual'!$AD$2&amp;"*FangerPMV(Hourly)",'Eplus results'!$1:$1048576,ROW(),FALSE)</f>
        <v>0</v>
      </c>
      <c r="AD2953" s="580">
        <f t="shared" si="266"/>
        <v>5</v>
      </c>
      <c r="AE2953" s="580">
        <f t="shared" si="267"/>
        <v>2.5</v>
      </c>
      <c r="AF2953" s="580">
        <f t="shared" si="268"/>
        <v>2.5</v>
      </c>
      <c r="AG2953" s="580">
        <f t="shared" si="269"/>
        <v>0</v>
      </c>
      <c r="AH2953" s="580">
        <f t="shared" si="270"/>
        <v>0</v>
      </c>
    </row>
    <row r="2954" spans="28:34">
      <c r="AB2954" s="580">
        <f>HLOOKUP("*"&amp;'Output annual'!$AC$2&amp;'Output annual'!$AD$2&amp;"*Zone People Number Of Occupants [](Hourly)",'Eplus results'!$1:$1048576,ROW(),FALSE)</f>
        <v>0</v>
      </c>
      <c r="AC2954" s="580">
        <f>HLOOKUP("*"&amp;'Output annual'!$AC$2&amp;'Output annual'!$AD$2&amp;"*FangerPMV(Hourly)",'Eplus results'!$1:$1048576,ROW(),FALSE)</f>
        <v>0</v>
      </c>
      <c r="AD2954" s="580">
        <f t="shared" si="266"/>
        <v>5</v>
      </c>
      <c r="AE2954" s="580">
        <f t="shared" si="267"/>
        <v>2.5</v>
      </c>
      <c r="AF2954" s="580">
        <f t="shared" si="268"/>
        <v>2.5</v>
      </c>
      <c r="AG2954" s="580">
        <f t="shared" si="269"/>
        <v>0</v>
      </c>
      <c r="AH2954" s="580">
        <f t="shared" si="270"/>
        <v>0</v>
      </c>
    </row>
    <row r="2955" spans="28:34">
      <c r="AB2955" s="580">
        <f>HLOOKUP("*"&amp;'Output annual'!$AC$2&amp;'Output annual'!$AD$2&amp;"*Zone People Number Of Occupants [](Hourly)",'Eplus results'!$1:$1048576,ROW(),FALSE)</f>
        <v>0</v>
      </c>
      <c r="AC2955" s="580">
        <f>HLOOKUP("*"&amp;'Output annual'!$AC$2&amp;'Output annual'!$AD$2&amp;"*FangerPMV(Hourly)",'Eplus results'!$1:$1048576,ROW(),FALSE)</f>
        <v>0</v>
      </c>
      <c r="AD2955" s="580">
        <f t="shared" si="266"/>
        <v>5</v>
      </c>
      <c r="AE2955" s="580">
        <f t="shared" si="267"/>
        <v>2.5</v>
      </c>
      <c r="AF2955" s="580">
        <f t="shared" si="268"/>
        <v>2.5</v>
      </c>
      <c r="AG2955" s="580">
        <f t="shared" si="269"/>
        <v>0</v>
      </c>
      <c r="AH2955" s="580">
        <f t="shared" si="270"/>
        <v>0</v>
      </c>
    </row>
    <row r="2956" spans="28:34">
      <c r="AB2956" s="580">
        <f>HLOOKUP("*"&amp;'Output annual'!$AC$2&amp;'Output annual'!$AD$2&amp;"*Zone People Number Of Occupants [](Hourly)",'Eplus results'!$1:$1048576,ROW(),FALSE)</f>
        <v>0</v>
      </c>
      <c r="AC2956" s="580">
        <f>HLOOKUP("*"&amp;'Output annual'!$AC$2&amp;'Output annual'!$AD$2&amp;"*FangerPMV(Hourly)",'Eplus results'!$1:$1048576,ROW(),FALSE)</f>
        <v>0</v>
      </c>
      <c r="AD2956" s="580">
        <f t="shared" si="266"/>
        <v>5</v>
      </c>
      <c r="AE2956" s="580">
        <f t="shared" si="267"/>
        <v>2.5</v>
      </c>
      <c r="AF2956" s="580">
        <f t="shared" si="268"/>
        <v>2.5</v>
      </c>
      <c r="AG2956" s="580">
        <f t="shared" si="269"/>
        <v>0</v>
      </c>
      <c r="AH2956" s="580">
        <f t="shared" si="270"/>
        <v>0</v>
      </c>
    </row>
    <row r="2957" spans="28:34">
      <c r="AB2957" s="580">
        <f>HLOOKUP("*"&amp;'Output annual'!$AC$2&amp;'Output annual'!$AD$2&amp;"*Zone People Number Of Occupants [](Hourly)",'Eplus results'!$1:$1048576,ROW(),FALSE)</f>
        <v>0</v>
      </c>
      <c r="AC2957" s="580">
        <f>HLOOKUP("*"&amp;'Output annual'!$AC$2&amp;'Output annual'!$AD$2&amp;"*FangerPMV(Hourly)",'Eplus results'!$1:$1048576,ROW(),FALSE)</f>
        <v>0</v>
      </c>
      <c r="AD2957" s="580">
        <f t="shared" si="266"/>
        <v>5</v>
      </c>
      <c r="AE2957" s="580">
        <f t="shared" si="267"/>
        <v>2.5</v>
      </c>
      <c r="AF2957" s="580">
        <f t="shared" si="268"/>
        <v>2.5</v>
      </c>
      <c r="AG2957" s="580">
        <f t="shared" si="269"/>
        <v>0</v>
      </c>
      <c r="AH2957" s="580">
        <f t="shared" si="270"/>
        <v>0</v>
      </c>
    </row>
    <row r="2958" spans="28:34">
      <c r="AB2958" s="580">
        <f>HLOOKUP("*"&amp;'Output annual'!$AC$2&amp;'Output annual'!$AD$2&amp;"*Zone People Number Of Occupants [](Hourly)",'Eplus results'!$1:$1048576,ROW(),FALSE)</f>
        <v>0</v>
      </c>
      <c r="AC2958" s="580">
        <f>HLOOKUP("*"&amp;'Output annual'!$AC$2&amp;'Output annual'!$AD$2&amp;"*FangerPMV(Hourly)",'Eplus results'!$1:$1048576,ROW(),FALSE)</f>
        <v>0</v>
      </c>
      <c r="AD2958" s="580">
        <f t="shared" si="266"/>
        <v>5</v>
      </c>
      <c r="AE2958" s="580">
        <f t="shared" si="267"/>
        <v>2.5</v>
      </c>
      <c r="AF2958" s="580">
        <f t="shared" si="268"/>
        <v>2.5</v>
      </c>
      <c r="AG2958" s="580">
        <f t="shared" si="269"/>
        <v>0</v>
      </c>
      <c r="AH2958" s="580">
        <f t="shared" si="270"/>
        <v>0</v>
      </c>
    </row>
    <row r="2959" spans="28:34">
      <c r="AB2959" s="580">
        <f>HLOOKUP("*"&amp;'Output annual'!$AC$2&amp;'Output annual'!$AD$2&amp;"*Zone People Number Of Occupants [](Hourly)",'Eplus results'!$1:$1048576,ROW(),FALSE)</f>
        <v>0</v>
      </c>
      <c r="AC2959" s="580">
        <f>HLOOKUP("*"&amp;'Output annual'!$AC$2&amp;'Output annual'!$AD$2&amp;"*FangerPMV(Hourly)",'Eplus results'!$1:$1048576,ROW(),FALSE)</f>
        <v>0</v>
      </c>
      <c r="AD2959" s="580">
        <f t="shared" si="266"/>
        <v>5</v>
      </c>
      <c r="AE2959" s="580">
        <f t="shared" si="267"/>
        <v>2.5</v>
      </c>
      <c r="AF2959" s="580">
        <f t="shared" si="268"/>
        <v>2.5</v>
      </c>
      <c r="AG2959" s="580">
        <f t="shared" si="269"/>
        <v>0</v>
      </c>
      <c r="AH2959" s="580">
        <f t="shared" si="270"/>
        <v>0</v>
      </c>
    </row>
    <row r="2960" spans="28:34">
      <c r="AB2960" s="580">
        <f>HLOOKUP("*"&amp;'Output annual'!$AC$2&amp;'Output annual'!$AD$2&amp;"*Zone People Number Of Occupants [](Hourly)",'Eplus results'!$1:$1048576,ROW(),FALSE)</f>
        <v>0</v>
      </c>
      <c r="AC2960" s="580">
        <f>HLOOKUP("*"&amp;'Output annual'!$AC$2&amp;'Output annual'!$AD$2&amp;"*FangerPMV(Hourly)",'Eplus results'!$1:$1048576,ROW(),FALSE)</f>
        <v>0</v>
      </c>
      <c r="AD2960" s="580">
        <f t="shared" si="266"/>
        <v>5</v>
      </c>
      <c r="AE2960" s="580">
        <f t="shared" si="267"/>
        <v>2.5</v>
      </c>
      <c r="AF2960" s="580">
        <f t="shared" si="268"/>
        <v>2.5</v>
      </c>
      <c r="AG2960" s="580">
        <f t="shared" si="269"/>
        <v>0</v>
      </c>
      <c r="AH2960" s="580">
        <f t="shared" si="270"/>
        <v>0</v>
      </c>
    </row>
    <row r="2961" spans="28:34">
      <c r="AB2961" s="580">
        <f>HLOOKUP("*"&amp;'Output annual'!$AC$2&amp;'Output annual'!$AD$2&amp;"*Zone People Number Of Occupants [](Hourly)",'Eplus results'!$1:$1048576,ROW(),FALSE)</f>
        <v>0</v>
      </c>
      <c r="AC2961" s="580">
        <f>HLOOKUP("*"&amp;'Output annual'!$AC$2&amp;'Output annual'!$AD$2&amp;"*FangerPMV(Hourly)",'Eplus results'!$1:$1048576,ROW(),FALSE)</f>
        <v>0</v>
      </c>
      <c r="AD2961" s="580">
        <f t="shared" si="266"/>
        <v>5</v>
      </c>
      <c r="AE2961" s="580">
        <f t="shared" si="267"/>
        <v>2.5</v>
      </c>
      <c r="AF2961" s="580">
        <f t="shared" si="268"/>
        <v>2.5</v>
      </c>
      <c r="AG2961" s="580">
        <f t="shared" si="269"/>
        <v>0</v>
      </c>
      <c r="AH2961" s="580">
        <f t="shared" si="270"/>
        <v>0</v>
      </c>
    </row>
    <row r="2962" spans="28:34">
      <c r="AB2962" s="580">
        <f>HLOOKUP("*"&amp;'Output annual'!$AC$2&amp;'Output annual'!$AD$2&amp;"*Zone People Number Of Occupants [](Hourly)",'Eplus results'!$1:$1048576,ROW(),FALSE)</f>
        <v>0</v>
      </c>
      <c r="AC2962" s="580">
        <f>HLOOKUP("*"&amp;'Output annual'!$AC$2&amp;'Output annual'!$AD$2&amp;"*FangerPMV(Hourly)",'Eplus results'!$1:$1048576,ROW(),FALSE)</f>
        <v>0</v>
      </c>
      <c r="AD2962" s="580">
        <f t="shared" si="266"/>
        <v>5</v>
      </c>
      <c r="AE2962" s="580">
        <f t="shared" si="267"/>
        <v>2.5</v>
      </c>
      <c r="AF2962" s="580">
        <f t="shared" si="268"/>
        <v>2.5</v>
      </c>
      <c r="AG2962" s="580">
        <f t="shared" si="269"/>
        <v>0</v>
      </c>
      <c r="AH2962" s="580">
        <f t="shared" si="270"/>
        <v>0</v>
      </c>
    </row>
    <row r="2963" spans="28:34">
      <c r="AB2963" s="580">
        <f>HLOOKUP("*"&amp;'Output annual'!$AC$2&amp;'Output annual'!$AD$2&amp;"*Zone People Number Of Occupants [](Hourly)",'Eplus results'!$1:$1048576,ROW(),FALSE)</f>
        <v>0</v>
      </c>
      <c r="AC2963" s="580">
        <f>HLOOKUP("*"&amp;'Output annual'!$AC$2&amp;'Output annual'!$AD$2&amp;"*FangerPMV(Hourly)",'Eplus results'!$1:$1048576,ROW(),FALSE)</f>
        <v>0</v>
      </c>
      <c r="AD2963" s="580">
        <f t="shared" si="266"/>
        <v>5</v>
      </c>
      <c r="AE2963" s="580">
        <f t="shared" si="267"/>
        <v>2.5</v>
      </c>
      <c r="AF2963" s="580">
        <f t="shared" si="268"/>
        <v>2.5</v>
      </c>
      <c r="AG2963" s="580">
        <f t="shared" si="269"/>
        <v>0</v>
      </c>
      <c r="AH2963" s="580">
        <f t="shared" si="270"/>
        <v>0</v>
      </c>
    </row>
    <row r="2964" spans="28:34">
      <c r="AB2964" s="580">
        <f>HLOOKUP("*"&amp;'Output annual'!$AC$2&amp;'Output annual'!$AD$2&amp;"*Zone People Number Of Occupants [](Hourly)",'Eplus results'!$1:$1048576,ROW(),FALSE)</f>
        <v>0</v>
      </c>
      <c r="AC2964" s="580">
        <f>HLOOKUP("*"&amp;'Output annual'!$AC$2&amp;'Output annual'!$AD$2&amp;"*FangerPMV(Hourly)",'Eplus results'!$1:$1048576,ROW(),FALSE)</f>
        <v>0</v>
      </c>
      <c r="AD2964" s="580">
        <f t="shared" si="266"/>
        <v>5</v>
      </c>
      <c r="AE2964" s="580">
        <f t="shared" si="267"/>
        <v>2.5</v>
      </c>
      <c r="AF2964" s="580">
        <f t="shared" si="268"/>
        <v>2.5</v>
      </c>
      <c r="AG2964" s="580">
        <f t="shared" si="269"/>
        <v>0</v>
      </c>
      <c r="AH2964" s="580">
        <f t="shared" si="270"/>
        <v>0</v>
      </c>
    </row>
    <row r="2965" spans="28:34">
      <c r="AB2965" s="580">
        <f>HLOOKUP("*"&amp;'Output annual'!$AC$2&amp;'Output annual'!$AD$2&amp;"*Zone People Number Of Occupants [](Hourly)",'Eplus results'!$1:$1048576,ROW(),FALSE)</f>
        <v>0</v>
      </c>
      <c r="AC2965" s="580">
        <f>HLOOKUP("*"&amp;'Output annual'!$AC$2&amp;'Output annual'!$AD$2&amp;"*FangerPMV(Hourly)",'Eplus results'!$1:$1048576,ROW(),FALSE)</f>
        <v>0</v>
      </c>
      <c r="AD2965" s="580">
        <f t="shared" si="266"/>
        <v>5</v>
      </c>
      <c r="AE2965" s="580">
        <f t="shared" si="267"/>
        <v>2.5</v>
      </c>
      <c r="AF2965" s="580">
        <f t="shared" si="268"/>
        <v>2.5</v>
      </c>
      <c r="AG2965" s="580">
        <f t="shared" si="269"/>
        <v>0</v>
      </c>
      <c r="AH2965" s="580">
        <f t="shared" si="270"/>
        <v>0</v>
      </c>
    </row>
    <row r="2966" spans="28:34">
      <c r="AB2966" s="580">
        <f>HLOOKUP("*"&amp;'Output annual'!$AC$2&amp;'Output annual'!$AD$2&amp;"*Zone People Number Of Occupants [](Hourly)",'Eplus results'!$1:$1048576,ROW(),FALSE)</f>
        <v>0</v>
      </c>
      <c r="AC2966" s="580">
        <f>HLOOKUP("*"&amp;'Output annual'!$AC$2&amp;'Output annual'!$AD$2&amp;"*FangerPMV(Hourly)",'Eplus results'!$1:$1048576,ROW(),FALSE)</f>
        <v>0</v>
      </c>
      <c r="AD2966" s="580">
        <f t="shared" si="266"/>
        <v>5</v>
      </c>
      <c r="AE2966" s="580">
        <f t="shared" si="267"/>
        <v>2.5</v>
      </c>
      <c r="AF2966" s="580">
        <f t="shared" si="268"/>
        <v>2.5</v>
      </c>
      <c r="AG2966" s="580">
        <f t="shared" si="269"/>
        <v>0</v>
      </c>
      <c r="AH2966" s="580">
        <f t="shared" si="270"/>
        <v>0</v>
      </c>
    </row>
    <row r="2967" spans="28:34">
      <c r="AB2967" s="580">
        <f>HLOOKUP("*"&amp;'Output annual'!$AC$2&amp;'Output annual'!$AD$2&amp;"*Zone People Number Of Occupants [](Hourly)",'Eplus results'!$1:$1048576,ROW(),FALSE)</f>
        <v>0</v>
      </c>
      <c r="AC2967" s="580">
        <f>HLOOKUP("*"&amp;'Output annual'!$AC$2&amp;'Output annual'!$AD$2&amp;"*FangerPMV(Hourly)",'Eplus results'!$1:$1048576,ROW(),FALSE)</f>
        <v>0</v>
      </c>
      <c r="AD2967" s="580">
        <f t="shared" si="266"/>
        <v>5</v>
      </c>
      <c r="AE2967" s="580">
        <f t="shared" si="267"/>
        <v>2.5</v>
      </c>
      <c r="AF2967" s="580">
        <f t="shared" si="268"/>
        <v>2.5</v>
      </c>
      <c r="AG2967" s="580">
        <f t="shared" si="269"/>
        <v>0</v>
      </c>
      <c r="AH2967" s="580">
        <f t="shared" si="270"/>
        <v>0</v>
      </c>
    </row>
    <row r="2968" spans="28:34">
      <c r="AB2968" s="580">
        <f>HLOOKUP("*"&amp;'Output annual'!$AC$2&amp;'Output annual'!$AD$2&amp;"*Zone People Number Of Occupants [](Hourly)",'Eplus results'!$1:$1048576,ROW(),FALSE)</f>
        <v>0</v>
      </c>
      <c r="AC2968" s="580">
        <f>HLOOKUP("*"&amp;'Output annual'!$AC$2&amp;'Output annual'!$AD$2&amp;"*FangerPMV(Hourly)",'Eplus results'!$1:$1048576,ROW(),FALSE)</f>
        <v>0</v>
      </c>
      <c r="AD2968" s="580">
        <f t="shared" si="266"/>
        <v>5</v>
      </c>
      <c r="AE2968" s="580">
        <f t="shared" si="267"/>
        <v>2.5</v>
      </c>
      <c r="AF2968" s="580">
        <f t="shared" si="268"/>
        <v>2.5</v>
      </c>
      <c r="AG2968" s="580">
        <f t="shared" si="269"/>
        <v>0</v>
      </c>
      <c r="AH2968" s="580">
        <f t="shared" si="270"/>
        <v>0</v>
      </c>
    </row>
    <row r="2969" spans="28:34">
      <c r="AB2969" s="580">
        <f>HLOOKUP("*"&amp;'Output annual'!$AC$2&amp;'Output annual'!$AD$2&amp;"*Zone People Number Of Occupants [](Hourly)",'Eplus results'!$1:$1048576,ROW(),FALSE)</f>
        <v>0</v>
      </c>
      <c r="AC2969" s="580">
        <f>HLOOKUP("*"&amp;'Output annual'!$AC$2&amp;'Output annual'!$AD$2&amp;"*FangerPMV(Hourly)",'Eplus results'!$1:$1048576,ROW(),FALSE)</f>
        <v>0</v>
      </c>
      <c r="AD2969" s="580">
        <f t="shared" si="266"/>
        <v>5</v>
      </c>
      <c r="AE2969" s="580">
        <f t="shared" si="267"/>
        <v>2.5</v>
      </c>
      <c r="AF2969" s="580">
        <f t="shared" si="268"/>
        <v>2.5</v>
      </c>
      <c r="AG2969" s="580">
        <f t="shared" si="269"/>
        <v>0</v>
      </c>
      <c r="AH2969" s="580">
        <f t="shared" si="270"/>
        <v>0</v>
      </c>
    </row>
    <row r="2970" spans="28:34">
      <c r="AB2970" s="580">
        <f>HLOOKUP("*"&amp;'Output annual'!$AC$2&amp;'Output annual'!$AD$2&amp;"*Zone People Number Of Occupants [](Hourly)",'Eplus results'!$1:$1048576,ROW(),FALSE)</f>
        <v>0</v>
      </c>
      <c r="AC2970" s="580">
        <f>HLOOKUP("*"&amp;'Output annual'!$AC$2&amp;'Output annual'!$AD$2&amp;"*FangerPMV(Hourly)",'Eplus results'!$1:$1048576,ROW(),FALSE)</f>
        <v>0</v>
      </c>
      <c r="AD2970" s="580">
        <f t="shared" si="266"/>
        <v>5</v>
      </c>
      <c r="AE2970" s="580">
        <f t="shared" si="267"/>
        <v>2.5</v>
      </c>
      <c r="AF2970" s="580">
        <f t="shared" si="268"/>
        <v>2.5</v>
      </c>
      <c r="AG2970" s="580">
        <f t="shared" si="269"/>
        <v>0</v>
      </c>
      <c r="AH2970" s="580">
        <f t="shared" si="270"/>
        <v>0</v>
      </c>
    </row>
    <row r="2971" spans="28:34">
      <c r="AB2971" s="580">
        <f>HLOOKUP("*"&amp;'Output annual'!$AC$2&amp;'Output annual'!$AD$2&amp;"*Zone People Number Of Occupants [](Hourly)",'Eplus results'!$1:$1048576,ROW(),FALSE)</f>
        <v>0</v>
      </c>
      <c r="AC2971" s="580">
        <f>HLOOKUP("*"&amp;'Output annual'!$AC$2&amp;'Output annual'!$AD$2&amp;"*FangerPMV(Hourly)",'Eplus results'!$1:$1048576,ROW(),FALSE)</f>
        <v>0</v>
      </c>
      <c r="AD2971" s="580">
        <f t="shared" si="266"/>
        <v>5</v>
      </c>
      <c r="AE2971" s="580">
        <f t="shared" si="267"/>
        <v>2.5</v>
      </c>
      <c r="AF2971" s="580">
        <f t="shared" si="268"/>
        <v>2.5</v>
      </c>
      <c r="AG2971" s="580">
        <f t="shared" si="269"/>
        <v>0</v>
      </c>
      <c r="AH2971" s="580">
        <f t="shared" si="270"/>
        <v>0</v>
      </c>
    </row>
    <row r="2972" spans="28:34">
      <c r="AB2972" s="580">
        <f>HLOOKUP("*"&amp;'Output annual'!$AC$2&amp;'Output annual'!$AD$2&amp;"*Zone People Number Of Occupants [](Hourly)",'Eplus results'!$1:$1048576,ROW(),FALSE)</f>
        <v>0</v>
      </c>
      <c r="AC2972" s="580">
        <f>HLOOKUP("*"&amp;'Output annual'!$AC$2&amp;'Output annual'!$AD$2&amp;"*FangerPMV(Hourly)",'Eplus results'!$1:$1048576,ROW(),FALSE)</f>
        <v>0</v>
      </c>
      <c r="AD2972" s="580">
        <f t="shared" si="266"/>
        <v>5</v>
      </c>
      <c r="AE2972" s="580">
        <f t="shared" si="267"/>
        <v>2.5</v>
      </c>
      <c r="AF2972" s="580">
        <f t="shared" si="268"/>
        <v>2.5</v>
      </c>
      <c r="AG2972" s="580">
        <f t="shared" si="269"/>
        <v>0</v>
      </c>
      <c r="AH2972" s="580">
        <f t="shared" si="270"/>
        <v>0</v>
      </c>
    </row>
    <row r="2973" spans="28:34">
      <c r="AB2973" s="580">
        <f>HLOOKUP("*"&amp;'Output annual'!$AC$2&amp;'Output annual'!$AD$2&amp;"*Zone People Number Of Occupants [](Hourly)",'Eplus results'!$1:$1048576,ROW(),FALSE)</f>
        <v>0</v>
      </c>
      <c r="AC2973" s="580">
        <f>HLOOKUP("*"&amp;'Output annual'!$AC$2&amp;'Output annual'!$AD$2&amp;"*FangerPMV(Hourly)",'Eplus results'!$1:$1048576,ROW(),FALSE)</f>
        <v>0</v>
      </c>
      <c r="AD2973" s="580">
        <f t="shared" si="266"/>
        <v>5</v>
      </c>
      <c r="AE2973" s="580">
        <f t="shared" si="267"/>
        <v>2.5</v>
      </c>
      <c r="AF2973" s="580">
        <f t="shared" si="268"/>
        <v>2.5</v>
      </c>
      <c r="AG2973" s="580">
        <f t="shared" si="269"/>
        <v>0</v>
      </c>
      <c r="AH2973" s="580">
        <f t="shared" si="270"/>
        <v>0</v>
      </c>
    </row>
    <row r="2974" spans="28:34">
      <c r="AB2974" s="580">
        <f>HLOOKUP("*"&amp;'Output annual'!$AC$2&amp;'Output annual'!$AD$2&amp;"*Zone People Number Of Occupants [](Hourly)",'Eplus results'!$1:$1048576,ROW(),FALSE)</f>
        <v>0</v>
      </c>
      <c r="AC2974" s="580">
        <f>HLOOKUP("*"&amp;'Output annual'!$AC$2&amp;'Output annual'!$AD$2&amp;"*FangerPMV(Hourly)",'Eplus results'!$1:$1048576,ROW(),FALSE)</f>
        <v>0</v>
      </c>
      <c r="AD2974" s="580">
        <f t="shared" si="266"/>
        <v>5</v>
      </c>
      <c r="AE2974" s="580">
        <f t="shared" si="267"/>
        <v>2.5</v>
      </c>
      <c r="AF2974" s="580">
        <f t="shared" si="268"/>
        <v>2.5</v>
      </c>
      <c r="AG2974" s="580">
        <f t="shared" si="269"/>
        <v>0</v>
      </c>
      <c r="AH2974" s="580">
        <f t="shared" si="270"/>
        <v>0</v>
      </c>
    </row>
    <row r="2975" spans="28:34">
      <c r="AB2975" s="580">
        <f>HLOOKUP("*"&amp;'Output annual'!$AC$2&amp;'Output annual'!$AD$2&amp;"*Zone People Number Of Occupants [](Hourly)",'Eplus results'!$1:$1048576,ROW(),FALSE)</f>
        <v>0</v>
      </c>
      <c r="AC2975" s="580">
        <f>HLOOKUP("*"&amp;'Output annual'!$AC$2&amp;'Output annual'!$AD$2&amp;"*FangerPMV(Hourly)",'Eplus results'!$1:$1048576,ROW(),FALSE)</f>
        <v>0</v>
      </c>
      <c r="AD2975" s="580">
        <f t="shared" si="266"/>
        <v>5</v>
      </c>
      <c r="AE2975" s="580">
        <f t="shared" si="267"/>
        <v>2.5</v>
      </c>
      <c r="AF2975" s="580">
        <f t="shared" si="268"/>
        <v>2.5</v>
      </c>
      <c r="AG2975" s="580">
        <f t="shared" si="269"/>
        <v>0</v>
      </c>
      <c r="AH2975" s="580">
        <f t="shared" si="270"/>
        <v>0</v>
      </c>
    </row>
    <row r="2976" spans="28:34">
      <c r="AB2976" s="580">
        <f>HLOOKUP("*"&amp;'Output annual'!$AC$2&amp;'Output annual'!$AD$2&amp;"*Zone People Number Of Occupants [](Hourly)",'Eplus results'!$1:$1048576,ROW(),FALSE)</f>
        <v>0</v>
      </c>
      <c r="AC2976" s="580">
        <f>HLOOKUP("*"&amp;'Output annual'!$AC$2&amp;'Output annual'!$AD$2&amp;"*FangerPMV(Hourly)",'Eplus results'!$1:$1048576,ROW(),FALSE)</f>
        <v>0</v>
      </c>
      <c r="AD2976" s="580">
        <f t="shared" si="266"/>
        <v>5</v>
      </c>
      <c r="AE2976" s="580">
        <f t="shared" si="267"/>
        <v>2.5</v>
      </c>
      <c r="AF2976" s="580">
        <f t="shared" si="268"/>
        <v>2.5</v>
      </c>
      <c r="AG2976" s="580">
        <f t="shared" si="269"/>
        <v>0</v>
      </c>
      <c r="AH2976" s="580">
        <f t="shared" si="270"/>
        <v>0</v>
      </c>
    </row>
    <row r="2977" spans="28:34">
      <c r="AB2977" s="580">
        <f>HLOOKUP("*"&amp;'Output annual'!$AC$2&amp;'Output annual'!$AD$2&amp;"*Zone People Number Of Occupants [](Hourly)",'Eplus results'!$1:$1048576,ROW(),FALSE)</f>
        <v>0</v>
      </c>
      <c r="AC2977" s="580">
        <f>HLOOKUP("*"&amp;'Output annual'!$AC$2&amp;'Output annual'!$AD$2&amp;"*FangerPMV(Hourly)",'Eplus results'!$1:$1048576,ROW(),FALSE)</f>
        <v>0</v>
      </c>
      <c r="AD2977" s="580">
        <f t="shared" si="266"/>
        <v>5</v>
      </c>
      <c r="AE2977" s="580">
        <f t="shared" si="267"/>
        <v>2.5</v>
      </c>
      <c r="AF2977" s="580">
        <f t="shared" si="268"/>
        <v>2.5</v>
      </c>
      <c r="AG2977" s="580">
        <f t="shared" si="269"/>
        <v>0</v>
      </c>
      <c r="AH2977" s="580">
        <f t="shared" si="270"/>
        <v>0</v>
      </c>
    </row>
    <row r="2978" spans="28:34">
      <c r="AB2978" s="580">
        <f>HLOOKUP("*"&amp;'Output annual'!$AC$2&amp;'Output annual'!$AD$2&amp;"*Zone People Number Of Occupants [](Hourly)",'Eplus results'!$1:$1048576,ROW(),FALSE)</f>
        <v>0</v>
      </c>
      <c r="AC2978" s="580">
        <f>HLOOKUP("*"&amp;'Output annual'!$AC$2&amp;'Output annual'!$AD$2&amp;"*FangerPMV(Hourly)",'Eplus results'!$1:$1048576,ROW(),FALSE)</f>
        <v>0</v>
      </c>
      <c r="AD2978" s="580">
        <f t="shared" si="266"/>
        <v>5</v>
      </c>
      <c r="AE2978" s="580">
        <f t="shared" si="267"/>
        <v>2.5</v>
      </c>
      <c r="AF2978" s="580">
        <f t="shared" si="268"/>
        <v>2.5</v>
      </c>
      <c r="AG2978" s="580">
        <f t="shared" si="269"/>
        <v>0</v>
      </c>
      <c r="AH2978" s="580">
        <f t="shared" si="270"/>
        <v>0</v>
      </c>
    </row>
    <row r="2979" spans="28:34">
      <c r="AB2979" s="580">
        <f>HLOOKUP("*"&amp;'Output annual'!$AC$2&amp;'Output annual'!$AD$2&amp;"*Zone People Number Of Occupants [](Hourly)",'Eplus results'!$1:$1048576,ROW(),FALSE)</f>
        <v>0</v>
      </c>
      <c r="AC2979" s="580">
        <f>HLOOKUP("*"&amp;'Output annual'!$AC$2&amp;'Output annual'!$AD$2&amp;"*FangerPMV(Hourly)",'Eplus results'!$1:$1048576,ROW(),FALSE)</f>
        <v>0</v>
      </c>
      <c r="AD2979" s="580">
        <f t="shared" si="266"/>
        <v>5</v>
      </c>
      <c r="AE2979" s="580">
        <f t="shared" si="267"/>
        <v>2.5</v>
      </c>
      <c r="AF2979" s="580">
        <f t="shared" si="268"/>
        <v>2.5</v>
      </c>
      <c r="AG2979" s="580">
        <f t="shared" si="269"/>
        <v>0</v>
      </c>
      <c r="AH2979" s="580">
        <f t="shared" si="270"/>
        <v>0</v>
      </c>
    </row>
    <row r="2980" spans="28:34">
      <c r="AB2980" s="580">
        <f>HLOOKUP("*"&amp;'Output annual'!$AC$2&amp;'Output annual'!$AD$2&amp;"*Zone People Number Of Occupants [](Hourly)",'Eplus results'!$1:$1048576,ROW(),FALSE)</f>
        <v>0</v>
      </c>
      <c r="AC2980" s="580">
        <f>HLOOKUP("*"&amp;'Output annual'!$AC$2&amp;'Output annual'!$AD$2&amp;"*FangerPMV(Hourly)",'Eplus results'!$1:$1048576,ROW(),FALSE)</f>
        <v>0</v>
      </c>
      <c r="AD2980" s="580">
        <f t="shared" si="266"/>
        <v>5</v>
      </c>
      <c r="AE2980" s="580">
        <f t="shared" si="267"/>
        <v>2.5</v>
      </c>
      <c r="AF2980" s="580">
        <f t="shared" si="268"/>
        <v>2.5</v>
      </c>
      <c r="AG2980" s="580">
        <f t="shared" si="269"/>
        <v>0</v>
      </c>
      <c r="AH2980" s="580">
        <f t="shared" si="270"/>
        <v>0</v>
      </c>
    </row>
    <row r="2981" spans="28:34">
      <c r="AB2981" s="580">
        <f>HLOOKUP("*"&amp;'Output annual'!$AC$2&amp;'Output annual'!$AD$2&amp;"*Zone People Number Of Occupants [](Hourly)",'Eplus results'!$1:$1048576,ROW(),FALSE)</f>
        <v>0</v>
      </c>
      <c r="AC2981" s="580">
        <f>HLOOKUP("*"&amp;'Output annual'!$AC$2&amp;'Output annual'!$AD$2&amp;"*FangerPMV(Hourly)",'Eplus results'!$1:$1048576,ROW(),FALSE)</f>
        <v>0</v>
      </c>
      <c r="AD2981" s="580">
        <f t="shared" si="266"/>
        <v>5</v>
      </c>
      <c r="AE2981" s="580">
        <f t="shared" si="267"/>
        <v>2.5</v>
      </c>
      <c r="AF2981" s="580">
        <f t="shared" si="268"/>
        <v>2.5</v>
      </c>
      <c r="AG2981" s="580">
        <f t="shared" si="269"/>
        <v>0</v>
      </c>
      <c r="AH2981" s="580">
        <f t="shared" si="270"/>
        <v>0</v>
      </c>
    </row>
    <row r="2982" spans="28:34">
      <c r="AB2982" s="580">
        <f>HLOOKUP("*"&amp;'Output annual'!$AC$2&amp;'Output annual'!$AD$2&amp;"*Zone People Number Of Occupants [](Hourly)",'Eplus results'!$1:$1048576,ROW(),FALSE)</f>
        <v>0</v>
      </c>
      <c r="AC2982" s="580">
        <f>HLOOKUP("*"&amp;'Output annual'!$AC$2&amp;'Output annual'!$AD$2&amp;"*FangerPMV(Hourly)",'Eplus results'!$1:$1048576,ROW(),FALSE)</f>
        <v>0</v>
      </c>
      <c r="AD2982" s="580">
        <f t="shared" si="266"/>
        <v>5</v>
      </c>
      <c r="AE2982" s="580">
        <f t="shared" si="267"/>
        <v>2.5</v>
      </c>
      <c r="AF2982" s="580">
        <f t="shared" si="268"/>
        <v>2.5</v>
      </c>
      <c r="AG2982" s="580">
        <f t="shared" si="269"/>
        <v>0</v>
      </c>
      <c r="AH2982" s="580">
        <f t="shared" si="270"/>
        <v>0</v>
      </c>
    </row>
    <row r="2983" spans="28:34">
      <c r="AB2983" s="580">
        <f>HLOOKUP("*"&amp;'Output annual'!$AC$2&amp;'Output annual'!$AD$2&amp;"*Zone People Number Of Occupants [](Hourly)",'Eplus results'!$1:$1048576,ROW(),FALSE)</f>
        <v>0</v>
      </c>
      <c r="AC2983" s="580">
        <f>HLOOKUP("*"&amp;'Output annual'!$AC$2&amp;'Output annual'!$AD$2&amp;"*FangerPMV(Hourly)",'Eplus results'!$1:$1048576,ROW(),FALSE)</f>
        <v>0</v>
      </c>
      <c r="AD2983" s="580">
        <f t="shared" si="266"/>
        <v>5</v>
      </c>
      <c r="AE2983" s="580">
        <f t="shared" si="267"/>
        <v>2.5</v>
      </c>
      <c r="AF2983" s="580">
        <f t="shared" si="268"/>
        <v>2.5</v>
      </c>
      <c r="AG2983" s="580">
        <f t="shared" si="269"/>
        <v>0</v>
      </c>
      <c r="AH2983" s="580">
        <f t="shared" si="270"/>
        <v>0</v>
      </c>
    </row>
    <row r="2984" spans="28:34">
      <c r="AB2984" s="580">
        <f>HLOOKUP("*"&amp;'Output annual'!$AC$2&amp;'Output annual'!$AD$2&amp;"*Zone People Number Of Occupants [](Hourly)",'Eplus results'!$1:$1048576,ROW(),FALSE)</f>
        <v>0</v>
      </c>
      <c r="AC2984" s="580">
        <f>HLOOKUP("*"&amp;'Output annual'!$AC$2&amp;'Output annual'!$AD$2&amp;"*FangerPMV(Hourly)",'Eplus results'!$1:$1048576,ROW(),FALSE)</f>
        <v>0</v>
      </c>
      <c r="AD2984" s="580">
        <f t="shared" si="266"/>
        <v>5</v>
      </c>
      <c r="AE2984" s="580">
        <f t="shared" si="267"/>
        <v>2.5</v>
      </c>
      <c r="AF2984" s="580">
        <f t="shared" si="268"/>
        <v>2.5</v>
      </c>
      <c r="AG2984" s="580">
        <f t="shared" si="269"/>
        <v>0</v>
      </c>
      <c r="AH2984" s="580">
        <f t="shared" si="270"/>
        <v>0</v>
      </c>
    </row>
    <row r="2985" spans="28:34">
      <c r="AB2985" s="580">
        <f>HLOOKUP("*"&amp;'Output annual'!$AC$2&amp;'Output annual'!$AD$2&amp;"*Zone People Number Of Occupants [](Hourly)",'Eplus results'!$1:$1048576,ROW(),FALSE)</f>
        <v>0</v>
      </c>
      <c r="AC2985" s="580">
        <f>HLOOKUP("*"&amp;'Output annual'!$AC$2&amp;'Output annual'!$AD$2&amp;"*FangerPMV(Hourly)",'Eplus results'!$1:$1048576,ROW(),FALSE)</f>
        <v>0</v>
      </c>
      <c r="AD2985" s="580">
        <f t="shared" si="266"/>
        <v>5</v>
      </c>
      <c r="AE2985" s="580">
        <f t="shared" si="267"/>
        <v>2.5</v>
      </c>
      <c r="AF2985" s="580">
        <f t="shared" si="268"/>
        <v>2.5</v>
      </c>
      <c r="AG2985" s="580">
        <f t="shared" si="269"/>
        <v>0</v>
      </c>
      <c r="AH2985" s="580">
        <f t="shared" si="270"/>
        <v>0</v>
      </c>
    </row>
    <row r="2986" spans="28:34">
      <c r="AB2986" s="580">
        <f>HLOOKUP("*"&amp;'Output annual'!$AC$2&amp;'Output annual'!$AD$2&amp;"*Zone People Number Of Occupants [](Hourly)",'Eplus results'!$1:$1048576,ROW(),FALSE)</f>
        <v>0</v>
      </c>
      <c r="AC2986" s="580">
        <f>HLOOKUP("*"&amp;'Output annual'!$AC$2&amp;'Output annual'!$AD$2&amp;"*FangerPMV(Hourly)",'Eplus results'!$1:$1048576,ROW(),FALSE)</f>
        <v>0</v>
      </c>
      <c r="AD2986" s="580">
        <f t="shared" si="266"/>
        <v>5</v>
      </c>
      <c r="AE2986" s="580">
        <f t="shared" si="267"/>
        <v>2.5</v>
      </c>
      <c r="AF2986" s="580">
        <f t="shared" si="268"/>
        <v>2.5</v>
      </c>
      <c r="AG2986" s="580">
        <f t="shared" si="269"/>
        <v>0</v>
      </c>
      <c r="AH2986" s="580">
        <f t="shared" si="270"/>
        <v>0</v>
      </c>
    </row>
    <row r="2987" spans="28:34">
      <c r="AB2987" s="580">
        <f>HLOOKUP("*"&amp;'Output annual'!$AC$2&amp;'Output annual'!$AD$2&amp;"*Zone People Number Of Occupants [](Hourly)",'Eplus results'!$1:$1048576,ROW(),FALSE)</f>
        <v>0</v>
      </c>
      <c r="AC2987" s="580">
        <f>HLOOKUP("*"&amp;'Output annual'!$AC$2&amp;'Output annual'!$AD$2&amp;"*FangerPMV(Hourly)",'Eplus results'!$1:$1048576,ROW(),FALSE)</f>
        <v>0</v>
      </c>
      <c r="AD2987" s="580">
        <f t="shared" si="266"/>
        <v>5</v>
      </c>
      <c r="AE2987" s="580">
        <f t="shared" si="267"/>
        <v>2.5</v>
      </c>
      <c r="AF2987" s="580">
        <f t="shared" si="268"/>
        <v>2.5</v>
      </c>
      <c r="AG2987" s="580">
        <f t="shared" si="269"/>
        <v>0</v>
      </c>
      <c r="AH2987" s="580">
        <f t="shared" si="270"/>
        <v>0</v>
      </c>
    </row>
    <row r="2988" spans="28:34">
      <c r="AB2988" s="580">
        <f>HLOOKUP("*"&amp;'Output annual'!$AC$2&amp;'Output annual'!$AD$2&amp;"*Zone People Number Of Occupants [](Hourly)",'Eplus results'!$1:$1048576,ROW(),FALSE)</f>
        <v>0</v>
      </c>
      <c r="AC2988" s="580">
        <f>HLOOKUP("*"&amp;'Output annual'!$AC$2&amp;'Output annual'!$AD$2&amp;"*FangerPMV(Hourly)",'Eplus results'!$1:$1048576,ROW(),FALSE)</f>
        <v>0</v>
      </c>
      <c r="AD2988" s="580">
        <f t="shared" si="266"/>
        <v>5</v>
      </c>
      <c r="AE2988" s="580">
        <f t="shared" si="267"/>
        <v>2.5</v>
      </c>
      <c r="AF2988" s="580">
        <f t="shared" si="268"/>
        <v>2.5</v>
      </c>
      <c r="AG2988" s="580">
        <f t="shared" si="269"/>
        <v>0</v>
      </c>
      <c r="AH2988" s="580">
        <f t="shared" si="270"/>
        <v>0</v>
      </c>
    </row>
    <row r="2989" spans="28:34">
      <c r="AB2989" s="580">
        <f>HLOOKUP("*"&amp;'Output annual'!$AC$2&amp;'Output annual'!$AD$2&amp;"*Zone People Number Of Occupants [](Hourly)",'Eplus results'!$1:$1048576,ROW(),FALSE)</f>
        <v>0</v>
      </c>
      <c r="AC2989" s="580">
        <f>HLOOKUP("*"&amp;'Output annual'!$AC$2&amp;'Output annual'!$AD$2&amp;"*FangerPMV(Hourly)",'Eplus results'!$1:$1048576,ROW(),FALSE)</f>
        <v>0</v>
      </c>
      <c r="AD2989" s="580">
        <f t="shared" si="266"/>
        <v>5</v>
      </c>
      <c r="AE2989" s="580">
        <f t="shared" si="267"/>
        <v>2.5</v>
      </c>
      <c r="AF2989" s="580">
        <f t="shared" si="268"/>
        <v>2.5</v>
      </c>
      <c r="AG2989" s="580">
        <f t="shared" si="269"/>
        <v>0</v>
      </c>
      <c r="AH2989" s="580">
        <f t="shared" si="270"/>
        <v>0</v>
      </c>
    </row>
    <row r="2990" spans="28:34">
      <c r="AB2990" s="580">
        <f>HLOOKUP("*"&amp;'Output annual'!$AC$2&amp;'Output annual'!$AD$2&amp;"*Zone People Number Of Occupants [](Hourly)",'Eplus results'!$1:$1048576,ROW(),FALSE)</f>
        <v>0</v>
      </c>
      <c r="AC2990" s="580">
        <f>HLOOKUP("*"&amp;'Output annual'!$AC$2&amp;'Output annual'!$AD$2&amp;"*FangerPMV(Hourly)",'Eplus results'!$1:$1048576,ROW(),FALSE)</f>
        <v>0</v>
      </c>
      <c r="AD2990" s="580">
        <f t="shared" si="266"/>
        <v>5</v>
      </c>
      <c r="AE2990" s="580">
        <f t="shared" si="267"/>
        <v>2.5</v>
      </c>
      <c r="AF2990" s="580">
        <f t="shared" si="268"/>
        <v>2.5</v>
      </c>
      <c r="AG2990" s="580">
        <f t="shared" si="269"/>
        <v>0</v>
      </c>
      <c r="AH2990" s="580">
        <f t="shared" si="270"/>
        <v>0</v>
      </c>
    </row>
    <row r="2991" spans="28:34">
      <c r="AB2991" s="580">
        <f>HLOOKUP("*"&amp;'Output annual'!$AC$2&amp;'Output annual'!$AD$2&amp;"*Zone People Number Of Occupants [](Hourly)",'Eplus results'!$1:$1048576,ROW(),FALSE)</f>
        <v>0</v>
      </c>
      <c r="AC2991" s="580">
        <f>HLOOKUP("*"&amp;'Output annual'!$AC$2&amp;'Output annual'!$AD$2&amp;"*FangerPMV(Hourly)",'Eplus results'!$1:$1048576,ROW(),FALSE)</f>
        <v>0</v>
      </c>
      <c r="AD2991" s="580">
        <f t="shared" si="266"/>
        <v>5</v>
      </c>
      <c r="AE2991" s="580">
        <f t="shared" si="267"/>
        <v>2.5</v>
      </c>
      <c r="AF2991" s="580">
        <f t="shared" si="268"/>
        <v>2.5</v>
      </c>
      <c r="AG2991" s="580">
        <f t="shared" si="269"/>
        <v>0</v>
      </c>
      <c r="AH2991" s="580">
        <f t="shared" si="270"/>
        <v>0</v>
      </c>
    </row>
    <row r="2992" spans="28:34">
      <c r="AB2992" s="580">
        <f>HLOOKUP("*"&amp;'Output annual'!$AC$2&amp;'Output annual'!$AD$2&amp;"*Zone People Number Of Occupants [](Hourly)",'Eplus results'!$1:$1048576,ROW(),FALSE)</f>
        <v>0</v>
      </c>
      <c r="AC2992" s="580">
        <f>HLOOKUP("*"&amp;'Output annual'!$AC$2&amp;'Output annual'!$AD$2&amp;"*FangerPMV(Hourly)",'Eplus results'!$1:$1048576,ROW(),FALSE)</f>
        <v>0</v>
      </c>
      <c r="AD2992" s="580">
        <f t="shared" si="266"/>
        <v>5</v>
      </c>
      <c r="AE2992" s="580">
        <f t="shared" si="267"/>
        <v>2.5</v>
      </c>
      <c r="AF2992" s="580">
        <f t="shared" si="268"/>
        <v>2.5</v>
      </c>
      <c r="AG2992" s="580">
        <f t="shared" si="269"/>
        <v>0</v>
      </c>
      <c r="AH2992" s="580">
        <f t="shared" si="270"/>
        <v>0</v>
      </c>
    </row>
    <row r="2993" spans="28:34">
      <c r="AB2993" s="580">
        <f>HLOOKUP("*"&amp;'Output annual'!$AC$2&amp;'Output annual'!$AD$2&amp;"*Zone People Number Of Occupants [](Hourly)",'Eplus results'!$1:$1048576,ROW(),FALSE)</f>
        <v>0</v>
      </c>
      <c r="AC2993" s="580">
        <f>HLOOKUP("*"&amp;'Output annual'!$AC$2&amp;'Output annual'!$AD$2&amp;"*FangerPMV(Hourly)",'Eplus results'!$1:$1048576,ROW(),FALSE)</f>
        <v>0</v>
      </c>
      <c r="AD2993" s="580">
        <f t="shared" si="266"/>
        <v>5</v>
      </c>
      <c r="AE2993" s="580">
        <f t="shared" si="267"/>
        <v>2.5</v>
      </c>
      <c r="AF2993" s="580">
        <f t="shared" si="268"/>
        <v>2.5</v>
      </c>
      <c r="AG2993" s="580">
        <f t="shared" si="269"/>
        <v>0</v>
      </c>
      <c r="AH2993" s="580">
        <f t="shared" si="270"/>
        <v>0</v>
      </c>
    </row>
    <row r="2994" spans="28:34">
      <c r="AB2994" s="580">
        <f>HLOOKUP("*"&amp;'Output annual'!$AC$2&amp;'Output annual'!$AD$2&amp;"*Zone People Number Of Occupants [](Hourly)",'Eplus results'!$1:$1048576,ROW(),FALSE)</f>
        <v>0</v>
      </c>
      <c r="AC2994" s="580">
        <f>HLOOKUP("*"&amp;'Output annual'!$AC$2&amp;'Output annual'!$AD$2&amp;"*FangerPMV(Hourly)",'Eplus results'!$1:$1048576,ROW(),FALSE)</f>
        <v>0</v>
      </c>
      <c r="AD2994" s="580">
        <f t="shared" si="266"/>
        <v>5</v>
      </c>
      <c r="AE2994" s="580">
        <f t="shared" si="267"/>
        <v>2.5</v>
      </c>
      <c r="AF2994" s="580">
        <f t="shared" si="268"/>
        <v>2.5</v>
      </c>
      <c r="AG2994" s="580">
        <f t="shared" si="269"/>
        <v>0</v>
      </c>
      <c r="AH2994" s="580">
        <f t="shared" si="270"/>
        <v>0</v>
      </c>
    </row>
    <row r="2995" spans="28:34">
      <c r="AB2995" s="580">
        <f>HLOOKUP("*"&amp;'Output annual'!$AC$2&amp;'Output annual'!$AD$2&amp;"*Zone People Number Of Occupants [](Hourly)",'Eplus results'!$1:$1048576,ROW(),FALSE)</f>
        <v>0</v>
      </c>
      <c r="AC2995" s="580">
        <f>HLOOKUP("*"&amp;'Output annual'!$AC$2&amp;'Output annual'!$AD$2&amp;"*FangerPMV(Hourly)",'Eplus results'!$1:$1048576,ROW(),FALSE)</f>
        <v>0</v>
      </c>
      <c r="AD2995" s="580">
        <f t="shared" si="266"/>
        <v>5</v>
      </c>
      <c r="AE2995" s="580">
        <f t="shared" si="267"/>
        <v>2.5</v>
      </c>
      <c r="AF2995" s="580">
        <f t="shared" si="268"/>
        <v>2.5</v>
      </c>
      <c r="AG2995" s="580">
        <f t="shared" si="269"/>
        <v>0</v>
      </c>
      <c r="AH2995" s="580">
        <f t="shared" si="270"/>
        <v>0</v>
      </c>
    </row>
    <row r="2996" spans="28:34">
      <c r="AB2996" s="580">
        <f>HLOOKUP("*"&amp;'Output annual'!$AC$2&amp;'Output annual'!$AD$2&amp;"*Zone People Number Of Occupants [](Hourly)",'Eplus results'!$1:$1048576,ROW(),FALSE)</f>
        <v>0</v>
      </c>
      <c r="AC2996" s="580">
        <f>HLOOKUP("*"&amp;'Output annual'!$AC$2&amp;'Output annual'!$AD$2&amp;"*FangerPMV(Hourly)",'Eplus results'!$1:$1048576,ROW(),FALSE)</f>
        <v>0</v>
      </c>
      <c r="AD2996" s="580">
        <f t="shared" si="266"/>
        <v>5</v>
      </c>
      <c r="AE2996" s="580">
        <f t="shared" si="267"/>
        <v>2.5</v>
      </c>
      <c r="AF2996" s="580">
        <f t="shared" si="268"/>
        <v>2.5</v>
      </c>
      <c r="AG2996" s="580">
        <f t="shared" si="269"/>
        <v>0</v>
      </c>
      <c r="AH2996" s="580">
        <f t="shared" si="270"/>
        <v>0</v>
      </c>
    </row>
    <row r="2997" spans="28:34">
      <c r="AB2997" s="580">
        <f>HLOOKUP("*"&amp;'Output annual'!$AC$2&amp;'Output annual'!$AD$2&amp;"*Zone People Number Of Occupants [](Hourly)",'Eplus results'!$1:$1048576,ROW(),FALSE)</f>
        <v>0</v>
      </c>
      <c r="AC2997" s="580">
        <f>HLOOKUP("*"&amp;'Output annual'!$AC$2&amp;'Output annual'!$AD$2&amp;"*FangerPMV(Hourly)",'Eplus results'!$1:$1048576,ROW(),FALSE)</f>
        <v>0</v>
      </c>
      <c r="AD2997" s="580">
        <f t="shared" si="266"/>
        <v>5</v>
      </c>
      <c r="AE2997" s="580">
        <f t="shared" si="267"/>
        <v>2.5</v>
      </c>
      <c r="AF2997" s="580">
        <f t="shared" si="268"/>
        <v>2.5</v>
      </c>
      <c r="AG2997" s="580">
        <f t="shared" si="269"/>
        <v>0</v>
      </c>
      <c r="AH2997" s="580">
        <f t="shared" si="270"/>
        <v>0</v>
      </c>
    </row>
    <row r="2998" spans="28:34">
      <c r="AB2998" s="580">
        <f>HLOOKUP("*"&amp;'Output annual'!$AC$2&amp;'Output annual'!$AD$2&amp;"*Zone People Number Of Occupants [](Hourly)",'Eplus results'!$1:$1048576,ROW(),FALSE)</f>
        <v>0</v>
      </c>
      <c r="AC2998" s="580">
        <f>HLOOKUP("*"&amp;'Output annual'!$AC$2&amp;'Output annual'!$AD$2&amp;"*FangerPMV(Hourly)",'Eplus results'!$1:$1048576,ROW(),FALSE)</f>
        <v>0</v>
      </c>
      <c r="AD2998" s="580">
        <f t="shared" si="266"/>
        <v>5</v>
      </c>
      <c r="AE2998" s="580">
        <f t="shared" si="267"/>
        <v>2.5</v>
      </c>
      <c r="AF2998" s="580">
        <f t="shared" si="268"/>
        <v>2.5</v>
      </c>
      <c r="AG2998" s="580">
        <f t="shared" si="269"/>
        <v>0</v>
      </c>
      <c r="AH2998" s="580">
        <f t="shared" si="270"/>
        <v>0</v>
      </c>
    </row>
    <row r="2999" spans="28:34">
      <c r="AB2999" s="580">
        <f>HLOOKUP("*"&amp;'Output annual'!$AC$2&amp;'Output annual'!$AD$2&amp;"*Zone People Number Of Occupants [](Hourly)",'Eplus results'!$1:$1048576,ROW(),FALSE)</f>
        <v>0</v>
      </c>
      <c r="AC2999" s="580">
        <f>HLOOKUP("*"&amp;'Output annual'!$AC$2&amp;'Output annual'!$AD$2&amp;"*FangerPMV(Hourly)",'Eplus results'!$1:$1048576,ROW(),FALSE)</f>
        <v>0</v>
      </c>
      <c r="AD2999" s="580">
        <f t="shared" si="266"/>
        <v>5</v>
      </c>
      <c r="AE2999" s="580">
        <f t="shared" si="267"/>
        <v>2.5</v>
      </c>
      <c r="AF2999" s="580">
        <f t="shared" si="268"/>
        <v>2.5</v>
      </c>
      <c r="AG2999" s="580">
        <f t="shared" si="269"/>
        <v>0</v>
      </c>
      <c r="AH2999" s="580">
        <f t="shared" si="270"/>
        <v>0</v>
      </c>
    </row>
    <row r="3000" spans="28:34">
      <c r="AB3000" s="580">
        <f>HLOOKUP("*"&amp;'Output annual'!$AC$2&amp;'Output annual'!$AD$2&amp;"*Zone People Number Of Occupants [](Hourly)",'Eplus results'!$1:$1048576,ROW(),FALSE)</f>
        <v>0</v>
      </c>
      <c r="AC3000" s="580">
        <f>HLOOKUP("*"&amp;'Output annual'!$AC$2&amp;'Output annual'!$AD$2&amp;"*FangerPMV(Hourly)",'Eplus results'!$1:$1048576,ROW(),FALSE)</f>
        <v>0</v>
      </c>
      <c r="AD3000" s="580">
        <f t="shared" si="266"/>
        <v>5</v>
      </c>
      <c r="AE3000" s="580">
        <f t="shared" si="267"/>
        <v>2.5</v>
      </c>
      <c r="AF3000" s="580">
        <f t="shared" si="268"/>
        <v>2.5</v>
      </c>
      <c r="AG3000" s="580">
        <f t="shared" si="269"/>
        <v>0</v>
      </c>
      <c r="AH3000" s="580">
        <f t="shared" si="270"/>
        <v>0</v>
      </c>
    </row>
    <row r="3001" spans="28:34">
      <c r="AB3001" s="580">
        <f>HLOOKUP("*"&amp;'Output annual'!$AC$2&amp;'Output annual'!$AD$2&amp;"*Zone People Number Of Occupants [](Hourly)",'Eplus results'!$1:$1048576,ROW(),FALSE)</f>
        <v>0</v>
      </c>
      <c r="AC3001" s="580">
        <f>HLOOKUP("*"&amp;'Output annual'!$AC$2&amp;'Output annual'!$AD$2&amp;"*FangerPMV(Hourly)",'Eplus results'!$1:$1048576,ROW(),FALSE)</f>
        <v>0</v>
      </c>
      <c r="AD3001" s="580">
        <f t="shared" si="266"/>
        <v>5</v>
      </c>
      <c r="AE3001" s="580">
        <f t="shared" si="267"/>
        <v>2.5</v>
      </c>
      <c r="AF3001" s="580">
        <f t="shared" si="268"/>
        <v>2.5</v>
      </c>
      <c r="AG3001" s="580">
        <f t="shared" si="269"/>
        <v>0</v>
      </c>
      <c r="AH3001" s="580">
        <f t="shared" si="270"/>
        <v>0</v>
      </c>
    </row>
    <row r="3002" spans="28:34">
      <c r="AB3002" s="580">
        <f>HLOOKUP("*"&amp;'Output annual'!$AC$2&amp;'Output annual'!$AD$2&amp;"*Zone People Number Of Occupants [](Hourly)",'Eplus results'!$1:$1048576,ROW(),FALSE)</f>
        <v>0</v>
      </c>
      <c r="AC3002" s="580">
        <f>HLOOKUP("*"&amp;'Output annual'!$AC$2&amp;'Output annual'!$AD$2&amp;"*FangerPMV(Hourly)",'Eplus results'!$1:$1048576,ROW(),FALSE)</f>
        <v>0</v>
      </c>
      <c r="AD3002" s="580">
        <f t="shared" si="266"/>
        <v>5</v>
      </c>
      <c r="AE3002" s="580">
        <f t="shared" si="267"/>
        <v>2.5</v>
      </c>
      <c r="AF3002" s="580">
        <f t="shared" si="268"/>
        <v>2.5</v>
      </c>
      <c r="AG3002" s="580">
        <f t="shared" si="269"/>
        <v>0</v>
      </c>
      <c r="AH3002" s="580">
        <f t="shared" si="270"/>
        <v>0</v>
      </c>
    </row>
    <row r="3003" spans="28:34">
      <c r="AB3003" s="580">
        <f>HLOOKUP("*"&amp;'Output annual'!$AC$2&amp;'Output annual'!$AD$2&amp;"*Zone People Number Of Occupants [](Hourly)",'Eplus results'!$1:$1048576,ROW(),FALSE)</f>
        <v>0</v>
      </c>
      <c r="AC3003" s="580">
        <f>HLOOKUP("*"&amp;'Output annual'!$AC$2&amp;'Output annual'!$AD$2&amp;"*FangerPMV(Hourly)",'Eplus results'!$1:$1048576,ROW(),FALSE)</f>
        <v>0</v>
      </c>
      <c r="AD3003" s="580">
        <f t="shared" si="266"/>
        <v>5</v>
      </c>
      <c r="AE3003" s="580">
        <f t="shared" si="267"/>
        <v>2.5</v>
      </c>
      <c r="AF3003" s="580">
        <f t="shared" si="268"/>
        <v>2.5</v>
      </c>
      <c r="AG3003" s="580">
        <f t="shared" si="269"/>
        <v>0</v>
      </c>
      <c r="AH3003" s="580">
        <f t="shared" si="270"/>
        <v>0</v>
      </c>
    </row>
    <row r="3004" spans="28:34">
      <c r="AB3004" s="580">
        <f>HLOOKUP("*"&amp;'Output annual'!$AC$2&amp;'Output annual'!$AD$2&amp;"*Zone People Number Of Occupants [](Hourly)",'Eplus results'!$1:$1048576,ROW(),FALSE)</f>
        <v>0</v>
      </c>
      <c r="AC3004" s="580">
        <f>HLOOKUP("*"&amp;'Output annual'!$AC$2&amp;'Output annual'!$AD$2&amp;"*FangerPMV(Hourly)",'Eplus results'!$1:$1048576,ROW(),FALSE)</f>
        <v>0</v>
      </c>
      <c r="AD3004" s="580">
        <f t="shared" si="266"/>
        <v>5</v>
      </c>
      <c r="AE3004" s="580">
        <f t="shared" si="267"/>
        <v>2.5</v>
      </c>
      <c r="AF3004" s="580">
        <f t="shared" si="268"/>
        <v>2.5</v>
      </c>
      <c r="AG3004" s="580">
        <f t="shared" si="269"/>
        <v>0</v>
      </c>
      <c r="AH3004" s="580">
        <f t="shared" si="270"/>
        <v>0</v>
      </c>
    </row>
    <row r="3005" spans="28:34">
      <c r="AB3005" s="580">
        <f>HLOOKUP("*"&amp;'Output annual'!$AC$2&amp;'Output annual'!$AD$2&amp;"*Zone People Number Of Occupants [](Hourly)",'Eplus results'!$1:$1048576,ROW(),FALSE)</f>
        <v>0</v>
      </c>
      <c r="AC3005" s="580">
        <f>HLOOKUP("*"&amp;'Output annual'!$AC$2&amp;'Output annual'!$AD$2&amp;"*FangerPMV(Hourly)",'Eplus results'!$1:$1048576,ROW(),FALSE)</f>
        <v>0</v>
      </c>
      <c r="AD3005" s="580">
        <f t="shared" si="266"/>
        <v>5</v>
      </c>
      <c r="AE3005" s="580">
        <f t="shared" si="267"/>
        <v>2.5</v>
      </c>
      <c r="AF3005" s="580">
        <f t="shared" si="268"/>
        <v>2.5</v>
      </c>
      <c r="AG3005" s="580">
        <f t="shared" si="269"/>
        <v>0</v>
      </c>
      <c r="AH3005" s="580">
        <f t="shared" si="270"/>
        <v>0</v>
      </c>
    </row>
    <row r="3006" spans="28:34">
      <c r="AB3006" s="580">
        <f>HLOOKUP("*"&amp;'Output annual'!$AC$2&amp;'Output annual'!$AD$2&amp;"*Zone People Number Of Occupants [](Hourly)",'Eplus results'!$1:$1048576,ROW(),FALSE)</f>
        <v>0</v>
      </c>
      <c r="AC3006" s="580">
        <f>HLOOKUP("*"&amp;'Output annual'!$AC$2&amp;'Output annual'!$AD$2&amp;"*FangerPMV(Hourly)",'Eplus results'!$1:$1048576,ROW(),FALSE)</f>
        <v>0</v>
      </c>
      <c r="AD3006" s="580">
        <f t="shared" si="266"/>
        <v>5</v>
      </c>
      <c r="AE3006" s="580">
        <f t="shared" si="267"/>
        <v>2.5</v>
      </c>
      <c r="AF3006" s="580">
        <f t="shared" si="268"/>
        <v>2.5</v>
      </c>
      <c r="AG3006" s="580">
        <f t="shared" si="269"/>
        <v>0</v>
      </c>
      <c r="AH3006" s="580">
        <f t="shared" si="270"/>
        <v>0</v>
      </c>
    </row>
    <row r="3007" spans="28:34">
      <c r="AB3007" s="580">
        <f>HLOOKUP("*"&amp;'Output annual'!$AC$2&amp;'Output annual'!$AD$2&amp;"*Zone People Number Of Occupants [](Hourly)",'Eplus results'!$1:$1048576,ROW(),FALSE)</f>
        <v>0</v>
      </c>
      <c r="AC3007" s="580">
        <f>HLOOKUP("*"&amp;'Output annual'!$AC$2&amp;'Output annual'!$AD$2&amp;"*FangerPMV(Hourly)",'Eplus results'!$1:$1048576,ROW(),FALSE)</f>
        <v>0</v>
      </c>
      <c r="AD3007" s="580">
        <f t="shared" si="266"/>
        <v>5</v>
      </c>
      <c r="AE3007" s="580">
        <f t="shared" si="267"/>
        <v>2.5</v>
      </c>
      <c r="AF3007" s="580">
        <f t="shared" si="268"/>
        <v>2.5</v>
      </c>
      <c r="AG3007" s="580">
        <f t="shared" si="269"/>
        <v>0</v>
      </c>
      <c r="AH3007" s="580">
        <f t="shared" si="270"/>
        <v>0</v>
      </c>
    </row>
    <row r="3008" spans="28:34">
      <c r="AB3008" s="580">
        <f>HLOOKUP("*"&amp;'Output annual'!$AC$2&amp;'Output annual'!$AD$2&amp;"*Zone People Number Of Occupants [](Hourly)",'Eplus results'!$1:$1048576,ROW(),FALSE)</f>
        <v>0</v>
      </c>
      <c r="AC3008" s="580">
        <f>HLOOKUP("*"&amp;'Output annual'!$AC$2&amp;'Output annual'!$AD$2&amp;"*FangerPMV(Hourly)",'Eplus results'!$1:$1048576,ROW(),FALSE)</f>
        <v>0</v>
      </c>
      <c r="AD3008" s="580">
        <f t="shared" si="266"/>
        <v>5</v>
      </c>
      <c r="AE3008" s="580">
        <f t="shared" si="267"/>
        <v>2.5</v>
      </c>
      <c r="AF3008" s="580">
        <f t="shared" si="268"/>
        <v>2.5</v>
      </c>
      <c r="AG3008" s="580">
        <f t="shared" si="269"/>
        <v>0</v>
      </c>
      <c r="AH3008" s="580">
        <f t="shared" si="270"/>
        <v>0</v>
      </c>
    </row>
    <row r="3009" spans="28:34">
      <c r="AB3009" s="580">
        <f>HLOOKUP("*"&amp;'Output annual'!$AC$2&amp;'Output annual'!$AD$2&amp;"*Zone People Number Of Occupants [](Hourly)",'Eplus results'!$1:$1048576,ROW(),FALSE)</f>
        <v>0</v>
      </c>
      <c r="AC3009" s="580">
        <f>HLOOKUP("*"&amp;'Output annual'!$AC$2&amp;'Output annual'!$AD$2&amp;"*FangerPMV(Hourly)",'Eplus results'!$1:$1048576,ROW(),FALSE)</f>
        <v>0</v>
      </c>
      <c r="AD3009" s="580">
        <f t="shared" si="266"/>
        <v>5</v>
      </c>
      <c r="AE3009" s="580">
        <f t="shared" si="267"/>
        <v>2.5</v>
      </c>
      <c r="AF3009" s="580">
        <f t="shared" si="268"/>
        <v>2.5</v>
      </c>
      <c r="AG3009" s="580">
        <f t="shared" si="269"/>
        <v>0</v>
      </c>
      <c r="AH3009" s="580">
        <f t="shared" si="270"/>
        <v>0</v>
      </c>
    </row>
    <row r="3010" spans="28:34">
      <c r="AB3010" s="580">
        <f>HLOOKUP("*"&amp;'Output annual'!$AC$2&amp;'Output annual'!$AD$2&amp;"*Zone People Number Of Occupants [](Hourly)",'Eplus results'!$1:$1048576,ROW(),FALSE)</f>
        <v>0</v>
      </c>
      <c r="AC3010" s="580">
        <f>HLOOKUP("*"&amp;'Output annual'!$AC$2&amp;'Output annual'!$AD$2&amp;"*FangerPMV(Hourly)",'Eplus results'!$1:$1048576,ROW(),FALSE)</f>
        <v>0</v>
      </c>
      <c r="AD3010" s="580">
        <f t="shared" si="266"/>
        <v>5</v>
      </c>
      <c r="AE3010" s="580">
        <f t="shared" si="267"/>
        <v>2.5</v>
      </c>
      <c r="AF3010" s="580">
        <f t="shared" si="268"/>
        <v>2.5</v>
      </c>
      <c r="AG3010" s="580">
        <f t="shared" si="269"/>
        <v>0</v>
      </c>
      <c r="AH3010" s="580">
        <f t="shared" si="270"/>
        <v>0</v>
      </c>
    </row>
    <row r="3011" spans="28:34">
      <c r="AB3011" s="580">
        <f>HLOOKUP("*"&amp;'Output annual'!$AC$2&amp;'Output annual'!$AD$2&amp;"*Zone People Number Of Occupants [](Hourly)",'Eplus results'!$1:$1048576,ROW(),FALSE)</f>
        <v>0</v>
      </c>
      <c r="AC3011" s="580">
        <f>HLOOKUP("*"&amp;'Output annual'!$AC$2&amp;'Output annual'!$AD$2&amp;"*FangerPMV(Hourly)",'Eplus results'!$1:$1048576,ROW(),FALSE)</f>
        <v>0</v>
      </c>
      <c r="AD3011" s="580">
        <f t="shared" ref="AD3011:AD3074" si="271">100-95*EXP(-0.03353*AC3011^4-0.2179*AC3011^2)</f>
        <v>5</v>
      </c>
      <c r="AE3011" s="580">
        <f t="shared" ref="AE3011:AE3074" si="272">AD3011*(1/(1+EXP(-6.3*$AC3011)))</f>
        <v>2.5</v>
      </c>
      <c r="AF3011" s="580">
        <f t="shared" ref="AF3011:AF3074" si="273">(AD3011-AE3011)</f>
        <v>2.5</v>
      </c>
      <c r="AG3011" s="580">
        <f t="shared" ref="AG3011:AG3074" si="274">AE3011*AB3011</f>
        <v>0</v>
      </c>
      <c r="AH3011" s="580">
        <f t="shared" ref="AH3011:AH3074" si="275">AF3011*AB3011</f>
        <v>0</v>
      </c>
    </row>
    <row r="3012" spans="28:34">
      <c r="AB3012" s="580">
        <f>HLOOKUP("*"&amp;'Output annual'!$AC$2&amp;'Output annual'!$AD$2&amp;"*Zone People Number Of Occupants [](Hourly)",'Eplus results'!$1:$1048576,ROW(),FALSE)</f>
        <v>0</v>
      </c>
      <c r="AC3012" s="580">
        <f>HLOOKUP("*"&amp;'Output annual'!$AC$2&amp;'Output annual'!$AD$2&amp;"*FangerPMV(Hourly)",'Eplus results'!$1:$1048576,ROW(),FALSE)</f>
        <v>0</v>
      </c>
      <c r="AD3012" s="580">
        <f t="shared" si="271"/>
        <v>5</v>
      </c>
      <c r="AE3012" s="580">
        <f t="shared" si="272"/>
        <v>2.5</v>
      </c>
      <c r="AF3012" s="580">
        <f t="shared" si="273"/>
        <v>2.5</v>
      </c>
      <c r="AG3012" s="580">
        <f t="shared" si="274"/>
        <v>0</v>
      </c>
      <c r="AH3012" s="580">
        <f t="shared" si="275"/>
        <v>0</v>
      </c>
    </row>
    <row r="3013" spans="28:34">
      <c r="AB3013" s="580">
        <f>HLOOKUP("*"&amp;'Output annual'!$AC$2&amp;'Output annual'!$AD$2&amp;"*Zone People Number Of Occupants [](Hourly)",'Eplus results'!$1:$1048576,ROW(),FALSE)</f>
        <v>0</v>
      </c>
      <c r="AC3013" s="580">
        <f>HLOOKUP("*"&amp;'Output annual'!$AC$2&amp;'Output annual'!$AD$2&amp;"*FangerPMV(Hourly)",'Eplus results'!$1:$1048576,ROW(),FALSE)</f>
        <v>0</v>
      </c>
      <c r="AD3013" s="580">
        <f t="shared" si="271"/>
        <v>5</v>
      </c>
      <c r="AE3013" s="580">
        <f t="shared" si="272"/>
        <v>2.5</v>
      </c>
      <c r="AF3013" s="580">
        <f t="shared" si="273"/>
        <v>2.5</v>
      </c>
      <c r="AG3013" s="580">
        <f t="shared" si="274"/>
        <v>0</v>
      </c>
      <c r="AH3013" s="580">
        <f t="shared" si="275"/>
        <v>0</v>
      </c>
    </row>
    <row r="3014" spans="28:34">
      <c r="AB3014" s="580">
        <f>HLOOKUP("*"&amp;'Output annual'!$AC$2&amp;'Output annual'!$AD$2&amp;"*Zone People Number Of Occupants [](Hourly)",'Eplus results'!$1:$1048576,ROW(),FALSE)</f>
        <v>0</v>
      </c>
      <c r="AC3014" s="580">
        <f>HLOOKUP("*"&amp;'Output annual'!$AC$2&amp;'Output annual'!$AD$2&amp;"*FangerPMV(Hourly)",'Eplus results'!$1:$1048576,ROW(),FALSE)</f>
        <v>0</v>
      </c>
      <c r="AD3014" s="580">
        <f t="shared" si="271"/>
        <v>5</v>
      </c>
      <c r="AE3014" s="580">
        <f t="shared" si="272"/>
        <v>2.5</v>
      </c>
      <c r="AF3014" s="580">
        <f t="shared" si="273"/>
        <v>2.5</v>
      </c>
      <c r="AG3014" s="580">
        <f t="shared" si="274"/>
        <v>0</v>
      </c>
      <c r="AH3014" s="580">
        <f t="shared" si="275"/>
        <v>0</v>
      </c>
    </row>
    <row r="3015" spans="28:34">
      <c r="AB3015" s="580">
        <f>HLOOKUP("*"&amp;'Output annual'!$AC$2&amp;'Output annual'!$AD$2&amp;"*Zone People Number Of Occupants [](Hourly)",'Eplus results'!$1:$1048576,ROW(),FALSE)</f>
        <v>0</v>
      </c>
      <c r="AC3015" s="580">
        <f>HLOOKUP("*"&amp;'Output annual'!$AC$2&amp;'Output annual'!$AD$2&amp;"*FangerPMV(Hourly)",'Eplus results'!$1:$1048576,ROW(),FALSE)</f>
        <v>0</v>
      </c>
      <c r="AD3015" s="580">
        <f t="shared" si="271"/>
        <v>5</v>
      </c>
      <c r="AE3015" s="580">
        <f t="shared" si="272"/>
        <v>2.5</v>
      </c>
      <c r="AF3015" s="580">
        <f t="shared" si="273"/>
        <v>2.5</v>
      </c>
      <c r="AG3015" s="580">
        <f t="shared" si="274"/>
        <v>0</v>
      </c>
      <c r="AH3015" s="580">
        <f t="shared" si="275"/>
        <v>0</v>
      </c>
    </row>
    <row r="3016" spans="28:34">
      <c r="AB3016" s="580">
        <f>HLOOKUP("*"&amp;'Output annual'!$AC$2&amp;'Output annual'!$AD$2&amp;"*Zone People Number Of Occupants [](Hourly)",'Eplus results'!$1:$1048576,ROW(),FALSE)</f>
        <v>0</v>
      </c>
      <c r="AC3016" s="580">
        <f>HLOOKUP("*"&amp;'Output annual'!$AC$2&amp;'Output annual'!$AD$2&amp;"*FangerPMV(Hourly)",'Eplus results'!$1:$1048576,ROW(),FALSE)</f>
        <v>0</v>
      </c>
      <c r="AD3016" s="580">
        <f t="shared" si="271"/>
        <v>5</v>
      </c>
      <c r="AE3016" s="580">
        <f t="shared" si="272"/>
        <v>2.5</v>
      </c>
      <c r="AF3016" s="580">
        <f t="shared" si="273"/>
        <v>2.5</v>
      </c>
      <c r="AG3016" s="580">
        <f t="shared" si="274"/>
        <v>0</v>
      </c>
      <c r="AH3016" s="580">
        <f t="shared" si="275"/>
        <v>0</v>
      </c>
    </row>
    <row r="3017" spans="28:34">
      <c r="AB3017" s="580">
        <f>HLOOKUP("*"&amp;'Output annual'!$AC$2&amp;'Output annual'!$AD$2&amp;"*Zone People Number Of Occupants [](Hourly)",'Eplus results'!$1:$1048576,ROW(),FALSE)</f>
        <v>0</v>
      </c>
      <c r="AC3017" s="580">
        <f>HLOOKUP("*"&amp;'Output annual'!$AC$2&amp;'Output annual'!$AD$2&amp;"*FangerPMV(Hourly)",'Eplus results'!$1:$1048576,ROW(),FALSE)</f>
        <v>0</v>
      </c>
      <c r="AD3017" s="580">
        <f t="shared" si="271"/>
        <v>5</v>
      </c>
      <c r="AE3017" s="580">
        <f t="shared" si="272"/>
        <v>2.5</v>
      </c>
      <c r="AF3017" s="580">
        <f t="shared" si="273"/>
        <v>2.5</v>
      </c>
      <c r="AG3017" s="580">
        <f t="shared" si="274"/>
        <v>0</v>
      </c>
      <c r="AH3017" s="580">
        <f t="shared" si="275"/>
        <v>0</v>
      </c>
    </row>
    <row r="3018" spans="28:34">
      <c r="AB3018" s="580">
        <f>HLOOKUP("*"&amp;'Output annual'!$AC$2&amp;'Output annual'!$AD$2&amp;"*Zone People Number Of Occupants [](Hourly)",'Eplus results'!$1:$1048576,ROW(),FALSE)</f>
        <v>0</v>
      </c>
      <c r="AC3018" s="580">
        <f>HLOOKUP("*"&amp;'Output annual'!$AC$2&amp;'Output annual'!$AD$2&amp;"*FangerPMV(Hourly)",'Eplus results'!$1:$1048576,ROW(),FALSE)</f>
        <v>0</v>
      </c>
      <c r="AD3018" s="580">
        <f t="shared" si="271"/>
        <v>5</v>
      </c>
      <c r="AE3018" s="580">
        <f t="shared" si="272"/>
        <v>2.5</v>
      </c>
      <c r="AF3018" s="580">
        <f t="shared" si="273"/>
        <v>2.5</v>
      </c>
      <c r="AG3018" s="580">
        <f t="shared" si="274"/>
        <v>0</v>
      </c>
      <c r="AH3018" s="580">
        <f t="shared" si="275"/>
        <v>0</v>
      </c>
    </row>
    <row r="3019" spans="28:34">
      <c r="AB3019" s="580">
        <f>HLOOKUP("*"&amp;'Output annual'!$AC$2&amp;'Output annual'!$AD$2&amp;"*Zone People Number Of Occupants [](Hourly)",'Eplus results'!$1:$1048576,ROW(),FALSE)</f>
        <v>0</v>
      </c>
      <c r="AC3019" s="580">
        <f>HLOOKUP("*"&amp;'Output annual'!$AC$2&amp;'Output annual'!$AD$2&amp;"*FangerPMV(Hourly)",'Eplus results'!$1:$1048576,ROW(),FALSE)</f>
        <v>0</v>
      </c>
      <c r="AD3019" s="580">
        <f t="shared" si="271"/>
        <v>5</v>
      </c>
      <c r="AE3019" s="580">
        <f t="shared" si="272"/>
        <v>2.5</v>
      </c>
      <c r="AF3019" s="580">
        <f t="shared" si="273"/>
        <v>2.5</v>
      </c>
      <c r="AG3019" s="580">
        <f t="shared" si="274"/>
        <v>0</v>
      </c>
      <c r="AH3019" s="580">
        <f t="shared" si="275"/>
        <v>0</v>
      </c>
    </row>
    <row r="3020" spans="28:34">
      <c r="AB3020" s="580">
        <f>HLOOKUP("*"&amp;'Output annual'!$AC$2&amp;'Output annual'!$AD$2&amp;"*Zone People Number Of Occupants [](Hourly)",'Eplus results'!$1:$1048576,ROW(),FALSE)</f>
        <v>0</v>
      </c>
      <c r="AC3020" s="580">
        <f>HLOOKUP("*"&amp;'Output annual'!$AC$2&amp;'Output annual'!$AD$2&amp;"*FangerPMV(Hourly)",'Eplus results'!$1:$1048576,ROW(),FALSE)</f>
        <v>0</v>
      </c>
      <c r="AD3020" s="580">
        <f t="shared" si="271"/>
        <v>5</v>
      </c>
      <c r="AE3020" s="580">
        <f t="shared" si="272"/>
        <v>2.5</v>
      </c>
      <c r="AF3020" s="580">
        <f t="shared" si="273"/>
        <v>2.5</v>
      </c>
      <c r="AG3020" s="580">
        <f t="shared" si="274"/>
        <v>0</v>
      </c>
      <c r="AH3020" s="580">
        <f t="shared" si="275"/>
        <v>0</v>
      </c>
    </row>
    <row r="3021" spans="28:34">
      <c r="AB3021" s="580">
        <f>HLOOKUP("*"&amp;'Output annual'!$AC$2&amp;'Output annual'!$AD$2&amp;"*Zone People Number Of Occupants [](Hourly)",'Eplus results'!$1:$1048576,ROW(),FALSE)</f>
        <v>0</v>
      </c>
      <c r="AC3021" s="580">
        <f>HLOOKUP("*"&amp;'Output annual'!$AC$2&amp;'Output annual'!$AD$2&amp;"*FangerPMV(Hourly)",'Eplus results'!$1:$1048576,ROW(),FALSE)</f>
        <v>0</v>
      </c>
      <c r="AD3021" s="580">
        <f t="shared" si="271"/>
        <v>5</v>
      </c>
      <c r="AE3021" s="580">
        <f t="shared" si="272"/>
        <v>2.5</v>
      </c>
      <c r="AF3021" s="580">
        <f t="shared" si="273"/>
        <v>2.5</v>
      </c>
      <c r="AG3021" s="580">
        <f t="shared" si="274"/>
        <v>0</v>
      </c>
      <c r="AH3021" s="580">
        <f t="shared" si="275"/>
        <v>0</v>
      </c>
    </row>
    <row r="3022" spans="28:34">
      <c r="AB3022" s="580">
        <f>HLOOKUP("*"&amp;'Output annual'!$AC$2&amp;'Output annual'!$AD$2&amp;"*Zone People Number Of Occupants [](Hourly)",'Eplus results'!$1:$1048576,ROW(),FALSE)</f>
        <v>0</v>
      </c>
      <c r="AC3022" s="580">
        <f>HLOOKUP("*"&amp;'Output annual'!$AC$2&amp;'Output annual'!$AD$2&amp;"*FangerPMV(Hourly)",'Eplus results'!$1:$1048576,ROW(),FALSE)</f>
        <v>0</v>
      </c>
      <c r="AD3022" s="580">
        <f t="shared" si="271"/>
        <v>5</v>
      </c>
      <c r="AE3022" s="580">
        <f t="shared" si="272"/>
        <v>2.5</v>
      </c>
      <c r="AF3022" s="580">
        <f t="shared" si="273"/>
        <v>2.5</v>
      </c>
      <c r="AG3022" s="580">
        <f t="shared" si="274"/>
        <v>0</v>
      </c>
      <c r="AH3022" s="580">
        <f t="shared" si="275"/>
        <v>0</v>
      </c>
    </row>
    <row r="3023" spans="28:34">
      <c r="AB3023" s="580">
        <f>HLOOKUP("*"&amp;'Output annual'!$AC$2&amp;'Output annual'!$AD$2&amp;"*Zone People Number Of Occupants [](Hourly)",'Eplus results'!$1:$1048576,ROW(),FALSE)</f>
        <v>0</v>
      </c>
      <c r="AC3023" s="580">
        <f>HLOOKUP("*"&amp;'Output annual'!$AC$2&amp;'Output annual'!$AD$2&amp;"*FangerPMV(Hourly)",'Eplus results'!$1:$1048576,ROW(),FALSE)</f>
        <v>0</v>
      </c>
      <c r="AD3023" s="580">
        <f t="shared" si="271"/>
        <v>5</v>
      </c>
      <c r="AE3023" s="580">
        <f t="shared" si="272"/>
        <v>2.5</v>
      </c>
      <c r="AF3023" s="580">
        <f t="shared" si="273"/>
        <v>2.5</v>
      </c>
      <c r="AG3023" s="580">
        <f t="shared" si="274"/>
        <v>0</v>
      </c>
      <c r="AH3023" s="580">
        <f t="shared" si="275"/>
        <v>0</v>
      </c>
    </row>
    <row r="3024" spans="28:34">
      <c r="AB3024" s="580">
        <f>HLOOKUP("*"&amp;'Output annual'!$AC$2&amp;'Output annual'!$AD$2&amp;"*Zone People Number Of Occupants [](Hourly)",'Eplus results'!$1:$1048576,ROW(),FALSE)</f>
        <v>0</v>
      </c>
      <c r="AC3024" s="580">
        <f>HLOOKUP("*"&amp;'Output annual'!$AC$2&amp;'Output annual'!$AD$2&amp;"*FangerPMV(Hourly)",'Eplus results'!$1:$1048576,ROW(),FALSE)</f>
        <v>0</v>
      </c>
      <c r="AD3024" s="580">
        <f t="shared" si="271"/>
        <v>5</v>
      </c>
      <c r="AE3024" s="580">
        <f t="shared" si="272"/>
        <v>2.5</v>
      </c>
      <c r="AF3024" s="580">
        <f t="shared" si="273"/>
        <v>2.5</v>
      </c>
      <c r="AG3024" s="580">
        <f t="shared" si="274"/>
        <v>0</v>
      </c>
      <c r="AH3024" s="580">
        <f t="shared" si="275"/>
        <v>0</v>
      </c>
    </row>
    <row r="3025" spans="28:34">
      <c r="AB3025" s="580">
        <f>HLOOKUP("*"&amp;'Output annual'!$AC$2&amp;'Output annual'!$AD$2&amp;"*Zone People Number Of Occupants [](Hourly)",'Eplus results'!$1:$1048576,ROW(),FALSE)</f>
        <v>0</v>
      </c>
      <c r="AC3025" s="580">
        <f>HLOOKUP("*"&amp;'Output annual'!$AC$2&amp;'Output annual'!$AD$2&amp;"*FangerPMV(Hourly)",'Eplus results'!$1:$1048576,ROW(),FALSE)</f>
        <v>0</v>
      </c>
      <c r="AD3025" s="580">
        <f t="shared" si="271"/>
        <v>5</v>
      </c>
      <c r="AE3025" s="580">
        <f t="shared" si="272"/>
        <v>2.5</v>
      </c>
      <c r="AF3025" s="580">
        <f t="shared" si="273"/>
        <v>2.5</v>
      </c>
      <c r="AG3025" s="580">
        <f t="shared" si="274"/>
        <v>0</v>
      </c>
      <c r="AH3025" s="580">
        <f t="shared" si="275"/>
        <v>0</v>
      </c>
    </row>
    <row r="3026" spans="28:34">
      <c r="AB3026" s="580">
        <f>HLOOKUP("*"&amp;'Output annual'!$AC$2&amp;'Output annual'!$AD$2&amp;"*Zone People Number Of Occupants [](Hourly)",'Eplus results'!$1:$1048576,ROW(),FALSE)</f>
        <v>0</v>
      </c>
      <c r="AC3026" s="580">
        <f>HLOOKUP("*"&amp;'Output annual'!$AC$2&amp;'Output annual'!$AD$2&amp;"*FangerPMV(Hourly)",'Eplus results'!$1:$1048576,ROW(),FALSE)</f>
        <v>0</v>
      </c>
      <c r="AD3026" s="580">
        <f t="shared" si="271"/>
        <v>5</v>
      </c>
      <c r="AE3026" s="580">
        <f t="shared" si="272"/>
        <v>2.5</v>
      </c>
      <c r="AF3026" s="580">
        <f t="shared" si="273"/>
        <v>2.5</v>
      </c>
      <c r="AG3026" s="580">
        <f t="shared" si="274"/>
        <v>0</v>
      </c>
      <c r="AH3026" s="580">
        <f t="shared" si="275"/>
        <v>0</v>
      </c>
    </row>
    <row r="3027" spans="28:34">
      <c r="AB3027" s="580">
        <f>HLOOKUP("*"&amp;'Output annual'!$AC$2&amp;'Output annual'!$AD$2&amp;"*Zone People Number Of Occupants [](Hourly)",'Eplus results'!$1:$1048576,ROW(),FALSE)</f>
        <v>0</v>
      </c>
      <c r="AC3027" s="580">
        <f>HLOOKUP("*"&amp;'Output annual'!$AC$2&amp;'Output annual'!$AD$2&amp;"*FangerPMV(Hourly)",'Eplus results'!$1:$1048576,ROW(),FALSE)</f>
        <v>0</v>
      </c>
      <c r="AD3027" s="580">
        <f t="shared" si="271"/>
        <v>5</v>
      </c>
      <c r="AE3027" s="580">
        <f t="shared" si="272"/>
        <v>2.5</v>
      </c>
      <c r="AF3027" s="580">
        <f t="shared" si="273"/>
        <v>2.5</v>
      </c>
      <c r="AG3027" s="580">
        <f t="shared" si="274"/>
        <v>0</v>
      </c>
      <c r="AH3027" s="580">
        <f t="shared" si="275"/>
        <v>0</v>
      </c>
    </row>
    <row r="3028" spans="28:34">
      <c r="AB3028" s="580">
        <f>HLOOKUP("*"&amp;'Output annual'!$AC$2&amp;'Output annual'!$AD$2&amp;"*Zone People Number Of Occupants [](Hourly)",'Eplus results'!$1:$1048576,ROW(),FALSE)</f>
        <v>0</v>
      </c>
      <c r="AC3028" s="580">
        <f>HLOOKUP("*"&amp;'Output annual'!$AC$2&amp;'Output annual'!$AD$2&amp;"*FangerPMV(Hourly)",'Eplus results'!$1:$1048576,ROW(),FALSE)</f>
        <v>0</v>
      </c>
      <c r="AD3028" s="580">
        <f t="shared" si="271"/>
        <v>5</v>
      </c>
      <c r="AE3028" s="580">
        <f t="shared" si="272"/>
        <v>2.5</v>
      </c>
      <c r="AF3028" s="580">
        <f t="shared" si="273"/>
        <v>2.5</v>
      </c>
      <c r="AG3028" s="580">
        <f t="shared" si="274"/>
        <v>0</v>
      </c>
      <c r="AH3028" s="580">
        <f t="shared" si="275"/>
        <v>0</v>
      </c>
    </row>
    <row r="3029" spans="28:34">
      <c r="AB3029" s="580">
        <f>HLOOKUP("*"&amp;'Output annual'!$AC$2&amp;'Output annual'!$AD$2&amp;"*Zone People Number Of Occupants [](Hourly)",'Eplus results'!$1:$1048576,ROW(),FALSE)</f>
        <v>0</v>
      </c>
      <c r="AC3029" s="580">
        <f>HLOOKUP("*"&amp;'Output annual'!$AC$2&amp;'Output annual'!$AD$2&amp;"*FangerPMV(Hourly)",'Eplus results'!$1:$1048576,ROW(),FALSE)</f>
        <v>0</v>
      </c>
      <c r="AD3029" s="580">
        <f t="shared" si="271"/>
        <v>5</v>
      </c>
      <c r="AE3029" s="580">
        <f t="shared" si="272"/>
        <v>2.5</v>
      </c>
      <c r="AF3029" s="580">
        <f t="shared" si="273"/>
        <v>2.5</v>
      </c>
      <c r="AG3029" s="580">
        <f t="shared" si="274"/>
        <v>0</v>
      </c>
      <c r="AH3029" s="580">
        <f t="shared" si="275"/>
        <v>0</v>
      </c>
    </row>
    <row r="3030" spans="28:34">
      <c r="AB3030" s="580">
        <f>HLOOKUP("*"&amp;'Output annual'!$AC$2&amp;'Output annual'!$AD$2&amp;"*Zone People Number Of Occupants [](Hourly)",'Eplus results'!$1:$1048576,ROW(),FALSE)</f>
        <v>0</v>
      </c>
      <c r="AC3030" s="580">
        <f>HLOOKUP("*"&amp;'Output annual'!$AC$2&amp;'Output annual'!$AD$2&amp;"*FangerPMV(Hourly)",'Eplus results'!$1:$1048576,ROW(),FALSE)</f>
        <v>0</v>
      </c>
      <c r="AD3030" s="580">
        <f t="shared" si="271"/>
        <v>5</v>
      </c>
      <c r="AE3030" s="580">
        <f t="shared" si="272"/>
        <v>2.5</v>
      </c>
      <c r="AF3030" s="580">
        <f t="shared" si="273"/>
        <v>2.5</v>
      </c>
      <c r="AG3030" s="580">
        <f t="shared" si="274"/>
        <v>0</v>
      </c>
      <c r="AH3030" s="580">
        <f t="shared" si="275"/>
        <v>0</v>
      </c>
    </row>
    <row r="3031" spans="28:34">
      <c r="AB3031" s="580">
        <f>HLOOKUP("*"&amp;'Output annual'!$AC$2&amp;'Output annual'!$AD$2&amp;"*Zone People Number Of Occupants [](Hourly)",'Eplus results'!$1:$1048576,ROW(),FALSE)</f>
        <v>0</v>
      </c>
      <c r="AC3031" s="580">
        <f>HLOOKUP("*"&amp;'Output annual'!$AC$2&amp;'Output annual'!$AD$2&amp;"*FangerPMV(Hourly)",'Eplus results'!$1:$1048576,ROW(),FALSE)</f>
        <v>0</v>
      </c>
      <c r="AD3031" s="580">
        <f t="shared" si="271"/>
        <v>5</v>
      </c>
      <c r="AE3031" s="580">
        <f t="shared" si="272"/>
        <v>2.5</v>
      </c>
      <c r="AF3031" s="580">
        <f t="shared" si="273"/>
        <v>2.5</v>
      </c>
      <c r="AG3031" s="580">
        <f t="shared" si="274"/>
        <v>0</v>
      </c>
      <c r="AH3031" s="580">
        <f t="shared" si="275"/>
        <v>0</v>
      </c>
    </row>
    <row r="3032" spans="28:34">
      <c r="AB3032" s="580">
        <f>HLOOKUP("*"&amp;'Output annual'!$AC$2&amp;'Output annual'!$AD$2&amp;"*Zone People Number Of Occupants [](Hourly)",'Eplus results'!$1:$1048576,ROW(),FALSE)</f>
        <v>0</v>
      </c>
      <c r="AC3032" s="580">
        <f>HLOOKUP("*"&amp;'Output annual'!$AC$2&amp;'Output annual'!$AD$2&amp;"*FangerPMV(Hourly)",'Eplus results'!$1:$1048576,ROW(),FALSE)</f>
        <v>0</v>
      </c>
      <c r="AD3032" s="580">
        <f t="shared" si="271"/>
        <v>5</v>
      </c>
      <c r="AE3032" s="580">
        <f t="shared" si="272"/>
        <v>2.5</v>
      </c>
      <c r="AF3032" s="580">
        <f t="shared" si="273"/>
        <v>2.5</v>
      </c>
      <c r="AG3032" s="580">
        <f t="shared" si="274"/>
        <v>0</v>
      </c>
      <c r="AH3032" s="580">
        <f t="shared" si="275"/>
        <v>0</v>
      </c>
    </row>
    <row r="3033" spans="28:34">
      <c r="AB3033" s="580">
        <f>HLOOKUP("*"&amp;'Output annual'!$AC$2&amp;'Output annual'!$AD$2&amp;"*Zone People Number Of Occupants [](Hourly)",'Eplus results'!$1:$1048576,ROW(),FALSE)</f>
        <v>0</v>
      </c>
      <c r="AC3033" s="580">
        <f>HLOOKUP("*"&amp;'Output annual'!$AC$2&amp;'Output annual'!$AD$2&amp;"*FangerPMV(Hourly)",'Eplus results'!$1:$1048576,ROW(),FALSE)</f>
        <v>0</v>
      </c>
      <c r="AD3033" s="580">
        <f t="shared" si="271"/>
        <v>5</v>
      </c>
      <c r="AE3033" s="580">
        <f t="shared" si="272"/>
        <v>2.5</v>
      </c>
      <c r="AF3033" s="580">
        <f t="shared" si="273"/>
        <v>2.5</v>
      </c>
      <c r="AG3033" s="580">
        <f t="shared" si="274"/>
        <v>0</v>
      </c>
      <c r="AH3033" s="580">
        <f t="shared" si="275"/>
        <v>0</v>
      </c>
    </row>
    <row r="3034" spans="28:34">
      <c r="AB3034" s="580">
        <f>HLOOKUP("*"&amp;'Output annual'!$AC$2&amp;'Output annual'!$AD$2&amp;"*Zone People Number Of Occupants [](Hourly)",'Eplus results'!$1:$1048576,ROW(),FALSE)</f>
        <v>0</v>
      </c>
      <c r="AC3034" s="580">
        <f>HLOOKUP("*"&amp;'Output annual'!$AC$2&amp;'Output annual'!$AD$2&amp;"*FangerPMV(Hourly)",'Eplus results'!$1:$1048576,ROW(),FALSE)</f>
        <v>0</v>
      </c>
      <c r="AD3034" s="580">
        <f t="shared" si="271"/>
        <v>5</v>
      </c>
      <c r="AE3034" s="580">
        <f t="shared" si="272"/>
        <v>2.5</v>
      </c>
      <c r="AF3034" s="580">
        <f t="shared" si="273"/>
        <v>2.5</v>
      </c>
      <c r="AG3034" s="580">
        <f t="shared" si="274"/>
        <v>0</v>
      </c>
      <c r="AH3034" s="580">
        <f t="shared" si="275"/>
        <v>0</v>
      </c>
    </row>
    <row r="3035" spans="28:34">
      <c r="AB3035" s="580">
        <f>HLOOKUP("*"&amp;'Output annual'!$AC$2&amp;'Output annual'!$AD$2&amp;"*Zone People Number Of Occupants [](Hourly)",'Eplus results'!$1:$1048576,ROW(),FALSE)</f>
        <v>0</v>
      </c>
      <c r="AC3035" s="580">
        <f>HLOOKUP("*"&amp;'Output annual'!$AC$2&amp;'Output annual'!$AD$2&amp;"*FangerPMV(Hourly)",'Eplus results'!$1:$1048576,ROW(),FALSE)</f>
        <v>0</v>
      </c>
      <c r="AD3035" s="580">
        <f t="shared" si="271"/>
        <v>5</v>
      </c>
      <c r="AE3035" s="580">
        <f t="shared" si="272"/>
        <v>2.5</v>
      </c>
      <c r="AF3035" s="580">
        <f t="shared" si="273"/>
        <v>2.5</v>
      </c>
      <c r="AG3035" s="580">
        <f t="shared" si="274"/>
        <v>0</v>
      </c>
      <c r="AH3035" s="580">
        <f t="shared" si="275"/>
        <v>0</v>
      </c>
    </row>
    <row r="3036" spans="28:34">
      <c r="AB3036" s="580">
        <f>HLOOKUP("*"&amp;'Output annual'!$AC$2&amp;'Output annual'!$AD$2&amp;"*Zone People Number Of Occupants [](Hourly)",'Eplus results'!$1:$1048576,ROW(),FALSE)</f>
        <v>0</v>
      </c>
      <c r="AC3036" s="580">
        <f>HLOOKUP("*"&amp;'Output annual'!$AC$2&amp;'Output annual'!$AD$2&amp;"*FangerPMV(Hourly)",'Eplus results'!$1:$1048576,ROW(),FALSE)</f>
        <v>0</v>
      </c>
      <c r="AD3036" s="580">
        <f t="shared" si="271"/>
        <v>5</v>
      </c>
      <c r="AE3036" s="580">
        <f t="shared" si="272"/>
        <v>2.5</v>
      </c>
      <c r="AF3036" s="580">
        <f t="shared" si="273"/>
        <v>2.5</v>
      </c>
      <c r="AG3036" s="580">
        <f t="shared" si="274"/>
        <v>0</v>
      </c>
      <c r="AH3036" s="580">
        <f t="shared" si="275"/>
        <v>0</v>
      </c>
    </row>
    <row r="3037" spans="28:34">
      <c r="AB3037" s="580">
        <f>HLOOKUP("*"&amp;'Output annual'!$AC$2&amp;'Output annual'!$AD$2&amp;"*Zone People Number Of Occupants [](Hourly)",'Eplus results'!$1:$1048576,ROW(),FALSE)</f>
        <v>0</v>
      </c>
      <c r="AC3037" s="580">
        <f>HLOOKUP("*"&amp;'Output annual'!$AC$2&amp;'Output annual'!$AD$2&amp;"*FangerPMV(Hourly)",'Eplus results'!$1:$1048576,ROW(),FALSE)</f>
        <v>0</v>
      </c>
      <c r="AD3037" s="580">
        <f t="shared" si="271"/>
        <v>5</v>
      </c>
      <c r="AE3037" s="580">
        <f t="shared" si="272"/>
        <v>2.5</v>
      </c>
      <c r="AF3037" s="580">
        <f t="shared" si="273"/>
        <v>2.5</v>
      </c>
      <c r="AG3037" s="580">
        <f t="shared" si="274"/>
        <v>0</v>
      </c>
      <c r="AH3037" s="580">
        <f t="shared" si="275"/>
        <v>0</v>
      </c>
    </row>
    <row r="3038" spans="28:34">
      <c r="AB3038" s="580">
        <f>HLOOKUP("*"&amp;'Output annual'!$AC$2&amp;'Output annual'!$AD$2&amp;"*Zone People Number Of Occupants [](Hourly)",'Eplus results'!$1:$1048576,ROW(),FALSE)</f>
        <v>0</v>
      </c>
      <c r="AC3038" s="580">
        <f>HLOOKUP("*"&amp;'Output annual'!$AC$2&amp;'Output annual'!$AD$2&amp;"*FangerPMV(Hourly)",'Eplus results'!$1:$1048576,ROW(),FALSE)</f>
        <v>0</v>
      </c>
      <c r="AD3038" s="580">
        <f t="shared" si="271"/>
        <v>5</v>
      </c>
      <c r="AE3038" s="580">
        <f t="shared" si="272"/>
        <v>2.5</v>
      </c>
      <c r="AF3038" s="580">
        <f t="shared" si="273"/>
        <v>2.5</v>
      </c>
      <c r="AG3038" s="580">
        <f t="shared" si="274"/>
        <v>0</v>
      </c>
      <c r="AH3038" s="580">
        <f t="shared" si="275"/>
        <v>0</v>
      </c>
    </row>
    <row r="3039" spans="28:34">
      <c r="AB3039" s="580">
        <f>HLOOKUP("*"&amp;'Output annual'!$AC$2&amp;'Output annual'!$AD$2&amp;"*Zone People Number Of Occupants [](Hourly)",'Eplus results'!$1:$1048576,ROW(),FALSE)</f>
        <v>0</v>
      </c>
      <c r="AC3039" s="580">
        <f>HLOOKUP("*"&amp;'Output annual'!$AC$2&amp;'Output annual'!$AD$2&amp;"*FangerPMV(Hourly)",'Eplus results'!$1:$1048576,ROW(),FALSE)</f>
        <v>0</v>
      </c>
      <c r="AD3039" s="580">
        <f t="shared" si="271"/>
        <v>5</v>
      </c>
      <c r="AE3039" s="580">
        <f t="shared" si="272"/>
        <v>2.5</v>
      </c>
      <c r="AF3039" s="580">
        <f t="shared" si="273"/>
        <v>2.5</v>
      </c>
      <c r="AG3039" s="580">
        <f t="shared" si="274"/>
        <v>0</v>
      </c>
      <c r="AH3039" s="580">
        <f t="shared" si="275"/>
        <v>0</v>
      </c>
    </row>
    <row r="3040" spans="28:34">
      <c r="AB3040" s="580">
        <f>HLOOKUP("*"&amp;'Output annual'!$AC$2&amp;'Output annual'!$AD$2&amp;"*Zone People Number Of Occupants [](Hourly)",'Eplus results'!$1:$1048576,ROW(),FALSE)</f>
        <v>0</v>
      </c>
      <c r="AC3040" s="580">
        <f>HLOOKUP("*"&amp;'Output annual'!$AC$2&amp;'Output annual'!$AD$2&amp;"*FangerPMV(Hourly)",'Eplus results'!$1:$1048576,ROW(),FALSE)</f>
        <v>0</v>
      </c>
      <c r="AD3040" s="580">
        <f t="shared" si="271"/>
        <v>5</v>
      </c>
      <c r="AE3040" s="580">
        <f t="shared" si="272"/>
        <v>2.5</v>
      </c>
      <c r="AF3040" s="580">
        <f t="shared" si="273"/>
        <v>2.5</v>
      </c>
      <c r="AG3040" s="580">
        <f t="shared" si="274"/>
        <v>0</v>
      </c>
      <c r="AH3040" s="580">
        <f t="shared" si="275"/>
        <v>0</v>
      </c>
    </row>
    <row r="3041" spans="28:34">
      <c r="AB3041" s="580">
        <f>HLOOKUP("*"&amp;'Output annual'!$AC$2&amp;'Output annual'!$AD$2&amp;"*Zone People Number Of Occupants [](Hourly)",'Eplus results'!$1:$1048576,ROW(),FALSE)</f>
        <v>0</v>
      </c>
      <c r="AC3041" s="580">
        <f>HLOOKUP("*"&amp;'Output annual'!$AC$2&amp;'Output annual'!$AD$2&amp;"*FangerPMV(Hourly)",'Eplus results'!$1:$1048576,ROW(),FALSE)</f>
        <v>0</v>
      </c>
      <c r="AD3041" s="580">
        <f t="shared" si="271"/>
        <v>5</v>
      </c>
      <c r="AE3041" s="580">
        <f t="shared" si="272"/>
        <v>2.5</v>
      </c>
      <c r="AF3041" s="580">
        <f t="shared" si="273"/>
        <v>2.5</v>
      </c>
      <c r="AG3041" s="580">
        <f t="shared" si="274"/>
        <v>0</v>
      </c>
      <c r="AH3041" s="580">
        <f t="shared" si="275"/>
        <v>0</v>
      </c>
    </row>
    <row r="3042" spans="28:34">
      <c r="AB3042" s="580">
        <f>HLOOKUP("*"&amp;'Output annual'!$AC$2&amp;'Output annual'!$AD$2&amp;"*Zone People Number Of Occupants [](Hourly)",'Eplus results'!$1:$1048576,ROW(),FALSE)</f>
        <v>0</v>
      </c>
      <c r="AC3042" s="580">
        <f>HLOOKUP("*"&amp;'Output annual'!$AC$2&amp;'Output annual'!$AD$2&amp;"*FangerPMV(Hourly)",'Eplus results'!$1:$1048576,ROW(),FALSE)</f>
        <v>0</v>
      </c>
      <c r="AD3042" s="580">
        <f t="shared" si="271"/>
        <v>5</v>
      </c>
      <c r="AE3042" s="580">
        <f t="shared" si="272"/>
        <v>2.5</v>
      </c>
      <c r="AF3042" s="580">
        <f t="shared" si="273"/>
        <v>2.5</v>
      </c>
      <c r="AG3042" s="580">
        <f t="shared" si="274"/>
        <v>0</v>
      </c>
      <c r="AH3042" s="580">
        <f t="shared" si="275"/>
        <v>0</v>
      </c>
    </row>
    <row r="3043" spans="28:34">
      <c r="AB3043" s="580">
        <f>HLOOKUP("*"&amp;'Output annual'!$AC$2&amp;'Output annual'!$AD$2&amp;"*Zone People Number Of Occupants [](Hourly)",'Eplus results'!$1:$1048576,ROW(),FALSE)</f>
        <v>0</v>
      </c>
      <c r="AC3043" s="580">
        <f>HLOOKUP("*"&amp;'Output annual'!$AC$2&amp;'Output annual'!$AD$2&amp;"*FangerPMV(Hourly)",'Eplus results'!$1:$1048576,ROW(),FALSE)</f>
        <v>0</v>
      </c>
      <c r="AD3043" s="580">
        <f t="shared" si="271"/>
        <v>5</v>
      </c>
      <c r="AE3043" s="580">
        <f t="shared" si="272"/>
        <v>2.5</v>
      </c>
      <c r="AF3043" s="580">
        <f t="shared" si="273"/>
        <v>2.5</v>
      </c>
      <c r="AG3043" s="580">
        <f t="shared" si="274"/>
        <v>0</v>
      </c>
      <c r="AH3043" s="580">
        <f t="shared" si="275"/>
        <v>0</v>
      </c>
    </row>
    <row r="3044" spans="28:34">
      <c r="AB3044" s="580">
        <f>HLOOKUP("*"&amp;'Output annual'!$AC$2&amp;'Output annual'!$AD$2&amp;"*Zone People Number Of Occupants [](Hourly)",'Eplus results'!$1:$1048576,ROW(),FALSE)</f>
        <v>0</v>
      </c>
      <c r="AC3044" s="580">
        <f>HLOOKUP("*"&amp;'Output annual'!$AC$2&amp;'Output annual'!$AD$2&amp;"*FangerPMV(Hourly)",'Eplus results'!$1:$1048576,ROW(),FALSE)</f>
        <v>0</v>
      </c>
      <c r="AD3044" s="580">
        <f t="shared" si="271"/>
        <v>5</v>
      </c>
      <c r="AE3044" s="580">
        <f t="shared" si="272"/>
        <v>2.5</v>
      </c>
      <c r="AF3044" s="580">
        <f t="shared" si="273"/>
        <v>2.5</v>
      </c>
      <c r="AG3044" s="580">
        <f t="shared" si="274"/>
        <v>0</v>
      </c>
      <c r="AH3044" s="580">
        <f t="shared" si="275"/>
        <v>0</v>
      </c>
    </row>
    <row r="3045" spans="28:34">
      <c r="AB3045" s="580">
        <f>HLOOKUP("*"&amp;'Output annual'!$AC$2&amp;'Output annual'!$AD$2&amp;"*Zone People Number Of Occupants [](Hourly)",'Eplus results'!$1:$1048576,ROW(),FALSE)</f>
        <v>0</v>
      </c>
      <c r="AC3045" s="580">
        <f>HLOOKUP("*"&amp;'Output annual'!$AC$2&amp;'Output annual'!$AD$2&amp;"*FangerPMV(Hourly)",'Eplus results'!$1:$1048576,ROW(),FALSE)</f>
        <v>0</v>
      </c>
      <c r="AD3045" s="580">
        <f t="shared" si="271"/>
        <v>5</v>
      </c>
      <c r="AE3045" s="580">
        <f t="shared" si="272"/>
        <v>2.5</v>
      </c>
      <c r="AF3045" s="580">
        <f t="shared" si="273"/>
        <v>2.5</v>
      </c>
      <c r="AG3045" s="580">
        <f t="shared" si="274"/>
        <v>0</v>
      </c>
      <c r="AH3045" s="580">
        <f t="shared" si="275"/>
        <v>0</v>
      </c>
    </row>
    <row r="3046" spans="28:34">
      <c r="AB3046" s="580">
        <f>HLOOKUP("*"&amp;'Output annual'!$AC$2&amp;'Output annual'!$AD$2&amp;"*Zone People Number Of Occupants [](Hourly)",'Eplus results'!$1:$1048576,ROW(),FALSE)</f>
        <v>0</v>
      </c>
      <c r="AC3046" s="580">
        <f>HLOOKUP("*"&amp;'Output annual'!$AC$2&amp;'Output annual'!$AD$2&amp;"*FangerPMV(Hourly)",'Eplus results'!$1:$1048576,ROW(),FALSE)</f>
        <v>0</v>
      </c>
      <c r="AD3046" s="580">
        <f t="shared" si="271"/>
        <v>5</v>
      </c>
      <c r="AE3046" s="580">
        <f t="shared" si="272"/>
        <v>2.5</v>
      </c>
      <c r="AF3046" s="580">
        <f t="shared" si="273"/>
        <v>2.5</v>
      </c>
      <c r="AG3046" s="580">
        <f t="shared" si="274"/>
        <v>0</v>
      </c>
      <c r="AH3046" s="580">
        <f t="shared" si="275"/>
        <v>0</v>
      </c>
    </row>
    <row r="3047" spans="28:34">
      <c r="AB3047" s="580">
        <f>HLOOKUP("*"&amp;'Output annual'!$AC$2&amp;'Output annual'!$AD$2&amp;"*Zone People Number Of Occupants [](Hourly)",'Eplus results'!$1:$1048576,ROW(),FALSE)</f>
        <v>0</v>
      </c>
      <c r="AC3047" s="580">
        <f>HLOOKUP("*"&amp;'Output annual'!$AC$2&amp;'Output annual'!$AD$2&amp;"*FangerPMV(Hourly)",'Eplus results'!$1:$1048576,ROW(),FALSE)</f>
        <v>0</v>
      </c>
      <c r="AD3047" s="580">
        <f t="shared" si="271"/>
        <v>5</v>
      </c>
      <c r="AE3047" s="580">
        <f t="shared" si="272"/>
        <v>2.5</v>
      </c>
      <c r="AF3047" s="580">
        <f t="shared" si="273"/>
        <v>2.5</v>
      </c>
      <c r="AG3047" s="580">
        <f t="shared" si="274"/>
        <v>0</v>
      </c>
      <c r="AH3047" s="580">
        <f t="shared" si="275"/>
        <v>0</v>
      </c>
    </row>
    <row r="3048" spans="28:34">
      <c r="AB3048" s="580">
        <f>HLOOKUP("*"&amp;'Output annual'!$AC$2&amp;'Output annual'!$AD$2&amp;"*Zone People Number Of Occupants [](Hourly)",'Eplus results'!$1:$1048576,ROW(),FALSE)</f>
        <v>0</v>
      </c>
      <c r="AC3048" s="580">
        <f>HLOOKUP("*"&amp;'Output annual'!$AC$2&amp;'Output annual'!$AD$2&amp;"*FangerPMV(Hourly)",'Eplus results'!$1:$1048576,ROW(),FALSE)</f>
        <v>0</v>
      </c>
      <c r="AD3048" s="580">
        <f t="shared" si="271"/>
        <v>5</v>
      </c>
      <c r="AE3048" s="580">
        <f t="shared" si="272"/>
        <v>2.5</v>
      </c>
      <c r="AF3048" s="580">
        <f t="shared" si="273"/>
        <v>2.5</v>
      </c>
      <c r="AG3048" s="580">
        <f t="shared" si="274"/>
        <v>0</v>
      </c>
      <c r="AH3048" s="580">
        <f t="shared" si="275"/>
        <v>0</v>
      </c>
    </row>
    <row r="3049" spans="28:34">
      <c r="AB3049" s="580">
        <f>HLOOKUP("*"&amp;'Output annual'!$AC$2&amp;'Output annual'!$AD$2&amp;"*Zone People Number Of Occupants [](Hourly)",'Eplus results'!$1:$1048576,ROW(),FALSE)</f>
        <v>0</v>
      </c>
      <c r="AC3049" s="580">
        <f>HLOOKUP("*"&amp;'Output annual'!$AC$2&amp;'Output annual'!$AD$2&amp;"*FangerPMV(Hourly)",'Eplus results'!$1:$1048576,ROW(),FALSE)</f>
        <v>0</v>
      </c>
      <c r="AD3049" s="580">
        <f t="shared" si="271"/>
        <v>5</v>
      </c>
      <c r="AE3049" s="580">
        <f t="shared" si="272"/>
        <v>2.5</v>
      </c>
      <c r="AF3049" s="580">
        <f t="shared" si="273"/>
        <v>2.5</v>
      </c>
      <c r="AG3049" s="580">
        <f t="shared" si="274"/>
        <v>0</v>
      </c>
      <c r="AH3049" s="580">
        <f t="shared" si="275"/>
        <v>0</v>
      </c>
    </row>
    <row r="3050" spans="28:34">
      <c r="AB3050" s="580">
        <f>HLOOKUP("*"&amp;'Output annual'!$AC$2&amp;'Output annual'!$AD$2&amp;"*Zone People Number Of Occupants [](Hourly)",'Eplus results'!$1:$1048576,ROW(),FALSE)</f>
        <v>0</v>
      </c>
      <c r="AC3050" s="580">
        <f>HLOOKUP("*"&amp;'Output annual'!$AC$2&amp;'Output annual'!$AD$2&amp;"*FangerPMV(Hourly)",'Eplus results'!$1:$1048576,ROW(),FALSE)</f>
        <v>0</v>
      </c>
      <c r="AD3050" s="580">
        <f t="shared" si="271"/>
        <v>5</v>
      </c>
      <c r="AE3050" s="580">
        <f t="shared" si="272"/>
        <v>2.5</v>
      </c>
      <c r="AF3050" s="580">
        <f t="shared" si="273"/>
        <v>2.5</v>
      </c>
      <c r="AG3050" s="580">
        <f t="shared" si="274"/>
        <v>0</v>
      </c>
      <c r="AH3050" s="580">
        <f t="shared" si="275"/>
        <v>0</v>
      </c>
    </row>
    <row r="3051" spans="28:34">
      <c r="AB3051" s="580">
        <f>HLOOKUP("*"&amp;'Output annual'!$AC$2&amp;'Output annual'!$AD$2&amp;"*Zone People Number Of Occupants [](Hourly)",'Eplus results'!$1:$1048576,ROW(),FALSE)</f>
        <v>0</v>
      </c>
      <c r="AC3051" s="580">
        <f>HLOOKUP("*"&amp;'Output annual'!$AC$2&amp;'Output annual'!$AD$2&amp;"*FangerPMV(Hourly)",'Eplus results'!$1:$1048576,ROW(),FALSE)</f>
        <v>0</v>
      </c>
      <c r="AD3051" s="580">
        <f t="shared" si="271"/>
        <v>5</v>
      </c>
      <c r="AE3051" s="580">
        <f t="shared" si="272"/>
        <v>2.5</v>
      </c>
      <c r="AF3051" s="580">
        <f t="shared" si="273"/>
        <v>2.5</v>
      </c>
      <c r="AG3051" s="580">
        <f t="shared" si="274"/>
        <v>0</v>
      </c>
      <c r="AH3051" s="580">
        <f t="shared" si="275"/>
        <v>0</v>
      </c>
    </row>
    <row r="3052" spans="28:34">
      <c r="AB3052" s="580">
        <f>HLOOKUP("*"&amp;'Output annual'!$AC$2&amp;'Output annual'!$AD$2&amp;"*Zone People Number Of Occupants [](Hourly)",'Eplus results'!$1:$1048576,ROW(),FALSE)</f>
        <v>0</v>
      </c>
      <c r="AC3052" s="580">
        <f>HLOOKUP("*"&amp;'Output annual'!$AC$2&amp;'Output annual'!$AD$2&amp;"*FangerPMV(Hourly)",'Eplus results'!$1:$1048576,ROW(),FALSE)</f>
        <v>0</v>
      </c>
      <c r="AD3052" s="580">
        <f t="shared" si="271"/>
        <v>5</v>
      </c>
      <c r="AE3052" s="580">
        <f t="shared" si="272"/>
        <v>2.5</v>
      </c>
      <c r="AF3052" s="580">
        <f t="shared" si="273"/>
        <v>2.5</v>
      </c>
      <c r="AG3052" s="580">
        <f t="shared" si="274"/>
        <v>0</v>
      </c>
      <c r="AH3052" s="580">
        <f t="shared" si="275"/>
        <v>0</v>
      </c>
    </row>
    <row r="3053" spans="28:34">
      <c r="AB3053" s="580">
        <f>HLOOKUP("*"&amp;'Output annual'!$AC$2&amp;'Output annual'!$AD$2&amp;"*Zone People Number Of Occupants [](Hourly)",'Eplus results'!$1:$1048576,ROW(),FALSE)</f>
        <v>0</v>
      </c>
      <c r="AC3053" s="580">
        <f>HLOOKUP("*"&amp;'Output annual'!$AC$2&amp;'Output annual'!$AD$2&amp;"*FangerPMV(Hourly)",'Eplus results'!$1:$1048576,ROW(),FALSE)</f>
        <v>0</v>
      </c>
      <c r="AD3053" s="580">
        <f t="shared" si="271"/>
        <v>5</v>
      </c>
      <c r="AE3053" s="580">
        <f t="shared" si="272"/>
        <v>2.5</v>
      </c>
      <c r="AF3053" s="580">
        <f t="shared" si="273"/>
        <v>2.5</v>
      </c>
      <c r="AG3053" s="580">
        <f t="shared" si="274"/>
        <v>0</v>
      </c>
      <c r="AH3053" s="580">
        <f t="shared" si="275"/>
        <v>0</v>
      </c>
    </row>
    <row r="3054" spans="28:34">
      <c r="AB3054" s="580">
        <f>HLOOKUP("*"&amp;'Output annual'!$AC$2&amp;'Output annual'!$AD$2&amp;"*Zone People Number Of Occupants [](Hourly)",'Eplus results'!$1:$1048576,ROW(),FALSE)</f>
        <v>0</v>
      </c>
      <c r="AC3054" s="580">
        <f>HLOOKUP("*"&amp;'Output annual'!$AC$2&amp;'Output annual'!$AD$2&amp;"*FangerPMV(Hourly)",'Eplus results'!$1:$1048576,ROW(),FALSE)</f>
        <v>0</v>
      </c>
      <c r="AD3054" s="580">
        <f t="shared" si="271"/>
        <v>5</v>
      </c>
      <c r="AE3054" s="580">
        <f t="shared" si="272"/>
        <v>2.5</v>
      </c>
      <c r="AF3054" s="580">
        <f t="shared" si="273"/>
        <v>2.5</v>
      </c>
      <c r="AG3054" s="580">
        <f t="shared" si="274"/>
        <v>0</v>
      </c>
      <c r="AH3054" s="580">
        <f t="shared" si="275"/>
        <v>0</v>
      </c>
    </row>
    <row r="3055" spans="28:34">
      <c r="AB3055" s="580">
        <f>HLOOKUP("*"&amp;'Output annual'!$AC$2&amp;'Output annual'!$AD$2&amp;"*Zone People Number Of Occupants [](Hourly)",'Eplus results'!$1:$1048576,ROW(),FALSE)</f>
        <v>0</v>
      </c>
      <c r="AC3055" s="580">
        <f>HLOOKUP("*"&amp;'Output annual'!$AC$2&amp;'Output annual'!$AD$2&amp;"*FangerPMV(Hourly)",'Eplus results'!$1:$1048576,ROW(),FALSE)</f>
        <v>0</v>
      </c>
      <c r="AD3055" s="580">
        <f t="shared" si="271"/>
        <v>5</v>
      </c>
      <c r="AE3055" s="580">
        <f t="shared" si="272"/>
        <v>2.5</v>
      </c>
      <c r="AF3055" s="580">
        <f t="shared" si="273"/>
        <v>2.5</v>
      </c>
      <c r="AG3055" s="580">
        <f t="shared" si="274"/>
        <v>0</v>
      </c>
      <c r="AH3055" s="580">
        <f t="shared" si="275"/>
        <v>0</v>
      </c>
    </row>
    <row r="3056" spans="28:34">
      <c r="AB3056" s="580">
        <f>HLOOKUP("*"&amp;'Output annual'!$AC$2&amp;'Output annual'!$AD$2&amp;"*Zone People Number Of Occupants [](Hourly)",'Eplus results'!$1:$1048576,ROW(),FALSE)</f>
        <v>0</v>
      </c>
      <c r="AC3056" s="580">
        <f>HLOOKUP("*"&amp;'Output annual'!$AC$2&amp;'Output annual'!$AD$2&amp;"*FangerPMV(Hourly)",'Eplus results'!$1:$1048576,ROW(),FALSE)</f>
        <v>0</v>
      </c>
      <c r="AD3056" s="580">
        <f t="shared" si="271"/>
        <v>5</v>
      </c>
      <c r="AE3056" s="580">
        <f t="shared" si="272"/>
        <v>2.5</v>
      </c>
      <c r="AF3056" s="580">
        <f t="shared" si="273"/>
        <v>2.5</v>
      </c>
      <c r="AG3056" s="580">
        <f t="shared" si="274"/>
        <v>0</v>
      </c>
      <c r="AH3056" s="580">
        <f t="shared" si="275"/>
        <v>0</v>
      </c>
    </row>
    <row r="3057" spans="28:34">
      <c r="AB3057" s="580">
        <f>HLOOKUP("*"&amp;'Output annual'!$AC$2&amp;'Output annual'!$AD$2&amp;"*Zone People Number Of Occupants [](Hourly)",'Eplus results'!$1:$1048576,ROW(),FALSE)</f>
        <v>0</v>
      </c>
      <c r="AC3057" s="580">
        <f>HLOOKUP("*"&amp;'Output annual'!$AC$2&amp;'Output annual'!$AD$2&amp;"*FangerPMV(Hourly)",'Eplus results'!$1:$1048576,ROW(),FALSE)</f>
        <v>0</v>
      </c>
      <c r="AD3057" s="580">
        <f t="shared" si="271"/>
        <v>5</v>
      </c>
      <c r="AE3057" s="580">
        <f t="shared" si="272"/>
        <v>2.5</v>
      </c>
      <c r="AF3057" s="580">
        <f t="shared" si="273"/>
        <v>2.5</v>
      </c>
      <c r="AG3057" s="580">
        <f t="shared" si="274"/>
        <v>0</v>
      </c>
      <c r="AH3057" s="580">
        <f t="shared" si="275"/>
        <v>0</v>
      </c>
    </row>
    <row r="3058" spans="28:34">
      <c r="AB3058" s="580">
        <f>HLOOKUP("*"&amp;'Output annual'!$AC$2&amp;'Output annual'!$AD$2&amp;"*Zone People Number Of Occupants [](Hourly)",'Eplus results'!$1:$1048576,ROW(),FALSE)</f>
        <v>0</v>
      </c>
      <c r="AC3058" s="580">
        <f>HLOOKUP("*"&amp;'Output annual'!$AC$2&amp;'Output annual'!$AD$2&amp;"*FangerPMV(Hourly)",'Eplus results'!$1:$1048576,ROW(),FALSE)</f>
        <v>0</v>
      </c>
      <c r="AD3058" s="580">
        <f t="shared" si="271"/>
        <v>5</v>
      </c>
      <c r="AE3058" s="580">
        <f t="shared" si="272"/>
        <v>2.5</v>
      </c>
      <c r="AF3058" s="580">
        <f t="shared" si="273"/>
        <v>2.5</v>
      </c>
      <c r="AG3058" s="580">
        <f t="shared" si="274"/>
        <v>0</v>
      </c>
      <c r="AH3058" s="580">
        <f t="shared" si="275"/>
        <v>0</v>
      </c>
    </row>
    <row r="3059" spans="28:34">
      <c r="AB3059" s="580">
        <f>HLOOKUP("*"&amp;'Output annual'!$AC$2&amp;'Output annual'!$AD$2&amp;"*Zone People Number Of Occupants [](Hourly)",'Eplus results'!$1:$1048576,ROW(),FALSE)</f>
        <v>0</v>
      </c>
      <c r="AC3059" s="580">
        <f>HLOOKUP("*"&amp;'Output annual'!$AC$2&amp;'Output annual'!$AD$2&amp;"*FangerPMV(Hourly)",'Eplus results'!$1:$1048576,ROW(),FALSE)</f>
        <v>0</v>
      </c>
      <c r="AD3059" s="580">
        <f t="shared" si="271"/>
        <v>5</v>
      </c>
      <c r="AE3059" s="580">
        <f t="shared" si="272"/>
        <v>2.5</v>
      </c>
      <c r="AF3059" s="580">
        <f t="shared" si="273"/>
        <v>2.5</v>
      </c>
      <c r="AG3059" s="580">
        <f t="shared" si="274"/>
        <v>0</v>
      </c>
      <c r="AH3059" s="580">
        <f t="shared" si="275"/>
        <v>0</v>
      </c>
    </row>
    <row r="3060" spans="28:34">
      <c r="AB3060" s="580">
        <f>HLOOKUP("*"&amp;'Output annual'!$AC$2&amp;'Output annual'!$AD$2&amp;"*Zone People Number Of Occupants [](Hourly)",'Eplus results'!$1:$1048576,ROW(),FALSE)</f>
        <v>0</v>
      </c>
      <c r="AC3060" s="580">
        <f>HLOOKUP("*"&amp;'Output annual'!$AC$2&amp;'Output annual'!$AD$2&amp;"*FangerPMV(Hourly)",'Eplus results'!$1:$1048576,ROW(),FALSE)</f>
        <v>0</v>
      </c>
      <c r="AD3060" s="580">
        <f t="shared" si="271"/>
        <v>5</v>
      </c>
      <c r="AE3060" s="580">
        <f t="shared" si="272"/>
        <v>2.5</v>
      </c>
      <c r="AF3060" s="580">
        <f t="shared" si="273"/>
        <v>2.5</v>
      </c>
      <c r="AG3060" s="580">
        <f t="shared" si="274"/>
        <v>0</v>
      </c>
      <c r="AH3060" s="580">
        <f t="shared" si="275"/>
        <v>0</v>
      </c>
    </row>
    <row r="3061" spans="28:34">
      <c r="AB3061" s="580">
        <f>HLOOKUP("*"&amp;'Output annual'!$AC$2&amp;'Output annual'!$AD$2&amp;"*Zone People Number Of Occupants [](Hourly)",'Eplus results'!$1:$1048576,ROW(),FALSE)</f>
        <v>0</v>
      </c>
      <c r="AC3061" s="580">
        <f>HLOOKUP("*"&amp;'Output annual'!$AC$2&amp;'Output annual'!$AD$2&amp;"*FangerPMV(Hourly)",'Eplus results'!$1:$1048576,ROW(),FALSE)</f>
        <v>0</v>
      </c>
      <c r="AD3061" s="580">
        <f t="shared" si="271"/>
        <v>5</v>
      </c>
      <c r="AE3061" s="580">
        <f t="shared" si="272"/>
        <v>2.5</v>
      </c>
      <c r="AF3061" s="580">
        <f t="shared" si="273"/>
        <v>2.5</v>
      </c>
      <c r="AG3061" s="580">
        <f t="shared" si="274"/>
        <v>0</v>
      </c>
      <c r="AH3061" s="580">
        <f t="shared" si="275"/>
        <v>0</v>
      </c>
    </row>
    <row r="3062" spans="28:34">
      <c r="AB3062" s="580">
        <f>HLOOKUP("*"&amp;'Output annual'!$AC$2&amp;'Output annual'!$AD$2&amp;"*Zone People Number Of Occupants [](Hourly)",'Eplus results'!$1:$1048576,ROW(),FALSE)</f>
        <v>0</v>
      </c>
      <c r="AC3062" s="580">
        <f>HLOOKUP("*"&amp;'Output annual'!$AC$2&amp;'Output annual'!$AD$2&amp;"*FangerPMV(Hourly)",'Eplus results'!$1:$1048576,ROW(),FALSE)</f>
        <v>0</v>
      </c>
      <c r="AD3062" s="580">
        <f t="shared" si="271"/>
        <v>5</v>
      </c>
      <c r="AE3062" s="580">
        <f t="shared" si="272"/>
        <v>2.5</v>
      </c>
      <c r="AF3062" s="580">
        <f t="shared" si="273"/>
        <v>2.5</v>
      </c>
      <c r="AG3062" s="580">
        <f t="shared" si="274"/>
        <v>0</v>
      </c>
      <c r="AH3062" s="580">
        <f t="shared" si="275"/>
        <v>0</v>
      </c>
    </row>
    <row r="3063" spans="28:34">
      <c r="AB3063" s="580">
        <f>HLOOKUP("*"&amp;'Output annual'!$AC$2&amp;'Output annual'!$AD$2&amp;"*Zone People Number Of Occupants [](Hourly)",'Eplus results'!$1:$1048576,ROW(),FALSE)</f>
        <v>0</v>
      </c>
      <c r="AC3063" s="580">
        <f>HLOOKUP("*"&amp;'Output annual'!$AC$2&amp;'Output annual'!$AD$2&amp;"*FangerPMV(Hourly)",'Eplus results'!$1:$1048576,ROW(),FALSE)</f>
        <v>0</v>
      </c>
      <c r="AD3063" s="580">
        <f t="shared" si="271"/>
        <v>5</v>
      </c>
      <c r="AE3063" s="580">
        <f t="shared" si="272"/>
        <v>2.5</v>
      </c>
      <c r="AF3063" s="580">
        <f t="shared" si="273"/>
        <v>2.5</v>
      </c>
      <c r="AG3063" s="580">
        <f t="shared" si="274"/>
        <v>0</v>
      </c>
      <c r="AH3063" s="580">
        <f t="shared" si="275"/>
        <v>0</v>
      </c>
    </row>
    <row r="3064" spans="28:34">
      <c r="AB3064" s="580">
        <f>HLOOKUP("*"&amp;'Output annual'!$AC$2&amp;'Output annual'!$AD$2&amp;"*Zone People Number Of Occupants [](Hourly)",'Eplus results'!$1:$1048576,ROW(),FALSE)</f>
        <v>0</v>
      </c>
      <c r="AC3064" s="580">
        <f>HLOOKUP("*"&amp;'Output annual'!$AC$2&amp;'Output annual'!$AD$2&amp;"*FangerPMV(Hourly)",'Eplus results'!$1:$1048576,ROW(),FALSE)</f>
        <v>0</v>
      </c>
      <c r="AD3064" s="580">
        <f t="shared" si="271"/>
        <v>5</v>
      </c>
      <c r="AE3064" s="580">
        <f t="shared" si="272"/>
        <v>2.5</v>
      </c>
      <c r="AF3064" s="580">
        <f t="shared" si="273"/>
        <v>2.5</v>
      </c>
      <c r="AG3064" s="580">
        <f t="shared" si="274"/>
        <v>0</v>
      </c>
      <c r="AH3064" s="580">
        <f t="shared" si="275"/>
        <v>0</v>
      </c>
    </row>
    <row r="3065" spans="28:34">
      <c r="AB3065" s="580">
        <f>HLOOKUP("*"&amp;'Output annual'!$AC$2&amp;'Output annual'!$AD$2&amp;"*Zone People Number Of Occupants [](Hourly)",'Eplus results'!$1:$1048576,ROW(),FALSE)</f>
        <v>0</v>
      </c>
      <c r="AC3065" s="580">
        <f>HLOOKUP("*"&amp;'Output annual'!$AC$2&amp;'Output annual'!$AD$2&amp;"*FangerPMV(Hourly)",'Eplus results'!$1:$1048576,ROW(),FALSE)</f>
        <v>0</v>
      </c>
      <c r="AD3065" s="580">
        <f t="shared" si="271"/>
        <v>5</v>
      </c>
      <c r="AE3065" s="580">
        <f t="shared" si="272"/>
        <v>2.5</v>
      </c>
      <c r="AF3065" s="580">
        <f t="shared" si="273"/>
        <v>2.5</v>
      </c>
      <c r="AG3065" s="580">
        <f t="shared" si="274"/>
        <v>0</v>
      </c>
      <c r="AH3065" s="580">
        <f t="shared" si="275"/>
        <v>0</v>
      </c>
    </row>
    <row r="3066" spans="28:34">
      <c r="AB3066" s="580">
        <f>HLOOKUP("*"&amp;'Output annual'!$AC$2&amp;'Output annual'!$AD$2&amp;"*Zone People Number Of Occupants [](Hourly)",'Eplus results'!$1:$1048576,ROW(),FALSE)</f>
        <v>0</v>
      </c>
      <c r="AC3066" s="580">
        <f>HLOOKUP("*"&amp;'Output annual'!$AC$2&amp;'Output annual'!$AD$2&amp;"*FangerPMV(Hourly)",'Eplus results'!$1:$1048576,ROW(),FALSE)</f>
        <v>0</v>
      </c>
      <c r="AD3066" s="580">
        <f t="shared" si="271"/>
        <v>5</v>
      </c>
      <c r="AE3066" s="580">
        <f t="shared" si="272"/>
        <v>2.5</v>
      </c>
      <c r="AF3066" s="580">
        <f t="shared" si="273"/>
        <v>2.5</v>
      </c>
      <c r="AG3066" s="580">
        <f t="shared" si="274"/>
        <v>0</v>
      </c>
      <c r="AH3066" s="580">
        <f t="shared" si="275"/>
        <v>0</v>
      </c>
    </row>
    <row r="3067" spans="28:34">
      <c r="AB3067" s="580">
        <f>HLOOKUP("*"&amp;'Output annual'!$AC$2&amp;'Output annual'!$AD$2&amp;"*Zone People Number Of Occupants [](Hourly)",'Eplus results'!$1:$1048576,ROW(),FALSE)</f>
        <v>0</v>
      </c>
      <c r="AC3067" s="580">
        <f>HLOOKUP("*"&amp;'Output annual'!$AC$2&amp;'Output annual'!$AD$2&amp;"*FangerPMV(Hourly)",'Eplus results'!$1:$1048576,ROW(),FALSE)</f>
        <v>0</v>
      </c>
      <c r="AD3067" s="580">
        <f t="shared" si="271"/>
        <v>5</v>
      </c>
      <c r="AE3067" s="580">
        <f t="shared" si="272"/>
        <v>2.5</v>
      </c>
      <c r="AF3067" s="580">
        <f t="shared" si="273"/>
        <v>2.5</v>
      </c>
      <c r="AG3067" s="580">
        <f t="shared" si="274"/>
        <v>0</v>
      </c>
      <c r="AH3067" s="580">
        <f t="shared" si="275"/>
        <v>0</v>
      </c>
    </row>
    <row r="3068" spans="28:34">
      <c r="AB3068" s="580">
        <f>HLOOKUP("*"&amp;'Output annual'!$AC$2&amp;'Output annual'!$AD$2&amp;"*Zone People Number Of Occupants [](Hourly)",'Eplus results'!$1:$1048576,ROW(),FALSE)</f>
        <v>0</v>
      </c>
      <c r="AC3068" s="580">
        <f>HLOOKUP("*"&amp;'Output annual'!$AC$2&amp;'Output annual'!$AD$2&amp;"*FangerPMV(Hourly)",'Eplus results'!$1:$1048576,ROW(),FALSE)</f>
        <v>0</v>
      </c>
      <c r="AD3068" s="580">
        <f t="shared" si="271"/>
        <v>5</v>
      </c>
      <c r="AE3068" s="580">
        <f t="shared" si="272"/>
        <v>2.5</v>
      </c>
      <c r="AF3068" s="580">
        <f t="shared" si="273"/>
        <v>2.5</v>
      </c>
      <c r="AG3068" s="580">
        <f t="shared" si="274"/>
        <v>0</v>
      </c>
      <c r="AH3068" s="580">
        <f t="shared" si="275"/>
        <v>0</v>
      </c>
    </row>
    <row r="3069" spans="28:34">
      <c r="AB3069" s="580">
        <f>HLOOKUP("*"&amp;'Output annual'!$AC$2&amp;'Output annual'!$AD$2&amp;"*Zone People Number Of Occupants [](Hourly)",'Eplus results'!$1:$1048576,ROW(),FALSE)</f>
        <v>0</v>
      </c>
      <c r="AC3069" s="580">
        <f>HLOOKUP("*"&amp;'Output annual'!$AC$2&amp;'Output annual'!$AD$2&amp;"*FangerPMV(Hourly)",'Eplus results'!$1:$1048576,ROW(),FALSE)</f>
        <v>0</v>
      </c>
      <c r="AD3069" s="580">
        <f t="shared" si="271"/>
        <v>5</v>
      </c>
      <c r="AE3069" s="580">
        <f t="shared" si="272"/>
        <v>2.5</v>
      </c>
      <c r="AF3069" s="580">
        <f t="shared" si="273"/>
        <v>2.5</v>
      </c>
      <c r="AG3069" s="580">
        <f t="shared" si="274"/>
        <v>0</v>
      </c>
      <c r="AH3069" s="580">
        <f t="shared" si="275"/>
        <v>0</v>
      </c>
    </row>
    <row r="3070" spans="28:34">
      <c r="AB3070" s="580">
        <f>HLOOKUP("*"&amp;'Output annual'!$AC$2&amp;'Output annual'!$AD$2&amp;"*Zone People Number Of Occupants [](Hourly)",'Eplus results'!$1:$1048576,ROW(),FALSE)</f>
        <v>0</v>
      </c>
      <c r="AC3070" s="580">
        <f>HLOOKUP("*"&amp;'Output annual'!$AC$2&amp;'Output annual'!$AD$2&amp;"*FangerPMV(Hourly)",'Eplus results'!$1:$1048576,ROW(),FALSE)</f>
        <v>0</v>
      </c>
      <c r="AD3070" s="580">
        <f t="shared" si="271"/>
        <v>5</v>
      </c>
      <c r="AE3070" s="580">
        <f t="shared" si="272"/>
        <v>2.5</v>
      </c>
      <c r="AF3070" s="580">
        <f t="shared" si="273"/>
        <v>2.5</v>
      </c>
      <c r="AG3070" s="580">
        <f t="shared" si="274"/>
        <v>0</v>
      </c>
      <c r="AH3070" s="580">
        <f t="shared" si="275"/>
        <v>0</v>
      </c>
    </row>
    <row r="3071" spans="28:34">
      <c r="AB3071" s="580">
        <f>HLOOKUP("*"&amp;'Output annual'!$AC$2&amp;'Output annual'!$AD$2&amp;"*Zone People Number Of Occupants [](Hourly)",'Eplus results'!$1:$1048576,ROW(),FALSE)</f>
        <v>0</v>
      </c>
      <c r="AC3071" s="580">
        <f>HLOOKUP("*"&amp;'Output annual'!$AC$2&amp;'Output annual'!$AD$2&amp;"*FangerPMV(Hourly)",'Eplus results'!$1:$1048576,ROW(),FALSE)</f>
        <v>0</v>
      </c>
      <c r="AD3071" s="580">
        <f t="shared" si="271"/>
        <v>5</v>
      </c>
      <c r="AE3071" s="580">
        <f t="shared" si="272"/>
        <v>2.5</v>
      </c>
      <c r="AF3071" s="580">
        <f t="shared" si="273"/>
        <v>2.5</v>
      </c>
      <c r="AG3071" s="580">
        <f t="shared" si="274"/>
        <v>0</v>
      </c>
      <c r="AH3071" s="580">
        <f t="shared" si="275"/>
        <v>0</v>
      </c>
    </row>
    <row r="3072" spans="28:34">
      <c r="AB3072" s="580">
        <f>HLOOKUP("*"&amp;'Output annual'!$AC$2&amp;'Output annual'!$AD$2&amp;"*Zone People Number Of Occupants [](Hourly)",'Eplus results'!$1:$1048576,ROW(),FALSE)</f>
        <v>0</v>
      </c>
      <c r="AC3072" s="580">
        <f>HLOOKUP("*"&amp;'Output annual'!$AC$2&amp;'Output annual'!$AD$2&amp;"*FangerPMV(Hourly)",'Eplus results'!$1:$1048576,ROW(),FALSE)</f>
        <v>0</v>
      </c>
      <c r="AD3072" s="580">
        <f t="shared" si="271"/>
        <v>5</v>
      </c>
      <c r="AE3072" s="580">
        <f t="shared" si="272"/>
        <v>2.5</v>
      </c>
      <c r="AF3072" s="580">
        <f t="shared" si="273"/>
        <v>2.5</v>
      </c>
      <c r="AG3072" s="580">
        <f t="shared" si="274"/>
        <v>0</v>
      </c>
      <c r="AH3072" s="580">
        <f t="shared" si="275"/>
        <v>0</v>
      </c>
    </row>
    <row r="3073" spans="28:34">
      <c r="AB3073" s="580">
        <f>HLOOKUP("*"&amp;'Output annual'!$AC$2&amp;'Output annual'!$AD$2&amp;"*Zone People Number Of Occupants [](Hourly)",'Eplus results'!$1:$1048576,ROW(),FALSE)</f>
        <v>0</v>
      </c>
      <c r="AC3073" s="580">
        <f>HLOOKUP("*"&amp;'Output annual'!$AC$2&amp;'Output annual'!$AD$2&amp;"*FangerPMV(Hourly)",'Eplus results'!$1:$1048576,ROW(),FALSE)</f>
        <v>0</v>
      </c>
      <c r="AD3073" s="580">
        <f t="shared" si="271"/>
        <v>5</v>
      </c>
      <c r="AE3073" s="580">
        <f t="shared" si="272"/>
        <v>2.5</v>
      </c>
      <c r="AF3073" s="580">
        <f t="shared" si="273"/>
        <v>2.5</v>
      </c>
      <c r="AG3073" s="580">
        <f t="shared" si="274"/>
        <v>0</v>
      </c>
      <c r="AH3073" s="580">
        <f t="shared" si="275"/>
        <v>0</v>
      </c>
    </row>
    <row r="3074" spans="28:34">
      <c r="AB3074" s="580">
        <f>HLOOKUP("*"&amp;'Output annual'!$AC$2&amp;'Output annual'!$AD$2&amp;"*Zone People Number Of Occupants [](Hourly)",'Eplus results'!$1:$1048576,ROW(),FALSE)</f>
        <v>0</v>
      </c>
      <c r="AC3074" s="580">
        <f>HLOOKUP("*"&amp;'Output annual'!$AC$2&amp;'Output annual'!$AD$2&amp;"*FangerPMV(Hourly)",'Eplus results'!$1:$1048576,ROW(),FALSE)</f>
        <v>0</v>
      </c>
      <c r="AD3074" s="580">
        <f t="shared" si="271"/>
        <v>5</v>
      </c>
      <c r="AE3074" s="580">
        <f t="shared" si="272"/>
        <v>2.5</v>
      </c>
      <c r="AF3074" s="580">
        <f t="shared" si="273"/>
        <v>2.5</v>
      </c>
      <c r="AG3074" s="580">
        <f t="shared" si="274"/>
        <v>0</v>
      </c>
      <c r="AH3074" s="580">
        <f t="shared" si="275"/>
        <v>0</v>
      </c>
    </row>
    <row r="3075" spans="28:34">
      <c r="AB3075" s="580">
        <f>HLOOKUP("*"&amp;'Output annual'!$AC$2&amp;'Output annual'!$AD$2&amp;"*Zone People Number Of Occupants [](Hourly)",'Eplus results'!$1:$1048576,ROW(),FALSE)</f>
        <v>0</v>
      </c>
      <c r="AC3075" s="580">
        <f>HLOOKUP("*"&amp;'Output annual'!$AC$2&amp;'Output annual'!$AD$2&amp;"*FangerPMV(Hourly)",'Eplus results'!$1:$1048576,ROW(),FALSE)</f>
        <v>0</v>
      </c>
      <c r="AD3075" s="580">
        <f t="shared" ref="AD3075:AD3138" si="276">100-95*EXP(-0.03353*AC3075^4-0.2179*AC3075^2)</f>
        <v>5</v>
      </c>
      <c r="AE3075" s="580">
        <f t="shared" ref="AE3075:AE3138" si="277">AD3075*(1/(1+EXP(-6.3*$AC3075)))</f>
        <v>2.5</v>
      </c>
      <c r="AF3075" s="580">
        <f t="shared" ref="AF3075:AF3138" si="278">(AD3075-AE3075)</f>
        <v>2.5</v>
      </c>
      <c r="AG3075" s="580">
        <f t="shared" ref="AG3075:AG3138" si="279">AE3075*AB3075</f>
        <v>0</v>
      </c>
      <c r="AH3075" s="580">
        <f t="shared" ref="AH3075:AH3138" si="280">AF3075*AB3075</f>
        <v>0</v>
      </c>
    </row>
    <row r="3076" spans="28:34">
      <c r="AB3076" s="580">
        <f>HLOOKUP("*"&amp;'Output annual'!$AC$2&amp;'Output annual'!$AD$2&amp;"*Zone People Number Of Occupants [](Hourly)",'Eplus results'!$1:$1048576,ROW(),FALSE)</f>
        <v>0</v>
      </c>
      <c r="AC3076" s="580">
        <f>HLOOKUP("*"&amp;'Output annual'!$AC$2&amp;'Output annual'!$AD$2&amp;"*FangerPMV(Hourly)",'Eplus results'!$1:$1048576,ROW(),FALSE)</f>
        <v>0</v>
      </c>
      <c r="AD3076" s="580">
        <f t="shared" si="276"/>
        <v>5</v>
      </c>
      <c r="AE3076" s="580">
        <f t="shared" si="277"/>
        <v>2.5</v>
      </c>
      <c r="AF3076" s="580">
        <f t="shared" si="278"/>
        <v>2.5</v>
      </c>
      <c r="AG3076" s="580">
        <f t="shared" si="279"/>
        <v>0</v>
      </c>
      <c r="AH3076" s="580">
        <f t="shared" si="280"/>
        <v>0</v>
      </c>
    </row>
    <row r="3077" spans="28:34">
      <c r="AB3077" s="580">
        <f>HLOOKUP("*"&amp;'Output annual'!$AC$2&amp;'Output annual'!$AD$2&amp;"*Zone People Number Of Occupants [](Hourly)",'Eplus results'!$1:$1048576,ROW(),FALSE)</f>
        <v>0</v>
      </c>
      <c r="AC3077" s="580">
        <f>HLOOKUP("*"&amp;'Output annual'!$AC$2&amp;'Output annual'!$AD$2&amp;"*FangerPMV(Hourly)",'Eplus results'!$1:$1048576,ROW(),FALSE)</f>
        <v>0</v>
      </c>
      <c r="AD3077" s="580">
        <f t="shared" si="276"/>
        <v>5</v>
      </c>
      <c r="AE3077" s="580">
        <f t="shared" si="277"/>
        <v>2.5</v>
      </c>
      <c r="AF3077" s="580">
        <f t="shared" si="278"/>
        <v>2.5</v>
      </c>
      <c r="AG3077" s="580">
        <f t="shared" si="279"/>
        <v>0</v>
      </c>
      <c r="AH3077" s="580">
        <f t="shared" si="280"/>
        <v>0</v>
      </c>
    </row>
    <row r="3078" spans="28:34">
      <c r="AB3078" s="580">
        <f>HLOOKUP("*"&amp;'Output annual'!$AC$2&amp;'Output annual'!$AD$2&amp;"*Zone People Number Of Occupants [](Hourly)",'Eplus results'!$1:$1048576,ROW(),FALSE)</f>
        <v>0</v>
      </c>
      <c r="AC3078" s="580">
        <f>HLOOKUP("*"&amp;'Output annual'!$AC$2&amp;'Output annual'!$AD$2&amp;"*FangerPMV(Hourly)",'Eplus results'!$1:$1048576,ROW(),FALSE)</f>
        <v>0</v>
      </c>
      <c r="AD3078" s="580">
        <f t="shared" si="276"/>
        <v>5</v>
      </c>
      <c r="AE3078" s="580">
        <f t="shared" si="277"/>
        <v>2.5</v>
      </c>
      <c r="AF3078" s="580">
        <f t="shared" si="278"/>
        <v>2.5</v>
      </c>
      <c r="AG3078" s="580">
        <f t="shared" si="279"/>
        <v>0</v>
      </c>
      <c r="AH3078" s="580">
        <f t="shared" si="280"/>
        <v>0</v>
      </c>
    </row>
    <row r="3079" spans="28:34">
      <c r="AB3079" s="580">
        <f>HLOOKUP("*"&amp;'Output annual'!$AC$2&amp;'Output annual'!$AD$2&amp;"*Zone People Number Of Occupants [](Hourly)",'Eplus results'!$1:$1048576,ROW(),FALSE)</f>
        <v>0</v>
      </c>
      <c r="AC3079" s="580">
        <f>HLOOKUP("*"&amp;'Output annual'!$AC$2&amp;'Output annual'!$AD$2&amp;"*FangerPMV(Hourly)",'Eplus results'!$1:$1048576,ROW(),FALSE)</f>
        <v>0</v>
      </c>
      <c r="AD3079" s="580">
        <f t="shared" si="276"/>
        <v>5</v>
      </c>
      <c r="AE3079" s="580">
        <f t="shared" si="277"/>
        <v>2.5</v>
      </c>
      <c r="AF3079" s="580">
        <f t="shared" si="278"/>
        <v>2.5</v>
      </c>
      <c r="AG3079" s="580">
        <f t="shared" si="279"/>
        <v>0</v>
      </c>
      <c r="AH3079" s="580">
        <f t="shared" si="280"/>
        <v>0</v>
      </c>
    </row>
    <row r="3080" spans="28:34">
      <c r="AB3080" s="580">
        <f>HLOOKUP("*"&amp;'Output annual'!$AC$2&amp;'Output annual'!$AD$2&amp;"*Zone People Number Of Occupants [](Hourly)",'Eplus results'!$1:$1048576,ROW(),FALSE)</f>
        <v>0</v>
      </c>
      <c r="AC3080" s="580">
        <f>HLOOKUP("*"&amp;'Output annual'!$AC$2&amp;'Output annual'!$AD$2&amp;"*FangerPMV(Hourly)",'Eplus results'!$1:$1048576,ROW(),FALSE)</f>
        <v>0</v>
      </c>
      <c r="AD3080" s="580">
        <f t="shared" si="276"/>
        <v>5</v>
      </c>
      <c r="AE3080" s="580">
        <f t="shared" si="277"/>
        <v>2.5</v>
      </c>
      <c r="AF3080" s="580">
        <f t="shared" si="278"/>
        <v>2.5</v>
      </c>
      <c r="AG3080" s="580">
        <f t="shared" si="279"/>
        <v>0</v>
      </c>
      <c r="AH3080" s="580">
        <f t="shared" si="280"/>
        <v>0</v>
      </c>
    </row>
    <row r="3081" spans="28:34">
      <c r="AB3081" s="580">
        <f>HLOOKUP("*"&amp;'Output annual'!$AC$2&amp;'Output annual'!$AD$2&amp;"*Zone People Number Of Occupants [](Hourly)",'Eplus results'!$1:$1048576,ROW(),FALSE)</f>
        <v>0</v>
      </c>
      <c r="AC3081" s="580">
        <f>HLOOKUP("*"&amp;'Output annual'!$AC$2&amp;'Output annual'!$AD$2&amp;"*FangerPMV(Hourly)",'Eplus results'!$1:$1048576,ROW(),FALSE)</f>
        <v>0</v>
      </c>
      <c r="AD3081" s="580">
        <f t="shared" si="276"/>
        <v>5</v>
      </c>
      <c r="AE3081" s="580">
        <f t="shared" si="277"/>
        <v>2.5</v>
      </c>
      <c r="AF3081" s="580">
        <f t="shared" si="278"/>
        <v>2.5</v>
      </c>
      <c r="AG3081" s="580">
        <f t="shared" si="279"/>
        <v>0</v>
      </c>
      <c r="AH3081" s="580">
        <f t="shared" si="280"/>
        <v>0</v>
      </c>
    </row>
    <row r="3082" spans="28:34">
      <c r="AB3082" s="580">
        <f>HLOOKUP("*"&amp;'Output annual'!$AC$2&amp;'Output annual'!$AD$2&amp;"*Zone People Number Of Occupants [](Hourly)",'Eplus results'!$1:$1048576,ROW(),FALSE)</f>
        <v>0</v>
      </c>
      <c r="AC3082" s="580">
        <f>HLOOKUP("*"&amp;'Output annual'!$AC$2&amp;'Output annual'!$AD$2&amp;"*FangerPMV(Hourly)",'Eplus results'!$1:$1048576,ROW(),FALSE)</f>
        <v>0</v>
      </c>
      <c r="AD3082" s="580">
        <f t="shared" si="276"/>
        <v>5</v>
      </c>
      <c r="AE3082" s="580">
        <f t="shared" si="277"/>
        <v>2.5</v>
      </c>
      <c r="AF3082" s="580">
        <f t="shared" si="278"/>
        <v>2.5</v>
      </c>
      <c r="AG3082" s="580">
        <f t="shared" si="279"/>
        <v>0</v>
      </c>
      <c r="AH3082" s="580">
        <f t="shared" si="280"/>
        <v>0</v>
      </c>
    </row>
    <row r="3083" spans="28:34">
      <c r="AB3083" s="580">
        <f>HLOOKUP("*"&amp;'Output annual'!$AC$2&amp;'Output annual'!$AD$2&amp;"*Zone People Number Of Occupants [](Hourly)",'Eplus results'!$1:$1048576,ROW(),FALSE)</f>
        <v>0</v>
      </c>
      <c r="AC3083" s="580">
        <f>HLOOKUP("*"&amp;'Output annual'!$AC$2&amp;'Output annual'!$AD$2&amp;"*FangerPMV(Hourly)",'Eplus results'!$1:$1048576,ROW(),FALSE)</f>
        <v>0</v>
      </c>
      <c r="AD3083" s="580">
        <f t="shared" si="276"/>
        <v>5</v>
      </c>
      <c r="AE3083" s="580">
        <f t="shared" si="277"/>
        <v>2.5</v>
      </c>
      <c r="AF3083" s="580">
        <f t="shared" si="278"/>
        <v>2.5</v>
      </c>
      <c r="AG3083" s="580">
        <f t="shared" si="279"/>
        <v>0</v>
      </c>
      <c r="AH3083" s="580">
        <f t="shared" si="280"/>
        <v>0</v>
      </c>
    </row>
    <row r="3084" spans="28:34">
      <c r="AB3084" s="580">
        <f>HLOOKUP("*"&amp;'Output annual'!$AC$2&amp;'Output annual'!$AD$2&amp;"*Zone People Number Of Occupants [](Hourly)",'Eplus results'!$1:$1048576,ROW(),FALSE)</f>
        <v>0</v>
      </c>
      <c r="AC3084" s="580">
        <f>HLOOKUP("*"&amp;'Output annual'!$AC$2&amp;'Output annual'!$AD$2&amp;"*FangerPMV(Hourly)",'Eplus results'!$1:$1048576,ROW(),FALSE)</f>
        <v>0</v>
      </c>
      <c r="AD3084" s="580">
        <f t="shared" si="276"/>
        <v>5</v>
      </c>
      <c r="AE3084" s="580">
        <f t="shared" si="277"/>
        <v>2.5</v>
      </c>
      <c r="AF3084" s="580">
        <f t="shared" si="278"/>
        <v>2.5</v>
      </c>
      <c r="AG3084" s="580">
        <f t="shared" si="279"/>
        <v>0</v>
      </c>
      <c r="AH3084" s="580">
        <f t="shared" si="280"/>
        <v>0</v>
      </c>
    </row>
    <row r="3085" spans="28:34">
      <c r="AB3085" s="580">
        <f>HLOOKUP("*"&amp;'Output annual'!$AC$2&amp;'Output annual'!$AD$2&amp;"*Zone People Number Of Occupants [](Hourly)",'Eplus results'!$1:$1048576,ROW(),FALSE)</f>
        <v>0</v>
      </c>
      <c r="AC3085" s="580">
        <f>HLOOKUP("*"&amp;'Output annual'!$AC$2&amp;'Output annual'!$AD$2&amp;"*FangerPMV(Hourly)",'Eplus results'!$1:$1048576,ROW(),FALSE)</f>
        <v>0</v>
      </c>
      <c r="AD3085" s="580">
        <f t="shared" si="276"/>
        <v>5</v>
      </c>
      <c r="AE3085" s="580">
        <f t="shared" si="277"/>
        <v>2.5</v>
      </c>
      <c r="AF3085" s="580">
        <f t="shared" si="278"/>
        <v>2.5</v>
      </c>
      <c r="AG3085" s="580">
        <f t="shared" si="279"/>
        <v>0</v>
      </c>
      <c r="AH3085" s="580">
        <f t="shared" si="280"/>
        <v>0</v>
      </c>
    </row>
    <row r="3086" spans="28:34">
      <c r="AB3086" s="580">
        <f>HLOOKUP("*"&amp;'Output annual'!$AC$2&amp;'Output annual'!$AD$2&amp;"*Zone People Number Of Occupants [](Hourly)",'Eplus results'!$1:$1048576,ROW(),FALSE)</f>
        <v>0</v>
      </c>
      <c r="AC3086" s="580">
        <f>HLOOKUP("*"&amp;'Output annual'!$AC$2&amp;'Output annual'!$AD$2&amp;"*FangerPMV(Hourly)",'Eplus results'!$1:$1048576,ROW(),FALSE)</f>
        <v>0</v>
      </c>
      <c r="AD3086" s="580">
        <f t="shared" si="276"/>
        <v>5</v>
      </c>
      <c r="AE3086" s="580">
        <f t="shared" si="277"/>
        <v>2.5</v>
      </c>
      <c r="AF3086" s="580">
        <f t="shared" si="278"/>
        <v>2.5</v>
      </c>
      <c r="AG3086" s="580">
        <f t="shared" si="279"/>
        <v>0</v>
      </c>
      <c r="AH3086" s="580">
        <f t="shared" si="280"/>
        <v>0</v>
      </c>
    </row>
    <row r="3087" spans="28:34">
      <c r="AB3087" s="580">
        <f>HLOOKUP("*"&amp;'Output annual'!$AC$2&amp;'Output annual'!$AD$2&amp;"*Zone People Number Of Occupants [](Hourly)",'Eplus results'!$1:$1048576,ROW(),FALSE)</f>
        <v>0</v>
      </c>
      <c r="AC3087" s="580">
        <f>HLOOKUP("*"&amp;'Output annual'!$AC$2&amp;'Output annual'!$AD$2&amp;"*FangerPMV(Hourly)",'Eplus results'!$1:$1048576,ROW(),FALSE)</f>
        <v>0</v>
      </c>
      <c r="AD3087" s="580">
        <f t="shared" si="276"/>
        <v>5</v>
      </c>
      <c r="AE3087" s="580">
        <f t="shared" si="277"/>
        <v>2.5</v>
      </c>
      <c r="AF3087" s="580">
        <f t="shared" si="278"/>
        <v>2.5</v>
      </c>
      <c r="AG3087" s="580">
        <f t="shared" si="279"/>
        <v>0</v>
      </c>
      <c r="AH3087" s="580">
        <f t="shared" si="280"/>
        <v>0</v>
      </c>
    </row>
    <row r="3088" spans="28:34">
      <c r="AB3088" s="580">
        <f>HLOOKUP("*"&amp;'Output annual'!$AC$2&amp;'Output annual'!$AD$2&amp;"*Zone People Number Of Occupants [](Hourly)",'Eplus results'!$1:$1048576,ROW(),FALSE)</f>
        <v>0</v>
      </c>
      <c r="AC3088" s="580">
        <f>HLOOKUP("*"&amp;'Output annual'!$AC$2&amp;'Output annual'!$AD$2&amp;"*FangerPMV(Hourly)",'Eplus results'!$1:$1048576,ROW(),FALSE)</f>
        <v>0</v>
      </c>
      <c r="AD3088" s="580">
        <f t="shared" si="276"/>
        <v>5</v>
      </c>
      <c r="AE3088" s="580">
        <f t="shared" si="277"/>
        <v>2.5</v>
      </c>
      <c r="AF3088" s="580">
        <f t="shared" si="278"/>
        <v>2.5</v>
      </c>
      <c r="AG3088" s="580">
        <f t="shared" si="279"/>
        <v>0</v>
      </c>
      <c r="AH3088" s="580">
        <f t="shared" si="280"/>
        <v>0</v>
      </c>
    </row>
    <row r="3089" spans="28:34">
      <c r="AB3089" s="580">
        <f>HLOOKUP("*"&amp;'Output annual'!$AC$2&amp;'Output annual'!$AD$2&amp;"*Zone People Number Of Occupants [](Hourly)",'Eplus results'!$1:$1048576,ROW(),FALSE)</f>
        <v>0</v>
      </c>
      <c r="AC3089" s="580">
        <f>HLOOKUP("*"&amp;'Output annual'!$AC$2&amp;'Output annual'!$AD$2&amp;"*FangerPMV(Hourly)",'Eplus results'!$1:$1048576,ROW(),FALSE)</f>
        <v>0</v>
      </c>
      <c r="AD3089" s="580">
        <f t="shared" si="276"/>
        <v>5</v>
      </c>
      <c r="AE3089" s="580">
        <f t="shared" si="277"/>
        <v>2.5</v>
      </c>
      <c r="AF3089" s="580">
        <f t="shared" si="278"/>
        <v>2.5</v>
      </c>
      <c r="AG3089" s="580">
        <f t="shared" si="279"/>
        <v>0</v>
      </c>
      <c r="AH3089" s="580">
        <f t="shared" si="280"/>
        <v>0</v>
      </c>
    </row>
    <row r="3090" spans="28:34">
      <c r="AB3090" s="580">
        <f>HLOOKUP("*"&amp;'Output annual'!$AC$2&amp;'Output annual'!$AD$2&amp;"*Zone People Number Of Occupants [](Hourly)",'Eplus results'!$1:$1048576,ROW(),FALSE)</f>
        <v>0</v>
      </c>
      <c r="AC3090" s="580">
        <f>HLOOKUP("*"&amp;'Output annual'!$AC$2&amp;'Output annual'!$AD$2&amp;"*FangerPMV(Hourly)",'Eplus results'!$1:$1048576,ROW(),FALSE)</f>
        <v>0</v>
      </c>
      <c r="AD3090" s="580">
        <f t="shared" si="276"/>
        <v>5</v>
      </c>
      <c r="AE3090" s="580">
        <f t="shared" si="277"/>
        <v>2.5</v>
      </c>
      <c r="AF3090" s="580">
        <f t="shared" si="278"/>
        <v>2.5</v>
      </c>
      <c r="AG3090" s="580">
        <f t="shared" si="279"/>
        <v>0</v>
      </c>
      <c r="AH3090" s="580">
        <f t="shared" si="280"/>
        <v>0</v>
      </c>
    </row>
    <row r="3091" spans="28:34">
      <c r="AB3091" s="580">
        <f>HLOOKUP("*"&amp;'Output annual'!$AC$2&amp;'Output annual'!$AD$2&amp;"*Zone People Number Of Occupants [](Hourly)",'Eplus results'!$1:$1048576,ROW(),FALSE)</f>
        <v>0</v>
      </c>
      <c r="AC3091" s="580">
        <f>HLOOKUP("*"&amp;'Output annual'!$AC$2&amp;'Output annual'!$AD$2&amp;"*FangerPMV(Hourly)",'Eplus results'!$1:$1048576,ROW(),FALSE)</f>
        <v>0</v>
      </c>
      <c r="AD3091" s="580">
        <f t="shared" si="276"/>
        <v>5</v>
      </c>
      <c r="AE3091" s="580">
        <f t="shared" si="277"/>
        <v>2.5</v>
      </c>
      <c r="AF3091" s="580">
        <f t="shared" si="278"/>
        <v>2.5</v>
      </c>
      <c r="AG3091" s="580">
        <f t="shared" si="279"/>
        <v>0</v>
      </c>
      <c r="AH3091" s="580">
        <f t="shared" si="280"/>
        <v>0</v>
      </c>
    </row>
    <row r="3092" spans="28:34">
      <c r="AB3092" s="580">
        <f>HLOOKUP("*"&amp;'Output annual'!$AC$2&amp;'Output annual'!$AD$2&amp;"*Zone People Number Of Occupants [](Hourly)",'Eplus results'!$1:$1048576,ROW(),FALSE)</f>
        <v>0</v>
      </c>
      <c r="AC3092" s="580">
        <f>HLOOKUP("*"&amp;'Output annual'!$AC$2&amp;'Output annual'!$AD$2&amp;"*FangerPMV(Hourly)",'Eplus results'!$1:$1048576,ROW(),FALSE)</f>
        <v>0</v>
      </c>
      <c r="AD3092" s="580">
        <f t="shared" si="276"/>
        <v>5</v>
      </c>
      <c r="AE3092" s="580">
        <f t="shared" si="277"/>
        <v>2.5</v>
      </c>
      <c r="AF3092" s="580">
        <f t="shared" si="278"/>
        <v>2.5</v>
      </c>
      <c r="AG3092" s="580">
        <f t="shared" si="279"/>
        <v>0</v>
      </c>
      <c r="AH3092" s="580">
        <f t="shared" si="280"/>
        <v>0</v>
      </c>
    </row>
    <row r="3093" spans="28:34">
      <c r="AB3093" s="580">
        <f>HLOOKUP("*"&amp;'Output annual'!$AC$2&amp;'Output annual'!$AD$2&amp;"*Zone People Number Of Occupants [](Hourly)",'Eplus results'!$1:$1048576,ROW(),FALSE)</f>
        <v>0</v>
      </c>
      <c r="AC3093" s="580">
        <f>HLOOKUP("*"&amp;'Output annual'!$AC$2&amp;'Output annual'!$AD$2&amp;"*FangerPMV(Hourly)",'Eplus results'!$1:$1048576,ROW(),FALSE)</f>
        <v>0</v>
      </c>
      <c r="AD3093" s="580">
        <f t="shared" si="276"/>
        <v>5</v>
      </c>
      <c r="AE3093" s="580">
        <f t="shared" si="277"/>
        <v>2.5</v>
      </c>
      <c r="AF3093" s="580">
        <f t="shared" si="278"/>
        <v>2.5</v>
      </c>
      <c r="AG3093" s="580">
        <f t="shared" si="279"/>
        <v>0</v>
      </c>
      <c r="AH3093" s="580">
        <f t="shared" si="280"/>
        <v>0</v>
      </c>
    </row>
    <row r="3094" spans="28:34">
      <c r="AB3094" s="580">
        <f>HLOOKUP("*"&amp;'Output annual'!$AC$2&amp;'Output annual'!$AD$2&amp;"*Zone People Number Of Occupants [](Hourly)",'Eplus results'!$1:$1048576,ROW(),FALSE)</f>
        <v>0</v>
      </c>
      <c r="AC3094" s="580">
        <f>HLOOKUP("*"&amp;'Output annual'!$AC$2&amp;'Output annual'!$AD$2&amp;"*FangerPMV(Hourly)",'Eplus results'!$1:$1048576,ROW(),FALSE)</f>
        <v>0</v>
      </c>
      <c r="AD3094" s="580">
        <f t="shared" si="276"/>
        <v>5</v>
      </c>
      <c r="AE3094" s="580">
        <f t="shared" si="277"/>
        <v>2.5</v>
      </c>
      <c r="AF3094" s="580">
        <f t="shared" si="278"/>
        <v>2.5</v>
      </c>
      <c r="AG3094" s="580">
        <f t="shared" si="279"/>
        <v>0</v>
      </c>
      <c r="AH3094" s="580">
        <f t="shared" si="280"/>
        <v>0</v>
      </c>
    </row>
    <row r="3095" spans="28:34">
      <c r="AB3095" s="580">
        <f>HLOOKUP("*"&amp;'Output annual'!$AC$2&amp;'Output annual'!$AD$2&amp;"*Zone People Number Of Occupants [](Hourly)",'Eplus results'!$1:$1048576,ROW(),FALSE)</f>
        <v>0</v>
      </c>
      <c r="AC3095" s="580">
        <f>HLOOKUP("*"&amp;'Output annual'!$AC$2&amp;'Output annual'!$AD$2&amp;"*FangerPMV(Hourly)",'Eplus results'!$1:$1048576,ROW(),FALSE)</f>
        <v>0</v>
      </c>
      <c r="AD3095" s="580">
        <f t="shared" si="276"/>
        <v>5</v>
      </c>
      <c r="AE3095" s="580">
        <f t="shared" si="277"/>
        <v>2.5</v>
      </c>
      <c r="AF3095" s="580">
        <f t="shared" si="278"/>
        <v>2.5</v>
      </c>
      <c r="AG3095" s="580">
        <f t="shared" si="279"/>
        <v>0</v>
      </c>
      <c r="AH3095" s="580">
        <f t="shared" si="280"/>
        <v>0</v>
      </c>
    </row>
    <row r="3096" spans="28:34">
      <c r="AB3096" s="580">
        <f>HLOOKUP("*"&amp;'Output annual'!$AC$2&amp;'Output annual'!$AD$2&amp;"*Zone People Number Of Occupants [](Hourly)",'Eplus results'!$1:$1048576,ROW(),FALSE)</f>
        <v>0</v>
      </c>
      <c r="AC3096" s="580">
        <f>HLOOKUP("*"&amp;'Output annual'!$AC$2&amp;'Output annual'!$AD$2&amp;"*FangerPMV(Hourly)",'Eplus results'!$1:$1048576,ROW(),FALSE)</f>
        <v>0</v>
      </c>
      <c r="AD3096" s="580">
        <f t="shared" si="276"/>
        <v>5</v>
      </c>
      <c r="AE3096" s="580">
        <f t="shared" si="277"/>
        <v>2.5</v>
      </c>
      <c r="AF3096" s="580">
        <f t="shared" si="278"/>
        <v>2.5</v>
      </c>
      <c r="AG3096" s="580">
        <f t="shared" si="279"/>
        <v>0</v>
      </c>
      <c r="AH3096" s="580">
        <f t="shared" si="280"/>
        <v>0</v>
      </c>
    </row>
    <row r="3097" spans="28:34">
      <c r="AB3097" s="580">
        <f>HLOOKUP("*"&amp;'Output annual'!$AC$2&amp;'Output annual'!$AD$2&amp;"*Zone People Number Of Occupants [](Hourly)",'Eplus results'!$1:$1048576,ROW(),FALSE)</f>
        <v>0</v>
      </c>
      <c r="AC3097" s="580">
        <f>HLOOKUP("*"&amp;'Output annual'!$AC$2&amp;'Output annual'!$AD$2&amp;"*FangerPMV(Hourly)",'Eplus results'!$1:$1048576,ROW(),FALSE)</f>
        <v>0</v>
      </c>
      <c r="AD3097" s="580">
        <f t="shared" si="276"/>
        <v>5</v>
      </c>
      <c r="AE3097" s="580">
        <f t="shared" si="277"/>
        <v>2.5</v>
      </c>
      <c r="AF3097" s="580">
        <f t="shared" si="278"/>
        <v>2.5</v>
      </c>
      <c r="AG3097" s="580">
        <f t="shared" si="279"/>
        <v>0</v>
      </c>
      <c r="AH3097" s="580">
        <f t="shared" si="280"/>
        <v>0</v>
      </c>
    </row>
    <row r="3098" spans="28:34">
      <c r="AB3098" s="580">
        <f>HLOOKUP("*"&amp;'Output annual'!$AC$2&amp;'Output annual'!$AD$2&amp;"*Zone People Number Of Occupants [](Hourly)",'Eplus results'!$1:$1048576,ROW(),FALSE)</f>
        <v>0</v>
      </c>
      <c r="AC3098" s="580">
        <f>HLOOKUP("*"&amp;'Output annual'!$AC$2&amp;'Output annual'!$AD$2&amp;"*FangerPMV(Hourly)",'Eplus results'!$1:$1048576,ROW(),FALSE)</f>
        <v>0</v>
      </c>
      <c r="AD3098" s="580">
        <f t="shared" si="276"/>
        <v>5</v>
      </c>
      <c r="AE3098" s="580">
        <f t="shared" si="277"/>
        <v>2.5</v>
      </c>
      <c r="AF3098" s="580">
        <f t="shared" si="278"/>
        <v>2.5</v>
      </c>
      <c r="AG3098" s="580">
        <f t="shared" si="279"/>
        <v>0</v>
      </c>
      <c r="AH3098" s="580">
        <f t="shared" si="280"/>
        <v>0</v>
      </c>
    </row>
    <row r="3099" spans="28:34">
      <c r="AB3099" s="580">
        <f>HLOOKUP("*"&amp;'Output annual'!$AC$2&amp;'Output annual'!$AD$2&amp;"*Zone People Number Of Occupants [](Hourly)",'Eplus results'!$1:$1048576,ROW(),FALSE)</f>
        <v>0</v>
      </c>
      <c r="AC3099" s="580">
        <f>HLOOKUP("*"&amp;'Output annual'!$AC$2&amp;'Output annual'!$AD$2&amp;"*FangerPMV(Hourly)",'Eplus results'!$1:$1048576,ROW(),FALSE)</f>
        <v>0</v>
      </c>
      <c r="AD3099" s="580">
        <f t="shared" si="276"/>
        <v>5</v>
      </c>
      <c r="AE3099" s="580">
        <f t="shared" si="277"/>
        <v>2.5</v>
      </c>
      <c r="AF3099" s="580">
        <f t="shared" si="278"/>
        <v>2.5</v>
      </c>
      <c r="AG3099" s="580">
        <f t="shared" si="279"/>
        <v>0</v>
      </c>
      <c r="AH3099" s="580">
        <f t="shared" si="280"/>
        <v>0</v>
      </c>
    </row>
    <row r="3100" spans="28:34">
      <c r="AB3100" s="580">
        <f>HLOOKUP("*"&amp;'Output annual'!$AC$2&amp;'Output annual'!$AD$2&amp;"*Zone People Number Of Occupants [](Hourly)",'Eplus results'!$1:$1048576,ROW(),FALSE)</f>
        <v>0</v>
      </c>
      <c r="AC3100" s="580">
        <f>HLOOKUP("*"&amp;'Output annual'!$AC$2&amp;'Output annual'!$AD$2&amp;"*FangerPMV(Hourly)",'Eplus results'!$1:$1048576,ROW(),FALSE)</f>
        <v>0</v>
      </c>
      <c r="AD3100" s="580">
        <f t="shared" si="276"/>
        <v>5</v>
      </c>
      <c r="AE3100" s="580">
        <f t="shared" si="277"/>
        <v>2.5</v>
      </c>
      <c r="AF3100" s="580">
        <f t="shared" si="278"/>
        <v>2.5</v>
      </c>
      <c r="AG3100" s="580">
        <f t="shared" si="279"/>
        <v>0</v>
      </c>
      <c r="AH3100" s="580">
        <f t="shared" si="280"/>
        <v>0</v>
      </c>
    </row>
    <row r="3101" spans="28:34">
      <c r="AB3101" s="580">
        <f>HLOOKUP("*"&amp;'Output annual'!$AC$2&amp;'Output annual'!$AD$2&amp;"*Zone People Number Of Occupants [](Hourly)",'Eplus results'!$1:$1048576,ROW(),FALSE)</f>
        <v>0</v>
      </c>
      <c r="AC3101" s="580">
        <f>HLOOKUP("*"&amp;'Output annual'!$AC$2&amp;'Output annual'!$AD$2&amp;"*FangerPMV(Hourly)",'Eplus results'!$1:$1048576,ROW(),FALSE)</f>
        <v>0</v>
      </c>
      <c r="AD3101" s="580">
        <f t="shared" si="276"/>
        <v>5</v>
      </c>
      <c r="AE3101" s="580">
        <f t="shared" si="277"/>
        <v>2.5</v>
      </c>
      <c r="AF3101" s="580">
        <f t="shared" si="278"/>
        <v>2.5</v>
      </c>
      <c r="AG3101" s="580">
        <f t="shared" si="279"/>
        <v>0</v>
      </c>
      <c r="AH3101" s="580">
        <f t="shared" si="280"/>
        <v>0</v>
      </c>
    </row>
    <row r="3102" spans="28:34">
      <c r="AB3102" s="580">
        <f>HLOOKUP("*"&amp;'Output annual'!$AC$2&amp;'Output annual'!$AD$2&amp;"*Zone People Number Of Occupants [](Hourly)",'Eplus results'!$1:$1048576,ROW(),FALSE)</f>
        <v>0</v>
      </c>
      <c r="AC3102" s="580">
        <f>HLOOKUP("*"&amp;'Output annual'!$AC$2&amp;'Output annual'!$AD$2&amp;"*FangerPMV(Hourly)",'Eplus results'!$1:$1048576,ROW(),FALSE)</f>
        <v>0</v>
      </c>
      <c r="AD3102" s="580">
        <f t="shared" si="276"/>
        <v>5</v>
      </c>
      <c r="AE3102" s="580">
        <f t="shared" si="277"/>
        <v>2.5</v>
      </c>
      <c r="AF3102" s="580">
        <f t="shared" si="278"/>
        <v>2.5</v>
      </c>
      <c r="AG3102" s="580">
        <f t="shared" si="279"/>
        <v>0</v>
      </c>
      <c r="AH3102" s="580">
        <f t="shared" si="280"/>
        <v>0</v>
      </c>
    </row>
    <row r="3103" spans="28:34">
      <c r="AB3103" s="580">
        <f>HLOOKUP("*"&amp;'Output annual'!$AC$2&amp;'Output annual'!$AD$2&amp;"*Zone People Number Of Occupants [](Hourly)",'Eplus results'!$1:$1048576,ROW(),FALSE)</f>
        <v>0</v>
      </c>
      <c r="AC3103" s="580">
        <f>HLOOKUP("*"&amp;'Output annual'!$AC$2&amp;'Output annual'!$AD$2&amp;"*FangerPMV(Hourly)",'Eplus results'!$1:$1048576,ROW(),FALSE)</f>
        <v>0</v>
      </c>
      <c r="AD3103" s="580">
        <f t="shared" si="276"/>
        <v>5</v>
      </c>
      <c r="AE3103" s="580">
        <f t="shared" si="277"/>
        <v>2.5</v>
      </c>
      <c r="AF3103" s="580">
        <f t="shared" si="278"/>
        <v>2.5</v>
      </c>
      <c r="AG3103" s="580">
        <f t="shared" si="279"/>
        <v>0</v>
      </c>
      <c r="AH3103" s="580">
        <f t="shared" si="280"/>
        <v>0</v>
      </c>
    </row>
    <row r="3104" spans="28:34">
      <c r="AB3104" s="580">
        <f>HLOOKUP("*"&amp;'Output annual'!$AC$2&amp;'Output annual'!$AD$2&amp;"*Zone People Number Of Occupants [](Hourly)",'Eplus results'!$1:$1048576,ROW(),FALSE)</f>
        <v>0</v>
      </c>
      <c r="AC3104" s="580">
        <f>HLOOKUP("*"&amp;'Output annual'!$AC$2&amp;'Output annual'!$AD$2&amp;"*FangerPMV(Hourly)",'Eplus results'!$1:$1048576,ROW(),FALSE)</f>
        <v>0</v>
      </c>
      <c r="AD3104" s="580">
        <f t="shared" si="276"/>
        <v>5</v>
      </c>
      <c r="AE3104" s="580">
        <f t="shared" si="277"/>
        <v>2.5</v>
      </c>
      <c r="AF3104" s="580">
        <f t="shared" si="278"/>
        <v>2.5</v>
      </c>
      <c r="AG3104" s="580">
        <f t="shared" si="279"/>
        <v>0</v>
      </c>
      <c r="AH3104" s="580">
        <f t="shared" si="280"/>
        <v>0</v>
      </c>
    </row>
    <row r="3105" spans="28:34">
      <c r="AB3105" s="580">
        <f>HLOOKUP("*"&amp;'Output annual'!$AC$2&amp;'Output annual'!$AD$2&amp;"*Zone People Number Of Occupants [](Hourly)",'Eplus results'!$1:$1048576,ROW(),FALSE)</f>
        <v>0</v>
      </c>
      <c r="AC3105" s="580">
        <f>HLOOKUP("*"&amp;'Output annual'!$AC$2&amp;'Output annual'!$AD$2&amp;"*FangerPMV(Hourly)",'Eplus results'!$1:$1048576,ROW(),FALSE)</f>
        <v>0</v>
      </c>
      <c r="AD3105" s="580">
        <f t="shared" si="276"/>
        <v>5</v>
      </c>
      <c r="AE3105" s="580">
        <f t="shared" si="277"/>
        <v>2.5</v>
      </c>
      <c r="AF3105" s="580">
        <f t="shared" si="278"/>
        <v>2.5</v>
      </c>
      <c r="AG3105" s="580">
        <f t="shared" si="279"/>
        <v>0</v>
      </c>
      <c r="AH3105" s="580">
        <f t="shared" si="280"/>
        <v>0</v>
      </c>
    </row>
    <row r="3106" spans="28:34">
      <c r="AB3106" s="580">
        <f>HLOOKUP("*"&amp;'Output annual'!$AC$2&amp;'Output annual'!$AD$2&amp;"*Zone People Number Of Occupants [](Hourly)",'Eplus results'!$1:$1048576,ROW(),FALSE)</f>
        <v>0</v>
      </c>
      <c r="AC3106" s="580">
        <f>HLOOKUP("*"&amp;'Output annual'!$AC$2&amp;'Output annual'!$AD$2&amp;"*FangerPMV(Hourly)",'Eplus results'!$1:$1048576,ROW(),FALSE)</f>
        <v>0</v>
      </c>
      <c r="AD3106" s="580">
        <f t="shared" si="276"/>
        <v>5</v>
      </c>
      <c r="AE3106" s="580">
        <f t="shared" si="277"/>
        <v>2.5</v>
      </c>
      <c r="AF3106" s="580">
        <f t="shared" si="278"/>
        <v>2.5</v>
      </c>
      <c r="AG3106" s="580">
        <f t="shared" si="279"/>
        <v>0</v>
      </c>
      <c r="AH3106" s="580">
        <f t="shared" si="280"/>
        <v>0</v>
      </c>
    </row>
    <row r="3107" spans="28:34">
      <c r="AB3107" s="580">
        <f>HLOOKUP("*"&amp;'Output annual'!$AC$2&amp;'Output annual'!$AD$2&amp;"*Zone People Number Of Occupants [](Hourly)",'Eplus results'!$1:$1048576,ROW(),FALSE)</f>
        <v>0</v>
      </c>
      <c r="AC3107" s="580">
        <f>HLOOKUP("*"&amp;'Output annual'!$AC$2&amp;'Output annual'!$AD$2&amp;"*FangerPMV(Hourly)",'Eplus results'!$1:$1048576,ROW(),FALSE)</f>
        <v>0</v>
      </c>
      <c r="AD3107" s="580">
        <f t="shared" si="276"/>
        <v>5</v>
      </c>
      <c r="AE3107" s="580">
        <f t="shared" si="277"/>
        <v>2.5</v>
      </c>
      <c r="AF3107" s="580">
        <f t="shared" si="278"/>
        <v>2.5</v>
      </c>
      <c r="AG3107" s="580">
        <f t="shared" si="279"/>
        <v>0</v>
      </c>
      <c r="AH3107" s="580">
        <f t="shared" si="280"/>
        <v>0</v>
      </c>
    </row>
    <row r="3108" spans="28:34">
      <c r="AB3108" s="580">
        <f>HLOOKUP("*"&amp;'Output annual'!$AC$2&amp;'Output annual'!$AD$2&amp;"*Zone People Number Of Occupants [](Hourly)",'Eplus results'!$1:$1048576,ROW(),FALSE)</f>
        <v>0</v>
      </c>
      <c r="AC3108" s="580">
        <f>HLOOKUP("*"&amp;'Output annual'!$AC$2&amp;'Output annual'!$AD$2&amp;"*FangerPMV(Hourly)",'Eplus results'!$1:$1048576,ROW(),FALSE)</f>
        <v>0</v>
      </c>
      <c r="AD3108" s="580">
        <f t="shared" si="276"/>
        <v>5</v>
      </c>
      <c r="AE3108" s="580">
        <f t="shared" si="277"/>
        <v>2.5</v>
      </c>
      <c r="AF3108" s="580">
        <f t="shared" si="278"/>
        <v>2.5</v>
      </c>
      <c r="AG3108" s="580">
        <f t="shared" si="279"/>
        <v>0</v>
      </c>
      <c r="AH3108" s="580">
        <f t="shared" si="280"/>
        <v>0</v>
      </c>
    </row>
    <row r="3109" spans="28:34">
      <c r="AB3109" s="580">
        <f>HLOOKUP("*"&amp;'Output annual'!$AC$2&amp;'Output annual'!$AD$2&amp;"*Zone People Number Of Occupants [](Hourly)",'Eplus results'!$1:$1048576,ROW(),FALSE)</f>
        <v>0</v>
      </c>
      <c r="AC3109" s="580">
        <f>HLOOKUP("*"&amp;'Output annual'!$AC$2&amp;'Output annual'!$AD$2&amp;"*FangerPMV(Hourly)",'Eplus results'!$1:$1048576,ROW(),FALSE)</f>
        <v>0</v>
      </c>
      <c r="AD3109" s="580">
        <f t="shared" si="276"/>
        <v>5</v>
      </c>
      <c r="AE3109" s="580">
        <f t="shared" si="277"/>
        <v>2.5</v>
      </c>
      <c r="AF3109" s="580">
        <f t="shared" si="278"/>
        <v>2.5</v>
      </c>
      <c r="AG3109" s="580">
        <f t="shared" si="279"/>
        <v>0</v>
      </c>
      <c r="AH3109" s="580">
        <f t="shared" si="280"/>
        <v>0</v>
      </c>
    </row>
    <row r="3110" spans="28:34">
      <c r="AB3110" s="580">
        <f>HLOOKUP("*"&amp;'Output annual'!$AC$2&amp;'Output annual'!$AD$2&amp;"*Zone People Number Of Occupants [](Hourly)",'Eplus results'!$1:$1048576,ROW(),FALSE)</f>
        <v>0</v>
      </c>
      <c r="AC3110" s="580">
        <f>HLOOKUP("*"&amp;'Output annual'!$AC$2&amp;'Output annual'!$AD$2&amp;"*FangerPMV(Hourly)",'Eplus results'!$1:$1048576,ROW(),FALSE)</f>
        <v>0</v>
      </c>
      <c r="AD3110" s="580">
        <f t="shared" si="276"/>
        <v>5</v>
      </c>
      <c r="AE3110" s="580">
        <f t="shared" si="277"/>
        <v>2.5</v>
      </c>
      <c r="AF3110" s="580">
        <f t="shared" si="278"/>
        <v>2.5</v>
      </c>
      <c r="AG3110" s="580">
        <f t="shared" si="279"/>
        <v>0</v>
      </c>
      <c r="AH3110" s="580">
        <f t="shared" si="280"/>
        <v>0</v>
      </c>
    </row>
    <row r="3111" spans="28:34">
      <c r="AB3111" s="580">
        <f>HLOOKUP("*"&amp;'Output annual'!$AC$2&amp;'Output annual'!$AD$2&amp;"*Zone People Number Of Occupants [](Hourly)",'Eplus results'!$1:$1048576,ROW(),FALSE)</f>
        <v>0</v>
      </c>
      <c r="AC3111" s="580">
        <f>HLOOKUP("*"&amp;'Output annual'!$AC$2&amp;'Output annual'!$AD$2&amp;"*FangerPMV(Hourly)",'Eplus results'!$1:$1048576,ROW(),FALSE)</f>
        <v>0</v>
      </c>
      <c r="AD3111" s="580">
        <f t="shared" si="276"/>
        <v>5</v>
      </c>
      <c r="AE3111" s="580">
        <f t="shared" si="277"/>
        <v>2.5</v>
      </c>
      <c r="AF3111" s="580">
        <f t="shared" si="278"/>
        <v>2.5</v>
      </c>
      <c r="AG3111" s="580">
        <f t="shared" si="279"/>
        <v>0</v>
      </c>
      <c r="AH3111" s="580">
        <f t="shared" si="280"/>
        <v>0</v>
      </c>
    </row>
    <row r="3112" spans="28:34">
      <c r="AB3112" s="580">
        <f>HLOOKUP("*"&amp;'Output annual'!$AC$2&amp;'Output annual'!$AD$2&amp;"*Zone People Number Of Occupants [](Hourly)",'Eplus results'!$1:$1048576,ROW(),FALSE)</f>
        <v>0</v>
      </c>
      <c r="AC3112" s="580">
        <f>HLOOKUP("*"&amp;'Output annual'!$AC$2&amp;'Output annual'!$AD$2&amp;"*FangerPMV(Hourly)",'Eplus results'!$1:$1048576,ROW(),FALSE)</f>
        <v>0</v>
      </c>
      <c r="AD3112" s="580">
        <f t="shared" si="276"/>
        <v>5</v>
      </c>
      <c r="AE3112" s="580">
        <f t="shared" si="277"/>
        <v>2.5</v>
      </c>
      <c r="AF3112" s="580">
        <f t="shared" si="278"/>
        <v>2.5</v>
      </c>
      <c r="AG3112" s="580">
        <f t="shared" si="279"/>
        <v>0</v>
      </c>
      <c r="AH3112" s="580">
        <f t="shared" si="280"/>
        <v>0</v>
      </c>
    </row>
    <row r="3113" spans="28:34">
      <c r="AB3113" s="580">
        <f>HLOOKUP("*"&amp;'Output annual'!$AC$2&amp;'Output annual'!$AD$2&amp;"*Zone People Number Of Occupants [](Hourly)",'Eplus results'!$1:$1048576,ROW(),FALSE)</f>
        <v>0</v>
      </c>
      <c r="AC3113" s="580">
        <f>HLOOKUP("*"&amp;'Output annual'!$AC$2&amp;'Output annual'!$AD$2&amp;"*FangerPMV(Hourly)",'Eplus results'!$1:$1048576,ROW(),FALSE)</f>
        <v>0</v>
      </c>
      <c r="AD3113" s="580">
        <f t="shared" si="276"/>
        <v>5</v>
      </c>
      <c r="AE3113" s="580">
        <f t="shared" si="277"/>
        <v>2.5</v>
      </c>
      <c r="AF3113" s="580">
        <f t="shared" si="278"/>
        <v>2.5</v>
      </c>
      <c r="AG3113" s="580">
        <f t="shared" si="279"/>
        <v>0</v>
      </c>
      <c r="AH3113" s="580">
        <f t="shared" si="280"/>
        <v>0</v>
      </c>
    </row>
    <row r="3114" spans="28:34">
      <c r="AB3114" s="580">
        <f>HLOOKUP("*"&amp;'Output annual'!$AC$2&amp;'Output annual'!$AD$2&amp;"*Zone People Number Of Occupants [](Hourly)",'Eplus results'!$1:$1048576,ROW(),FALSE)</f>
        <v>0</v>
      </c>
      <c r="AC3114" s="580">
        <f>HLOOKUP("*"&amp;'Output annual'!$AC$2&amp;'Output annual'!$AD$2&amp;"*FangerPMV(Hourly)",'Eplus results'!$1:$1048576,ROW(),FALSE)</f>
        <v>0</v>
      </c>
      <c r="AD3114" s="580">
        <f t="shared" si="276"/>
        <v>5</v>
      </c>
      <c r="AE3114" s="580">
        <f t="shared" si="277"/>
        <v>2.5</v>
      </c>
      <c r="AF3114" s="580">
        <f t="shared" si="278"/>
        <v>2.5</v>
      </c>
      <c r="AG3114" s="580">
        <f t="shared" si="279"/>
        <v>0</v>
      </c>
      <c r="AH3114" s="580">
        <f t="shared" si="280"/>
        <v>0</v>
      </c>
    </row>
    <row r="3115" spans="28:34">
      <c r="AB3115" s="580">
        <f>HLOOKUP("*"&amp;'Output annual'!$AC$2&amp;'Output annual'!$AD$2&amp;"*Zone People Number Of Occupants [](Hourly)",'Eplus results'!$1:$1048576,ROW(),FALSE)</f>
        <v>0</v>
      </c>
      <c r="AC3115" s="580">
        <f>HLOOKUP("*"&amp;'Output annual'!$AC$2&amp;'Output annual'!$AD$2&amp;"*FangerPMV(Hourly)",'Eplus results'!$1:$1048576,ROW(),FALSE)</f>
        <v>0</v>
      </c>
      <c r="AD3115" s="580">
        <f t="shared" si="276"/>
        <v>5</v>
      </c>
      <c r="AE3115" s="580">
        <f t="shared" si="277"/>
        <v>2.5</v>
      </c>
      <c r="AF3115" s="580">
        <f t="shared" si="278"/>
        <v>2.5</v>
      </c>
      <c r="AG3115" s="580">
        <f t="shared" si="279"/>
        <v>0</v>
      </c>
      <c r="AH3115" s="580">
        <f t="shared" si="280"/>
        <v>0</v>
      </c>
    </row>
    <row r="3116" spans="28:34">
      <c r="AB3116" s="580">
        <f>HLOOKUP("*"&amp;'Output annual'!$AC$2&amp;'Output annual'!$AD$2&amp;"*Zone People Number Of Occupants [](Hourly)",'Eplus results'!$1:$1048576,ROW(),FALSE)</f>
        <v>0</v>
      </c>
      <c r="AC3116" s="580">
        <f>HLOOKUP("*"&amp;'Output annual'!$AC$2&amp;'Output annual'!$AD$2&amp;"*FangerPMV(Hourly)",'Eplus results'!$1:$1048576,ROW(),FALSE)</f>
        <v>0</v>
      </c>
      <c r="AD3116" s="580">
        <f t="shared" si="276"/>
        <v>5</v>
      </c>
      <c r="AE3116" s="580">
        <f t="shared" si="277"/>
        <v>2.5</v>
      </c>
      <c r="AF3116" s="580">
        <f t="shared" si="278"/>
        <v>2.5</v>
      </c>
      <c r="AG3116" s="580">
        <f t="shared" si="279"/>
        <v>0</v>
      </c>
      <c r="AH3116" s="580">
        <f t="shared" si="280"/>
        <v>0</v>
      </c>
    </row>
    <row r="3117" spans="28:34">
      <c r="AB3117" s="580">
        <f>HLOOKUP("*"&amp;'Output annual'!$AC$2&amp;'Output annual'!$AD$2&amp;"*Zone People Number Of Occupants [](Hourly)",'Eplus results'!$1:$1048576,ROW(),FALSE)</f>
        <v>0</v>
      </c>
      <c r="AC3117" s="580">
        <f>HLOOKUP("*"&amp;'Output annual'!$AC$2&amp;'Output annual'!$AD$2&amp;"*FangerPMV(Hourly)",'Eplus results'!$1:$1048576,ROW(),FALSE)</f>
        <v>0</v>
      </c>
      <c r="AD3117" s="580">
        <f t="shared" si="276"/>
        <v>5</v>
      </c>
      <c r="AE3117" s="580">
        <f t="shared" si="277"/>
        <v>2.5</v>
      </c>
      <c r="AF3117" s="580">
        <f t="shared" si="278"/>
        <v>2.5</v>
      </c>
      <c r="AG3117" s="580">
        <f t="shared" si="279"/>
        <v>0</v>
      </c>
      <c r="AH3117" s="580">
        <f t="shared" si="280"/>
        <v>0</v>
      </c>
    </row>
    <row r="3118" spans="28:34">
      <c r="AB3118" s="580">
        <f>HLOOKUP("*"&amp;'Output annual'!$AC$2&amp;'Output annual'!$AD$2&amp;"*Zone People Number Of Occupants [](Hourly)",'Eplus results'!$1:$1048576,ROW(),FALSE)</f>
        <v>0</v>
      </c>
      <c r="AC3118" s="580">
        <f>HLOOKUP("*"&amp;'Output annual'!$AC$2&amp;'Output annual'!$AD$2&amp;"*FangerPMV(Hourly)",'Eplus results'!$1:$1048576,ROW(),FALSE)</f>
        <v>0</v>
      </c>
      <c r="AD3118" s="580">
        <f t="shared" si="276"/>
        <v>5</v>
      </c>
      <c r="AE3118" s="580">
        <f t="shared" si="277"/>
        <v>2.5</v>
      </c>
      <c r="AF3118" s="580">
        <f t="shared" si="278"/>
        <v>2.5</v>
      </c>
      <c r="AG3118" s="580">
        <f t="shared" si="279"/>
        <v>0</v>
      </c>
      <c r="AH3118" s="580">
        <f t="shared" si="280"/>
        <v>0</v>
      </c>
    </row>
    <row r="3119" spans="28:34">
      <c r="AB3119" s="580">
        <f>HLOOKUP("*"&amp;'Output annual'!$AC$2&amp;'Output annual'!$AD$2&amp;"*Zone People Number Of Occupants [](Hourly)",'Eplus results'!$1:$1048576,ROW(),FALSE)</f>
        <v>0</v>
      </c>
      <c r="AC3119" s="580">
        <f>HLOOKUP("*"&amp;'Output annual'!$AC$2&amp;'Output annual'!$AD$2&amp;"*FangerPMV(Hourly)",'Eplus results'!$1:$1048576,ROW(),FALSE)</f>
        <v>0</v>
      </c>
      <c r="AD3119" s="580">
        <f t="shared" si="276"/>
        <v>5</v>
      </c>
      <c r="AE3119" s="580">
        <f t="shared" si="277"/>
        <v>2.5</v>
      </c>
      <c r="AF3119" s="580">
        <f t="shared" si="278"/>
        <v>2.5</v>
      </c>
      <c r="AG3119" s="580">
        <f t="shared" si="279"/>
        <v>0</v>
      </c>
      <c r="AH3119" s="580">
        <f t="shared" si="280"/>
        <v>0</v>
      </c>
    </row>
    <row r="3120" spans="28:34">
      <c r="AB3120" s="580">
        <f>HLOOKUP("*"&amp;'Output annual'!$AC$2&amp;'Output annual'!$AD$2&amp;"*Zone People Number Of Occupants [](Hourly)",'Eplus results'!$1:$1048576,ROW(),FALSE)</f>
        <v>0</v>
      </c>
      <c r="AC3120" s="580">
        <f>HLOOKUP("*"&amp;'Output annual'!$AC$2&amp;'Output annual'!$AD$2&amp;"*FangerPMV(Hourly)",'Eplus results'!$1:$1048576,ROW(),FALSE)</f>
        <v>0</v>
      </c>
      <c r="AD3120" s="580">
        <f t="shared" si="276"/>
        <v>5</v>
      </c>
      <c r="AE3120" s="580">
        <f t="shared" si="277"/>
        <v>2.5</v>
      </c>
      <c r="AF3120" s="580">
        <f t="shared" si="278"/>
        <v>2.5</v>
      </c>
      <c r="AG3120" s="580">
        <f t="shared" si="279"/>
        <v>0</v>
      </c>
      <c r="AH3120" s="580">
        <f t="shared" si="280"/>
        <v>0</v>
      </c>
    </row>
    <row r="3121" spans="28:34">
      <c r="AB3121" s="580">
        <f>HLOOKUP("*"&amp;'Output annual'!$AC$2&amp;'Output annual'!$AD$2&amp;"*Zone People Number Of Occupants [](Hourly)",'Eplus results'!$1:$1048576,ROW(),FALSE)</f>
        <v>0</v>
      </c>
      <c r="AC3121" s="580">
        <f>HLOOKUP("*"&amp;'Output annual'!$AC$2&amp;'Output annual'!$AD$2&amp;"*FangerPMV(Hourly)",'Eplus results'!$1:$1048576,ROW(),FALSE)</f>
        <v>0</v>
      </c>
      <c r="AD3121" s="580">
        <f t="shared" si="276"/>
        <v>5</v>
      </c>
      <c r="AE3121" s="580">
        <f t="shared" si="277"/>
        <v>2.5</v>
      </c>
      <c r="AF3121" s="580">
        <f t="shared" si="278"/>
        <v>2.5</v>
      </c>
      <c r="AG3121" s="580">
        <f t="shared" si="279"/>
        <v>0</v>
      </c>
      <c r="AH3121" s="580">
        <f t="shared" si="280"/>
        <v>0</v>
      </c>
    </row>
    <row r="3122" spans="28:34">
      <c r="AB3122" s="580">
        <f>HLOOKUP("*"&amp;'Output annual'!$AC$2&amp;'Output annual'!$AD$2&amp;"*Zone People Number Of Occupants [](Hourly)",'Eplus results'!$1:$1048576,ROW(),FALSE)</f>
        <v>0</v>
      </c>
      <c r="AC3122" s="580">
        <f>HLOOKUP("*"&amp;'Output annual'!$AC$2&amp;'Output annual'!$AD$2&amp;"*FangerPMV(Hourly)",'Eplus results'!$1:$1048576,ROW(),FALSE)</f>
        <v>0</v>
      </c>
      <c r="AD3122" s="580">
        <f t="shared" si="276"/>
        <v>5</v>
      </c>
      <c r="AE3122" s="580">
        <f t="shared" si="277"/>
        <v>2.5</v>
      </c>
      <c r="AF3122" s="580">
        <f t="shared" si="278"/>
        <v>2.5</v>
      </c>
      <c r="AG3122" s="580">
        <f t="shared" si="279"/>
        <v>0</v>
      </c>
      <c r="AH3122" s="580">
        <f t="shared" si="280"/>
        <v>0</v>
      </c>
    </row>
    <row r="3123" spans="28:34">
      <c r="AB3123" s="580">
        <f>HLOOKUP("*"&amp;'Output annual'!$AC$2&amp;'Output annual'!$AD$2&amp;"*Zone People Number Of Occupants [](Hourly)",'Eplus results'!$1:$1048576,ROW(),FALSE)</f>
        <v>0</v>
      </c>
      <c r="AC3123" s="580">
        <f>HLOOKUP("*"&amp;'Output annual'!$AC$2&amp;'Output annual'!$AD$2&amp;"*FangerPMV(Hourly)",'Eplus results'!$1:$1048576,ROW(),FALSE)</f>
        <v>0</v>
      </c>
      <c r="AD3123" s="580">
        <f t="shared" si="276"/>
        <v>5</v>
      </c>
      <c r="AE3123" s="580">
        <f t="shared" si="277"/>
        <v>2.5</v>
      </c>
      <c r="AF3123" s="580">
        <f t="shared" si="278"/>
        <v>2.5</v>
      </c>
      <c r="AG3123" s="580">
        <f t="shared" si="279"/>
        <v>0</v>
      </c>
      <c r="AH3123" s="580">
        <f t="shared" si="280"/>
        <v>0</v>
      </c>
    </row>
    <row r="3124" spans="28:34">
      <c r="AB3124" s="580">
        <f>HLOOKUP("*"&amp;'Output annual'!$AC$2&amp;'Output annual'!$AD$2&amp;"*Zone People Number Of Occupants [](Hourly)",'Eplus results'!$1:$1048576,ROW(),FALSE)</f>
        <v>0</v>
      </c>
      <c r="AC3124" s="580">
        <f>HLOOKUP("*"&amp;'Output annual'!$AC$2&amp;'Output annual'!$AD$2&amp;"*FangerPMV(Hourly)",'Eplus results'!$1:$1048576,ROW(),FALSE)</f>
        <v>0</v>
      </c>
      <c r="AD3124" s="580">
        <f t="shared" si="276"/>
        <v>5</v>
      </c>
      <c r="AE3124" s="580">
        <f t="shared" si="277"/>
        <v>2.5</v>
      </c>
      <c r="AF3124" s="580">
        <f t="shared" si="278"/>
        <v>2.5</v>
      </c>
      <c r="AG3124" s="580">
        <f t="shared" si="279"/>
        <v>0</v>
      </c>
      <c r="AH3124" s="580">
        <f t="shared" si="280"/>
        <v>0</v>
      </c>
    </row>
    <row r="3125" spans="28:34">
      <c r="AB3125" s="580">
        <f>HLOOKUP("*"&amp;'Output annual'!$AC$2&amp;'Output annual'!$AD$2&amp;"*Zone People Number Of Occupants [](Hourly)",'Eplus results'!$1:$1048576,ROW(),FALSE)</f>
        <v>0</v>
      </c>
      <c r="AC3125" s="580">
        <f>HLOOKUP("*"&amp;'Output annual'!$AC$2&amp;'Output annual'!$AD$2&amp;"*FangerPMV(Hourly)",'Eplus results'!$1:$1048576,ROW(),FALSE)</f>
        <v>0</v>
      </c>
      <c r="AD3125" s="580">
        <f t="shared" si="276"/>
        <v>5</v>
      </c>
      <c r="AE3125" s="580">
        <f t="shared" si="277"/>
        <v>2.5</v>
      </c>
      <c r="AF3125" s="580">
        <f t="shared" si="278"/>
        <v>2.5</v>
      </c>
      <c r="AG3125" s="580">
        <f t="shared" si="279"/>
        <v>0</v>
      </c>
      <c r="AH3125" s="580">
        <f t="shared" si="280"/>
        <v>0</v>
      </c>
    </row>
    <row r="3126" spans="28:34">
      <c r="AB3126" s="580">
        <f>HLOOKUP("*"&amp;'Output annual'!$AC$2&amp;'Output annual'!$AD$2&amp;"*Zone People Number Of Occupants [](Hourly)",'Eplus results'!$1:$1048576,ROW(),FALSE)</f>
        <v>0</v>
      </c>
      <c r="AC3126" s="580">
        <f>HLOOKUP("*"&amp;'Output annual'!$AC$2&amp;'Output annual'!$AD$2&amp;"*FangerPMV(Hourly)",'Eplus results'!$1:$1048576,ROW(),FALSE)</f>
        <v>0</v>
      </c>
      <c r="AD3126" s="580">
        <f t="shared" si="276"/>
        <v>5</v>
      </c>
      <c r="AE3126" s="580">
        <f t="shared" si="277"/>
        <v>2.5</v>
      </c>
      <c r="AF3126" s="580">
        <f t="shared" si="278"/>
        <v>2.5</v>
      </c>
      <c r="AG3126" s="580">
        <f t="shared" si="279"/>
        <v>0</v>
      </c>
      <c r="AH3126" s="580">
        <f t="shared" si="280"/>
        <v>0</v>
      </c>
    </row>
    <row r="3127" spans="28:34">
      <c r="AB3127" s="580">
        <f>HLOOKUP("*"&amp;'Output annual'!$AC$2&amp;'Output annual'!$AD$2&amp;"*Zone People Number Of Occupants [](Hourly)",'Eplus results'!$1:$1048576,ROW(),FALSE)</f>
        <v>0</v>
      </c>
      <c r="AC3127" s="580">
        <f>HLOOKUP("*"&amp;'Output annual'!$AC$2&amp;'Output annual'!$AD$2&amp;"*FangerPMV(Hourly)",'Eplus results'!$1:$1048576,ROW(),FALSE)</f>
        <v>0</v>
      </c>
      <c r="AD3127" s="580">
        <f t="shared" si="276"/>
        <v>5</v>
      </c>
      <c r="AE3127" s="580">
        <f t="shared" si="277"/>
        <v>2.5</v>
      </c>
      <c r="AF3127" s="580">
        <f t="shared" si="278"/>
        <v>2.5</v>
      </c>
      <c r="AG3127" s="580">
        <f t="shared" si="279"/>
        <v>0</v>
      </c>
      <c r="AH3127" s="580">
        <f t="shared" si="280"/>
        <v>0</v>
      </c>
    </row>
    <row r="3128" spans="28:34">
      <c r="AB3128" s="580">
        <f>HLOOKUP("*"&amp;'Output annual'!$AC$2&amp;'Output annual'!$AD$2&amp;"*Zone People Number Of Occupants [](Hourly)",'Eplus results'!$1:$1048576,ROW(),FALSE)</f>
        <v>0</v>
      </c>
      <c r="AC3128" s="580">
        <f>HLOOKUP("*"&amp;'Output annual'!$AC$2&amp;'Output annual'!$AD$2&amp;"*FangerPMV(Hourly)",'Eplus results'!$1:$1048576,ROW(),FALSE)</f>
        <v>0</v>
      </c>
      <c r="AD3128" s="580">
        <f t="shared" si="276"/>
        <v>5</v>
      </c>
      <c r="AE3128" s="580">
        <f t="shared" si="277"/>
        <v>2.5</v>
      </c>
      <c r="AF3128" s="580">
        <f t="shared" si="278"/>
        <v>2.5</v>
      </c>
      <c r="AG3128" s="580">
        <f t="shared" si="279"/>
        <v>0</v>
      </c>
      <c r="AH3128" s="580">
        <f t="shared" si="280"/>
        <v>0</v>
      </c>
    </row>
    <row r="3129" spans="28:34">
      <c r="AB3129" s="580">
        <f>HLOOKUP("*"&amp;'Output annual'!$AC$2&amp;'Output annual'!$AD$2&amp;"*Zone People Number Of Occupants [](Hourly)",'Eplus results'!$1:$1048576,ROW(),FALSE)</f>
        <v>0</v>
      </c>
      <c r="AC3129" s="580">
        <f>HLOOKUP("*"&amp;'Output annual'!$AC$2&amp;'Output annual'!$AD$2&amp;"*FangerPMV(Hourly)",'Eplus results'!$1:$1048576,ROW(),FALSE)</f>
        <v>0</v>
      </c>
      <c r="AD3129" s="580">
        <f t="shared" si="276"/>
        <v>5</v>
      </c>
      <c r="AE3129" s="580">
        <f t="shared" si="277"/>
        <v>2.5</v>
      </c>
      <c r="AF3129" s="580">
        <f t="shared" si="278"/>
        <v>2.5</v>
      </c>
      <c r="AG3129" s="580">
        <f t="shared" si="279"/>
        <v>0</v>
      </c>
      <c r="AH3129" s="580">
        <f t="shared" si="280"/>
        <v>0</v>
      </c>
    </row>
    <row r="3130" spans="28:34">
      <c r="AB3130" s="580">
        <f>HLOOKUP("*"&amp;'Output annual'!$AC$2&amp;'Output annual'!$AD$2&amp;"*Zone People Number Of Occupants [](Hourly)",'Eplus results'!$1:$1048576,ROW(),FALSE)</f>
        <v>0</v>
      </c>
      <c r="AC3130" s="580">
        <f>HLOOKUP("*"&amp;'Output annual'!$AC$2&amp;'Output annual'!$AD$2&amp;"*FangerPMV(Hourly)",'Eplus results'!$1:$1048576,ROW(),FALSE)</f>
        <v>0</v>
      </c>
      <c r="AD3130" s="580">
        <f t="shared" si="276"/>
        <v>5</v>
      </c>
      <c r="AE3130" s="580">
        <f t="shared" si="277"/>
        <v>2.5</v>
      </c>
      <c r="AF3130" s="580">
        <f t="shared" si="278"/>
        <v>2.5</v>
      </c>
      <c r="AG3130" s="580">
        <f t="shared" si="279"/>
        <v>0</v>
      </c>
      <c r="AH3130" s="580">
        <f t="shared" si="280"/>
        <v>0</v>
      </c>
    </row>
    <row r="3131" spans="28:34">
      <c r="AB3131" s="580">
        <f>HLOOKUP("*"&amp;'Output annual'!$AC$2&amp;'Output annual'!$AD$2&amp;"*Zone People Number Of Occupants [](Hourly)",'Eplus results'!$1:$1048576,ROW(),FALSE)</f>
        <v>0</v>
      </c>
      <c r="AC3131" s="580">
        <f>HLOOKUP("*"&amp;'Output annual'!$AC$2&amp;'Output annual'!$AD$2&amp;"*FangerPMV(Hourly)",'Eplus results'!$1:$1048576,ROW(),FALSE)</f>
        <v>0</v>
      </c>
      <c r="AD3131" s="580">
        <f t="shared" si="276"/>
        <v>5</v>
      </c>
      <c r="AE3131" s="580">
        <f t="shared" si="277"/>
        <v>2.5</v>
      </c>
      <c r="AF3131" s="580">
        <f t="shared" si="278"/>
        <v>2.5</v>
      </c>
      <c r="AG3131" s="580">
        <f t="shared" si="279"/>
        <v>0</v>
      </c>
      <c r="AH3131" s="580">
        <f t="shared" si="280"/>
        <v>0</v>
      </c>
    </row>
    <row r="3132" spans="28:34">
      <c r="AB3132" s="580">
        <f>HLOOKUP("*"&amp;'Output annual'!$AC$2&amp;'Output annual'!$AD$2&amp;"*Zone People Number Of Occupants [](Hourly)",'Eplus results'!$1:$1048576,ROW(),FALSE)</f>
        <v>0</v>
      </c>
      <c r="AC3132" s="580">
        <f>HLOOKUP("*"&amp;'Output annual'!$AC$2&amp;'Output annual'!$AD$2&amp;"*FangerPMV(Hourly)",'Eplus results'!$1:$1048576,ROW(),FALSE)</f>
        <v>0</v>
      </c>
      <c r="AD3132" s="580">
        <f t="shared" si="276"/>
        <v>5</v>
      </c>
      <c r="AE3132" s="580">
        <f t="shared" si="277"/>
        <v>2.5</v>
      </c>
      <c r="AF3132" s="580">
        <f t="shared" si="278"/>
        <v>2.5</v>
      </c>
      <c r="AG3132" s="580">
        <f t="shared" si="279"/>
        <v>0</v>
      </c>
      <c r="AH3132" s="580">
        <f t="shared" si="280"/>
        <v>0</v>
      </c>
    </row>
    <row r="3133" spans="28:34">
      <c r="AB3133" s="580">
        <f>HLOOKUP("*"&amp;'Output annual'!$AC$2&amp;'Output annual'!$AD$2&amp;"*Zone People Number Of Occupants [](Hourly)",'Eplus results'!$1:$1048576,ROW(),FALSE)</f>
        <v>0</v>
      </c>
      <c r="AC3133" s="580">
        <f>HLOOKUP("*"&amp;'Output annual'!$AC$2&amp;'Output annual'!$AD$2&amp;"*FangerPMV(Hourly)",'Eplus results'!$1:$1048576,ROW(),FALSE)</f>
        <v>0</v>
      </c>
      <c r="AD3133" s="580">
        <f t="shared" si="276"/>
        <v>5</v>
      </c>
      <c r="AE3133" s="580">
        <f t="shared" si="277"/>
        <v>2.5</v>
      </c>
      <c r="AF3133" s="580">
        <f t="shared" si="278"/>
        <v>2.5</v>
      </c>
      <c r="AG3133" s="580">
        <f t="shared" si="279"/>
        <v>0</v>
      </c>
      <c r="AH3133" s="580">
        <f t="shared" si="280"/>
        <v>0</v>
      </c>
    </row>
    <row r="3134" spans="28:34">
      <c r="AB3134" s="580">
        <f>HLOOKUP("*"&amp;'Output annual'!$AC$2&amp;'Output annual'!$AD$2&amp;"*Zone People Number Of Occupants [](Hourly)",'Eplus results'!$1:$1048576,ROW(),FALSE)</f>
        <v>0</v>
      </c>
      <c r="AC3134" s="580">
        <f>HLOOKUP("*"&amp;'Output annual'!$AC$2&amp;'Output annual'!$AD$2&amp;"*FangerPMV(Hourly)",'Eplus results'!$1:$1048576,ROW(),FALSE)</f>
        <v>0</v>
      </c>
      <c r="AD3134" s="580">
        <f t="shared" si="276"/>
        <v>5</v>
      </c>
      <c r="AE3134" s="580">
        <f t="shared" si="277"/>
        <v>2.5</v>
      </c>
      <c r="AF3134" s="580">
        <f t="shared" si="278"/>
        <v>2.5</v>
      </c>
      <c r="AG3134" s="580">
        <f t="shared" si="279"/>
        <v>0</v>
      </c>
      <c r="AH3134" s="580">
        <f t="shared" si="280"/>
        <v>0</v>
      </c>
    </row>
    <row r="3135" spans="28:34">
      <c r="AB3135" s="580">
        <f>HLOOKUP("*"&amp;'Output annual'!$AC$2&amp;'Output annual'!$AD$2&amp;"*Zone People Number Of Occupants [](Hourly)",'Eplus results'!$1:$1048576,ROW(),FALSE)</f>
        <v>0</v>
      </c>
      <c r="AC3135" s="580">
        <f>HLOOKUP("*"&amp;'Output annual'!$AC$2&amp;'Output annual'!$AD$2&amp;"*FangerPMV(Hourly)",'Eplus results'!$1:$1048576,ROW(),FALSE)</f>
        <v>0</v>
      </c>
      <c r="AD3135" s="580">
        <f t="shared" si="276"/>
        <v>5</v>
      </c>
      <c r="AE3135" s="580">
        <f t="shared" si="277"/>
        <v>2.5</v>
      </c>
      <c r="AF3135" s="580">
        <f t="shared" si="278"/>
        <v>2.5</v>
      </c>
      <c r="AG3135" s="580">
        <f t="shared" si="279"/>
        <v>0</v>
      </c>
      <c r="AH3135" s="580">
        <f t="shared" si="280"/>
        <v>0</v>
      </c>
    </row>
    <row r="3136" spans="28:34">
      <c r="AB3136" s="580">
        <f>HLOOKUP("*"&amp;'Output annual'!$AC$2&amp;'Output annual'!$AD$2&amp;"*Zone People Number Of Occupants [](Hourly)",'Eplus results'!$1:$1048576,ROW(),FALSE)</f>
        <v>0</v>
      </c>
      <c r="AC3136" s="580">
        <f>HLOOKUP("*"&amp;'Output annual'!$AC$2&amp;'Output annual'!$AD$2&amp;"*FangerPMV(Hourly)",'Eplus results'!$1:$1048576,ROW(),FALSE)</f>
        <v>0</v>
      </c>
      <c r="AD3136" s="580">
        <f t="shared" si="276"/>
        <v>5</v>
      </c>
      <c r="AE3136" s="580">
        <f t="shared" si="277"/>
        <v>2.5</v>
      </c>
      <c r="AF3136" s="580">
        <f t="shared" si="278"/>
        <v>2.5</v>
      </c>
      <c r="AG3136" s="580">
        <f t="shared" si="279"/>
        <v>0</v>
      </c>
      <c r="AH3136" s="580">
        <f t="shared" si="280"/>
        <v>0</v>
      </c>
    </row>
    <row r="3137" spans="28:34">
      <c r="AB3137" s="580">
        <f>HLOOKUP("*"&amp;'Output annual'!$AC$2&amp;'Output annual'!$AD$2&amp;"*Zone People Number Of Occupants [](Hourly)",'Eplus results'!$1:$1048576,ROW(),FALSE)</f>
        <v>0</v>
      </c>
      <c r="AC3137" s="580">
        <f>HLOOKUP("*"&amp;'Output annual'!$AC$2&amp;'Output annual'!$AD$2&amp;"*FangerPMV(Hourly)",'Eplus results'!$1:$1048576,ROW(),FALSE)</f>
        <v>0</v>
      </c>
      <c r="AD3137" s="580">
        <f t="shared" si="276"/>
        <v>5</v>
      </c>
      <c r="AE3137" s="580">
        <f t="shared" si="277"/>
        <v>2.5</v>
      </c>
      <c r="AF3137" s="580">
        <f t="shared" si="278"/>
        <v>2.5</v>
      </c>
      <c r="AG3137" s="580">
        <f t="shared" si="279"/>
        <v>0</v>
      </c>
      <c r="AH3137" s="580">
        <f t="shared" si="280"/>
        <v>0</v>
      </c>
    </row>
    <row r="3138" spans="28:34">
      <c r="AB3138" s="580">
        <f>HLOOKUP("*"&amp;'Output annual'!$AC$2&amp;'Output annual'!$AD$2&amp;"*Zone People Number Of Occupants [](Hourly)",'Eplus results'!$1:$1048576,ROW(),FALSE)</f>
        <v>0</v>
      </c>
      <c r="AC3138" s="580">
        <f>HLOOKUP("*"&amp;'Output annual'!$AC$2&amp;'Output annual'!$AD$2&amp;"*FangerPMV(Hourly)",'Eplus results'!$1:$1048576,ROW(),FALSE)</f>
        <v>0</v>
      </c>
      <c r="AD3138" s="580">
        <f t="shared" si="276"/>
        <v>5</v>
      </c>
      <c r="AE3138" s="580">
        <f t="shared" si="277"/>
        <v>2.5</v>
      </c>
      <c r="AF3138" s="580">
        <f t="shared" si="278"/>
        <v>2.5</v>
      </c>
      <c r="AG3138" s="580">
        <f t="shared" si="279"/>
        <v>0</v>
      </c>
      <c r="AH3138" s="580">
        <f t="shared" si="280"/>
        <v>0</v>
      </c>
    </row>
    <row r="3139" spans="28:34">
      <c r="AB3139" s="580">
        <f>HLOOKUP("*"&amp;'Output annual'!$AC$2&amp;'Output annual'!$AD$2&amp;"*Zone People Number Of Occupants [](Hourly)",'Eplus results'!$1:$1048576,ROW(),FALSE)</f>
        <v>0</v>
      </c>
      <c r="AC3139" s="580">
        <f>HLOOKUP("*"&amp;'Output annual'!$AC$2&amp;'Output annual'!$AD$2&amp;"*FangerPMV(Hourly)",'Eplus results'!$1:$1048576,ROW(),FALSE)</f>
        <v>0</v>
      </c>
      <c r="AD3139" s="580">
        <f t="shared" ref="AD3139:AD3202" si="281">100-95*EXP(-0.03353*AC3139^4-0.2179*AC3139^2)</f>
        <v>5</v>
      </c>
      <c r="AE3139" s="580">
        <f t="shared" ref="AE3139:AE3202" si="282">AD3139*(1/(1+EXP(-6.3*$AC3139)))</f>
        <v>2.5</v>
      </c>
      <c r="AF3139" s="580">
        <f t="shared" ref="AF3139:AF3202" si="283">(AD3139-AE3139)</f>
        <v>2.5</v>
      </c>
      <c r="AG3139" s="580">
        <f t="shared" ref="AG3139:AG3202" si="284">AE3139*AB3139</f>
        <v>0</v>
      </c>
      <c r="AH3139" s="580">
        <f t="shared" ref="AH3139:AH3202" si="285">AF3139*AB3139</f>
        <v>0</v>
      </c>
    </row>
    <row r="3140" spans="28:34">
      <c r="AB3140" s="580">
        <f>HLOOKUP("*"&amp;'Output annual'!$AC$2&amp;'Output annual'!$AD$2&amp;"*Zone People Number Of Occupants [](Hourly)",'Eplus results'!$1:$1048576,ROW(),FALSE)</f>
        <v>0</v>
      </c>
      <c r="AC3140" s="580">
        <f>HLOOKUP("*"&amp;'Output annual'!$AC$2&amp;'Output annual'!$AD$2&amp;"*FangerPMV(Hourly)",'Eplus results'!$1:$1048576,ROW(),FALSE)</f>
        <v>0</v>
      </c>
      <c r="AD3140" s="580">
        <f t="shared" si="281"/>
        <v>5</v>
      </c>
      <c r="AE3140" s="580">
        <f t="shared" si="282"/>
        <v>2.5</v>
      </c>
      <c r="AF3140" s="580">
        <f t="shared" si="283"/>
        <v>2.5</v>
      </c>
      <c r="AG3140" s="580">
        <f t="shared" si="284"/>
        <v>0</v>
      </c>
      <c r="AH3140" s="580">
        <f t="shared" si="285"/>
        <v>0</v>
      </c>
    </row>
    <row r="3141" spans="28:34">
      <c r="AB3141" s="580">
        <f>HLOOKUP("*"&amp;'Output annual'!$AC$2&amp;'Output annual'!$AD$2&amp;"*Zone People Number Of Occupants [](Hourly)",'Eplus results'!$1:$1048576,ROW(),FALSE)</f>
        <v>0</v>
      </c>
      <c r="AC3141" s="580">
        <f>HLOOKUP("*"&amp;'Output annual'!$AC$2&amp;'Output annual'!$AD$2&amp;"*FangerPMV(Hourly)",'Eplus results'!$1:$1048576,ROW(),FALSE)</f>
        <v>0</v>
      </c>
      <c r="AD3141" s="580">
        <f t="shared" si="281"/>
        <v>5</v>
      </c>
      <c r="AE3141" s="580">
        <f t="shared" si="282"/>
        <v>2.5</v>
      </c>
      <c r="AF3141" s="580">
        <f t="shared" si="283"/>
        <v>2.5</v>
      </c>
      <c r="AG3141" s="580">
        <f t="shared" si="284"/>
        <v>0</v>
      </c>
      <c r="AH3141" s="580">
        <f t="shared" si="285"/>
        <v>0</v>
      </c>
    </row>
    <row r="3142" spans="28:34">
      <c r="AB3142" s="580">
        <f>HLOOKUP("*"&amp;'Output annual'!$AC$2&amp;'Output annual'!$AD$2&amp;"*Zone People Number Of Occupants [](Hourly)",'Eplus results'!$1:$1048576,ROW(),FALSE)</f>
        <v>0</v>
      </c>
      <c r="AC3142" s="580">
        <f>HLOOKUP("*"&amp;'Output annual'!$AC$2&amp;'Output annual'!$AD$2&amp;"*FangerPMV(Hourly)",'Eplus results'!$1:$1048576,ROW(),FALSE)</f>
        <v>0</v>
      </c>
      <c r="AD3142" s="580">
        <f t="shared" si="281"/>
        <v>5</v>
      </c>
      <c r="AE3142" s="580">
        <f t="shared" si="282"/>
        <v>2.5</v>
      </c>
      <c r="AF3142" s="580">
        <f t="shared" si="283"/>
        <v>2.5</v>
      </c>
      <c r="AG3142" s="580">
        <f t="shared" si="284"/>
        <v>0</v>
      </c>
      <c r="AH3142" s="580">
        <f t="shared" si="285"/>
        <v>0</v>
      </c>
    </row>
    <row r="3143" spans="28:34">
      <c r="AB3143" s="580">
        <f>HLOOKUP("*"&amp;'Output annual'!$AC$2&amp;'Output annual'!$AD$2&amp;"*Zone People Number Of Occupants [](Hourly)",'Eplus results'!$1:$1048576,ROW(),FALSE)</f>
        <v>0</v>
      </c>
      <c r="AC3143" s="580">
        <f>HLOOKUP("*"&amp;'Output annual'!$AC$2&amp;'Output annual'!$AD$2&amp;"*FangerPMV(Hourly)",'Eplus results'!$1:$1048576,ROW(),FALSE)</f>
        <v>0</v>
      </c>
      <c r="AD3143" s="580">
        <f t="shared" si="281"/>
        <v>5</v>
      </c>
      <c r="AE3143" s="580">
        <f t="shared" si="282"/>
        <v>2.5</v>
      </c>
      <c r="AF3143" s="580">
        <f t="shared" si="283"/>
        <v>2.5</v>
      </c>
      <c r="AG3143" s="580">
        <f t="shared" si="284"/>
        <v>0</v>
      </c>
      <c r="AH3143" s="580">
        <f t="shared" si="285"/>
        <v>0</v>
      </c>
    </row>
    <row r="3144" spans="28:34">
      <c r="AB3144" s="580">
        <f>HLOOKUP("*"&amp;'Output annual'!$AC$2&amp;'Output annual'!$AD$2&amp;"*Zone People Number Of Occupants [](Hourly)",'Eplus results'!$1:$1048576,ROW(),FALSE)</f>
        <v>0</v>
      </c>
      <c r="AC3144" s="580">
        <f>HLOOKUP("*"&amp;'Output annual'!$AC$2&amp;'Output annual'!$AD$2&amp;"*FangerPMV(Hourly)",'Eplus results'!$1:$1048576,ROW(),FALSE)</f>
        <v>0</v>
      </c>
      <c r="AD3144" s="580">
        <f t="shared" si="281"/>
        <v>5</v>
      </c>
      <c r="AE3144" s="580">
        <f t="shared" si="282"/>
        <v>2.5</v>
      </c>
      <c r="AF3144" s="580">
        <f t="shared" si="283"/>
        <v>2.5</v>
      </c>
      <c r="AG3144" s="580">
        <f t="shared" si="284"/>
        <v>0</v>
      </c>
      <c r="AH3144" s="580">
        <f t="shared" si="285"/>
        <v>0</v>
      </c>
    </row>
    <row r="3145" spans="28:34">
      <c r="AB3145" s="580">
        <f>HLOOKUP("*"&amp;'Output annual'!$AC$2&amp;'Output annual'!$AD$2&amp;"*Zone People Number Of Occupants [](Hourly)",'Eplus results'!$1:$1048576,ROW(),FALSE)</f>
        <v>0</v>
      </c>
      <c r="AC3145" s="580">
        <f>HLOOKUP("*"&amp;'Output annual'!$AC$2&amp;'Output annual'!$AD$2&amp;"*FangerPMV(Hourly)",'Eplus results'!$1:$1048576,ROW(),FALSE)</f>
        <v>0</v>
      </c>
      <c r="AD3145" s="580">
        <f t="shared" si="281"/>
        <v>5</v>
      </c>
      <c r="AE3145" s="580">
        <f t="shared" si="282"/>
        <v>2.5</v>
      </c>
      <c r="AF3145" s="580">
        <f t="shared" si="283"/>
        <v>2.5</v>
      </c>
      <c r="AG3145" s="580">
        <f t="shared" si="284"/>
        <v>0</v>
      </c>
      <c r="AH3145" s="580">
        <f t="shared" si="285"/>
        <v>0</v>
      </c>
    </row>
    <row r="3146" spans="28:34">
      <c r="AB3146" s="580">
        <f>HLOOKUP("*"&amp;'Output annual'!$AC$2&amp;'Output annual'!$AD$2&amp;"*Zone People Number Of Occupants [](Hourly)",'Eplus results'!$1:$1048576,ROW(),FALSE)</f>
        <v>0</v>
      </c>
      <c r="AC3146" s="580">
        <f>HLOOKUP("*"&amp;'Output annual'!$AC$2&amp;'Output annual'!$AD$2&amp;"*FangerPMV(Hourly)",'Eplus results'!$1:$1048576,ROW(),FALSE)</f>
        <v>0</v>
      </c>
      <c r="AD3146" s="580">
        <f t="shared" si="281"/>
        <v>5</v>
      </c>
      <c r="AE3146" s="580">
        <f t="shared" si="282"/>
        <v>2.5</v>
      </c>
      <c r="AF3146" s="580">
        <f t="shared" si="283"/>
        <v>2.5</v>
      </c>
      <c r="AG3146" s="580">
        <f t="shared" si="284"/>
        <v>0</v>
      </c>
      <c r="AH3146" s="580">
        <f t="shared" si="285"/>
        <v>0</v>
      </c>
    </row>
    <row r="3147" spans="28:34">
      <c r="AB3147" s="580">
        <f>HLOOKUP("*"&amp;'Output annual'!$AC$2&amp;'Output annual'!$AD$2&amp;"*Zone People Number Of Occupants [](Hourly)",'Eplus results'!$1:$1048576,ROW(),FALSE)</f>
        <v>0</v>
      </c>
      <c r="AC3147" s="580">
        <f>HLOOKUP("*"&amp;'Output annual'!$AC$2&amp;'Output annual'!$AD$2&amp;"*FangerPMV(Hourly)",'Eplus results'!$1:$1048576,ROW(),FALSE)</f>
        <v>0</v>
      </c>
      <c r="AD3147" s="580">
        <f t="shared" si="281"/>
        <v>5</v>
      </c>
      <c r="AE3147" s="580">
        <f t="shared" si="282"/>
        <v>2.5</v>
      </c>
      <c r="AF3147" s="580">
        <f t="shared" si="283"/>
        <v>2.5</v>
      </c>
      <c r="AG3147" s="580">
        <f t="shared" si="284"/>
        <v>0</v>
      </c>
      <c r="AH3147" s="580">
        <f t="shared" si="285"/>
        <v>0</v>
      </c>
    </row>
    <row r="3148" spans="28:34">
      <c r="AB3148" s="580">
        <f>HLOOKUP("*"&amp;'Output annual'!$AC$2&amp;'Output annual'!$AD$2&amp;"*Zone People Number Of Occupants [](Hourly)",'Eplus results'!$1:$1048576,ROW(),FALSE)</f>
        <v>0</v>
      </c>
      <c r="AC3148" s="580">
        <f>HLOOKUP("*"&amp;'Output annual'!$AC$2&amp;'Output annual'!$AD$2&amp;"*FangerPMV(Hourly)",'Eplus results'!$1:$1048576,ROW(),FALSE)</f>
        <v>0</v>
      </c>
      <c r="AD3148" s="580">
        <f t="shared" si="281"/>
        <v>5</v>
      </c>
      <c r="AE3148" s="580">
        <f t="shared" si="282"/>
        <v>2.5</v>
      </c>
      <c r="AF3148" s="580">
        <f t="shared" si="283"/>
        <v>2.5</v>
      </c>
      <c r="AG3148" s="580">
        <f t="shared" si="284"/>
        <v>0</v>
      </c>
      <c r="AH3148" s="580">
        <f t="shared" si="285"/>
        <v>0</v>
      </c>
    </row>
    <row r="3149" spans="28:34">
      <c r="AB3149" s="580">
        <f>HLOOKUP("*"&amp;'Output annual'!$AC$2&amp;'Output annual'!$AD$2&amp;"*Zone People Number Of Occupants [](Hourly)",'Eplus results'!$1:$1048576,ROW(),FALSE)</f>
        <v>0</v>
      </c>
      <c r="AC3149" s="580">
        <f>HLOOKUP("*"&amp;'Output annual'!$AC$2&amp;'Output annual'!$AD$2&amp;"*FangerPMV(Hourly)",'Eplus results'!$1:$1048576,ROW(),FALSE)</f>
        <v>0</v>
      </c>
      <c r="AD3149" s="580">
        <f t="shared" si="281"/>
        <v>5</v>
      </c>
      <c r="AE3149" s="580">
        <f t="shared" si="282"/>
        <v>2.5</v>
      </c>
      <c r="AF3149" s="580">
        <f t="shared" si="283"/>
        <v>2.5</v>
      </c>
      <c r="AG3149" s="580">
        <f t="shared" si="284"/>
        <v>0</v>
      </c>
      <c r="AH3149" s="580">
        <f t="shared" si="285"/>
        <v>0</v>
      </c>
    </row>
    <row r="3150" spans="28:34">
      <c r="AB3150" s="580">
        <f>HLOOKUP("*"&amp;'Output annual'!$AC$2&amp;'Output annual'!$AD$2&amp;"*Zone People Number Of Occupants [](Hourly)",'Eplus results'!$1:$1048576,ROW(),FALSE)</f>
        <v>0</v>
      </c>
      <c r="AC3150" s="580">
        <f>HLOOKUP("*"&amp;'Output annual'!$AC$2&amp;'Output annual'!$AD$2&amp;"*FangerPMV(Hourly)",'Eplus results'!$1:$1048576,ROW(),FALSE)</f>
        <v>0</v>
      </c>
      <c r="AD3150" s="580">
        <f t="shared" si="281"/>
        <v>5</v>
      </c>
      <c r="AE3150" s="580">
        <f t="shared" si="282"/>
        <v>2.5</v>
      </c>
      <c r="AF3150" s="580">
        <f t="shared" si="283"/>
        <v>2.5</v>
      </c>
      <c r="AG3150" s="580">
        <f t="shared" si="284"/>
        <v>0</v>
      </c>
      <c r="AH3150" s="580">
        <f t="shared" si="285"/>
        <v>0</v>
      </c>
    </row>
    <row r="3151" spans="28:34">
      <c r="AB3151" s="580">
        <f>HLOOKUP("*"&amp;'Output annual'!$AC$2&amp;'Output annual'!$AD$2&amp;"*Zone People Number Of Occupants [](Hourly)",'Eplus results'!$1:$1048576,ROW(),FALSE)</f>
        <v>0</v>
      </c>
      <c r="AC3151" s="580">
        <f>HLOOKUP("*"&amp;'Output annual'!$AC$2&amp;'Output annual'!$AD$2&amp;"*FangerPMV(Hourly)",'Eplus results'!$1:$1048576,ROW(),FALSE)</f>
        <v>0</v>
      </c>
      <c r="AD3151" s="580">
        <f t="shared" si="281"/>
        <v>5</v>
      </c>
      <c r="AE3151" s="580">
        <f t="shared" si="282"/>
        <v>2.5</v>
      </c>
      <c r="AF3151" s="580">
        <f t="shared" si="283"/>
        <v>2.5</v>
      </c>
      <c r="AG3151" s="580">
        <f t="shared" si="284"/>
        <v>0</v>
      </c>
      <c r="AH3151" s="580">
        <f t="shared" si="285"/>
        <v>0</v>
      </c>
    </row>
    <row r="3152" spans="28:34">
      <c r="AB3152" s="580">
        <f>HLOOKUP("*"&amp;'Output annual'!$AC$2&amp;'Output annual'!$AD$2&amp;"*Zone People Number Of Occupants [](Hourly)",'Eplus results'!$1:$1048576,ROW(),FALSE)</f>
        <v>0</v>
      </c>
      <c r="AC3152" s="580">
        <f>HLOOKUP("*"&amp;'Output annual'!$AC$2&amp;'Output annual'!$AD$2&amp;"*FangerPMV(Hourly)",'Eplus results'!$1:$1048576,ROW(),FALSE)</f>
        <v>0</v>
      </c>
      <c r="AD3152" s="580">
        <f t="shared" si="281"/>
        <v>5</v>
      </c>
      <c r="AE3152" s="580">
        <f t="shared" si="282"/>
        <v>2.5</v>
      </c>
      <c r="AF3152" s="580">
        <f t="shared" si="283"/>
        <v>2.5</v>
      </c>
      <c r="AG3152" s="580">
        <f t="shared" si="284"/>
        <v>0</v>
      </c>
      <c r="AH3152" s="580">
        <f t="shared" si="285"/>
        <v>0</v>
      </c>
    </row>
    <row r="3153" spans="28:34">
      <c r="AB3153" s="580">
        <f>HLOOKUP("*"&amp;'Output annual'!$AC$2&amp;'Output annual'!$AD$2&amp;"*Zone People Number Of Occupants [](Hourly)",'Eplus results'!$1:$1048576,ROW(),FALSE)</f>
        <v>0</v>
      </c>
      <c r="AC3153" s="580">
        <f>HLOOKUP("*"&amp;'Output annual'!$AC$2&amp;'Output annual'!$AD$2&amp;"*FangerPMV(Hourly)",'Eplus results'!$1:$1048576,ROW(),FALSE)</f>
        <v>0</v>
      </c>
      <c r="AD3153" s="580">
        <f t="shared" si="281"/>
        <v>5</v>
      </c>
      <c r="AE3153" s="580">
        <f t="shared" si="282"/>
        <v>2.5</v>
      </c>
      <c r="AF3153" s="580">
        <f t="shared" si="283"/>
        <v>2.5</v>
      </c>
      <c r="AG3153" s="580">
        <f t="shared" si="284"/>
        <v>0</v>
      </c>
      <c r="AH3153" s="580">
        <f t="shared" si="285"/>
        <v>0</v>
      </c>
    </row>
    <row r="3154" spans="28:34">
      <c r="AB3154" s="580">
        <f>HLOOKUP("*"&amp;'Output annual'!$AC$2&amp;'Output annual'!$AD$2&amp;"*Zone People Number Of Occupants [](Hourly)",'Eplus results'!$1:$1048576,ROW(),FALSE)</f>
        <v>0</v>
      </c>
      <c r="AC3154" s="580">
        <f>HLOOKUP("*"&amp;'Output annual'!$AC$2&amp;'Output annual'!$AD$2&amp;"*FangerPMV(Hourly)",'Eplus results'!$1:$1048576,ROW(),FALSE)</f>
        <v>0</v>
      </c>
      <c r="AD3154" s="580">
        <f t="shared" si="281"/>
        <v>5</v>
      </c>
      <c r="AE3154" s="580">
        <f t="shared" si="282"/>
        <v>2.5</v>
      </c>
      <c r="AF3154" s="580">
        <f t="shared" si="283"/>
        <v>2.5</v>
      </c>
      <c r="AG3154" s="580">
        <f t="shared" si="284"/>
        <v>0</v>
      </c>
      <c r="AH3154" s="580">
        <f t="shared" si="285"/>
        <v>0</v>
      </c>
    </row>
    <row r="3155" spans="28:34">
      <c r="AB3155" s="580">
        <f>HLOOKUP("*"&amp;'Output annual'!$AC$2&amp;'Output annual'!$AD$2&amp;"*Zone People Number Of Occupants [](Hourly)",'Eplus results'!$1:$1048576,ROW(),FALSE)</f>
        <v>0</v>
      </c>
      <c r="AC3155" s="580">
        <f>HLOOKUP("*"&amp;'Output annual'!$AC$2&amp;'Output annual'!$AD$2&amp;"*FangerPMV(Hourly)",'Eplus results'!$1:$1048576,ROW(),FALSE)</f>
        <v>0</v>
      </c>
      <c r="AD3155" s="580">
        <f t="shared" si="281"/>
        <v>5</v>
      </c>
      <c r="AE3155" s="580">
        <f t="shared" si="282"/>
        <v>2.5</v>
      </c>
      <c r="AF3155" s="580">
        <f t="shared" si="283"/>
        <v>2.5</v>
      </c>
      <c r="AG3155" s="580">
        <f t="shared" si="284"/>
        <v>0</v>
      </c>
      <c r="AH3155" s="580">
        <f t="shared" si="285"/>
        <v>0</v>
      </c>
    </row>
    <row r="3156" spans="28:34">
      <c r="AB3156" s="580">
        <f>HLOOKUP("*"&amp;'Output annual'!$AC$2&amp;'Output annual'!$AD$2&amp;"*Zone People Number Of Occupants [](Hourly)",'Eplus results'!$1:$1048576,ROW(),FALSE)</f>
        <v>0</v>
      </c>
      <c r="AC3156" s="580">
        <f>HLOOKUP("*"&amp;'Output annual'!$AC$2&amp;'Output annual'!$AD$2&amp;"*FangerPMV(Hourly)",'Eplus results'!$1:$1048576,ROW(),FALSE)</f>
        <v>0</v>
      </c>
      <c r="AD3156" s="580">
        <f t="shared" si="281"/>
        <v>5</v>
      </c>
      <c r="AE3156" s="580">
        <f t="shared" si="282"/>
        <v>2.5</v>
      </c>
      <c r="AF3156" s="580">
        <f t="shared" si="283"/>
        <v>2.5</v>
      </c>
      <c r="AG3156" s="580">
        <f t="shared" si="284"/>
        <v>0</v>
      </c>
      <c r="AH3156" s="580">
        <f t="shared" si="285"/>
        <v>0</v>
      </c>
    </row>
    <row r="3157" spans="28:34">
      <c r="AB3157" s="580">
        <f>HLOOKUP("*"&amp;'Output annual'!$AC$2&amp;'Output annual'!$AD$2&amp;"*Zone People Number Of Occupants [](Hourly)",'Eplus results'!$1:$1048576,ROW(),FALSE)</f>
        <v>0</v>
      </c>
      <c r="AC3157" s="580">
        <f>HLOOKUP("*"&amp;'Output annual'!$AC$2&amp;'Output annual'!$AD$2&amp;"*FangerPMV(Hourly)",'Eplus results'!$1:$1048576,ROW(),FALSE)</f>
        <v>0</v>
      </c>
      <c r="AD3157" s="580">
        <f t="shared" si="281"/>
        <v>5</v>
      </c>
      <c r="AE3157" s="580">
        <f t="shared" si="282"/>
        <v>2.5</v>
      </c>
      <c r="AF3157" s="580">
        <f t="shared" si="283"/>
        <v>2.5</v>
      </c>
      <c r="AG3157" s="580">
        <f t="shared" si="284"/>
        <v>0</v>
      </c>
      <c r="AH3157" s="580">
        <f t="shared" si="285"/>
        <v>0</v>
      </c>
    </row>
    <row r="3158" spans="28:34">
      <c r="AB3158" s="580">
        <f>HLOOKUP("*"&amp;'Output annual'!$AC$2&amp;'Output annual'!$AD$2&amp;"*Zone People Number Of Occupants [](Hourly)",'Eplus results'!$1:$1048576,ROW(),FALSE)</f>
        <v>0</v>
      </c>
      <c r="AC3158" s="580">
        <f>HLOOKUP("*"&amp;'Output annual'!$AC$2&amp;'Output annual'!$AD$2&amp;"*FangerPMV(Hourly)",'Eplus results'!$1:$1048576,ROW(),FALSE)</f>
        <v>0</v>
      </c>
      <c r="AD3158" s="580">
        <f t="shared" si="281"/>
        <v>5</v>
      </c>
      <c r="AE3158" s="580">
        <f t="shared" si="282"/>
        <v>2.5</v>
      </c>
      <c r="AF3158" s="580">
        <f t="shared" si="283"/>
        <v>2.5</v>
      </c>
      <c r="AG3158" s="580">
        <f t="shared" si="284"/>
        <v>0</v>
      </c>
      <c r="AH3158" s="580">
        <f t="shared" si="285"/>
        <v>0</v>
      </c>
    </row>
    <row r="3159" spans="28:34">
      <c r="AB3159" s="580">
        <f>HLOOKUP("*"&amp;'Output annual'!$AC$2&amp;'Output annual'!$AD$2&amp;"*Zone People Number Of Occupants [](Hourly)",'Eplus results'!$1:$1048576,ROW(),FALSE)</f>
        <v>0</v>
      </c>
      <c r="AC3159" s="580">
        <f>HLOOKUP("*"&amp;'Output annual'!$AC$2&amp;'Output annual'!$AD$2&amp;"*FangerPMV(Hourly)",'Eplus results'!$1:$1048576,ROW(),FALSE)</f>
        <v>0</v>
      </c>
      <c r="AD3159" s="580">
        <f t="shared" si="281"/>
        <v>5</v>
      </c>
      <c r="AE3159" s="580">
        <f t="shared" si="282"/>
        <v>2.5</v>
      </c>
      <c r="AF3159" s="580">
        <f t="shared" si="283"/>
        <v>2.5</v>
      </c>
      <c r="AG3159" s="580">
        <f t="shared" si="284"/>
        <v>0</v>
      </c>
      <c r="AH3159" s="580">
        <f t="shared" si="285"/>
        <v>0</v>
      </c>
    </row>
    <row r="3160" spans="28:34">
      <c r="AB3160" s="580">
        <f>HLOOKUP("*"&amp;'Output annual'!$AC$2&amp;'Output annual'!$AD$2&amp;"*Zone People Number Of Occupants [](Hourly)",'Eplus results'!$1:$1048576,ROW(),FALSE)</f>
        <v>0</v>
      </c>
      <c r="AC3160" s="580">
        <f>HLOOKUP("*"&amp;'Output annual'!$AC$2&amp;'Output annual'!$AD$2&amp;"*FangerPMV(Hourly)",'Eplus results'!$1:$1048576,ROW(),FALSE)</f>
        <v>0</v>
      </c>
      <c r="AD3160" s="580">
        <f t="shared" si="281"/>
        <v>5</v>
      </c>
      <c r="AE3160" s="580">
        <f t="shared" si="282"/>
        <v>2.5</v>
      </c>
      <c r="AF3160" s="580">
        <f t="shared" si="283"/>
        <v>2.5</v>
      </c>
      <c r="AG3160" s="580">
        <f t="shared" si="284"/>
        <v>0</v>
      </c>
      <c r="AH3160" s="580">
        <f t="shared" si="285"/>
        <v>0</v>
      </c>
    </row>
    <row r="3161" spans="28:34">
      <c r="AB3161" s="580">
        <f>HLOOKUP("*"&amp;'Output annual'!$AC$2&amp;'Output annual'!$AD$2&amp;"*Zone People Number Of Occupants [](Hourly)",'Eplus results'!$1:$1048576,ROW(),FALSE)</f>
        <v>0</v>
      </c>
      <c r="AC3161" s="580">
        <f>HLOOKUP("*"&amp;'Output annual'!$AC$2&amp;'Output annual'!$AD$2&amp;"*FangerPMV(Hourly)",'Eplus results'!$1:$1048576,ROW(),FALSE)</f>
        <v>0</v>
      </c>
      <c r="AD3161" s="580">
        <f t="shared" si="281"/>
        <v>5</v>
      </c>
      <c r="AE3161" s="580">
        <f t="shared" si="282"/>
        <v>2.5</v>
      </c>
      <c r="AF3161" s="580">
        <f t="shared" si="283"/>
        <v>2.5</v>
      </c>
      <c r="AG3161" s="580">
        <f t="shared" si="284"/>
        <v>0</v>
      </c>
      <c r="AH3161" s="580">
        <f t="shared" si="285"/>
        <v>0</v>
      </c>
    </row>
    <row r="3162" spans="28:34">
      <c r="AB3162" s="580">
        <f>HLOOKUP("*"&amp;'Output annual'!$AC$2&amp;'Output annual'!$AD$2&amp;"*Zone People Number Of Occupants [](Hourly)",'Eplus results'!$1:$1048576,ROW(),FALSE)</f>
        <v>0</v>
      </c>
      <c r="AC3162" s="580">
        <f>HLOOKUP("*"&amp;'Output annual'!$AC$2&amp;'Output annual'!$AD$2&amp;"*FangerPMV(Hourly)",'Eplus results'!$1:$1048576,ROW(),FALSE)</f>
        <v>0</v>
      </c>
      <c r="AD3162" s="580">
        <f t="shared" si="281"/>
        <v>5</v>
      </c>
      <c r="AE3162" s="580">
        <f t="shared" si="282"/>
        <v>2.5</v>
      </c>
      <c r="AF3162" s="580">
        <f t="shared" si="283"/>
        <v>2.5</v>
      </c>
      <c r="AG3162" s="580">
        <f t="shared" si="284"/>
        <v>0</v>
      </c>
      <c r="AH3162" s="580">
        <f t="shared" si="285"/>
        <v>0</v>
      </c>
    </row>
    <row r="3163" spans="28:34">
      <c r="AB3163" s="580">
        <f>HLOOKUP("*"&amp;'Output annual'!$AC$2&amp;'Output annual'!$AD$2&amp;"*Zone People Number Of Occupants [](Hourly)",'Eplus results'!$1:$1048576,ROW(),FALSE)</f>
        <v>0</v>
      </c>
      <c r="AC3163" s="580">
        <f>HLOOKUP("*"&amp;'Output annual'!$AC$2&amp;'Output annual'!$AD$2&amp;"*FangerPMV(Hourly)",'Eplus results'!$1:$1048576,ROW(),FALSE)</f>
        <v>0</v>
      </c>
      <c r="AD3163" s="580">
        <f t="shared" si="281"/>
        <v>5</v>
      </c>
      <c r="AE3163" s="580">
        <f t="shared" si="282"/>
        <v>2.5</v>
      </c>
      <c r="AF3163" s="580">
        <f t="shared" si="283"/>
        <v>2.5</v>
      </c>
      <c r="AG3163" s="580">
        <f t="shared" si="284"/>
        <v>0</v>
      </c>
      <c r="AH3163" s="580">
        <f t="shared" si="285"/>
        <v>0</v>
      </c>
    </row>
    <row r="3164" spans="28:34">
      <c r="AB3164" s="580">
        <f>HLOOKUP("*"&amp;'Output annual'!$AC$2&amp;'Output annual'!$AD$2&amp;"*Zone People Number Of Occupants [](Hourly)",'Eplus results'!$1:$1048576,ROW(),FALSE)</f>
        <v>0</v>
      </c>
      <c r="AC3164" s="580">
        <f>HLOOKUP("*"&amp;'Output annual'!$AC$2&amp;'Output annual'!$AD$2&amp;"*FangerPMV(Hourly)",'Eplus results'!$1:$1048576,ROW(),FALSE)</f>
        <v>0</v>
      </c>
      <c r="AD3164" s="580">
        <f t="shared" si="281"/>
        <v>5</v>
      </c>
      <c r="AE3164" s="580">
        <f t="shared" si="282"/>
        <v>2.5</v>
      </c>
      <c r="AF3164" s="580">
        <f t="shared" si="283"/>
        <v>2.5</v>
      </c>
      <c r="AG3164" s="580">
        <f t="shared" si="284"/>
        <v>0</v>
      </c>
      <c r="AH3164" s="580">
        <f t="shared" si="285"/>
        <v>0</v>
      </c>
    </row>
    <row r="3165" spans="28:34">
      <c r="AB3165" s="580">
        <f>HLOOKUP("*"&amp;'Output annual'!$AC$2&amp;'Output annual'!$AD$2&amp;"*Zone People Number Of Occupants [](Hourly)",'Eplus results'!$1:$1048576,ROW(),FALSE)</f>
        <v>0</v>
      </c>
      <c r="AC3165" s="580">
        <f>HLOOKUP("*"&amp;'Output annual'!$AC$2&amp;'Output annual'!$AD$2&amp;"*FangerPMV(Hourly)",'Eplus results'!$1:$1048576,ROW(),FALSE)</f>
        <v>0</v>
      </c>
      <c r="AD3165" s="580">
        <f t="shared" si="281"/>
        <v>5</v>
      </c>
      <c r="AE3165" s="580">
        <f t="shared" si="282"/>
        <v>2.5</v>
      </c>
      <c r="AF3165" s="580">
        <f t="shared" si="283"/>
        <v>2.5</v>
      </c>
      <c r="AG3165" s="580">
        <f t="shared" si="284"/>
        <v>0</v>
      </c>
      <c r="AH3165" s="580">
        <f t="shared" si="285"/>
        <v>0</v>
      </c>
    </row>
    <row r="3166" spans="28:34">
      <c r="AB3166" s="580">
        <f>HLOOKUP("*"&amp;'Output annual'!$AC$2&amp;'Output annual'!$AD$2&amp;"*Zone People Number Of Occupants [](Hourly)",'Eplus results'!$1:$1048576,ROW(),FALSE)</f>
        <v>0</v>
      </c>
      <c r="AC3166" s="580">
        <f>HLOOKUP("*"&amp;'Output annual'!$AC$2&amp;'Output annual'!$AD$2&amp;"*FangerPMV(Hourly)",'Eplus results'!$1:$1048576,ROW(),FALSE)</f>
        <v>0</v>
      </c>
      <c r="AD3166" s="580">
        <f t="shared" si="281"/>
        <v>5</v>
      </c>
      <c r="AE3166" s="580">
        <f t="shared" si="282"/>
        <v>2.5</v>
      </c>
      <c r="AF3166" s="580">
        <f t="shared" si="283"/>
        <v>2.5</v>
      </c>
      <c r="AG3166" s="580">
        <f t="shared" si="284"/>
        <v>0</v>
      </c>
      <c r="AH3166" s="580">
        <f t="shared" si="285"/>
        <v>0</v>
      </c>
    </row>
    <row r="3167" spans="28:34">
      <c r="AB3167" s="580">
        <f>HLOOKUP("*"&amp;'Output annual'!$AC$2&amp;'Output annual'!$AD$2&amp;"*Zone People Number Of Occupants [](Hourly)",'Eplus results'!$1:$1048576,ROW(),FALSE)</f>
        <v>0</v>
      </c>
      <c r="AC3167" s="580">
        <f>HLOOKUP("*"&amp;'Output annual'!$AC$2&amp;'Output annual'!$AD$2&amp;"*FangerPMV(Hourly)",'Eplus results'!$1:$1048576,ROW(),FALSE)</f>
        <v>0</v>
      </c>
      <c r="AD3167" s="580">
        <f t="shared" si="281"/>
        <v>5</v>
      </c>
      <c r="AE3167" s="580">
        <f t="shared" si="282"/>
        <v>2.5</v>
      </c>
      <c r="AF3167" s="580">
        <f t="shared" si="283"/>
        <v>2.5</v>
      </c>
      <c r="AG3167" s="580">
        <f t="shared" si="284"/>
        <v>0</v>
      </c>
      <c r="AH3167" s="580">
        <f t="shared" si="285"/>
        <v>0</v>
      </c>
    </row>
    <row r="3168" spans="28:34">
      <c r="AB3168" s="580">
        <f>HLOOKUP("*"&amp;'Output annual'!$AC$2&amp;'Output annual'!$AD$2&amp;"*Zone People Number Of Occupants [](Hourly)",'Eplus results'!$1:$1048576,ROW(),FALSE)</f>
        <v>0</v>
      </c>
      <c r="AC3168" s="580">
        <f>HLOOKUP("*"&amp;'Output annual'!$AC$2&amp;'Output annual'!$AD$2&amp;"*FangerPMV(Hourly)",'Eplus results'!$1:$1048576,ROW(),FALSE)</f>
        <v>0</v>
      </c>
      <c r="AD3168" s="580">
        <f t="shared" si="281"/>
        <v>5</v>
      </c>
      <c r="AE3168" s="580">
        <f t="shared" si="282"/>
        <v>2.5</v>
      </c>
      <c r="AF3168" s="580">
        <f t="shared" si="283"/>
        <v>2.5</v>
      </c>
      <c r="AG3168" s="580">
        <f t="shared" si="284"/>
        <v>0</v>
      </c>
      <c r="AH3168" s="580">
        <f t="shared" si="285"/>
        <v>0</v>
      </c>
    </row>
    <row r="3169" spans="28:34">
      <c r="AB3169" s="580">
        <f>HLOOKUP("*"&amp;'Output annual'!$AC$2&amp;'Output annual'!$AD$2&amp;"*Zone People Number Of Occupants [](Hourly)",'Eplus results'!$1:$1048576,ROW(),FALSE)</f>
        <v>0</v>
      </c>
      <c r="AC3169" s="580">
        <f>HLOOKUP("*"&amp;'Output annual'!$AC$2&amp;'Output annual'!$AD$2&amp;"*FangerPMV(Hourly)",'Eplus results'!$1:$1048576,ROW(),FALSE)</f>
        <v>0</v>
      </c>
      <c r="AD3169" s="580">
        <f t="shared" si="281"/>
        <v>5</v>
      </c>
      <c r="AE3169" s="580">
        <f t="shared" si="282"/>
        <v>2.5</v>
      </c>
      <c r="AF3169" s="580">
        <f t="shared" si="283"/>
        <v>2.5</v>
      </c>
      <c r="AG3169" s="580">
        <f t="shared" si="284"/>
        <v>0</v>
      </c>
      <c r="AH3169" s="580">
        <f t="shared" si="285"/>
        <v>0</v>
      </c>
    </row>
    <row r="3170" spans="28:34">
      <c r="AB3170" s="580">
        <f>HLOOKUP("*"&amp;'Output annual'!$AC$2&amp;'Output annual'!$AD$2&amp;"*Zone People Number Of Occupants [](Hourly)",'Eplus results'!$1:$1048576,ROW(),FALSE)</f>
        <v>0</v>
      </c>
      <c r="AC3170" s="580">
        <f>HLOOKUP("*"&amp;'Output annual'!$AC$2&amp;'Output annual'!$AD$2&amp;"*FangerPMV(Hourly)",'Eplus results'!$1:$1048576,ROW(),FALSE)</f>
        <v>0</v>
      </c>
      <c r="AD3170" s="580">
        <f t="shared" si="281"/>
        <v>5</v>
      </c>
      <c r="AE3170" s="580">
        <f t="shared" si="282"/>
        <v>2.5</v>
      </c>
      <c r="AF3170" s="580">
        <f t="shared" si="283"/>
        <v>2.5</v>
      </c>
      <c r="AG3170" s="580">
        <f t="shared" si="284"/>
        <v>0</v>
      </c>
      <c r="AH3170" s="580">
        <f t="shared" si="285"/>
        <v>0</v>
      </c>
    </row>
    <row r="3171" spans="28:34">
      <c r="AB3171" s="580">
        <f>HLOOKUP("*"&amp;'Output annual'!$AC$2&amp;'Output annual'!$AD$2&amp;"*Zone People Number Of Occupants [](Hourly)",'Eplus results'!$1:$1048576,ROW(),FALSE)</f>
        <v>0</v>
      </c>
      <c r="AC3171" s="580">
        <f>HLOOKUP("*"&amp;'Output annual'!$AC$2&amp;'Output annual'!$AD$2&amp;"*FangerPMV(Hourly)",'Eplus results'!$1:$1048576,ROW(),FALSE)</f>
        <v>0</v>
      </c>
      <c r="AD3171" s="580">
        <f t="shared" si="281"/>
        <v>5</v>
      </c>
      <c r="AE3171" s="580">
        <f t="shared" si="282"/>
        <v>2.5</v>
      </c>
      <c r="AF3171" s="580">
        <f t="shared" si="283"/>
        <v>2.5</v>
      </c>
      <c r="AG3171" s="580">
        <f t="shared" si="284"/>
        <v>0</v>
      </c>
      <c r="AH3171" s="580">
        <f t="shared" si="285"/>
        <v>0</v>
      </c>
    </row>
    <row r="3172" spans="28:34">
      <c r="AB3172" s="580">
        <f>HLOOKUP("*"&amp;'Output annual'!$AC$2&amp;'Output annual'!$AD$2&amp;"*Zone People Number Of Occupants [](Hourly)",'Eplus results'!$1:$1048576,ROW(),FALSE)</f>
        <v>0</v>
      </c>
      <c r="AC3172" s="580">
        <f>HLOOKUP("*"&amp;'Output annual'!$AC$2&amp;'Output annual'!$AD$2&amp;"*FangerPMV(Hourly)",'Eplus results'!$1:$1048576,ROW(),FALSE)</f>
        <v>0</v>
      </c>
      <c r="AD3172" s="580">
        <f t="shared" si="281"/>
        <v>5</v>
      </c>
      <c r="AE3172" s="580">
        <f t="shared" si="282"/>
        <v>2.5</v>
      </c>
      <c r="AF3172" s="580">
        <f t="shared" si="283"/>
        <v>2.5</v>
      </c>
      <c r="AG3172" s="580">
        <f t="shared" si="284"/>
        <v>0</v>
      </c>
      <c r="AH3172" s="580">
        <f t="shared" si="285"/>
        <v>0</v>
      </c>
    </row>
    <row r="3173" spans="28:34">
      <c r="AB3173" s="580">
        <f>HLOOKUP("*"&amp;'Output annual'!$AC$2&amp;'Output annual'!$AD$2&amp;"*Zone People Number Of Occupants [](Hourly)",'Eplus results'!$1:$1048576,ROW(),FALSE)</f>
        <v>0</v>
      </c>
      <c r="AC3173" s="580">
        <f>HLOOKUP("*"&amp;'Output annual'!$AC$2&amp;'Output annual'!$AD$2&amp;"*FangerPMV(Hourly)",'Eplus results'!$1:$1048576,ROW(),FALSE)</f>
        <v>0</v>
      </c>
      <c r="AD3173" s="580">
        <f t="shared" si="281"/>
        <v>5</v>
      </c>
      <c r="AE3173" s="580">
        <f t="shared" si="282"/>
        <v>2.5</v>
      </c>
      <c r="AF3173" s="580">
        <f t="shared" si="283"/>
        <v>2.5</v>
      </c>
      <c r="AG3173" s="580">
        <f t="shared" si="284"/>
        <v>0</v>
      </c>
      <c r="AH3173" s="580">
        <f t="shared" si="285"/>
        <v>0</v>
      </c>
    </row>
    <row r="3174" spans="28:34">
      <c r="AB3174" s="580">
        <f>HLOOKUP("*"&amp;'Output annual'!$AC$2&amp;'Output annual'!$AD$2&amp;"*Zone People Number Of Occupants [](Hourly)",'Eplus results'!$1:$1048576,ROW(),FALSE)</f>
        <v>0</v>
      </c>
      <c r="AC3174" s="580">
        <f>HLOOKUP("*"&amp;'Output annual'!$AC$2&amp;'Output annual'!$AD$2&amp;"*FangerPMV(Hourly)",'Eplus results'!$1:$1048576,ROW(),FALSE)</f>
        <v>0</v>
      </c>
      <c r="AD3174" s="580">
        <f t="shared" si="281"/>
        <v>5</v>
      </c>
      <c r="AE3174" s="580">
        <f t="shared" si="282"/>
        <v>2.5</v>
      </c>
      <c r="AF3174" s="580">
        <f t="shared" si="283"/>
        <v>2.5</v>
      </c>
      <c r="AG3174" s="580">
        <f t="shared" si="284"/>
        <v>0</v>
      </c>
      <c r="AH3174" s="580">
        <f t="shared" si="285"/>
        <v>0</v>
      </c>
    </row>
    <row r="3175" spans="28:34">
      <c r="AB3175" s="580">
        <f>HLOOKUP("*"&amp;'Output annual'!$AC$2&amp;'Output annual'!$AD$2&amp;"*Zone People Number Of Occupants [](Hourly)",'Eplus results'!$1:$1048576,ROW(),FALSE)</f>
        <v>0</v>
      </c>
      <c r="AC3175" s="580">
        <f>HLOOKUP("*"&amp;'Output annual'!$AC$2&amp;'Output annual'!$AD$2&amp;"*FangerPMV(Hourly)",'Eplus results'!$1:$1048576,ROW(),FALSE)</f>
        <v>0</v>
      </c>
      <c r="AD3175" s="580">
        <f t="shared" si="281"/>
        <v>5</v>
      </c>
      <c r="AE3175" s="580">
        <f t="shared" si="282"/>
        <v>2.5</v>
      </c>
      <c r="AF3175" s="580">
        <f t="shared" si="283"/>
        <v>2.5</v>
      </c>
      <c r="AG3175" s="580">
        <f t="shared" si="284"/>
        <v>0</v>
      </c>
      <c r="AH3175" s="580">
        <f t="shared" si="285"/>
        <v>0</v>
      </c>
    </row>
    <row r="3176" spans="28:34">
      <c r="AB3176" s="580">
        <f>HLOOKUP("*"&amp;'Output annual'!$AC$2&amp;'Output annual'!$AD$2&amp;"*Zone People Number Of Occupants [](Hourly)",'Eplus results'!$1:$1048576,ROW(),FALSE)</f>
        <v>0</v>
      </c>
      <c r="AC3176" s="580">
        <f>HLOOKUP("*"&amp;'Output annual'!$AC$2&amp;'Output annual'!$AD$2&amp;"*FangerPMV(Hourly)",'Eplus results'!$1:$1048576,ROW(),FALSE)</f>
        <v>0</v>
      </c>
      <c r="AD3176" s="580">
        <f t="shared" si="281"/>
        <v>5</v>
      </c>
      <c r="AE3176" s="580">
        <f t="shared" si="282"/>
        <v>2.5</v>
      </c>
      <c r="AF3176" s="580">
        <f t="shared" si="283"/>
        <v>2.5</v>
      </c>
      <c r="AG3176" s="580">
        <f t="shared" si="284"/>
        <v>0</v>
      </c>
      <c r="AH3176" s="580">
        <f t="shared" si="285"/>
        <v>0</v>
      </c>
    </row>
    <row r="3177" spans="28:34">
      <c r="AB3177" s="580">
        <f>HLOOKUP("*"&amp;'Output annual'!$AC$2&amp;'Output annual'!$AD$2&amp;"*Zone People Number Of Occupants [](Hourly)",'Eplus results'!$1:$1048576,ROW(),FALSE)</f>
        <v>0</v>
      </c>
      <c r="AC3177" s="580">
        <f>HLOOKUP("*"&amp;'Output annual'!$AC$2&amp;'Output annual'!$AD$2&amp;"*FangerPMV(Hourly)",'Eplus results'!$1:$1048576,ROW(),FALSE)</f>
        <v>0</v>
      </c>
      <c r="AD3177" s="580">
        <f t="shared" si="281"/>
        <v>5</v>
      </c>
      <c r="AE3177" s="580">
        <f t="shared" si="282"/>
        <v>2.5</v>
      </c>
      <c r="AF3177" s="580">
        <f t="shared" si="283"/>
        <v>2.5</v>
      </c>
      <c r="AG3177" s="580">
        <f t="shared" si="284"/>
        <v>0</v>
      </c>
      <c r="AH3177" s="580">
        <f t="shared" si="285"/>
        <v>0</v>
      </c>
    </row>
    <row r="3178" spans="28:34">
      <c r="AB3178" s="580">
        <f>HLOOKUP("*"&amp;'Output annual'!$AC$2&amp;'Output annual'!$AD$2&amp;"*Zone People Number Of Occupants [](Hourly)",'Eplus results'!$1:$1048576,ROW(),FALSE)</f>
        <v>0</v>
      </c>
      <c r="AC3178" s="580">
        <f>HLOOKUP("*"&amp;'Output annual'!$AC$2&amp;'Output annual'!$AD$2&amp;"*FangerPMV(Hourly)",'Eplus results'!$1:$1048576,ROW(),FALSE)</f>
        <v>0</v>
      </c>
      <c r="AD3178" s="580">
        <f t="shared" si="281"/>
        <v>5</v>
      </c>
      <c r="AE3178" s="580">
        <f t="shared" si="282"/>
        <v>2.5</v>
      </c>
      <c r="AF3178" s="580">
        <f t="shared" si="283"/>
        <v>2.5</v>
      </c>
      <c r="AG3178" s="580">
        <f t="shared" si="284"/>
        <v>0</v>
      </c>
      <c r="AH3178" s="580">
        <f t="shared" si="285"/>
        <v>0</v>
      </c>
    </row>
    <row r="3179" spans="28:34">
      <c r="AB3179" s="580">
        <f>HLOOKUP("*"&amp;'Output annual'!$AC$2&amp;'Output annual'!$AD$2&amp;"*Zone People Number Of Occupants [](Hourly)",'Eplus results'!$1:$1048576,ROW(),FALSE)</f>
        <v>0</v>
      </c>
      <c r="AC3179" s="580">
        <f>HLOOKUP("*"&amp;'Output annual'!$AC$2&amp;'Output annual'!$AD$2&amp;"*FangerPMV(Hourly)",'Eplus results'!$1:$1048576,ROW(),FALSE)</f>
        <v>0</v>
      </c>
      <c r="AD3179" s="580">
        <f t="shared" si="281"/>
        <v>5</v>
      </c>
      <c r="AE3179" s="580">
        <f t="shared" si="282"/>
        <v>2.5</v>
      </c>
      <c r="AF3179" s="580">
        <f t="shared" si="283"/>
        <v>2.5</v>
      </c>
      <c r="AG3179" s="580">
        <f t="shared" si="284"/>
        <v>0</v>
      </c>
      <c r="AH3179" s="580">
        <f t="shared" si="285"/>
        <v>0</v>
      </c>
    </row>
    <row r="3180" spans="28:34">
      <c r="AB3180" s="580">
        <f>HLOOKUP("*"&amp;'Output annual'!$AC$2&amp;'Output annual'!$AD$2&amp;"*Zone People Number Of Occupants [](Hourly)",'Eplus results'!$1:$1048576,ROW(),FALSE)</f>
        <v>0</v>
      </c>
      <c r="AC3180" s="580">
        <f>HLOOKUP("*"&amp;'Output annual'!$AC$2&amp;'Output annual'!$AD$2&amp;"*FangerPMV(Hourly)",'Eplus results'!$1:$1048576,ROW(),FALSE)</f>
        <v>0</v>
      </c>
      <c r="AD3180" s="580">
        <f t="shared" si="281"/>
        <v>5</v>
      </c>
      <c r="AE3180" s="580">
        <f t="shared" si="282"/>
        <v>2.5</v>
      </c>
      <c r="AF3180" s="580">
        <f t="shared" si="283"/>
        <v>2.5</v>
      </c>
      <c r="AG3180" s="580">
        <f t="shared" si="284"/>
        <v>0</v>
      </c>
      <c r="AH3180" s="580">
        <f t="shared" si="285"/>
        <v>0</v>
      </c>
    </row>
    <row r="3181" spans="28:34">
      <c r="AB3181" s="580">
        <f>HLOOKUP("*"&amp;'Output annual'!$AC$2&amp;'Output annual'!$AD$2&amp;"*Zone People Number Of Occupants [](Hourly)",'Eplus results'!$1:$1048576,ROW(),FALSE)</f>
        <v>0</v>
      </c>
      <c r="AC3181" s="580">
        <f>HLOOKUP("*"&amp;'Output annual'!$AC$2&amp;'Output annual'!$AD$2&amp;"*FangerPMV(Hourly)",'Eplus results'!$1:$1048576,ROW(),FALSE)</f>
        <v>0</v>
      </c>
      <c r="AD3181" s="580">
        <f t="shared" si="281"/>
        <v>5</v>
      </c>
      <c r="AE3181" s="580">
        <f t="shared" si="282"/>
        <v>2.5</v>
      </c>
      <c r="AF3181" s="580">
        <f t="shared" si="283"/>
        <v>2.5</v>
      </c>
      <c r="AG3181" s="580">
        <f t="shared" si="284"/>
        <v>0</v>
      </c>
      <c r="AH3181" s="580">
        <f t="shared" si="285"/>
        <v>0</v>
      </c>
    </row>
    <row r="3182" spans="28:34">
      <c r="AB3182" s="580">
        <f>HLOOKUP("*"&amp;'Output annual'!$AC$2&amp;'Output annual'!$AD$2&amp;"*Zone People Number Of Occupants [](Hourly)",'Eplus results'!$1:$1048576,ROW(),FALSE)</f>
        <v>0</v>
      </c>
      <c r="AC3182" s="580">
        <f>HLOOKUP("*"&amp;'Output annual'!$AC$2&amp;'Output annual'!$AD$2&amp;"*FangerPMV(Hourly)",'Eplus results'!$1:$1048576,ROW(),FALSE)</f>
        <v>0</v>
      </c>
      <c r="AD3182" s="580">
        <f t="shared" si="281"/>
        <v>5</v>
      </c>
      <c r="AE3182" s="580">
        <f t="shared" si="282"/>
        <v>2.5</v>
      </c>
      <c r="AF3182" s="580">
        <f t="shared" si="283"/>
        <v>2.5</v>
      </c>
      <c r="AG3182" s="580">
        <f t="shared" si="284"/>
        <v>0</v>
      </c>
      <c r="AH3182" s="580">
        <f t="shared" si="285"/>
        <v>0</v>
      </c>
    </row>
    <row r="3183" spans="28:34">
      <c r="AB3183" s="580">
        <f>HLOOKUP("*"&amp;'Output annual'!$AC$2&amp;'Output annual'!$AD$2&amp;"*Zone People Number Of Occupants [](Hourly)",'Eplus results'!$1:$1048576,ROW(),FALSE)</f>
        <v>0</v>
      </c>
      <c r="AC3183" s="580">
        <f>HLOOKUP("*"&amp;'Output annual'!$AC$2&amp;'Output annual'!$AD$2&amp;"*FangerPMV(Hourly)",'Eplus results'!$1:$1048576,ROW(),FALSE)</f>
        <v>0</v>
      </c>
      <c r="AD3183" s="580">
        <f t="shared" si="281"/>
        <v>5</v>
      </c>
      <c r="AE3183" s="580">
        <f t="shared" si="282"/>
        <v>2.5</v>
      </c>
      <c r="AF3183" s="580">
        <f t="shared" si="283"/>
        <v>2.5</v>
      </c>
      <c r="AG3183" s="580">
        <f t="shared" si="284"/>
        <v>0</v>
      </c>
      <c r="AH3183" s="580">
        <f t="shared" si="285"/>
        <v>0</v>
      </c>
    </row>
    <row r="3184" spans="28:34">
      <c r="AB3184" s="580">
        <f>HLOOKUP("*"&amp;'Output annual'!$AC$2&amp;'Output annual'!$AD$2&amp;"*Zone People Number Of Occupants [](Hourly)",'Eplus results'!$1:$1048576,ROW(),FALSE)</f>
        <v>0</v>
      </c>
      <c r="AC3184" s="580">
        <f>HLOOKUP("*"&amp;'Output annual'!$AC$2&amp;'Output annual'!$AD$2&amp;"*FangerPMV(Hourly)",'Eplus results'!$1:$1048576,ROW(),FALSE)</f>
        <v>0</v>
      </c>
      <c r="AD3184" s="580">
        <f t="shared" si="281"/>
        <v>5</v>
      </c>
      <c r="AE3184" s="580">
        <f t="shared" si="282"/>
        <v>2.5</v>
      </c>
      <c r="AF3184" s="580">
        <f t="shared" si="283"/>
        <v>2.5</v>
      </c>
      <c r="AG3184" s="580">
        <f t="shared" si="284"/>
        <v>0</v>
      </c>
      <c r="AH3184" s="580">
        <f t="shared" si="285"/>
        <v>0</v>
      </c>
    </row>
    <row r="3185" spans="28:34">
      <c r="AB3185" s="580">
        <f>HLOOKUP("*"&amp;'Output annual'!$AC$2&amp;'Output annual'!$AD$2&amp;"*Zone People Number Of Occupants [](Hourly)",'Eplus results'!$1:$1048576,ROW(),FALSE)</f>
        <v>0</v>
      </c>
      <c r="AC3185" s="580">
        <f>HLOOKUP("*"&amp;'Output annual'!$AC$2&amp;'Output annual'!$AD$2&amp;"*FangerPMV(Hourly)",'Eplus results'!$1:$1048576,ROW(),FALSE)</f>
        <v>0</v>
      </c>
      <c r="AD3185" s="580">
        <f t="shared" si="281"/>
        <v>5</v>
      </c>
      <c r="AE3185" s="580">
        <f t="shared" si="282"/>
        <v>2.5</v>
      </c>
      <c r="AF3185" s="580">
        <f t="shared" si="283"/>
        <v>2.5</v>
      </c>
      <c r="AG3185" s="580">
        <f t="shared" si="284"/>
        <v>0</v>
      </c>
      <c r="AH3185" s="580">
        <f t="shared" si="285"/>
        <v>0</v>
      </c>
    </row>
    <row r="3186" spans="28:34">
      <c r="AB3186" s="580">
        <f>HLOOKUP("*"&amp;'Output annual'!$AC$2&amp;'Output annual'!$AD$2&amp;"*Zone People Number Of Occupants [](Hourly)",'Eplus results'!$1:$1048576,ROW(),FALSE)</f>
        <v>0</v>
      </c>
      <c r="AC3186" s="580">
        <f>HLOOKUP("*"&amp;'Output annual'!$AC$2&amp;'Output annual'!$AD$2&amp;"*FangerPMV(Hourly)",'Eplus results'!$1:$1048576,ROW(),FALSE)</f>
        <v>0</v>
      </c>
      <c r="AD3186" s="580">
        <f t="shared" si="281"/>
        <v>5</v>
      </c>
      <c r="AE3186" s="580">
        <f t="shared" si="282"/>
        <v>2.5</v>
      </c>
      <c r="AF3186" s="580">
        <f t="shared" si="283"/>
        <v>2.5</v>
      </c>
      <c r="AG3186" s="580">
        <f t="shared" si="284"/>
        <v>0</v>
      </c>
      <c r="AH3186" s="580">
        <f t="shared" si="285"/>
        <v>0</v>
      </c>
    </row>
    <row r="3187" spans="28:34">
      <c r="AB3187" s="580">
        <f>HLOOKUP("*"&amp;'Output annual'!$AC$2&amp;'Output annual'!$AD$2&amp;"*Zone People Number Of Occupants [](Hourly)",'Eplus results'!$1:$1048576,ROW(),FALSE)</f>
        <v>0</v>
      </c>
      <c r="AC3187" s="580">
        <f>HLOOKUP("*"&amp;'Output annual'!$AC$2&amp;'Output annual'!$AD$2&amp;"*FangerPMV(Hourly)",'Eplus results'!$1:$1048576,ROW(),FALSE)</f>
        <v>0</v>
      </c>
      <c r="AD3187" s="580">
        <f t="shared" si="281"/>
        <v>5</v>
      </c>
      <c r="AE3187" s="580">
        <f t="shared" si="282"/>
        <v>2.5</v>
      </c>
      <c r="AF3187" s="580">
        <f t="shared" si="283"/>
        <v>2.5</v>
      </c>
      <c r="AG3187" s="580">
        <f t="shared" si="284"/>
        <v>0</v>
      </c>
      <c r="AH3187" s="580">
        <f t="shared" si="285"/>
        <v>0</v>
      </c>
    </row>
    <row r="3188" spans="28:34">
      <c r="AB3188" s="580">
        <f>HLOOKUP("*"&amp;'Output annual'!$AC$2&amp;'Output annual'!$AD$2&amp;"*Zone People Number Of Occupants [](Hourly)",'Eplus results'!$1:$1048576,ROW(),FALSE)</f>
        <v>0</v>
      </c>
      <c r="AC3188" s="580">
        <f>HLOOKUP("*"&amp;'Output annual'!$AC$2&amp;'Output annual'!$AD$2&amp;"*FangerPMV(Hourly)",'Eplus results'!$1:$1048576,ROW(),FALSE)</f>
        <v>0</v>
      </c>
      <c r="AD3188" s="580">
        <f t="shared" si="281"/>
        <v>5</v>
      </c>
      <c r="AE3188" s="580">
        <f t="shared" si="282"/>
        <v>2.5</v>
      </c>
      <c r="AF3188" s="580">
        <f t="shared" si="283"/>
        <v>2.5</v>
      </c>
      <c r="AG3188" s="580">
        <f t="shared" si="284"/>
        <v>0</v>
      </c>
      <c r="AH3188" s="580">
        <f t="shared" si="285"/>
        <v>0</v>
      </c>
    </row>
    <row r="3189" spans="28:34">
      <c r="AB3189" s="580">
        <f>HLOOKUP("*"&amp;'Output annual'!$AC$2&amp;'Output annual'!$AD$2&amp;"*Zone People Number Of Occupants [](Hourly)",'Eplus results'!$1:$1048576,ROW(),FALSE)</f>
        <v>0</v>
      </c>
      <c r="AC3189" s="580">
        <f>HLOOKUP("*"&amp;'Output annual'!$AC$2&amp;'Output annual'!$AD$2&amp;"*FangerPMV(Hourly)",'Eplus results'!$1:$1048576,ROW(),FALSE)</f>
        <v>0</v>
      </c>
      <c r="AD3189" s="580">
        <f t="shared" si="281"/>
        <v>5</v>
      </c>
      <c r="AE3189" s="580">
        <f t="shared" si="282"/>
        <v>2.5</v>
      </c>
      <c r="AF3189" s="580">
        <f t="shared" si="283"/>
        <v>2.5</v>
      </c>
      <c r="AG3189" s="580">
        <f t="shared" si="284"/>
        <v>0</v>
      </c>
      <c r="AH3189" s="580">
        <f t="shared" si="285"/>
        <v>0</v>
      </c>
    </row>
    <row r="3190" spans="28:34">
      <c r="AB3190" s="580">
        <f>HLOOKUP("*"&amp;'Output annual'!$AC$2&amp;'Output annual'!$AD$2&amp;"*Zone People Number Of Occupants [](Hourly)",'Eplus results'!$1:$1048576,ROW(),FALSE)</f>
        <v>0</v>
      </c>
      <c r="AC3190" s="580">
        <f>HLOOKUP("*"&amp;'Output annual'!$AC$2&amp;'Output annual'!$AD$2&amp;"*FangerPMV(Hourly)",'Eplus results'!$1:$1048576,ROW(),FALSE)</f>
        <v>0</v>
      </c>
      <c r="AD3190" s="580">
        <f t="shared" si="281"/>
        <v>5</v>
      </c>
      <c r="AE3190" s="580">
        <f t="shared" si="282"/>
        <v>2.5</v>
      </c>
      <c r="AF3190" s="580">
        <f t="shared" si="283"/>
        <v>2.5</v>
      </c>
      <c r="AG3190" s="580">
        <f t="shared" si="284"/>
        <v>0</v>
      </c>
      <c r="AH3190" s="580">
        <f t="shared" si="285"/>
        <v>0</v>
      </c>
    </row>
    <row r="3191" spans="28:34">
      <c r="AB3191" s="580">
        <f>HLOOKUP("*"&amp;'Output annual'!$AC$2&amp;'Output annual'!$AD$2&amp;"*Zone People Number Of Occupants [](Hourly)",'Eplus results'!$1:$1048576,ROW(),FALSE)</f>
        <v>0</v>
      </c>
      <c r="AC3191" s="580">
        <f>HLOOKUP("*"&amp;'Output annual'!$AC$2&amp;'Output annual'!$AD$2&amp;"*FangerPMV(Hourly)",'Eplus results'!$1:$1048576,ROW(),FALSE)</f>
        <v>0</v>
      </c>
      <c r="AD3191" s="580">
        <f t="shared" si="281"/>
        <v>5</v>
      </c>
      <c r="AE3191" s="580">
        <f t="shared" si="282"/>
        <v>2.5</v>
      </c>
      <c r="AF3191" s="580">
        <f t="shared" si="283"/>
        <v>2.5</v>
      </c>
      <c r="AG3191" s="580">
        <f t="shared" si="284"/>
        <v>0</v>
      </c>
      <c r="AH3191" s="580">
        <f t="shared" si="285"/>
        <v>0</v>
      </c>
    </row>
    <row r="3192" spans="28:34">
      <c r="AB3192" s="580">
        <f>HLOOKUP("*"&amp;'Output annual'!$AC$2&amp;'Output annual'!$AD$2&amp;"*Zone People Number Of Occupants [](Hourly)",'Eplus results'!$1:$1048576,ROW(),FALSE)</f>
        <v>0</v>
      </c>
      <c r="AC3192" s="580">
        <f>HLOOKUP("*"&amp;'Output annual'!$AC$2&amp;'Output annual'!$AD$2&amp;"*FangerPMV(Hourly)",'Eplus results'!$1:$1048576,ROW(),FALSE)</f>
        <v>0</v>
      </c>
      <c r="AD3192" s="580">
        <f t="shared" si="281"/>
        <v>5</v>
      </c>
      <c r="AE3192" s="580">
        <f t="shared" si="282"/>
        <v>2.5</v>
      </c>
      <c r="AF3192" s="580">
        <f t="shared" si="283"/>
        <v>2.5</v>
      </c>
      <c r="AG3192" s="580">
        <f t="shared" si="284"/>
        <v>0</v>
      </c>
      <c r="AH3192" s="580">
        <f t="shared" si="285"/>
        <v>0</v>
      </c>
    </row>
    <row r="3193" spans="28:34">
      <c r="AB3193" s="580">
        <f>HLOOKUP("*"&amp;'Output annual'!$AC$2&amp;'Output annual'!$AD$2&amp;"*Zone People Number Of Occupants [](Hourly)",'Eplus results'!$1:$1048576,ROW(),FALSE)</f>
        <v>0</v>
      </c>
      <c r="AC3193" s="580">
        <f>HLOOKUP("*"&amp;'Output annual'!$AC$2&amp;'Output annual'!$AD$2&amp;"*FangerPMV(Hourly)",'Eplus results'!$1:$1048576,ROW(),FALSE)</f>
        <v>0</v>
      </c>
      <c r="AD3193" s="580">
        <f t="shared" si="281"/>
        <v>5</v>
      </c>
      <c r="AE3193" s="580">
        <f t="shared" si="282"/>
        <v>2.5</v>
      </c>
      <c r="AF3193" s="580">
        <f t="shared" si="283"/>
        <v>2.5</v>
      </c>
      <c r="AG3193" s="580">
        <f t="shared" si="284"/>
        <v>0</v>
      </c>
      <c r="AH3193" s="580">
        <f t="shared" si="285"/>
        <v>0</v>
      </c>
    </row>
    <row r="3194" spans="28:34">
      <c r="AB3194" s="580">
        <f>HLOOKUP("*"&amp;'Output annual'!$AC$2&amp;'Output annual'!$AD$2&amp;"*Zone People Number Of Occupants [](Hourly)",'Eplus results'!$1:$1048576,ROW(),FALSE)</f>
        <v>0</v>
      </c>
      <c r="AC3194" s="580">
        <f>HLOOKUP("*"&amp;'Output annual'!$AC$2&amp;'Output annual'!$AD$2&amp;"*FangerPMV(Hourly)",'Eplus results'!$1:$1048576,ROW(),FALSE)</f>
        <v>0</v>
      </c>
      <c r="AD3194" s="580">
        <f t="shared" si="281"/>
        <v>5</v>
      </c>
      <c r="AE3194" s="580">
        <f t="shared" si="282"/>
        <v>2.5</v>
      </c>
      <c r="AF3194" s="580">
        <f t="shared" si="283"/>
        <v>2.5</v>
      </c>
      <c r="AG3194" s="580">
        <f t="shared" si="284"/>
        <v>0</v>
      </c>
      <c r="AH3194" s="580">
        <f t="shared" si="285"/>
        <v>0</v>
      </c>
    </row>
    <row r="3195" spans="28:34">
      <c r="AB3195" s="580">
        <f>HLOOKUP("*"&amp;'Output annual'!$AC$2&amp;'Output annual'!$AD$2&amp;"*Zone People Number Of Occupants [](Hourly)",'Eplus results'!$1:$1048576,ROW(),FALSE)</f>
        <v>0</v>
      </c>
      <c r="AC3195" s="580">
        <f>HLOOKUP("*"&amp;'Output annual'!$AC$2&amp;'Output annual'!$AD$2&amp;"*FangerPMV(Hourly)",'Eplus results'!$1:$1048576,ROW(),FALSE)</f>
        <v>0</v>
      </c>
      <c r="AD3195" s="580">
        <f t="shared" si="281"/>
        <v>5</v>
      </c>
      <c r="AE3195" s="580">
        <f t="shared" si="282"/>
        <v>2.5</v>
      </c>
      <c r="AF3195" s="580">
        <f t="shared" si="283"/>
        <v>2.5</v>
      </c>
      <c r="AG3195" s="580">
        <f t="shared" si="284"/>
        <v>0</v>
      </c>
      <c r="AH3195" s="580">
        <f t="shared" si="285"/>
        <v>0</v>
      </c>
    </row>
    <row r="3196" spans="28:34">
      <c r="AB3196" s="580">
        <f>HLOOKUP("*"&amp;'Output annual'!$AC$2&amp;'Output annual'!$AD$2&amp;"*Zone People Number Of Occupants [](Hourly)",'Eplus results'!$1:$1048576,ROW(),FALSE)</f>
        <v>0</v>
      </c>
      <c r="AC3196" s="580">
        <f>HLOOKUP("*"&amp;'Output annual'!$AC$2&amp;'Output annual'!$AD$2&amp;"*FangerPMV(Hourly)",'Eplus results'!$1:$1048576,ROW(),FALSE)</f>
        <v>0</v>
      </c>
      <c r="AD3196" s="580">
        <f t="shared" si="281"/>
        <v>5</v>
      </c>
      <c r="AE3196" s="580">
        <f t="shared" si="282"/>
        <v>2.5</v>
      </c>
      <c r="AF3196" s="580">
        <f t="shared" si="283"/>
        <v>2.5</v>
      </c>
      <c r="AG3196" s="580">
        <f t="shared" si="284"/>
        <v>0</v>
      </c>
      <c r="AH3196" s="580">
        <f t="shared" si="285"/>
        <v>0</v>
      </c>
    </row>
    <row r="3197" spans="28:34">
      <c r="AB3197" s="580">
        <f>HLOOKUP("*"&amp;'Output annual'!$AC$2&amp;'Output annual'!$AD$2&amp;"*Zone People Number Of Occupants [](Hourly)",'Eplus results'!$1:$1048576,ROW(),FALSE)</f>
        <v>0</v>
      </c>
      <c r="AC3197" s="580">
        <f>HLOOKUP("*"&amp;'Output annual'!$AC$2&amp;'Output annual'!$AD$2&amp;"*FangerPMV(Hourly)",'Eplus results'!$1:$1048576,ROW(),FALSE)</f>
        <v>0</v>
      </c>
      <c r="AD3197" s="580">
        <f t="shared" si="281"/>
        <v>5</v>
      </c>
      <c r="AE3197" s="580">
        <f t="shared" si="282"/>
        <v>2.5</v>
      </c>
      <c r="AF3197" s="580">
        <f t="shared" si="283"/>
        <v>2.5</v>
      </c>
      <c r="AG3197" s="580">
        <f t="shared" si="284"/>
        <v>0</v>
      </c>
      <c r="AH3197" s="580">
        <f t="shared" si="285"/>
        <v>0</v>
      </c>
    </row>
    <row r="3198" spans="28:34">
      <c r="AB3198" s="580">
        <f>HLOOKUP("*"&amp;'Output annual'!$AC$2&amp;'Output annual'!$AD$2&amp;"*Zone People Number Of Occupants [](Hourly)",'Eplus results'!$1:$1048576,ROW(),FALSE)</f>
        <v>0</v>
      </c>
      <c r="AC3198" s="580">
        <f>HLOOKUP("*"&amp;'Output annual'!$AC$2&amp;'Output annual'!$AD$2&amp;"*FangerPMV(Hourly)",'Eplus results'!$1:$1048576,ROW(),FALSE)</f>
        <v>0</v>
      </c>
      <c r="AD3198" s="580">
        <f t="shared" si="281"/>
        <v>5</v>
      </c>
      <c r="AE3198" s="580">
        <f t="shared" si="282"/>
        <v>2.5</v>
      </c>
      <c r="AF3198" s="580">
        <f t="shared" si="283"/>
        <v>2.5</v>
      </c>
      <c r="AG3198" s="580">
        <f t="shared" si="284"/>
        <v>0</v>
      </c>
      <c r="AH3198" s="580">
        <f t="shared" si="285"/>
        <v>0</v>
      </c>
    </row>
    <row r="3199" spans="28:34">
      <c r="AB3199" s="580">
        <f>HLOOKUP("*"&amp;'Output annual'!$AC$2&amp;'Output annual'!$AD$2&amp;"*Zone People Number Of Occupants [](Hourly)",'Eplus results'!$1:$1048576,ROW(),FALSE)</f>
        <v>0</v>
      </c>
      <c r="AC3199" s="580">
        <f>HLOOKUP("*"&amp;'Output annual'!$AC$2&amp;'Output annual'!$AD$2&amp;"*FangerPMV(Hourly)",'Eplus results'!$1:$1048576,ROW(),FALSE)</f>
        <v>0</v>
      </c>
      <c r="AD3199" s="580">
        <f t="shared" si="281"/>
        <v>5</v>
      </c>
      <c r="AE3199" s="580">
        <f t="shared" si="282"/>
        <v>2.5</v>
      </c>
      <c r="AF3199" s="580">
        <f t="shared" si="283"/>
        <v>2.5</v>
      </c>
      <c r="AG3199" s="580">
        <f t="shared" si="284"/>
        <v>0</v>
      </c>
      <c r="AH3199" s="580">
        <f t="shared" si="285"/>
        <v>0</v>
      </c>
    </row>
    <row r="3200" spans="28:34">
      <c r="AB3200" s="580">
        <f>HLOOKUP("*"&amp;'Output annual'!$AC$2&amp;'Output annual'!$AD$2&amp;"*Zone People Number Of Occupants [](Hourly)",'Eplus results'!$1:$1048576,ROW(),FALSE)</f>
        <v>0</v>
      </c>
      <c r="AC3200" s="580">
        <f>HLOOKUP("*"&amp;'Output annual'!$AC$2&amp;'Output annual'!$AD$2&amp;"*FangerPMV(Hourly)",'Eplus results'!$1:$1048576,ROW(),FALSE)</f>
        <v>0</v>
      </c>
      <c r="AD3200" s="580">
        <f t="shared" si="281"/>
        <v>5</v>
      </c>
      <c r="AE3200" s="580">
        <f t="shared" si="282"/>
        <v>2.5</v>
      </c>
      <c r="AF3200" s="580">
        <f t="shared" si="283"/>
        <v>2.5</v>
      </c>
      <c r="AG3200" s="580">
        <f t="shared" si="284"/>
        <v>0</v>
      </c>
      <c r="AH3200" s="580">
        <f t="shared" si="285"/>
        <v>0</v>
      </c>
    </row>
    <row r="3201" spans="28:34">
      <c r="AB3201" s="580">
        <f>HLOOKUP("*"&amp;'Output annual'!$AC$2&amp;'Output annual'!$AD$2&amp;"*Zone People Number Of Occupants [](Hourly)",'Eplus results'!$1:$1048576,ROW(),FALSE)</f>
        <v>0</v>
      </c>
      <c r="AC3201" s="580">
        <f>HLOOKUP("*"&amp;'Output annual'!$AC$2&amp;'Output annual'!$AD$2&amp;"*FangerPMV(Hourly)",'Eplus results'!$1:$1048576,ROW(),FALSE)</f>
        <v>0</v>
      </c>
      <c r="AD3201" s="580">
        <f t="shared" si="281"/>
        <v>5</v>
      </c>
      <c r="AE3201" s="580">
        <f t="shared" si="282"/>
        <v>2.5</v>
      </c>
      <c r="AF3201" s="580">
        <f t="shared" si="283"/>
        <v>2.5</v>
      </c>
      <c r="AG3201" s="580">
        <f t="shared" si="284"/>
        <v>0</v>
      </c>
      <c r="AH3201" s="580">
        <f t="shared" si="285"/>
        <v>0</v>
      </c>
    </row>
    <row r="3202" spans="28:34">
      <c r="AB3202" s="580">
        <f>HLOOKUP("*"&amp;'Output annual'!$AC$2&amp;'Output annual'!$AD$2&amp;"*Zone People Number Of Occupants [](Hourly)",'Eplus results'!$1:$1048576,ROW(),FALSE)</f>
        <v>0</v>
      </c>
      <c r="AC3202" s="580">
        <f>HLOOKUP("*"&amp;'Output annual'!$AC$2&amp;'Output annual'!$AD$2&amp;"*FangerPMV(Hourly)",'Eplus results'!$1:$1048576,ROW(),FALSE)</f>
        <v>0</v>
      </c>
      <c r="AD3202" s="580">
        <f t="shared" si="281"/>
        <v>5</v>
      </c>
      <c r="AE3202" s="580">
        <f t="shared" si="282"/>
        <v>2.5</v>
      </c>
      <c r="AF3202" s="580">
        <f t="shared" si="283"/>
        <v>2.5</v>
      </c>
      <c r="AG3202" s="580">
        <f t="shared" si="284"/>
        <v>0</v>
      </c>
      <c r="AH3202" s="580">
        <f t="shared" si="285"/>
        <v>0</v>
      </c>
    </row>
    <row r="3203" spans="28:34">
      <c r="AB3203" s="580">
        <f>HLOOKUP("*"&amp;'Output annual'!$AC$2&amp;'Output annual'!$AD$2&amp;"*Zone People Number Of Occupants [](Hourly)",'Eplus results'!$1:$1048576,ROW(),FALSE)</f>
        <v>0</v>
      </c>
      <c r="AC3203" s="580">
        <f>HLOOKUP("*"&amp;'Output annual'!$AC$2&amp;'Output annual'!$AD$2&amp;"*FangerPMV(Hourly)",'Eplus results'!$1:$1048576,ROW(),FALSE)</f>
        <v>0</v>
      </c>
      <c r="AD3203" s="580">
        <f t="shared" ref="AD3203:AD3266" si="286">100-95*EXP(-0.03353*AC3203^4-0.2179*AC3203^2)</f>
        <v>5</v>
      </c>
      <c r="AE3203" s="580">
        <f t="shared" ref="AE3203:AE3266" si="287">AD3203*(1/(1+EXP(-6.3*$AC3203)))</f>
        <v>2.5</v>
      </c>
      <c r="AF3203" s="580">
        <f t="shared" ref="AF3203:AF3266" si="288">(AD3203-AE3203)</f>
        <v>2.5</v>
      </c>
      <c r="AG3203" s="580">
        <f t="shared" ref="AG3203:AG3266" si="289">AE3203*AB3203</f>
        <v>0</v>
      </c>
      <c r="AH3203" s="580">
        <f t="shared" ref="AH3203:AH3266" si="290">AF3203*AB3203</f>
        <v>0</v>
      </c>
    </row>
    <row r="3204" spans="28:34">
      <c r="AB3204" s="580">
        <f>HLOOKUP("*"&amp;'Output annual'!$AC$2&amp;'Output annual'!$AD$2&amp;"*Zone People Number Of Occupants [](Hourly)",'Eplus results'!$1:$1048576,ROW(),FALSE)</f>
        <v>0</v>
      </c>
      <c r="AC3204" s="580">
        <f>HLOOKUP("*"&amp;'Output annual'!$AC$2&amp;'Output annual'!$AD$2&amp;"*FangerPMV(Hourly)",'Eplus results'!$1:$1048576,ROW(),FALSE)</f>
        <v>0</v>
      </c>
      <c r="AD3204" s="580">
        <f t="shared" si="286"/>
        <v>5</v>
      </c>
      <c r="AE3204" s="580">
        <f t="shared" si="287"/>
        <v>2.5</v>
      </c>
      <c r="AF3204" s="580">
        <f t="shared" si="288"/>
        <v>2.5</v>
      </c>
      <c r="AG3204" s="580">
        <f t="shared" si="289"/>
        <v>0</v>
      </c>
      <c r="AH3204" s="580">
        <f t="shared" si="290"/>
        <v>0</v>
      </c>
    </row>
    <row r="3205" spans="28:34">
      <c r="AB3205" s="580">
        <f>HLOOKUP("*"&amp;'Output annual'!$AC$2&amp;'Output annual'!$AD$2&amp;"*Zone People Number Of Occupants [](Hourly)",'Eplus results'!$1:$1048576,ROW(),FALSE)</f>
        <v>0</v>
      </c>
      <c r="AC3205" s="580">
        <f>HLOOKUP("*"&amp;'Output annual'!$AC$2&amp;'Output annual'!$AD$2&amp;"*FangerPMV(Hourly)",'Eplus results'!$1:$1048576,ROW(),FALSE)</f>
        <v>0</v>
      </c>
      <c r="AD3205" s="580">
        <f t="shared" si="286"/>
        <v>5</v>
      </c>
      <c r="AE3205" s="580">
        <f t="shared" si="287"/>
        <v>2.5</v>
      </c>
      <c r="AF3205" s="580">
        <f t="shared" si="288"/>
        <v>2.5</v>
      </c>
      <c r="AG3205" s="580">
        <f t="shared" si="289"/>
        <v>0</v>
      </c>
      <c r="AH3205" s="580">
        <f t="shared" si="290"/>
        <v>0</v>
      </c>
    </row>
    <row r="3206" spans="28:34">
      <c r="AB3206" s="580">
        <f>HLOOKUP("*"&amp;'Output annual'!$AC$2&amp;'Output annual'!$AD$2&amp;"*Zone People Number Of Occupants [](Hourly)",'Eplus results'!$1:$1048576,ROW(),FALSE)</f>
        <v>0</v>
      </c>
      <c r="AC3206" s="580">
        <f>HLOOKUP("*"&amp;'Output annual'!$AC$2&amp;'Output annual'!$AD$2&amp;"*FangerPMV(Hourly)",'Eplus results'!$1:$1048576,ROW(),FALSE)</f>
        <v>0</v>
      </c>
      <c r="AD3206" s="580">
        <f t="shared" si="286"/>
        <v>5</v>
      </c>
      <c r="AE3206" s="580">
        <f t="shared" si="287"/>
        <v>2.5</v>
      </c>
      <c r="AF3206" s="580">
        <f t="shared" si="288"/>
        <v>2.5</v>
      </c>
      <c r="AG3206" s="580">
        <f t="shared" si="289"/>
        <v>0</v>
      </c>
      <c r="AH3206" s="580">
        <f t="shared" si="290"/>
        <v>0</v>
      </c>
    </row>
    <row r="3207" spans="28:34">
      <c r="AB3207" s="580">
        <f>HLOOKUP("*"&amp;'Output annual'!$AC$2&amp;'Output annual'!$AD$2&amp;"*Zone People Number Of Occupants [](Hourly)",'Eplus results'!$1:$1048576,ROW(),FALSE)</f>
        <v>0</v>
      </c>
      <c r="AC3207" s="580">
        <f>HLOOKUP("*"&amp;'Output annual'!$AC$2&amp;'Output annual'!$AD$2&amp;"*FangerPMV(Hourly)",'Eplus results'!$1:$1048576,ROW(),FALSE)</f>
        <v>0</v>
      </c>
      <c r="AD3207" s="580">
        <f t="shared" si="286"/>
        <v>5</v>
      </c>
      <c r="AE3207" s="580">
        <f t="shared" si="287"/>
        <v>2.5</v>
      </c>
      <c r="AF3207" s="580">
        <f t="shared" si="288"/>
        <v>2.5</v>
      </c>
      <c r="AG3207" s="580">
        <f t="shared" si="289"/>
        <v>0</v>
      </c>
      <c r="AH3207" s="580">
        <f t="shared" si="290"/>
        <v>0</v>
      </c>
    </row>
    <row r="3208" spans="28:34">
      <c r="AB3208" s="580">
        <f>HLOOKUP("*"&amp;'Output annual'!$AC$2&amp;'Output annual'!$AD$2&amp;"*Zone People Number Of Occupants [](Hourly)",'Eplus results'!$1:$1048576,ROW(),FALSE)</f>
        <v>0</v>
      </c>
      <c r="AC3208" s="580">
        <f>HLOOKUP("*"&amp;'Output annual'!$AC$2&amp;'Output annual'!$AD$2&amp;"*FangerPMV(Hourly)",'Eplus results'!$1:$1048576,ROW(),FALSE)</f>
        <v>0</v>
      </c>
      <c r="AD3208" s="580">
        <f t="shared" si="286"/>
        <v>5</v>
      </c>
      <c r="AE3208" s="580">
        <f t="shared" si="287"/>
        <v>2.5</v>
      </c>
      <c r="AF3208" s="580">
        <f t="shared" si="288"/>
        <v>2.5</v>
      </c>
      <c r="AG3208" s="580">
        <f t="shared" si="289"/>
        <v>0</v>
      </c>
      <c r="AH3208" s="580">
        <f t="shared" si="290"/>
        <v>0</v>
      </c>
    </row>
    <row r="3209" spans="28:34">
      <c r="AB3209" s="580">
        <f>HLOOKUP("*"&amp;'Output annual'!$AC$2&amp;'Output annual'!$AD$2&amp;"*Zone People Number Of Occupants [](Hourly)",'Eplus results'!$1:$1048576,ROW(),FALSE)</f>
        <v>0</v>
      </c>
      <c r="AC3209" s="580">
        <f>HLOOKUP("*"&amp;'Output annual'!$AC$2&amp;'Output annual'!$AD$2&amp;"*FangerPMV(Hourly)",'Eplus results'!$1:$1048576,ROW(),FALSE)</f>
        <v>0</v>
      </c>
      <c r="AD3209" s="580">
        <f t="shared" si="286"/>
        <v>5</v>
      </c>
      <c r="AE3209" s="580">
        <f t="shared" si="287"/>
        <v>2.5</v>
      </c>
      <c r="AF3209" s="580">
        <f t="shared" si="288"/>
        <v>2.5</v>
      </c>
      <c r="AG3209" s="580">
        <f t="shared" si="289"/>
        <v>0</v>
      </c>
      <c r="AH3209" s="580">
        <f t="shared" si="290"/>
        <v>0</v>
      </c>
    </row>
    <row r="3210" spans="28:34">
      <c r="AB3210" s="580">
        <f>HLOOKUP("*"&amp;'Output annual'!$AC$2&amp;'Output annual'!$AD$2&amp;"*Zone People Number Of Occupants [](Hourly)",'Eplus results'!$1:$1048576,ROW(),FALSE)</f>
        <v>0</v>
      </c>
      <c r="AC3210" s="580">
        <f>HLOOKUP("*"&amp;'Output annual'!$AC$2&amp;'Output annual'!$AD$2&amp;"*FangerPMV(Hourly)",'Eplus results'!$1:$1048576,ROW(),FALSE)</f>
        <v>0</v>
      </c>
      <c r="AD3210" s="580">
        <f t="shared" si="286"/>
        <v>5</v>
      </c>
      <c r="AE3210" s="580">
        <f t="shared" si="287"/>
        <v>2.5</v>
      </c>
      <c r="AF3210" s="580">
        <f t="shared" si="288"/>
        <v>2.5</v>
      </c>
      <c r="AG3210" s="580">
        <f t="shared" si="289"/>
        <v>0</v>
      </c>
      <c r="AH3210" s="580">
        <f t="shared" si="290"/>
        <v>0</v>
      </c>
    </row>
    <row r="3211" spans="28:34">
      <c r="AB3211" s="580">
        <f>HLOOKUP("*"&amp;'Output annual'!$AC$2&amp;'Output annual'!$AD$2&amp;"*Zone People Number Of Occupants [](Hourly)",'Eplus results'!$1:$1048576,ROW(),FALSE)</f>
        <v>0</v>
      </c>
      <c r="AC3211" s="580">
        <f>HLOOKUP("*"&amp;'Output annual'!$AC$2&amp;'Output annual'!$AD$2&amp;"*FangerPMV(Hourly)",'Eplus results'!$1:$1048576,ROW(),FALSE)</f>
        <v>0</v>
      </c>
      <c r="AD3211" s="580">
        <f t="shared" si="286"/>
        <v>5</v>
      </c>
      <c r="AE3211" s="580">
        <f t="shared" si="287"/>
        <v>2.5</v>
      </c>
      <c r="AF3211" s="580">
        <f t="shared" si="288"/>
        <v>2.5</v>
      </c>
      <c r="AG3211" s="580">
        <f t="shared" si="289"/>
        <v>0</v>
      </c>
      <c r="AH3211" s="580">
        <f t="shared" si="290"/>
        <v>0</v>
      </c>
    </row>
    <row r="3212" spans="28:34">
      <c r="AB3212" s="580">
        <f>HLOOKUP("*"&amp;'Output annual'!$AC$2&amp;'Output annual'!$AD$2&amp;"*Zone People Number Of Occupants [](Hourly)",'Eplus results'!$1:$1048576,ROW(),FALSE)</f>
        <v>0</v>
      </c>
      <c r="AC3212" s="580">
        <f>HLOOKUP("*"&amp;'Output annual'!$AC$2&amp;'Output annual'!$AD$2&amp;"*FangerPMV(Hourly)",'Eplus results'!$1:$1048576,ROW(),FALSE)</f>
        <v>0</v>
      </c>
      <c r="AD3212" s="580">
        <f t="shared" si="286"/>
        <v>5</v>
      </c>
      <c r="AE3212" s="580">
        <f t="shared" si="287"/>
        <v>2.5</v>
      </c>
      <c r="AF3212" s="580">
        <f t="shared" si="288"/>
        <v>2.5</v>
      </c>
      <c r="AG3212" s="580">
        <f t="shared" si="289"/>
        <v>0</v>
      </c>
      <c r="AH3212" s="580">
        <f t="shared" si="290"/>
        <v>0</v>
      </c>
    </row>
    <row r="3213" spans="28:34">
      <c r="AB3213" s="580">
        <f>HLOOKUP("*"&amp;'Output annual'!$AC$2&amp;'Output annual'!$AD$2&amp;"*Zone People Number Of Occupants [](Hourly)",'Eplus results'!$1:$1048576,ROW(),FALSE)</f>
        <v>0</v>
      </c>
      <c r="AC3213" s="580">
        <f>HLOOKUP("*"&amp;'Output annual'!$AC$2&amp;'Output annual'!$AD$2&amp;"*FangerPMV(Hourly)",'Eplus results'!$1:$1048576,ROW(),FALSE)</f>
        <v>0</v>
      </c>
      <c r="AD3213" s="580">
        <f t="shared" si="286"/>
        <v>5</v>
      </c>
      <c r="AE3213" s="580">
        <f t="shared" si="287"/>
        <v>2.5</v>
      </c>
      <c r="AF3213" s="580">
        <f t="shared" si="288"/>
        <v>2.5</v>
      </c>
      <c r="AG3213" s="580">
        <f t="shared" si="289"/>
        <v>0</v>
      </c>
      <c r="AH3213" s="580">
        <f t="shared" si="290"/>
        <v>0</v>
      </c>
    </row>
    <row r="3214" spans="28:34">
      <c r="AB3214" s="580">
        <f>HLOOKUP("*"&amp;'Output annual'!$AC$2&amp;'Output annual'!$AD$2&amp;"*Zone People Number Of Occupants [](Hourly)",'Eplus results'!$1:$1048576,ROW(),FALSE)</f>
        <v>0</v>
      </c>
      <c r="AC3214" s="580">
        <f>HLOOKUP("*"&amp;'Output annual'!$AC$2&amp;'Output annual'!$AD$2&amp;"*FangerPMV(Hourly)",'Eplus results'!$1:$1048576,ROW(),FALSE)</f>
        <v>0</v>
      </c>
      <c r="AD3214" s="580">
        <f t="shared" si="286"/>
        <v>5</v>
      </c>
      <c r="AE3214" s="580">
        <f t="shared" si="287"/>
        <v>2.5</v>
      </c>
      <c r="AF3214" s="580">
        <f t="shared" si="288"/>
        <v>2.5</v>
      </c>
      <c r="AG3214" s="580">
        <f t="shared" si="289"/>
        <v>0</v>
      </c>
      <c r="AH3214" s="580">
        <f t="shared" si="290"/>
        <v>0</v>
      </c>
    </row>
    <row r="3215" spans="28:34">
      <c r="AB3215" s="580">
        <f>HLOOKUP("*"&amp;'Output annual'!$AC$2&amp;'Output annual'!$AD$2&amp;"*Zone People Number Of Occupants [](Hourly)",'Eplus results'!$1:$1048576,ROW(),FALSE)</f>
        <v>0</v>
      </c>
      <c r="AC3215" s="580">
        <f>HLOOKUP("*"&amp;'Output annual'!$AC$2&amp;'Output annual'!$AD$2&amp;"*FangerPMV(Hourly)",'Eplus results'!$1:$1048576,ROW(),FALSE)</f>
        <v>0</v>
      </c>
      <c r="AD3215" s="580">
        <f t="shared" si="286"/>
        <v>5</v>
      </c>
      <c r="AE3215" s="580">
        <f t="shared" si="287"/>
        <v>2.5</v>
      </c>
      <c r="AF3215" s="580">
        <f t="shared" si="288"/>
        <v>2.5</v>
      </c>
      <c r="AG3215" s="580">
        <f t="shared" si="289"/>
        <v>0</v>
      </c>
      <c r="AH3215" s="580">
        <f t="shared" si="290"/>
        <v>0</v>
      </c>
    </row>
    <row r="3216" spans="28:34">
      <c r="AB3216" s="580">
        <f>HLOOKUP("*"&amp;'Output annual'!$AC$2&amp;'Output annual'!$AD$2&amp;"*Zone People Number Of Occupants [](Hourly)",'Eplus results'!$1:$1048576,ROW(),FALSE)</f>
        <v>0</v>
      </c>
      <c r="AC3216" s="580">
        <f>HLOOKUP("*"&amp;'Output annual'!$AC$2&amp;'Output annual'!$AD$2&amp;"*FangerPMV(Hourly)",'Eplus results'!$1:$1048576,ROW(),FALSE)</f>
        <v>0</v>
      </c>
      <c r="AD3216" s="580">
        <f t="shared" si="286"/>
        <v>5</v>
      </c>
      <c r="AE3216" s="580">
        <f t="shared" si="287"/>
        <v>2.5</v>
      </c>
      <c r="AF3216" s="580">
        <f t="shared" si="288"/>
        <v>2.5</v>
      </c>
      <c r="AG3216" s="580">
        <f t="shared" si="289"/>
        <v>0</v>
      </c>
      <c r="AH3216" s="580">
        <f t="shared" si="290"/>
        <v>0</v>
      </c>
    </row>
    <row r="3217" spans="28:34">
      <c r="AB3217" s="580">
        <f>HLOOKUP("*"&amp;'Output annual'!$AC$2&amp;'Output annual'!$AD$2&amp;"*Zone People Number Of Occupants [](Hourly)",'Eplus results'!$1:$1048576,ROW(),FALSE)</f>
        <v>0</v>
      </c>
      <c r="AC3217" s="580">
        <f>HLOOKUP("*"&amp;'Output annual'!$AC$2&amp;'Output annual'!$AD$2&amp;"*FangerPMV(Hourly)",'Eplus results'!$1:$1048576,ROW(),FALSE)</f>
        <v>0</v>
      </c>
      <c r="AD3217" s="580">
        <f t="shared" si="286"/>
        <v>5</v>
      </c>
      <c r="AE3217" s="580">
        <f t="shared" si="287"/>
        <v>2.5</v>
      </c>
      <c r="AF3217" s="580">
        <f t="shared" si="288"/>
        <v>2.5</v>
      </c>
      <c r="AG3217" s="580">
        <f t="shared" si="289"/>
        <v>0</v>
      </c>
      <c r="AH3217" s="580">
        <f t="shared" si="290"/>
        <v>0</v>
      </c>
    </row>
    <row r="3218" spans="28:34">
      <c r="AB3218" s="580">
        <f>HLOOKUP("*"&amp;'Output annual'!$AC$2&amp;'Output annual'!$AD$2&amp;"*Zone People Number Of Occupants [](Hourly)",'Eplus results'!$1:$1048576,ROW(),FALSE)</f>
        <v>0</v>
      </c>
      <c r="AC3218" s="580">
        <f>HLOOKUP("*"&amp;'Output annual'!$AC$2&amp;'Output annual'!$AD$2&amp;"*FangerPMV(Hourly)",'Eplus results'!$1:$1048576,ROW(),FALSE)</f>
        <v>0</v>
      </c>
      <c r="AD3218" s="580">
        <f t="shared" si="286"/>
        <v>5</v>
      </c>
      <c r="AE3218" s="580">
        <f t="shared" si="287"/>
        <v>2.5</v>
      </c>
      <c r="AF3218" s="580">
        <f t="shared" si="288"/>
        <v>2.5</v>
      </c>
      <c r="AG3218" s="580">
        <f t="shared" si="289"/>
        <v>0</v>
      </c>
      <c r="AH3218" s="580">
        <f t="shared" si="290"/>
        <v>0</v>
      </c>
    </row>
    <row r="3219" spans="28:34">
      <c r="AB3219" s="580">
        <f>HLOOKUP("*"&amp;'Output annual'!$AC$2&amp;'Output annual'!$AD$2&amp;"*Zone People Number Of Occupants [](Hourly)",'Eplus results'!$1:$1048576,ROW(),FALSE)</f>
        <v>0</v>
      </c>
      <c r="AC3219" s="580">
        <f>HLOOKUP("*"&amp;'Output annual'!$AC$2&amp;'Output annual'!$AD$2&amp;"*FangerPMV(Hourly)",'Eplus results'!$1:$1048576,ROW(),FALSE)</f>
        <v>0</v>
      </c>
      <c r="AD3219" s="580">
        <f t="shared" si="286"/>
        <v>5</v>
      </c>
      <c r="AE3219" s="580">
        <f t="shared" si="287"/>
        <v>2.5</v>
      </c>
      <c r="AF3219" s="580">
        <f t="shared" si="288"/>
        <v>2.5</v>
      </c>
      <c r="AG3219" s="580">
        <f t="shared" si="289"/>
        <v>0</v>
      </c>
      <c r="AH3219" s="580">
        <f t="shared" si="290"/>
        <v>0</v>
      </c>
    </row>
    <row r="3220" spans="28:34">
      <c r="AB3220" s="580">
        <f>HLOOKUP("*"&amp;'Output annual'!$AC$2&amp;'Output annual'!$AD$2&amp;"*Zone People Number Of Occupants [](Hourly)",'Eplus results'!$1:$1048576,ROW(),FALSE)</f>
        <v>0</v>
      </c>
      <c r="AC3220" s="580">
        <f>HLOOKUP("*"&amp;'Output annual'!$AC$2&amp;'Output annual'!$AD$2&amp;"*FangerPMV(Hourly)",'Eplus results'!$1:$1048576,ROW(),FALSE)</f>
        <v>0</v>
      </c>
      <c r="AD3220" s="580">
        <f t="shared" si="286"/>
        <v>5</v>
      </c>
      <c r="AE3220" s="580">
        <f t="shared" si="287"/>
        <v>2.5</v>
      </c>
      <c r="AF3220" s="580">
        <f t="shared" si="288"/>
        <v>2.5</v>
      </c>
      <c r="AG3220" s="580">
        <f t="shared" si="289"/>
        <v>0</v>
      </c>
      <c r="AH3220" s="580">
        <f t="shared" si="290"/>
        <v>0</v>
      </c>
    </row>
    <row r="3221" spans="28:34">
      <c r="AB3221" s="580">
        <f>HLOOKUP("*"&amp;'Output annual'!$AC$2&amp;'Output annual'!$AD$2&amp;"*Zone People Number Of Occupants [](Hourly)",'Eplus results'!$1:$1048576,ROW(),FALSE)</f>
        <v>0</v>
      </c>
      <c r="AC3221" s="580">
        <f>HLOOKUP("*"&amp;'Output annual'!$AC$2&amp;'Output annual'!$AD$2&amp;"*FangerPMV(Hourly)",'Eplus results'!$1:$1048576,ROW(),FALSE)</f>
        <v>0</v>
      </c>
      <c r="AD3221" s="580">
        <f t="shared" si="286"/>
        <v>5</v>
      </c>
      <c r="AE3221" s="580">
        <f t="shared" si="287"/>
        <v>2.5</v>
      </c>
      <c r="AF3221" s="580">
        <f t="shared" si="288"/>
        <v>2.5</v>
      </c>
      <c r="AG3221" s="580">
        <f t="shared" si="289"/>
        <v>0</v>
      </c>
      <c r="AH3221" s="580">
        <f t="shared" si="290"/>
        <v>0</v>
      </c>
    </row>
    <row r="3222" spans="28:34">
      <c r="AB3222" s="580">
        <f>HLOOKUP("*"&amp;'Output annual'!$AC$2&amp;'Output annual'!$AD$2&amp;"*Zone People Number Of Occupants [](Hourly)",'Eplus results'!$1:$1048576,ROW(),FALSE)</f>
        <v>0</v>
      </c>
      <c r="AC3222" s="580">
        <f>HLOOKUP("*"&amp;'Output annual'!$AC$2&amp;'Output annual'!$AD$2&amp;"*FangerPMV(Hourly)",'Eplus results'!$1:$1048576,ROW(),FALSE)</f>
        <v>0</v>
      </c>
      <c r="AD3222" s="580">
        <f t="shared" si="286"/>
        <v>5</v>
      </c>
      <c r="AE3222" s="580">
        <f t="shared" si="287"/>
        <v>2.5</v>
      </c>
      <c r="AF3222" s="580">
        <f t="shared" si="288"/>
        <v>2.5</v>
      </c>
      <c r="AG3222" s="580">
        <f t="shared" si="289"/>
        <v>0</v>
      </c>
      <c r="AH3222" s="580">
        <f t="shared" si="290"/>
        <v>0</v>
      </c>
    </row>
    <row r="3223" spans="28:34">
      <c r="AB3223" s="580">
        <f>HLOOKUP("*"&amp;'Output annual'!$AC$2&amp;'Output annual'!$AD$2&amp;"*Zone People Number Of Occupants [](Hourly)",'Eplus results'!$1:$1048576,ROW(),FALSE)</f>
        <v>0</v>
      </c>
      <c r="AC3223" s="580">
        <f>HLOOKUP("*"&amp;'Output annual'!$AC$2&amp;'Output annual'!$AD$2&amp;"*FangerPMV(Hourly)",'Eplus results'!$1:$1048576,ROW(),FALSE)</f>
        <v>0</v>
      </c>
      <c r="AD3223" s="580">
        <f t="shared" si="286"/>
        <v>5</v>
      </c>
      <c r="AE3223" s="580">
        <f t="shared" si="287"/>
        <v>2.5</v>
      </c>
      <c r="AF3223" s="580">
        <f t="shared" si="288"/>
        <v>2.5</v>
      </c>
      <c r="AG3223" s="580">
        <f t="shared" si="289"/>
        <v>0</v>
      </c>
      <c r="AH3223" s="580">
        <f t="shared" si="290"/>
        <v>0</v>
      </c>
    </row>
    <row r="3224" spans="28:34">
      <c r="AB3224" s="580">
        <f>HLOOKUP("*"&amp;'Output annual'!$AC$2&amp;'Output annual'!$AD$2&amp;"*Zone People Number Of Occupants [](Hourly)",'Eplus results'!$1:$1048576,ROW(),FALSE)</f>
        <v>0</v>
      </c>
      <c r="AC3224" s="580">
        <f>HLOOKUP("*"&amp;'Output annual'!$AC$2&amp;'Output annual'!$AD$2&amp;"*FangerPMV(Hourly)",'Eplus results'!$1:$1048576,ROW(),FALSE)</f>
        <v>0</v>
      </c>
      <c r="AD3224" s="580">
        <f t="shared" si="286"/>
        <v>5</v>
      </c>
      <c r="AE3224" s="580">
        <f t="shared" si="287"/>
        <v>2.5</v>
      </c>
      <c r="AF3224" s="580">
        <f t="shared" si="288"/>
        <v>2.5</v>
      </c>
      <c r="AG3224" s="580">
        <f t="shared" si="289"/>
        <v>0</v>
      </c>
      <c r="AH3224" s="580">
        <f t="shared" si="290"/>
        <v>0</v>
      </c>
    </row>
    <row r="3225" spans="28:34">
      <c r="AB3225" s="580">
        <f>HLOOKUP("*"&amp;'Output annual'!$AC$2&amp;'Output annual'!$AD$2&amp;"*Zone People Number Of Occupants [](Hourly)",'Eplus results'!$1:$1048576,ROW(),FALSE)</f>
        <v>0</v>
      </c>
      <c r="AC3225" s="580">
        <f>HLOOKUP("*"&amp;'Output annual'!$AC$2&amp;'Output annual'!$AD$2&amp;"*FangerPMV(Hourly)",'Eplus results'!$1:$1048576,ROW(),FALSE)</f>
        <v>0</v>
      </c>
      <c r="AD3225" s="580">
        <f t="shared" si="286"/>
        <v>5</v>
      </c>
      <c r="AE3225" s="580">
        <f t="shared" si="287"/>
        <v>2.5</v>
      </c>
      <c r="AF3225" s="580">
        <f t="shared" si="288"/>
        <v>2.5</v>
      </c>
      <c r="AG3225" s="580">
        <f t="shared" si="289"/>
        <v>0</v>
      </c>
      <c r="AH3225" s="580">
        <f t="shared" si="290"/>
        <v>0</v>
      </c>
    </row>
    <row r="3226" spans="28:34">
      <c r="AB3226" s="580">
        <f>HLOOKUP("*"&amp;'Output annual'!$AC$2&amp;'Output annual'!$AD$2&amp;"*Zone People Number Of Occupants [](Hourly)",'Eplus results'!$1:$1048576,ROW(),FALSE)</f>
        <v>0</v>
      </c>
      <c r="AC3226" s="580">
        <f>HLOOKUP("*"&amp;'Output annual'!$AC$2&amp;'Output annual'!$AD$2&amp;"*FangerPMV(Hourly)",'Eplus results'!$1:$1048576,ROW(),FALSE)</f>
        <v>0</v>
      </c>
      <c r="AD3226" s="580">
        <f t="shared" si="286"/>
        <v>5</v>
      </c>
      <c r="AE3226" s="580">
        <f t="shared" si="287"/>
        <v>2.5</v>
      </c>
      <c r="AF3226" s="580">
        <f t="shared" si="288"/>
        <v>2.5</v>
      </c>
      <c r="AG3226" s="580">
        <f t="shared" si="289"/>
        <v>0</v>
      </c>
      <c r="AH3226" s="580">
        <f t="shared" si="290"/>
        <v>0</v>
      </c>
    </row>
    <row r="3227" spans="28:34">
      <c r="AB3227" s="580">
        <f>HLOOKUP("*"&amp;'Output annual'!$AC$2&amp;'Output annual'!$AD$2&amp;"*Zone People Number Of Occupants [](Hourly)",'Eplus results'!$1:$1048576,ROW(),FALSE)</f>
        <v>0</v>
      </c>
      <c r="AC3227" s="580">
        <f>HLOOKUP("*"&amp;'Output annual'!$AC$2&amp;'Output annual'!$AD$2&amp;"*FangerPMV(Hourly)",'Eplus results'!$1:$1048576,ROW(),FALSE)</f>
        <v>0</v>
      </c>
      <c r="AD3227" s="580">
        <f t="shared" si="286"/>
        <v>5</v>
      </c>
      <c r="AE3227" s="580">
        <f t="shared" si="287"/>
        <v>2.5</v>
      </c>
      <c r="AF3227" s="580">
        <f t="shared" si="288"/>
        <v>2.5</v>
      </c>
      <c r="AG3227" s="580">
        <f t="shared" si="289"/>
        <v>0</v>
      </c>
      <c r="AH3227" s="580">
        <f t="shared" si="290"/>
        <v>0</v>
      </c>
    </row>
    <row r="3228" spans="28:34">
      <c r="AB3228" s="580">
        <f>HLOOKUP("*"&amp;'Output annual'!$AC$2&amp;'Output annual'!$AD$2&amp;"*Zone People Number Of Occupants [](Hourly)",'Eplus results'!$1:$1048576,ROW(),FALSE)</f>
        <v>0</v>
      </c>
      <c r="AC3228" s="580">
        <f>HLOOKUP("*"&amp;'Output annual'!$AC$2&amp;'Output annual'!$AD$2&amp;"*FangerPMV(Hourly)",'Eplus results'!$1:$1048576,ROW(),FALSE)</f>
        <v>0</v>
      </c>
      <c r="AD3228" s="580">
        <f t="shared" si="286"/>
        <v>5</v>
      </c>
      <c r="AE3228" s="580">
        <f t="shared" si="287"/>
        <v>2.5</v>
      </c>
      <c r="AF3228" s="580">
        <f t="shared" si="288"/>
        <v>2.5</v>
      </c>
      <c r="AG3228" s="580">
        <f t="shared" si="289"/>
        <v>0</v>
      </c>
      <c r="AH3228" s="580">
        <f t="shared" si="290"/>
        <v>0</v>
      </c>
    </row>
    <row r="3229" spans="28:34">
      <c r="AB3229" s="580">
        <f>HLOOKUP("*"&amp;'Output annual'!$AC$2&amp;'Output annual'!$AD$2&amp;"*Zone People Number Of Occupants [](Hourly)",'Eplus results'!$1:$1048576,ROW(),FALSE)</f>
        <v>0</v>
      </c>
      <c r="AC3229" s="580">
        <f>HLOOKUP("*"&amp;'Output annual'!$AC$2&amp;'Output annual'!$AD$2&amp;"*FangerPMV(Hourly)",'Eplus results'!$1:$1048576,ROW(),FALSE)</f>
        <v>0</v>
      </c>
      <c r="AD3229" s="580">
        <f t="shared" si="286"/>
        <v>5</v>
      </c>
      <c r="AE3229" s="580">
        <f t="shared" si="287"/>
        <v>2.5</v>
      </c>
      <c r="AF3229" s="580">
        <f t="shared" si="288"/>
        <v>2.5</v>
      </c>
      <c r="AG3229" s="580">
        <f t="shared" si="289"/>
        <v>0</v>
      </c>
      <c r="AH3229" s="580">
        <f t="shared" si="290"/>
        <v>0</v>
      </c>
    </row>
    <row r="3230" spans="28:34">
      <c r="AB3230" s="580">
        <f>HLOOKUP("*"&amp;'Output annual'!$AC$2&amp;'Output annual'!$AD$2&amp;"*Zone People Number Of Occupants [](Hourly)",'Eplus results'!$1:$1048576,ROW(),FALSE)</f>
        <v>0</v>
      </c>
      <c r="AC3230" s="580">
        <f>HLOOKUP("*"&amp;'Output annual'!$AC$2&amp;'Output annual'!$AD$2&amp;"*FangerPMV(Hourly)",'Eplus results'!$1:$1048576,ROW(),FALSE)</f>
        <v>0</v>
      </c>
      <c r="AD3230" s="580">
        <f t="shared" si="286"/>
        <v>5</v>
      </c>
      <c r="AE3230" s="580">
        <f t="shared" si="287"/>
        <v>2.5</v>
      </c>
      <c r="AF3230" s="580">
        <f t="shared" si="288"/>
        <v>2.5</v>
      </c>
      <c r="AG3230" s="580">
        <f t="shared" si="289"/>
        <v>0</v>
      </c>
      <c r="AH3230" s="580">
        <f t="shared" si="290"/>
        <v>0</v>
      </c>
    </row>
    <row r="3231" spans="28:34">
      <c r="AB3231" s="580">
        <f>HLOOKUP("*"&amp;'Output annual'!$AC$2&amp;'Output annual'!$AD$2&amp;"*Zone People Number Of Occupants [](Hourly)",'Eplus results'!$1:$1048576,ROW(),FALSE)</f>
        <v>0</v>
      </c>
      <c r="AC3231" s="580">
        <f>HLOOKUP("*"&amp;'Output annual'!$AC$2&amp;'Output annual'!$AD$2&amp;"*FangerPMV(Hourly)",'Eplus results'!$1:$1048576,ROW(),FALSE)</f>
        <v>0</v>
      </c>
      <c r="AD3231" s="580">
        <f t="shared" si="286"/>
        <v>5</v>
      </c>
      <c r="AE3231" s="580">
        <f t="shared" si="287"/>
        <v>2.5</v>
      </c>
      <c r="AF3231" s="580">
        <f t="shared" si="288"/>
        <v>2.5</v>
      </c>
      <c r="AG3231" s="580">
        <f t="shared" si="289"/>
        <v>0</v>
      </c>
      <c r="AH3231" s="580">
        <f t="shared" si="290"/>
        <v>0</v>
      </c>
    </row>
    <row r="3232" spans="28:34">
      <c r="AB3232" s="580">
        <f>HLOOKUP("*"&amp;'Output annual'!$AC$2&amp;'Output annual'!$AD$2&amp;"*Zone People Number Of Occupants [](Hourly)",'Eplus results'!$1:$1048576,ROW(),FALSE)</f>
        <v>0</v>
      </c>
      <c r="AC3232" s="580">
        <f>HLOOKUP("*"&amp;'Output annual'!$AC$2&amp;'Output annual'!$AD$2&amp;"*FangerPMV(Hourly)",'Eplus results'!$1:$1048576,ROW(),FALSE)</f>
        <v>0</v>
      </c>
      <c r="AD3232" s="580">
        <f t="shared" si="286"/>
        <v>5</v>
      </c>
      <c r="AE3232" s="580">
        <f t="shared" si="287"/>
        <v>2.5</v>
      </c>
      <c r="AF3232" s="580">
        <f t="shared" si="288"/>
        <v>2.5</v>
      </c>
      <c r="AG3232" s="580">
        <f t="shared" si="289"/>
        <v>0</v>
      </c>
      <c r="AH3232" s="580">
        <f t="shared" si="290"/>
        <v>0</v>
      </c>
    </row>
    <row r="3233" spans="28:34">
      <c r="AB3233" s="580">
        <f>HLOOKUP("*"&amp;'Output annual'!$AC$2&amp;'Output annual'!$AD$2&amp;"*Zone People Number Of Occupants [](Hourly)",'Eplus results'!$1:$1048576,ROW(),FALSE)</f>
        <v>0</v>
      </c>
      <c r="AC3233" s="580">
        <f>HLOOKUP("*"&amp;'Output annual'!$AC$2&amp;'Output annual'!$AD$2&amp;"*FangerPMV(Hourly)",'Eplus results'!$1:$1048576,ROW(),FALSE)</f>
        <v>0</v>
      </c>
      <c r="AD3233" s="580">
        <f t="shared" si="286"/>
        <v>5</v>
      </c>
      <c r="AE3233" s="580">
        <f t="shared" si="287"/>
        <v>2.5</v>
      </c>
      <c r="AF3233" s="580">
        <f t="shared" si="288"/>
        <v>2.5</v>
      </c>
      <c r="AG3233" s="580">
        <f t="shared" si="289"/>
        <v>0</v>
      </c>
      <c r="AH3233" s="580">
        <f t="shared" si="290"/>
        <v>0</v>
      </c>
    </row>
    <row r="3234" spans="28:34">
      <c r="AB3234" s="580">
        <f>HLOOKUP("*"&amp;'Output annual'!$AC$2&amp;'Output annual'!$AD$2&amp;"*Zone People Number Of Occupants [](Hourly)",'Eplus results'!$1:$1048576,ROW(),FALSE)</f>
        <v>0</v>
      </c>
      <c r="AC3234" s="580">
        <f>HLOOKUP("*"&amp;'Output annual'!$AC$2&amp;'Output annual'!$AD$2&amp;"*FangerPMV(Hourly)",'Eplus results'!$1:$1048576,ROW(),FALSE)</f>
        <v>0</v>
      </c>
      <c r="AD3234" s="580">
        <f t="shared" si="286"/>
        <v>5</v>
      </c>
      <c r="AE3234" s="580">
        <f t="shared" si="287"/>
        <v>2.5</v>
      </c>
      <c r="AF3234" s="580">
        <f t="shared" si="288"/>
        <v>2.5</v>
      </c>
      <c r="AG3234" s="580">
        <f t="shared" si="289"/>
        <v>0</v>
      </c>
      <c r="AH3234" s="580">
        <f t="shared" si="290"/>
        <v>0</v>
      </c>
    </row>
    <row r="3235" spans="28:34">
      <c r="AB3235" s="580">
        <f>HLOOKUP("*"&amp;'Output annual'!$AC$2&amp;'Output annual'!$AD$2&amp;"*Zone People Number Of Occupants [](Hourly)",'Eplus results'!$1:$1048576,ROW(),FALSE)</f>
        <v>0</v>
      </c>
      <c r="AC3235" s="580">
        <f>HLOOKUP("*"&amp;'Output annual'!$AC$2&amp;'Output annual'!$AD$2&amp;"*FangerPMV(Hourly)",'Eplus results'!$1:$1048576,ROW(),FALSE)</f>
        <v>0</v>
      </c>
      <c r="AD3235" s="580">
        <f t="shared" si="286"/>
        <v>5</v>
      </c>
      <c r="AE3235" s="580">
        <f t="shared" si="287"/>
        <v>2.5</v>
      </c>
      <c r="AF3235" s="580">
        <f t="shared" si="288"/>
        <v>2.5</v>
      </c>
      <c r="AG3235" s="580">
        <f t="shared" si="289"/>
        <v>0</v>
      </c>
      <c r="AH3235" s="580">
        <f t="shared" si="290"/>
        <v>0</v>
      </c>
    </row>
    <row r="3236" spans="28:34">
      <c r="AB3236" s="580">
        <f>HLOOKUP("*"&amp;'Output annual'!$AC$2&amp;'Output annual'!$AD$2&amp;"*Zone People Number Of Occupants [](Hourly)",'Eplus results'!$1:$1048576,ROW(),FALSE)</f>
        <v>0</v>
      </c>
      <c r="AC3236" s="580">
        <f>HLOOKUP("*"&amp;'Output annual'!$AC$2&amp;'Output annual'!$AD$2&amp;"*FangerPMV(Hourly)",'Eplus results'!$1:$1048576,ROW(),FALSE)</f>
        <v>0</v>
      </c>
      <c r="AD3236" s="580">
        <f t="shared" si="286"/>
        <v>5</v>
      </c>
      <c r="AE3236" s="580">
        <f t="shared" si="287"/>
        <v>2.5</v>
      </c>
      <c r="AF3236" s="580">
        <f t="shared" si="288"/>
        <v>2.5</v>
      </c>
      <c r="AG3236" s="580">
        <f t="shared" si="289"/>
        <v>0</v>
      </c>
      <c r="AH3236" s="580">
        <f t="shared" si="290"/>
        <v>0</v>
      </c>
    </row>
    <row r="3237" spans="28:34">
      <c r="AB3237" s="580">
        <f>HLOOKUP("*"&amp;'Output annual'!$AC$2&amp;'Output annual'!$AD$2&amp;"*Zone People Number Of Occupants [](Hourly)",'Eplus results'!$1:$1048576,ROW(),FALSE)</f>
        <v>0</v>
      </c>
      <c r="AC3237" s="580">
        <f>HLOOKUP("*"&amp;'Output annual'!$AC$2&amp;'Output annual'!$AD$2&amp;"*FangerPMV(Hourly)",'Eplus results'!$1:$1048576,ROW(),FALSE)</f>
        <v>0</v>
      </c>
      <c r="AD3237" s="580">
        <f t="shared" si="286"/>
        <v>5</v>
      </c>
      <c r="AE3237" s="580">
        <f t="shared" si="287"/>
        <v>2.5</v>
      </c>
      <c r="AF3237" s="580">
        <f t="shared" si="288"/>
        <v>2.5</v>
      </c>
      <c r="AG3237" s="580">
        <f t="shared" si="289"/>
        <v>0</v>
      </c>
      <c r="AH3237" s="580">
        <f t="shared" si="290"/>
        <v>0</v>
      </c>
    </row>
    <row r="3238" spans="28:34">
      <c r="AB3238" s="580">
        <f>HLOOKUP("*"&amp;'Output annual'!$AC$2&amp;'Output annual'!$AD$2&amp;"*Zone People Number Of Occupants [](Hourly)",'Eplus results'!$1:$1048576,ROW(),FALSE)</f>
        <v>0</v>
      </c>
      <c r="AC3238" s="580">
        <f>HLOOKUP("*"&amp;'Output annual'!$AC$2&amp;'Output annual'!$AD$2&amp;"*FangerPMV(Hourly)",'Eplus results'!$1:$1048576,ROW(),FALSE)</f>
        <v>0</v>
      </c>
      <c r="AD3238" s="580">
        <f t="shared" si="286"/>
        <v>5</v>
      </c>
      <c r="AE3238" s="580">
        <f t="shared" si="287"/>
        <v>2.5</v>
      </c>
      <c r="AF3238" s="580">
        <f t="shared" si="288"/>
        <v>2.5</v>
      </c>
      <c r="AG3238" s="580">
        <f t="shared" si="289"/>
        <v>0</v>
      </c>
      <c r="AH3238" s="580">
        <f t="shared" si="290"/>
        <v>0</v>
      </c>
    </row>
    <row r="3239" spans="28:34">
      <c r="AB3239" s="580">
        <f>HLOOKUP("*"&amp;'Output annual'!$AC$2&amp;'Output annual'!$AD$2&amp;"*Zone People Number Of Occupants [](Hourly)",'Eplus results'!$1:$1048576,ROW(),FALSE)</f>
        <v>0</v>
      </c>
      <c r="AC3239" s="580">
        <f>HLOOKUP("*"&amp;'Output annual'!$AC$2&amp;'Output annual'!$AD$2&amp;"*FangerPMV(Hourly)",'Eplus results'!$1:$1048576,ROW(),FALSE)</f>
        <v>0</v>
      </c>
      <c r="AD3239" s="580">
        <f t="shared" si="286"/>
        <v>5</v>
      </c>
      <c r="AE3239" s="580">
        <f t="shared" si="287"/>
        <v>2.5</v>
      </c>
      <c r="AF3239" s="580">
        <f t="shared" si="288"/>
        <v>2.5</v>
      </c>
      <c r="AG3239" s="580">
        <f t="shared" si="289"/>
        <v>0</v>
      </c>
      <c r="AH3239" s="580">
        <f t="shared" si="290"/>
        <v>0</v>
      </c>
    </row>
    <row r="3240" spans="28:34">
      <c r="AB3240" s="580">
        <f>HLOOKUP("*"&amp;'Output annual'!$AC$2&amp;'Output annual'!$AD$2&amp;"*Zone People Number Of Occupants [](Hourly)",'Eplus results'!$1:$1048576,ROW(),FALSE)</f>
        <v>0</v>
      </c>
      <c r="AC3240" s="580">
        <f>HLOOKUP("*"&amp;'Output annual'!$AC$2&amp;'Output annual'!$AD$2&amp;"*FangerPMV(Hourly)",'Eplus results'!$1:$1048576,ROW(),FALSE)</f>
        <v>0</v>
      </c>
      <c r="AD3240" s="580">
        <f t="shared" si="286"/>
        <v>5</v>
      </c>
      <c r="AE3240" s="580">
        <f t="shared" si="287"/>
        <v>2.5</v>
      </c>
      <c r="AF3240" s="580">
        <f t="shared" si="288"/>
        <v>2.5</v>
      </c>
      <c r="AG3240" s="580">
        <f t="shared" si="289"/>
        <v>0</v>
      </c>
      <c r="AH3240" s="580">
        <f t="shared" si="290"/>
        <v>0</v>
      </c>
    </row>
    <row r="3241" spans="28:34">
      <c r="AB3241" s="580">
        <f>HLOOKUP("*"&amp;'Output annual'!$AC$2&amp;'Output annual'!$AD$2&amp;"*Zone People Number Of Occupants [](Hourly)",'Eplus results'!$1:$1048576,ROW(),FALSE)</f>
        <v>0</v>
      </c>
      <c r="AC3241" s="580">
        <f>HLOOKUP("*"&amp;'Output annual'!$AC$2&amp;'Output annual'!$AD$2&amp;"*FangerPMV(Hourly)",'Eplus results'!$1:$1048576,ROW(),FALSE)</f>
        <v>0</v>
      </c>
      <c r="AD3241" s="580">
        <f t="shared" si="286"/>
        <v>5</v>
      </c>
      <c r="AE3241" s="580">
        <f t="shared" si="287"/>
        <v>2.5</v>
      </c>
      <c r="AF3241" s="580">
        <f t="shared" si="288"/>
        <v>2.5</v>
      </c>
      <c r="AG3241" s="580">
        <f t="shared" si="289"/>
        <v>0</v>
      </c>
      <c r="AH3241" s="580">
        <f t="shared" si="290"/>
        <v>0</v>
      </c>
    </row>
    <row r="3242" spans="28:34">
      <c r="AB3242" s="580">
        <f>HLOOKUP("*"&amp;'Output annual'!$AC$2&amp;'Output annual'!$AD$2&amp;"*Zone People Number Of Occupants [](Hourly)",'Eplus results'!$1:$1048576,ROW(),FALSE)</f>
        <v>0</v>
      </c>
      <c r="AC3242" s="580">
        <f>HLOOKUP("*"&amp;'Output annual'!$AC$2&amp;'Output annual'!$AD$2&amp;"*FangerPMV(Hourly)",'Eplus results'!$1:$1048576,ROW(),FALSE)</f>
        <v>0</v>
      </c>
      <c r="AD3242" s="580">
        <f t="shared" si="286"/>
        <v>5</v>
      </c>
      <c r="AE3242" s="580">
        <f t="shared" si="287"/>
        <v>2.5</v>
      </c>
      <c r="AF3242" s="580">
        <f t="shared" si="288"/>
        <v>2.5</v>
      </c>
      <c r="AG3242" s="580">
        <f t="shared" si="289"/>
        <v>0</v>
      </c>
      <c r="AH3242" s="580">
        <f t="shared" si="290"/>
        <v>0</v>
      </c>
    </row>
    <row r="3243" spans="28:34">
      <c r="AB3243" s="580">
        <f>HLOOKUP("*"&amp;'Output annual'!$AC$2&amp;'Output annual'!$AD$2&amp;"*Zone People Number Of Occupants [](Hourly)",'Eplus results'!$1:$1048576,ROW(),FALSE)</f>
        <v>0</v>
      </c>
      <c r="AC3243" s="580">
        <f>HLOOKUP("*"&amp;'Output annual'!$AC$2&amp;'Output annual'!$AD$2&amp;"*FangerPMV(Hourly)",'Eplus results'!$1:$1048576,ROW(),FALSE)</f>
        <v>0</v>
      </c>
      <c r="AD3243" s="580">
        <f t="shared" si="286"/>
        <v>5</v>
      </c>
      <c r="AE3243" s="580">
        <f t="shared" si="287"/>
        <v>2.5</v>
      </c>
      <c r="AF3243" s="580">
        <f t="shared" si="288"/>
        <v>2.5</v>
      </c>
      <c r="AG3243" s="580">
        <f t="shared" si="289"/>
        <v>0</v>
      </c>
      <c r="AH3243" s="580">
        <f t="shared" si="290"/>
        <v>0</v>
      </c>
    </row>
    <row r="3244" spans="28:34">
      <c r="AB3244" s="580">
        <f>HLOOKUP("*"&amp;'Output annual'!$AC$2&amp;'Output annual'!$AD$2&amp;"*Zone People Number Of Occupants [](Hourly)",'Eplus results'!$1:$1048576,ROW(),FALSE)</f>
        <v>0</v>
      </c>
      <c r="AC3244" s="580">
        <f>HLOOKUP("*"&amp;'Output annual'!$AC$2&amp;'Output annual'!$AD$2&amp;"*FangerPMV(Hourly)",'Eplus results'!$1:$1048576,ROW(),FALSE)</f>
        <v>0</v>
      </c>
      <c r="AD3244" s="580">
        <f t="shared" si="286"/>
        <v>5</v>
      </c>
      <c r="AE3244" s="580">
        <f t="shared" si="287"/>
        <v>2.5</v>
      </c>
      <c r="AF3244" s="580">
        <f t="shared" si="288"/>
        <v>2.5</v>
      </c>
      <c r="AG3244" s="580">
        <f t="shared" si="289"/>
        <v>0</v>
      </c>
      <c r="AH3244" s="580">
        <f t="shared" si="290"/>
        <v>0</v>
      </c>
    </row>
    <row r="3245" spans="28:34">
      <c r="AB3245" s="580">
        <f>HLOOKUP("*"&amp;'Output annual'!$AC$2&amp;'Output annual'!$AD$2&amp;"*Zone People Number Of Occupants [](Hourly)",'Eplus results'!$1:$1048576,ROW(),FALSE)</f>
        <v>0</v>
      </c>
      <c r="AC3245" s="580">
        <f>HLOOKUP("*"&amp;'Output annual'!$AC$2&amp;'Output annual'!$AD$2&amp;"*FangerPMV(Hourly)",'Eplus results'!$1:$1048576,ROW(),FALSE)</f>
        <v>0</v>
      </c>
      <c r="AD3245" s="580">
        <f t="shared" si="286"/>
        <v>5</v>
      </c>
      <c r="AE3245" s="580">
        <f t="shared" si="287"/>
        <v>2.5</v>
      </c>
      <c r="AF3245" s="580">
        <f t="shared" si="288"/>
        <v>2.5</v>
      </c>
      <c r="AG3245" s="580">
        <f t="shared" si="289"/>
        <v>0</v>
      </c>
      <c r="AH3245" s="580">
        <f t="shared" si="290"/>
        <v>0</v>
      </c>
    </row>
    <row r="3246" spans="28:34">
      <c r="AB3246" s="580">
        <f>HLOOKUP("*"&amp;'Output annual'!$AC$2&amp;'Output annual'!$AD$2&amp;"*Zone People Number Of Occupants [](Hourly)",'Eplus results'!$1:$1048576,ROW(),FALSE)</f>
        <v>0</v>
      </c>
      <c r="AC3246" s="580">
        <f>HLOOKUP("*"&amp;'Output annual'!$AC$2&amp;'Output annual'!$AD$2&amp;"*FangerPMV(Hourly)",'Eplus results'!$1:$1048576,ROW(),FALSE)</f>
        <v>0</v>
      </c>
      <c r="AD3246" s="580">
        <f t="shared" si="286"/>
        <v>5</v>
      </c>
      <c r="AE3246" s="580">
        <f t="shared" si="287"/>
        <v>2.5</v>
      </c>
      <c r="AF3246" s="580">
        <f t="shared" si="288"/>
        <v>2.5</v>
      </c>
      <c r="AG3246" s="580">
        <f t="shared" si="289"/>
        <v>0</v>
      </c>
      <c r="AH3246" s="580">
        <f t="shared" si="290"/>
        <v>0</v>
      </c>
    </row>
    <row r="3247" spans="28:34">
      <c r="AB3247" s="580">
        <f>HLOOKUP("*"&amp;'Output annual'!$AC$2&amp;'Output annual'!$AD$2&amp;"*Zone People Number Of Occupants [](Hourly)",'Eplus results'!$1:$1048576,ROW(),FALSE)</f>
        <v>0</v>
      </c>
      <c r="AC3247" s="580">
        <f>HLOOKUP("*"&amp;'Output annual'!$AC$2&amp;'Output annual'!$AD$2&amp;"*FangerPMV(Hourly)",'Eplus results'!$1:$1048576,ROW(),FALSE)</f>
        <v>0</v>
      </c>
      <c r="AD3247" s="580">
        <f t="shared" si="286"/>
        <v>5</v>
      </c>
      <c r="AE3247" s="580">
        <f t="shared" si="287"/>
        <v>2.5</v>
      </c>
      <c r="AF3247" s="580">
        <f t="shared" si="288"/>
        <v>2.5</v>
      </c>
      <c r="AG3247" s="580">
        <f t="shared" si="289"/>
        <v>0</v>
      </c>
      <c r="AH3247" s="580">
        <f t="shared" si="290"/>
        <v>0</v>
      </c>
    </row>
    <row r="3248" spans="28:34">
      <c r="AB3248" s="580">
        <f>HLOOKUP("*"&amp;'Output annual'!$AC$2&amp;'Output annual'!$AD$2&amp;"*Zone People Number Of Occupants [](Hourly)",'Eplus results'!$1:$1048576,ROW(),FALSE)</f>
        <v>0</v>
      </c>
      <c r="AC3248" s="580">
        <f>HLOOKUP("*"&amp;'Output annual'!$AC$2&amp;'Output annual'!$AD$2&amp;"*FangerPMV(Hourly)",'Eplus results'!$1:$1048576,ROW(),FALSE)</f>
        <v>0</v>
      </c>
      <c r="AD3248" s="580">
        <f t="shared" si="286"/>
        <v>5</v>
      </c>
      <c r="AE3248" s="580">
        <f t="shared" si="287"/>
        <v>2.5</v>
      </c>
      <c r="AF3248" s="580">
        <f t="shared" si="288"/>
        <v>2.5</v>
      </c>
      <c r="AG3248" s="580">
        <f t="shared" si="289"/>
        <v>0</v>
      </c>
      <c r="AH3248" s="580">
        <f t="shared" si="290"/>
        <v>0</v>
      </c>
    </row>
    <row r="3249" spans="28:34">
      <c r="AB3249" s="580">
        <f>HLOOKUP("*"&amp;'Output annual'!$AC$2&amp;'Output annual'!$AD$2&amp;"*Zone People Number Of Occupants [](Hourly)",'Eplus results'!$1:$1048576,ROW(),FALSE)</f>
        <v>0</v>
      </c>
      <c r="AC3249" s="580">
        <f>HLOOKUP("*"&amp;'Output annual'!$AC$2&amp;'Output annual'!$AD$2&amp;"*FangerPMV(Hourly)",'Eplus results'!$1:$1048576,ROW(),FALSE)</f>
        <v>0</v>
      </c>
      <c r="AD3249" s="580">
        <f t="shared" si="286"/>
        <v>5</v>
      </c>
      <c r="AE3249" s="580">
        <f t="shared" si="287"/>
        <v>2.5</v>
      </c>
      <c r="AF3249" s="580">
        <f t="shared" si="288"/>
        <v>2.5</v>
      </c>
      <c r="AG3249" s="580">
        <f t="shared" si="289"/>
        <v>0</v>
      </c>
      <c r="AH3249" s="580">
        <f t="shared" si="290"/>
        <v>0</v>
      </c>
    </row>
    <row r="3250" spans="28:34">
      <c r="AB3250" s="580">
        <f>HLOOKUP("*"&amp;'Output annual'!$AC$2&amp;'Output annual'!$AD$2&amp;"*Zone People Number Of Occupants [](Hourly)",'Eplus results'!$1:$1048576,ROW(),FALSE)</f>
        <v>0</v>
      </c>
      <c r="AC3250" s="580">
        <f>HLOOKUP("*"&amp;'Output annual'!$AC$2&amp;'Output annual'!$AD$2&amp;"*FangerPMV(Hourly)",'Eplus results'!$1:$1048576,ROW(),FALSE)</f>
        <v>0</v>
      </c>
      <c r="AD3250" s="580">
        <f t="shared" si="286"/>
        <v>5</v>
      </c>
      <c r="AE3250" s="580">
        <f t="shared" si="287"/>
        <v>2.5</v>
      </c>
      <c r="AF3250" s="580">
        <f t="shared" si="288"/>
        <v>2.5</v>
      </c>
      <c r="AG3250" s="580">
        <f t="shared" si="289"/>
        <v>0</v>
      </c>
      <c r="AH3250" s="580">
        <f t="shared" si="290"/>
        <v>0</v>
      </c>
    </row>
    <row r="3251" spans="28:34">
      <c r="AB3251" s="580">
        <f>HLOOKUP("*"&amp;'Output annual'!$AC$2&amp;'Output annual'!$AD$2&amp;"*Zone People Number Of Occupants [](Hourly)",'Eplus results'!$1:$1048576,ROW(),FALSE)</f>
        <v>0</v>
      </c>
      <c r="AC3251" s="580">
        <f>HLOOKUP("*"&amp;'Output annual'!$AC$2&amp;'Output annual'!$AD$2&amp;"*FangerPMV(Hourly)",'Eplus results'!$1:$1048576,ROW(),FALSE)</f>
        <v>0</v>
      </c>
      <c r="AD3251" s="580">
        <f t="shared" si="286"/>
        <v>5</v>
      </c>
      <c r="AE3251" s="580">
        <f t="shared" si="287"/>
        <v>2.5</v>
      </c>
      <c r="AF3251" s="580">
        <f t="shared" si="288"/>
        <v>2.5</v>
      </c>
      <c r="AG3251" s="580">
        <f t="shared" si="289"/>
        <v>0</v>
      </c>
      <c r="AH3251" s="580">
        <f t="shared" si="290"/>
        <v>0</v>
      </c>
    </row>
    <row r="3252" spans="28:34">
      <c r="AB3252" s="580">
        <f>HLOOKUP("*"&amp;'Output annual'!$AC$2&amp;'Output annual'!$AD$2&amp;"*Zone People Number Of Occupants [](Hourly)",'Eplus results'!$1:$1048576,ROW(),FALSE)</f>
        <v>0</v>
      </c>
      <c r="AC3252" s="580">
        <f>HLOOKUP("*"&amp;'Output annual'!$AC$2&amp;'Output annual'!$AD$2&amp;"*FangerPMV(Hourly)",'Eplus results'!$1:$1048576,ROW(),FALSE)</f>
        <v>0</v>
      </c>
      <c r="AD3252" s="580">
        <f t="shared" si="286"/>
        <v>5</v>
      </c>
      <c r="AE3252" s="580">
        <f t="shared" si="287"/>
        <v>2.5</v>
      </c>
      <c r="AF3252" s="580">
        <f t="shared" si="288"/>
        <v>2.5</v>
      </c>
      <c r="AG3252" s="580">
        <f t="shared" si="289"/>
        <v>0</v>
      </c>
      <c r="AH3252" s="580">
        <f t="shared" si="290"/>
        <v>0</v>
      </c>
    </row>
    <row r="3253" spans="28:34">
      <c r="AB3253" s="580">
        <f>HLOOKUP("*"&amp;'Output annual'!$AC$2&amp;'Output annual'!$AD$2&amp;"*Zone People Number Of Occupants [](Hourly)",'Eplus results'!$1:$1048576,ROW(),FALSE)</f>
        <v>0</v>
      </c>
      <c r="AC3253" s="580">
        <f>HLOOKUP("*"&amp;'Output annual'!$AC$2&amp;'Output annual'!$AD$2&amp;"*FangerPMV(Hourly)",'Eplus results'!$1:$1048576,ROW(),FALSE)</f>
        <v>0</v>
      </c>
      <c r="AD3253" s="580">
        <f t="shared" si="286"/>
        <v>5</v>
      </c>
      <c r="AE3253" s="580">
        <f t="shared" si="287"/>
        <v>2.5</v>
      </c>
      <c r="AF3253" s="580">
        <f t="shared" si="288"/>
        <v>2.5</v>
      </c>
      <c r="AG3253" s="580">
        <f t="shared" si="289"/>
        <v>0</v>
      </c>
      <c r="AH3253" s="580">
        <f t="shared" si="290"/>
        <v>0</v>
      </c>
    </row>
    <row r="3254" spans="28:34">
      <c r="AB3254" s="580">
        <f>HLOOKUP("*"&amp;'Output annual'!$AC$2&amp;'Output annual'!$AD$2&amp;"*Zone People Number Of Occupants [](Hourly)",'Eplus results'!$1:$1048576,ROW(),FALSE)</f>
        <v>0</v>
      </c>
      <c r="AC3254" s="580">
        <f>HLOOKUP("*"&amp;'Output annual'!$AC$2&amp;'Output annual'!$AD$2&amp;"*FangerPMV(Hourly)",'Eplus results'!$1:$1048576,ROW(),FALSE)</f>
        <v>0</v>
      </c>
      <c r="AD3254" s="580">
        <f t="shared" si="286"/>
        <v>5</v>
      </c>
      <c r="AE3254" s="580">
        <f t="shared" si="287"/>
        <v>2.5</v>
      </c>
      <c r="AF3254" s="580">
        <f t="shared" si="288"/>
        <v>2.5</v>
      </c>
      <c r="AG3254" s="580">
        <f t="shared" si="289"/>
        <v>0</v>
      </c>
      <c r="AH3254" s="580">
        <f t="shared" si="290"/>
        <v>0</v>
      </c>
    </row>
    <row r="3255" spans="28:34">
      <c r="AB3255" s="580">
        <f>HLOOKUP("*"&amp;'Output annual'!$AC$2&amp;'Output annual'!$AD$2&amp;"*Zone People Number Of Occupants [](Hourly)",'Eplus results'!$1:$1048576,ROW(),FALSE)</f>
        <v>0</v>
      </c>
      <c r="AC3255" s="580">
        <f>HLOOKUP("*"&amp;'Output annual'!$AC$2&amp;'Output annual'!$AD$2&amp;"*FangerPMV(Hourly)",'Eplus results'!$1:$1048576,ROW(),FALSE)</f>
        <v>0</v>
      </c>
      <c r="AD3255" s="580">
        <f t="shared" si="286"/>
        <v>5</v>
      </c>
      <c r="AE3255" s="580">
        <f t="shared" si="287"/>
        <v>2.5</v>
      </c>
      <c r="AF3255" s="580">
        <f t="shared" si="288"/>
        <v>2.5</v>
      </c>
      <c r="AG3255" s="580">
        <f t="shared" si="289"/>
        <v>0</v>
      </c>
      <c r="AH3255" s="580">
        <f t="shared" si="290"/>
        <v>0</v>
      </c>
    </row>
    <row r="3256" spans="28:34">
      <c r="AB3256" s="580">
        <f>HLOOKUP("*"&amp;'Output annual'!$AC$2&amp;'Output annual'!$AD$2&amp;"*Zone People Number Of Occupants [](Hourly)",'Eplus results'!$1:$1048576,ROW(),FALSE)</f>
        <v>0</v>
      </c>
      <c r="AC3256" s="580">
        <f>HLOOKUP("*"&amp;'Output annual'!$AC$2&amp;'Output annual'!$AD$2&amp;"*FangerPMV(Hourly)",'Eplus results'!$1:$1048576,ROW(),FALSE)</f>
        <v>0</v>
      </c>
      <c r="AD3256" s="580">
        <f t="shared" si="286"/>
        <v>5</v>
      </c>
      <c r="AE3256" s="580">
        <f t="shared" si="287"/>
        <v>2.5</v>
      </c>
      <c r="AF3256" s="580">
        <f t="shared" si="288"/>
        <v>2.5</v>
      </c>
      <c r="AG3256" s="580">
        <f t="shared" si="289"/>
        <v>0</v>
      </c>
      <c r="AH3256" s="580">
        <f t="shared" si="290"/>
        <v>0</v>
      </c>
    </row>
    <row r="3257" spans="28:34">
      <c r="AB3257" s="580">
        <f>HLOOKUP("*"&amp;'Output annual'!$AC$2&amp;'Output annual'!$AD$2&amp;"*Zone People Number Of Occupants [](Hourly)",'Eplus results'!$1:$1048576,ROW(),FALSE)</f>
        <v>0</v>
      </c>
      <c r="AC3257" s="580">
        <f>HLOOKUP("*"&amp;'Output annual'!$AC$2&amp;'Output annual'!$AD$2&amp;"*FangerPMV(Hourly)",'Eplus results'!$1:$1048576,ROW(),FALSE)</f>
        <v>0</v>
      </c>
      <c r="AD3257" s="580">
        <f t="shared" si="286"/>
        <v>5</v>
      </c>
      <c r="AE3257" s="580">
        <f t="shared" si="287"/>
        <v>2.5</v>
      </c>
      <c r="AF3257" s="580">
        <f t="shared" si="288"/>
        <v>2.5</v>
      </c>
      <c r="AG3257" s="580">
        <f t="shared" si="289"/>
        <v>0</v>
      </c>
      <c r="AH3257" s="580">
        <f t="shared" si="290"/>
        <v>0</v>
      </c>
    </row>
    <row r="3258" spans="28:34">
      <c r="AB3258" s="580">
        <f>HLOOKUP("*"&amp;'Output annual'!$AC$2&amp;'Output annual'!$AD$2&amp;"*Zone People Number Of Occupants [](Hourly)",'Eplus results'!$1:$1048576,ROW(),FALSE)</f>
        <v>0</v>
      </c>
      <c r="AC3258" s="580">
        <f>HLOOKUP("*"&amp;'Output annual'!$AC$2&amp;'Output annual'!$AD$2&amp;"*FangerPMV(Hourly)",'Eplus results'!$1:$1048576,ROW(),FALSE)</f>
        <v>0</v>
      </c>
      <c r="AD3258" s="580">
        <f t="shared" si="286"/>
        <v>5</v>
      </c>
      <c r="AE3258" s="580">
        <f t="shared" si="287"/>
        <v>2.5</v>
      </c>
      <c r="AF3258" s="580">
        <f t="shared" si="288"/>
        <v>2.5</v>
      </c>
      <c r="AG3258" s="580">
        <f t="shared" si="289"/>
        <v>0</v>
      </c>
      <c r="AH3258" s="580">
        <f t="shared" si="290"/>
        <v>0</v>
      </c>
    </row>
    <row r="3259" spans="28:34">
      <c r="AB3259" s="580">
        <f>HLOOKUP("*"&amp;'Output annual'!$AC$2&amp;'Output annual'!$AD$2&amp;"*Zone People Number Of Occupants [](Hourly)",'Eplus results'!$1:$1048576,ROW(),FALSE)</f>
        <v>0</v>
      </c>
      <c r="AC3259" s="580">
        <f>HLOOKUP("*"&amp;'Output annual'!$AC$2&amp;'Output annual'!$AD$2&amp;"*FangerPMV(Hourly)",'Eplus results'!$1:$1048576,ROW(),FALSE)</f>
        <v>0</v>
      </c>
      <c r="AD3259" s="580">
        <f t="shared" si="286"/>
        <v>5</v>
      </c>
      <c r="AE3259" s="580">
        <f t="shared" si="287"/>
        <v>2.5</v>
      </c>
      <c r="AF3259" s="580">
        <f t="shared" si="288"/>
        <v>2.5</v>
      </c>
      <c r="AG3259" s="580">
        <f t="shared" si="289"/>
        <v>0</v>
      </c>
      <c r="AH3259" s="580">
        <f t="shared" si="290"/>
        <v>0</v>
      </c>
    </row>
    <row r="3260" spans="28:34">
      <c r="AB3260" s="580">
        <f>HLOOKUP("*"&amp;'Output annual'!$AC$2&amp;'Output annual'!$AD$2&amp;"*Zone People Number Of Occupants [](Hourly)",'Eplus results'!$1:$1048576,ROW(),FALSE)</f>
        <v>0</v>
      </c>
      <c r="AC3260" s="580">
        <f>HLOOKUP("*"&amp;'Output annual'!$AC$2&amp;'Output annual'!$AD$2&amp;"*FangerPMV(Hourly)",'Eplus results'!$1:$1048576,ROW(),FALSE)</f>
        <v>0</v>
      </c>
      <c r="AD3260" s="580">
        <f t="shared" si="286"/>
        <v>5</v>
      </c>
      <c r="AE3260" s="580">
        <f t="shared" si="287"/>
        <v>2.5</v>
      </c>
      <c r="AF3260" s="580">
        <f t="shared" si="288"/>
        <v>2.5</v>
      </c>
      <c r="AG3260" s="580">
        <f t="shared" si="289"/>
        <v>0</v>
      </c>
      <c r="AH3260" s="580">
        <f t="shared" si="290"/>
        <v>0</v>
      </c>
    </row>
    <row r="3261" spans="28:34">
      <c r="AB3261" s="580">
        <f>HLOOKUP("*"&amp;'Output annual'!$AC$2&amp;'Output annual'!$AD$2&amp;"*Zone People Number Of Occupants [](Hourly)",'Eplus results'!$1:$1048576,ROW(),FALSE)</f>
        <v>0</v>
      </c>
      <c r="AC3261" s="580">
        <f>HLOOKUP("*"&amp;'Output annual'!$AC$2&amp;'Output annual'!$AD$2&amp;"*FangerPMV(Hourly)",'Eplus results'!$1:$1048576,ROW(),FALSE)</f>
        <v>0</v>
      </c>
      <c r="AD3261" s="580">
        <f t="shared" si="286"/>
        <v>5</v>
      </c>
      <c r="AE3261" s="580">
        <f t="shared" si="287"/>
        <v>2.5</v>
      </c>
      <c r="AF3261" s="580">
        <f t="shared" si="288"/>
        <v>2.5</v>
      </c>
      <c r="AG3261" s="580">
        <f t="shared" si="289"/>
        <v>0</v>
      </c>
      <c r="AH3261" s="580">
        <f t="shared" si="290"/>
        <v>0</v>
      </c>
    </row>
    <row r="3262" spans="28:34">
      <c r="AB3262" s="580">
        <f>HLOOKUP("*"&amp;'Output annual'!$AC$2&amp;'Output annual'!$AD$2&amp;"*Zone People Number Of Occupants [](Hourly)",'Eplus results'!$1:$1048576,ROW(),FALSE)</f>
        <v>0</v>
      </c>
      <c r="AC3262" s="580">
        <f>HLOOKUP("*"&amp;'Output annual'!$AC$2&amp;'Output annual'!$AD$2&amp;"*FangerPMV(Hourly)",'Eplus results'!$1:$1048576,ROW(),FALSE)</f>
        <v>0</v>
      </c>
      <c r="AD3262" s="580">
        <f t="shared" si="286"/>
        <v>5</v>
      </c>
      <c r="AE3262" s="580">
        <f t="shared" si="287"/>
        <v>2.5</v>
      </c>
      <c r="AF3262" s="580">
        <f t="shared" si="288"/>
        <v>2.5</v>
      </c>
      <c r="AG3262" s="580">
        <f t="shared" si="289"/>
        <v>0</v>
      </c>
      <c r="AH3262" s="580">
        <f t="shared" si="290"/>
        <v>0</v>
      </c>
    </row>
    <row r="3263" spans="28:34">
      <c r="AB3263" s="580">
        <f>HLOOKUP("*"&amp;'Output annual'!$AC$2&amp;'Output annual'!$AD$2&amp;"*Zone People Number Of Occupants [](Hourly)",'Eplus results'!$1:$1048576,ROW(),FALSE)</f>
        <v>0</v>
      </c>
      <c r="AC3263" s="580">
        <f>HLOOKUP("*"&amp;'Output annual'!$AC$2&amp;'Output annual'!$AD$2&amp;"*FangerPMV(Hourly)",'Eplus results'!$1:$1048576,ROW(),FALSE)</f>
        <v>0</v>
      </c>
      <c r="AD3263" s="580">
        <f t="shared" si="286"/>
        <v>5</v>
      </c>
      <c r="AE3263" s="580">
        <f t="shared" si="287"/>
        <v>2.5</v>
      </c>
      <c r="AF3263" s="580">
        <f t="shared" si="288"/>
        <v>2.5</v>
      </c>
      <c r="AG3263" s="580">
        <f t="shared" si="289"/>
        <v>0</v>
      </c>
      <c r="AH3263" s="580">
        <f t="shared" si="290"/>
        <v>0</v>
      </c>
    </row>
    <row r="3264" spans="28:34">
      <c r="AB3264" s="580">
        <f>HLOOKUP("*"&amp;'Output annual'!$AC$2&amp;'Output annual'!$AD$2&amp;"*Zone People Number Of Occupants [](Hourly)",'Eplus results'!$1:$1048576,ROW(),FALSE)</f>
        <v>0</v>
      </c>
      <c r="AC3264" s="580">
        <f>HLOOKUP("*"&amp;'Output annual'!$AC$2&amp;'Output annual'!$AD$2&amp;"*FangerPMV(Hourly)",'Eplus results'!$1:$1048576,ROW(),FALSE)</f>
        <v>0</v>
      </c>
      <c r="AD3264" s="580">
        <f t="shared" si="286"/>
        <v>5</v>
      </c>
      <c r="AE3264" s="580">
        <f t="shared" si="287"/>
        <v>2.5</v>
      </c>
      <c r="AF3264" s="580">
        <f t="shared" si="288"/>
        <v>2.5</v>
      </c>
      <c r="AG3264" s="580">
        <f t="shared" si="289"/>
        <v>0</v>
      </c>
      <c r="AH3264" s="580">
        <f t="shared" si="290"/>
        <v>0</v>
      </c>
    </row>
    <row r="3265" spans="28:34">
      <c r="AB3265" s="580">
        <f>HLOOKUP("*"&amp;'Output annual'!$AC$2&amp;'Output annual'!$AD$2&amp;"*Zone People Number Of Occupants [](Hourly)",'Eplus results'!$1:$1048576,ROW(),FALSE)</f>
        <v>0</v>
      </c>
      <c r="AC3265" s="580">
        <f>HLOOKUP("*"&amp;'Output annual'!$AC$2&amp;'Output annual'!$AD$2&amp;"*FangerPMV(Hourly)",'Eplus results'!$1:$1048576,ROW(),FALSE)</f>
        <v>0</v>
      </c>
      <c r="AD3265" s="580">
        <f t="shared" si="286"/>
        <v>5</v>
      </c>
      <c r="AE3265" s="580">
        <f t="shared" si="287"/>
        <v>2.5</v>
      </c>
      <c r="AF3265" s="580">
        <f t="shared" si="288"/>
        <v>2.5</v>
      </c>
      <c r="AG3265" s="580">
        <f t="shared" si="289"/>
        <v>0</v>
      </c>
      <c r="AH3265" s="580">
        <f t="shared" si="290"/>
        <v>0</v>
      </c>
    </row>
    <row r="3266" spans="28:34">
      <c r="AB3266" s="580">
        <f>HLOOKUP("*"&amp;'Output annual'!$AC$2&amp;'Output annual'!$AD$2&amp;"*Zone People Number Of Occupants [](Hourly)",'Eplus results'!$1:$1048576,ROW(),FALSE)</f>
        <v>0</v>
      </c>
      <c r="AC3266" s="580">
        <f>HLOOKUP("*"&amp;'Output annual'!$AC$2&amp;'Output annual'!$AD$2&amp;"*FangerPMV(Hourly)",'Eplus results'!$1:$1048576,ROW(),FALSE)</f>
        <v>0</v>
      </c>
      <c r="AD3266" s="580">
        <f t="shared" si="286"/>
        <v>5</v>
      </c>
      <c r="AE3266" s="580">
        <f t="shared" si="287"/>
        <v>2.5</v>
      </c>
      <c r="AF3266" s="580">
        <f t="shared" si="288"/>
        <v>2.5</v>
      </c>
      <c r="AG3266" s="580">
        <f t="shared" si="289"/>
        <v>0</v>
      </c>
      <c r="AH3266" s="580">
        <f t="shared" si="290"/>
        <v>0</v>
      </c>
    </row>
    <row r="3267" spans="28:34">
      <c r="AB3267" s="580">
        <f>HLOOKUP("*"&amp;'Output annual'!$AC$2&amp;'Output annual'!$AD$2&amp;"*Zone People Number Of Occupants [](Hourly)",'Eplus results'!$1:$1048576,ROW(),FALSE)</f>
        <v>0</v>
      </c>
      <c r="AC3267" s="580">
        <f>HLOOKUP("*"&amp;'Output annual'!$AC$2&amp;'Output annual'!$AD$2&amp;"*FangerPMV(Hourly)",'Eplus results'!$1:$1048576,ROW(),FALSE)</f>
        <v>0</v>
      </c>
      <c r="AD3267" s="580">
        <f t="shared" ref="AD3267:AD3330" si="291">100-95*EXP(-0.03353*AC3267^4-0.2179*AC3267^2)</f>
        <v>5</v>
      </c>
      <c r="AE3267" s="580">
        <f t="shared" ref="AE3267:AE3330" si="292">AD3267*(1/(1+EXP(-6.3*$AC3267)))</f>
        <v>2.5</v>
      </c>
      <c r="AF3267" s="580">
        <f t="shared" ref="AF3267:AF3330" si="293">(AD3267-AE3267)</f>
        <v>2.5</v>
      </c>
      <c r="AG3267" s="580">
        <f t="shared" ref="AG3267:AG3330" si="294">AE3267*AB3267</f>
        <v>0</v>
      </c>
      <c r="AH3267" s="580">
        <f t="shared" ref="AH3267:AH3330" si="295">AF3267*AB3267</f>
        <v>0</v>
      </c>
    </row>
    <row r="3268" spans="28:34">
      <c r="AB3268" s="580">
        <f>HLOOKUP("*"&amp;'Output annual'!$AC$2&amp;'Output annual'!$AD$2&amp;"*Zone People Number Of Occupants [](Hourly)",'Eplus results'!$1:$1048576,ROW(),FALSE)</f>
        <v>0</v>
      </c>
      <c r="AC3268" s="580">
        <f>HLOOKUP("*"&amp;'Output annual'!$AC$2&amp;'Output annual'!$AD$2&amp;"*FangerPMV(Hourly)",'Eplus results'!$1:$1048576,ROW(),FALSE)</f>
        <v>0</v>
      </c>
      <c r="AD3268" s="580">
        <f t="shared" si="291"/>
        <v>5</v>
      </c>
      <c r="AE3268" s="580">
        <f t="shared" si="292"/>
        <v>2.5</v>
      </c>
      <c r="AF3268" s="580">
        <f t="shared" si="293"/>
        <v>2.5</v>
      </c>
      <c r="AG3268" s="580">
        <f t="shared" si="294"/>
        <v>0</v>
      </c>
      <c r="AH3268" s="580">
        <f t="shared" si="295"/>
        <v>0</v>
      </c>
    </row>
    <row r="3269" spans="28:34">
      <c r="AB3269" s="580">
        <f>HLOOKUP("*"&amp;'Output annual'!$AC$2&amp;'Output annual'!$AD$2&amp;"*Zone People Number Of Occupants [](Hourly)",'Eplus results'!$1:$1048576,ROW(),FALSE)</f>
        <v>0</v>
      </c>
      <c r="AC3269" s="580">
        <f>HLOOKUP("*"&amp;'Output annual'!$AC$2&amp;'Output annual'!$AD$2&amp;"*FangerPMV(Hourly)",'Eplus results'!$1:$1048576,ROW(),FALSE)</f>
        <v>0</v>
      </c>
      <c r="AD3269" s="580">
        <f t="shared" si="291"/>
        <v>5</v>
      </c>
      <c r="AE3269" s="580">
        <f t="shared" si="292"/>
        <v>2.5</v>
      </c>
      <c r="AF3269" s="580">
        <f t="shared" si="293"/>
        <v>2.5</v>
      </c>
      <c r="AG3269" s="580">
        <f t="shared" si="294"/>
        <v>0</v>
      </c>
      <c r="AH3269" s="580">
        <f t="shared" si="295"/>
        <v>0</v>
      </c>
    </row>
    <row r="3270" spans="28:34">
      <c r="AB3270" s="580">
        <f>HLOOKUP("*"&amp;'Output annual'!$AC$2&amp;'Output annual'!$AD$2&amp;"*Zone People Number Of Occupants [](Hourly)",'Eplus results'!$1:$1048576,ROW(),FALSE)</f>
        <v>0</v>
      </c>
      <c r="AC3270" s="580">
        <f>HLOOKUP("*"&amp;'Output annual'!$AC$2&amp;'Output annual'!$AD$2&amp;"*FangerPMV(Hourly)",'Eplus results'!$1:$1048576,ROW(),FALSE)</f>
        <v>0</v>
      </c>
      <c r="AD3270" s="580">
        <f t="shared" si="291"/>
        <v>5</v>
      </c>
      <c r="AE3270" s="580">
        <f t="shared" si="292"/>
        <v>2.5</v>
      </c>
      <c r="AF3270" s="580">
        <f t="shared" si="293"/>
        <v>2.5</v>
      </c>
      <c r="AG3270" s="580">
        <f t="shared" si="294"/>
        <v>0</v>
      </c>
      <c r="AH3270" s="580">
        <f t="shared" si="295"/>
        <v>0</v>
      </c>
    </row>
    <row r="3271" spans="28:34">
      <c r="AB3271" s="580">
        <f>HLOOKUP("*"&amp;'Output annual'!$AC$2&amp;'Output annual'!$AD$2&amp;"*Zone People Number Of Occupants [](Hourly)",'Eplus results'!$1:$1048576,ROW(),FALSE)</f>
        <v>0</v>
      </c>
      <c r="AC3271" s="580">
        <f>HLOOKUP("*"&amp;'Output annual'!$AC$2&amp;'Output annual'!$AD$2&amp;"*FangerPMV(Hourly)",'Eplus results'!$1:$1048576,ROW(),FALSE)</f>
        <v>0</v>
      </c>
      <c r="AD3271" s="580">
        <f t="shared" si="291"/>
        <v>5</v>
      </c>
      <c r="AE3271" s="580">
        <f t="shared" si="292"/>
        <v>2.5</v>
      </c>
      <c r="AF3271" s="580">
        <f t="shared" si="293"/>
        <v>2.5</v>
      </c>
      <c r="AG3271" s="580">
        <f t="shared" si="294"/>
        <v>0</v>
      </c>
      <c r="AH3271" s="580">
        <f t="shared" si="295"/>
        <v>0</v>
      </c>
    </row>
    <row r="3272" spans="28:34">
      <c r="AB3272" s="580">
        <f>HLOOKUP("*"&amp;'Output annual'!$AC$2&amp;'Output annual'!$AD$2&amp;"*Zone People Number Of Occupants [](Hourly)",'Eplus results'!$1:$1048576,ROW(),FALSE)</f>
        <v>0</v>
      </c>
      <c r="AC3272" s="580">
        <f>HLOOKUP("*"&amp;'Output annual'!$AC$2&amp;'Output annual'!$AD$2&amp;"*FangerPMV(Hourly)",'Eplus results'!$1:$1048576,ROW(),FALSE)</f>
        <v>0</v>
      </c>
      <c r="AD3272" s="580">
        <f t="shared" si="291"/>
        <v>5</v>
      </c>
      <c r="AE3272" s="580">
        <f t="shared" si="292"/>
        <v>2.5</v>
      </c>
      <c r="AF3272" s="580">
        <f t="shared" si="293"/>
        <v>2.5</v>
      </c>
      <c r="AG3272" s="580">
        <f t="shared" si="294"/>
        <v>0</v>
      </c>
      <c r="AH3272" s="580">
        <f t="shared" si="295"/>
        <v>0</v>
      </c>
    </row>
    <row r="3273" spans="28:34">
      <c r="AB3273" s="580">
        <f>HLOOKUP("*"&amp;'Output annual'!$AC$2&amp;'Output annual'!$AD$2&amp;"*Zone People Number Of Occupants [](Hourly)",'Eplus results'!$1:$1048576,ROW(),FALSE)</f>
        <v>0</v>
      </c>
      <c r="AC3273" s="580">
        <f>HLOOKUP("*"&amp;'Output annual'!$AC$2&amp;'Output annual'!$AD$2&amp;"*FangerPMV(Hourly)",'Eplus results'!$1:$1048576,ROW(),FALSE)</f>
        <v>0</v>
      </c>
      <c r="AD3273" s="580">
        <f t="shared" si="291"/>
        <v>5</v>
      </c>
      <c r="AE3273" s="580">
        <f t="shared" si="292"/>
        <v>2.5</v>
      </c>
      <c r="AF3273" s="580">
        <f t="shared" si="293"/>
        <v>2.5</v>
      </c>
      <c r="AG3273" s="580">
        <f t="shared" si="294"/>
        <v>0</v>
      </c>
      <c r="AH3273" s="580">
        <f t="shared" si="295"/>
        <v>0</v>
      </c>
    </row>
    <row r="3274" spans="28:34">
      <c r="AB3274" s="580">
        <f>HLOOKUP("*"&amp;'Output annual'!$AC$2&amp;'Output annual'!$AD$2&amp;"*Zone People Number Of Occupants [](Hourly)",'Eplus results'!$1:$1048576,ROW(),FALSE)</f>
        <v>0</v>
      </c>
      <c r="AC3274" s="580">
        <f>HLOOKUP("*"&amp;'Output annual'!$AC$2&amp;'Output annual'!$AD$2&amp;"*FangerPMV(Hourly)",'Eplus results'!$1:$1048576,ROW(),FALSE)</f>
        <v>0</v>
      </c>
      <c r="AD3274" s="580">
        <f t="shared" si="291"/>
        <v>5</v>
      </c>
      <c r="AE3274" s="580">
        <f t="shared" si="292"/>
        <v>2.5</v>
      </c>
      <c r="AF3274" s="580">
        <f t="shared" si="293"/>
        <v>2.5</v>
      </c>
      <c r="AG3274" s="580">
        <f t="shared" si="294"/>
        <v>0</v>
      </c>
      <c r="AH3274" s="580">
        <f t="shared" si="295"/>
        <v>0</v>
      </c>
    </row>
    <row r="3275" spans="28:34">
      <c r="AB3275" s="580">
        <f>HLOOKUP("*"&amp;'Output annual'!$AC$2&amp;'Output annual'!$AD$2&amp;"*Zone People Number Of Occupants [](Hourly)",'Eplus results'!$1:$1048576,ROW(),FALSE)</f>
        <v>0</v>
      </c>
      <c r="AC3275" s="580">
        <f>HLOOKUP("*"&amp;'Output annual'!$AC$2&amp;'Output annual'!$AD$2&amp;"*FangerPMV(Hourly)",'Eplus results'!$1:$1048576,ROW(),FALSE)</f>
        <v>0</v>
      </c>
      <c r="AD3275" s="580">
        <f t="shared" si="291"/>
        <v>5</v>
      </c>
      <c r="AE3275" s="580">
        <f t="shared" si="292"/>
        <v>2.5</v>
      </c>
      <c r="AF3275" s="580">
        <f t="shared" si="293"/>
        <v>2.5</v>
      </c>
      <c r="AG3275" s="580">
        <f t="shared" si="294"/>
        <v>0</v>
      </c>
      <c r="AH3275" s="580">
        <f t="shared" si="295"/>
        <v>0</v>
      </c>
    </row>
    <row r="3276" spans="28:34">
      <c r="AB3276" s="580">
        <f>HLOOKUP("*"&amp;'Output annual'!$AC$2&amp;'Output annual'!$AD$2&amp;"*Zone People Number Of Occupants [](Hourly)",'Eplus results'!$1:$1048576,ROW(),FALSE)</f>
        <v>0</v>
      </c>
      <c r="AC3276" s="580">
        <f>HLOOKUP("*"&amp;'Output annual'!$AC$2&amp;'Output annual'!$AD$2&amp;"*FangerPMV(Hourly)",'Eplus results'!$1:$1048576,ROW(),FALSE)</f>
        <v>0</v>
      </c>
      <c r="AD3276" s="580">
        <f t="shared" si="291"/>
        <v>5</v>
      </c>
      <c r="AE3276" s="580">
        <f t="shared" si="292"/>
        <v>2.5</v>
      </c>
      <c r="AF3276" s="580">
        <f t="shared" si="293"/>
        <v>2.5</v>
      </c>
      <c r="AG3276" s="580">
        <f t="shared" si="294"/>
        <v>0</v>
      </c>
      <c r="AH3276" s="580">
        <f t="shared" si="295"/>
        <v>0</v>
      </c>
    </row>
    <row r="3277" spans="28:34">
      <c r="AB3277" s="580">
        <f>HLOOKUP("*"&amp;'Output annual'!$AC$2&amp;'Output annual'!$AD$2&amp;"*Zone People Number Of Occupants [](Hourly)",'Eplus results'!$1:$1048576,ROW(),FALSE)</f>
        <v>0</v>
      </c>
      <c r="AC3277" s="580">
        <f>HLOOKUP("*"&amp;'Output annual'!$AC$2&amp;'Output annual'!$AD$2&amp;"*FangerPMV(Hourly)",'Eplus results'!$1:$1048576,ROW(),FALSE)</f>
        <v>0</v>
      </c>
      <c r="AD3277" s="580">
        <f t="shared" si="291"/>
        <v>5</v>
      </c>
      <c r="AE3277" s="580">
        <f t="shared" si="292"/>
        <v>2.5</v>
      </c>
      <c r="AF3277" s="580">
        <f t="shared" si="293"/>
        <v>2.5</v>
      </c>
      <c r="AG3277" s="580">
        <f t="shared" si="294"/>
        <v>0</v>
      </c>
      <c r="AH3277" s="580">
        <f t="shared" si="295"/>
        <v>0</v>
      </c>
    </row>
    <row r="3278" spans="28:34">
      <c r="AB3278" s="580">
        <f>HLOOKUP("*"&amp;'Output annual'!$AC$2&amp;'Output annual'!$AD$2&amp;"*Zone People Number Of Occupants [](Hourly)",'Eplus results'!$1:$1048576,ROW(),FALSE)</f>
        <v>0</v>
      </c>
      <c r="AC3278" s="580">
        <f>HLOOKUP("*"&amp;'Output annual'!$AC$2&amp;'Output annual'!$AD$2&amp;"*FangerPMV(Hourly)",'Eplus results'!$1:$1048576,ROW(),FALSE)</f>
        <v>0</v>
      </c>
      <c r="AD3278" s="580">
        <f t="shared" si="291"/>
        <v>5</v>
      </c>
      <c r="AE3278" s="580">
        <f t="shared" si="292"/>
        <v>2.5</v>
      </c>
      <c r="AF3278" s="580">
        <f t="shared" si="293"/>
        <v>2.5</v>
      </c>
      <c r="AG3278" s="580">
        <f t="shared" si="294"/>
        <v>0</v>
      </c>
      <c r="AH3278" s="580">
        <f t="shared" si="295"/>
        <v>0</v>
      </c>
    </row>
    <row r="3279" spans="28:34">
      <c r="AB3279" s="580">
        <f>HLOOKUP("*"&amp;'Output annual'!$AC$2&amp;'Output annual'!$AD$2&amp;"*Zone People Number Of Occupants [](Hourly)",'Eplus results'!$1:$1048576,ROW(),FALSE)</f>
        <v>0</v>
      </c>
      <c r="AC3279" s="580">
        <f>HLOOKUP("*"&amp;'Output annual'!$AC$2&amp;'Output annual'!$AD$2&amp;"*FangerPMV(Hourly)",'Eplus results'!$1:$1048576,ROW(),FALSE)</f>
        <v>0</v>
      </c>
      <c r="AD3279" s="580">
        <f t="shared" si="291"/>
        <v>5</v>
      </c>
      <c r="AE3279" s="580">
        <f t="shared" si="292"/>
        <v>2.5</v>
      </c>
      <c r="AF3279" s="580">
        <f t="shared" si="293"/>
        <v>2.5</v>
      </c>
      <c r="AG3279" s="580">
        <f t="shared" si="294"/>
        <v>0</v>
      </c>
      <c r="AH3279" s="580">
        <f t="shared" si="295"/>
        <v>0</v>
      </c>
    </row>
    <row r="3280" spans="28:34">
      <c r="AB3280" s="580">
        <f>HLOOKUP("*"&amp;'Output annual'!$AC$2&amp;'Output annual'!$AD$2&amp;"*Zone People Number Of Occupants [](Hourly)",'Eplus results'!$1:$1048576,ROW(),FALSE)</f>
        <v>0</v>
      </c>
      <c r="AC3280" s="580">
        <f>HLOOKUP("*"&amp;'Output annual'!$AC$2&amp;'Output annual'!$AD$2&amp;"*FangerPMV(Hourly)",'Eplus results'!$1:$1048576,ROW(),FALSE)</f>
        <v>0</v>
      </c>
      <c r="AD3280" s="580">
        <f t="shared" si="291"/>
        <v>5</v>
      </c>
      <c r="AE3280" s="580">
        <f t="shared" si="292"/>
        <v>2.5</v>
      </c>
      <c r="AF3280" s="580">
        <f t="shared" si="293"/>
        <v>2.5</v>
      </c>
      <c r="AG3280" s="580">
        <f t="shared" si="294"/>
        <v>0</v>
      </c>
      <c r="AH3280" s="580">
        <f t="shared" si="295"/>
        <v>0</v>
      </c>
    </row>
    <row r="3281" spans="28:34">
      <c r="AB3281" s="580">
        <f>HLOOKUP("*"&amp;'Output annual'!$AC$2&amp;'Output annual'!$AD$2&amp;"*Zone People Number Of Occupants [](Hourly)",'Eplus results'!$1:$1048576,ROW(),FALSE)</f>
        <v>0</v>
      </c>
      <c r="AC3281" s="580">
        <f>HLOOKUP("*"&amp;'Output annual'!$AC$2&amp;'Output annual'!$AD$2&amp;"*FangerPMV(Hourly)",'Eplus results'!$1:$1048576,ROW(),FALSE)</f>
        <v>0</v>
      </c>
      <c r="AD3281" s="580">
        <f t="shared" si="291"/>
        <v>5</v>
      </c>
      <c r="AE3281" s="580">
        <f t="shared" si="292"/>
        <v>2.5</v>
      </c>
      <c r="AF3281" s="580">
        <f t="shared" si="293"/>
        <v>2.5</v>
      </c>
      <c r="AG3281" s="580">
        <f t="shared" si="294"/>
        <v>0</v>
      </c>
      <c r="AH3281" s="580">
        <f t="shared" si="295"/>
        <v>0</v>
      </c>
    </row>
    <row r="3282" spans="28:34">
      <c r="AB3282" s="580">
        <f>HLOOKUP("*"&amp;'Output annual'!$AC$2&amp;'Output annual'!$AD$2&amp;"*Zone People Number Of Occupants [](Hourly)",'Eplus results'!$1:$1048576,ROW(),FALSE)</f>
        <v>0</v>
      </c>
      <c r="AC3282" s="580">
        <f>HLOOKUP("*"&amp;'Output annual'!$AC$2&amp;'Output annual'!$AD$2&amp;"*FangerPMV(Hourly)",'Eplus results'!$1:$1048576,ROW(),FALSE)</f>
        <v>0</v>
      </c>
      <c r="AD3282" s="580">
        <f t="shared" si="291"/>
        <v>5</v>
      </c>
      <c r="AE3282" s="580">
        <f t="shared" si="292"/>
        <v>2.5</v>
      </c>
      <c r="AF3282" s="580">
        <f t="shared" si="293"/>
        <v>2.5</v>
      </c>
      <c r="AG3282" s="580">
        <f t="shared" si="294"/>
        <v>0</v>
      </c>
      <c r="AH3282" s="580">
        <f t="shared" si="295"/>
        <v>0</v>
      </c>
    </row>
    <row r="3283" spans="28:34">
      <c r="AB3283" s="580">
        <f>HLOOKUP("*"&amp;'Output annual'!$AC$2&amp;'Output annual'!$AD$2&amp;"*Zone People Number Of Occupants [](Hourly)",'Eplus results'!$1:$1048576,ROW(),FALSE)</f>
        <v>0</v>
      </c>
      <c r="AC3283" s="580">
        <f>HLOOKUP("*"&amp;'Output annual'!$AC$2&amp;'Output annual'!$AD$2&amp;"*FangerPMV(Hourly)",'Eplus results'!$1:$1048576,ROW(),FALSE)</f>
        <v>0</v>
      </c>
      <c r="AD3283" s="580">
        <f t="shared" si="291"/>
        <v>5</v>
      </c>
      <c r="AE3283" s="580">
        <f t="shared" si="292"/>
        <v>2.5</v>
      </c>
      <c r="AF3283" s="580">
        <f t="shared" si="293"/>
        <v>2.5</v>
      </c>
      <c r="AG3283" s="580">
        <f t="shared" si="294"/>
        <v>0</v>
      </c>
      <c r="AH3283" s="580">
        <f t="shared" si="295"/>
        <v>0</v>
      </c>
    </row>
    <row r="3284" spans="28:34">
      <c r="AB3284" s="580">
        <f>HLOOKUP("*"&amp;'Output annual'!$AC$2&amp;'Output annual'!$AD$2&amp;"*Zone People Number Of Occupants [](Hourly)",'Eplus results'!$1:$1048576,ROW(),FALSE)</f>
        <v>0</v>
      </c>
      <c r="AC3284" s="580">
        <f>HLOOKUP("*"&amp;'Output annual'!$AC$2&amp;'Output annual'!$AD$2&amp;"*FangerPMV(Hourly)",'Eplus results'!$1:$1048576,ROW(),FALSE)</f>
        <v>0</v>
      </c>
      <c r="AD3284" s="580">
        <f t="shared" si="291"/>
        <v>5</v>
      </c>
      <c r="AE3284" s="580">
        <f t="shared" si="292"/>
        <v>2.5</v>
      </c>
      <c r="AF3284" s="580">
        <f t="shared" si="293"/>
        <v>2.5</v>
      </c>
      <c r="AG3284" s="580">
        <f t="shared" si="294"/>
        <v>0</v>
      </c>
      <c r="AH3284" s="580">
        <f t="shared" si="295"/>
        <v>0</v>
      </c>
    </row>
    <row r="3285" spans="28:34">
      <c r="AB3285" s="580">
        <f>HLOOKUP("*"&amp;'Output annual'!$AC$2&amp;'Output annual'!$AD$2&amp;"*Zone People Number Of Occupants [](Hourly)",'Eplus results'!$1:$1048576,ROW(),FALSE)</f>
        <v>0</v>
      </c>
      <c r="AC3285" s="580">
        <f>HLOOKUP("*"&amp;'Output annual'!$AC$2&amp;'Output annual'!$AD$2&amp;"*FangerPMV(Hourly)",'Eplus results'!$1:$1048576,ROW(),FALSE)</f>
        <v>0</v>
      </c>
      <c r="AD3285" s="580">
        <f t="shared" si="291"/>
        <v>5</v>
      </c>
      <c r="AE3285" s="580">
        <f t="shared" si="292"/>
        <v>2.5</v>
      </c>
      <c r="AF3285" s="580">
        <f t="shared" si="293"/>
        <v>2.5</v>
      </c>
      <c r="AG3285" s="580">
        <f t="shared" si="294"/>
        <v>0</v>
      </c>
      <c r="AH3285" s="580">
        <f t="shared" si="295"/>
        <v>0</v>
      </c>
    </row>
    <row r="3286" spans="28:34">
      <c r="AB3286" s="580">
        <f>HLOOKUP("*"&amp;'Output annual'!$AC$2&amp;'Output annual'!$AD$2&amp;"*Zone People Number Of Occupants [](Hourly)",'Eplus results'!$1:$1048576,ROW(),FALSE)</f>
        <v>0</v>
      </c>
      <c r="AC3286" s="580">
        <f>HLOOKUP("*"&amp;'Output annual'!$AC$2&amp;'Output annual'!$AD$2&amp;"*FangerPMV(Hourly)",'Eplus results'!$1:$1048576,ROW(),FALSE)</f>
        <v>0</v>
      </c>
      <c r="AD3286" s="580">
        <f t="shared" si="291"/>
        <v>5</v>
      </c>
      <c r="AE3286" s="580">
        <f t="shared" si="292"/>
        <v>2.5</v>
      </c>
      <c r="AF3286" s="580">
        <f t="shared" si="293"/>
        <v>2.5</v>
      </c>
      <c r="AG3286" s="580">
        <f t="shared" si="294"/>
        <v>0</v>
      </c>
      <c r="AH3286" s="580">
        <f t="shared" si="295"/>
        <v>0</v>
      </c>
    </row>
    <row r="3287" spans="28:34">
      <c r="AB3287" s="580">
        <f>HLOOKUP("*"&amp;'Output annual'!$AC$2&amp;'Output annual'!$AD$2&amp;"*Zone People Number Of Occupants [](Hourly)",'Eplus results'!$1:$1048576,ROW(),FALSE)</f>
        <v>0</v>
      </c>
      <c r="AC3287" s="580">
        <f>HLOOKUP("*"&amp;'Output annual'!$AC$2&amp;'Output annual'!$AD$2&amp;"*FangerPMV(Hourly)",'Eplus results'!$1:$1048576,ROW(),FALSE)</f>
        <v>0</v>
      </c>
      <c r="AD3287" s="580">
        <f t="shared" si="291"/>
        <v>5</v>
      </c>
      <c r="AE3287" s="580">
        <f t="shared" si="292"/>
        <v>2.5</v>
      </c>
      <c r="AF3287" s="580">
        <f t="shared" si="293"/>
        <v>2.5</v>
      </c>
      <c r="AG3287" s="580">
        <f t="shared" si="294"/>
        <v>0</v>
      </c>
      <c r="AH3287" s="580">
        <f t="shared" si="295"/>
        <v>0</v>
      </c>
    </row>
    <row r="3288" spans="28:34">
      <c r="AB3288" s="580">
        <f>HLOOKUP("*"&amp;'Output annual'!$AC$2&amp;'Output annual'!$AD$2&amp;"*Zone People Number Of Occupants [](Hourly)",'Eplus results'!$1:$1048576,ROW(),FALSE)</f>
        <v>0</v>
      </c>
      <c r="AC3288" s="580">
        <f>HLOOKUP("*"&amp;'Output annual'!$AC$2&amp;'Output annual'!$AD$2&amp;"*FangerPMV(Hourly)",'Eplus results'!$1:$1048576,ROW(),FALSE)</f>
        <v>0</v>
      </c>
      <c r="AD3288" s="580">
        <f t="shared" si="291"/>
        <v>5</v>
      </c>
      <c r="AE3288" s="580">
        <f t="shared" si="292"/>
        <v>2.5</v>
      </c>
      <c r="AF3288" s="580">
        <f t="shared" si="293"/>
        <v>2.5</v>
      </c>
      <c r="AG3288" s="580">
        <f t="shared" si="294"/>
        <v>0</v>
      </c>
      <c r="AH3288" s="580">
        <f t="shared" si="295"/>
        <v>0</v>
      </c>
    </row>
    <row r="3289" spans="28:34">
      <c r="AB3289" s="580">
        <f>HLOOKUP("*"&amp;'Output annual'!$AC$2&amp;'Output annual'!$AD$2&amp;"*Zone People Number Of Occupants [](Hourly)",'Eplus results'!$1:$1048576,ROW(),FALSE)</f>
        <v>0</v>
      </c>
      <c r="AC3289" s="580">
        <f>HLOOKUP("*"&amp;'Output annual'!$AC$2&amp;'Output annual'!$AD$2&amp;"*FangerPMV(Hourly)",'Eplus results'!$1:$1048576,ROW(),FALSE)</f>
        <v>0</v>
      </c>
      <c r="AD3289" s="580">
        <f t="shared" si="291"/>
        <v>5</v>
      </c>
      <c r="AE3289" s="580">
        <f t="shared" si="292"/>
        <v>2.5</v>
      </c>
      <c r="AF3289" s="580">
        <f t="shared" si="293"/>
        <v>2.5</v>
      </c>
      <c r="AG3289" s="580">
        <f t="shared" si="294"/>
        <v>0</v>
      </c>
      <c r="AH3289" s="580">
        <f t="shared" si="295"/>
        <v>0</v>
      </c>
    </row>
    <row r="3290" spans="28:34">
      <c r="AB3290" s="580">
        <f>HLOOKUP("*"&amp;'Output annual'!$AC$2&amp;'Output annual'!$AD$2&amp;"*Zone People Number Of Occupants [](Hourly)",'Eplus results'!$1:$1048576,ROW(),FALSE)</f>
        <v>0</v>
      </c>
      <c r="AC3290" s="580">
        <f>HLOOKUP("*"&amp;'Output annual'!$AC$2&amp;'Output annual'!$AD$2&amp;"*FangerPMV(Hourly)",'Eplus results'!$1:$1048576,ROW(),FALSE)</f>
        <v>0</v>
      </c>
      <c r="AD3290" s="580">
        <f t="shared" si="291"/>
        <v>5</v>
      </c>
      <c r="AE3290" s="580">
        <f t="shared" si="292"/>
        <v>2.5</v>
      </c>
      <c r="AF3290" s="580">
        <f t="shared" si="293"/>
        <v>2.5</v>
      </c>
      <c r="AG3290" s="580">
        <f t="shared" si="294"/>
        <v>0</v>
      </c>
      <c r="AH3290" s="580">
        <f t="shared" si="295"/>
        <v>0</v>
      </c>
    </row>
    <row r="3291" spans="28:34">
      <c r="AB3291" s="580">
        <f>HLOOKUP("*"&amp;'Output annual'!$AC$2&amp;'Output annual'!$AD$2&amp;"*Zone People Number Of Occupants [](Hourly)",'Eplus results'!$1:$1048576,ROW(),FALSE)</f>
        <v>0</v>
      </c>
      <c r="AC3291" s="580">
        <f>HLOOKUP("*"&amp;'Output annual'!$AC$2&amp;'Output annual'!$AD$2&amp;"*FangerPMV(Hourly)",'Eplus results'!$1:$1048576,ROW(),FALSE)</f>
        <v>0</v>
      </c>
      <c r="AD3291" s="580">
        <f t="shared" si="291"/>
        <v>5</v>
      </c>
      <c r="AE3291" s="580">
        <f t="shared" si="292"/>
        <v>2.5</v>
      </c>
      <c r="AF3291" s="580">
        <f t="shared" si="293"/>
        <v>2.5</v>
      </c>
      <c r="AG3291" s="580">
        <f t="shared" si="294"/>
        <v>0</v>
      </c>
      <c r="AH3291" s="580">
        <f t="shared" si="295"/>
        <v>0</v>
      </c>
    </row>
    <row r="3292" spans="28:34">
      <c r="AB3292" s="580">
        <f>HLOOKUP("*"&amp;'Output annual'!$AC$2&amp;'Output annual'!$AD$2&amp;"*Zone People Number Of Occupants [](Hourly)",'Eplus results'!$1:$1048576,ROW(),FALSE)</f>
        <v>0</v>
      </c>
      <c r="AC3292" s="580">
        <f>HLOOKUP("*"&amp;'Output annual'!$AC$2&amp;'Output annual'!$AD$2&amp;"*FangerPMV(Hourly)",'Eplus results'!$1:$1048576,ROW(),FALSE)</f>
        <v>0</v>
      </c>
      <c r="AD3292" s="580">
        <f t="shared" si="291"/>
        <v>5</v>
      </c>
      <c r="AE3292" s="580">
        <f t="shared" si="292"/>
        <v>2.5</v>
      </c>
      <c r="AF3292" s="580">
        <f t="shared" si="293"/>
        <v>2.5</v>
      </c>
      <c r="AG3292" s="580">
        <f t="shared" si="294"/>
        <v>0</v>
      </c>
      <c r="AH3292" s="580">
        <f t="shared" si="295"/>
        <v>0</v>
      </c>
    </row>
    <row r="3293" spans="28:34">
      <c r="AB3293" s="580">
        <f>HLOOKUP("*"&amp;'Output annual'!$AC$2&amp;'Output annual'!$AD$2&amp;"*Zone People Number Of Occupants [](Hourly)",'Eplus results'!$1:$1048576,ROW(),FALSE)</f>
        <v>0</v>
      </c>
      <c r="AC3293" s="580">
        <f>HLOOKUP("*"&amp;'Output annual'!$AC$2&amp;'Output annual'!$AD$2&amp;"*FangerPMV(Hourly)",'Eplus results'!$1:$1048576,ROW(),FALSE)</f>
        <v>0</v>
      </c>
      <c r="AD3293" s="580">
        <f t="shared" si="291"/>
        <v>5</v>
      </c>
      <c r="AE3293" s="580">
        <f t="shared" si="292"/>
        <v>2.5</v>
      </c>
      <c r="AF3293" s="580">
        <f t="shared" si="293"/>
        <v>2.5</v>
      </c>
      <c r="AG3293" s="580">
        <f t="shared" si="294"/>
        <v>0</v>
      </c>
      <c r="AH3293" s="580">
        <f t="shared" si="295"/>
        <v>0</v>
      </c>
    </row>
    <row r="3294" spans="28:34">
      <c r="AB3294" s="580">
        <f>HLOOKUP("*"&amp;'Output annual'!$AC$2&amp;'Output annual'!$AD$2&amp;"*Zone People Number Of Occupants [](Hourly)",'Eplus results'!$1:$1048576,ROW(),FALSE)</f>
        <v>0</v>
      </c>
      <c r="AC3294" s="580">
        <f>HLOOKUP("*"&amp;'Output annual'!$AC$2&amp;'Output annual'!$AD$2&amp;"*FangerPMV(Hourly)",'Eplus results'!$1:$1048576,ROW(),FALSE)</f>
        <v>0</v>
      </c>
      <c r="AD3294" s="580">
        <f t="shared" si="291"/>
        <v>5</v>
      </c>
      <c r="AE3294" s="580">
        <f t="shared" si="292"/>
        <v>2.5</v>
      </c>
      <c r="AF3294" s="580">
        <f t="shared" si="293"/>
        <v>2.5</v>
      </c>
      <c r="AG3294" s="580">
        <f t="shared" si="294"/>
        <v>0</v>
      </c>
      <c r="AH3294" s="580">
        <f t="shared" si="295"/>
        <v>0</v>
      </c>
    </row>
    <row r="3295" spans="28:34">
      <c r="AB3295" s="580">
        <f>HLOOKUP("*"&amp;'Output annual'!$AC$2&amp;'Output annual'!$AD$2&amp;"*Zone People Number Of Occupants [](Hourly)",'Eplus results'!$1:$1048576,ROW(),FALSE)</f>
        <v>0</v>
      </c>
      <c r="AC3295" s="580">
        <f>HLOOKUP("*"&amp;'Output annual'!$AC$2&amp;'Output annual'!$AD$2&amp;"*FangerPMV(Hourly)",'Eplus results'!$1:$1048576,ROW(),FALSE)</f>
        <v>0</v>
      </c>
      <c r="AD3295" s="580">
        <f t="shared" si="291"/>
        <v>5</v>
      </c>
      <c r="AE3295" s="580">
        <f t="shared" si="292"/>
        <v>2.5</v>
      </c>
      <c r="AF3295" s="580">
        <f t="shared" si="293"/>
        <v>2.5</v>
      </c>
      <c r="AG3295" s="580">
        <f t="shared" si="294"/>
        <v>0</v>
      </c>
      <c r="AH3295" s="580">
        <f t="shared" si="295"/>
        <v>0</v>
      </c>
    </row>
    <row r="3296" spans="28:34">
      <c r="AB3296" s="580">
        <f>HLOOKUP("*"&amp;'Output annual'!$AC$2&amp;'Output annual'!$AD$2&amp;"*Zone People Number Of Occupants [](Hourly)",'Eplus results'!$1:$1048576,ROW(),FALSE)</f>
        <v>0</v>
      </c>
      <c r="AC3296" s="580">
        <f>HLOOKUP("*"&amp;'Output annual'!$AC$2&amp;'Output annual'!$AD$2&amp;"*FangerPMV(Hourly)",'Eplus results'!$1:$1048576,ROW(),FALSE)</f>
        <v>0</v>
      </c>
      <c r="AD3296" s="580">
        <f t="shared" si="291"/>
        <v>5</v>
      </c>
      <c r="AE3296" s="580">
        <f t="shared" si="292"/>
        <v>2.5</v>
      </c>
      <c r="AF3296" s="580">
        <f t="shared" si="293"/>
        <v>2.5</v>
      </c>
      <c r="AG3296" s="580">
        <f t="shared" si="294"/>
        <v>0</v>
      </c>
      <c r="AH3296" s="580">
        <f t="shared" si="295"/>
        <v>0</v>
      </c>
    </row>
    <row r="3297" spans="28:34">
      <c r="AB3297" s="580">
        <f>HLOOKUP("*"&amp;'Output annual'!$AC$2&amp;'Output annual'!$AD$2&amp;"*Zone People Number Of Occupants [](Hourly)",'Eplus results'!$1:$1048576,ROW(),FALSE)</f>
        <v>0</v>
      </c>
      <c r="AC3297" s="580">
        <f>HLOOKUP("*"&amp;'Output annual'!$AC$2&amp;'Output annual'!$AD$2&amp;"*FangerPMV(Hourly)",'Eplus results'!$1:$1048576,ROW(),FALSE)</f>
        <v>0</v>
      </c>
      <c r="AD3297" s="580">
        <f t="shared" si="291"/>
        <v>5</v>
      </c>
      <c r="AE3297" s="580">
        <f t="shared" si="292"/>
        <v>2.5</v>
      </c>
      <c r="AF3297" s="580">
        <f t="shared" si="293"/>
        <v>2.5</v>
      </c>
      <c r="AG3297" s="580">
        <f t="shared" si="294"/>
        <v>0</v>
      </c>
      <c r="AH3297" s="580">
        <f t="shared" si="295"/>
        <v>0</v>
      </c>
    </row>
    <row r="3298" spans="28:34">
      <c r="AB3298" s="580">
        <f>HLOOKUP("*"&amp;'Output annual'!$AC$2&amp;'Output annual'!$AD$2&amp;"*Zone People Number Of Occupants [](Hourly)",'Eplus results'!$1:$1048576,ROW(),FALSE)</f>
        <v>0</v>
      </c>
      <c r="AC3298" s="580">
        <f>HLOOKUP("*"&amp;'Output annual'!$AC$2&amp;'Output annual'!$AD$2&amp;"*FangerPMV(Hourly)",'Eplus results'!$1:$1048576,ROW(),FALSE)</f>
        <v>0</v>
      </c>
      <c r="AD3298" s="580">
        <f t="shared" si="291"/>
        <v>5</v>
      </c>
      <c r="AE3298" s="580">
        <f t="shared" si="292"/>
        <v>2.5</v>
      </c>
      <c r="AF3298" s="580">
        <f t="shared" si="293"/>
        <v>2.5</v>
      </c>
      <c r="AG3298" s="580">
        <f t="shared" si="294"/>
        <v>0</v>
      </c>
      <c r="AH3298" s="580">
        <f t="shared" si="295"/>
        <v>0</v>
      </c>
    </row>
    <row r="3299" spans="28:34">
      <c r="AB3299" s="580">
        <f>HLOOKUP("*"&amp;'Output annual'!$AC$2&amp;'Output annual'!$AD$2&amp;"*Zone People Number Of Occupants [](Hourly)",'Eplus results'!$1:$1048576,ROW(),FALSE)</f>
        <v>0</v>
      </c>
      <c r="AC3299" s="580">
        <f>HLOOKUP("*"&amp;'Output annual'!$AC$2&amp;'Output annual'!$AD$2&amp;"*FangerPMV(Hourly)",'Eplus results'!$1:$1048576,ROW(),FALSE)</f>
        <v>0</v>
      </c>
      <c r="AD3299" s="580">
        <f t="shared" si="291"/>
        <v>5</v>
      </c>
      <c r="AE3299" s="580">
        <f t="shared" si="292"/>
        <v>2.5</v>
      </c>
      <c r="AF3299" s="580">
        <f t="shared" si="293"/>
        <v>2.5</v>
      </c>
      <c r="AG3299" s="580">
        <f t="shared" si="294"/>
        <v>0</v>
      </c>
      <c r="AH3299" s="580">
        <f t="shared" si="295"/>
        <v>0</v>
      </c>
    </row>
    <row r="3300" spans="28:34">
      <c r="AB3300" s="580">
        <f>HLOOKUP("*"&amp;'Output annual'!$AC$2&amp;'Output annual'!$AD$2&amp;"*Zone People Number Of Occupants [](Hourly)",'Eplus results'!$1:$1048576,ROW(),FALSE)</f>
        <v>0</v>
      </c>
      <c r="AC3300" s="580">
        <f>HLOOKUP("*"&amp;'Output annual'!$AC$2&amp;'Output annual'!$AD$2&amp;"*FangerPMV(Hourly)",'Eplus results'!$1:$1048576,ROW(),FALSE)</f>
        <v>0</v>
      </c>
      <c r="AD3300" s="580">
        <f t="shared" si="291"/>
        <v>5</v>
      </c>
      <c r="AE3300" s="580">
        <f t="shared" si="292"/>
        <v>2.5</v>
      </c>
      <c r="AF3300" s="580">
        <f t="shared" si="293"/>
        <v>2.5</v>
      </c>
      <c r="AG3300" s="580">
        <f t="shared" si="294"/>
        <v>0</v>
      </c>
      <c r="AH3300" s="580">
        <f t="shared" si="295"/>
        <v>0</v>
      </c>
    </row>
    <row r="3301" spans="28:34">
      <c r="AB3301" s="580">
        <f>HLOOKUP("*"&amp;'Output annual'!$AC$2&amp;'Output annual'!$AD$2&amp;"*Zone People Number Of Occupants [](Hourly)",'Eplus results'!$1:$1048576,ROW(),FALSE)</f>
        <v>0</v>
      </c>
      <c r="AC3301" s="580">
        <f>HLOOKUP("*"&amp;'Output annual'!$AC$2&amp;'Output annual'!$AD$2&amp;"*FangerPMV(Hourly)",'Eplus results'!$1:$1048576,ROW(),FALSE)</f>
        <v>0</v>
      </c>
      <c r="AD3301" s="580">
        <f t="shared" si="291"/>
        <v>5</v>
      </c>
      <c r="AE3301" s="580">
        <f t="shared" si="292"/>
        <v>2.5</v>
      </c>
      <c r="AF3301" s="580">
        <f t="shared" si="293"/>
        <v>2.5</v>
      </c>
      <c r="AG3301" s="580">
        <f t="shared" si="294"/>
        <v>0</v>
      </c>
      <c r="AH3301" s="580">
        <f t="shared" si="295"/>
        <v>0</v>
      </c>
    </row>
    <row r="3302" spans="28:34">
      <c r="AB3302" s="580">
        <f>HLOOKUP("*"&amp;'Output annual'!$AC$2&amp;'Output annual'!$AD$2&amp;"*Zone People Number Of Occupants [](Hourly)",'Eplus results'!$1:$1048576,ROW(),FALSE)</f>
        <v>0</v>
      </c>
      <c r="AC3302" s="580">
        <f>HLOOKUP("*"&amp;'Output annual'!$AC$2&amp;'Output annual'!$AD$2&amp;"*FangerPMV(Hourly)",'Eplus results'!$1:$1048576,ROW(),FALSE)</f>
        <v>0</v>
      </c>
      <c r="AD3302" s="580">
        <f t="shared" si="291"/>
        <v>5</v>
      </c>
      <c r="AE3302" s="580">
        <f t="shared" si="292"/>
        <v>2.5</v>
      </c>
      <c r="AF3302" s="580">
        <f t="shared" si="293"/>
        <v>2.5</v>
      </c>
      <c r="AG3302" s="580">
        <f t="shared" si="294"/>
        <v>0</v>
      </c>
      <c r="AH3302" s="580">
        <f t="shared" si="295"/>
        <v>0</v>
      </c>
    </row>
    <row r="3303" spans="28:34">
      <c r="AB3303" s="580">
        <f>HLOOKUP("*"&amp;'Output annual'!$AC$2&amp;'Output annual'!$AD$2&amp;"*Zone People Number Of Occupants [](Hourly)",'Eplus results'!$1:$1048576,ROW(),FALSE)</f>
        <v>0</v>
      </c>
      <c r="AC3303" s="580">
        <f>HLOOKUP("*"&amp;'Output annual'!$AC$2&amp;'Output annual'!$AD$2&amp;"*FangerPMV(Hourly)",'Eplus results'!$1:$1048576,ROW(),FALSE)</f>
        <v>0</v>
      </c>
      <c r="AD3303" s="580">
        <f t="shared" si="291"/>
        <v>5</v>
      </c>
      <c r="AE3303" s="580">
        <f t="shared" si="292"/>
        <v>2.5</v>
      </c>
      <c r="AF3303" s="580">
        <f t="shared" si="293"/>
        <v>2.5</v>
      </c>
      <c r="AG3303" s="580">
        <f t="shared" si="294"/>
        <v>0</v>
      </c>
      <c r="AH3303" s="580">
        <f t="shared" si="295"/>
        <v>0</v>
      </c>
    </row>
    <row r="3304" spans="28:34">
      <c r="AB3304" s="580">
        <f>HLOOKUP("*"&amp;'Output annual'!$AC$2&amp;'Output annual'!$AD$2&amp;"*Zone People Number Of Occupants [](Hourly)",'Eplus results'!$1:$1048576,ROW(),FALSE)</f>
        <v>0</v>
      </c>
      <c r="AC3304" s="580">
        <f>HLOOKUP("*"&amp;'Output annual'!$AC$2&amp;'Output annual'!$AD$2&amp;"*FangerPMV(Hourly)",'Eplus results'!$1:$1048576,ROW(),FALSE)</f>
        <v>0</v>
      </c>
      <c r="AD3304" s="580">
        <f t="shared" si="291"/>
        <v>5</v>
      </c>
      <c r="AE3304" s="580">
        <f t="shared" si="292"/>
        <v>2.5</v>
      </c>
      <c r="AF3304" s="580">
        <f t="shared" si="293"/>
        <v>2.5</v>
      </c>
      <c r="AG3304" s="580">
        <f t="shared" si="294"/>
        <v>0</v>
      </c>
      <c r="AH3304" s="580">
        <f t="shared" si="295"/>
        <v>0</v>
      </c>
    </row>
    <row r="3305" spans="28:34">
      <c r="AB3305" s="580">
        <f>HLOOKUP("*"&amp;'Output annual'!$AC$2&amp;'Output annual'!$AD$2&amp;"*Zone People Number Of Occupants [](Hourly)",'Eplus results'!$1:$1048576,ROW(),FALSE)</f>
        <v>0</v>
      </c>
      <c r="AC3305" s="580">
        <f>HLOOKUP("*"&amp;'Output annual'!$AC$2&amp;'Output annual'!$AD$2&amp;"*FangerPMV(Hourly)",'Eplus results'!$1:$1048576,ROW(),FALSE)</f>
        <v>0</v>
      </c>
      <c r="AD3305" s="580">
        <f t="shared" si="291"/>
        <v>5</v>
      </c>
      <c r="AE3305" s="580">
        <f t="shared" si="292"/>
        <v>2.5</v>
      </c>
      <c r="AF3305" s="580">
        <f t="shared" si="293"/>
        <v>2.5</v>
      </c>
      <c r="AG3305" s="580">
        <f t="shared" si="294"/>
        <v>0</v>
      </c>
      <c r="AH3305" s="580">
        <f t="shared" si="295"/>
        <v>0</v>
      </c>
    </row>
    <row r="3306" spans="28:34">
      <c r="AB3306" s="580">
        <f>HLOOKUP("*"&amp;'Output annual'!$AC$2&amp;'Output annual'!$AD$2&amp;"*Zone People Number Of Occupants [](Hourly)",'Eplus results'!$1:$1048576,ROW(),FALSE)</f>
        <v>0</v>
      </c>
      <c r="AC3306" s="580">
        <f>HLOOKUP("*"&amp;'Output annual'!$AC$2&amp;'Output annual'!$AD$2&amp;"*FangerPMV(Hourly)",'Eplus results'!$1:$1048576,ROW(),FALSE)</f>
        <v>0</v>
      </c>
      <c r="AD3306" s="580">
        <f t="shared" si="291"/>
        <v>5</v>
      </c>
      <c r="AE3306" s="580">
        <f t="shared" si="292"/>
        <v>2.5</v>
      </c>
      <c r="AF3306" s="580">
        <f t="shared" si="293"/>
        <v>2.5</v>
      </c>
      <c r="AG3306" s="580">
        <f t="shared" si="294"/>
        <v>0</v>
      </c>
      <c r="AH3306" s="580">
        <f t="shared" si="295"/>
        <v>0</v>
      </c>
    </row>
    <row r="3307" spans="28:34">
      <c r="AB3307" s="580">
        <f>HLOOKUP("*"&amp;'Output annual'!$AC$2&amp;'Output annual'!$AD$2&amp;"*Zone People Number Of Occupants [](Hourly)",'Eplus results'!$1:$1048576,ROW(),FALSE)</f>
        <v>0</v>
      </c>
      <c r="AC3307" s="580">
        <f>HLOOKUP("*"&amp;'Output annual'!$AC$2&amp;'Output annual'!$AD$2&amp;"*FangerPMV(Hourly)",'Eplus results'!$1:$1048576,ROW(),FALSE)</f>
        <v>0</v>
      </c>
      <c r="AD3307" s="580">
        <f t="shared" si="291"/>
        <v>5</v>
      </c>
      <c r="AE3307" s="580">
        <f t="shared" si="292"/>
        <v>2.5</v>
      </c>
      <c r="AF3307" s="580">
        <f t="shared" si="293"/>
        <v>2.5</v>
      </c>
      <c r="AG3307" s="580">
        <f t="shared" si="294"/>
        <v>0</v>
      </c>
      <c r="AH3307" s="580">
        <f t="shared" si="295"/>
        <v>0</v>
      </c>
    </row>
    <row r="3308" spans="28:34">
      <c r="AB3308" s="580">
        <f>HLOOKUP("*"&amp;'Output annual'!$AC$2&amp;'Output annual'!$AD$2&amp;"*Zone People Number Of Occupants [](Hourly)",'Eplus results'!$1:$1048576,ROW(),FALSE)</f>
        <v>0</v>
      </c>
      <c r="AC3308" s="580">
        <f>HLOOKUP("*"&amp;'Output annual'!$AC$2&amp;'Output annual'!$AD$2&amp;"*FangerPMV(Hourly)",'Eplus results'!$1:$1048576,ROW(),FALSE)</f>
        <v>0</v>
      </c>
      <c r="AD3308" s="580">
        <f t="shared" si="291"/>
        <v>5</v>
      </c>
      <c r="AE3308" s="580">
        <f t="shared" si="292"/>
        <v>2.5</v>
      </c>
      <c r="AF3308" s="580">
        <f t="shared" si="293"/>
        <v>2.5</v>
      </c>
      <c r="AG3308" s="580">
        <f t="shared" si="294"/>
        <v>0</v>
      </c>
      <c r="AH3308" s="580">
        <f t="shared" si="295"/>
        <v>0</v>
      </c>
    </row>
    <row r="3309" spans="28:34">
      <c r="AB3309" s="580">
        <f>HLOOKUP("*"&amp;'Output annual'!$AC$2&amp;'Output annual'!$AD$2&amp;"*Zone People Number Of Occupants [](Hourly)",'Eplus results'!$1:$1048576,ROW(),FALSE)</f>
        <v>0</v>
      </c>
      <c r="AC3309" s="580">
        <f>HLOOKUP("*"&amp;'Output annual'!$AC$2&amp;'Output annual'!$AD$2&amp;"*FangerPMV(Hourly)",'Eplus results'!$1:$1048576,ROW(),FALSE)</f>
        <v>0</v>
      </c>
      <c r="AD3309" s="580">
        <f t="shared" si="291"/>
        <v>5</v>
      </c>
      <c r="AE3309" s="580">
        <f t="shared" si="292"/>
        <v>2.5</v>
      </c>
      <c r="AF3309" s="580">
        <f t="shared" si="293"/>
        <v>2.5</v>
      </c>
      <c r="AG3309" s="580">
        <f t="shared" si="294"/>
        <v>0</v>
      </c>
      <c r="AH3309" s="580">
        <f t="shared" si="295"/>
        <v>0</v>
      </c>
    </row>
    <row r="3310" spans="28:34">
      <c r="AB3310" s="580">
        <f>HLOOKUP("*"&amp;'Output annual'!$AC$2&amp;'Output annual'!$AD$2&amp;"*Zone People Number Of Occupants [](Hourly)",'Eplus results'!$1:$1048576,ROW(),FALSE)</f>
        <v>0</v>
      </c>
      <c r="AC3310" s="580">
        <f>HLOOKUP("*"&amp;'Output annual'!$AC$2&amp;'Output annual'!$AD$2&amp;"*FangerPMV(Hourly)",'Eplus results'!$1:$1048576,ROW(),FALSE)</f>
        <v>0</v>
      </c>
      <c r="AD3310" s="580">
        <f t="shared" si="291"/>
        <v>5</v>
      </c>
      <c r="AE3310" s="580">
        <f t="shared" si="292"/>
        <v>2.5</v>
      </c>
      <c r="AF3310" s="580">
        <f t="shared" si="293"/>
        <v>2.5</v>
      </c>
      <c r="AG3310" s="580">
        <f t="shared" si="294"/>
        <v>0</v>
      </c>
      <c r="AH3310" s="580">
        <f t="shared" si="295"/>
        <v>0</v>
      </c>
    </row>
    <row r="3311" spans="28:34">
      <c r="AB3311" s="580">
        <f>HLOOKUP("*"&amp;'Output annual'!$AC$2&amp;'Output annual'!$AD$2&amp;"*Zone People Number Of Occupants [](Hourly)",'Eplus results'!$1:$1048576,ROW(),FALSE)</f>
        <v>0</v>
      </c>
      <c r="AC3311" s="580">
        <f>HLOOKUP("*"&amp;'Output annual'!$AC$2&amp;'Output annual'!$AD$2&amp;"*FangerPMV(Hourly)",'Eplus results'!$1:$1048576,ROW(),FALSE)</f>
        <v>0</v>
      </c>
      <c r="AD3311" s="580">
        <f t="shared" si="291"/>
        <v>5</v>
      </c>
      <c r="AE3311" s="580">
        <f t="shared" si="292"/>
        <v>2.5</v>
      </c>
      <c r="AF3311" s="580">
        <f t="shared" si="293"/>
        <v>2.5</v>
      </c>
      <c r="AG3311" s="580">
        <f t="shared" si="294"/>
        <v>0</v>
      </c>
      <c r="AH3311" s="580">
        <f t="shared" si="295"/>
        <v>0</v>
      </c>
    </row>
    <row r="3312" spans="28:34">
      <c r="AB3312" s="580">
        <f>HLOOKUP("*"&amp;'Output annual'!$AC$2&amp;'Output annual'!$AD$2&amp;"*Zone People Number Of Occupants [](Hourly)",'Eplus results'!$1:$1048576,ROW(),FALSE)</f>
        <v>0</v>
      </c>
      <c r="AC3312" s="580">
        <f>HLOOKUP("*"&amp;'Output annual'!$AC$2&amp;'Output annual'!$AD$2&amp;"*FangerPMV(Hourly)",'Eplus results'!$1:$1048576,ROW(),FALSE)</f>
        <v>0</v>
      </c>
      <c r="AD3312" s="580">
        <f t="shared" si="291"/>
        <v>5</v>
      </c>
      <c r="AE3312" s="580">
        <f t="shared" si="292"/>
        <v>2.5</v>
      </c>
      <c r="AF3312" s="580">
        <f t="shared" si="293"/>
        <v>2.5</v>
      </c>
      <c r="AG3312" s="580">
        <f t="shared" si="294"/>
        <v>0</v>
      </c>
      <c r="AH3312" s="580">
        <f t="shared" si="295"/>
        <v>0</v>
      </c>
    </row>
    <row r="3313" spans="28:34">
      <c r="AB3313" s="580">
        <f>HLOOKUP("*"&amp;'Output annual'!$AC$2&amp;'Output annual'!$AD$2&amp;"*Zone People Number Of Occupants [](Hourly)",'Eplus results'!$1:$1048576,ROW(),FALSE)</f>
        <v>0</v>
      </c>
      <c r="AC3313" s="580">
        <f>HLOOKUP("*"&amp;'Output annual'!$AC$2&amp;'Output annual'!$AD$2&amp;"*FangerPMV(Hourly)",'Eplus results'!$1:$1048576,ROW(),FALSE)</f>
        <v>0</v>
      </c>
      <c r="AD3313" s="580">
        <f t="shared" si="291"/>
        <v>5</v>
      </c>
      <c r="AE3313" s="580">
        <f t="shared" si="292"/>
        <v>2.5</v>
      </c>
      <c r="AF3313" s="580">
        <f t="shared" si="293"/>
        <v>2.5</v>
      </c>
      <c r="AG3313" s="580">
        <f t="shared" si="294"/>
        <v>0</v>
      </c>
      <c r="AH3313" s="580">
        <f t="shared" si="295"/>
        <v>0</v>
      </c>
    </row>
    <row r="3314" spans="28:34">
      <c r="AB3314" s="580">
        <f>HLOOKUP("*"&amp;'Output annual'!$AC$2&amp;'Output annual'!$AD$2&amp;"*Zone People Number Of Occupants [](Hourly)",'Eplus results'!$1:$1048576,ROW(),FALSE)</f>
        <v>0</v>
      </c>
      <c r="AC3314" s="580">
        <f>HLOOKUP("*"&amp;'Output annual'!$AC$2&amp;'Output annual'!$AD$2&amp;"*FangerPMV(Hourly)",'Eplus results'!$1:$1048576,ROW(),FALSE)</f>
        <v>0</v>
      </c>
      <c r="AD3314" s="580">
        <f t="shared" si="291"/>
        <v>5</v>
      </c>
      <c r="AE3314" s="580">
        <f t="shared" si="292"/>
        <v>2.5</v>
      </c>
      <c r="AF3314" s="580">
        <f t="shared" si="293"/>
        <v>2.5</v>
      </c>
      <c r="AG3314" s="580">
        <f t="shared" si="294"/>
        <v>0</v>
      </c>
      <c r="AH3314" s="580">
        <f t="shared" si="295"/>
        <v>0</v>
      </c>
    </row>
    <row r="3315" spans="28:34">
      <c r="AB3315" s="580">
        <f>HLOOKUP("*"&amp;'Output annual'!$AC$2&amp;'Output annual'!$AD$2&amp;"*Zone People Number Of Occupants [](Hourly)",'Eplus results'!$1:$1048576,ROW(),FALSE)</f>
        <v>0</v>
      </c>
      <c r="AC3315" s="580">
        <f>HLOOKUP("*"&amp;'Output annual'!$AC$2&amp;'Output annual'!$AD$2&amp;"*FangerPMV(Hourly)",'Eplus results'!$1:$1048576,ROW(),FALSE)</f>
        <v>0</v>
      </c>
      <c r="AD3315" s="580">
        <f t="shared" si="291"/>
        <v>5</v>
      </c>
      <c r="AE3315" s="580">
        <f t="shared" si="292"/>
        <v>2.5</v>
      </c>
      <c r="AF3315" s="580">
        <f t="shared" si="293"/>
        <v>2.5</v>
      </c>
      <c r="AG3315" s="580">
        <f t="shared" si="294"/>
        <v>0</v>
      </c>
      <c r="AH3315" s="580">
        <f t="shared" si="295"/>
        <v>0</v>
      </c>
    </row>
    <row r="3316" spans="28:34">
      <c r="AB3316" s="580">
        <f>HLOOKUP("*"&amp;'Output annual'!$AC$2&amp;'Output annual'!$AD$2&amp;"*Zone People Number Of Occupants [](Hourly)",'Eplus results'!$1:$1048576,ROW(),FALSE)</f>
        <v>0</v>
      </c>
      <c r="AC3316" s="580">
        <f>HLOOKUP("*"&amp;'Output annual'!$AC$2&amp;'Output annual'!$AD$2&amp;"*FangerPMV(Hourly)",'Eplus results'!$1:$1048576,ROW(),FALSE)</f>
        <v>0</v>
      </c>
      <c r="AD3316" s="580">
        <f t="shared" si="291"/>
        <v>5</v>
      </c>
      <c r="AE3316" s="580">
        <f t="shared" si="292"/>
        <v>2.5</v>
      </c>
      <c r="AF3316" s="580">
        <f t="shared" si="293"/>
        <v>2.5</v>
      </c>
      <c r="AG3316" s="580">
        <f t="shared" si="294"/>
        <v>0</v>
      </c>
      <c r="AH3316" s="580">
        <f t="shared" si="295"/>
        <v>0</v>
      </c>
    </row>
    <row r="3317" spans="28:34">
      <c r="AB3317" s="580">
        <f>HLOOKUP("*"&amp;'Output annual'!$AC$2&amp;'Output annual'!$AD$2&amp;"*Zone People Number Of Occupants [](Hourly)",'Eplus results'!$1:$1048576,ROW(),FALSE)</f>
        <v>0</v>
      </c>
      <c r="AC3317" s="580">
        <f>HLOOKUP("*"&amp;'Output annual'!$AC$2&amp;'Output annual'!$AD$2&amp;"*FangerPMV(Hourly)",'Eplus results'!$1:$1048576,ROW(),FALSE)</f>
        <v>0</v>
      </c>
      <c r="AD3317" s="580">
        <f t="shared" si="291"/>
        <v>5</v>
      </c>
      <c r="AE3317" s="580">
        <f t="shared" si="292"/>
        <v>2.5</v>
      </c>
      <c r="AF3317" s="580">
        <f t="shared" si="293"/>
        <v>2.5</v>
      </c>
      <c r="AG3317" s="580">
        <f t="shared" si="294"/>
        <v>0</v>
      </c>
      <c r="AH3317" s="580">
        <f t="shared" si="295"/>
        <v>0</v>
      </c>
    </row>
    <row r="3318" spans="28:34">
      <c r="AB3318" s="580">
        <f>HLOOKUP("*"&amp;'Output annual'!$AC$2&amp;'Output annual'!$AD$2&amp;"*Zone People Number Of Occupants [](Hourly)",'Eplus results'!$1:$1048576,ROW(),FALSE)</f>
        <v>0</v>
      </c>
      <c r="AC3318" s="580">
        <f>HLOOKUP("*"&amp;'Output annual'!$AC$2&amp;'Output annual'!$AD$2&amp;"*FangerPMV(Hourly)",'Eplus results'!$1:$1048576,ROW(),FALSE)</f>
        <v>0</v>
      </c>
      <c r="AD3318" s="580">
        <f t="shared" si="291"/>
        <v>5</v>
      </c>
      <c r="AE3318" s="580">
        <f t="shared" si="292"/>
        <v>2.5</v>
      </c>
      <c r="AF3318" s="580">
        <f t="shared" si="293"/>
        <v>2.5</v>
      </c>
      <c r="AG3318" s="580">
        <f t="shared" si="294"/>
        <v>0</v>
      </c>
      <c r="AH3318" s="580">
        <f t="shared" si="295"/>
        <v>0</v>
      </c>
    </row>
    <row r="3319" spans="28:34">
      <c r="AB3319" s="580">
        <f>HLOOKUP("*"&amp;'Output annual'!$AC$2&amp;'Output annual'!$AD$2&amp;"*Zone People Number Of Occupants [](Hourly)",'Eplus results'!$1:$1048576,ROW(),FALSE)</f>
        <v>0</v>
      </c>
      <c r="AC3319" s="580">
        <f>HLOOKUP("*"&amp;'Output annual'!$AC$2&amp;'Output annual'!$AD$2&amp;"*FangerPMV(Hourly)",'Eplus results'!$1:$1048576,ROW(),FALSE)</f>
        <v>0</v>
      </c>
      <c r="AD3319" s="580">
        <f t="shared" si="291"/>
        <v>5</v>
      </c>
      <c r="AE3319" s="580">
        <f t="shared" si="292"/>
        <v>2.5</v>
      </c>
      <c r="AF3319" s="580">
        <f t="shared" si="293"/>
        <v>2.5</v>
      </c>
      <c r="AG3319" s="580">
        <f t="shared" si="294"/>
        <v>0</v>
      </c>
      <c r="AH3319" s="580">
        <f t="shared" si="295"/>
        <v>0</v>
      </c>
    </row>
    <row r="3320" spans="28:34">
      <c r="AB3320" s="580">
        <f>HLOOKUP("*"&amp;'Output annual'!$AC$2&amp;'Output annual'!$AD$2&amp;"*Zone People Number Of Occupants [](Hourly)",'Eplus results'!$1:$1048576,ROW(),FALSE)</f>
        <v>0</v>
      </c>
      <c r="AC3320" s="580">
        <f>HLOOKUP("*"&amp;'Output annual'!$AC$2&amp;'Output annual'!$AD$2&amp;"*FangerPMV(Hourly)",'Eplus results'!$1:$1048576,ROW(),FALSE)</f>
        <v>0</v>
      </c>
      <c r="AD3320" s="580">
        <f t="shared" si="291"/>
        <v>5</v>
      </c>
      <c r="AE3320" s="580">
        <f t="shared" si="292"/>
        <v>2.5</v>
      </c>
      <c r="AF3320" s="580">
        <f t="shared" si="293"/>
        <v>2.5</v>
      </c>
      <c r="AG3320" s="580">
        <f t="shared" si="294"/>
        <v>0</v>
      </c>
      <c r="AH3320" s="580">
        <f t="shared" si="295"/>
        <v>0</v>
      </c>
    </row>
    <row r="3321" spans="28:34">
      <c r="AB3321" s="580">
        <f>HLOOKUP("*"&amp;'Output annual'!$AC$2&amp;'Output annual'!$AD$2&amp;"*Zone People Number Of Occupants [](Hourly)",'Eplus results'!$1:$1048576,ROW(),FALSE)</f>
        <v>0</v>
      </c>
      <c r="AC3321" s="580">
        <f>HLOOKUP("*"&amp;'Output annual'!$AC$2&amp;'Output annual'!$AD$2&amp;"*FangerPMV(Hourly)",'Eplus results'!$1:$1048576,ROW(),FALSE)</f>
        <v>0</v>
      </c>
      <c r="AD3321" s="580">
        <f t="shared" si="291"/>
        <v>5</v>
      </c>
      <c r="AE3321" s="580">
        <f t="shared" si="292"/>
        <v>2.5</v>
      </c>
      <c r="AF3321" s="580">
        <f t="shared" si="293"/>
        <v>2.5</v>
      </c>
      <c r="AG3321" s="580">
        <f t="shared" si="294"/>
        <v>0</v>
      </c>
      <c r="AH3321" s="580">
        <f t="shared" si="295"/>
        <v>0</v>
      </c>
    </row>
    <row r="3322" spans="28:34">
      <c r="AB3322" s="580">
        <f>HLOOKUP("*"&amp;'Output annual'!$AC$2&amp;'Output annual'!$AD$2&amp;"*Zone People Number Of Occupants [](Hourly)",'Eplus results'!$1:$1048576,ROW(),FALSE)</f>
        <v>0</v>
      </c>
      <c r="AC3322" s="580">
        <f>HLOOKUP("*"&amp;'Output annual'!$AC$2&amp;'Output annual'!$AD$2&amp;"*FangerPMV(Hourly)",'Eplus results'!$1:$1048576,ROW(),FALSE)</f>
        <v>0</v>
      </c>
      <c r="AD3322" s="580">
        <f t="shared" si="291"/>
        <v>5</v>
      </c>
      <c r="AE3322" s="580">
        <f t="shared" si="292"/>
        <v>2.5</v>
      </c>
      <c r="AF3322" s="580">
        <f t="shared" si="293"/>
        <v>2.5</v>
      </c>
      <c r="AG3322" s="580">
        <f t="shared" si="294"/>
        <v>0</v>
      </c>
      <c r="AH3322" s="580">
        <f t="shared" si="295"/>
        <v>0</v>
      </c>
    </row>
    <row r="3323" spans="28:34">
      <c r="AB3323" s="580">
        <f>HLOOKUP("*"&amp;'Output annual'!$AC$2&amp;'Output annual'!$AD$2&amp;"*Zone People Number Of Occupants [](Hourly)",'Eplus results'!$1:$1048576,ROW(),FALSE)</f>
        <v>0</v>
      </c>
      <c r="AC3323" s="580">
        <f>HLOOKUP("*"&amp;'Output annual'!$AC$2&amp;'Output annual'!$AD$2&amp;"*FangerPMV(Hourly)",'Eplus results'!$1:$1048576,ROW(),FALSE)</f>
        <v>0</v>
      </c>
      <c r="AD3323" s="580">
        <f t="shared" si="291"/>
        <v>5</v>
      </c>
      <c r="AE3323" s="580">
        <f t="shared" si="292"/>
        <v>2.5</v>
      </c>
      <c r="AF3323" s="580">
        <f t="shared" si="293"/>
        <v>2.5</v>
      </c>
      <c r="AG3323" s="580">
        <f t="shared" si="294"/>
        <v>0</v>
      </c>
      <c r="AH3323" s="580">
        <f t="shared" si="295"/>
        <v>0</v>
      </c>
    </row>
    <row r="3324" spans="28:34">
      <c r="AB3324" s="580">
        <f>HLOOKUP("*"&amp;'Output annual'!$AC$2&amp;'Output annual'!$AD$2&amp;"*Zone People Number Of Occupants [](Hourly)",'Eplus results'!$1:$1048576,ROW(),FALSE)</f>
        <v>0</v>
      </c>
      <c r="AC3324" s="580">
        <f>HLOOKUP("*"&amp;'Output annual'!$AC$2&amp;'Output annual'!$AD$2&amp;"*FangerPMV(Hourly)",'Eplus results'!$1:$1048576,ROW(),FALSE)</f>
        <v>0</v>
      </c>
      <c r="AD3324" s="580">
        <f t="shared" si="291"/>
        <v>5</v>
      </c>
      <c r="AE3324" s="580">
        <f t="shared" si="292"/>
        <v>2.5</v>
      </c>
      <c r="AF3324" s="580">
        <f t="shared" si="293"/>
        <v>2.5</v>
      </c>
      <c r="AG3324" s="580">
        <f t="shared" si="294"/>
        <v>0</v>
      </c>
      <c r="AH3324" s="580">
        <f t="shared" si="295"/>
        <v>0</v>
      </c>
    </row>
    <row r="3325" spans="28:34">
      <c r="AB3325" s="580">
        <f>HLOOKUP("*"&amp;'Output annual'!$AC$2&amp;'Output annual'!$AD$2&amp;"*Zone People Number Of Occupants [](Hourly)",'Eplus results'!$1:$1048576,ROW(),FALSE)</f>
        <v>0</v>
      </c>
      <c r="AC3325" s="580">
        <f>HLOOKUP("*"&amp;'Output annual'!$AC$2&amp;'Output annual'!$AD$2&amp;"*FangerPMV(Hourly)",'Eplus results'!$1:$1048576,ROW(),FALSE)</f>
        <v>0</v>
      </c>
      <c r="AD3325" s="580">
        <f t="shared" si="291"/>
        <v>5</v>
      </c>
      <c r="AE3325" s="580">
        <f t="shared" si="292"/>
        <v>2.5</v>
      </c>
      <c r="AF3325" s="580">
        <f t="shared" si="293"/>
        <v>2.5</v>
      </c>
      <c r="AG3325" s="580">
        <f t="shared" si="294"/>
        <v>0</v>
      </c>
      <c r="AH3325" s="580">
        <f t="shared" si="295"/>
        <v>0</v>
      </c>
    </row>
    <row r="3326" spans="28:34">
      <c r="AB3326" s="580">
        <f>HLOOKUP("*"&amp;'Output annual'!$AC$2&amp;'Output annual'!$AD$2&amp;"*Zone People Number Of Occupants [](Hourly)",'Eplus results'!$1:$1048576,ROW(),FALSE)</f>
        <v>0</v>
      </c>
      <c r="AC3326" s="580">
        <f>HLOOKUP("*"&amp;'Output annual'!$AC$2&amp;'Output annual'!$AD$2&amp;"*FangerPMV(Hourly)",'Eplus results'!$1:$1048576,ROW(),FALSE)</f>
        <v>0</v>
      </c>
      <c r="AD3326" s="580">
        <f t="shared" si="291"/>
        <v>5</v>
      </c>
      <c r="AE3326" s="580">
        <f t="shared" si="292"/>
        <v>2.5</v>
      </c>
      <c r="AF3326" s="580">
        <f t="shared" si="293"/>
        <v>2.5</v>
      </c>
      <c r="AG3326" s="580">
        <f t="shared" si="294"/>
        <v>0</v>
      </c>
      <c r="AH3326" s="580">
        <f t="shared" si="295"/>
        <v>0</v>
      </c>
    </row>
    <row r="3327" spans="28:34">
      <c r="AB3327" s="580">
        <f>HLOOKUP("*"&amp;'Output annual'!$AC$2&amp;'Output annual'!$AD$2&amp;"*Zone People Number Of Occupants [](Hourly)",'Eplus results'!$1:$1048576,ROW(),FALSE)</f>
        <v>0</v>
      </c>
      <c r="AC3327" s="580">
        <f>HLOOKUP("*"&amp;'Output annual'!$AC$2&amp;'Output annual'!$AD$2&amp;"*FangerPMV(Hourly)",'Eplus results'!$1:$1048576,ROW(),FALSE)</f>
        <v>0</v>
      </c>
      <c r="AD3327" s="580">
        <f t="shared" si="291"/>
        <v>5</v>
      </c>
      <c r="AE3327" s="580">
        <f t="shared" si="292"/>
        <v>2.5</v>
      </c>
      <c r="AF3327" s="580">
        <f t="shared" si="293"/>
        <v>2.5</v>
      </c>
      <c r="AG3327" s="580">
        <f t="shared" si="294"/>
        <v>0</v>
      </c>
      <c r="AH3327" s="580">
        <f t="shared" si="295"/>
        <v>0</v>
      </c>
    </row>
    <row r="3328" spans="28:34">
      <c r="AB3328" s="580">
        <f>HLOOKUP("*"&amp;'Output annual'!$AC$2&amp;'Output annual'!$AD$2&amp;"*Zone People Number Of Occupants [](Hourly)",'Eplus results'!$1:$1048576,ROW(),FALSE)</f>
        <v>0</v>
      </c>
      <c r="AC3328" s="580">
        <f>HLOOKUP("*"&amp;'Output annual'!$AC$2&amp;'Output annual'!$AD$2&amp;"*FangerPMV(Hourly)",'Eplus results'!$1:$1048576,ROW(),FALSE)</f>
        <v>0</v>
      </c>
      <c r="AD3328" s="580">
        <f t="shared" si="291"/>
        <v>5</v>
      </c>
      <c r="AE3328" s="580">
        <f t="shared" si="292"/>
        <v>2.5</v>
      </c>
      <c r="AF3328" s="580">
        <f t="shared" si="293"/>
        <v>2.5</v>
      </c>
      <c r="AG3328" s="580">
        <f t="shared" si="294"/>
        <v>0</v>
      </c>
      <c r="AH3328" s="580">
        <f t="shared" si="295"/>
        <v>0</v>
      </c>
    </row>
    <row r="3329" spans="28:34">
      <c r="AB3329" s="580">
        <f>HLOOKUP("*"&amp;'Output annual'!$AC$2&amp;'Output annual'!$AD$2&amp;"*Zone People Number Of Occupants [](Hourly)",'Eplus results'!$1:$1048576,ROW(),FALSE)</f>
        <v>0</v>
      </c>
      <c r="AC3329" s="580">
        <f>HLOOKUP("*"&amp;'Output annual'!$AC$2&amp;'Output annual'!$AD$2&amp;"*FangerPMV(Hourly)",'Eplus results'!$1:$1048576,ROW(),FALSE)</f>
        <v>0</v>
      </c>
      <c r="AD3329" s="580">
        <f t="shared" si="291"/>
        <v>5</v>
      </c>
      <c r="AE3329" s="580">
        <f t="shared" si="292"/>
        <v>2.5</v>
      </c>
      <c r="AF3329" s="580">
        <f t="shared" si="293"/>
        <v>2.5</v>
      </c>
      <c r="AG3329" s="580">
        <f t="shared" si="294"/>
        <v>0</v>
      </c>
      <c r="AH3329" s="580">
        <f t="shared" si="295"/>
        <v>0</v>
      </c>
    </row>
    <row r="3330" spans="28:34">
      <c r="AB3330" s="580">
        <f>HLOOKUP("*"&amp;'Output annual'!$AC$2&amp;'Output annual'!$AD$2&amp;"*Zone People Number Of Occupants [](Hourly)",'Eplus results'!$1:$1048576,ROW(),FALSE)</f>
        <v>0</v>
      </c>
      <c r="AC3330" s="580">
        <f>HLOOKUP("*"&amp;'Output annual'!$AC$2&amp;'Output annual'!$AD$2&amp;"*FangerPMV(Hourly)",'Eplus results'!$1:$1048576,ROW(),FALSE)</f>
        <v>0</v>
      </c>
      <c r="AD3330" s="580">
        <f t="shared" si="291"/>
        <v>5</v>
      </c>
      <c r="AE3330" s="580">
        <f t="shared" si="292"/>
        <v>2.5</v>
      </c>
      <c r="AF3330" s="580">
        <f t="shared" si="293"/>
        <v>2.5</v>
      </c>
      <c r="AG3330" s="580">
        <f t="shared" si="294"/>
        <v>0</v>
      </c>
      <c r="AH3330" s="580">
        <f t="shared" si="295"/>
        <v>0</v>
      </c>
    </row>
    <row r="3331" spans="28:34">
      <c r="AB3331" s="580">
        <f>HLOOKUP("*"&amp;'Output annual'!$AC$2&amp;'Output annual'!$AD$2&amp;"*Zone People Number Of Occupants [](Hourly)",'Eplus results'!$1:$1048576,ROW(),FALSE)</f>
        <v>0</v>
      </c>
      <c r="AC3331" s="580">
        <f>HLOOKUP("*"&amp;'Output annual'!$AC$2&amp;'Output annual'!$AD$2&amp;"*FangerPMV(Hourly)",'Eplus results'!$1:$1048576,ROW(),FALSE)</f>
        <v>0</v>
      </c>
      <c r="AD3331" s="580">
        <f t="shared" ref="AD3331:AD3394" si="296">100-95*EXP(-0.03353*AC3331^4-0.2179*AC3331^2)</f>
        <v>5</v>
      </c>
      <c r="AE3331" s="580">
        <f t="shared" ref="AE3331:AE3394" si="297">AD3331*(1/(1+EXP(-6.3*$AC3331)))</f>
        <v>2.5</v>
      </c>
      <c r="AF3331" s="580">
        <f t="shared" ref="AF3331:AF3394" si="298">(AD3331-AE3331)</f>
        <v>2.5</v>
      </c>
      <c r="AG3331" s="580">
        <f t="shared" ref="AG3331:AG3394" si="299">AE3331*AB3331</f>
        <v>0</v>
      </c>
      <c r="AH3331" s="580">
        <f t="shared" ref="AH3331:AH3394" si="300">AF3331*AB3331</f>
        <v>0</v>
      </c>
    </row>
    <row r="3332" spans="28:34">
      <c r="AB3332" s="580">
        <f>HLOOKUP("*"&amp;'Output annual'!$AC$2&amp;'Output annual'!$AD$2&amp;"*Zone People Number Of Occupants [](Hourly)",'Eplus results'!$1:$1048576,ROW(),FALSE)</f>
        <v>0</v>
      </c>
      <c r="AC3332" s="580">
        <f>HLOOKUP("*"&amp;'Output annual'!$AC$2&amp;'Output annual'!$AD$2&amp;"*FangerPMV(Hourly)",'Eplus results'!$1:$1048576,ROW(),FALSE)</f>
        <v>0</v>
      </c>
      <c r="AD3332" s="580">
        <f t="shared" si="296"/>
        <v>5</v>
      </c>
      <c r="AE3332" s="580">
        <f t="shared" si="297"/>
        <v>2.5</v>
      </c>
      <c r="AF3332" s="580">
        <f t="shared" si="298"/>
        <v>2.5</v>
      </c>
      <c r="AG3332" s="580">
        <f t="shared" si="299"/>
        <v>0</v>
      </c>
      <c r="AH3332" s="580">
        <f t="shared" si="300"/>
        <v>0</v>
      </c>
    </row>
    <row r="3333" spans="28:34">
      <c r="AB3333" s="580">
        <f>HLOOKUP("*"&amp;'Output annual'!$AC$2&amp;'Output annual'!$AD$2&amp;"*Zone People Number Of Occupants [](Hourly)",'Eplus results'!$1:$1048576,ROW(),FALSE)</f>
        <v>0</v>
      </c>
      <c r="AC3333" s="580">
        <f>HLOOKUP("*"&amp;'Output annual'!$AC$2&amp;'Output annual'!$AD$2&amp;"*FangerPMV(Hourly)",'Eplus results'!$1:$1048576,ROW(),FALSE)</f>
        <v>0</v>
      </c>
      <c r="AD3333" s="580">
        <f t="shared" si="296"/>
        <v>5</v>
      </c>
      <c r="AE3333" s="580">
        <f t="shared" si="297"/>
        <v>2.5</v>
      </c>
      <c r="AF3333" s="580">
        <f t="shared" si="298"/>
        <v>2.5</v>
      </c>
      <c r="AG3333" s="580">
        <f t="shared" si="299"/>
        <v>0</v>
      </c>
      <c r="AH3333" s="580">
        <f t="shared" si="300"/>
        <v>0</v>
      </c>
    </row>
    <row r="3334" spans="28:34">
      <c r="AB3334" s="580">
        <f>HLOOKUP("*"&amp;'Output annual'!$AC$2&amp;'Output annual'!$AD$2&amp;"*Zone People Number Of Occupants [](Hourly)",'Eplus results'!$1:$1048576,ROW(),FALSE)</f>
        <v>0</v>
      </c>
      <c r="AC3334" s="580">
        <f>HLOOKUP("*"&amp;'Output annual'!$AC$2&amp;'Output annual'!$AD$2&amp;"*FangerPMV(Hourly)",'Eplus results'!$1:$1048576,ROW(),FALSE)</f>
        <v>0</v>
      </c>
      <c r="AD3334" s="580">
        <f t="shared" si="296"/>
        <v>5</v>
      </c>
      <c r="AE3334" s="580">
        <f t="shared" si="297"/>
        <v>2.5</v>
      </c>
      <c r="AF3334" s="580">
        <f t="shared" si="298"/>
        <v>2.5</v>
      </c>
      <c r="AG3334" s="580">
        <f t="shared" si="299"/>
        <v>0</v>
      </c>
      <c r="AH3334" s="580">
        <f t="shared" si="300"/>
        <v>0</v>
      </c>
    </row>
    <row r="3335" spans="28:34">
      <c r="AB3335" s="580">
        <f>HLOOKUP("*"&amp;'Output annual'!$AC$2&amp;'Output annual'!$AD$2&amp;"*Zone People Number Of Occupants [](Hourly)",'Eplus results'!$1:$1048576,ROW(),FALSE)</f>
        <v>0</v>
      </c>
      <c r="AC3335" s="580">
        <f>HLOOKUP("*"&amp;'Output annual'!$AC$2&amp;'Output annual'!$AD$2&amp;"*FangerPMV(Hourly)",'Eplus results'!$1:$1048576,ROW(),FALSE)</f>
        <v>0</v>
      </c>
      <c r="AD3335" s="580">
        <f t="shared" si="296"/>
        <v>5</v>
      </c>
      <c r="AE3335" s="580">
        <f t="shared" si="297"/>
        <v>2.5</v>
      </c>
      <c r="AF3335" s="580">
        <f t="shared" si="298"/>
        <v>2.5</v>
      </c>
      <c r="AG3335" s="580">
        <f t="shared" si="299"/>
        <v>0</v>
      </c>
      <c r="AH3335" s="580">
        <f t="shared" si="300"/>
        <v>0</v>
      </c>
    </row>
    <row r="3336" spans="28:34">
      <c r="AB3336" s="580">
        <f>HLOOKUP("*"&amp;'Output annual'!$AC$2&amp;'Output annual'!$AD$2&amp;"*Zone People Number Of Occupants [](Hourly)",'Eplus results'!$1:$1048576,ROW(),FALSE)</f>
        <v>0</v>
      </c>
      <c r="AC3336" s="580">
        <f>HLOOKUP("*"&amp;'Output annual'!$AC$2&amp;'Output annual'!$AD$2&amp;"*FangerPMV(Hourly)",'Eplus results'!$1:$1048576,ROW(),FALSE)</f>
        <v>0</v>
      </c>
      <c r="AD3336" s="580">
        <f t="shared" si="296"/>
        <v>5</v>
      </c>
      <c r="AE3336" s="580">
        <f t="shared" si="297"/>
        <v>2.5</v>
      </c>
      <c r="AF3336" s="580">
        <f t="shared" si="298"/>
        <v>2.5</v>
      </c>
      <c r="AG3336" s="580">
        <f t="shared" si="299"/>
        <v>0</v>
      </c>
      <c r="AH3336" s="580">
        <f t="shared" si="300"/>
        <v>0</v>
      </c>
    </row>
    <row r="3337" spans="28:34">
      <c r="AB3337" s="580">
        <f>HLOOKUP("*"&amp;'Output annual'!$AC$2&amp;'Output annual'!$AD$2&amp;"*Zone People Number Of Occupants [](Hourly)",'Eplus results'!$1:$1048576,ROW(),FALSE)</f>
        <v>0</v>
      </c>
      <c r="AC3337" s="580">
        <f>HLOOKUP("*"&amp;'Output annual'!$AC$2&amp;'Output annual'!$AD$2&amp;"*FangerPMV(Hourly)",'Eplus results'!$1:$1048576,ROW(),FALSE)</f>
        <v>0</v>
      </c>
      <c r="AD3337" s="580">
        <f t="shared" si="296"/>
        <v>5</v>
      </c>
      <c r="AE3337" s="580">
        <f t="shared" si="297"/>
        <v>2.5</v>
      </c>
      <c r="AF3337" s="580">
        <f t="shared" si="298"/>
        <v>2.5</v>
      </c>
      <c r="AG3337" s="580">
        <f t="shared" si="299"/>
        <v>0</v>
      </c>
      <c r="AH3337" s="580">
        <f t="shared" si="300"/>
        <v>0</v>
      </c>
    </row>
    <row r="3338" spans="28:34">
      <c r="AB3338" s="580">
        <f>HLOOKUP("*"&amp;'Output annual'!$AC$2&amp;'Output annual'!$AD$2&amp;"*Zone People Number Of Occupants [](Hourly)",'Eplus results'!$1:$1048576,ROW(),FALSE)</f>
        <v>0</v>
      </c>
      <c r="AC3338" s="580">
        <f>HLOOKUP("*"&amp;'Output annual'!$AC$2&amp;'Output annual'!$AD$2&amp;"*FangerPMV(Hourly)",'Eplus results'!$1:$1048576,ROW(),FALSE)</f>
        <v>0</v>
      </c>
      <c r="AD3338" s="580">
        <f t="shared" si="296"/>
        <v>5</v>
      </c>
      <c r="AE3338" s="580">
        <f t="shared" si="297"/>
        <v>2.5</v>
      </c>
      <c r="AF3338" s="580">
        <f t="shared" si="298"/>
        <v>2.5</v>
      </c>
      <c r="AG3338" s="580">
        <f t="shared" si="299"/>
        <v>0</v>
      </c>
      <c r="AH3338" s="580">
        <f t="shared" si="300"/>
        <v>0</v>
      </c>
    </row>
    <row r="3339" spans="28:34">
      <c r="AB3339" s="580">
        <f>HLOOKUP("*"&amp;'Output annual'!$AC$2&amp;'Output annual'!$AD$2&amp;"*Zone People Number Of Occupants [](Hourly)",'Eplus results'!$1:$1048576,ROW(),FALSE)</f>
        <v>0</v>
      </c>
      <c r="AC3339" s="580">
        <f>HLOOKUP("*"&amp;'Output annual'!$AC$2&amp;'Output annual'!$AD$2&amp;"*FangerPMV(Hourly)",'Eplus results'!$1:$1048576,ROW(),FALSE)</f>
        <v>0</v>
      </c>
      <c r="AD3339" s="580">
        <f t="shared" si="296"/>
        <v>5</v>
      </c>
      <c r="AE3339" s="580">
        <f t="shared" si="297"/>
        <v>2.5</v>
      </c>
      <c r="AF3339" s="580">
        <f t="shared" si="298"/>
        <v>2.5</v>
      </c>
      <c r="AG3339" s="580">
        <f t="shared" si="299"/>
        <v>0</v>
      </c>
      <c r="AH3339" s="580">
        <f t="shared" si="300"/>
        <v>0</v>
      </c>
    </row>
    <row r="3340" spans="28:34">
      <c r="AB3340" s="580">
        <f>HLOOKUP("*"&amp;'Output annual'!$AC$2&amp;'Output annual'!$AD$2&amp;"*Zone People Number Of Occupants [](Hourly)",'Eplus results'!$1:$1048576,ROW(),FALSE)</f>
        <v>0</v>
      </c>
      <c r="AC3340" s="580">
        <f>HLOOKUP("*"&amp;'Output annual'!$AC$2&amp;'Output annual'!$AD$2&amp;"*FangerPMV(Hourly)",'Eplus results'!$1:$1048576,ROW(),FALSE)</f>
        <v>0</v>
      </c>
      <c r="AD3340" s="580">
        <f t="shared" si="296"/>
        <v>5</v>
      </c>
      <c r="AE3340" s="580">
        <f t="shared" si="297"/>
        <v>2.5</v>
      </c>
      <c r="AF3340" s="580">
        <f t="shared" si="298"/>
        <v>2.5</v>
      </c>
      <c r="AG3340" s="580">
        <f t="shared" si="299"/>
        <v>0</v>
      </c>
      <c r="AH3340" s="580">
        <f t="shared" si="300"/>
        <v>0</v>
      </c>
    </row>
    <row r="3341" spans="28:34">
      <c r="AB3341" s="580">
        <f>HLOOKUP("*"&amp;'Output annual'!$AC$2&amp;'Output annual'!$AD$2&amp;"*Zone People Number Of Occupants [](Hourly)",'Eplus results'!$1:$1048576,ROW(),FALSE)</f>
        <v>0</v>
      </c>
      <c r="AC3341" s="580">
        <f>HLOOKUP("*"&amp;'Output annual'!$AC$2&amp;'Output annual'!$AD$2&amp;"*FangerPMV(Hourly)",'Eplus results'!$1:$1048576,ROW(),FALSE)</f>
        <v>0</v>
      </c>
      <c r="AD3341" s="580">
        <f t="shared" si="296"/>
        <v>5</v>
      </c>
      <c r="AE3341" s="580">
        <f t="shared" si="297"/>
        <v>2.5</v>
      </c>
      <c r="AF3341" s="580">
        <f t="shared" si="298"/>
        <v>2.5</v>
      </c>
      <c r="AG3341" s="580">
        <f t="shared" si="299"/>
        <v>0</v>
      </c>
      <c r="AH3341" s="580">
        <f t="shared" si="300"/>
        <v>0</v>
      </c>
    </row>
    <row r="3342" spans="28:34">
      <c r="AB3342" s="580">
        <f>HLOOKUP("*"&amp;'Output annual'!$AC$2&amp;'Output annual'!$AD$2&amp;"*Zone People Number Of Occupants [](Hourly)",'Eplus results'!$1:$1048576,ROW(),FALSE)</f>
        <v>0</v>
      </c>
      <c r="AC3342" s="580">
        <f>HLOOKUP("*"&amp;'Output annual'!$AC$2&amp;'Output annual'!$AD$2&amp;"*FangerPMV(Hourly)",'Eplus results'!$1:$1048576,ROW(),FALSE)</f>
        <v>0</v>
      </c>
      <c r="AD3342" s="580">
        <f t="shared" si="296"/>
        <v>5</v>
      </c>
      <c r="AE3342" s="580">
        <f t="shared" si="297"/>
        <v>2.5</v>
      </c>
      <c r="AF3342" s="580">
        <f t="shared" si="298"/>
        <v>2.5</v>
      </c>
      <c r="AG3342" s="580">
        <f t="shared" si="299"/>
        <v>0</v>
      </c>
      <c r="AH3342" s="580">
        <f t="shared" si="300"/>
        <v>0</v>
      </c>
    </row>
    <row r="3343" spans="28:34">
      <c r="AB3343" s="580">
        <f>HLOOKUP("*"&amp;'Output annual'!$AC$2&amp;'Output annual'!$AD$2&amp;"*Zone People Number Of Occupants [](Hourly)",'Eplus results'!$1:$1048576,ROW(),FALSE)</f>
        <v>0</v>
      </c>
      <c r="AC3343" s="580">
        <f>HLOOKUP("*"&amp;'Output annual'!$AC$2&amp;'Output annual'!$AD$2&amp;"*FangerPMV(Hourly)",'Eplus results'!$1:$1048576,ROW(),FALSE)</f>
        <v>0</v>
      </c>
      <c r="AD3343" s="580">
        <f t="shared" si="296"/>
        <v>5</v>
      </c>
      <c r="AE3343" s="580">
        <f t="shared" si="297"/>
        <v>2.5</v>
      </c>
      <c r="AF3343" s="580">
        <f t="shared" si="298"/>
        <v>2.5</v>
      </c>
      <c r="AG3343" s="580">
        <f t="shared" si="299"/>
        <v>0</v>
      </c>
      <c r="AH3343" s="580">
        <f t="shared" si="300"/>
        <v>0</v>
      </c>
    </row>
    <row r="3344" spans="28:34">
      <c r="AB3344" s="580">
        <f>HLOOKUP("*"&amp;'Output annual'!$AC$2&amp;'Output annual'!$AD$2&amp;"*Zone People Number Of Occupants [](Hourly)",'Eplus results'!$1:$1048576,ROW(),FALSE)</f>
        <v>0</v>
      </c>
      <c r="AC3344" s="580">
        <f>HLOOKUP("*"&amp;'Output annual'!$AC$2&amp;'Output annual'!$AD$2&amp;"*FangerPMV(Hourly)",'Eplus results'!$1:$1048576,ROW(),FALSE)</f>
        <v>0</v>
      </c>
      <c r="AD3344" s="580">
        <f t="shared" si="296"/>
        <v>5</v>
      </c>
      <c r="AE3344" s="580">
        <f t="shared" si="297"/>
        <v>2.5</v>
      </c>
      <c r="AF3344" s="580">
        <f t="shared" si="298"/>
        <v>2.5</v>
      </c>
      <c r="AG3344" s="580">
        <f t="shared" si="299"/>
        <v>0</v>
      </c>
      <c r="AH3344" s="580">
        <f t="shared" si="300"/>
        <v>0</v>
      </c>
    </row>
    <row r="3345" spans="28:34">
      <c r="AB3345" s="580">
        <f>HLOOKUP("*"&amp;'Output annual'!$AC$2&amp;'Output annual'!$AD$2&amp;"*Zone People Number Of Occupants [](Hourly)",'Eplus results'!$1:$1048576,ROW(),FALSE)</f>
        <v>0</v>
      </c>
      <c r="AC3345" s="580">
        <f>HLOOKUP("*"&amp;'Output annual'!$AC$2&amp;'Output annual'!$AD$2&amp;"*FangerPMV(Hourly)",'Eplus results'!$1:$1048576,ROW(),FALSE)</f>
        <v>0</v>
      </c>
      <c r="AD3345" s="580">
        <f t="shared" si="296"/>
        <v>5</v>
      </c>
      <c r="AE3345" s="580">
        <f t="shared" si="297"/>
        <v>2.5</v>
      </c>
      <c r="AF3345" s="580">
        <f t="shared" si="298"/>
        <v>2.5</v>
      </c>
      <c r="AG3345" s="580">
        <f t="shared" si="299"/>
        <v>0</v>
      </c>
      <c r="AH3345" s="580">
        <f t="shared" si="300"/>
        <v>0</v>
      </c>
    </row>
    <row r="3346" spans="28:34">
      <c r="AB3346" s="580">
        <f>HLOOKUP("*"&amp;'Output annual'!$AC$2&amp;'Output annual'!$AD$2&amp;"*Zone People Number Of Occupants [](Hourly)",'Eplus results'!$1:$1048576,ROW(),FALSE)</f>
        <v>0</v>
      </c>
      <c r="AC3346" s="580">
        <f>HLOOKUP("*"&amp;'Output annual'!$AC$2&amp;'Output annual'!$AD$2&amp;"*FangerPMV(Hourly)",'Eplus results'!$1:$1048576,ROW(),FALSE)</f>
        <v>0</v>
      </c>
      <c r="AD3346" s="580">
        <f t="shared" si="296"/>
        <v>5</v>
      </c>
      <c r="AE3346" s="580">
        <f t="shared" si="297"/>
        <v>2.5</v>
      </c>
      <c r="AF3346" s="580">
        <f t="shared" si="298"/>
        <v>2.5</v>
      </c>
      <c r="AG3346" s="580">
        <f t="shared" si="299"/>
        <v>0</v>
      </c>
      <c r="AH3346" s="580">
        <f t="shared" si="300"/>
        <v>0</v>
      </c>
    </row>
    <row r="3347" spans="28:34">
      <c r="AB3347" s="580">
        <f>HLOOKUP("*"&amp;'Output annual'!$AC$2&amp;'Output annual'!$AD$2&amp;"*Zone People Number Of Occupants [](Hourly)",'Eplus results'!$1:$1048576,ROW(),FALSE)</f>
        <v>0</v>
      </c>
      <c r="AC3347" s="580">
        <f>HLOOKUP("*"&amp;'Output annual'!$AC$2&amp;'Output annual'!$AD$2&amp;"*FangerPMV(Hourly)",'Eplus results'!$1:$1048576,ROW(),FALSE)</f>
        <v>0</v>
      </c>
      <c r="AD3347" s="580">
        <f t="shared" si="296"/>
        <v>5</v>
      </c>
      <c r="AE3347" s="580">
        <f t="shared" si="297"/>
        <v>2.5</v>
      </c>
      <c r="AF3347" s="580">
        <f t="shared" si="298"/>
        <v>2.5</v>
      </c>
      <c r="AG3347" s="580">
        <f t="shared" si="299"/>
        <v>0</v>
      </c>
      <c r="AH3347" s="580">
        <f t="shared" si="300"/>
        <v>0</v>
      </c>
    </row>
    <row r="3348" spans="28:34">
      <c r="AB3348" s="580">
        <f>HLOOKUP("*"&amp;'Output annual'!$AC$2&amp;'Output annual'!$AD$2&amp;"*Zone People Number Of Occupants [](Hourly)",'Eplus results'!$1:$1048576,ROW(),FALSE)</f>
        <v>0</v>
      </c>
      <c r="AC3348" s="580">
        <f>HLOOKUP("*"&amp;'Output annual'!$AC$2&amp;'Output annual'!$AD$2&amp;"*FangerPMV(Hourly)",'Eplus results'!$1:$1048576,ROW(),FALSE)</f>
        <v>0</v>
      </c>
      <c r="AD3348" s="580">
        <f t="shared" si="296"/>
        <v>5</v>
      </c>
      <c r="AE3348" s="580">
        <f t="shared" si="297"/>
        <v>2.5</v>
      </c>
      <c r="AF3348" s="580">
        <f t="shared" si="298"/>
        <v>2.5</v>
      </c>
      <c r="AG3348" s="580">
        <f t="shared" si="299"/>
        <v>0</v>
      </c>
      <c r="AH3348" s="580">
        <f t="shared" si="300"/>
        <v>0</v>
      </c>
    </row>
    <row r="3349" spans="28:34">
      <c r="AB3349" s="580">
        <f>HLOOKUP("*"&amp;'Output annual'!$AC$2&amp;'Output annual'!$AD$2&amp;"*Zone People Number Of Occupants [](Hourly)",'Eplus results'!$1:$1048576,ROW(),FALSE)</f>
        <v>0</v>
      </c>
      <c r="AC3349" s="580">
        <f>HLOOKUP("*"&amp;'Output annual'!$AC$2&amp;'Output annual'!$AD$2&amp;"*FangerPMV(Hourly)",'Eplus results'!$1:$1048576,ROW(),FALSE)</f>
        <v>0</v>
      </c>
      <c r="AD3349" s="580">
        <f t="shared" si="296"/>
        <v>5</v>
      </c>
      <c r="AE3349" s="580">
        <f t="shared" si="297"/>
        <v>2.5</v>
      </c>
      <c r="AF3349" s="580">
        <f t="shared" si="298"/>
        <v>2.5</v>
      </c>
      <c r="AG3349" s="580">
        <f t="shared" si="299"/>
        <v>0</v>
      </c>
      <c r="AH3349" s="580">
        <f t="shared" si="300"/>
        <v>0</v>
      </c>
    </row>
    <row r="3350" spans="28:34">
      <c r="AB3350" s="580">
        <f>HLOOKUP("*"&amp;'Output annual'!$AC$2&amp;'Output annual'!$AD$2&amp;"*Zone People Number Of Occupants [](Hourly)",'Eplus results'!$1:$1048576,ROW(),FALSE)</f>
        <v>0</v>
      </c>
      <c r="AC3350" s="580">
        <f>HLOOKUP("*"&amp;'Output annual'!$AC$2&amp;'Output annual'!$AD$2&amp;"*FangerPMV(Hourly)",'Eplus results'!$1:$1048576,ROW(),FALSE)</f>
        <v>0</v>
      </c>
      <c r="AD3350" s="580">
        <f t="shared" si="296"/>
        <v>5</v>
      </c>
      <c r="AE3350" s="580">
        <f t="shared" si="297"/>
        <v>2.5</v>
      </c>
      <c r="AF3350" s="580">
        <f t="shared" si="298"/>
        <v>2.5</v>
      </c>
      <c r="AG3350" s="580">
        <f t="shared" si="299"/>
        <v>0</v>
      </c>
      <c r="AH3350" s="580">
        <f t="shared" si="300"/>
        <v>0</v>
      </c>
    </row>
    <row r="3351" spans="28:34">
      <c r="AB3351" s="580">
        <f>HLOOKUP("*"&amp;'Output annual'!$AC$2&amp;'Output annual'!$AD$2&amp;"*Zone People Number Of Occupants [](Hourly)",'Eplus results'!$1:$1048576,ROW(),FALSE)</f>
        <v>0</v>
      </c>
      <c r="AC3351" s="580">
        <f>HLOOKUP("*"&amp;'Output annual'!$AC$2&amp;'Output annual'!$AD$2&amp;"*FangerPMV(Hourly)",'Eplus results'!$1:$1048576,ROW(),FALSE)</f>
        <v>0</v>
      </c>
      <c r="AD3351" s="580">
        <f t="shared" si="296"/>
        <v>5</v>
      </c>
      <c r="AE3351" s="580">
        <f t="shared" si="297"/>
        <v>2.5</v>
      </c>
      <c r="AF3351" s="580">
        <f t="shared" si="298"/>
        <v>2.5</v>
      </c>
      <c r="AG3351" s="580">
        <f t="shared" si="299"/>
        <v>0</v>
      </c>
      <c r="AH3351" s="580">
        <f t="shared" si="300"/>
        <v>0</v>
      </c>
    </row>
    <row r="3352" spans="28:34">
      <c r="AB3352" s="580">
        <f>HLOOKUP("*"&amp;'Output annual'!$AC$2&amp;'Output annual'!$AD$2&amp;"*Zone People Number Of Occupants [](Hourly)",'Eplus results'!$1:$1048576,ROW(),FALSE)</f>
        <v>0</v>
      </c>
      <c r="AC3352" s="580">
        <f>HLOOKUP("*"&amp;'Output annual'!$AC$2&amp;'Output annual'!$AD$2&amp;"*FangerPMV(Hourly)",'Eplus results'!$1:$1048576,ROW(),FALSE)</f>
        <v>0</v>
      </c>
      <c r="AD3352" s="580">
        <f t="shared" si="296"/>
        <v>5</v>
      </c>
      <c r="AE3352" s="580">
        <f t="shared" si="297"/>
        <v>2.5</v>
      </c>
      <c r="AF3352" s="580">
        <f t="shared" si="298"/>
        <v>2.5</v>
      </c>
      <c r="AG3352" s="580">
        <f t="shared" si="299"/>
        <v>0</v>
      </c>
      <c r="AH3352" s="580">
        <f t="shared" si="300"/>
        <v>0</v>
      </c>
    </row>
    <row r="3353" spans="28:34">
      <c r="AB3353" s="580">
        <f>HLOOKUP("*"&amp;'Output annual'!$AC$2&amp;'Output annual'!$AD$2&amp;"*Zone People Number Of Occupants [](Hourly)",'Eplus results'!$1:$1048576,ROW(),FALSE)</f>
        <v>0</v>
      </c>
      <c r="AC3353" s="580">
        <f>HLOOKUP("*"&amp;'Output annual'!$AC$2&amp;'Output annual'!$AD$2&amp;"*FangerPMV(Hourly)",'Eplus results'!$1:$1048576,ROW(),FALSE)</f>
        <v>0</v>
      </c>
      <c r="AD3353" s="580">
        <f t="shared" si="296"/>
        <v>5</v>
      </c>
      <c r="AE3353" s="580">
        <f t="shared" si="297"/>
        <v>2.5</v>
      </c>
      <c r="AF3353" s="580">
        <f t="shared" si="298"/>
        <v>2.5</v>
      </c>
      <c r="AG3353" s="580">
        <f t="shared" si="299"/>
        <v>0</v>
      </c>
      <c r="AH3353" s="580">
        <f t="shared" si="300"/>
        <v>0</v>
      </c>
    </row>
    <row r="3354" spans="28:34">
      <c r="AB3354" s="580">
        <f>HLOOKUP("*"&amp;'Output annual'!$AC$2&amp;'Output annual'!$AD$2&amp;"*Zone People Number Of Occupants [](Hourly)",'Eplus results'!$1:$1048576,ROW(),FALSE)</f>
        <v>0</v>
      </c>
      <c r="AC3354" s="580">
        <f>HLOOKUP("*"&amp;'Output annual'!$AC$2&amp;'Output annual'!$AD$2&amp;"*FangerPMV(Hourly)",'Eplus results'!$1:$1048576,ROW(),FALSE)</f>
        <v>0</v>
      </c>
      <c r="AD3354" s="580">
        <f t="shared" si="296"/>
        <v>5</v>
      </c>
      <c r="AE3354" s="580">
        <f t="shared" si="297"/>
        <v>2.5</v>
      </c>
      <c r="AF3354" s="580">
        <f t="shared" si="298"/>
        <v>2.5</v>
      </c>
      <c r="AG3354" s="580">
        <f t="shared" si="299"/>
        <v>0</v>
      </c>
      <c r="AH3354" s="580">
        <f t="shared" si="300"/>
        <v>0</v>
      </c>
    </row>
    <row r="3355" spans="28:34">
      <c r="AB3355" s="580">
        <f>HLOOKUP("*"&amp;'Output annual'!$AC$2&amp;'Output annual'!$AD$2&amp;"*Zone People Number Of Occupants [](Hourly)",'Eplus results'!$1:$1048576,ROW(),FALSE)</f>
        <v>0</v>
      </c>
      <c r="AC3355" s="580">
        <f>HLOOKUP("*"&amp;'Output annual'!$AC$2&amp;'Output annual'!$AD$2&amp;"*FangerPMV(Hourly)",'Eplus results'!$1:$1048576,ROW(),FALSE)</f>
        <v>0</v>
      </c>
      <c r="AD3355" s="580">
        <f t="shared" si="296"/>
        <v>5</v>
      </c>
      <c r="AE3355" s="580">
        <f t="shared" si="297"/>
        <v>2.5</v>
      </c>
      <c r="AF3355" s="580">
        <f t="shared" si="298"/>
        <v>2.5</v>
      </c>
      <c r="AG3355" s="580">
        <f t="shared" si="299"/>
        <v>0</v>
      </c>
      <c r="AH3355" s="580">
        <f t="shared" si="300"/>
        <v>0</v>
      </c>
    </row>
    <row r="3356" spans="28:34">
      <c r="AB3356" s="580">
        <f>HLOOKUP("*"&amp;'Output annual'!$AC$2&amp;'Output annual'!$AD$2&amp;"*Zone People Number Of Occupants [](Hourly)",'Eplus results'!$1:$1048576,ROW(),FALSE)</f>
        <v>0</v>
      </c>
      <c r="AC3356" s="580">
        <f>HLOOKUP("*"&amp;'Output annual'!$AC$2&amp;'Output annual'!$AD$2&amp;"*FangerPMV(Hourly)",'Eplus results'!$1:$1048576,ROW(),FALSE)</f>
        <v>0</v>
      </c>
      <c r="AD3356" s="580">
        <f t="shared" si="296"/>
        <v>5</v>
      </c>
      <c r="AE3356" s="580">
        <f t="shared" si="297"/>
        <v>2.5</v>
      </c>
      <c r="AF3356" s="580">
        <f t="shared" si="298"/>
        <v>2.5</v>
      </c>
      <c r="AG3356" s="580">
        <f t="shared" si="299"/>
        <v>0</v>
      </c>
      <c r="AH3356" s="580">
        <f t="shared" si="300"/>
        <v>0</v>
      </c>
    </row>
    <row r="3357" spans="28:34">
      <c r="AB3357" s="580">
        <f>HLOOKUP("*"&amp;'Output annual'!$AC$2&amp;'Output annual'!$AD$2&amp;"*Zone People Number Of Occupants [](Hourly)",'Eplus results'!$1:$1048576,ROW(),FALSE)</f>
        <v>0</v>
      </c>
      <c r="AC3357" s="580">
        <f>HLOOKUP("*"&amp;'Output annual'!$AC$2&amp;'Output annual'!$AD$2&amp;"*FangerPMV(Hourly)",'Eplus results'!$1:$1048576,ROW(),FALSE)</f>
        <v>0</v>
      </c>
      <c r="AD3357" s="580">
        <f t="shared" si="296"/>
        <v>5</v>
      </c>
      <c r="AE3357" s="580">
        <f t="shared" si="297"/>
        <v>2.5</v>
      </c>
      <c r="AF3357" s="580">
        <f t="shared" si="298"/>
        <v>2.5</v>
      </c>
      <c r="AG3357" s="580">
        <f t="shared" si="299"/>
        <v>0</v>
      </c>
      <c r="AH3357" s="580">
        <f t="shared" si="300"/>
        <v>0</v>
      </c>
    </row>
    <row r="3358" spans="28:34">
      <c r="AB3358" s="580">
        <f>HLOOKUP("*"&amp;'Output annual'!$AC$2&amp;'Output annual'!$AD$2&amp;"*Zone People Number Of Occupants [](Hourly)",'Eplus results'!$1:$1048576,ROW(),FALSE)</f>
        <v>0</v>
      </c>
      <c r="AC3358" s="580">
        <f>HLOOKUP("*"&amp;'Output annual'!$AC$2&amp;'Output annual'!$AD$2&amp;"*FangerPMV(Hourly)",'Eplus results'!$1:$1048576,ROW(),FALSE)</f>
        <v>0</v>
      </c>
      <c r="AD3358" s="580">
        <f t="shared" si="296"/>
        <v>5</v>
      </c>
      <c r="AE3358" s="580">
        <f t="shared" si="297"/>
        <v>2.5</v>
      </c>
      <c r="AF3358" s="580">
        <f t="shared" si="298"/>
        <v>2.5</v>
      </c>
      <c r="AG3358" s="580">
        <f t="shared" si="299"/>
        <v>0</v>
      </c>
      <c r="AH3358" s="580">
        <f t="shared" si="300"/>
        <v>0</v>
      </c>
    </row>
    <row r="3359" spans="28:34">
      <c r="AB3359" s="580">
        <f>HLOOKUP("*"&amp;'Output annual'!$AC$2&amp;'Output annual'!$AD$2&amp;"*Zone People Number Of Occupants [](Hourly)",'Eplus results'!$1:$1048576,ROW(),FALSE)</f>
        <v>0</v>
      </c>
      <c r="AC3359" s="580">
        <f>HLOOKUP("*"&amp;'Output annual'!$AC$2&amp;'Output annual'!$AD$2&amp;"*FangerPMV(Hourly)",'Eplus results'!$1:$1048576,ROW(),FALSE)</f>
        <v>0</v>
      </c>
      <c r="AD3359" s="580">
        <f t="shared" si="296"/>
        <v>5</v>
      </c>
      <c r="AE3359" s="580">
        <f t="shared" si="297"/>
        <v>2.5</v>
      </c>
      <c r="AF3359" s="580">
        <f t="shared" si="298"/>
        <v>2.5</v>
      </c>
      <c r="AG3359" s="580">
        <f t="shared" si="299"/>
        <v>0</v>
      </c>
      <c r="AH3359" s="580">
        <f t="shared" si="300"/>
        <v>0</v>
      </c>
    </row>
    <row r="3360" spans="28:34">
      <c r="AB3360" s="580">
        <f>HLOOKUP("*"&amp;'Output annual'!$AC$2&amp;'Output annual'!$AD$2&amp;"*Zone People Number Of Occupants [](Hourly)",'Eplus results'!$1:$1048576,ROW(),FALSE)</f>
        <v>0</v>
      </c>
      <c r="AC3360" s="580">
        <f>HLOOKUP("*"&amp;'Output annual'!$AC$2&amp;'Output annual'!$AD$2&amp;"*FangerPMV(Hourly)",'Eplus results'!$1:$1048576,ROW(),FALSE)</f>
        <v>0</v>
      </c>
      <c r="AD3360" s="580">
        <f t="shared" si="296"/>
        <v>5</v>
      </c>
      <c r="AE3360" s="580">
        <f t="shared" si="297"/>
        <v>2.5</v>
      </c>
      <c r="AF3360" s="580">
        <f t="shared" si="298"/>
        <v>2.5</v>
      </c>
      <c r="AG3360" s="580">
        <f t="shared" si="299"/>
        <v>0</v>
      </c>
      <c r="AH3360" s="580">
        <f t="shared" si="300"/>
        <v>0</v>
      </c>
    </row>
    <row r="3361" spans="28:34">
      <c r="AB3361" s="580">
        <f>HLOOKUP("*"&amp;'Output annual'!$AC$2&amp;'Output annual'!$AD$2&amp;"*Zone People Number Of Occupants [](Hourly)",'Eplus results'!$1:$1048576,ROW(),FALSE)</f>
        <v>0</v>
      </c>
      <c r="AC3361" s="580">
        <f>HLOOKUP("*"&amp;'Output annual'!$AC$2&amp;'Output annual'!$AD$2&amp;"*FangerPMV(Hourly)",'Eplus results'!$1:$1048576,ROW(),FALSE)</f>
        <v>0</v>
      </c>
      <c r="AD3361" s="580">
        <f t="shared" si="296"/>
        <v>5</v>
      </c>
      <c r="AE3361" s="580">
        <f t="shared" si="297"/>
        <v>2.5</v>
      </c>
      <c r="AF3361" s="580">
        <f t="shared" si="298"/>
        <v>2.5</v>
      </c>
      <c r="AG3361" s="580">
        <f t="shared" si="299"/>
        <v>0</v>
      </c>
      <c r="AH3361" s="580">
        <f t="shared" si="300"/>
        <v>0</v>
      </c>
    </row>
    <row r="3362" spans="28:34">
      <c r="AB3362" s="580">
        <f>HLOOKUP("*"&amp;'Output annual'!$AC$2&amp;'Output annual'!$AD$2&amp;"*Zone People Number Of Occupants [](Hourly)",'Eplus results'!$1:$1048576,ROW(),FALSE)</f>
        <v>0</v>
      </c>
      <c r="AC3362" s="580">
        <f>HLOOKUP("*"&amp;'Output annual'!$AC$2&amp;'Output annual'!$AD$2&amp;"*FangerPMV(Hourly)",'Eplus results'!$1:$1048576,ROW(),FALSE)</f>
        <v>0</v>
      </c>
      <c r="AD3362" s="580">
        <f t="shared" si="296"/>
        <v>5</v>
      </c>
      <c r="AE3362" s="580">
        <f t="shared" si="297"/>
        <v>2.5</v>
      </c>
      <c r="AF3362" s="580">
        <f t="shared" si="298"/>
        <v>2.5</v>
      </c>
      <c r="AG3362" s="580">
        <f t="shared" si="299"/>
        <v>0</v>
      </c>
      <c r="AH3362" s="580">
        <f t="shared" si="300"/>
        <v>0</v>
      </c>
    </row>
    <row r="3363" spans="28:34">
      <c r="AB3363" s="580">
        <f>HLOOKUP("*"&amp;'Output annual'!$AC$2&amp;'Output annual'!$AD$2&amp;"*Zone People Number Of Occupants [](Hourly)",'Eplus results'!$1:$1048576,ROW(),FALSE)</f>
        <v>0</v>
      </c>
      <c r="AC3363" s="580">
        <f>HLOOKUP("*"&amp;'Output annual'!$AC$2&amp;'Output annual'!$AD$2&amp;"*FangerPMV(Hourly)",'Eplus results'!$1:$1048576,ROW(),FALSE)</f>
        <v>0</v>
      </c>
      <c r="AD3363" s="580">
        <f t="shared" si="296"/>
        <v>5</v>
      </c>
      <c r="AE3363" s="580">
        <f t="shared" si="297"/>
        <v>2.5</v>
      </c>
      <c r="AF3363" s="580">
        <f t="shared" si="298"/>
        <v>2.5</v>
      </c>
      <c r="AG3363" s="580">
        <f t="shared" si="299"/>
        <v>0</v>
      </c>
      <c r="AH3363" s="580">
        <f t="shared" si="300"/>
        <v>0</v>
      </c>
    </row>
    <row r="3364" spans="28:34">
      <c r="AB3364" s="580">
        <f>HLOOKUP("*"&amp;'Output annual'!$AC$2&amp;'Output annual'!$AD$2&amp;"*Zone People Number Of Occupants [](Hourly)",'Eplus results'!$1:$1048576,ROW(),FALSE)</f>
        <v>0</v>
      </c>
      <c r="AC3364" s="580">
        <f>HLOOKUP("*"&amp;'Output annual'!$AC$2&amp;'Output annual'!$AD$2&amp;"*FangerPMV(Hourly)",'Eplus results'!$1:$1048576,ROW(),FALSE)</f>
        <v>0</v>
      </c>
      <c r="AD3364" s="580">
        <f t="shared" si="296"/>
        <v>5</v>
      </c>
      <c r="AE3364" s="580">
        <f t="shared" si="297"/>
        <v>2.5</v>
      </c>
      <c r="AF3364" s="580">
        <f t="shared" si="298"/>
        <v>2.5</v>
      </c>
      <c r="AG3364" s="580">
        <f t="shared" si="299"/>
        <v>0</v>
      </c>
      <c r="AH3364" s="580">
        <f t="shared" si="300"/>
        <v>0</v>
      </c>
    </row>
    <row r="3365" spans="28:34">
      <c r="AB3365" s="580">
        <f>HLOOKUP("*"&amp;'Output annual'!$AC$2&amp;'Output annual'!$AD$2&amp;"*Zone People Number Of Occupants [](Hourly)",'Eplus results'!$1:$1048576,ROW(),FALSE)</f>
        <v>0</v>
      </c>
      <c r="AC3365" s="580">
        <f>HLOOKUP("*"&amp;'Output annual'!$AC$2&amp;'Output annual'!$AD$2&amp;"*FangerPMV(Hourly)",'Eplus results'!$1:$1048576,ROW(),FALSE)</f>
        <v>0</v>
      </c>
      <c r="AD3365" s="580">
        <f t="shared" si="296"/>
        <v>5</v>
      </c>
      <c r="AE3365" s="580">
        <f t="shared" si="297"/>
        <v>2.5</v>
      </c>
      <c r="AF3365" s="580">
        <f t="shared" si="298"/>
        <v>2.5</v>
      </c>
      <c r="AG3365" s="580">
        <f t="shared" si="299"/>
        <v>0</v>
      </c>
      <c r="AH3365" s="580">
        <f t="shared" si="300"/>
        <v>0</v>
      </c>
    </row>
    <row r="3366" spans="28:34">
      <c r="AB3366" s="580">
        <f>HLOOKUP("*"&amp;'Output annual'!$AC$2&amp;'Output annual'!$AD$2&amp;"*Zone People Number Of Occupants [](Hourly)",'Eplus results'!$1:$1048576,ROW(),FALSE)</f>
        <v>0</v>
      </c>
      <c r="AC3366" s="580">
        <f>HLOOKUP("*"&amp;'Output annual'!$AC$2&amp;'Output annual'!$AD$2&amp;"*FangerPMV(Hourly)",'Eplus results'!$1:$1048576,ROW(),FALSE)</f>
        <v>0</v>
      </c>
      <c r="AD3366" s="580">
        <f t="shared" si="296"/>
        <v>5</v>
      </c>
      <c r="AE3366" s="580">
        <f t="shared" si="297"/>
        <v>2.5</v>
      </c>
      <c r="AF3366" s="580">
        <f t="shared" si="298"/>
        <v>2.5</v>
      </c>
      <c r="AG3366" s="580">
        <f t="shared" si="299"/>
        <v>0</v>
      </c>
      <c r="AH3366" s="580">
        <f t="shared" si="300"/>
        <v>0</v>
      </c>
    </row>
    <row r="3367" spans="28:34">
      <c r="AB3367" s="580">
        <f>HLOOKUP("*"&amp;'Output annual'!$AC$2&amp;'Output annual'!$AD$2&amp;"*Zone People Number Of Occupants [](Hourly)",'Eplus results'!$1:$1048576,ROW(),FALSE)</f>
        <v>0</v>
      </c>
      <c r="AC3367" s="580">
        <f>HLOOKUP("*"&amp;'Output annual'!$AC$2&amp;'Output annual'!$AD$2&amp;"*FangerPMV(Hourly)",'Eplus results'!$1:$1048576,ROW(),FALSE)</f>
        <v>0</v>
      </c>
      <c r="AD3367" s="580">
        <f t="shared" si="296"/>
        <v>5</v>
      </c>
      <c r="AE3367" s="580">
        <f t="shared" si="297"/>
        <v>2.5</v>
      </c>
      <c r="AF3367" s="580">
        <f t="shared" si="298"/>
        <v>2.5</v>
      </c>
      <c r="AG3367" s="580">
        <f t="shared" si="299"/>
        <v>0</v>
      </c>
      <c r="AH3367" s="580">
        <f t="shared" si="300"/>
        <v>0</v>
      </c>
    </row>
    <row r="3368" spans="28:34">
      <c r="AB3368" s="580">
        <f>HLOOKUP("*"&amp;'Output annual'!$AC$2&amp;'Output annual'!$AD$2&amp;"*Zone People Number Of Occupants [](Hourly)",'Eplus results'!$1:$1048576,ROW(),FALSE)</f>
        <v>0</v>
      </c>
      <c r="AC3368" s="580">
        <f>HLOOKUP("*"&amp;'Output annual'!$AC$2&amp;'Output annual'!$AD$2&amp;"*FangerPMV(Hourly)",'Eplus results'!$1:$1048576,ROW(),FALSE)</f>
        <v>0</v>
      </c>
      <c r="AD3368" s="580">
        <f t="shared" si="296"/>
        <v>5</v>
      </c>
      <c r="AE3368" s="580">
        <f t="shared" si="297"/>
        <v>2.5</v>
      </c>
      <c r="AF3368" s="580">
        <f t="shared" si="298"/>
        <v>2.5</v>
      </c>
      <c r="AG3368" s="580">
        <f t="shared" si="299"/>
        <v>0</v>
      </c>
      <c r="AH3368" s="580">
        <f t="shared" si="300"/>
        <v>0</v>
      </c>
    </row>
    <row r="3369" spans="28:34">
      <c r="AB3369" s="580">
        <f>HLOOKUP("*"&amp;'Output annual'!$AC$2&amp;'Output annual'!$AD$2&amp;"*Zone People Number Of Occupants [](Hourly)",'Eplus results'!$1:$1048576,ROW(),FALSE)</f>
        <v>0</v>
      </c>
      <c r="AC3369" s="580">
        <f>HLOOKUP("*"&amp;'Output annual'!$AC$2&amp;'Output annual'!$AD$2&amp;"*FangerPMV(Hourly)",'Eplus results'!$1:$1048576,ROW(),FALSE)</f>
        <v>0</v>
      </c>
      <c r="AD3369" s="580">
        <f t="shared" si="296"/>
        <v>5</v>
      </c>
      <c r="AE3369" s="580">
        <f t="shared" si="297"/>
        <v>2.5</v>
      </c>
      <c r="AF3369" s="580">
        <f t="shared" si="298"/>
        <v>2.5</v>
      </c>
      <c r="AG3369" s="580">
        <f t="shared" si="299"/>
        <v>0</v>
      </c>
      <c r="AH3369" s="580">
        <f t="shared" si="300"/>
        <v>0</v>
      </c>
    </row>
    <row r="3370" spans="28:34">
      <c r="AB3370" s="580">
        <f>HLOOKUP("*"&amp;'Output annual'!$AC$2&amp;'Output annual'!$AD$2&amp;"*Zone People Number Of Occupants [](Hourly)",'Eplus results'!$1:$1048576,ROW(),FALSE)</f>
        <v>0</v>
      </c>
      <c r="AC3370" s="580">
        <f>HLOOKUP("*"&amp;'Output annual'!$AC$2&amp;'Output annual'!$AD$2&amp;"*FangerPMV(Hourly)",'Eplus results'!$1:$1048576,ROW(),FALSE)</f>
        <v>0</v>
      </c>
      <c r="AD3370" s="580">
        <f t="shared" si="296"/>
        <v>5</v>
      </c>
      <c r="AE3370" s="580">
        <f t="shared" si="297"/>
        <v>2.5</v>
      </c>
      <c r="AF3370" s="580">
        <f t="shared" si="298"/>
        <v>2.5</v>
      </c>
      <c r="AG3370" s="580">
        <f t="shared" si="299"/>
        <v>0</v>
      </c>
      <c r="AH3370" s="580">
        <f t="shared" si="300"/>
        <v>0</v>
      </c>
    </row>
    <row r="3371" spans="28:34">
      <c r="AB3371" s="580">
        <f>HLOOKUP("*"&amp;'Output annual'!$AC$2&amp;'Output annual'!$AD$2&amp;"*Zone People Number Of Occupants [](Hourly)",'Eplus results'!$1:$1048576,ROW(),FALSE)</f>
        <v>0</v>
      </c>
      <c r="AC3371" s="580">
        <f>HLOOKUP("*"&amp;'Output annual'!$AC$2&amp;'Output annual'!$AD$2&amp;"*FangerPMV(Hourly)",'Eplus results'!$1:$1048576,ROW(),FALSE)</f>
        <v>0</v>
      </c>
      <c r="AD3371" s="580">
        <f t="shared" si="296"/>
        <v>5</v>
      </c>
      <c r="AE3371" s="580">
        <f t="shared" si="297"/>
        <v>2.5</v>
      </c>
      <c r="AF3371" s="580">
        <f t="shared" si="298"/>
        <v>2.5</v>
      </c>
      <c r="AG3371" s="580">
        <f t="shared" si="299"/>
        <v>0</v>
      </c>
      <c r="AH3371" s="580">
        <f t="shared" si="300"/>
        <v>0</v>
      </c>
    </row>
    <row r="3372" spans="28:34">
      <c r="AB3372" s="580">
        <f>HLOOKUP("*"&amp;'Output annual'!$AC$2&amp;'Output annual'!$AD$2&amp;"*Zone People Number Of Occupants [](Hourly)",'Eplus results'!$1:$1048576,ROW(),FALSE)</f>
        <v>0</v>
      </c>
      <c r="AC3372" s="580">
        <f>HLOOKUP("*"&amp;'Output annual'!$AC$2&amp;'Output annual'!$AD$2&amp;"*FangerPMV(Hourly)",'Eplus results'!$1:$1048576,ROW(),FALSE)</f>
        <v>0</v>
      </c>
      <c r="AD3372" s="580">
        <f t="shared" si="296"/>
        <v>5</v>
      </c>
      <c r="AE3372" s="580">
        <f t="shared" si="297"/>
        <v>2.5</v>
      </c>
      <c r="AF3372" s="580">
        <f t="shared" si="298"/>
        <v>2.5</v>
      </c>
      <c r="AG3372" s="580">
        <f t="shared" si="299"/>
        <v>0</v>
      </c>
      <c r="AH3372" s="580">
        <f t="shared" si="300"/>
        <v>0</v>
      </c>
    </row>
    <row r="3373" spans="28:34">
      <c r="AB3373" s="580">
        <f>HLOOKUP("*"&amp;'Output annual'!$AC$2&amp;'Output annual'!$AD$2&amp;"*Zone People Number Of Occupants [](Hourly)",'Eplus results'!$1:$1048576,ROW(),FALSE)</f>
        <v>0</v>
      </c>
      <c r="AC3373" s="580">
        <f>HLOOKUP("*"&amp;'Output annual'!$AC$2&amp;'Output annual'!$AD$2&amp;"*FangerPMV(Hourly)",'Eplus results'!$1:$1048576,ROW(),FALSE)</f>
        <v>0</v>
      </c>
      <c r="AD3373" s="580">
        <f t="shared" si="296"/>
        <v>5</v>
      </c>
      <c r="AE3373" s="580">
        <f t="shared" si="297"/>
        <v>2.5</v>
      </c>
      <c r="AF3373" s="580">
        <f t="shared" si="298"/>
        <v>2.5</v>
      </c>
      <c r="AG3373" s="580">
        <f t="shared" si="299"/>
        <v>0</v>
      </c>
      <c r="AH3373" s="580">
        <f t="shared" si="300"/>
        <v>0</v>
      </c>
    </row>
    <row r="3374" spans="28:34">
      <c r="AB3374" s="580">
        <f>HLOOKUP("*"&amp;'Output annual'!$AC$2&amp;'Output annual'!$AD$2&amp;"*Zone People Number Of Occupants [](Hourly)",'Eplus results'!$1:$1048576,ROW(),FALSE)</f>
        <v>0</v>
      </c>
      <c r="AC3374" s="580">
        <f>HLOOKUP("*"&amp;'Output annual'!$AC$2&amp;'Output annual'!$AD$2&amp;"*FangerPMV(Hourly)",'Eplus results'!$1:$1048576,ROW(),FALSE)</f>
        <v>0</v>
      </c>
      <c r="AD3374" s="580">
        <f t="shared" si="296"/>
        <v>5</v>
      </c>
      <c r="AE3374" s="580">
        <f t="shared" si="297"/>
        <v>2.5</v>
      </c>
      <c r="AF3374" s="580">
        <f t="shared" si="298"/>
        <v>2.5</v>
      </c>
      <c r="AG3374" s="580">
        <f t="shared" si="299"/>
        <v>0</v>
      </c>
      <c r="AH3374" s="580">
        <f t="shared" si="300"/>
        <v>0</v>
      </c>
    </row>
    <row r="3375" spans="28:34">
      <c r="AB3375" s="580">
        <f>HLOOKUP("*"&amp;'Output annual'!$AC$2&amp;'Output annual'!$AD$2&amp;"*Zone People Number Of Occupants [](Hourly)",'Eplus results'!$1:$1048576,ROW(),FALSE)</f>
        <v>0</v>
      </c>
      <c r="AC3375" s="580">
        <f>HLOOKUP("*"&amp;'Output annual'!$AC$2&amp;'Output annual'!$AD$2&amp;"*FangerPMV(Hourly)",'Eplus results'!$1:$1048576,ROW(),FALSE)</f>
        <v>0</v>
      </c>
      <c r="AD3375" s="580">
        <f t="shared" si="296"/>
        <v>5</v>
      </c>
      <c r="AE3375" s="580">
        <f t="shared" si="297"/>
        <v>2.5</v>
      </c>
      <c r="AF3375" s="580">
        <f t="shared" si="298"/>
        <v>2.5</v>
      </c>
      <c r="AG3375" s="580">
        <f t="shared" si="299"/>
        <v>0</v>
      </c>
      <c r="AH3375" s="580">
        <f t="shared" si="300"/>
        <v>0</v>
      </c>
    </row>
    <row r="3376" spans="28:34">
      <c r="AB3376" s="580">
        <f>HLOOKUP("*"&amp;'Output annual'!$AC$2&amp;'Output annual'!$AD$2&amp;"*Zone People Number Of Occupants [](Hourly)",'Eplus results'!$1:$1048576,ROW(),FALSE)</f>
        <v>0</v>
      </c>
      <c r="AC3376" s="580">
        <f>HLOOKUP("*"&amp;'Output annual'!$AC$2&amp;'Output annual'!$AD$2&amp;"*FangerPMV(Hourly)",'Eplus results'!$1:$1048576,ROW(),FALSE)</f>
        <v>0</v>
      </c>
      <c r="AD3376" s="580">
        <f t="shared" si="296"/>
        <v>5</v>
      </c>
      <c r="AE3376" s="580">
        <f t="shared" si="297"/>
        <v>2.5</v>
      </c>
      <c r="AF3376" s="580">
        <f t="shared" si="298"/>
        <v>2.5</v>
      </c>
      <c r="AG3376" s="580">
        <f t="shared" si="299"/>
        <v>0</v>
      </c>
      <c r="AH3376" s="580">
        <f t="shared" si="300"/>
        <v>0</v>
      </c>
    </row>
    <row r="3377" spans="28:34">
      <c r="AB3377" s="580">
        <f>HLOOKUP("*"&amp;'Output annual'!$AC$2&amp;'Output annual'!$AD$2&amp;"*Zone People Number Of Occupants [](Hourly)",'Eplus results'!$1:$1048576,ROW(),FALSE)</f>
        <v>0</v>
      </c>
      <c r="AC3377" s="580">
        <f>HLOOKUP("*"&amp;'Output annual'!$AC$2&amp;'Output annual'!$AD$2&amp;"*FangerPMV(Hourly)",'Eplus results'!$1:$1048576,ROW(),FALSE)</f>
        <v>0</v>
      </c>
      <c r="AD3377" s="580">
        <f t="shared" si="296"/>
        <v>5</v>
      </c>
      <c r="AE3377" s="580">
        <f t="shared" si="297"/>
        <v>2.5</v>
      </c>
      <c r="AF3377" s="580">
        <f t="shared" si="298"/>
        <v>2.5</v>
      </c>
      <c r="AG3377" s="580">
        <f t="shared" si="299"/>
        <v>0</v>
      </c>
      <c r="AH3377" s="580">
        <f t="shared" si="300"/>
        <v>0</v>
      </c>
    </row>
    <row r="3378" spans="28:34">
      <c r="AB3378" s="580">
        <f>HLOOKUP("*"&amp;'Output annual'!$AC$2&amp;'Output annual'!$AD$2&amp;"*Zone People Number Of Occupants [](Hourly)",'Eplus results'!$1:$1048576,ROW(),FALSE)</f>
        <v>0</v>
      </c>
      <c r="AC3378" s="580">
        <f>HLOOKUP("*"&amp;'Output annual'!$AC$2&amp;'Output annual'!$AD$2&amp;"*FangerPMV(Hourly)",'Eplus results'!$1:$1048576,ROW(),FALSE)</f>
        <v>0</v>
      </c>
      <c r="AD3378" s="580">
        <f t="shared" si="296"/>
        <v>5</v>
      </c>
      <c r="AE3378" s="580">
        <f t="shared" si="297"/>
        <v>2.5</v>
      </c>
      <c r="AF3378" s="580">
        <f t="shared" si="298"/>
        <v>2.5</v>
      </c>
      <c r="AG3378" s="580">
        <f t="shared" si="299"/>
        <v>0</v>
      </c>
      <c r="AH3378" s="580">
        <f t="shared" si="300"/>
        <v>0</v>
      </c>
    </row>
    <row r="3379" spans="28:34">
      <c r="AB3379" s="580">
        <f>HLOOKUP("*"&amp;'Output annual'!$AC$2&amp;'Output annual'!$AD$2&amp;"*Zone People Number Of Occupants [](Hourly)",'Eplus results'!$1:$1048576,ROW(),FALSE)</f>
        <v>0</v>
      </c>
      <c r="AC3379" s="580">
        <f>HLOOKUP("*"&amp;'Output annual'!$AC$2&amp;'Output annual'!$AD$2&amp;"*FangerPMV(Hourly)",'Eplus results'!$1:$1048576,ROW(),FALSE)</f>
        <v>0</v>
      </c>
      <c r="AD3379" s="580">
        <f t="shared" si="296"/>
        <v>5</v>
      </c>
      <c r="AE3379" s="580">
        <f t="shared" si="297"/>
        <v>2.5</v>
      </c>
      <c r="AF3379" s="580">
        <f t="shared" si="298"/>
        <v>2.5</v>
      </c>
      <c r="AG3379" s="580">
        <f t="shared" si="299"/>
        <v>0</v>
      </c>
      <c r="AH3379" s="580">
        <f t="shared" si="300"/>
        <v>0</v>
      </c>
    </row>
    <row r="3380" spans="28:34">
      <c r="AB3380" s="580">
        <f>HLOOKUP("*"&amp;'Output annual'!$AC$2&amp;'Output annual'!$AD$2&amp;"*Zone People Number Of Occupants [](Hourly)",'Eplus results'!$1:$1048576,ROW(),FALSE)</f>
        <v>0</v>
      </c>
      <c r="AC3380" s="580">
        <f>HLOOKUP("*"&amp;'Output annual'!$AC$2&amp;'Output annual'!$AD$2&amp;"*FangerPMV(Hourly)",'Eplus results'!$1:$1048576,ROW(),FALSE)</f>
        <v>0</v>
      </c>
      <c r="AD3380" s="580">
        <f t="shared" si="296"/>
        <v>5</v>
      </c>
      <c r="AE3380" s="580">
        <f t="shared" si="297"/>
        <v>2.5</v>
      </c>
      <c r="AF3380" s="580">
        <f t="shared" si="298"/>
        <v>2.5</v>
      </c>
      <c r="AG3380" s="580">
        <f t="shared" si="299"/>
        <v>0</v>
      </c>
      <c r="AH3380" s="580">
        <f t="shared" si="300"/>
        <v>0</v>
      </c>
    </row>
    <row r="3381" spans="28:34">
      <c r="AB3381" s="580">
        <f>HLOOKUP("*"&amp;'Output annual'!$AC$2&amp;'Output annual'!$AD$2&amp;"*Zone People Number Of Occupants [](Hourly)",'Eplus results'!$1:$1048576,ROW(),FALSE)</f>
        <v>0</v>
      </c>
      <c r="AC3381" s="580">
        <f>HLOOKUP("*"&amp;'Output annual'!$AC$2&amp;'Output annual'!$AD$2&amp;"*FangerPMV(Hourly)",'Eplus results'!$1:$1048576,ROW(),FALSE)</f>
        <v>0</v>
      </c>
      <c r="AD3381" s="580">
        <f t="shared" si="296"/>
        <v>5</v>
      </c>
      <c r="AE3381" s="580">
        <f t="shared" si="297"/>
        <v>2.5</v>
      </c>
      <c r="AF3381" s="580">
        <f t="shared" si="298"/>
        <v>2.5</v>
      </c>
      <c r="AG3381" s="580">
        <f t="shared" si="299"/>
        <v>0</v>
      </c>
      <c r="AH3381" s="580">
        <f t="shared" si="300"/>
        <v>0</v>
      </c>
    </row>
    <row r="3382" spans="28:34">
      <c r="AB3382" s="580">
        <f>HLOOKUP("*"&amp;'Output annual'!$AC$2&amp;'Output annual'!$AD$2&amp;"*Zone People Number Of Occupants [](Hourly)",'Eplus results'!$1:$1048576,ROW(),FALSE)</f>
        <v>0</v>
      </c>
      <c r="AC3382" s="580">
        <f>HLOOKUP("*"&amp;'Output annual'!$AC$2&amp;'Output annual'!$AD$2&amp;"*FangerPMV(Hourly)",'Eplus results'!$1:$1048576,ROW(),FALSE)</f>
        <v>0</v>
      </c>
      <c r="AD3382" s="580">
        <f t="shared" si="296"/>
        <v>5</v>
      </c>
      <c r="AE3382" s="580">
        <f t="shared" si="297"/>
        <v>2.5</v>
      </c>
      <c r="AF3382" s="580">
        <f t="shared" si="298"/>
        <v>2.5</v>
      </c>
      <c r="AG3382" s="580">
        <f t="shared" si="299"/>
        <v>0</v>
      </c>
      <c r="AH3382" s="580">
        <f t="shared" si="300"/>
        <v>0</v>
      </c>
    </row>
    <row r="3383" spans="28:34">
      <c r="AB3383" s="580">
        <f>HLOOKUP("*"&amp;'Output annual'!$AC$2&amp;'Output annual'!$AD$2&amp;"*Zone People Number Of Occupants [](Hourly)",'Eplus results'!$1:$1048576,ROW(),FALSE)</f>
        <v>0</v>
      </c>
      <c r="AC3383" s="580">
        <f>HLOOKUP("*"&amp;'Output annual'!$AC$2&amp;'Output annual'!$AD$2&amp;"*FangerPMV(Hourly)",'Eplus results'!$1:$1048576,ROW(),FALSE)</f>
        <v>0</v>
      </c>
      <c r="AD3383" s="580">
        <f t="shared" si="296"/>
        <v>5</v>
      </c>
      <c r="AE3383" s="580">
        <f t="shared" si="297"/>
        <v>2.5</v>
      </c>
      <c r="AF3383" s="580">
        <f t="shared" si="298"/>
        <v>2.5</v>
      </c>
      <c r="AG3383" s="580">
        <f t="shared" si="299"/>
        <v>0</v>
      </c>
      <c r="AH3383" s="580">
        <f t="shared" si="300"/>
        <v>0</v>
      </c>
    </row>
    <row r="3384" spans="28:34">
      <c r="AB3384" s="580">
        <f>HLOOKUP("*"&amp;'Output annual'!$AC$2&amp;'Output annual'!$AD$2&amp;"*Zone People Number Of Occupants [](Hourly)",'Eplus results'!$1:$1048576,ROW(),FALSE)</f>
        <v>0</v>
      </c>
      <c r="AC3384" s="580">
        <f>HLOOKUP("*"&amp;'Output annual'!$AC$2&amp;'Output annual'!$AD$2&amp;"*FangerPMV(Hourly)",'Eplus results'!$1:$1048576,ROW(),FALSE)</f>
        <v>0</v>
      </c>
      <c r="AD3384" s="580">
        <f t="shared" si="296"/>
        <v>5</v>
      </c>
      <c r="AE3384" s="580">
        <f t="shared" si="297"/>
        <v>2.5</v>
      </c>
      <c r="AF3384" s="580">
        <f t="shared" si="298"/>
        <v>2.5</v>
      </c>
      <c r="AG3384" s="580">
        <f t="shared" si="299"/>
        <v>0</v>
      </c>
      <c r="AH3384" s="580">
        <f t="shared" si="300"/>
        <v>0</v>
      </c>
    </row>
    <row r="3385" spans="28:34">
      <c r="AB3385" s="580">
        <f>HLOOKUP("*"&amp;'Output annual'!$AC$2&amp;'Output annual'!$AD$2&amp;"*Zone People Number Of Occupants [](Hourly)",'Eplus results'!$1:$1048576,ROW(),FALSE)</f>
        <v>0</v>
      </c>
      <c r="AC3385" s="580">
        <f>HLOOKUP("*"&amp;'Output annual'!$AC$2&amp;'Output annual'!$AD$2&amp;"*FangerPMV(Hourly)",'Eplus results'!$1:$1048576,ROW(),FALSE)</f>
        <v>0</v>
      </c>
      <c r="AD3385" s="580">
        <f t="shared" si="296"/>
        <v>5</v>
      </c>
      <c r="AE3385" s="580">
        <f t="shared" si="297"/>
        <v>2.5</v>
      </c>
      <c r="AF3385" s="580">
        <f t="shared" si="298"/>
        <v>2.5</v>
      </c>
      <c r="AG3385" s="580">
        <f t="shared" si="299"/>
        <v>0</v>
      </c>
      <c r="AH3385" s="580">
        <f t="shared" si="300"/>
        <v>0</v>
      </c>
    </row>
    <row r="3386" spans="28:34">
      <c r="AB3386" s="580">
        <f>HLOOKUP("*"&amp;'Output annual'!$AC$2&amp;'Output annual'!$AD$2&amp;"*Zone People Number Of Occupants [](Hourly)",'Eplus results'!$1:$1048576,ROW(),FALSE)</f>
        <v>0</v>
      </c>
      <c r="AC3386" s="580">
        <f>HLOOKUP("*"&amp;'Output annual'!$AC$2&amp;'Output annual'!$AD$2&amp;"*FangerPMV(Hourly)",'Eplus results'!$1:$1048576,ROW(),FALSE)</f>
        <v>0</v>
      </c>
      <c r="AD3386" s="580">
        <f t="shared" si="296"/>
        <v>5</v>
      </c>
      <c r="AE3386" s="580">
        <f t="shared" si="297"/>
        <v>2.5</v>
      </c>
      <c r="AF3386" s="580">
        <f t="shared" si="298"/>
        <v>2.5</v>
      </c>
      <c r="AG3386" s="580">
        <f t="shared" si="299"/>
        <v>0</v>
      </c>
      <c r="AH3386" s="580">
        <f t="shared" si="300"/>
        <v>0</v>
      </c>
    </row>
    <row r="3387" spans="28:34">
      <c r="AB3387" s="580">
        <f>HLOOKUP("*"&amp;'Output annual'!$AC$2&amp;'Output annual'!$AD$2&amp;"*Zone People Number Of Occupants [](Hourly)",'Eplus results'!$1:$1048576,ROW(),FALSE)</f>
        <v>0</v>
      </c>
      <c r="AC3387" s="580">
        <f>HLOOKUP("*"&amp;'Output annual'!$AC$2&amp;'Output annual'!$AD$2&amp;"*FangerPMV(Hourly)",'Eplus results'!$1:$1048576,ROW(),FALSE)</f>
        <v>0</v>
      </c>
      <c r="AD3387" s="580">
        <f t="shared" si="296"/>
        <v>5</v>
      </c>
      <c r="AE3387" s="580">
        <f t="shared" si="297"/>
        <v>2.5</v>
      </c>
      <c r="AF3387" s="580">
        <f t="shared" si="298"/>
        <v>2.5</v>
      </c>
      <c r="AG3387" s="580">
        <f t="shared" si="299"/>
        <v>0</v>
      </c>
      <c r="AH3387" s="580">
        <f t="shared" si="300"/>
        <v>0</v>
      </c>
    </row>
    <row r="3388" spans="28:34">
      <c r="AB3388" s="580">
        <f>HLOOKUP("*"&amp;'Output annual'!$AC$2&amp;'Output annual'!$AD$2&amp;"*Zone People Number Of Occupants [](Hourly)",'Eplus results'!$1:$1048576,ROW(),FALSE)</f>
        <v>0</v>
      </c>
      <c r="AC3388" s="580">
        <f>HLOOKUP("*"&amp;'Output annual'!$AC$2&amp;'Output annual'!$AD$2&amp;"*FangerPMV(Hourly)",'Eplus results'!$1:$1048576,ROW(),FALSE)</f>
        <v>0</v>
      </c>
      <c r="AD3388" s="580">
        <f t="shared" si="296"/>
        <v>5</v>
      </c>
      <c r="AE3388" s="580">
        <f t="shared" si="297"/>
        <v>2.5</v>
      </c>
      <c r="AF3388" s="580">
        <f t="shared" si="298"/>
        <v>2.5</v>
      </c>
      <c r="AG3388" s="580">
        <f t="shared" si="299"/>
        <v>0</v>
      </c>
      <c r="AH3388" s="580">
        <f t="shared" si="300"/>
        <v>0</v>
      </c>
    </row>
    <row r="3389" spans="28:34">
      <c r="AB3389" s="580">
        <f>HLOOKUP("*"&amp;'Output annual'!$AC$2&amp;'Output annual'!$AD$2&amp;"*Zone People Number Of Occupants [](Hourly)",'Eplus results'!$1:$1048576,ROW(),FALSE)</f>
        <v>0</v>
      </c>
      <c r="AC3389" s="580">
        <f>HLOOKUP("*"&amp;'Output annual'!$AC$2&amp;'Output annual'!$AD$2&amp;"*FangerPMV(Hourly)",'Eplus results'!$1:$1048576,ROW(),FALSE)</f>
        <v>0</v>
      </c>
      <c r="AD3389" s="580">
        <f t="shared" si="296"/>
        <v>5</v>
      </c>
      <c r="AE3389" s="580">
        <f t="shared" si="297"/>
        <v>2.5</v>
      </c>
      <c r="AF3389" s="580">
        <f t="shared" si="298"/>
        <v>2.5</v>
      </c>
      <c r="AG3389" s="580">
        <f t="shared" si="299"/>
        <v>0</v>
      </c>
      <c r="AH3389" s="580">
        <f t="shared" si="300"/>
        <v>0</v>
      </c>
    </row>
    <row r="3390" spans="28:34">
      <c r="AB3390" s="580">
        <f>HLOOKUP("*"&amp;'Output annual'!$AC$2&amp;'Output annual'!$AD$2&amp;"*Zone People Number Of Occupants [](Hourly)",'Eplus results'!$1:$1048576,ROW(),FALSE)</f>
        <v>0</v>
      </c>
      <c r="AC3390" s="580">
        <f>HLOOKUP("*"&amp;'Output annual'!$AC$2&amp;'Output annual'!$AD$2&amp;"*FangerPMV(Hourly)",'Eplus results'!$1:$1048576,ROW(),FALSE)</f>
        <v>0</v>
      </c>
      <c r="AD3390" s="580">
        <f t="shared" si="296"/>
        <v>5</v>
      </c>
      <c r="AE3390" s="580">
        <f t="shared" si="297"/>
        <v>2.5</v>
      </c>
      <c r="AF3390" s="580">
        <f t="shared" si="298"/>
        <v>2.5</v>
      </c>
      <c r="AG3390" s="580">
        <f t="shared" si="299"/>
        <v>0</v>
      </c>
      <c r="AH3390" s="580">
        <f t="shared" si="300"/>
        <v>0</v>
      </c>
    </row>
    <row r="3391" spans="28:34">
      <c r="AB3391" s="580">
        <f>HLOOKUP("*"&amp;'Output annual'!$AC$2&amp;'Output annual'!$AD$2&amp;"*Zone People Number Of Occupants [](Hourly)",'Eplus results'!$1:$1048576,ROW(),FALSE)</f>
        <v>0</v>
      </c>
      <c r="AC3391" s="580">
        <f>HLOOKUP("*"&amp;'Output annual'!$AC$2&amp;'Output annual'!$AD$2&amp;"*FangerPMV(Hourly)",'Eplus results'!$1:$1048576,ROW(),FALSE)</f>
        <v>0</v>
      </c>
      <c r="AD3391" s="580">
        <f t="shared" si="296"/>
        <v>5</v>
      </c>
      <c r="AE3391" s="580">
        <f t="shared" si="297"/>
        <v>2.5</v>
      </c>
      <c r="AF3391" s="580">
        <f t="shared" si="298"/>
        <v>2.5</v>
      </c>
      <c r="AG3391" s="580">
        <f t="shared" si="299"/>
        <v>0</v>
      </c>
      <c r="AH3391" s="580">
        <f t="shared" si="300"/>
        <v>0</v>
      </c>
    </row>
    <row r="3392" spans="28:34">
      <c r="AB3392" s="580">
        <f>HLOOKUP("*"&amp;'Output annual'!$AC$2&amp;'Output annual'!$AD$2&amp;"*Zone People Number Of Occupants [](Hourly)",'Eplus results'!$1:$1048576,ROW(),FALSE)</f>
        <v>0</v>
      </c>
      <c r="AC3392" s="580">
        <f>HLOOKUP("*"&amp;'Output annual'!$AC$2&amp;'Output annual'!$AD$2&amp;"*FangerPMV(Hourly)",'Eplus results'!$1:$1048576,ROW(),FALSE)</f>
        <v>0</v>
      </c>
      <c r="AD3392" s="580">
        <f t="shared" si="296"/>
        <v>5</v>
      </c>
      <c r="AE3392" s="580">
        <f t="shared" si="297"/>
        <v>2.5</v>
      </c>
      <c r="AF3392" s="580">
        <f t="shared" si="298"/>
        <v>2.5</v>
      </c>
      <c r="AG3392" s="580">
        <f t="shared" si="299"/>
        <v>0</v>
      </c>
      <c r="AH3392" s="580">
        <f t="shared" si="300"/>
        <v>0</v>
      </c>
    </row>
    <row r="3393" spans="28:34">
      <c r="AB3393" s="580">
        <f>HLOOKUP("*"&amp;'Output annual'!$AC$2&amp;'Output annual'!$AD$2&amp;"*Zone People Number Of Occupants [](Hourly)",'Eplus results'!$1:$1048576,ROW(),FALSE)</f>
        <v>0</v>
      </c>
      <c r="AC3393" s="580">
        <f>HLOOKUP("*"&amp;'Output annual'!$AC$2&amp;'Output annual'!$AD$2&amp;"*FangerPMV(Hourly)",'Eplus results'!$1:$1048576,ROW(),FALSE)</f>
        <v>0</v>
      </c>
      <c r="AD3393" s="580">
        <f t="shared" si="296"/>
        <v>5</v>
      </c>
      <c r="AE3393" s="580">
        <f t="shared" si="297"/>
        <v>2.5</v>
      </c>
      <c r="AF3393" s="580">
        <f t="shared" si="298"/>
        <v>2.5</v>
      </c>
      <c r="AG3393" s="580">
        <f t="shared" si="299"/>
        <v>0</v>
      </c>
      <c r="AH3393" s="580">
        <f t="shared" si="300"/>
        <v>0</v>
      </c>
    </row>
    <row r="3394" spans="28:34">
      <c r="AB3394" s="580">
        <f>HLOOKUP("*"&amp;'Output annual'!$AC$2&amp;'Output annual'!$AD$2&amp;"*Zone People Number Of Occupants [](Hourly)",'Eplus results'!$1:$1048576,ROW(),FALSE)</f>
        <v>0</v>
      </c>
      <c r="AC3394" s="580">
        <f>HLOOKUP("*"&amp;'Output annual'!$AC$2&amp;'Output annual'!$AD$2&amp;"*FangerPMV(Hourly)",'Eplus results'!$1:$1048576,ROW(),FALSE)</f>
        <v>0</v>
      </c>
      <c r="AD3394" s="580">
        <f t="shared" si="296"/>
        <v>5</v>
      </c>
      <c r="AE3394" s="580">
        <f t="shared" si="297"/>
        <v>2.5</v>
      </c>
      <c r="AF3394" s="580">
        <f t="shared" si="298"/>
        <v>2.5</v>
      </c>
      <c r="AG3394" s="580">
        <f t="shared" si="299"/>
        <v>0</v>
      </c>
      <c r="AH3394" s="580">
        <f t="shared" si="300"/>
        <v>0</v>
      </c>
    </row>
    <row r="3395" spans="28:34">
      <c r="AB3395" s="580">
        <f>HLOOKUP("*"&amp;'Output annual'!$AC$2&amp;'Output annual'!$AD$2&amp;"*Zone People Number Of Occupants [](Hourly)",'Eplus results'!$1:$1048576,ROW(),FALSE)</f>
        <v>0</v>
      </c>
      <c r="AC3395" s="580">
        <f>HLOOKUP("*"&amp;'Output annual'!$AC$2&amp;'Output annual'!$AD$2&amp;"*FangerPMV(Hourly)",'Eplus results'!$1:$1048576,ROW(),FALSE)</f>
        <v>0</v>
      </c>
      <c r="AD3395" s="580">
        <f t="shared" ref="AD3395:AD3458" si="301">100-95*EXP(-0.03353*AC3395^4-0.2179*AC3395^2)</f>
        <v>5</v>
      </c>
      <c r="AE3395" s="580">
        <f t="shared" ref="AE3395:AE3458" si="302">AD3395*(1/(1+EXP(-6.3*$AC3395)))</f>
        <v>2.5</v>
      </c>
      <c r="AF3395" s="580">
        <f t="shared" ref="AF3395:AF3458" si="303">(AD3395-AE3395)</f>
        <v>2.5</v>
      </c>
      <c r="AG3395" s="580">
        <f t="shared" ref="AG3395:AG3458" si="304">AE3395*AB3395</f>
        <v>0</v>
      </c>
      <c r="AH3395" s="580">
        <f t="shared" ref="AH3395:AH3458" si="305">AF3395*AB3395</f>
        <v>0</v>
      </c>
    </row>
    <row r="3396" spans="28:34">
      <c r="AB3396" s="580">
        <f>HLOOKUP("*"&amp;'Output annual'!$AC$2&amp;'Output annual'!$AD$2&amp;"*Zone People Number Of Occupants [](Hourly)",'Eplus results'!$1:$1048576,ROW(),FALSE)</f>
        <v>0</v>
      </c>
      <c r="AC3396" s="580">
        <f>HLOOKUP("*"&amp;'Output annual'!$AC$2&amp;'Output annual'!$AD$2&amp;"*FangerPMV(Hourly)",'Eplus results'!$1:$1048576,ROW(),FALSE)</f>
        <v>0</v>
      </c>
      <c r="AD3396" s="580">
        <f t="shared" si="301"/>
        <v>5</v>
      </c>
      <c r="AE3396" s="580">
        <f t="shared" si="302"/>
        <v>2.5</v>
      </c>
      <c r="AF3396" s="580">
        <f t="shared" si="303"/>
        <v>2.5</v>
      </c>
      <c r="AG3396" s="580">
        <f t="shared" si="304"/>
        <v>0</v>
      </c>
      <c r="AH3396" s="580">
        <f t="shared" si="305"/>
        <v>0</v>
      </c>
    </row>
    <row r="3397" spans="28:34">
      <c r="AB3397" s="580">
        <f>HLOOKUP("*"&amp;'Output annual'!$AC$2&amp;'Output annual'!$AD$2&amp;"*Zone People Number Of Occupants [](Hourly)",'Eplus results'!$1:$1048576,ROW(),FALSE)</f>
        <v>0</v>
      </c>
      <c r="AC3397" s="580">
        <f>HLOOKUP("*"&amp;'Output annual'!$AC$2&amp;'Output annual'!$AD$2&amp;"*FangerPMV(Hourly)",'Eplus results'!$1:$1048576,ROW(),FALSE)</f>
        <v>0</v>
      </c>
      <c r="AD3397" s="580">
        <f t="shared" si="301"/>
        <v>5</v>
      </c>
      <c r="AE3397" s="580">
        <f t="shared" si="302"/>
        <v>2.5</v>
      </c>
      <c r="AF3397" s="580">
        <f t="shared" si="303"/>
        <v>2.5</v>
      </c>
      <c r="AG3397" s="580">
        <f t="shared" si="304"/>
        <v>0</v>
      </c>
      <c r="AH3397" s="580">
        <f t="shared" si="305"/>
        <v>0</v>
      </c>
    </row>
    <row r="3398" spans="28:34">
      <c r="AB3398" s="580">
        <f>HLOOKUP("*"&amp;'Output annual'!$AC$2&amp;'Output annual'!$AD$2&amp;"*Zone People Number Of Occupants [](Hourly)",'Eplus results'!$1:$1048576,ROW(),FALSE)</f>
        <v>0</v>
      </c>
      <c r="AC3398" s="580">
        <f>HLOOKUP("*"&amp;'Output annual'!$AC$2&amp;'Output annual'!$AD$2&amp;"*FangerPMV(Hourly)",'Eplus results'!$1:$1048576,ROW(),FALSE)</f>
        <v>0</v>
      </c>
      <c r="AD3398" s="580">
        <f t="shared" si="301"/>
        <v>5</v>
      </c>
      <c r="AE3398" s="580">
        <f t="shared" si="302"/>
        <v>2.5</v>
      </c>
      <c r="AF3398" s="580">
        <f t="shared" si="303"/>
        <v>2.5</v>
      </c>
      <c r="AG3398" s="580">
        <f t="shared" si="304"/>
        <v>0</v>
      </c>
      <c r="AH3398" s="580">
        <f t="shared" si="305"/>
        <v>0</v>
      </c>
    </row>
    <row r="3399" spans="28:34">
      <c r="AB3399" s="580">
        <f>HLOOKUP("*"&amp;'Output annual'!$AC$2&amp;'Output annual'!$AD$2&amp;"*Zone People Number Of Occupants [](Hourly)",'Eplus results'!$1:$1048576,ROW(),FALSE)</f>
        <v>0</v>
      </c>
      <c r="AC3399" s="580">
        <f>HLOOKUP("*"&amp;'Output annual'!$AC$2&amp;'Output annual'!$AD$2&amp;"*FangerPMV(Hourly)",'Eplus results'!$1:$1048576,ROW(),FALSE)</f>
        <v>0</v>
      </c>
      <c r="AD3399" s="580">
        <f t="shared" si="301"/>
        <v>5</v>
      </c>
      <c r="AE3399" s="580">
        <f t="shared" si="302"/>
        <v>2.5</v>
      </c>
      <c r="AF3399" s="580">
        <f t="shared" si="303"/>
        <v>2.5</v>
      </c>
      <c r="AG3399" s="580">
        <f t="shared" si="304"/>
        <v>0</v>
      </c>
      <c r="AH3399" s="580">
        <f t="shared" si="305"/>
        <v>0</v>
      </c>
    </row>
    <row r="3400" spans="28:34">
      <c r="AB3400" s="580">
        <f>HLOOKUP("*"&amp;'Output annual'!$AC$2&amp;'Output annual'!$AD$2&amp;"*Zone People Number Of Occupants [](Hourly)",'Eplus results'!$1:$1048576,ROW(),FALSE)</f>
        <v>0</v>
      </c>
      <c r="AC3400" s="580">
        <f>HLOOKUP("*"&amp;'Output annual'!$AC$2&amp;'Output annual'!$AD$2&amp;"*FangerPMV(Hourly)",'Eplus results'!$1:$1048576,ROW(),FALSE)</f>
        <v>0</v>
      </c>
      <c r="AD3400" s="580">
        <f t="shared" si="301"/>
        <v>5</v>
      </c>
      <c r="AE3400" s="580">
        <f t="shared" si="302"/>
        <v>2.5</v>
      </c>
      <c r="AF3400" s="580">
        <f t="shared" si="303"/>
        <v>2.5</v>
      </c>
      <c r="AG3400" s="580">
        <f t="shared" si="304"/>
        <v>0</v>
      </c>
      <c r="AH3400" s="580">
        <f t="shared" si="305"/>
        <v>0</v>
      </c>
    </row>
    <row r="3401" spans="28:34">
      <c r="AB3401" s="580">
        <f>HLOOKUP("*"&amp;'Output annual'!$AC$2&amp;'Output annual'!$AD$2&amp;"*Zone People Number Of Occupants [](Hourly)",'Eplus results'!$1:$1048576,ROW(),FALSE)</f>
        <v>0</v>
      </c>
      <c r="AC3401" s="580">
        <f>HLOOKUP("*"&amp;'Output annual'!$AC$2&amp;'Output annual'!$AD$2&amp;"*FangerPMV(Hourly)",'Eplus results'!$1:$1048576,ROW(),FALSE)</f>
        <v>0</v>
      </c>
      <c r="AD3401" s="580">
        <f t="shared" si="301"/>
        <v>5</v>
      </c>
      <c r="AE3401" s="580">
        <f t="shared" si="302"/>
        <v>2.5</v>
      </c>
      <c r="AF3401" s="580">
        <f t="shared" si="303"/>
        <v>2.5</v>
      </c>
      <c r="AG3401" s="580">
        <f t="shared" si="304"/>
        <v>0</v>
      </c>
      <c r="AH3401" s="580">
        <f t="shared" si="305"/>
        <v>0</v>
      </c>
    </row>
    <row r="3402" spans="28:34">
      <c r="AB3402" s="580">
        <f>HLOOKUP("*"&amp;'Output annual'!$AC$2&amp;'Output annual'!$AD$2&amp;"*Zone People Number Of Occupants [](Hourly)",'Eplus results'!$1:$1048576,ROW(),FALSE)</f>
        <v>0</v>
      </c>
      <c r="AC3402" s="580">
        <f>HLOOKUP("*"&amp;'Output annual'!$AC$2&amp;'Output annual'!$AD$2&amp;"*FangerPMV(Hourly)",'Eplus results'!$1:$1048576,ROW(),FALSE)</f>
        <v>0</v>
      </c>
      <c r="AD3402" s="580">
        <f t="shared" si="301"/>
        <v>5</v>
      </c>
      <c r="AE3402" s="580">
        <f t="shared" si="302"/>
        <v>2.5</v>
      </c>
      <c r="AF3402" s="580">
        <f t="shared" si="303"/>
        <v>2.5</v>
      </c>
      <c r="AG3402" s="580">
        <f t="shared" si="304"/>
        <v>0</v>
      </c>
      <c r="AH3402" s="580">
        <f t="shared" si="305"/>
        <v>0</v>
      </c>
    </row>
    <row r="3403" spans="28:34">
      <c r="AB3403" s="580">
        <f>HLOOKUP("*"&amp;'Output annual'!$AC$2&amp;'Output annual'!$AD$2&amp;"*Zone People Number Of Occupants [](Hourly)",'Eplus results'!$1:$1048576,ROW(),FALSE)</f>
        <v>0</v>
      </c>
      <c r="AC3403" s="580">
        <f>HLOOKUP("*"&amp;'Output annual'!$AC$2&amp;'Output annual'!$AD$2&amp;"*FangerPMV(Hourly)",'Eplus results'!$1:$1048576,ROW(),FALSE)</f>
        <v>0</v>
      </c>
      <c r="AD3403" s="580">
        <f t="shared" si="301"/>
        <v>5</v>
      </c>
      <c r="AE3403" s="580">
        <f t="shared" si="302"/>
        <v>2.5</v>
      </c>
      <c r="AF3403" s="580">
        <f t="shared" si="303"/>
        <v>2.5</v>
      </c>
      <c r="AG3403" s="580">
        <f t="shared" si="304"/>
        <v>0</v>
      </c>
      <c r="AH3403" s="580">
        <f t="shared" si="305"/>
        <v>0</v>
      </c>
    </row>
    <row r="3404" spans="28:34">
      <c r="AB3404" s="580">
        <f>HLOOKUP("*"&amp;'Output annual'!$AC$2&amp;'Output annual'!$AD$2&amp;"*Zone People Number Of Occupants [](Hourly)",'Eplus results'!$1:$1048576,ROW(),FALSE)</f>
        <v>0</v>
      </c>
      <c r="AC3404" s="580">
        <f>HLOOKUP("*"&amp;'Output annual'!$AC$2&amp;'Output annual'!$AD$2&amp;"*FangerPMV(Hourly)",'Eplus results'!$1:$1048576,ROW(),FALSE)</f>
        <v>0</v>
      </c>
      <c r="AD3404" s="580">
        <f t="shared" si="301"/>
        <v>5</v>
      </c>
      <c r="AE3404" s="580">
        <f t="shared" si="302"/>
        <v>2.5</v>
      </c>
      <c r="AF3404" s="580">
        <f t="shared" si="303"/>
        <v>2.5</v>
      </c>
      <c r="AG3404" s="580">
        <f t="shared" si="304"/>
        <v>0</v>
      </c>
      <c r="AH3404" s="580">
        <f t="shared" si="305"/>
        <v>0</v>
      </c>
    </row>
    <row r="3405" spans="28:34">
      <c r="AB3405" s="580">
        <f>HLOOKUP("*"&amp;'Output annual'!$AC$2&amp;'Output annual'!$AD$2&amp;"*Zone People Number Of Occupants [](Hourly)",'Eplus results'!$1:$1048576,ROW(),FALSE)</f>
        <v>0</v>
      </c>
      <c r="AC3405" s="580">
        <f>HLOOKUP("*"&amp;'Output annual'!$AC$2&amp;'Output annual'!$AD$2&amp;"*FangerPMV(Hourly)",'Eplus results'!$1:$1048576,ROW(),FALSE)</f>
        <v>0</v>
      </c>
      <c r="AD3405" s="580">
        <f t="shared" si="301"/>
        <v>5</v>
      </c>
      <c r="AE3405" s="580">
        <f t="shared" si="302"/>
        <v>2.5</v>
      </c>
      <c r="AF3405" s="580">
        <f t="shared" si="303"/>
        <v>2.5</v>
      </c>
      <c r="AG3405" s="580">
        <f t="shared" si="304"/>
        <v>0</v>
      </c>
      <c r="AH3405" s="580">
        <f t="shared" si="305"/>
        <v>0</v>
      </c>
    </row>
    <row r="3406" spans="28:34">
      <c r="AB3406" s="580">
        <f>HLOOKUP("*"&amp;'Output annual'!$AC$2&amp;'Output annual'!$AD$2&amp;"*Zone People Number Of Occupants [](Hourly)",'Eplus results'!$1:$1048576,ROW(),FALSE)</f>
        <v>0</v>
      </c>
      <c r="AC3406" s="580">
        <f>HLOOKUP("*"&amp;'Output annual'!$AC$2&amp;'Output annual'!$AD$2&amp;"*FangerPMV(Hourly)",'Eplus results'!$1:$1048576,ROW(),FALSE)</f>
        <v>0</v>
      </c>
      <c r="AD3406" s="580">
        <f t="shared" si="301"/>
        <v>5</v>
      </c>
      <c r="AE3406" s="580">
        <f t="shared" si="302"/>
        <v>2.5</v>
      </c>
      <c r="AF3406" s="580">
        <f t="shared" si="303"/>
        <v>2.5</v>
      </c>
      <c r="AG3406" s="580">
        <f t="shared" si="304"/>
        <v>0</v>
      </c>
      <c r="AH3406" s="580">
        <f t="shared" si="305"/>
        <v>0</v>
      </c>
    </row>
    <row r="3407" spans="28:34">
      <c r="AB3407" s="580">
        <f>HLOOKUP("*"&amp;'Output annual'!$AC$2&amp;'Output annual'!$AD$2&amp;"*Zone People Number Of Occupants [](Hourly)",'Eplus results'!$1:$1048576,ROW(),FALSE)</f>
        <v>0</v>
      </c>
      <c r="AC3407" s="580">
        <f>HLOOKUP("*"&amp;'Output annual'!$AC$2&amp;'Output annual'!$AD$2&amp;"*FangerPMV(Hourly)",'Eplus results'!$1:$1048576,ROW(),FALSE)</f>
        <v>0</v>
      </c>
      <c r="AD3407" s="580">
        <f t="shared" si="301"/>
        <v>5</v>
      </c>
      <c r="AE3407" s="580">
        <f t="shared" si="302"/>
        <v>2.5</v>
      </c>
      <c r="AF3407" s="580">
        <f t="shared" si="303"/>
        <v>2.5</v>
      </c>
      <c r="AG3407" s="580">
        <f t="shared" si="304"/>
        <v>0</v>
      </c>
      <c r="AH3407" s="580">
        <f t="shared" si="305"/>
        <v>0</v>
      </c>
    </row>
    <row r="3408" spans="28:34">
      <c r="AB3408" s="580">
        <f>HLOOKUP("*"&amp;'Output annual'!$AC$2&amp;'Output annual'!$AD$2&amp;"*Zone People Number Of Occupants [](Hourly)",'Eplus results'!$1:$1048576,ROW(),FALSE)</f>
        <v>0</v>
      </c>
      <c r="AC3408" s="580">
        <f>HLOOKUP("*"&amp;'Output annual'!$AC$2&amp;'Output annual'!$AD$2&amp;"*FangerPMV(Hourly)",'Eplus results'!$1:$1048576,ROW(),FALSE)</f>
        <v>0</v>
      </c>
      <c r="AD3408" s="580">
        <f t="shared" si="301"/>
        <v>5</v>
      </c>
      <c r="AE3408" s="580">
        <f t="shared" si="302"/>
        <v>2.5</v>
      </c>
      <c r="AF3408" s="580">
        <f t="shared" si="303"/>
        <v>2.5</v>
      </c>
      <c r="AG3408" s="580">
        <f t="shared" si="304"/>
        <v>0</v>
      </c>
      <c r="AH3408" s="580">
        <f t="shared" si="305"/>
        <v>0</v>
      </c>
    </row>
    <row r="3409" spans="28:34">
      <c r="AB3409" s="580">
        <f>HLOOKUP("*"&amp;'Output annual'!$AC$2&amp;'Output annual'!$AD$2&amp;"*Zone People Number Of Occupants [](Hourly)",'Eplus results'!$1:$1048576,ROW(),FALSE)</f>
        <v>0</v>
      </c>
      <c r="AC3409" s="580">
        <f>HLOOKUP("*"&amp;'Output annual'!$AC$2&amp;'Output annual'!$AD$2&amp;"*FangerPMV(Hourly)",'Eplus results'!$1:$1048576,ROW(),FALSE)</f>
        <v>0</v>
      </c>
      <c r="AD3409" s="580">
        <f t="shared" si="301"/>
        <v>5</v>
      </c>
      <c r="AE3409" s="580">
        <f t="shared" si="302"/>
        <v>2.5</v>
      </c>
      <c r="AF3409" s="580">
        <f t="shared" si="303"/>
        <v>2.5</v>
      </c>
      <c r="AG3409" s="580">
        <f t="shared" si="304"/>
        <v>0</v>
      </c>
      <c r="AH3409" s="580">
        <f t="shared" si="305"/>
        <v>0</v>
      </c>
    </row>
    <row r="3410" spans="28:34">
      <c r="AB3410" s="580">
        <f>HLOOKUP("*"&amp;'Output annual'!$AC$2&amp;'Output annual'!$AD$2&amp;"*Zone People Number Of Occupants [](Hourly)",'Eplus results'!$1:$1048576,ROW(),FALSE)</f>
        <v>0</v>
      </c>
      <c r="AC3410" s="580">
        <f>HLOOKUP("*"&amp;'Output annual'!$AC$2&amp;'Output annual'!$AD$2&amp;"*FangerPMV(Hourly)",'Eplus results'!$1:$1048576,ROW(),FALSE)</f>
        <v>0</v>
      </c>
      <c r="AD3410" s="580">
        <f t="shared" si="301"/>
        <v>5</v>
      </c>
      <c r="AE3410" s="580">
        <f t="shared" si="302"/>
        <v>2.5</v>
      </c>
      <c r="AF3410" s="580">
        <f t="shared" si="303"/>
        <v>2.5</v>
      </c>
      <c r="AG3410" s="580">
        <f t="shared" si="304"/>
        <v>0</v>
      </c>
      <c r="AH3410" s="580">
        <f t="shared" si="305"/>
        <v>0</v>
      </c>
    </row>
    <row r="3411" spans="28:34">
      <c r="AB3411" s="580">
        <f>HLOOKUP("*"&amp;'Output annual'!$AC$2&amp;'Output annual'!$AD$2&amp;"*Zone People Number Of Occupants [](Hourly)",'Eplus results'!$1:$1048576,ROW(),FALSE)</f>
        <v>0</v>
      </c>
      <c r="AC3411" s="580">
        <f>HLOOKUP("*"&amp;'Output annual'!$AC$2&amp;'Output annual'!$AD$2&amp;"*FangerPMV(Hourly)",'Eplus results'!$1:$1048576,ROW(),FALSE)</f>
        <v>0</v>
      </c>
      <c r="AD3411" s="580">
        <f t="shared" si="301"/>
        <v>5</v>
      </c>
      <c r="AE3411" s="580">
        <f t="shared" si="302"/>
        <v>2.5</v>
      </c>
      <c r="AF3411" s="580">
        <f t="shared" si="303"/>
        <v>2.5</v>
      </c>
      <c r="AG3411" s="580">
        <f t="shared" si="304"/>
        <v>0</v>
      </c>
      <c r="AH3411" s="580">
        <f t="shared" si="305"/>
        <v>0</v>
      </c>
    </row>
    <row r="3412" spans="28:34">
      <c r="AB3412" s="580">
        <f>HLOOKUP("*"&amp;'Output annual'!$AC$2&amp;'Output annual'!$AD$2&amp;"*Zone People Number Of Occupants [](Hourly)",'Eplus results'!$1:$1048576,ROW(),FALSE)</f>
        <v>0</v>
      </c>
      <c r="AC3412" s="580">
        <f>HLOOKUP("*"&amp;'Output annual'!$AC$2&amp;'Output annual'!$AD$2&amp;"*FangerPMV(Hourly)",'Eplus results'!$1:$1048576,ROW(),FALSE)</f>
        <v>0</v>
      </c>
      <c r="AD3412" s="580">
        <f t="shared" si="301"/>
        <v>5</v>
      </c>
      <c r="AE3412" s="580">
        <f t="shared" si="302"/>
        <v>2.5</v>
      </c>
      <c r="AF3412" s="580">
        <f t="shared" si="303"/>
        <v>2.5</v>
      </c>
      <c r="AG3412" s="580">
        <f t="shared" si="304"/>
        <v>0</v>
      </c>
      <c r="AH3412" s="580">
        <f t="shared" si="305"/>
        <v>0</v>
      </c>
    </row>
    <row r="3413" spans="28:34">
      <c r="AB3413" s="580">
        <f>HLOOKUP("*"&amp;'Output annual'!$AC$2&amp;'Output annual'!$AD$2&amp;"*Zone People Number Of Occupants [](Hourly)",'Eplus results'!$1:$1048576,ROW(),FALSE)</f>
        <v>0</v>
      </c>
      <c r="AC3413" s="580">
        <f>HLOOKUP("*"&amp;'Output annual'!$AC$2&amp;'Output annual'!$AD$2&amp;"*FangerPMV(Hourly)",'Eplus results'!$1:$1048576,ROW(),FALSE)</f>
        <v>0</v>
      </c>
      <c r="AD3413" s="580">
        <f t="shared" si="301"/>
        <v>5</v>
      </c>
      <c r="AE3413" s="580">
        <f t="shared" si="302"/>
        <v>2.5</v>
      </c>
      <c r="AF3413" s="580">
        <f t="shared" si="303"/>
        <v>2.5</v>
      </c>
      <c r="AG3413" s="580">
        <f t="shared" si="304"/>
        <v>0</v>
      </c>
      <c r="AH3413" s="580">
        <f t="shared" si="305"/>
        <v>0</v>
      </c>
    </row>
    <row r="3414" spans="28:34">
      <c r="AB3414" s="580">
        <f>HLOOKUP("*"&amp;'Output annual'!$AC$2&amp;'Output annual'!$AD$2&amp;"*Zone People Number Of Occupants [](Hourly)",'Eplus results'!$1:$1048576,ROW(),FALSE)</f>
        <v>0</v>
      </c>
      <c r="AC3414" s="580">
        <f>HLOOKUP("*"&amp;'Output annual'!$AC$2&amp;'Output annual'!$AD$2&amp;"*FangerPMV(Hourly)",'Eplus results'!$1:$1048576,ROW(),FALSE)</f>
        <v>0</v>
      </c>
      <c r="AD3414" s="580">
        <f t="shared" si="301"/>
        <v>5</v>
      </c>
      <c r="AE3414" s="580">
        <f t="shared" si="302"/>
        <v>2.5</v>
      </c>
      <c r="AF3414" s="580">
        <f t="shared" si="303"/>
        <v>2.5</v>
      </c>
      <c r="AG3414" s="580">
        <f t="shared" si="304"/>
        <v>0</v>
      </c>
      <c r="AH3414" s="580">
        <f t="shared" si="305"/>
        <v>0</v>
      </c>
    </row>
    <row r="3415" spans="28:34">
      <c r="AB3415" s="580">
        <f>HLOOKUP("*"&amp;'Output annual'!$AC$2&amp;'Output annual'!$AD$2&amp;"*Zone People Number Of Occupants [](Hourly)",'Eplus results'!$1:$1048576,ROW(),FALSE)</f>
        <v>0</v>
      </c>
      <c r="AC3415" s="580">
        <f>HLOOKUP("*"&amp;'Output annual'!$AC$2&amp;'Output annual'!$AD$2&amp;"*FangerPMV(Hourly)",'Eplus results'!$1:$1048576,ROW(),FALSE)</f>
        <v>0</v>
      </c>
      <c r="AD3415" s="580">
        <f t="shared" si="301"/>
        <v>5</v>
      </c>
      <c r="AE3415" s="580">
        <f t="shared" si="302"/>
        <v>2.5</v>
      </c>
      <c r="AF3415" s="580">
        <f t="shared" si="303"/>
        <v>2.5</v>
      </c>
      <c r="AG3415" s="580">
        <f t="shared" si="304"/>
        <v>0</v>
      </c>
      <c r="AH3415" s="580">
        <f t="shared" si="305"/>
        <v>0</v>
      </c>
    </row>
    <row r="3416" spans="28:34">
      <c r="AB3416" s="580">
        <f>HLOOKUP("*"&amp;'Output annual'!$AC$2&amp;'Output annual'!$AD$2&amp;"*Zone People Number Of Occupants [](Hourly)",'Eplus results'!$1:$1048576,ROW(),FALSE)</f>
        <v>0</v>
      </c>
      <c r="AC3416" s="580">
        <f>HLOOKUP("*"&amp;'Output annual'!$AC$2&amp;'Output annual'!$AD$2&amp;"*FangerPMV(Hourly)",'Eplus results'!$1:$1048576,ROW(),FALSE)</f>
        <v>0</v>
      </c>
      <c r="AD3416" s="580">
        <f t="shared" si="301"/>
        <v>5</v>
      </c>
      <c r="AE3416" s="580">
        <f t="shared" si="302"/>
        <v>2.5</v>
      </c>
      <c r="AF3416" s="580">
        <f t="shared" si="303"/>
        <v>2.5</v>
      </c>
      <c r="AG3416" s="580">
        <f t="shared" si="304"/>
        <v>0</v>
      </c>
      <c r="AH3416" s="580">
        <f t="shared" si="305"/>
        <v>0</v>
      </c>
    </row>
    <row r="3417" spans="28:34">
      <c r="AB3417" s="580">
        <f>HLOOKUP("*"&amp;'Output annual'!$AC$2&amp;'Output annual'!$AD$2&amp;"*Zone People Number Of Occupants [](Hourly)",'Eplus results'!$1:$1048576,ROW(),FALSE)</f>
        <v>0</v>
      </c>
      <c r="AC3417" s="580">
        <f>HLOOKUP("*"&amp;'Output annual'!$AC$2&amp;'Output annual'!$AD$2&amp;"*FangerPMV(Hourly)",'Eplus results'!$1:$1048576,ROW(),FALSE)</f>
        <v>0</v>
      </c>
      <c r="AD3417" s="580">
        <f t="shared" si="301"/>
        <v>5</v>
      </c>
      <c r="AE3417" s="580">
        <f t="shared" si="302"/>
        <v>2.5</v>
      </c>
      <c r="AF3417" s="580">
        <f t="shared" si="303"/>
        <v>2.5</v>
      </c>
      <c r="AG3417" s="580">
        <f t="shared" si="304"/>
        <v>0</v>
      </c>
      <c r="AH3417" s="580">
        <f t="shared" si="305"/>
        <v>0</v>
      </c>
    </row>
    <row r="3418" spans="28:34">
      <c r="AB3418" s="580">
        <f>HLOOKUP("*"&amp;'Output annual'!$AC$2&amp;'Output annual'!$AD$2&amp;"*Zone People Number Of Occupants [](Hourly)",'Eplus results'!$1:$1048576,ROW(),FALSE)</f>
        <v>0</v>
      </c>
      <c r="AC3418" s="580">
        <f>HLOOKUP("*"&amp;'Output annual'!$AC$2&amp;'Output annual'!$AD$2&amp;"*FangerPMV(Hourly)",'Eplus results'!$1:$1048576,ROW(),FALSE)</f>
        <v>0</v>
      </c>
      <c r="AD3418" s="580">
        <f t="shared" si="301"/>
        <v>5</v>
      </c>
      <c r="AE3418" s="580">
        <f t="shared" si="302"/>
        <v>2.5</v>
      </c>
      <c r="AF3418" s="580">
        <f t="shared" si="303"/>
        <v>2.5</v>
      </c>
      <c r="AG3418" s="580">
        <f t="shared" si="304"/>
        <v>0</v>
      </c>
      <c r="AH3418" s="580">
        <f t="shared" si="305"/>
        <v>0</v>
      </c>
    </row>
    <row r="3419" spans="28:34">
      <c r="AB3419" s="580">
        <f>HLOOKUP("*"&amp;'Output annual'!$AC$2&amp;'Output annual'!$AD$2&amp;"*Zone People Number Of Occupants [](Hourly)",'Eplus results'!$1:$1048576,ROW(),FALSE)</f>
        <v>0</v>
      </c>
      <c r="AC3419" s="580">
        <f>HLOOKUP("*"&amp;'Output annual'!$AC$2&amp;'Output annual'!$AD$2&amp;"*FangerPMV(Hourly)",'Eplus results'!$1:$1048576,ROW(),FALSE)</f>
        <v>0</v>
      </c>
      <c r="AD3419" s="580">
        <f t="shared" si="301"/>
        <v>5</v>
      </c>
      <c r="AE3419" s="580">
        <f t="shared" si="302"/>
        <v>2.5</v>
      </c>
      <c r="AF3419" s="580">
        <f t="shared" si="303"/>
        <v>2.5</v>
      </c>
      <c r="AG3419" s="580">
        <f t="shared" si="304"/>
        <v>0</v>
      </c>
      <c r="AH3419" s="580">
        <f t="shared" si="305"/>
        <v>0</v>
      </c>
    </row>
    <row r="3420" spans="28:34">
      <c r="AB3420" s="580">
        <f>HLOOKUP("*"&amp;'Output annual'!$AC$2&amp;'Output annual'!$AD$2&amp;"*Zone People Number Of Occupants [](Hourly)",'Eplus results'!$1:$1048576,ROW(),FALSE)</f>
        <v>0</v>
      </c>
      <c r="AC3420" s="580">
        <f>HLOOKUP("*"&amp;'Output annual'!$AC$2&amp;'Output annual'!$AD$2&amp;"*FangerPMV(Hourly)",'Eplus results'!$1:$1048576,ROW(),FALSE)</f>
        <v>0</v>
      </c>
      <c r="AD3420" s="580">
        <f t="shared" si="301"/>
        <v>5</v>
      </c>
      <c r="AE3420" s="580">
        <f t="shared" si="302"/>
        <v>2.5</v>
      </c>
      <c r="AF3420" s="580">
        <f t="shared" si="303"/>
        <v>2.5</v>
      </c>
      <c r="AG3420" s="580">
        <f t="shared" si="304"/>
        <v>0</v>
      </c>
      <c r="AH3420" s="580">
        <f t="shared" si="305"/>
        <v>0</v>
      </c>
    </row>
    <row r="3421" spans="28:34">
      <c r="AB3421" s="580">
        <f>HLOOKUP("*"&amp;'Output annual'!$AC$2&amp;'Output annual'!$AD$2&amp;"*Zone People Number Of Occupants [](Hourly)",'Eplus results'!$1:$1048576,ROW(),FALSE)</f>
        <v>0</v>
      </c>
      <c r="AC3421" s="580">
        <f>HLOOKUP("*"&amp;'Output annual'!$AC$2&amp;'Output annual'!$AD$2&amp;"*FangerPMV(Hourly)",'Eplus results'!$1:$1048576,ROW(),FALSE)</f>
        <v>0</v>
      </c>
      <c r="AD3421" s="580">
        <f t="shared" si="301"/>
        <v>5</v>
      </c>
      <c r="AE3421" s="580">
        <f t="shared" si="302"/>
        <v>2.5</v>
      </c>
      <c r="AF3421" s="580">
        <f t="shared" si="303"/>
        <v>2.5</v>
      </c>
      <c r="AG3421" s="580">
        <f t="shared" si="304"/>
        <v>0</v>
      </c>
      <c r="AH3421" s="580">
        <f t="shared" si="305"/>
        <v>0</v>
      </c>
    </row>
    <row r="3422" spans="28:34">
      <c r="AB3422" s="580">
        <f>HLOOKUP("*"&amp;'Output annual'!$AC$2&amp;'Output annual'!$AD$2&amp;"*Zone People Number Of Occupants [](Hourly)",'Eplus results'!$1:$1048576,ROW(),FALSE)</f>
        <v>0</v>
      </c>
      <c r="AC3422" s="580">
        <f>HLOOKUP("*"&amp;'Output annual'!$AC$2&amp;'Output annual'!$AD$2&amp;"*FangerPMV(Hourly)",'Eplus results'!$1:$1048576,ROW(),FALSE)</f>
        <v>0</v>
      </c>
      <c r="AD3422" s="580">
        <f t="shared" si="301"/>
        <v>5</v>
      </c>
      <c r="AE3422" s="580">
        <f t="shared" si="302"/>
        <v>2.5</v>
      </c>
      <c r="AF3422" s="580">
        <f t="shared" si="303"/>
        <v>2.5</v>
      </c>
      <c r="AG3422" s="580">
        <f t="shared" si="304"/>
        <v>0</v>
      </c>
      <c r="AH3422" s="580">
        <f t="shared" si="305"/>
        <v>0</v>
      </c>
    </row>
    <row r="3423" spans="28:34">
      <c r="AB3423" s="580">
        <f>HLOOKUP("*"&amp;'Output annual'!$AC$2&amp;'Output annual'!$AD$2&amp;"*Zone People Number Of Occupants [](Hourly)",'Eplus results'!$1:$1048576,ROW(),FALSE)</f>
        <v>0</v>
      </c>
      <c r="AC3423" s="580">
        <f>HLOOKUP("*"&amp;'Output annual'!$AC$2&amp;'Output annual'!$AD$2&amp;"*FangerPMV(Hourly)",'Eplus results'!$1:$1048576,ROW(),FALSE)</f>
        <v>0</v>
      </c>
      <c r="AD3423" s="580">
        <f t="shared" si="301"/>
        <v>5</v>
      </c>
      <c r="AE3423" s="580">
        <f t="shared" si="302"/>
        <v>2.5</v>
      </c>
      <c r="AF3423" s="580">
        <f t="shared" si="303"/>
        <v>2.5</v>
      </c>
      <c r="AG3423" s="580">
        <f t="shared" si="304"/>
        <v>0</v>
      </c>
      <c r="AH3423" s="580">
        <f t="shared" si="305"/>
        <v>0</v>
      </c>
    </row>
    <row r="3424" spans="28:34">
      <c r="AB3424" s="580">
        <f>HLOOKUP("*"&amp;'Output annual'!$AC$2&amp;'Output annual'!$AD$2&amp;"*Zone People Number Of Occupants [](Hourly)",'Eplus results'!$1:$1048576,ROW(),FALSE)</f>
        <v>0</v>
      </c>
      <c r="AC3424" s="580">
        <f>HLOOKUP("*"&amp;'Output annual'!$AC$2&amp;'Output annual'!$AD$2&amp;"*FangerPMV(Hourly)",'Eplus results'!$1:$1048576,ROW(),FALSE)</f>
        <v>0</v>
      </c>
      <c r="AD3424" s="580">
        <f t="shared" si="301"/>
        <v>5</v>
      </c>
      <c r="AE3424" s="580">
        <f t="shared" si="302"/>
        <v>2.5</v>
      </c>
      <c r="AF3424" s="580">
        <f t="shared" si="303"/>
        <v>2.5</v>
      </c>
      <c r="AG3424" s="580">
        <f t="shared" si="304"/>
        <v>0</v>
      </c>
      <c r="AH3424" s="580">
        <f t="shared" si="305"/>
        <v>0</v>
      </c>
    </row>
    <row r="3425" spans="28:34">
      <c r="AB3425" s="580">
        <f>HLOOKUP("*"&amp;'Output annual'!$AC$2&amp;'Output annual'!$AD$2&amp;"*Zone People Number Of Occupants [](Hourly)",'Eplus results'!$1:$1048576,ROW(),FALSE)</f>
        <v>0</v>
      </c>
      <c r="AC3425" s="580">
        <f>HLOOKUP("*"&amp;'Output annual'!$AC$2&amp;'Output annual'!$AD$2&amp;"*FangerPMV(Hourly)",'Eplus results'!$1:$1048576,ROW(),FALSE)</f>
        <v>0</v>
      </c>
      <c r="AD3425" s="580">
        <f t="shared" si="301"/>
        <v>5</v>
      </c>
      <c r="AE3425" s="580">
        <f t="shared" si="302"/>
        <v>2.5</v>
      </c>
      <c r="AF3425" s="580">
        <f t="shared" si="303"/>
        <v>2.5</v>
      </c>
      <c r="AG3425" s="580">
        <f t="shared" si="304"/>
        <v>0</v>
      </c>
      <c r="AH3425" s="580">
        <f t="shared" si="305"/>
        <v>0</v>
      </c>
    </row>
    <row r="3426" spans="28:34">
      <c r="AB3426" s="580">
        <f>HLOOKUP("*"&amp;'Output annual'!$AC$2&amp;'Output annual'!$AD$2&amp;"*Zone People Number Of Occupants [](Hourly)",'Eplus results'!$1:$1048576,ROW(),FALSE)</f>
        <v>0</v>
      </c>
      <c r="AC3426" s="580">
        <f>HLOOKUP("*"&amp;'Output annual'!$AC$2&amp;'Output annual'!$AD$2&amp;"*FangerPMV(Hourly)",'Eplus results'!$1:$1048576,ROW(),FALSE)</f>
        <v>0</v>
      </c>
      <c r="AD3426" s="580">
        <f t="shared" si="301"/>
        <v>5</v>
      </c>
      <c r="AE3426" s="580">
        <f t="shared" si="302"/>
        <v>2.5</v>
      </c>
      <c r="AF3426" s="580">
        <f t="shared" si="303"/>
        <v>2.5</v>
      </c>
      <c r="AG3426" s="580">
        <f t="shared" si="304"/>
        <v>0</v>
      </c>
      <c r="AH3426" s="580">
        <f t="shared" si="305"/>
        <v>0</v>
      </c>
    </row>
    <row r="3427" spans="28:34">
      <c r="AB3427" s="580">
        <f>HLOOKUP("*"&amp;'Output annual'!$AC$2&amp;'Output annual'!$AD$2&amp;"*Zone People Number Of Occupants [](Hourly)",'Eplus results'!$1:$1048576,ROW(),FALSE)</f>
        <v>0</v>
      </c>
      <c r="AC3427" s="580">
        <f>HLOOKUP("*"&amp;'Output annual'!$AC$2&amp;'Output annual'!$AD$2&amp;"*FangerPMV(Hourly)",'Eplus results'!$1:$1048576,ROW(),FALSE)</f>
        <v>0</v>
      </c>
      <c r="AD3427" s="580">
        <f t="shared" si="301"/>
        <v>5</v>
      </c>
      <c r="AE3427" s="580">
        <f t="shared" si="302"/>
        <v>2.5</v>
      </c>
      <c r="AF3427" s="580">
        <f t="shared" si="303"/>
        <v>2.5</v>
      </c>
      <c r="AG3427" s="580">
        <f t="shared" si="304"/>
        <v>0</v>
      </c>
      <c r="AH3427" s="580">
        <f t="shared" si="305"/>
        <v>0</v>
      </c>
    </row>
    <row r="3428" spans="28:34">
      <c r="AB3428" s="580">
        <f>HLOOKUP("*"&amp;'Output annual'!$AC$2&amp;'Output annual'!$AD$2&amp;"*Zone People Number Of Occupants [](Hourly)",'Eplus results'!$1:$1048576,ROW(),FALSE)</f>
        <v>0</v>
      </c>
      <c r="AC3428" s="580">
        <f>HLOOKUP("*"&amp;'Output annual'!$AC$2&amp;'Output annual'!$AD$2&amp;"*FangerPMV(Hourly)",'Eplus results'!$1:$1048576,ROW(),FALSE)</f>
        <v>0</v>
      </c>
      <c r="AD3428" s="580">
        <f t="shared" si="301"/>
        <v>5</v>
      </c>
      <c r="AE3428" s="580">
        <f t="shared" si="302"/>
        <v>2.5</v>
      </c>
      <c r="AF3428" s="580">
        <f t="shared" si="303"/>
        <v>2.5</v>
      </c>
      <c r="AG3428" s="580">
        <f t="shared" si="304"/>
        <v>0</v>
      </c>
      <c r="AH3428" s="580">
        <f t="shared" si="305"/>
        <v>0</v>
      </c>
    </row>
    <row r="3429" spans="28:34">
      <c r="AB3429" s="580">
        <f>HLOOKUP("*"&amp;'Output annual'!$AC$2&amp;'Output annual'!$AD$2&amp;"*Zone People Number Of Occupants [](Hourly)",'Eplus results'!$1:$1048576,ROW(),FALSE)</f>
        <v>0</v>
      </c>
      <c r="AC3429" s="580">
        <f>HLOOKUP("*"&amp;'Output annual'!$AC$2&amp;'Output annual'!$AD$2&amp;"*FangerPMV(Hourly)",'Eplus results'!$1:$1048576,ROW(),FALSE)</f>
        <v>0</v>
      </c>
      <c r="AD3429" s="580">
        <f t="shared" si="301"/>
        <v>5</v>
      </c>
      <c r="AE3429" s="580">
        <f t="shared" si="302"/>
        <v>2.5</v>
      </c>
      <c r="AF3429" s="580">
        <f t="shared" si="303"/>
        <v>2.5</v>
      </c>
      <c r="AG3429" s="580">
        <f t="shared" si="304"/>
        <v>0</v>
      </c>
      <c r="AH3429" s="580">
        <f t="shared" si="305"/>
        <v>0</v>
      </c>
    </row>
    <row r="3430" spans="28:34">
      <c r="AB3430" s="580">
        <f>HLOOKUP("*"&amp;'Output annual'!$AC$2&amp;'Output annual'!$AD$2&amp;"*Zone People Number Of Occupants [](Hourly)",'Eplus results'!$1:$1048576,ROW(),FALSE)</f>
        <v>0</v>
      </c>
      <c r="AC3430" s="580">
        <f>HLOOKUP("*"&amp;'Output annual'!$AC$2&amp;'Output annual'!$AD$2&amp;"*FangerPMV(Hourly)",'Eplus results'!$1:$1048576,ROW(),FALSE)</f>
        <v>0</v>
      </c>
      <c r="AD3430" s="580">
        <f t="shared" si="301"/>
        <v>5</v>
      </c>
      <c r="AE3430" s="580">
        <f t="shared" si="302"/>
        <v>2.5</v>
      </c>
      <c r="AF3430" s="580">
        <f t="shared" si="303"/>
        <v>2.5</v>
      </c>
      <c r="AG3430" s="580">
        <f t="shared" si="304"/>
        <v>0</v>
      </c>
      <c r="AH3430" s="580">
        <f t="shared" si="305"/>
        <v>0</v>
      </c>
    </row>
    <row r="3431" spans="28:34">
      <c r="AB3431" s="580">
        <f>HLOOKUP("*"&amp;'Output annual'!$AC$2&amp;'Output annual'!$AD$2&amp;"*Zone People Number Of Occupants [](Hourly)",'Eplus results'!$1:$1048576,ROW(),FALSE)</f>
        <v>0</v>
      </c>
      <c r="AC3431" s="580">
        <f>HLOOKUP("*"&amp;'Output annual'!$AC$2&amp;'Output annual'!$AD$2&amp;"*FangerPMV(Hourly)",'Eplus results'!$1:$1048576,ROW(),FALSE)</f>
        <v>0</v>
      </c>
      <c r="AD3431" s="580">
        <f t="shared" si="301"/>
        <v>5</v>
      </c>
      <c r="AE3431" s="580">
        <f t="shared" si="302"/>
        <v>2.5</v>
      </c>
      <c r="AF3431" s="580">
        <f t="shared" si="303"/>
        <v>2.5</v>
      </c>
      <c r="AG3431" s="580">
        <f t="shared" si="304"/>
        <v>0</v>
      </c>
      <c r="AH3431" s="580">
        <f t="shared" si="305"/>
        <v>0</v>
      </c>
    </row>
    <row r="3432" spans="28:34">
      <c r="AB3432" s="580">
        <f>HLOOKUP("*"&amp;'Output annual'!$AC$2&amp;'Output annual'!$AD$2&amp;"*Zone People Number Of Occupants [](Hourly)",'Eplus results'!$1:$1048576,ROW(),FALSE)</f>
        <v>0</v>
      </c>
      <c r="AC3432" s="580">
        <f>HLOOKUP("*"&amp;'Output annual'!$AC$2&amp;'Output annual'!$AD$2&amp;"*FangerPMV(Hourly)",'Eplus results'!$1:$1048576,ROW(),FALSE)</f>
        <v>0</v>
      </c>
      <c r="AD3432" s="580">
        <f t="shared" si="301"/>
        <v>5</v>
      </c>
      <c r="AE3432" s="580">
        <f t="shared" si="302"/>
        <v>2.5</v>
      </c>
      <c r="AF3432" s="580">
        <f t="shared" si="303"/>
        <v>2.5</v>
      </c>
      <c r="AG3432" s="580">
        <f t="shared" si="304"/>
        <v>0</v>
      </c>
      <c r="AH3432" s="580">
        <f t="shared" si="305"/>
        <v>0</v>
      </c>
    </row>
    <row r="3433" spans="28:34">
      <c r="AB3433" s="580">
        <f>HLOOKUP("*"&amp;'Output annual'!$AC$2&amp;'Output annual'!$AD$2&amp;"*Zone People Number Of Occupants [](Hourly)",'Eplus results'!$1:$1048576,ROW(),FALSE)</f>
        <v>0</v>
      </c>
      <c r="AC3433" s="580">
        <f>HLOOKUP("*"&amp;'Output annual'!$AC$2&amp;'Output annual'!$AD$2&amp;"*FangerPMV(Hourly)",'Eplus results'!$1:$1048576,ROW(),FALSE)</f>
        <v>0</v>
      </c>
      <c r="AD3433" s="580">
        <f t="shared" si="301"/>
        <v>5</v>
      </c>
      <c r="AE3433" s="580">
        <f t="shared" si="302"/>
        <v>2.5</v>
      </c>
      <c r="AF3433" s="580">
        <f t="shared" si="303"/>
        <v>2.5</v>
      </c>
      <c r="AG3433" s="580">
        <f t="shared" si="304"/>
        <v>0</v>
      </c>
      <c r="AH3433" s="580">
        <f t="shared" si="305"/>
        <v>0</v>
      </c>
    </row>
    <row r="3434" spans="28:34">
      <c r="AB3434" s="580">
        <f>HLOOKUP("*"&amp;'Output annual'!$AC$2&amp;'Output annual'!$AD$2&amp;"*Zone People Number Of Occupants [](Hourly)",'Eplus results'!$1:$1048576,ROW(),FALSE)</f>
        <v>0</v>
      </c>
      <c r="AC3434" s="580">
        <f>HLOOKUP("*"&amp;'Output annual'!$AC$2&amp;'Output annual'!$AD$2&amp;"*FangerPMV(Hourly)",'Eplus results'!$1:$1048576,ROW(),FALSE)</f>
        <v>0</v>
      </c>
      <c r="AD3434" s="580">
        <f t="shared" si="301"/>
        <v>5</v>
      </c>
      <c r="AE3434" s="580">
        <f t="shared" si="302"/>
        <v>2.5</v>
      </c>
      <c r="AF3434" s="580">
        <f t="shared" si="303"/>
        <v>2.5</v>
      </c>
      <c r="AG3434" s="580">
        <f t="shared" si="304"/>
        <v>0</v>
      </c>
      <c r="AH3434" s="580">
        <f t="shared" si="305"/>
        <v>0</v>
      </c>
    </row>
    <row r="3435" spans="28:34">
      <c r="AB3435" s="580">
        <f>HLOOKUP("*"&amp;'Output annual'!$AC$2&amp;'Output annual'!$AD$2&amp;"*Zone People Number Of Occupants [](Hourly)",'Eplus results'!$1:$1048576,ROW(),FALSE)</f>
        <v>0</v>
      </c>
      <c r="AC3435" s="580">
        <f>HLOOKUP("*"&amp;'Output annual'!$AC$2&amp;'Output annual'!$AD$2&amp;"*FangerPMV(Hourly)",'Eplus results'!$1:$1048576,ROW(),FALSE)</f>
        <v>0</v>
      </c>
      <c r="AD3435" s="580">
        <f t="shared" si="301"/>
        <v>5</v>
      </c>
      <c r="AE3435" s="580">
        <f t="shared" si="302"/>
        <v>2.5</v>
      </c>
      <c r="AF3435" s="580">
        <f t="shared" si="303"/>
        <v>2.5</v>
      </c>
      <c r="AG3435" s="580">
        <f t="shared" si="304"/>
        <v>0</v>
      </c>
      <c r="AH3435" s="580">
        <f t="shared" si="305"/>
        <v>0</v>
      </c>
    </row>
    <row r="3436" spans="28:34">
      <c r="AB3436" s="580">
        <f>HLOOKUP("*"&amp;'Output annual'!$AC$2&amp;'Output annual'!$AD$2&amp;"*Zone People Number Of Occupants [](Hourly)",'Eplus results'!$1:$1048576,ROW(),FALSE)</f>
        <v>0</v>
      </c>
      <c r="AC3436" s="580">
        <f>HLOOKUP("*"&amp;'Output annual'!$AC$2&amp;'Output annual'!$AD$2&amp;"*FangerPMV(Hourly)",'Eplus results'!$1:$1048576,ROW(),FALSE)</f>
        <v>0</v>
      </c>
      <c r="AD3436" s="580">
        <f t="shared" si="301"/>
        <v>5</v>
      </c>
      <c r="AE3436" s="580">
        <f t="shared" si="302"/>
        <v>2.5</v>
      </c>
      <c r="AF3436" s="580">
        <f t="shared" si="303"/>
        <v>2.5</v>
      </c>
      <c r="AG3436" s="580">
        <f t="shared" si="304"/>
        <v>0</v>
      </c>
      <c r="AH3436" s="580">
        <f t="shared" si="305"/>
        <v>0</v>
      </c>
    </row>
    <row r="3437" spans="28:34">
      <c r="AB3437" s="580">
        <f>HLOOKUP("*"&amp;'Output annual'!$AC$2&amp;'Output annual'!$AD$2&amp;"*Zone People Number Of Occupants [](Hourly)",'Eplus results'!$1:$1048576,ROW(),FALSE)</f>
        <v>0</v>
      </c>
      <c r="AC3437" s="580">
        <f>HLOOKUP("*"&amp;'Output annual'!$AC$2&amp;'Output annual'!$AD$2&amp;"*FangerPMV(Hourly)",'Eplus results'!$1:$1048576,ROW(),FALSE)</f>
        <v>0</v>
      </c>
      <c r="AD3437" s="580">
        <f t="shared" si="301"/>
        <v>5</v>
      </c>
      <c r="AE3437" s="580">
        <f t="shared" si="302"/>
        <v>2.5</v>
      </c>
      <c r="AF3437" s="580">
        <f t="shared" si="303"/>
        <v>2.5</v>
      </c>
      <c r="AG3437" s="580">
        <f t="shared" si="304"/>
        <v>0</v>
      </c>
      <c r="AH3437" s="580">
        <f t="shared" si="305"/>
        <v>0</v>
      </c>
    </row>
    <row r="3438" spans="28:34">
      <c r="AB3438" s="580">
        <f>HLOOKUP("*"&amp;'Output annual'!$AC$2&amp;'Output annual'!$AD$2&amp;"*Zone People Number Of Occupants [](Hourly)",'Eplus results'!$1:$1048576,ROW(),FALSE)</f>
        <v>0</v>
      </c>
      <c r="AC3438" s="580">
        <f>HLOOKUP("*"&amp;'Output annual'!$AC$2&amp;'Output annual'!$AD$2&amp;"*FangerPMV(Hourly)",'Eplus results'!$1:$1048576,ROW(),FALSE)</f>
        <v>0</v>
      </c>
      <c r="AD3438" s="580">
        <f t="shared" si="301"/>
        <v>5</v>
      </c>
      <c r="AE3438" s="580">
        <f t="shared" si="302"/>
        <v>2.5</v>
      </c>
      <c r="AF3438" s="580">
        <f t="shared" si="303"/>
        <v>2.5</v>
      </c>
      <c r="AG3438" s="580">
        <f t="shared" si="304"/>
        <v>0</v>
      </c>
      <c r="AH3438" s="580">
        <f t="shared" si="305"/>
        <v>0</v>
      </c>
    </row>
    <row r="3439" spans="28:34">
      <c r="AB3439" s="580">
        <f>HLOOKUP("*"&amp;'Output annual'!$AC$2&amp;'Output annual'!$AD$2&amp;"*Zone People Number Of Occupants [](Hourly)",'Eplus results'!$1:$1048576,ROW(),FALSE)</f>
        <v>0</v>
      </c>
      <c r="AC3439" s="580">
        <f>HLOOKUP("*"&amp;'Output annual'!$AC$2&amp;'Output annual'!$AD$2&amp;"*FangerPMV(Hourly)",'Eplus results'!$1:$1048576,ROW(),FALSE)</f>
        <v>0</v>
      </c>
      <c r="AD3439" s="580">
        <f t="shared" si="301"/>
        <v>5</v>
      </c>
      <c r="AE3439" s="580">
        <f t="shared" si="302"/>
        <v>2.5</v>
      </c>
      <c r="AF3439" s="580">
        <f t="shared" si="303"/>
        <v>2.5</v>
      </c>
      <c r="AG3439" s="580">
        <f t="shared" si="304"/>
        <v>0</v>
      </c>
      <c r="AH3439" s="580">
        <f t="shared" si="305"/>
        <v>0</v>
      </c>
    </row>
    <row r="3440" spans="28:34">
      <c r="AB3440" s="580">
        <f>HLOOKUP("*"&amp;'Output annual'!$AC$2&amp;'Output annual'!$AD$2&amp;"*Zone People Number Of Occupants [](Hourly)",'Eplus results'!$1:$1048576,ROW(),FALSE)</f>
        <v>0</v>
      </c>
      <c r="AC3440" s="580">
        <f>HLOOKUP("*"&amp;'Output annual'!$AC$2&amp;'Output annual'!$AD$2&amp;"*FangerPMV(Hourly)",'Eplus results'!$1:$1048576,ROW(),FALSE)</f>
        <v>0</v>
      </c>
      <c r="AD3440" s="580">
        <f t="shared" si="301"/>
        <v>5</v>
      </c>
      <c r="AE3440" s="580">
        <f t="shared" si="302"/>
        <v>2.5</v>
      </c>
      <c r="AF3440" s="580">
        <f t="shared" si="303"/>
        <v>2.5</v>
      </c>
      <c r="AG3440" s="580">
        <f t="shared" si="304"/>
        <v>0</v>
      </c>
      <c r="AH3440" s="580">
        <f t="shared" si="305"/>
        <v>0</v>
      </c>
    </row>
    <row r="3441" spans="28:34">
      <c r="AB3441" s="580">
        <f>HLOOKUP("*"&amp;'Output annual'!$AC$2&amp;'Output annual'!$AD$2&amp;"*Zone People Number Of Occupants [](Hourly)",'Eplus results'!$1:$1048576,ROW(),FALSE)</f>
        <v>0</v>
      </c>
      <c r="AC3441" s="580">
        <f>HLOOKUP("*"&amp;'Output annual'!$AC$2&amp;'Output annual'!$AD$2&amp;"*FangerPMV(Hourly)",'Eplus results'!$1:$1048576,ROW(),FALSE)</f>
        <v>0</v>
      </c>
      <c r="AD3441" s="580">
        <f t="shared" si="301"/>
        <v>5</v>
      </c>
      <c r="AE3441" s="580">
        <f t="shared" si="302"/>
        <v>2.5</v>
      </c>
      <c r="AF3441" s="580">
        <f t="shared" si="303"/>
        <v>2.5</v>
      </c>
      <c r="AG3441" s="580">
        <f t="shared" si="304"/>
        <v>0</v>
      </c>
      <c r="AH3441" s="580">
        <f t="shared" si="305"/>
        <v>0</v>
      </c>
    </row>
    <row r="3442" spans="28:34">
      <c r="AB3442" s="580">
        <f>HLOOKUP("*"&amp;'Output annual'!$AC$2&amp;'Output annual'!$AD$2&amp;"*Zone People Number Of Occupants [](Hourly)",'Eplus results'!$1:$1048576,ROW(),FALSE)</f>
        <v>0</v>
      </c>
      <c r="AC3442" s="580">
        <f>HLOOKUP("*"&amp;'Output annual'!$AC$2&amp;'Output annual'!$AD$2&amp;"*FangerPMV(Hourly)",'Eplus results'!$1:$1048576,ROW(),FALSE)</f>
        <v>0</v>
      </c>
      <c r="AD3442" s="580">
        <f t="shared" si="301"/>
        <v>5</v>
      </c>
      <c r="AE3442" s="580">
        <f t="shared" si="302"/>
        <v>2.5</v>
      </c>
      <c r="AF3442" s="580">
        <f t="shared" si="303"/>
        <v>2.5</v>
      </c>
      <c r="AG3442" s="580">
        <f t="shared" si="304"/>
        <v>0</v>
      </c>
      <c r="AH3442" s="580">
        <f t="shared" si="305"/>
        <v>0</v>
      </c>
    </row>
    <row r="3443" spans="28:34">
      <c r="AB3443" s="580">
        <f>HLOOKUP("*"&amp;'Output annual'!$AC$2&amp;'Output annual'!$AD$2&amp;"*Zone People Number Of Occupants [](Hourly)",'Eplus results'!$1:$1048576,ROW(),FALSE)</f>
        <v>0</v>
      </c>
      <c r="AC3443" s="580">
        <f>HLOOKUP("*"&amp;'Output annual'!$AC$2&amp;'Output annual'!$AD$2&amp;"*FangerPMV(Hourly)",'Eplus results'!$1:$1048576,ROW(),FALSE)</f>
        <v>0</v>
      </c>
      <c r="AD3443" s="580">
        <f t="shared" si="301"/>
        <v>5</v>
      </c>
      <c r="AE3443" s="580">
        <f t="shared" si="302"/>
        <v>2.5</v>
      </c>
      <c r="AF3443" s="580">
        <f t="shared" si="303"/>
        <v>2.5</v>
      </c>
      <c r="AG3443" s="580">
        <f t="shared" si="304"/>
        <v>0</v>
      </c>
      <c r="AH3443" s="580">
        <f t="shared" si="305"/>
        <v>0</v>
      </c>
    </row>
    <row r="3444" spans="28:34">
      <c r="AB3444" s="580">
        <f>HLOOKUP("*"&amp;'Output annual'!$AC$2&amp;'Output annual'!$AD$2&amp;"*Zone People Number Of Occupants [](Hourly)",'Eplus results'!$1:$1048576,ROW(),FALSE)</f>
        <v>0</v>
      </c>
      <c r="AC3444" s="580">
        <f>HLOOKUP("*"&amp;'Output annual'!$AC$2&amp;'Output annual'!$AD$2&amp;"*FangerPMV(Hourly)",'Eplus results'!$1:$1048576,ROW(),FALSE)</f>
        <v>0</v>
      </c>
      <c r="AD3444" s="580">
        <f t="shared" si="301"/>
        <v>5</v>
      </c>
      <c r="AE3444" s="580">
        <f t="shared" si="302"/>
        <v>2.5</v>
      </c>
      <c r="AF3444" s="580">
        <f t="shared" si="303"/>
        <v>2.5</v>
      </c>
      <c r="AG3444" s="580">
        <f t="shared" si="304"/>
        <v>0</v>
      </c>
      <c r="AH3444" s="580">
        <f t="shared" si="305"/>
        <v>0</v>
      </c>
    </row>
    <row r="3445" spans="28:34">
      <c r="AB3445" s="580">
        <f>HLOOKUP("*"&amp;'Output annual'!$AC$2&amp;'Output annual'!$AD$2&amp;"*Zone People Number Of Occupants [](Hourly)",'Eplus results'!$1:$1048576,ROW(),FALSE)</f>
        <v>0</v>
      </c>
      <c r="AC3445" s="580">
        <f>HLOOKUP("*"&amp;'Output annual'!$AC$2&amp;'Output annual'!$AD$2&amp;"*FangerPMV(Hourly)",'Eplus results'!$1:$1048576,ROW(),FALSE)</f>
        <v>0</v>
      </c>
      <c r="AD3445" s="580">
        <f t="shared" si="301"/>
        <v>5</v>
      </c>
      <c r="AE3445" s="580">
        <f t="shared" si="302"/>
        <v>2.5</v>
      </c>
      <c r="AF3445" s="580">
        <f t="shared" si="303"/>
        <v>2.5</v>
      </c>
      <c r="AG3445" s="580">
        <f t="shared" si="304"/>
        <v>0</v>
      </c>
      <c r="AH3445" s="580">
        <f t="shared" si="305"/>
        <v>0</v>
      </c>
    </row>
    <row r="3446" spans="28:34">
      <c r="AB3446" s="580">
        <f>HLOOKUP("*"&amp;'Output annual'!$AC$2&amp;'Output annual'!$AD$2&amp;"*Zone People Number Of Occupants [](Hourly)",'Eplus results'!$1:$1048576,ROW(),FALSE)</f>
        <v>0</v>
      </c>
      <c r="AC3446" s="580">
        <f>HLOOKUP("*"&amp;'Output annual'!$AC$2&amp;'Output annual'!$AD$2&amp;"*FangerPMV(Hourly)",'Eplus results'!$1:$1048576,ROW(),FALSE)</f>
        <v>0</v>
      </c>
      <c r="AD3446" s="580">
        <f t="shared" si="301"/>
        <v>5</v>
      </c>
      <c r="AE3446" s="580">
        <f t="shared" si="302"/>
        <v>2.5</v>
      </c>
      <c r="AF3446" s="580">
        <f t="shared" si="303"/>
        <v>2.5</v>
      </c>
      <c r="AG3446" s="580">
        <f t="shared" si="304"/>
        <v>0</v>
      </c>
      <c r="AH3446" s="580">
        <f t="shared" si="305"/>
        <v>0</v>
      </c>
    </row>
    <row r="3447" spans="28:34">
      <c r="AB3447" s="580">
        <f>HLOOKUP("*"&amp;'Output annual'!$AC$2&amp;'Output annual'!$AD$2&amp;"*Zone People Number Of Occupants [](Hourly)",'Eplus results'!$1:$1048576,ROW(),FALSE)</f>
        <v>0</v>
      </c>
      <c r="AC3447" s="580">
        <f>HLOOKUP("*"&amp;'Output annual'!$AC$2&amp;'Output annual'!$AD$2&amp;"*FangerPMV(Hourly)",'Eplus results'!$1:$1048576,ROW(),FALSE)</f>
        <v>0</v>
      </c>
      <c r="AD3447" s="580">
        <f t="shared" si="301"/>
        <v>5</v>
      </c>
      <c r="AE3447" s="580">
        <f t="shared" si="302"/>
        <v>2.5</v>
      </c>
      <c r="AF3447" s="580">
        <f t="shared" si="303"/>
        <v>2.5</v>
      </c>
      <c r="AG3447" s="580">
        <f t="shared" si="304"/>
        <v>0</v>
      </c>
      <c r="AH3447" s="580">
        <f t="shared" si="305"/>
        <v>0</v>
      </c>
    </row>
    <row r="3448" spans="28:34">
      <c r="AB3448" s="580">
        <f>HLOOKUP("*"&amp;'Output annual'!$AC$2&amp;'Output annual'!$AD$2&amp;"*Zone People Number Of Occupants [](Hourly)",'Eplus results'!$1:$1048576,ROW(),FALSE)</f>
        <v>0</v>
      </c>
      <c r="AC3448" s="580">
        <f>HLOOKUP("*"&amp;'Output annual'!$AC$2&amp;'Output annual'!$AD$2&amp;"*FangerPMV(Hourly)",'Eplus results'!$1:$1048576,ROW(),FALSE)</f>
        <v>0</v>
      </c>
      <c r="AD3448" s="580">
        <f t="shared" si="301"/>
        <v>5</v>
      </c>
      <c r="AE3448" s="580">
        <f t="shared" si="302"/>
        <v>2.5</v>
      </c>
      <c r="AF3448" s="580">
        <f t="shared" si="303"/>
        <v>2.5</v>
      </c>
      <c r="AG3448" s="580">
        <f t="shared" si="304"/>
        <v>0</v>
      </c>
      <c r="AH3448" s="580">
        <f t="shared" si="305"/>
        <v>0</v>
      </c>
    </row>
    <row r="3449" spans="28:34">
      <c r="AB3449" s="580">
        <f>HLOOKUP("*"&amp;'Output annual'!$AC$2&amp;'Output annual'!$AD$2&amp;"*Zone People Number Of Occupants [](Hourly)",'Eplus results'!$1:$1048576,ROW(),FALSE)</f>
        <v>0</v>
      </c>
      <c r="AC3449" s="580">
        <f>HLOOKUP("*"&amp;'Output annual'!$AC$2&amp;'Output annual'!$AD$2&amp;"*FangerPMV(Hourly)",'Eplus results'!$1:$1048576,ROW(),FALSE)</f>
        <v>0</v>
      </c>
      <c r="AD3449" s="580">
        <f t="shared" si="301"/>
        <v>5</v>
      </c>
      <c r="AE3449" s="580">
        <f t="shared" si="302"/>
        <v>2.5</v>
      </c>
      <c r="AF3449" s="580">
        <f t="shared" si="303"/>
        <v>2.5</v>
      </c>
      <c r="AG3449" s="580">
        <f t="shared" si="304"/>
        <v>0</v>
      </c>
      <c r="AH3449" s="580">
        <f t="shared" si="305"/>
        <v>0</v>
      </c>
    </row>
    <row r="3450" spans="28:34">
      <c r="AB3450" s="580">
        <f>HLOOKUP("*"&amp;'Output annual'!$AC$2&amp;'Output annual'!$AD$2&amp;"*Zone People Number Of Occupants [](Hourly)",'Eplus results'!$1:$1048576,ROW(),FALSE)</f>
        <v>0</v>
      </c>
      <c r="AC3450" s="580">
        <f>HLOOKUP("*"&amp;'Output annual'!$AC$2&amp;'Output annual'!$AD$2&amp;"*FangerPMV(Hourly)",'Eplus results'!$1:$1048576,ROW(),FALSE)</f>
        <v>0</v>
      </c>
      <c r="AD3450" s="580">
        <f t="shared" si="301"/>
        <v>5</v>
      </c>
      <c r="AE3450" s="580">
        <f t="shared" si="302"/>
        <v>2.5</v>
      </c>
      <c r="AF3450" s="580">
        <f t="shared" si="303"/>
        <v>2.5</v>
      </c>
      <c r="AG3450" s="580">
        <f t="shared" si="304"/>
        <v>0</v>
      </c>
      <c r="AH3450" s="580">
        <f t="shared" si="305"/>
        <v>0</v>
      </c>
    </row>
    <row r="3451" spans="28:34">
      <c r="AB3451" s="580">
        <f>HLOOKUP("*"&amp;'Output annual'!$AC$2&amp;'Output annual'!$AD$2&amp;"*Zone People Number Of Occupants [](Hourly)",'Eplus results'!$1:$1048576,ROW(),FALSE)</f>
        <v>0</v>
      </c>
      <c r="AC3451" s="580">
        <f>HLOOKUP("*"&amp;'Output annual'!$AC$2&amp;'Output annual'!$AD$2&amp;"*FangerPMV(Hourly)",'Eplus results'!$1:$1048576,ROW(),FALSE)</f>
        <v>0</v>
      </c>
      <c r="AD3451" s="580">
        <f t="shared" si="301"/>
        <v>5</v>
      </c>
      <c r="AE3451" s="580">
        <f t="shared" si="302"/>
        <v>2.5</v>
      </c>
      <c r="AF3451" s="580">
        <f t="shared" si="303"/>
        <v>2.5</v>
      </c>
      <c r="AG3451" s="580">
        <f t="shared" si="304"/>
        <v>0</v>
      </c>
      <c r="AH3451" s="580">
        <f t="shared" si="305"/>
        <v>0</v>
      </c>
    </row>
    <row r="3452" spans="28:34">
      <c r="AB3452" s="580">
        <f>HLOOKUP("*"&amp;'Output annual'!$AC$2&amp;'Output annual'!$AD$2&amp;"*Zone People Number Of Occupants [](Hourly)",'Eplus results'!$1:$1048576,ROW(),FALSE)</f>
        <v>0</v>
      </c>
      <c r="AC3452" s="580">
        <f>HLOOKUP("*"&amp;'Output annual'!$AC$2&amp;'Output annual'!$AD$2&amp;"*FangerPMV(Hourly)",'Eplus results'!$1:$1048576,ROW(),FALSE)</f>
        <v>0</v>
      </c>
      <c r="AD3452" s="580">
        <f t="shared" si="301"/>
        <v>5</v>
      </c>
      <c r="AE3452" s="580">
        <f t="shared" si="302"/>
        <v>2.5</v>
      </c>
      <c r="AF3452" s="580">
        <f t="shared" si="303"/>
        <v>2.5</v>
      </c>
      <c r="AG3452" s="580">
        <f t="shared" si="304"/>
        <v>0</v>
      </c>
      <c r="AH3452" s="580">
        <f t="shared" si="305"/>
        <v>0</v>
      </c>
    </row>
    <row r="3453" spans="28:34">
      <c r="AB3453" s="580">
        <f>HLOOKUP("*"&amp;'Output annual'!$AC$2&amp;'Output annual'!$AD$2&amp;"*Zone People Number Of Occupants [](Hourly)",'Eplus results'!$1:$1048576,ROW(),FALSE)</f>
        <v>0</v>
      </c>
      <c r="AC3453" s="580">
        <f>HLOOKUP("*"&amp;'Output annual'!$AC$2&amp;'Output annual'!$AD$2&amp;"*FangerPMV(Hourly)",'Eplus results'!$1:$1048576,ROW(),FALSE)</f>
        <v>0</v>
      </c>
      <c r="AD3453" s="580">
        <f t="shared" si="301"/>
        <v>5</v>
      </c>
      <c r="AE3453" s="580">
        <f t="shared" si="302"/>
        <v>2.5</v>
      </c>
      <c r="AF3453" s="580">
        <f t="shared" si="303"/>
        <v>2.5</v>
      </c>
      <c r="AG3453" s="580">
        <f t="shared" si="304"/>
        <v>0</v>
      </c>
      <c r="AH3453" s="580">
        <f t="shared" si="305"/>
        <v>0</v>
      </c>
    </row>
    <row r="3454" spans="28:34">
      <c r="AB3454" s="580">
        <f>HLOOKUP("*"&amp;'Output annual'!$AC$2&amp;'Output annual'!$AD$2&amp;"*Zone People Number Of Occupants [](Hourly)",'Eplus results'!$1:$1048576,ROW(),FALSE)</f>
        <v>0</v>
      </c>
      <c r="AC3454" s="580">
        <f>HLOOKUP("*"&amp;'Output annual'!$AC$2&amp;'Output annual'!$AD$2&amp;"*FangerPMV(Hourly)",'Eplus results'!$1:$1048576,ROW(),FALSE)</f>
        <v>0</v>
      </c>
      <c r="AD3454" s="580">
        <f t="shared" si="301"/>
        <v>5</v>
      </c>
      <c r="AE3454" s="580">
        <f t="shared" si="302"/>
        <v>2.5</v>
      </c>
      <c r="AF3454" s="580">
        <f t="shared" si="303"/>
        <v>2.5</v>
      </c>
      <c r="AG3454" s="580">
        <f t="shared" si="304"/>
        <v>0</v>
      </c>
      <c r="AH3454" s="580">
        <f t="shared" si="305"/>
        <v>0</v>
      </c>
    </row>
    <row r="3455" spans="28:34">
      <c r="AB3455" s="580">
        <f>HLOOKUP("*"&amp;'Output annual'!$AC$2&amp;'Output annual'!$AD$2&amp;"*Zone People Number Of Occupants [](Hourly)",'Eplus results'!$1:$1048576,ROW(),FALSE)</f>
        <v>0</v>
      </c>
      <c r="AC3455" s="580">
        <f>HLOOKUP("*"&amp;'Output annual'!$AC$2&amp;'Output annual'!$AD$2&amp;"*FangerPMV(Hourly)",'Eplus results'!$1:$1048576,ROW(),FALSE)</f>
        <v>0</v>
      </c>
      <c r="AD3455" s="580">
        <f t="shared" si="301"/>
        <v>5</v>
      </c>
      <c r="AE3455" s="580">
        <f t="shared" si="302"/>
        <v>2.5</v>
      </c>
      <c r="AF3455" s="580">
        <f t="shared" si="303"/>
        <v>2.5</v>
      </c>
      <c r="AG3455" s="580">
        <f t="shared" si="304"/>
        <v>0</v>
      </c>
      <c r="AH3455" s="580">
        <f t="shared" si="305"/>
        <v>0</v>
      </c>
    </row>
    <row r="3456" spans="28:34">
      <c r="AB3456" s="580">
        <f>HLOOKUP("*"&amp;'Output annual'!$AC$2&amp;'Output annual'!$AD$2&amp;"*Zone People Number Of Occupants [](Hourly)",'Eplus results'!$1:$1048576,ROW(),FALSE)</f>
        <v>0</v>
      </c>
      <c r="AC3456" s="580">
        <f>HLOOKUP("*"&amp;'Output annual'!$AC$2&amp;'Output annual'!$AD$2&amp;"*FangerPMV(Hourly)",'Eplus results'!$1:$1048576,ROW(),FALSE)</f>
        <v>0</v>
      </c>
      <c r="AD3456" s="580">
        <f t="shared" si="301"/>
        <v>5</v>
      </c>
      <c r="AE3456" s="580">
        <f t="shared" si="302"/>
        <v>2.5</v>
      </c>
      <c r="AF3456" s="580">
        <f t="shared" si="303"/>
        <v>2.5</v>
      </c>
      <c r="AG3456" s="580">
        <f t="shared" si="304"/>
        <v>0</v>
      </c>
      <c r="AH3456" s="580">
        <f t="shared" si="305"/>
        <v>0</v>
      </c>
    </row>
    <row r="3457" spans="28:34">
      <c r="AB3457" s="580">
        <f>HLOOKUP("*"&amp;'Output annual'!$AC$2&amp;'Output annual'!$AD$2&amp;"*Zone People Number Of Occupants [](Hourly)",'Eplus results'!$1:$1048576,ROW(),FALSE)</f>
        <v>0</v>
      </c>
      <c r="AC3457" s="580">
        <f>HLOOKUP("*"&amp;'Output annual'!$AC$2&amp;'Output annual'!$AD$2&amp;"*FangerPMV(Hourly)",'Eplus results'!$1:$1048576,ROW(),FALSE)</f>
        <v>0</v>
      </c>
      <c r="AD3457" s="580">
        <f t="shared" si="301"/>
        <v>5</v>
      </c>
      <c r="AE3457" s="580">
        <f t="shared" si="302"/>
        <v>2.5</v>
      </c>
      <c r="AF3457" s="580">
        <f t="shared" si="303"/>
        <v>2.5</v>
      </c>
      <c r="AG3457" s="580">
        <f t="shared" si="304"/>
        <v>0</v>
      </c>
      <c r="AH3457" s="580">
        <f t="shared" si="305"/>
        <v>0</v>
      </c>
    </row>
    <row r="3458" spans="28:34">
      <c r="AB3458" s="580">
        <f>HLOOKUP("*"&amp;'Output annual'!$AC$2&amp;'Output annual'!$AD$2&amp;"*Zone People Number Of Occupants [](Hourly)",'Eplus results'!$1:$1048576,ROW(),FALSE)</f>
        <v>0</v>
      </c>
      <c r="AC3458" s="580">
        <f>HLOOKUP("*"&amp;'Output annual'!$AC$2&amp;'Output annual'!$AD$2&amp;"*FangerPMV(Hourly)",'Eplus results'!$1:$1048576,ROW(),FALSE)</f>
        <v>0</v>
      </c>
      <c r="AD3458" s="580">
        <f t="shared" si="301"/>
        <v>5</v>
      </c>
      <c r="AE3458" s="580">
        <f t="shared" si="302"/>
        <v>2.5</v>
      </c>
      <c r="AF3458" s="580">
        <f t="shared" si="303"/>
        <v>2.5</v>
      </c>
      <c r="AG3458" s="580">
        <f t="shared" si="304"/>
        <v>0</v>
      </c>
      <c r="AH3458" s="580">
        <f t="shared" si="305"/>
        <v>0</v>
      </c>
    </row>
    <row r="3459" spans="28:34">
      <c r="AB3459" s="580">
        <f>HLOOKUP("*"&amp;'Output annual'!$AC$2&amp;'Output annual'!$AD$2&amp;"*Zone People Number Of Occupants [](Hourly)",'Eplus results'!$1:$1048576,ROW(),FALSE)</f>
        <v>0</v>
      </c>
      <c r="AC3459" s="580">
        <f>HLOOKUP("*"&amp;'Output annual'!$AC$2&amp;'Output annual'!$AD$2&amp;"*FangerPMV(Hourly)",'Eplus results'!$1:$1048576,ROW(),FALSE)</f>
        <v>0</v>
      </c>
      <c r="AD3459" s="580">
        <f t="shared" ref="AD3459:AD3522" si="306">100-95*EXP(-0.03353*AC3459^4-0.2179*AC3459^2)</f>
        <v>5</v>
      </c>
      <c r="AE3459" s="580">
        <f t="shared" ref="AE3459:AE3522" si="307">AD3459*(1/(1+EXP(-6.3*$AC3459)))</f>
        <v>2.5</v>
      </c>
      <c r="AF3459" s="580">
        <f t="shared" ref="AF3459:AF3522" si="308">(AD3459-AE3459)</f>
        <v>2.5</v>
      </c>
      <c r="AG3459" s="580">
        <f t="shared" ref="AG3459:AG3522" si="309">AE3459*AB3459</f>
        <v>0</v>
      </c>
      <c r="AH3459" s="580">
        <f t="shared" ref="AH3459:AH3522" si="310">AF3459*AB3459</f>
        <v>0</v>
      </c>
    </row>
    <row r="3460" spans="28:34">
      <c r="AB3460" s="580">
        <f>HLOOKUP("*"&amp;'Output annual'!$AC$2&amp;'Output annual'!$AD$2&amp;"*Zone People Number Of Occupants [](Hourly)",'Eplus results'!$1:$1048576,ROW(),FALSE)</f>
        <v>0</v>
      </c>
      <c r="AC3460" s="580">
        <f>HLOOKUP("*"&amp;'Output annual'!$AC$2&amp;'Output annual'!$AD$2&amp;"*FangerPMV(Hourly)",'Eplus results'!$1:$1048576,ROW(),FALSE)</f>
        <v>0</v>
      </c>
      <c r="AD3460" s="580">
        <f t="shared" si="306"/>
        <v>5</v>
      </c>
      <c r="AE3460" s="580">
        <f t="shared" si="307"/>
        <v>2.5</v>
      </c>
      <c r="AF3460" s="580">
        <f t="shared" si="308"/>
        <v>2.5</v>
      </c>
      <c r="AG3460" s="580">
        <f t="shared" si="309"/>
        <v>0</v>
      </c>
      <c r="AH3460" s="580">
        <f t="shared" si="310"/>
        <v>0</v>
      </c>
    </row>
    <row r="3461" spans="28:34">
      <c r="AB3461" s="580">
        <f>HLOOKUP("*"&amp;'Output annual'!$AC$2&amp;'Output annual'!$AD$2&amp;"*Zone People Number Of Occupants [](Hourly)",'Eplus results'!$1:$1048576,ROW(),FALSE)</f>
        <v>0</v>
      </c>
      <c r="AC3461" s="580">
        <f>HLOOKUP("*"&amp;'Output annual'!$AC$2&amp;'Output annual'!$AD$2&amp;"*FangerPMV(Hourly)",'Eplus results'!$1:$1048576,ROW(),FALSE)</f>
        <v>0</v>
      </c>
      <c r="AD3461" s="580">
        <f t="shared" si="306"/>
        <v>5</v>
      </c>
      <c r="AE3461" s="580">
        <f t="shared" si="307"/>
        <v>2.5</v>
      </c>
      <c r="AF3461" s="580">
        <f t="shared" si="308"/>
        <v>2.5</v>
      </c>
      <c r="AG3461" s="580">
        <f t="shared" si="309"/>
        <v>0</v>
      </c>
      <c r="AH3461" s="580">
        <f t="shared" si="310"/>
        <v>0</v>
      </c>
    </row>
    <row r="3462" spans="28:34">
      <c r="AB3462" s="580">
        <f>HLOOKUP("*"&amp;'Output annual'!$AC$2&amp;'Output annual'!$AD$2&amp;"*Zone People Number Of Occupants [](Hourly)",'Eplus results'!$1:$1048576,ROW(),FALSE)</f>
        <v>0</v>
      </c>
      <c r="AC3462" s="580">
        <f>HLOOKUP("*"&amp;'Output annual'!$AC$2&amp;'Output annual'!$AD$2&amp;"*FangerPMV(Hourly)",'Eplus results'!$1:$1048576,ROW(),FALSE)</f>
        <v>0</v>
      </c>
      <c r="AD3462" s="580">
        <f t="shared" si="306"/>
        <v>5</v>
      </c>
      <c r="AE3462" s="580">
        <f t="shared" si="307"/>
        <v>2.5</v>
      </c>
      <c r="AF3462" s="580">
        <f t="shared" si="308"/>
        <v>2.5</v>
      </c>
      <c r="AG3462" s="580">
        <f t="shared" si="309"/>
        <v>0</v>
      </c>
      <c r="AH3462" s="580">
        <f t="shared" si="310"/>
        <v>0</v>
      </c>
    </row>
    <row r="3463" spans="28:34">
      <c r="AB3463" s="580">
        <f>HLOOKUP("*"&amp;'Output annual'!$AC$2&amp;'Output annual'!$AD$2&amp;"*Zone People Number Of Occupants [](Hourly)",'Eplus results'!$1:$1048576,ROW(),FALSE)</f>
        <v>0</v>
      </c>
      <c r="AC3463" s="580">
        <f>HLOOKUP("*"&amp;'Output annual'!$AC$2&amp;'Output annual'!$AD$2&amp;"*FangerPMV(Hourly)",'Eplus results'!$1:$1048576,ROW(),FALSE)</f>
        <v>0</v>
      </c>
      <c r="AD3463" s="580">
        <f t="shared" si="306"/>
        <v>5</v>
      </c>
      <c r="AE3463" s="580">
        <f t="shared" si="307"/>
        <v>2.5</v>
      </c>
      <c r="AF3463" s="580">
        <f t="shared" si="308"/>
        <v>2.5</v>
      </c>
      <c r="AG3463" s="580">
        <f t="shared" si="309"/>
        <v>0</v>
      </c>
      <c r="AH3463" s="580">
        <f t="shared" si="310"/>
        <v>0</v>
      </c>
    </row>
    <row r="3464" spans="28:34">
      <c r="AB3464" s="580">
        <f>HLOOKUP("*"&amp;'Output annual'!$AC$2&amp;'Output annual'!$AD$2&amp;"*Zone People Number Of Occupants [](Hourly)",'Eplus results'!$1:$1048576,ROW(),FALSE)</f>
        <v>0</v>
      </c>
      <c r="AC3464" s="580">
        <f>HLOOKUP("*"&amp;'Output annual'!$AC$2&amp;'Output annual'!$AD$2&amp;"*FangerPMV(Hourly)",'Eplus results'!$1:$1048576,ROW(),FALSE)</f>
        <v>0</v>
      </c>
      <c r="AD3464" s="580">
        <f t="shared" si="306"/>
        <v>5</v>
      </c>
      <c r="AE3464" s="580">
        <f t="shared" si="307"/>
        <v>2.5</v>
      </c>
      <c r="AF3464" s="580">
        <f t="shared" si="308"/>
        <v>2.5</v>
      </c>
      <c r="AG3464" s="580">
        <f t="shared" si="309"/>
        <v>0</v>
      </c>
      <c r="AH3464" s="580">
        <f t="shared" si="310"/>
        <v>0</v>
      </c>
    </row>
    <row r="3465" spans="28:34">
      <c r="AB3465" s="580">
        <f>HLOOKUP("*"&amp;'Output annual'!$AC$2&amp;'Output annual'!$AD$2&amp;"*Zone People Number Of Occupants [](Hourly)",'Eplus results'!$1:$1048576,ROW(),FALSE)</f>
        <v>0</v>
      </c>
      <c r="AC3465" s="580">
        <f>HLOOKUP("*"&amp;'Output annual'!$AC$2&amp;'Output annual'!$AD$2&amp;"*FangerPMV(Hourly)",'Eplus results'!$1:$1048576,ROW(),FALSE)</f>
        <v>0</v>
      </c>
      <c r="AD3465" s="580">
        <f t="shared" si="306"/>
        <v>5</v>
      </c>
      <c r="AE3465" s="580">
        <f t="shared" si="307"/>
        <v>2.5</v>
      </c>
      <c r="AF3465" s="580">
        <f t="shared" si="308"/>
        <v>2.5</v>
      </c>
      <c r="AG3465" s="580">
        <f t="shared" si="309"/>
        <v>0</v>
      </c>
      <c r="AH3465" s="580">
        <f t="shared" si="310"/>
        <v>0</v>
      </c>
    </row>
    <row r="3466" spans="28:34">
      <c r="AB3466" s="580">
        <f>HLOOKUP("*"&amp;'Output annual'!$AC$2&amp;'Output annual'!$AD$2&amp;"*Zone People Number Of Occupants [](Hourly)",'Eplus results'!$1:$1048576,ROW(),FALSE)</f>
        <v>0</v>
      </c>
      <c r="AC3466" s="580">
        <f>HLOOKUP("*"&amp;'Output annual'!$AC$2&amp;'Output annual'!$AD$2&amp;"*FangerPMV(Hourly)",'Eplus results'!$1:$1048576,ROW(),FALSE)</f>
        <v>0</v>
      </c>
      <c r="AD3466" s="580">
        <f t="shared" si="306"/>
        <v>5</v>
      </c>
      <c r="AE3466" s="580">
        <f t="shared" si="307"/>
        <v>2.5</v>
      </c>
      <c r="AF3466" s="580">
        <f t="shared" si="308"/>
        <v>2.5</v>
      </c>
      <c r="AG3466" s="580">
        <f t="shared" si="309"/>
        <v>0</v>
      </c>
      <c r="AH3466" s="580">
        <f t="shared" si="310"/>
        <v>0</v>
      </c>
    </row>
    <row r="3467" spans="28:34">
      <c r="AB3467" s="580">
        <f>HLOOKUP("*"&amp;'Output annual'!$AC$2&amp;'Output annual'!$AD$2&amp;"*Zone People Number Of Occupants [](Hourly)",'Eplus results'!$1:$1048576,ROW(),FALSE)</f>
        <v>0</v>
      </c>
      <c r="AC3467" s="580">
        <f>HLOOKUP("*"&amp;'Output annual'!$AC$2&amp;'Output annual'!$AD$2&amp;"*FangerPMV(Hourly)",'Eplus results'!$1:$1048576,ROW(),FALSE)</f>
        <v>0</v>
      </c>
      <c r="AD3467" s="580">
        <f t="shared" si="306"/>
        <v>5</v>
      </c>
      <c r="AE3467" s="580">
        <f t="shared" si="307"/>
        <v>2.5</v>
      </c>
      <c r="AF3467" s="580">
        <f t="shared" si="308"/>
        <v>2.5</v>
      </c>
      <c r="AG3467" s="580">
        <f t="shared" si="309"/>
        <v>0</v>
      </c>
      <c r="AH3467" s="580">
        <f t="shared" si="310"/>
        <v>0</v>
      </c>
    </row>
    <row r="3468" spans="28:34">
      <c r="AB3468" s="580">
        <f>HLOOKUP("*"&amp;'Output annual'!$AC$2&amp;'Output annual'!$AD$2&amp;"*Zone People Number Of Occupants [](Hourly)",'Eplus results'!$1:$1048576,ROW(),FALSE)</f>
        <v>0</v>
      </c>
      <c r="AC3468" s="580">
        <f>HLOOKUP("*"&amp;'Output annual'!$AC$2&amp;'Output annual'!$AD$2&amp;"*FangerPMV(Hourly)",'Eplus results'!$1:$1048576,ROW(),FALSE)</f>
        <v>0</v>
      </c>
      <c r="AD3468" s="580">
        <f t="shared" si="306"/>
        <v>5</v>
      </c>
      <c r="AE3468" s="580">
        <f t="shared" si="307"/>
        <v>2.5</v>
      </c>
      <c r="AF3468" s="580">
        <f t="shared" si="308"/>
        <v>2.5</v>
      </c>
      <c r="AG3468" s="580">
        <f t="shared" si="309"/>
        <v>0</v>
      </c>
      <c r="AH3468" s="580">
        <f t="shared" si="310"/>
        <v>0</v>
      </c>
    </row>
    <row r="3469" spans="28:34">
      <c r="AB3469" s="580">
        <f>HLOOKUP("*"&amp;'Output annual'!$AC$2&amp;'Output annual'!$AD$2&amp;"*Zone People Number Of Occupants [](Hourly)",'Eplus results'!$1:$1048576,ROW(),FALSE)</f>
        <v>0</v>
      </c>
      <c r="AC3469" s="580">
        <f>HLOOKUP("*"&amp;'Output annual'!$AC$2&amp;'Output annual'!$AD$2&amp;"*FangerPMV(Hourly)",'Eplus results'!$1:$1048576,ROW(),FALSE)</f>
        <v>0</v>
      </c>
      <c r="AD3469" s="580">
        <f t="shared" si="306"/>
        <v>5</v>
      </c>
      <c r="AE3469" s="580">
        <f t="shared" si="307"/>
        <v>2.5</v>
      </c>
      <c r="AF3469" s="580">
        <f t="shared" si="308"/>
        <v>2.5</v>
      </c>
      <c r="AG3469" s="580">
        <f t="shared" si="309"/>
        <v>0</v>
      </c>
      <c r="AH3469" s="580">
        <f t="shared" si="310"/>
        <v>0</v>
      </c>
    </row>
    <row r="3470" spans="28:34">
      <c r="AB3470" s="580">
        <f>HLOOKUP("*"&amp;'Output annual'!$AC$2&amp;'Output annual'!$AD$2&amp;"*Zone People Number Of Occupants [](Hourly)",'Eplus results'!$1:$1048576,ROW(),FALSE)</f>
        <v>0</v>
      </c>
      <c r="AC3470" s="580">
        <f>HLOOKUP("*"&amp;'Output annual'!$AC$2&amp;'Output annual'!$AD$2&amp;"*FangerPMV(Hourly)",'Eplus results'!$1:$1048576,ROW(),FALSE)</f>
        <v>0</v>
      </c>
      <c r="AD3470" s="580">
        <f t="shared" si="306"/>
        <v>5</v>
      </c>
      <c r="AE3470" s="580">
        <f t="shared" si="307"/>
        <v>2.5</v>
      </c>
      <c r="AF3470" s="580">
        <f t="shared" si="308"/>
        <v>2.5</v>
      </c>
      <c r="AG3470" s="580">
        <f t="shared" si="309"/>
        <v>0</v>
      </c>
      <c r="AH3470" s="580">
        <f t="shared" si="310"/>
        <v>0</v>
      </c>
    </row>
    <row r="3471" spans="28:34">
      <c r="AB3471" s="580">
        <f>HLOOKUP("*"&amp;'Output annual'!$AC$2&amp;'Output annual'!$AD$2&amp;"*Zone People Number Of Occupants [](Hourly)",'Eplus results'!$1:$1048576,ROW(),FALSE)</f>
        <v>0</v>
      </c>
      <c r="AC3471" s="580">
        <f>HLOOKUP("*"&amp;'Output annual'!$AC$2&amp;'Output annual'!$AD$2&amp;"*FangerPMV(Hourly)",'Eplus results'!$1:$1048576,ROW(),FALSE)</f>
        <v>0</v>
      </c>
      <c r="AD3471" s="580">
        <f t="shared" si="306"/>
        <v>5</v>
      </c>
      <c r="AE3471" s="580">
        <f t="shared" si="307"/>
        <v>2.5</v>
      </c>
      <c r="AF3471" s="580">
        <f t="shared" si="308"/>
        <v>2.5</v>
      </c>
      <c r="AG3471" s="580">
        <f t="shared" si="309"/>
        <v>0</v>
      </c>
      <c r="AH3471" s="580">
        <f t="shared" si="310"/>
        <v>0</v>
      </c>
    </row>
    <row r="3472" spans="28:34">
      <c r="AB3472" s="580">
        <f>HLOOKUP("*"&amp;'Output annual'!$AC$2&amp;'Output annual'!$AD$2&amp;"*Zone People Number Of Occupants [](Hourly)",'Eplus results'!$1:$1048576,ROW(),FALSE)</f>
        <v>0</v>
      </c>
      <c r="AC3472" s="580">
        <f>HLOOKUP("*"&amp;'Output annual'!$AC$2&amp;'Output annual'!$AD$2&amp;"*FangerPMV(Hourly)",'Eplus results'!$1:$1048576,ROW(),FALSE)</f>
        <v>0</v>
      </c>
      <c r="AD3472" s="580">
        <f t="shared" si="306"/>
        <v>5</v>
      </c>
      <c r="AE3472" s="580">
        <f t="shared" si="307"/>
        <v>2.5</v>
      </c>
      <c r="AF3472" s="580">
        <f t="shared" si="308"/>
        <v>2.5</v>
      </c>
      <c r="AG3472" s="580">
        <f t="shared" si="309"/>
        <v>0</v>
      </c>
      <c r="AH3472" s="580">
        <f t="shared" si="310"/>
        <v>0</v>
      </c>
    </row>
    <row r="3473" spans="28:34">
      <c r="AB3473" s="580">
        <f>HLOOKUP("*"&amp;'Output annual'!$AC$2&amp;'Output annual'!$AD$2&amp;"*Zone People Number Of Occupants [](Hourly)",'Eplus results'!$1:$1048576,ROW(),FALSE)</f>
        <v>0</v>
      </c>
      <c r="AC3473" s="580">
        <f>HLOOKUP("*"&amp;'Output annual'!$AC$2&amp;'Output annual'!$AD$2&amp;"*FangerPMV(Hourly)",'Eplus results'!$1:$1048576,ROW(),FALSE)</f>
        <v>0</v>
      </c>
      <c r="AD3473" s="580">
        <f t="shared" si="306"/>
        <v>5</v>
      </c>
      <c r="AE3473" s="580">
        <f t="shared" si="307"/>
        <v>2.5</v>
      </c>
      <c r="AF3473" s="580">
        <f t="shared" si="308"/>
        <v>2.5</v>
      </c>
      <c r="AG3473" s="580">
        <f t="shared" si="309"/>
        <v>0</v>
      </c>
      <c r="AH3473" s="580">
        <f t="shared" si="310"/>
        <v>0</v>
      </c>
    </row>
    <row r="3474" spans="28:34">
      <c r="AB3474" s="580">
        <f>HLOOKUP("*"&amp;'Output annual'!$AC$2&amp;'Output annual'!$AD$2&amp;"*Zone People Number Of Occupants [](Hourly)",'Eplus results'!$1:$1048576,ROW(),FALSE)</f>
        <v>0</v>
      </c>
      <c r="AC3474" s="580">
        <f>HLOOKUP("*"&amp;'Output annual'!$AC$2&amp;'Output annual'!$AD$2&amp;"*FangerPMV(Hourly)",'Eplus results'!$1:$1048576,ROW(),FALSE)</f>
        <v>0</v>
      </c>
      <c r="AD3474" s="580">
        <f t="shared" si="306"/>
        <v>5</v>
      </c>
      <c r="AE3474" s="580">
        <f t="shared" si="307"/>
        <v>2.5</v>
      </c>
      <c r="AF3474" s="580">
        <f t="shared" si="308"/>
        <v>2.5</v>
      </c>
      <c r="AG3474" s="580">
        <f t="shared" si="309"/>
        <v>0</v>
      </c>
      <c r="AH3474" s="580">
        <f t="shared" si="310"/>
        <v>0</v>
      </c>
    </row>
    <row r="3475" spans="28:34">
      <c r="AB3475" s="580">
        <f>HLOOKUP("*"&amp;'Output annual'!$AC$2&amp;'Output annual'!$AD$2&amp;"*Zone People Number Of Occupants [](Hourly)",'Eplus results'!$1:$1048576,ROW(),FALSE)</f>
        <v>0</v>
      </c>
      <c r="AC3475" s="580">
        <f>HLOOKUP("*"&amp;'Output annual'!$AC$2&amp;'Output annual'!$AD$2&amp;"*FangerPMV(Hourly)",'Eplus results'!$1:$1048576,ROW(),FALSE)</f>
        <v>0</v>
      </c>
      <c r="AD3475" s="580">
        <f t="shared" si="306"/>
        <v>5</v>
      </c>
      <c r="AE3475" s="580">
        <f t="shared" si="307"/>
        <v>2.5</v>
      </c>
      <c r="AF3475" s="580">
        <f t="shared" si="308"/>
        <v>2.5</v>
      </c>
      <c r="AG3475" s="580">
        <f t="shared" si="309"/>
        <v>0</v>
      </c>
      <c r="AH3475" s="580">
        <f t="shared" si="310"/>
        <v>0</v>
      </c>
    </row>
    <row r="3476" spans="28:34">
      <c r="AB3476" s="580">
        <f>HLOOKUP("*"&amp;'Output annual'!$AC$2&amp;'Output annual'!$AD$2&amp;"*Zone People Number Of Occupants [](Hourly)",'Eplus results'!$1:$1048576,ROW(),FALSE)</f>
        <v>0</v>
      </c>
      <c r="AC3476" s="580">
        <f>HLOOKUP("*"&amp;'Output annual'!$AC$2&amp;'Output annual'!$AD$2&amp;"*FangerPMV(Hourly)",'Eplus results'!$1:$1048576,ROW(),FALSE)</f>
        <v>0</v>
      </c>
      <c r="AD3476" s="580">
        <f t="shared" si="306"/>
        <v>5</v>
      </c>
      <c r="AE3476" s="580">
        <f t="shared" si="307"/>
        <v>2.5</v>
      </c>
      <c r="AF3476" s="580">
        <f t="shared" si="308"/>
        <v>2.5</v>
      </c>
      <c r="AG3476" s="580">
        <f t="shared" si="309"/>
        <v>0</v>
      </c>
      <c r="AH3476" s="580">
        <f t="shared" si="310"/>
        <v>0</v>
      </c>
    </row>
    <row r="3477" spans="28:34">
      <c r="AB3477" s="580">
        <f>HLOOKUP("*"&amp;'Output annual'!$AC$2&amp;'Output annual'!$AD$2&amp;"*Zone People Number Of Occupants [](Hourly)",'Eplus results'!$1:$1048576,ROW(),FALSE)</f>
        <v>0</v>
      </c>
      <c r="AC3477" s="580">
        <f>HLOOKUP("*"&amp;'Output annual'!$AC$2&amp;'Output annual'!$AD$2&amp;"*FangerPMV(Hourly)",'Eplus results'!$1:$1048576,ROW(),FALSE)</f>
        <v>0</v>
      </c>
      <c r="AD3477" s="580">
        <f t="shared" si="306"/>
        <v>5</v>
      </c>
      <c r="AE3477" s="580">
        <f t="shared" si="307"/>
        <v>2.5</v>
      </c>
      <c r="AF3477" s="580">
        <f t="shared" si="308"/>
        <v>2.5</v>
      </c>
      <c r="AG3477" s="580">
        <f t="shared" si="309"/>
        <v>0</v>
      </c>
      <c r="AH3477" s="580">
        <f t="shared" si="310"/>
        <v>0</v>
      </c>
    </row>
    <row r="3478" spans="28:34">
      <c r="AB3478" s="580">
        <f>HLOOKUP("*"&amp;'Output annual'!$AC$2&amp;'Output annual'!$AD$2&amp;"*Zone People Number Of Occupants [](Hourly)",'Eplus results'!$1:$1048576,ROW(),FALSE)</f>
        <v>0</v>
      </c>
      <c r="AC3478" s="580">
        <f>HLOOKUP("*"&amp;'Output annual'!$AC$2&amp;'Output annual'!$AD$2&amp;"*FangerPMV(Hourly)",'Eplus results'!$1:$1048576,ROW(),FALSE)</f>
        <v>0</v>
      </c>
      <c r="AD3478" s="580">
        <f t="shared" si="306"/>
        <v>5</v>
      </c>
      <c r="AE3478" s="580">
        <f t="shared" si="307"/>
        <v>2.5</v>
      </c>
      <c r="AF3478" s="580">
        <f t="shared" si="308"/>
        <v>2.5</v>
      </c>
      <c r="AG3478" s="580">
        <f t="shared" si="309"/>
        <v>0</v>
      </c>
      <c r="AH3478" s="580">
        <f t="shared" si="310"/>
        <v>0</v>
      </c>
    </row>
    <row r="3479" spans="28:34">
      <c r="AB3479" s="580">
        <f>HLOOKUP("*"&amp;'Output annual'!$AC$2&amp;'Output annual'!$AD$2&amp;"*Zone People Number Of Occupants [](Hourly)",'Eplus results'!$1:$1048576,ROW(),FALSE)</f>
        <v>0</v>
      </c>
      <c r="AC3479" s="580">
        <f>HLOOKUP("*"&amp;'Output annual'!$AC$2&amp;'Output annual'!$AD$2&amp;"*FangerPMV(Hourly)",'Eplus results'!$1:$1048576,ROW(),FALSE)</f>
        <v>0</v>
      </c>
      <c r="AD3479" s="580">
        <f t="shared" si="306"/>
        <v>5</v>
      </c>
      <c r="AE3479" s="580">
        <f t="shared" si="307"/>
        <v>2.5</v>
      </c>
      <c r="AF3479" s="580">
        <f t="shared" si="308"/>
        <v>2.5</v>
      </c>
      <c r="AG3479" s="580">
        <f t="shared" si="309"/>
        <v>0</v>
      </c>
      <c r="AH3479" s="580">
        <f t="shared" si="310"/>
        <v>0</v>
      </c>
    </row>
    <row r="3480" spans="28:34">
      <c r="AB3480" s="580">
        <f>HLOOKUP("*"&amp;'Output annual'!$AC$2&amp;'Output annual'!$AD$2&amp;"*Zone People Number Of Occupants [](Hourly)",'Eplus results'!$1:$1048576,ROW(),FALSE)</f>
        <v>0</v>
      </c>
      <c r="AC3480" s="580">
        <f>HLOOKUP("*"&amp;'Output annual'!$AC$2&amp;'Output annual'!$AD$2&amp;"*FangerPMV(Hourly)",'Eplus results'!$1:$1048576,ROW(),FALSE)</f>
        <v>0</v>
      </c>
      <c r="AD3480" s="580">
        <f t="shared" si="306"/>
        <v>5</v>
      </c>
      <c r="AE3480" s="580">
        <f t="shared" si="307"/>
        <v>2.5</v>
      </c>
      <c r="AF3480" s="580">
        <f t="shared" si="308"/>
        <v>2.5</v>
      </c>
      <c r="AG3480" s="580">
        <f t="shared" si="309"/>
        <v>0</v>
      </c>
      <c r="AH3480" s="580">
        <f t="shared" si="310"/>
        <v>0</v>
      </c>
    </row>
    <row r="3481" spans="28:34">
      <c r="AB3481" s="580">
        <f>HLOOKUP("*"&amp;'Output annual'!$AC$2&amp;'Output annual'!$AD$2&amp;"*Zone People Number Of Occupants [](Hourly)",'Eplus results'!$1:$1048576,ROW(),FALSE)</f>
        <v>0</v>
      </c>
      <c r="AC3481" s="580">
        <f>HLOOKUP("*"&amp;'Output annual'!$AC$2&amp;'Output annual'!$AD$2&amp;"*FangerPMV(Hourly)",'Eplus results'!$1:$1048576,ROW(),FALSE)</f>
        <v>0</v>
      </c>
      <c r="AD3481" s="580">
        <f t="shared" si="306"/>
        <v>5</v>
      </c>
      <c r="AE3481" s="580">
        <f t="shared" si="307"/>
        <v>2.5</v>
      </c>
      <c r="AF3481" s="580">
        <f t="shared" si="308"/>
        <v>2.5</v>
      </c>
      <c r="AG3481" s="580">
        <f t="shared" si="309"/>
        <v>0</v>
      </c>
      <c r="AH3481" s="580">
        <f t="shared" si="310"/>
        <v>0</v>
      </c>
    </row>
    <row r="3482" spans="28:34">
      <c r="AB3482" s="580">
        <f>HLOOKUP("*"&amp;'Output annual'!$AC$2&amp;'Output annual'!$AD$2&amp;"*Zone People Number Of Occupants [](Hourly)",'Eplus results'!$1:$1048576,ROW(),FALSE)</f>
        <v>0</v>
      </c>
      <c r="AC3482" s="580">
        <f>HLOOKUP("*"&amp;'Output annual'!$AC$2&amp;'Output annual'!$AD$2&amp;"*FangerPMV(Hourly)",'Eplus results'!$1:$1048576,ROW(),FALSE)</f>
        <v>0</v>
      </c>
      <c r="AD3482" s="580">
        <f t="shared" si="306"/>
        <v>5</v>
      </c>
      <c r="AE3482" s="580">
        <f t="shared" si="307"/>
        <v>2.5</v>
      </c>
      <c r="AF3482" s="580">
        <f t="shared" si="308"/>
        <v>2.5</v>
      </c>
      <c r="AG3482" s="580">
        <f t="shared" si="309"/>
        <v>0</v>
      </c>
      <c r="AH3482" s="580">
        <f t="shared" si="310"/>
        <v>0</v>
      </c>
    </row>
    <row r="3483" spans="28:34">
      <c r="AB3483" s="580">
        <f>HLOOKUP("*"&amp;'Output annual'!$AC$2&amp;'Output annual'!$AD$2&amp;"*Zone People Number Of Occupants [](Hourly)",'Eplus results'!$1:$1048576,ROW(),FALSE)</f>
        <v>0</v>
      </c>
      <c r="AC3483" s="580">
        <f>HLOOKUP("*"&amp;'Output annual'!$AC$2&amp;'Output annual'!$AD$2&amp;"*FangerPMV(Hourly)",'Eplus results'!$1:$1048576,ROW(),FALSE)</f>
        <v>0</v>
      </c>
      <c r="AD3483" s="580">
        <f t="shared" si="306"/>
        <v>5</v>
      </c>
      <c r="AE3483" s="580">
        <f t="shared" si="307"/>
        <v>2.5</v>
      </c>
      <c r="AF3483" s="580">
        <f t="shared" si="308"/>
        <v>2.5</v>
      </c>
      <c r="AG3483" s="580">
        <f t="shared" si="309"/>
        <v>0</v>
      </c>
      <c r="AH3483" s="580">
        <f t="shared" si="310"/>
        <v>0</v>
      </c>
    </row>
    <row r="3484" spans="28:34">
      <c r="AB3484" s="580">
        <f>HLOOKUP("*"&amp;'Output annual'!$AC$2&amp;'Output annual'!$AD$2&amp;"*Zone People Number Of Occupants [](Hourly)",'Eplus results'!$1:$1048576,ROW(),FALSE)</f>
        <v>0</v>
      </c>
      <c r="AC3484" s="580">
        <f>HLOOKUP("*"&amp;'Output annual'!$AC$2&amp;'Output annual'!$AD$2&amp;"*FangerPMV(Hourly)",'Eplus results'!$1:$1048576,ROW(),FALSE)</f>
        <v>0</v>
      </c>
      <c r="AD3484" s="580">
        <f t="shared" si="306"/>
        <v>5</v>
      </c>
      <c r="AE3484" s="580">
        <f t="shared" si="307"/>
        <v>2.5</v>
      </c>
      <c r="AF3484" s="580">
        <f t="shared" si="308"/>
        <v>2.5</v>
      </c>
      <c r="AG3484" s="580">
        <f t="shared" si="309"/>
        <v>0</v>
      </c>
      <c r="AH3484" s="580">
        <f t="shared" si="310"/>
        <v>0</v>
      </c>
    </row>
    <row r="3485" spans="28:34">
      <c r="AB3485" s="580">
        <f>HLOOKUP("*"&amp;'Output annual'!$AC$2&amp;'Output annual'!$AD$2&amp;"*Zone People Number Of Occupants [](Hourly)",'Eplus results'!$1:$1048576,ROW(),FALSE)</f>
        <v>0</v>
      </c>
      <c r="AC3485" s="580">
        <f>HLOOKUP("*"&amp;'Output annual'!$AC$2&amp;'Output annual'!$AD$2&amp;"*FangerPMV(Hourly)",'Eplus results'!$1:$1048576,ROW(),FALSE)</f>
        <v>0</v>
      </c>
      <c r="AD3485" s="580">
        <f t="shared" si="306"/>
        <v>5</v>
      </c>
      <c r="AE3485" s="580">
        <f t="shared" si="307"/>
        <v>2.5</v>
      </c>
      <c r="AF3485" s="580">
        <f t="shared" si="308"/>
        <v>2.5</v>
      </c>
      <c r="AG3485" s="580">
        <f t="shared" si="309"/>
        <v>0</v>
      </c>
      <c r="AH3485" s="580">
        <f t="shared" si="310"/>
        <v>0</v>
      </c>
    </row>
    <row r="3486" spans="28:34">
      <c r="AB3486" s="580">
        <f>HLOOKUP("*"&amp;'Output annual'!$AC$2&amp;'Output annual'!$AD$2&amp;"*Zone People Number Of Occupants [](Hourly)",'Eplus results'!$1:$1048576,ROW(),FALSE)</f>
        <v>0</v>
      </c>
      <c r="AC3486" s="580">
        <f>HLOOKUP("*"&amp;'Output annual'!$AC$2&amp;'Output annual'!$AD$2&amp;"*FangerPMV(Hourly)",'Eplus results'!$1:$1048576,ROW(),FALSE)</f>
        <v>0</v>
      </c>
      <c r="AD3486" s="580">
        <f t="shared" si="306"/>
        <v>5</v>
      </c>
      <c r="AE3486" s="580">
        <f t="shared" si="307"/>
        <v>2.5</v>
      </c>
      <c r="AF3486" s="580">
        <f t="shared" si="308"/>
        <v>2.5</v>
      </c>
      <c r="AG3486" s="580">
        <f t="shared" si="309"/>
        <v>0</v>
      </c>
      <c r="AH3486" s="580">
        <f t="shared" si="310"/>
        <v>0</v>
      </c>
    </row>
    <row r="3487" spans="28:34">
      <c r="AB3487" s="580">
        <f>HLOOKUP("*"&amp;'Output annual'!$AC$2&amp;'Output annual'!$AD$2&amp;"*Zone People Number Of Occupants [](Hourly)",'Eplus results'!$1:$1048576,ROW(),FALSE)</f>
        <v>0</v>
      </c>
      <c r="AC3487" s="580">
        <f>HLOOKUP("*"&amp;'Output annual'!$AC$2&amp;'Output annual'!$AD$2&amp;"*FangerPMV(Hourly)",'Eplus results'!$1:$1048576,ROW(),FALSE)</f>
        <v>0</v>
      </c>
      <c r="AD3487" s="580">
        <f t="shared" si="306"/>
        <v>5</v>
      </c>
      <c r="AE3487" s="580">
        <f t="shared" si="307"/>
        <v>2.5</v>
      </c>
      <c r="AF3487" s="580">
        <f t="shared" si="308"/>
        <v>2.5</v>
      </c>
      <c r="AG3487" s="580">
        <f t="shared" si="309"/>
        <v>0</v>
      </c>
      <c r="AH3487" s="580">
        <f t="shared" si="310"/>
        <v>0</v>
      </c>
    </row>
    <row r="3488" spans="28:34">
      <c r="AB3488" s="580">
        <f>HLOOKUP("*"&amp;'Output annual'!$AC$2&amp;'Output annual'!$AD$2&amp;"*Zone People Number Of Occupants [](Hourly)",'Eplus results'!$1:$1048576,ROW(),FALSE)</f>
        <v>0</v>
      </c>
      <c r="AC3488" s="580">
        <f>HLOOKUP("*"&amp;'Output annual'!$AC$2&amp;'Output annual'!$AD$2&amp;"*FangerPMV(Hourly)",'Eplus results'!$1:$1048576,ROW(),FALSE)</f>
        <v>0</v>
      </c>
      <c r="AD3488" s="580">
        <f t="shared" si="306"/>
        <v>5</v>
      </c>
      <c r="AE3488" s="580">
        <f t="shared" si="307"/>
        <v>2.5</v>
      </c>
      <c r="AF3488" s="580">
        <f t="shared" si="308"/>
        <v>2.5</v>
      </c>
      <c r="AG3488" s="580">
        <f t="shared" si="309"/>
        <v>0</v>
      </c>
      <c r="AH3488" s="580">
        <f t="shared" si="310"/>
        <v>0</v>
      </c>
    </row>
    <row r="3489" spans="28:34">
      <c r="AB3489" s="580">
        <f>HLOOKUP("*"&amp;'Output annual'!$AC$2&amp;'Output annual'!$AD$2&amp;"*Zone People Number Of Occupants [](Hourly)",'Eplus results'!$1:$1048576,ROW(),FALSE)</f>
        <v>0</v>
      </c>
      <c r="AC3489" s="580">
        <f>HLOOKUP("*"&amp;'Output annual'!$AC$2&amp;'Output annual'!$AD$2&amp;"*FangerPMV(Hourly)",'Eplus results'!$1:$1048576,ROW(),FALSE)</f>
        <v>0</v>
      </c>
      <c r="AD3489" s="580">
        <f t="shared" si="306"/>
        <v>5</v>
      </c>
      <c r="AE3489" s="580">
        <f t="shared" si="307"/>
        <v>2.5</v>
      </c>
      <c r="AF3489" s="580">
        <f t="shared" si="308"/>
        <v>2.5</v>
      </c>
      <c r="AG3489" s="580">
        <f t="shared" si="309"/>
        <v>0</v>
      </c>
      <c r="AH3489" s="580">
        <f t="shared" si="310"/>
        <v>0</v>
      </c>
    </row>
    <row r="3490" spans="28:34">
      <c r="AB3490" s="580">
        <f>HLOOKUP("*"&amp;'Output annual'!$AC$2&amp;'Output annual'!$AD$2&amp;"*Zone People Number Of Occupants [](Hourly)",'Eplus results'!$1:$1048576,ROW(),FALSE)</f>
        <v>0</v>
      </c>
      <c r="AC3490" s="580">
        <f>HLOOKUP("*"&amp;'Output annual'!$AC$2&amp;'Output annual'!$AD$2&amp;"*FangerPMV(Hourly)",'Eplus results'!$1:$1048576,ROW(),FALSE)</f>
        <v>0</v>
      </c>
      <c r="AD3490" s="580">
        <f t="shared" si="306"/>
        <v>5</v>
      </c>
      <c r="AE3490" s="580">
        <f t="shared" si="307"/>
        <v>2.5</v>
      </c>
      <c r="AF3490" s="580">
        <f t="shared" si="308"/>
        <v>2.5</v>
      </c>
      <c r="AG3490" s="580">
        <f t="shared" si="309"/>
        <v>0</v>
      </c>
      <c r="AH3490" s="580">
        <f t="shared" si="310"/>
        <v>0</v>
      </c>
    </row>
    <row r="3491" spans="28:34">
      <c r="AB3491" s="580">
        <f>HLOOKUP("*"&amp;'Output annual'!$AC$2&amp;'Output annual'!$AD$2&amp;"*Zone People Number Of Occupants [](Hourly)",'Eplus results'!$1:$1048576,ROW(),FALSE)</f>
        <v>0</v>
      </c>
      <c r="AC3491" s="580">
        <f>HLOOKUP("*"&amp;'Output annual'!$AC$2&amp;'Output annual'!$AD$2&amp;"*FangerPMV(Hourly)",'Eplus results'!$1:$1048576,ROW(),FALSE)</f>
        <v>0</v>
      </c>
      <c r="AD3491" s="580">
        <f t="shared" si="306"/>
        <v>5</v>
      </c>
      <c r="AE3491" s="580">
        <f t="shared" si="307"/>
        <v>2.5</v>
      </c>
      <c r="AF3491" s="580">
        <f t="shared" si="308"/>
        <v>2.5</v>
      </c>
      <c r="AG3491" s="580">
        <f t="shared" si="309"/>
        <v>0</v>
      </c>
      <c r="AH3491" s="580">
        <f t="shared" si="310"/>
        <v>0</v>
      </c>
    </row>
    <row r="3492" spans="28:34">
      <c r="AB3492" s="580">
        <f>HLOOKUP("*"&amp;'Output annual'!$AC$2&amp;'Output annual'!$AD$2&amp;"*Zone People Number Of Occupants [](Hourly)",'Eplus results'!$1:$1048576,ROW(),FALSE)</f>
        <v>0</v>
      </c>
      <c r="AC3492" s="580">
        <f>HLOOKUP("*"&amp;'Output annual'!$AC$2&amp;'Output annual'!$AD$2&amp;"*FangerPMV(Hourly)",'Eplus results'!$1:$1048576,ROW(),FALSE)</f>
        <v>0</v>
      </c>
      <c r="AD3492" s="580">
        <f t="shared" si="306"/>
        <v>5</v>
      </c>
      <c r="AE3492" s="580">
        <f t="shared" si="307"/>
        <v>2.5</v>
      </c>
      <c r="AF3492" s="580">
        <f t="shared" si="308"/>
        <v>2.5</v>
      </c>
      <c r="AG3492" s="580">
        <f t="shared" si="309"/>
        <v>0</v>
      </c>
      <c r="AH3492" s="580">
        <f t="shared" si="310"/>
        <v>0</v>
      </c>
    </row>
    <row r="3493" spans="28:34">
      <c r="AB3493" s="580">
        <f>HLOOKUP("*"&amp;'Output annual'!$AC$2&amp;'Output annual'!$AD$2&amp;"*Zone People Number Of Occupants [](Hourly)",'Eplus results'!$1:$1048576,ROW(),FALSE)</f>
        <v>0</v>
      </c>
      <c r="AC3493" s="580">
        <f>HLOOKUP("*"&amp;'Output annual'!$AC$2&amp;'Output annual'!$AD$2&amp;"*FangerPMV(Hourly)",'Eplus results'!$1:$1048576,ROW(),FALSE)</f>
        <v>0</v>
      </c>
      <c r="AD3493" s="580">
        <f t="shared" si="306"/>
        <v>5</v>
      </c>
      <c r="AE3493" s="580">
        <f t="shared" si="307"/>
        <v>2.5</v>
      </c>
      <c r="AF3493" s="580">
        <f t="shared" si="308"/>
        <v>2.5</v>
      </c>
      <c r="AG3493" s="580">
        <f t="shared" si="309"/>
        <v>0</v>
      </c>
      <c r="AH3493" s="580">
        <f t="shared" si="310"/>
        <v>0</v>
      </c>
    </row>
    <row r="3494" spans="28:34">
      <c r="AB3494" s="580">
        <f>HLOOKUP("*"&amp;'Output annual'!$AC$2&amp;'Output annual'!$AD$2&amp;"*Zone People Number Of Occupants [](Hourly)",'Eplus results'!$1:$1048576,ROW(),FALSE)</f>
        <v>0</v>
      </c>
      <c r="AC3494" s="580">
        <f>HLOOKUP("*"&amp;'Output annual'!$AC$2&amp;'Output annual'!$AD$2&amp;"*FangerPMV(Hourly)",'Eplus results'!$1:$1048576,ROW(),FALSE)</f>
        <v>0</v>
      </c>
      <c r="AD3494" s="580">
        <f t="shared" si="306"/>
        <v>5</v>
      </c>
      <c r="AE3494" s="580">
        <f t="shared" si="307"/>
        <v>2.5</v>
      </c>
      <c r="AF3494" s="580">
        <f t="shared" si="308"/>
        <v>2.5</v>
      </c>
      <c r="AG3494" s="580">
        <f t="shared" si="309"/>
        <v>0</v>
      </c>
      <c r="AH3494" s="580">
        <f t="shared" si="310"/>
        <v>0</v>
      </c>
    </row>
    <row r="3495" spans="28:34">
      <c r="AB3495" s="580">
        <f>HLOOKUP("*"&amp;'Output annual'!$AC$2&amp;'Output annual'!$AD$2&amp;"*Zone People Number Of Occupants [](Hourly)",'Eplus results'!$1:$1048576,ROW(),FALSE)</f>
        <v>0</v>
      </c>
      <c r="AC3495" s="580">
        <f>HLOOKUP("*"&amp;'Output annual'!$AC$2&amp;'Output annual'!$AD$2&amp;"*FangerPMV(Hourly)",'Eplus results'!$1:$1048576,ROW(),FALSE)</f>
        <v>0</v>
      </c>
      <c r="AD3495" s="580">
        <f t="shared" si="306"/>
        <v>5</v>
      </c>
      <c r="AE3495" s="580">
        <f t="shared" si="307"/>
        <v>2.5</v>
      </c>
      <c r="AF3495" s="580">
        <f t="shared" si="308"/>
        <v>2.5</v>
      </c>
      <c r="AG3495" s="580">
        <f t="shared" si="309"/>
        <v>0</v>
      </c>
      <c r="AH3495" s="580">
        <f t="shared" si="310"/>
        <v>0</v>
      </c>
    </row>
    <row r="3496" spans="28:34">
      <c r="AB3496" s="580">
        <f>HLOOKUP("*"&amp;'Output annual'!$AC$2&amp;'Output annual'!$AD$2&amp;"*Zone People Number Of Occupants [](Hourly)",'Eplus results'!$1:$1048576,ROW(),FALSE)</f>
        <v>0</v>
      </c>
      <c r="AC3496" s="580">
        <f>HLOOKUP("*"&amp;'Output annual'!$AC$2&amp;'Output annual'!$AD$2&amp;"*FangerPMV(Hourly)",'Eplus results'!$1:$1048576,ROW(),FALSE)</f>
        <v>0</v>
      </c>
      <c r="AD3496" s="580">
        <f t="shared" si="306"/>
        <v>5</v>
      </c>
      <c r="AE3496" s="580">
        <f t="shared" si="307"/>
        <v>2.5</v>
      </c>
      <c r="AF3496" s="580">
        <f t="shared" si="308"/>
        <v>2.5</v>
      </c>
      <c r="AG3496" s="580">
        <f t="shared" si="309"/>
        <v>0</v>
      </c>
      <c r="AH3496" s="580">
        <f t="shared" si="310"/>
        <v>0</v>
      </c>
    </row>
    <row r="3497" spans="28:34">
      <c r="AB3497" s="580">
        <f>HLOOKUP("*"&amp;'Output annual'!$AC$2&amp;'Output annual'!$AD$2&amp;"*Zone People Number Of Occupants [](Hourly)",'Eplus results'!$1:$1048576,ROW(),FALSE)</f>
        <v>0</v>
      </c>
      <c r="AC3497" s="580">
        <f>HLOOKUP("*"&amp;'Output annual'!$AC$2&amp;'Output annual'!$AD$2&amp;"*FangerPMV(Hourly)",'Eplus results'!$1:$1048576,ROW(),FALSE)</f>
        <v>0</v>
      </c>
      <c r="AD3497" s="580">
        <f t="shared" si="306"/>
        <v>5</v>
      </c>
      <c r="AE3497" s="580">
        <f t="shared" si="307"/>
        <v>2.5</v>
      </c>
      <c r="AF3497" s="580">
        <f t="shared" si="308"/>
        <v>2.5</v>
      </c>
      <c r="AG3497" s="580">
        <f t="shared" si="309"/>
        <v>0</v>
      </c>
      <c r="AH3497" s="580">
        <f t="shared" si="310"/>
        <v>0</v>
      </c>
    </row>
    <row r="3498" spans="28:34">
      <c r="AB3498" s="580">
        <f>HLOOKUP("*"&amp;'Output annual'!$AC$2&amp;'Output annual'!$AD$2&amp;"*Zone People Number Of Occupants [](Hourly)",'Eplus results'!$1:$1048576,ROW(),FALSE)</f>
        <v>0</v>
      </c>
      <c r="AC3498" s="580">
        <f>HLOOKUP("*"&amp;'Output annual'!$AC$2&amp;'Output annual'!$AD$2&amp;"*FangerPMV(Hourly)",'Eplus results'!$1:$1048576,ROW(),FALSE)</f>
        <v>0</v>
      </c>
      <c r="AD3498" s="580">
        <f t="shared" si="306"/>
        <v>5</v>
      </c>
      <c r="AE3498" s="580">
        <f t="shared" si="307"/>
        <v>2.5</v>
      </c>
      <c r="AF3498" s="580">
        <f t="shared" si="308"/>
        <v>2.5</v>
      </c>
      <c r="AG3498" s="580">
        <f t="shared" si="309"/>
        <v>0</v>
      </c>
      <c r="AH3498" s="580">
        <f t="shared" si="310"/>
        <v>0</v>
      </c>
    </row>
    <row r="3499" spans="28:34">
      <c r="AB3499" s="580">
        <f>HLOOKUP("*"&amp;'Output annual'!$AC$2&amp;'Output annual'!$AD$2&amp;"*Zone People Number Of Occupants [](Hourly)",'Eplus results'!$1:$1048576,ROW(),FALSE)</f>
        <v>0</v>
      </c>
      <c r="AC3499" s="580">
        <f>HLOOKUP("*"&amp;'Output annual'!$AC$2&amp;'Output annual'!$AD$2&amp;"*FangerPMV(Hourly)",'Eplus results'!$1:$1048576,ROW(),FALSE)</f>
        <v>0</v>
      </c>
      <c r="AD3499" s="580">
        <f t="shared" si="306"/>
        <v>5</v>
      </c>
      <c r="AE3499" s="580">
        <f t="shared" si="307"/>
        <v>2.5</v>
      </c>
      <c r="AF3499" s="580">
        <f t="shared" si="308"/>
        <v>2.5</v>
      </c>
      <c r="AG3499" s="580">
        <f t="shared" si="309"/>
        <v>0</v>
      </c>
      <c r="AH3499" s="580">
        <f t="shared" si="310"/>
        <v>0</v>
      </c>
    </row>
    <row r="3500" spans="28:34">
      <c r="AB3500" s="580">
        <f>HLOOKUP("*"&amp;'Output annual'!$AC$2&amp;'Output annual'!$AD$2&amp;"*Zone People Number Of Occupants [](Hourly)",'Eplus results'!$1:$1048576,ROW(),FALSE)</f>
        <v>0</v>
      </c>
      <c r="AC3500" s="580">
        <f>HLOOKUP("*"&amp;'Output annual'!$AC$2&amp;'Output annual'!$AD$2&amp;"*FangerPMV(Hourly)",'Eplus results'!$1:$1048576,ROW(),FALSE)</f>
        <v>0</v>
      </c>
      <c r="AD3500" s="580">
        <f t="shared" si="306"/>
        <v>5</v>
      </c>
      <c r="AE3500" s="580">
        <f t="shared" si="307"/>
        <v>2.5</v>
      </c>
      <c r="AF3500" s="580">
        <f t="shared" si="308"/>
        <v>2.5</v>
      </c>
      <c r="AG3500" s="580">
        <f t="shared" si="309"/>
        <v>0</v>
      </c>
      <c r="AH3500" s="580">
        <f t="shared" si="310"/>
        <v>0</v>
      </c>
    </row>
    <row r="3501" spans="28:34">
      <c r="AB3501" s="580">
        <f>HLOOKUP("*"&amp;'Output annual'!$AC$2&amp;'Output annual'!$AD$2&amp;"*Zone People Number Of Occupants [](Hourly)",'Eplus results'!$1:$1048576,ROW(),FALSE)</f>
        <v>0</v>
      </c>
      <c r="AC3501" s="580">
        <f>HLOOKUP("*"&amp;'Output annual'!$AC$2&amp;'Output annual'!$AD$2&amp;"*FangerPMV(Hourly)",'Eplus results'!$1:$1048576,ROW(),FALSE)</f>
        <v>0</v>
      </c>
      <c r="AD3501" s="580">
        <f t="shared" si="306"/>
        <v>5</v>
      </c>
      <c r="AE3501" s="580">
        <f t="shared" si="307"/>
        <v>2.5</v>
      </c>
      <c r="AF3501" s="580">
        <f t="shared" si="308"/>
        <v>2.5</v>
      </c>
      <c r="AG3501" s="580">
        <f t="shared" si="309"/>
        <v>0</v>
      </c>
      <c r="AH3501" s="580">
        <f t="shared" si="310"/>
        <v>0</v>
      </c>
    </row>
    <row r="3502" spans="28:34">
      <c r="AB3502" s="580">
        <f>HLOOKUP("*"&amp;'Output annual'!$AC$2&amp;'Output annual'!$AD$2&amp;"*Zone People Number Of Occupants [](Hourly)",'Eplus results'!$1:$1048576,ROW(),FALSE)</f>
        <v>0</v>
      </c>
      <c r="AC3502" s="580">
        <f>HLOOKUP("*"&amp;'Output annual'!$AC$2&amp;'Output annual'!$AD$2&amp;"*FangerPMV(Hourly)",'Eplus results'!$1:$1048576,ROW(),FALSE)</f>
        <v>0</v>
      </c>
      <c r="AD3502" s="580">
        <f t="shared" si="306"/>
        <v>5</v>
      </c>
      <c r="AE3502" s="580">
        <f t="shared" si="307"/>
        <v>2.5</v>
      </c>
      <c r="AF3502" s="580">
        <f t="shared" si="308"/>
        <v>2.5</v>
      </c>
      <c r="AG3502" s="580">
        <f t="shared" si="309"/>
        <v>0</v>
      </c>
      <c r="AH3502" s="580">
        <f t="shared" si="310"/>
        <v>0</v>
      </c>
    </row>
    <row r="3503" spans="28:34">
      <c r="AB3503" s="580">
        <f>HLOOKUP("*"&amp;'Output annual'!$AC$2&amp;'Output annual'!$AD$2&amp;"*Zone People Number Of Occupants [](Hourly)",'Eplus results'!$1:$1048576,ROW(),FALSE)</f>
        <v>0</v>
      </c>
      <c r="AC3503" s="580">
        <f>HLOOKUP("*"&amp;'Output annual'!$AC$2&amp;'Output annual'!$AD$2&amp;"*FangerPMV(Hourly)",'Eplus results'!$1:$1048576,ROW(),FALSE)</f>
        <v>0</v>
      </c>
      <c r="AD3503" s="580">
        <f t="shared" si="306"/>
        <v>5</v>
      </c>
      <c r="AE3503" s="580">
        <f t="shared" si="307"/>
        <v>2.5</v>
      </c>
      <c r="AF3503" s="580">
        <f t="shared" si="308"/>
        <v>2.5</v>
      </c>
      <c r="AG3503" s="580">
        <f t="shared" si="309"/>
        <v>0</v>
      </c>
      <c r="AH3503" s="580">
        <f t="shared" si="310"/>
        <v>0</v>
      </c>
    </row>
    <row r="3504" spans="28:34">
      <c r="AB3504" s="580">
        <f>HLOOKUP("*"&amp;'Output annual'!$AC$2&amp;'Output annual'!$AD$2&amp;"*Zone People Number Of Occupants [](Hourly)",'Eplus results'!$1:$1048576,ROW(),FALSE)</f>
        <v>0</v>
      </c>
      <c r="AC3504" s="580">
        <f>HLOOKUP("*"&amp;'Output annual'!$AC$2&amp;'Output annual'!$AD$2&amp;"*FangerPMV(Hourly)",'Eplus results'!$1:$1048576,ROW(),FALSE)</f>
        <v>0</v>
      </c>
      <c r="AD3504" s="580">
        <f t="shared" si="306"/>
        <v>5</v>
      </c>
      <c r="AE3504" s="580">
        <f t="shared" si="307"/>
        <v>2.5</v>
      </c>
      <c r="AF3504" s="580">
        <f t="shared" si="308"/>
        <v>2.5</v>
      </c>
      <c r="AG3504" s="580">
        <f t="shared" si="309"/>
        <v>0</v>
      </c>
      <c r="AH3504" s="580">
        <f t="shared" si="310"/>
        <v>0</v>
      </c>
    </row>
    <row r="3505" spans="28:34">
      <c r="AB3505" s="580">
        <f>HLOOKUP("*"&amp;'Output annual'!$AC$2&amp;'Output annual'!$AD$2&amp;"*Zone People Number Of Occupants [](Hourly)",'Eplus results'!$1:$1048576,ROW(),FALSE)</f>
        <v>0</v>
      </c>
      <c r="AC3505" s="580">
        <f>HLOOKUP("*"&amp;'Output annual'!$AC$2&amp;'Output annual'!$AD$2&amp;"*FangerPMV(Hourly)",'Eplus results'!$1:$1048576,ROW(),FALSE)</f>
        <v>0</v>
      </c>
      <c r="AD3505" s="580">
        <f t="shared" si="306"/>
        <v>5</v>
      </c>
      <c r="AE3505" s="580">
        <f t="shared" si="307"/>
        <v>2.5</v>
      </c>
      <c r="AF3505" s="580">
        <f t="shared" si="308"/>
        <v>2.5</v>
      </c>
      <c r="AG3505" s="580">
        <f t="shared" si="309"/>
        <v>0</v>
      </c>
      <c r="AH3505" s="580">
        <f t="shared" si="310"/>
        <v>0</v>
      </c>
    </row>
    <row r="3506" spans="28:34">
      <c r="AB3506" s="580">
        <f>HLOOKUP("*"&amp;'Output annual'!$AC$2&amp;'Output annual'!$AD$2&amp;"*Zone People Number Of Occupants [](Hourly)",'Eplus results'!$1:$1048576,ROW(),FALSE)</f>
        <v>0</v>
      </c>
      <c r="AC3506" s="580">
        <f>HLOOKUP("*"&amp;'Output annual'!$AC$2&amp;'Output annual'!$AD$2&amp;"*FangerPMV(Hourly)",'Eplus results'!$1:$1048576,ROW(),FALSE)</f>
        <v>0</v>
      </c>
      <c r="AD3506" s="580">
        <f t="shared" si="306"/>
        <v>5</v>
      </c>
      <c r="AE3506" s="580">
        <f t="shared" si="307"/>
        <v>2.5</v>
      </c>
      <c r="AF3506" s="580">
        <f t="shared" si="308"/>
        <v>2.5</v>
      </c>
      <c r="AG3506" s="580">
        <f t="shared" si="309"/>
        <v>0</v>
      </c>
      <c r="AH3506" s="580">
        <f t="shared" si="310"/>
        <v>0</v>
      </c>
    </row>
    <row r="3507" spans="28:34">
      <c r="AB3507" s="580">
        <f>HLOOKUP("*"&amp;'Output annual'!$AC$2&amp;'Output annual'!$AD$2&amp;"*Zone People Number Of Occupants [](Hourly)",'Eplus results'!$1:$1048576,ROW(),FALSE)</f>
        <v>0</v>
      </c>
      <c r="AC3507" s="580">
        <f>HLOOKUP("*"&amp;'Output annual'!$AC$2&amp;'Output annual'!$AD$2&amp;"*FangerPMV(Hourly)",'Eplus results'!$1:$1048576,ROW(),FALSE)</f>
        <v>0</v>
      </c>
      <c r="AD3507" s="580">
        <f t="shared" si="306"/>
        <v>5</v>
      </c>
      <c r="AE3507" s="580">
        <f t="shared" si="307"/>
        <v>2.5</v>
      </c>
      <c r="AF3507" s="580">
        <f t="shared" si="308"/>
        <v>2.5</v>
      </c>
      <c r="AG3507" s="580">
        <f t="shared" si="309"/>
        <v>0</v>
      </c>
      <c r="AH3507" s="580">
        <f t="shared" si="310"/>
        <v>0</v>
      </c>
    </row>
    <row r="3508" spans="28:34">
      <c r="AB3508" s="580">
        <f>HLOOKUP("*"&amp;'Output annual'!$AC$2&amp;'Output annual'!$AD$2&amp;"*Zone People Number Of Occupants [](Hourly)",'Eplus results'!$1:$1048576,ROW(),FALSE)</f>
        <v>0</v>
      </c>
      <c r="AC3508" s="580">
        <f>HLOOKUP("*"&amp;'Output annual'!$AC$2&amp;'Output annual'!$AD$2&amp;"*FangerPMV(Hourly)",'Eplus results'!$1:$1048576,ROW(),FALSE)</f>
        <v>0</v>
      </c>
      <c r="AD3508" s="580">
        <f t="shared" si="306"/>
        <v>5</v>
      </c>
      <c r="AE3508" s="580">
        <f t="shared" si="307"/>
        <v>2.5</v>
      </c>
      <c r="AF3508" s="580">
        <f t="shared" si="308"/>
        <v>2.5</v>
      </c>
      <c r="AG3508" s="580">
        <f t="shared" si="309"/>
        <v>0</v>
      </c>
      <c r="AH3508" s="580">
        <f t="shared" si="310"/>
        <v>0</v>
      </c>
    </row>
    <row r="3509" spans="28:34">
      <c r="AB3509" s="580">
        <f>HLOOKUP("*"&amp;'Output annual'!$AC$2&amp;'Output annual'!$AD$2&amp;"*Zone People Number Of Occupants [](Hourly)",'Eplus results'!$1:$1048576,ROW(),FALSE)</f>
        <v>0</v>
      </c>
      <c r="AC3509" s="580">
        <f>HLOOKUP("*"&amp;'Output annual'!$AC$2&amp;'Output annual'!$AD$2&amp;"*FangerPMV(Hourly)",'Eplus results'!$1:$1048576,ROW(),FALSE)</f>
        <v>0</v>
      </c>
      <c r="AD3509" s="580">
        <f t="shared" si="306"/>
        <v>5</v>
      </c>
      <c r="AE3509" s="580">
        <f t="shared" si="307"/>
        <v>2.5</v>
      </c>
      <c r="AF3509" s="580">
        <f t="shared" si="308"/>
        <v>2.5</v>
      </c>
      <c r="AG3509" s="580">
        <f t="shared" si="309"/>
        <v>0</v>
      </c>
      <c r="AH3509" s="580">
        <f t="shared" si="310"/>
        <v>0</v>
      </c>
    </row>
    <row r="3510" spans="28:34">
      <c r="AB3510" s="580">
        <f>HLOOKUP("*"&amp;'Output annual'!$AC$2&amp;'Output annual'!$AD$2&amp;"*Zone People Number Of Occupants [](Hourly)",'Eplus results'!$1:$1048576,ROW(),FALSE)</f>
        <v>0</v>
      </c>
      <c r="AC3510" s="580">
        <f>HLOOKUP("*"&amp;'Output annual'!$AC$2&amp;'Output annual'!$AD$2&amp;"*FangerPMV(Hourly)",'Eplus results'!$1:$1048576,ROW(),FALSE)</f>
        <v>0</v>
      </c>
      <c r="AD3510" s="580">
        <f t="shared" si="306"/>
        <v>5</v>
      </c>
      <c r="AE3510" s="580">
        <f t="shared" si="307"/>
        <v>2.5</v>
      </c>
      <c r="AF3510" s="580">
        <f t="shared" si="308"/>
        <v>2.5</v>
      </c>
      <c r="AG3510" s="580">
        <f t="shared" si="309"/>
        <v>0</v>
      </c>
      <c r="AH3510" s="580">
        <f t="shared" si="310"/>
        <v>0</v>
      </c>
    </row>
    <row r="3511" spans="28:34">
      <c r="AB3511" s="580">
        <f>HLOOKUP("*"&amp;'Output annual'!$AC$2&amp;'Output annual'!$AD$2&amp;"*Zone People Number Of Occupants [](Hourly)",'Eplus results'!$1:$1048576,ROW(),FALSE)</f>
        <v>0</v>
      </c>
      <c r="AC3511" s="580">
        <f>HLOOKUP("*"&amp;'Output annual'!$AC$2&amp;'Output annual'!$AD$2&amp;"*FangerPMV(Hourly)",'Eplus results'!$1:$1048576,ROW(),FALSE)</f>
        <v>0</v>
      </c>
      <c r="AD3511" s="580">
        <f t="shared" si="306"/>
        <v>5</v>
      </c>
      <c r="AE3511" s="580">
        <f t="shared" si="307"/>
        <v>2.5</v>
      </c>
      <c r="AF3511" s="580">
        <f t="shared" si="308"/>
        <v>2.5</v>
      </c>
      <c r="AG3511" s="580">
        <f t="shared" si="309"/>
        <v>0</v>
      </c>
      <c r="AH3511" s="580">
        <f t="shared" si="310"/>
        <v>0</v>
      </c>
    </row>
    <row r="3512" spans="28:34">
      <c r="AB3512" s="580">
        <f>HLOOKUP("*"&amp;'Output annual'!$AC$2&amp;'Output annual'!$AD$2&amp;"*Zone People Number Of Occupants [](Hourly)",'Eplus results'!$1:$1048576,ROW(),FALSE)</f>
        <v>0</v>
      </c>
      <c r="AC3512" s="580">
        <f>HLOOKUP("*"&amp;'Output annual'!$AC$2&amp;'Output annual'!$AD$2&amp;"*FangerPMV(Hourly)",'Eplus results'!$1:$1048576,ROW(),FALSE)</f>
        <v>0</v>
      </c>
      <c r="AD3512" s="580">
        <f t="shared" si="306"/>
        <v>5</v>
      </c>
      <c r="AE3512" s="580">
        <f t="shared" si="307"/>
        <v>2.5</v>
      </c>
      <c r="AF3512" s="580">
        <f t="shared" si="308"/>
        <v>2.5</v>
      </c>
      <c r="AG3512" s="580">
        <f t="shared" si="309"/>
        <v>0</v>
      </c>
      <c r="AH3512" s="580">
        <f t="shared" si="310"/>
        <v>0</v>
      </c>
    </row>
    <row r="3513" spans="28:34">
      <c r="AB3513" s="580">
        <f>HLOOKUP("*"&amp;'Output annual'!$AC$2&amp;'Output annual'!$AD$2&amp;"*Zone People Number Of Occupants [](Hourly)",'Eplus results'!$1:$1048576,ROW(),FALSE)</f>
        <v>0</v>
      </c>
      <c r="AC3513" s="580">
        <f>HLOOKUP("*"&amp;'Output annual'!$AC$2&amp;'Output annual'!$AD$2&amp;"*FangerPMV(Hourly)",'Eplus results'!$1:$1048576,ROW(),FALSE)</f>
        <v>0</v>
      </c>
      <c r="AD3513" s="580">
        <f t="shared" si="306"/>
        <v>5</v>
      </c>
      <c r="AE3513" s="580">
        <f t="shared" si="307"/>
        <v>2.5</v>
      </c>
      <c r="AF3513" s="580">
        <f t="shared" si="308"/>
        <v>2.5</v>
      </c>
      <c r="AG3513" s="580">
        <f t="shared" si="309"/>
        <v>0</v>
      </c>
      <c r="AH3513" s="580">
        <f t="shared" si="310"/>
        <v>0</v>
      </c>
    </row>
    <row r="3514" spans="28:34">
      <c r="AB3514" s="580">
        <f>HLOOKUP("*"&amp;'Output annual'!$AC$2&amp;'Output annual'!$AD$2&amp;"*Zone People Number Of Occupants [](Hourly)",'Eplus results'!$1:$1048576,ROW(),FALSE)</f>
        <v>0</v>
      </c>
      <c r="AC3514" s="580">
        <f>HLOOKUP("*"&amp;'Output annual'!$AC$2&amp;'Output annual'!$AD$2&amp;"*FangerPMV(Hourly)",'Eplus results'!$1:$1048576,ROW(),FALSE)</f>
        <v>0</v>
      </c>
      <c r="AD3514" s="580">
        <f t="shared" si="306"/>
        <v>5</v>
      </c>
      <c r="AE3514" s="580">
        <f t="shared" si="307"/>
        <v>2.5</v>
      </c>
      <c r="AF3514" s="580">
        <f t="shared" si="308"/>
        <v>2.5</v>
      </c>
      <c r="AG3514" s="580">
        <f t="shared" si="309"/>
        <v>0</v>
      </c>
      <c r="AH3514" s="580">
        <f t="shared" si="310"/>
        <v>0</v>
      </c>
    </row>
    <row r="3515" spans="28:34">
      <c r="AB3515" s="580">
        <f>HLOOKUP("*"&amp;'Output annual'!$AC$2&amp;'Output annual'!$AD$2&amp;"*Zone People Number Of Occupants [](Hourly)",'Eplus results'!$1:$1048576,ROW(),FALSE)</f>
        <v>0</v>
      </c>
      <c r="AC3515" s="580">
        <f>HLOOKUP("*"&amp;'Output annual'!$AC$2&amp;'Output annual'!$AD$2&amp;"*FangerPMV(Hourly)",'Eplus results'!$1:$1048576,ROW(),FALSE)</f>
        <v>0</v>
      </c>
      <c r="AD3515" s="580">
        <f t="shared" si="306"/>
        <v>5</v>
      </c>
      <c r="AE3515" s="580">
        <f t="shared" si="307"/>
        <v>2.5</v>
      </c>
      <c r="AF3515" s="580">
        <f t="shared" si="308"/>
        <v>2.5</v>
      </c>
      <c r="AG3515" s="580">
        <f t="shared" si="309"/>
        <v>0</v>
      </c>
      <c r="AH3515" s="580">
        <f t="shared" si="310"/>
        <v>0</v>
      </c>
    </row>
    <row r="3516" spans="28:34">
      <c r="AB3516" s="580">
        <f>HLOOKUP("*"&amp;'Output annual'!$AC$2&amp;'Output annual'!$AD$2&amp;"*Zone People Number Of Occupants [](Hourly)",'Eplus results'!$1:$1048576,ROW(),FALSE)</f>
        <v>0</v>
      </c>
      <c r="AC3516" s="580">
        <f>HLOOKUP("*"&amp;'Output annual'!$AC$2&amp;'Output annual'!$AD$2&amp;"*FangerPMV(Hourly)",'Eplus results'!$1:$1048576,ROW(),FALSE)</f>
        <v>0</v>
      </c>
      <c r="AD3516" s="580">
        <f t="shared" si="306"/>
        <v>5</v>
      </c>
      <c r="AE3516" s="580">
        <f t="shared" si="307"/>
        <v>2.5</v>
      </c>
      <c r="AF3516" s="580">
        <f t="shared" si="308"/>
        <v>2.5</v>
      </c>
      <c r="AG3516" s="580">
        <f t="shared" si="309"/>
        <v>0</v>
      </c>
      <c r="AH3516" s="580">
        <f t="shared" si="310"/>
        <v>0</v>
      </c>
    </row>
    <row r="3517" spans="28:34">
      <c r="AB3517" s="580">
        <f>HLOOKUP("*"&amp;'Output annual'!$AC$2&amp;'Output annual'!$AD$2&amp;"*Zone People Number Of Occupants [](Hourly)",'Eplus results'!$1:$1048576,ROW(),FALSE)</f>
        <v>0</v>
      </c>
      <c r="AC3517" s="580">
        <f>HLOOKUP("*"&amp;'Output annual'!$AC$2&amp;'Output annual'!$AD$2&amp;"*FangerPMV(Hourly)",'Eplus results'!$1:$1048576,ROW(),FALSE)</f>
        <v>0</v>
      </c>
      <c r="AD3517" s="580">
        <f t="shared" si="306"/>
        <v>5</v>
      </c>
      <c r="AE3517" s="580">
        <f t="shared" si="307"/>
        <v>2.5</v>
      </c>
      <c r="AF3517" s="580">
        <f t="shared" si="308"/>
        <v>2.5</v>
      </c>
      <c r="AG3517" s="580">
        <f t="shared" si="309"/>
        <v>0</v>
      </c>
      <c r="AH3517" s="580">
        <f t="shared" si="310"/>
        <v>0</v>
      </c>
    </row>
    <row r="3518" spans="28:34">
      <c r="AB3518" s="580">
        <f>HLOOKUP("*"&amp;'Output annual'!$AC$2&amp;'Output annual'!$AD$2&amp;"*Zone People Number Of Occupants [](Hourly)",'Eplus results'!$1:$1048576,ROW(),FALSE)</f>
        <v>0</v>
      </c>
      <c r="AC3518" s="580">
        <f>HLOOKUP("*"&amp;'Output annual'!$AC$2&amp;'Output annual'!$AD$2&amp;"*FangerPMV(Hourly)",'Eplus results'!$1:$1048576,ROW(),FALSE)</f>
        <v>0</v>
      </c>
      <c r="AD3518" s="580">
        <f t="shared" si="306"/>
        <v>5</v>
      </c>
      <c r="AE3518" s="580">
        <f t="shared" si="307"/>
        <v>2.5</v>
      </c>
      <c r="AF3518" s="580">
        <f t="shared" si="308"/>
        <v>2.5</v>
      </c>
      <c r="AG3518" s="580">
        <f t="shared" si="309"/>
        <v>0</v>
      </c>
      <c r="AH3518" s="580">
        <f t="shared" si="310"/>
        <v>0</v>
      </c>
    </row>
    <row r="3519" spans="28:34">
      <c r="AB3519" s="580">
        <f>HLOOKUP("*"&amp;'Output annual'!$AC$2&amp;'Output annual'!$AD$2&amp;"*Zone People Number Of Occupants [](Hourly)",'Eplus results'!$1:$1048576,ROW(),FALSE)</f>
        <v>0</v>
      </c>
      <c r="AC3519" s="580">
        <f>HLOOKUP("*"&amp;'Output annual'!$AC$2&amp;'Output annual'!$AD$2&amp;"*FangerPMV(Hourly)",'Eplus results'!$1:$1048576,ROW(),FALSE)</f>
        <v>0</v>
      </c>
      <c r="AD3519" s="580">
        <f t="shared" si="306"/>
        <v>5</v>
      </c>
      <c r="AE3519" s="580">
        <f t="shared" si="307"/>
        <v>2.5</v>
      </c>
      <c r="AF3519" s="580">
        <f t="shared" si="308"/>
        <v>2.5</v>
      </c>
      <c r="AG3519" s="580">
        <f t="shared" si="309"/>
        <v>0</v>
      </c>
      <c r="AH3519" s="580">
        <f t="shared" si="310"/>
        <v>0</v>
      </c>
    </row>
    <row r="3520" spans="28:34">
      <c r="AB3520" s="580">
        <f>HLOOKUP("*"&amp;'Output annual'!$AC$2&amp;'Output annual'!$AD$2&amp;"*Zone People Number Of Occupants [](Hourly)",'Eplus results'!$1:$1048576,ROW(),FALSE)</f>
        <v>0</v>
      </c>
      <c r="AC3520" s="580">
        <f>HLOOKUP("*"&amp;'Output annual'!$AC$2&amp;'Output annual'!$AD$2&amp;"*FangerPMV(Hourly)",'Eplus results'!$1:$1048576,ROW(),FALSE)</f>
        <v>0</v>
      </c>
      <c r="AD3520" s="580">
        <f t="shared" si="306"/>
        <v>5</v>
      </c>
      <c r="AE3520" s="580">
        <f t="shared" si="307"/>
        <v>2.5</v>
      </c>
      <c r="AF3520" s="580">
        <f t="shared" si="308"/>
        <v>2.5</v>
      </c>
      <c r="AG3520" s="580">
        <f t="shared" si="309"/>
        <v>0</v>
      </c>
      <c r="AH3520" s="580">
        <f t="shared" si="310"/>
        <v>0</v>
      </c>
    </row>
    <row r="3521" spans="28:34">
      <c r="AB3521" s="580">
        <f>HLOOKUP("*"&amp;'Output annual'!$AC$2&amp;'Output annual'!$AD$2&amp;"*Zone People Number Of Occupants [](Hourly)",'Eplus results'!$1:$1048576,ROW(),FALSE)</f>
        <v>0</v>
      </c>
      <c r="AC3521" s="580">
        <f>HLOOKUP("*"&amp;'Output annual'!$AC$2&amp;'Output annual'!$AD$2&amp;"*FangerPMV(Hourly)",'Eplus results'!$1:$1048576,ROW(),FALSE)</f>
        <v>0</v>
      </c>
      <c r="AD3521" s="580">
        <f t="shared" si="306"/>
        <v>5</v>
      </c>
      <c r="AE3521" s="580">
        <f t="shared" si="307"/>
        <v>2.5</v>
      </c>
      <c r="AF3521" s="580">
        <f t="shared" si="308"/>
        <v>2.5</v>
      </c>
      <c r="AG3521" s="580">
        <f t="shared" si="309"/>
        <v>0</v>
      </c>
      <c r="AH3521" s="580">
        <f t="shared" si="310"/>
        <v>0</v>
      </c>
    </row>
    <row r="3522" spans="28:34">
      <c r="AB3522" s="580">
        <f>HLOOKUP("*"&amp;'Output annual'!$AC$2&amp;'Output annual'!$AD$2&amp;"*Zone People Number Of Occupants [](Hourly)",'Eplus results'!$1:$1048576,ROW(),FALSE)</f>
        <v>0</v>
      </c>
      <c r="AC3522" s="580">
        <f>HLOOKUP("*"&amp;'Output annual'!$AC$2&amp;'Output annual'!$AD$2&amp;"*FangerPMV(Hourly)",'Eplus results'!$1:$1048576,ROW(),FALSE)</f>
        <v>0</v>
      </c>
      <c r="AD3522" s="580">
        <f t="shared" si="306"/>
        <v>5</v>
      </c>
      <c r="AE3522" s="580">
        <f t="shared" si="307"/>
        <v>2.5</v>
      </c>
      <c r="AF3522" s="580">
        <f t="shared" si="308"/>
        <v>2.5</v>
      </c>
      <c r="AG3522" s="580">
        <f t="shared" si="309"/>
        <v>0</v>
      </c>
      <c r="AH3522" s="580">
        <f t="shared" si="310"/>
        <v>0</v>
      </c>
    </row>
    <row r="3523" spans="28:34">
      <c r="AB3523" s="580">
        <f>HLOOKUP("*"&amp;'Output annual'!$AC$2&amp;'Output annual'!$AD$2&amp;"*Zone People Number Of Occupants [](Hourly)",'Eplus results'!$1:$1048576,ROW(),FALSE)</f>
        <v>0</v>
      </c>
      <c r="AC3523" s="580">
        <f>HLOOKUP("*"&amp;'Output annual'!$AC$2&amp;'Output annual'!$AD$2&amp;"*FangerPMV(Hourly)",'Eplus results'!$1:$1048576,ROW(),FALSE)</f>
        <v>0</v>
      </c>
      <c r="AD3523" s="580">
        <f t="shared" ref="AD3523:AD3586" si="311">100-95*EXP(-0.03353*AC3523^4-0.2179*AC3523^2)</f>
        <v>5</v>
      </c>
      <c r="AE3523" s="580">
        <f t="shared" ref="AE3523:AE3586" si="312">AD3523*(1/(1+EXP(-6.3*$AC3523)))</f>
        <v>2.5</v>
      </c>
      <c r="AF3523" s="580">
        <f t="shared" ref="AF3523:AF3586" si="313">(AD3523-AE3523)</f>
        <v>2.5</v>
      </c>
      <c r="AG3523" s="580">
        <f t="shared" ref="AG3523:AG3586" si="314">AE3523*AB3523</f>
        <v>0</v>
      </c>
      <c r="AH3523" s="580">
        <f t="shared" ref="AH3523:AH3586" si="315">AF3523*AB3523</f>
        <v>0</v>
      </c>
    </row>
    <row r="3524" spans="28:34">
      <c r="AB3524" s="580">
        <f>HLOOKUP("*"&amp;'Output annual'!$AC$2&amp;'Output annual'!$AD$2&amp;"*Zone People Number Of Occupants [](Hourly)",'Eplus results'!$1:$1048576,ROW(),FALSE)</f>
        <v>0</v>
      </c>
      <c r="AC3524" s="580">
        <f>HLOOKUP("*"&amp;'Output annual'!$AC$2&amp;'Output annual'!$AD$2&amp;"*FangerPMV(Hourly)",'Eplus results'!$1:$1048576,ROW(),FALSE)</f>
        <v>0</v>
      </c>
      <c r="AD3524" s="580">
        <f t="shared" si="311"/>
        <v>5</v>
      </c>
      <c r="AE3524" s="580">
        <f t="shared" si="312"/>
        <v>2.5</v>
      </c>
      <c r="AF3524" s="580">
        <f t="shared" si="313"/>
        <v>2.5</v>
      </c>
      <c r="AG3524" s="580">
        <f t="shared" si="314"/>
        <v>0</v>
      </c>
      <c r="AH3524" s="580">
        <f t="shared" si="315"/>
        <v>0</v>
      </c>
    </row>
    <row r="3525" spans="28:34">
      <c r="AB3525" s="580">
        <f>HLOOKUP("*"&amp;'Output annual'!$AC$2&amp;'Output annual'!$AD$2&amp;"*Zone People Number Of Occupants [](Hourly)",'Eplus results'!$1:$1048576,ROW(),FALSE)</f>
        <v>0</v>
      </c>
      <c r="AC3525" s="580">
        <f>HLOOKUP("*"&amp;'Output annual'!$AC$2&amp;'Output annual'!$AD$2&amp;"*FangerPMV(Hourly)",'Eplus results'!$1:$1048576,ROW(),FALSE)</f>
        <v>0</v>
      </c>
      <c r="AD3525" s="580">
        <f t="shared" si="311"/>
        <v>5</v>
      </c>
      <c r="AE3525" s="580">
        <f t="shared" si="312"/>
        <v>2.5</v>
      </c>
      <c r="AF3525" s="580">
        <f t="shared" si="313"/>
        <v>2.5</v>
      </c>
      <c r="AG3525" s="580">
        <f t="shared" si="314"/>
        <v>0</v>
      </c>
      <c r="AH3525" s="580">
        <f t="shared" si="315"/>
        <v>0</v>
      </c>
    </row>
    <row r="3526" spans="28:34">
      <c r="AB3526" s="580">
        <f>HLOOKUP("*"&amp;'Output annual'!$AC$2&amp;'Output annual'!$AD$2&amp;"*Zone People Number Of Occupants [](Hourly)",'Eplus results'!$1:$1048576,ROW(),FALSE)</f>
        <v>0</v>
      </c>
      <c r="AC3526" s="580">
        <f>HLOOKUP("*"&amp;'Output annual'!$AC$2&amp;'Output annual'!$AD$2&amp;"*FangerPMV(Hourly)",'Eplus results'!$1:$1048576,ROW(),FALSE)</f>
        <v>0</v>
      </c>
      <c r="AD3526" s="580">
        <f t="shared" si="311"/>
        <v>5</v>
      </c>
      <c r="AE3526" s="580">
        <f t="shared" si="312"/>
        <v>2.5</v>
      </c>
      <c r="AF3526" s="580">
        <f t="shared" si="313"/>
        <v>2.5</v>
      </c>
      <c r="AG3526" s="580">
        <f t="shared" si="314"/>
        <v>0</v>
      </c>
      <c r="AH3526" s="580">
        <f t="shared" si="315"/>
        <v>0</v>
      </c>
    </row>
    <row r="3527" spans="28:34">
      <c r="AB3527" s="580">
        <f>HLOOKUP("*"&amp;'Output annual'!$AC$2&amp;'Output annual'!$AD$2&amp;"*Zone People Number Of Occupants [](Hourly)",'Eplus results'!$1:$1048576,ROW(),FALSE)</f>
        <v>0</v>
      </c>
      <c r="AC3527" s="580">
        <f>HLOOKUP("*"&amp;'Output annual'!$AC$2&amp;'Output annual'!$AD$2&amp;"*FangerPMV(Hourly)",'Eplus results'!$1:$1048576,ROW(),FALSE)</f>
        <v>0</v>
      </c>
      <c r="AD3527" s="580">
        <f t="shared" si="311"/>
        <v>5</v>
      </c>
      <c r="AE3527" s="580">
        <f t="shared" si="312"/>
        <v>2.5</v>
      </c>
      <c r="AF3527" s="580">
        <f t="shared" si="313"/>
        <v>2.5</v>
      </c>
      <c r="AG3527" s="580">
        <f t="shared" si="314"/>
        <v>0</v>
      </c>
      <c r="AH3527" s="580">
        <f t="shared" si="315"/>
        <v>0</v>
      </c>
    </row>
    <row r="3528" spans="28:34">
      <c r="AB3528" s="580">
        <f>HLOOKUP("*"&amp;'Output annual'!$AC$2&amp;'Output annual'!$AD$2&amp;"*Zone People Number Of Occupants [](Hourly)",'Eplus results'!$1:$1048576,ROW(),FALSE)</f>
        <v>0</v>
      </c>
      <c r="AC3528" s="580">
        <f>HLOOKUP("*"&amp;'Output annual'!$AC$2&amp;'Output annual'!$AD$2&amp;"*FangerPMV(Hourly)",'Eplus results'!$1:$1048576,ROW(),FALSE)</f>
        <v>0</v>
      </c>
      <c r="AD3528" s="580">
        <f t="shared" si="311"/>
        <v>5</v>
      </c>
      <c r="AE3528" s="580">
        <f t="shared" si="312"/>
        <v>2.5</v>
      </c>
      <c r="AF3528" s="580">
        <f t="shared" si="313"/>
        <v>2.5</v>
      </c>
      <c r="AG3528" s="580">
        <f t="shared" si="314"/>
        <v>0</v>
      </c>
      <c r="AH3528" s="580">
        <f t="shared" si="315"/>
        <v>0</v>
      </c>
    </row>
    <row r="3529" spans="28:34">
      <c r="AB3529" s="580">
        <f>HLOOKUP("*"&amp;'Output annual'!$AC$2&amp;'Output annual'!$AD$2&amp;"*Zone People Number Of Occupants [](Hourly)",'Eplus results'!$1:$1048576,ROW(),FALSE)</f>
        <v>0</v>
      </c>
      <c r="AC3529" s="580">
        <f>HLOOKUP("*"&amp;'Output annual'!$AC$2&amp;'Output annual'!$AD$2&amp;"*FangerPMV(Hourly)",'Eplus results'!$1:$1048576,ROW(),FALSE)</f>
        <v>0</v>
      </c>
      <c r="AD3529" s="580">
        <f t="shared" si="311"/>
        <v>5</v>
      </c>
      <c r="AE3529" s="580">
        <f t="shared" si="312"/>
        <v>2.5</v>
      </c>
      <c r="AF3529" s="580">
        <f t="shared" si="313"/>
        <v>2.5</v>
      </c>
      <c r="AG3529" s="580">
        <f t="shared" si="314"/>
        <v>0</v>
      </c>
      <c r="AH3529" s="580">
        <f t="shared" si="315"/>
        <v>0</v>
      </c>
    </row>
    <row r="3530" spans="28:34">
      <c r="AB3530" s="580">
        <f>HLOOKUP("*"&amp;'Output annual'!$AC$2&amp;'Output annual'!$AD$2&amp;"*Zone People Number Of Occupants [](Hourly)",'Eplus results'!$1:$1048576,ROW(),FALSE)</f>
        <v>0</v>
      </c>
      <c r="AC3530" s="580">
        <f>HLOOKUP("*"&amp;'Output annual'!$AC$2&amp;'Output annual'!$AD$2&amp;"*FangerPMV(Hourly)",'Eplus results'!$1:$1048576,ROW(),FALSE)</f>
        <v>0</v>
      </c>
      <c r="AD3530" s="580">
        <f t="shared" si="311"/>
        <v>5</v>
      </c>
      <c r="AE3530" s="580">
        <f t="shared" si="312"/>
        <v>2.5</v>
      </c>
      <c r="AF3530" s="580">
        <f t="shared" si="313"/>
        <v>2.5</v>
      </c>
      <c r="AG3530" s="580">
        <f t="shared" si="314"/>
        <v>0</v>
      </c>
      <c r="AH3530" s="580">
        <f t="shared" si="315"/>
        <v>0</v>
      </c>
    </row>
    <row r="3531" spans="28:34">
      <c r="AB3531" s="580">
        <f>HLOOKUP("*"&amp;'Output annual'!$AC$2&amp;'Output annual'!$AD$2&amp;"*Zone People Number Of Occupants [](Hourly)",'Eplus results'!$1:$1048576,ROW(),FALSE)</f>
        <v>0</v>
      </c>
      <c r="AC3531" s="580">
        <f>HLOOKUP("*"&amp;'Output annual'!$AC$2&amp;'Output annual'!$AD$2&amp;"*FangerPMV(Hourly)",'Eplus results'!$1:$1048576,ROW(),FALSE)</f>
        <v>0</v>
      </c>
      <c r="AD3531" s="580">
        <f t="shared" si="311"/>
        <v>5</v>
      </c>
      <c r="AE3531" s="580">
        <f t="shared" si="312"/>
        <v>2.5</v>
      </c>
      <c r="AF3531" s="580">
        <f t="shared" si="313"/>
        <v>2.5</v>
      </c>
      <c r="AG3531" s="580">
        <f t="shared" si="314"/>
        <v>0</v>
      </c>
      <c r="AH3531" s="580">
        <f t="shared" si="315"/>
        <v>0</v>
      </c>
    </row>
    <row r="3532" spans="28:34">
      <c r="AB3532" s="580">
        <f>HLOOKUP("*"&amp;'Output annual'!$AC$2&amp;'Output annual'!$AD$2&amp;"*Zone People Number Of Occupants [](Hourly)",'Eplus results'!$1:$1048576,ROW(),FALSE)</f>
        <v>0</v>
      </c>
      <c r="AC3532" s="580">
        <f>HLOOKUP("*"&amp;'Output annual'!$AC$2&amp;'Output annual'!$AD$2&amp;"*FangerPMV(Hourly)",'Eplus results'!$1:$1048576,ROW(),FALSE)</f>
        <v>0</v>
      </c>
      <c r="AD3532" s="580">
        <f t="shared" si="311"/>
        <v>5</v>
      </c>
      <c r="AE3532" s="580">
        <f t="shared" si="312"/>
        <v>2.5</v>
      </c>
      <c r="AF3532" s="580">
        <f t="shared" si="313"/>
        <v>2.5</v>
      </c>
      <c r="AG3532" s="580">
        <f t="shared" si="314"/>
        <v>0</v>
      </c>
      <c r="AH3532" s="580">
        <f t="shared" si="315"/>
        <v>0</v>
      </c>
    </row>
    <row r="3533" spans="28:34">
      <c r="AB3533" s="580">
        <f>HLOOKUP("*"&amp;'Output annual'!$AC$2&amp;'Output annual'!$AD$2&amp;"*Zone People Number Of Occupants [](Hourly)",'Eplus results'!$1:$1048576,ROW(),FALSE)</f>
        <v>0</v>
      </c>
      <c r="AC3533" s="580">
        <f>HLOOKUP("*"&amp;'Output annual'!$AC$2&amp;'Output annual'!$AD$2&amp;"*FangerPMV(Hourly)",'Eplus results'!$1:$1048576,ROW(),FALSE)</f>
        <v>0</v>
      </c>
      <c r="AD3533" s="580">
        <f t="shared" si="311"/>
        <v>5</v>
      </c>
      <c r="AE3533" s="580">
        <f t="shared" si="312"/>
        <v>2.5</v>
      </c>
      <c r="AF3533" s="580">
        <f t="shared" si="313"/>
        <v>2.5</v>
      </c>
      <c r="AG3533" s="580">
        <f t="shared" si="314"/>
        <v>0</v>
      </c>
      <c r="AH3533" s="580">
        <f t="shared" si="315"/>
        <v>0</v>
      </c>
    </row>
    <row r="3534" spans="28:34">
      <c r="AB3534" s="580">
        <f>HLOOKUP("*"&amp;'Output annual'!$AC$2&amp;'Output annual'!$AD$2&amp;"*Zone People Number Of Occupants [](Hourly)",'Eplus results'!$1:$1048576,ROW(),FALSE)</f>
        <v>0</v>
      </c>
      <c r="AC3534" s="580">
        <f>HLOOKUP("*"&amp;'Output annual'!$AC$2&amp;'Output annual'!$AD$2&amp;"*FangerPMV(Hourly)",'Eplus results'!$1:$1048576,ROW(),FALSE)</f>
        <v>0</v>
      </c>
      <c r="AD3534" s="580">
        <f t="shared" si="311"/>
        <v>5</v>
      </c>
      <c r="AE3534" s="580">
        <f t="shared" si="312"/>
        <v>2.5</v>
      </c>
      <c r="AF3534" s="580">
        <f t="shared" si="313"/>
        <v>2.5</v>
      </c>
      <c r="AG3534" s="580">
        <f t="shared" si="314"/>
        <v>0</v>
      </c>
      <c r="AH3534" s="580">
        <f t="shared" si="315"/>
        <v>0</v>
      </c>
    </row>
    <row r="3535" spans="28:34">
      <c r="AB3535" s="580">
        <f>HLOOKUP("*"&amp;'Output annual'!$AC$2&amp;'Output annual'!$AD$2&amp;"*Zone People Number Of Occupants [](Hourly)",'Eplus results'!$1:$1048576,ROW(),FALSE)</f>
        <v>0</v>
      </c>
      <c r="AC3535" s="580">
        <f>HLOOKUP("*"&amp;'Output annual'!$AC$2&amp;'Output annual'!$AD$2&amp;"*FangerPMV(Hourly)",'Eplus results'!$1:$1048576,ROW(),FALSE)</f>
        <v>0</v>
      </c>
      <c r="AD3535" s="580">
        <f t="shared" si="311"/>
        <v>5</v>
      </c>
      <c r="AE3535" s="580">
        <f t="shared" si="312"/>
        <v>2.5</v>
      </c>
      <c r="AF3535" s="580">
        <f t="shared" si="313"/>
        <v>2.5</v>
      </c>
      <c r="AG3535" s="580">
        <f t="shared" si="314"/>
        <v>0</v>
      </c>
      <c r="AH3535" s="580">
        <f t="shared" si="315"/>
        <v>0</v>
      </c>
    </row>
    <row r="3536" spans="28:34">
      <c r="AB3536" s="580">
        <f>HLOOKUP("*"&amp;'Output annual'!$AC$2&amp;'Output annual'!$AD$2&amp;"*Zone People Number Of Occupants [](Hourly)",'Eplus results'!$1:$1048576,ROW(),FALSE)</f>
        <v>0</v>
      </c>
      <c r="AC3536" s="580">
        <f>HLOOKUP("*"&amp;'Output annual'!$AC$2&amp;'Output annual'!$AD$2&amp;"*FangerPMV(Hourly)",'Eplus results'!$1:$1048576,ROW(),FALSE)</f>
        <v>0</v>
      </c>
      <c r="AD3536" s="580">
        <f t="shared" si="311"/>
        <v>5</v>
      </c>
      <c r="AE3536" s="580">
        <f t="shared" si="312"/>
        <v>2.5</v>
      </c>
      <c r="AF3536" s="580">
        <f t="shared" si="313"/>
        <v>2.5</v>
      </c>
      <c r="AG3536" s="580">
        <f t="shared" si="314"/>
        <v>0</v>
      </c>
      <c r="AH3536" s="580">
        <f t="shared" si="315"/>
        <v>0</v>
      </c>
    </row>
    <row r="3537" spans="28:34">
      <c r="AB3537" s="580">
        <f>HLOOKUP("*"&amp;'Output annual'!$AC$2&amp;'Output annual'!$AD$2&amp;"*Zone People Number Of Occupants [](Hourly)",'Eplus results'!$1:$1048576,ROW(),FALSE)</f>
        <v>0</v>
      </c>
      <c r="AC3537" s="580">
        <f>HLOOKUP("*"&amp;'Output annual'!$AC$2&amp;'Output annual'!$AD$2&amp;"*FangerPMV(Hourly)",'Eplus results'!$1:$1048576,ROW(),FALSE)</f>
        <v>0</v>
      </c>
      <c r="AD3537" s="580">
        <f t="shared" si="311"/>
        <v>5</v>
      </c>
      <c r="AE3537" s="580">
        <f t="shared" si="312"/>
        <v>2.5</v>
      </c>
      <c r="AF3537" s="580">
        <f t="shared" si="313"/>
        <v>2.5</v>
      </c>
      <c r="AG3537" s="580">
        <f t="shared" si="314"/>
        <v>0</v>
      </c>
      <c r="AH3537" s="580">
        <f t="shared" si="315"/>
        <v>0</v>
      </c>
    </row>
    <row r="3538" spans="28:34">
      <c r="AB3538" s="580">
        <f>HLOOKUP("*"&amp;'Output annual'!$AC$2&amp;'Output annual'!$AD$2&amp;"*Zone People Number Of Occupants [](Hourly)",'Eplus results'!$1:$1048576,ROW(),FALSE)</f>
        <v>0</v>
      </c>
      <c r="AC3538" s="580">
        <f>HLOOKUP("*"&amp;'Output annual'!$AC$2&amp;'Output annual'!$AD$2&amp;"*FangerPMV(Hourly)",'Eplus results'!$1:$1048576,ROW(),FALSE)</f>
        <v>0</v>
      </c>
      <c r="AD3538" s="580">
        <f t="shared" si="311"/>
        <v>5</v>
      </c>
      <c r="AE3538" s="580">
        <f t="shared" si="312"/>
        <v>2.5</v>
      </c>
      <c r="AF3538" s="580">
        <f t="shared" si="313"/>
        <v>2.5</v>
      </c>
      <c r="AG3538" s="580">
        <f t="shared" si="314"/>
        <v>0</v>
      </c>
      <c r="AH3538" s="580">
        <f t="shared" si="315"/>
        <v>0</v>
      </c>
    </row>
    <row r="3539" spans="28:34">
      <c r="AB3539" s="580">
        <f>HLOOKUP("*"&amp;'Output annual'!$AC$2&amp;'Output annual'!$AD$2&amp;"*Zone People Number Of Occupants [](Hourly)",'Eplus results'!$1:$1048576,ROW(),FALSE)</f>
        <v>0</v>
      </c>
      <c r="AC3539" s="580">
        <f>HLOOKUP("*"&amp;'Output annual'!$AC$2&amp;'Output annual'!$AD$2&amp;"*FangerPMV(Hourly)",'Eplus results'!$1:$1048576,ROW(),FALSE)</f>
        <v>0</v>
      </c>
      <c r="AD3539" s="580">
        <f t="shared" si="311"/>
        <v>5</v>
      </c>
      <c r="AE3539" s="580">
        <f t="shared" si="312"/>
        <v>2.5</v>
      </c>
      <c r="AF3539" s="580">
        <f t="shared" si="313"/>
        <v>2.5</v>
      </c>
      <c r="AG3539" s="580">
        <f t="shared" si="314"/>
        <v>0</v>
      </c>
      <c r="AH3539" s="580">
        <f t="shared" si="315"/>
        <v>0</v>
      </c>
    </row>
    <row r="3540" spans="28:34">
      <c r="AB3540" s="580">
        <f>HLOOKUP("*"&amp;'Output annual'!$AC$2&amp;'Output annual'!$AD$2&amp;"*Zone People Number Of Occupants [](Hourly)",'Eplus results'!$1:$1048576,ROW(),FALSE)</f>
        <v>0</v>
      </c>
      <c r="AC3540" s="580">
        <f>HLOOKUP("*"&amp;'Output annual'!$AC$2&amp;'Output annual'!$AD$2&amp;"*FangerPMV(Hourly)",'Eplus results'!$1:$1048576,ROW(),FALSE)</f>
        <v>0</v>
      </c>
      <c r="AD3540" s="580">
        <f t="shared" si="311"/>
        <v>5</v>
      </c>
      <c r="AE3540" s="580">
        <f t="shared" si="312"/>
        <v>2.5</v>
      </c>
      <c r="AF3540" s="580">
        <f t="shared" si="313"/>
        <v>2.5</v>
      </c>
      <c r="AG3540" s="580">
        <f t="shared" si="314"/>
        <v>0</v>
      </c>
      <c r="AH3540" s="580">
        <f t="shared" si="315"/>
        <v>0</v>
      </c>
    </row>
    <row r="3541" spans="28:34">
      <c r="AB3541" s="580">
        <f>HLOOKUP("*"&amp;'Output annual'!$AC$2&amp;'Output annual'!$AD$2&amp;"*Zone People Number Of Occupants [](Hourly)",'Eplus results'!$1:$1048576,ROW(),FALSE)</f>
        <v>0</v>
      </c>
      <c r="AC3541" s="580">
        <f>HLOOKUP("*"&amp;'Output annual'!$AC$2&amp;'Output annual'!$AD$2&amp;"*FangerPMV(Hourly)",'Eplus results'!$1:$1048576,ROW(),FALSE)</f>
        <v>0</v>
      </c>
      <c r="AD3541" s="580">
        <f t="shared" si="311"/>
        <v>5</v>
      </c>
      <c r="AE3541" s="580">
        <f t="shared" si="312"/>
        <v>2.5</v>
      </c>
      <c r="AF3541" s="580">
        <f t="shared" si="313"/>
        <v>2.5</v>
      </c>
      <c r="AG3541" s="580">
        <f t="shared" si="314"/>
        <v>0</v>
      </c>
      <c r="AH3541" s="580">
        <f t="shared" si="315"/>
        <v>0</v>
      </c>
    </row>
    <row r="3542" spans="28:34">
      <c r="AB3542" s="580">
        <f>HLOOKUP("*"&amp;'Output annual'!$AC$2&amp;'Output annual'!$AD$2&amp;"*Zone People Number Of Occupants [](Hourly)",'Eplus results'!$1:$1048576,ROW(),FALSE)</f>
        <v>0</v>
      </c>
      <c r="AC3542" s="580">
        <f>HLOOKUP("*"&amp;'Output annual'!$AC$2&amp;'Output annual'!$AD$2&amp;"*FangerPMV(Hourly)",'Eplus results'!$1:$1048576,ROW(),FALSE)</f>
        <v>0</v>
      </c>
      <c r="AD3542" s="580">
        <f t="shared" si="311"/>
        <v>5</v>
      </c>
      <c r="AE3542" s="580">
        <f t="shared" si="312"/>
        <v>2.5</v>
      </c>
      <c r="AF3542" s="580">
        <f t="shared" si="313"/>
        <v>2.5</v>
      </c>
      <c r="AG3542" s="580">
        <f t="shared" si="314"/>
        <v>0</v>
      </c>
      <c r="AH3542" s="580">
        <f t="shared" si="315"/>
        <v>0</v>
      </c>
    </row>
    <row r="3543" spans="28:34">
      <c r="AB3543" s="580">
        <f>HLOOKUP("*"&amp;'Output annual'!$AC$2&amp;'Output annual'!$AD$2&amp;"*Zone People Number Of Occupants [](Hourly)",'Eplus results'!$1:$1048576,ROW(),FALSE)</f>
        <v>0</v>
      </c>
      <c r="AC3543" s="580">
        <f>HLOOKUP("*"&amp;'Output annual'!$AC$2&amp;'Output annual'!$AD$2&amp;"*FangerPMV(Hourly)",'Eplus results'!$1:$1048576,ROW(),FALSE)</f>
        <v>0</v>
      </c>
      <c r="AD3543" s="580">
        <f t="shared" si="311"/>
        <v>5</v>
      </c>
      <c r="AE3543" s="580">
        <f t="shared" si="312"/>
        <v>2.5</v>
      </c>
      <c r="AF3543" s="580">
        <f t="shared" si="313"/>
        <v>2.5</v>
      </c>
      <c r="AG3543" s="580">
        <f t="shared" si="314"/>
        <v>0</v>
      </c>
      <c r="AH3543" s="580">
        <f t="shared" si="315"/>
        <v>0</v>
      </c>
    </row>
    <row r="3544" spans="28:34">
      <c r="AB3544" s="580">
        <f>HLOOKUP("*"&amp;'Output annual'!$AC$2&amp;'Output annual'!$AD$2&amp;"*Zone People Number Of Occupants [](Hourly)",'Eplus results'!$1:$1048576,ROW(),FALSE)</f>
        <v>0</v>
      </c>
      <c r="AC3544" s="580">
        <f>HLOOKUP("*"&amp;'Output annual'!$AC$2&amp;'Output annual'!$AD$2&amp;"*FangerPMV(Hourly)",'Eplus results'!$1:$1048576,ROW(),FALSE)</f>
        <v>0</v>
      </c>
      <c r="AD3544" s="580">
        <f t="shared" si="311"/>
        <v>5</v>
      </c>
      <c r="AE3544" s="580">
        <f t="shared" si="312"/>
        <v>2.5</v>
      </c>
      <c r="AF3544" s="580">
        <f t="shared" si="313"/>
        <v>2.5</v>
      </c>
      <c r="AG3544" s="580">
        <f t="shared" si="314"/>
        <v>0</v>
      </c>
      <c r="AH3544" s="580">
        <f t="shared" si="315"/>
        <v>0</v>
      </c>
    </row>
    <row r="3545" spans="28:34">
      <c r="AB3545" s="580">
        <f>HLOOKUP("*"&amp;'Output annual'!$AC$2&amp;'Output annual'!$AD$2&amp;"*Zone People Number Of Occupants [](Hourly)",'Eplus results'!$1:$1048576,ROW(),FALSE)</f>
        <v>0</v>
      </c>
      <c r="AC3545" s="580">
        <f>HLOOKUP("*"&amp;'Output annual'!$AC$2&amp;'Output annual'!$AD$2&amp;"*FangerPMV(Hourly)",'Eplus results'!$1:$1048576,ROW(),FALSE)</f>
        <v>0</v>
      </c>
      <c r="AD3545" s="580">
        <f t="shared" si="311"/>
        <v>5</v>
      </c>
      <c r="AE3545" s="580">
        <f t="shared" si="312"/>
        <v>2.5</v>
      </c>
      <c r="AF3545" s="580">
        <f t="shared" si="313"/>
        <v>2.5</v>
      </c>
      <c r="AG3545" s="580">
        <f t="shared" si="314"/>
        <v>0</v>
      </c>
      <c r="AH3545" s="580">
        <f t="shared" si="315"/>
        <v>0</v>
      </c>
    </row>
    <row r="3546" spans="28:34">
      <c r="AB3546" s="580">
        <f>HLOOKUP("*"&amp;'Output annual'!$AC$2&amp;'Output annual'!$AD$2&amp;"*Zone People Number Of Occupants [](Hourly)",'Eplus results'!$1:$1048576,ROW(),FALSE)</f>
        <v>0</v>
      </c>
      <c r="AC3546" s="580">
        <f>HLOOKUP("*"&amp;'Output annual'!$AC$2&amp;'Output annual'!$AD$2&amp;"*FangerPMV(Hourly)",'Eplus results'!$1:$1048576,ROW(),FALSE)</f>
        <v>0</v>
      </c>
      <c r="AD3546" s="580">
        <f t="shared" si="311"/>
        <v>5</v>
      </c>
      <c r="AE3546" s="580">
        <f t="shared" si="312"/>
        <v>2.5</v>
      </c>
      <c r="AF3546" s="580">
        <f t="shared" si="313"/>
        <v>2.5</v>
      </c>
      <c r="AG3546" s="580">
        <f t="shared" si="314"/>
        <v>0</v>
      </c>
      <c r="AH3546" s="580">
        <f t="shared" si="315"/>
        <v>0</v>
      </c>
    </row>
    <row r="3547" spans="28:34">
      <c r="AB3547" s="580">
        <f>HLOOKUP("*"&amp;'Output annual'!$AC$2&amp;'Output annual'!$AD$2&amp;"*Zone People Number Of Occupants [](Hourly)",'Eplus results'!$1:$1048576,ROW(),FALSE)</f>
        <v>0</v>
      </c>
      <c r="AC3547" s="580">
        <f>HLOOKUP("*"&amp;'Output annual'!$AC$2&amp;'Output annual'!$AD$2&amp;"*FangerPMV(Hourly)",'Eplus results'!$1:$1048576,ROW(),FALSE)</f>
        <v>0</v>
      </c>
      <c r="AD3547" s="580">
        <f t="shared" si="311"/>
        <v>5</v>
      </c>
      <c r="AE3547" s="580">
        <f t="shared" si="312"/>
        <v>2.5</v>
      </c>
      <c r="AF3547" s="580">
        <f t="shared" si="313"/>
        <v>2.5</v>
      </c>
      <c r="AG3547" s="580">
        <f t="shared" si="314"/>
        <v>0</v>
      </c>
      <c r="AH3547" s="580">
        <f t="shared" si="315"/>
        <v>0</v>
      </c>
    </row>
    <row r="3548" spans="28:34">
      <c r="AB3548" s="580">
        <f>HLOOKUP("*"&amp;'Output annual'!$AC$2&amp;'Output annual'!$AD$2&amp;"*Zone People Number Of Occupants [](Hourly)",'Eplus results'!$1:$1048576,ROW(),FALSE)</f>
        <v>0</v>
      </c>
      <c r="AC3548" s="580">
        <f>HLOOKUP("*"&amp;'Output annual'!$AC$2&amp;'Output annual'!$AD$2&amp;"*FangerPMV(Hourly)",'Eplus results'!$1:$1048576,ROW(),FALSE)</f>
        <v>0</v>
      </c>
      <c r="AD3548" s="580">
        <f t="shared" si="311"/>
        <v>5</v>
      </c>
      <c r="AE3548" s="580">
        <f t="shared" si="312"/>
        <v>2.5</v>
      </c>
      <c r="AF3548" s="580">
        <f t="shared" si="313"/>
        <v>2.5</v>
      </c>
      <c r="AG3548" s="580">
        <f t="shared" si="314"/>
        <v>0</v>
      </c>
      <c r="AH3548" s="580">
        <f t="shared" si="315"/>
        <v>0</v>
      </c>
    </row>
    <row r="3549" spans="28:34">
      <c r="AB3549" s="580">
        <f>HLOOKUP("*"&amp;'Output annual'!$AC$2&amp;'Output annual'!$AD$2&amp;"*Zone People Number Of Occupants [](Hourly)",'Eplus results'!$1:$1048576,ROW(),FALSE)</f>
        <v>0</v>
      </c>
      <c r="AC3549" s="580">
        <f>HLOOKUP("*"&amp;'Output annual'!$AC$2&amp;'Output annual'!$AD$2&amp;"*FangerPMV(Hourly)",'Eplus results'!$1:$1048576,ROW(),FALSE)</f>
        <v>0</v>
      </c>
      <c r="AD3549" s="580">
        <f t="shared" si="311"/>
        <v>5</v>
      </c>
      <c r="AE3549" s="580">
        <f t="shared" si="312"/>
        <v>2.5</v>
      </c>
      <c r="AF3549" s="580">
        <f t="shared" si="313"/>
        <v>2.5</v>
      </c>
      <c r="AG3549" s="580">
        <f t="shared" si="314"/>
        <v>0</v>
      </c>
      <c r="AH3549" s="580">
        <f t="shared" si="315"/>
        <v>0</v>
      </c>
    </row>
    <row r="3550" spans="28:34">
      <c r="AB3550" s="580">
        <f>HLOOKUP("*"&amp;'Output annual'!$AC$2&amp;'Output annual'!$AD$2&amp;"*Zone People Number Of Occupants [](Hourly)",'Eplus results'!$1:$1048576,ROW(),FALSE)</f>
        <v>0</v>
      </c>
      <c r="AC3550" s="580">
        <f>HLOOKUP("*"&amp;'Output annual'!$AC$2&amp;'Output annual'!$AD$2&amp;"*FangerPMV(Hourly)",'Eplus results'!$1:$1048576,ROW(),FALSE)</f>
        <v>0</v>
      </c>
      <c r="AD3550" s="580">
        <f t="shared" si="311"/>
        <v>5</v>
      </c>
      <c r="AE3550" s="580">
        <f t="shared" si="312"/>
        <v>2.5</v>
      </c>
      <c r="AF3550" s="580">
        <f t="shared" si="313"/>
        <v>2.5</v>
      </c>
      <c r="AG3550" s="580">
        <f t="shared" si="314"/>
        <v>0</v>
      </c>
      <c r="AH3550" s="580">
        <f t="shared" si="315"/>
        <v>0</v>
      </c>
    </row>
    <row r="3551" spans="28:34">
      <c r="AB3551" s="580">
        <f>HLOOKUP("*"&amp;'Output annual'!$AC$2&amp;'Output annual'!$AD$2&amp;"*Zone People Number Of Occupants [](Hourly)",'Eplus results'!$1:$1048576,ROW(),FALSE)</f>
        <v>0</v>
      </c>
      <c r="AC3551" s="580">
        <f>HLOOKUP("*"&amp;'Output annual'!$AC$2&amp;'Output annual'!$AD$2&amp;"*FangerPMV(Hourly)",'Eplus results'!$1:$1048576,ROW(),FALSE)</f>
        <v>0</v>
      </c>
      <c r="AD3551" s="580">
        <f t="shared" si="311"/>
        <v>5</v>
      </c>
      <c r="AE3551" s="580">
        <f t="shared" si="312"/>
        <v>2.5</v>
      </c>
      <c r="AF3551" s="580">
        <f t="shared" si="313"/>
        <v>2.5</v>
      </c>
      <c r="AG3551" s="580">
        <f t="shared" si="314"/>
        <v>0</v>
      </c>
      <c r="AH3551" s="580">
        <f t="shared" si="315"/>
        <v>0</v>
      </c>
    </row>
    <row r="3552" spans="28:34">
      <c r="AB3552" s="580">
        <f>HLOOKUP("*"&amp;'Output annual'!$AC$2&amp;'Output annual'!$AD$2&amp;"*Zone People Number Of Occupants [](Hourly)",'Eplus results'!$1:$1048576,ROW(),FALSE)</f>
        <v>0</v>
      </c>
      <c r="AC3552" s="580">
        <f>HLOOKUP("*"&amp;'Output annual'!$AC$2&amp;'Output annual'!$AD$2&amp;"*FangerPMV(Hourly)",'Eplus results'!$1:$1048576,ROW(),FALSE)</f>
        <v>0</v>
      </c>
      <c r="AD3552" s="580">
        <f t="shared" si="311"/>
        <v>5</v>
      </c>
      <c r="AE3552" s="580">
        <f t="shared" si="312"/>
        <v>2.5</v>
      </c>
      <c r="AF3552" s="580">
        <f t="shared" si="313"/>
        <v>2.5</v>
      </c>
      <c r="AG3552" s="580">
        <f t="shared" si="314"/>
        <v>0</v>
      </c>
      <c r="AH3552" s="580">
        <f t="shared" si="315"/>
        <v>0</v>
      </c>
    </row>
    <row r="3553" spans="28:34">
      <c r="AB3553" s="580">
        <f>HLOOKUP("*"&amp;'Output annual'!$AC$2&amp;'Output annual'!$AD$2&amp;"*Zone People Number Of Occupants [](Hourly)",'Eplus results'!$1:$1048576,ROW(),FALSE)</f>
        <v>0</v>
      </c>
      <c r="AC3553" s="580">
        <f>HLOOKUP("*"&amp;'Output annual'!$AC$2&amp;'Output annual'!$AD$2&amp;"*FangerPMV(Hourly)",'Eplus results'!$1:$1048576,ROW(),FALSE)</f>
        <v>0</v>
      </c>
      <c r="AD3553" s="580">
        <f t="shared" si="311"/>
        <v>5</v>
      </c>
      <c r="AE3553" s="580">
        <f t="shared" si="312"/>
        <v>2.5</v>
      </c>
      <c r="AF3553" s="580">
        <f t="shared" si="313"/>
        <v>2.5</v>
      </c>
      <c r="AG3553" s="580">
        <f t="shared" si="314"/>
        <v>0</v>
      </c>
      <c r="AH3553" s="580">
        <f t="shared" si="315"/>
        <v>0</v>
      </c>
    </row>
    <row r="3554" spans="28:34">
      <c r="AB3554" s="580">
        <f>HLOOKUP("*"&amp;'Output annual'!$AC$2&amp;'Output annual'!$AD$2&amp;"*Zone People Number Of Occupants [](Hourly)",'Eplus results'!$1:$1048576,ROW(),FALSE)</f>
        <v>0</v>
      </c>
      <c r="AC3554" s="580">
        <f>HLOOKUP("*"&amp;'Output annual'!$AC$2&amp;'Output annual'!$AD$2&amp;"*FangerPMV(Hourly)",'Eplus results'!$1:$1048576,ROW(),FALSE)</f>
        <v>0</v>
      </c>
      <c r="AD3554" s="580">
        <f t="shared" si="311"/>
        <v>5</v>
      </c>
      <c r="AE3554" s="580">
        <f t="shared" si="312"/>
        <v>2.5</v>
      </c>
      <c r="AF3554" s="580">
        <f t="shared" si="313"/>
        <v>2.5</v>
      </c>
      <c r="AG3554" s="580">
        <f t="shared" si="314"/>
        <v>0</v>
      </c>
      <c r="AH3554" s="580">
        <f t="shared" si="315"/>
        <v>0</v>
      </c>
    </row>
    <row r="3555" spans="28:34">
      <c r="AB3555" s="580">
        <f>HLOOKUP("*"&amp;'Output annual'!$AC$2&amp;'Output annual'!$AD$2&amp;"*Zone People Number Of Occupants [](Hourly)",'Eplus results'!$1:$1048576,ROW(),FALSE)</f>
        <v>0</v>
      </c>
      <c r="AC3555" s="580">
        <f>HLOOKUP("*"&amp;'Output annual'!$AC$2&amp;'Output annual'!$AD$2&amp;"*FangerPMV(Hourly)",'Eplus results'!$1:$1048576,ROW(),FALSE)</f>
        <v>0</v>
      </c>
      <c r="AD3555" s="580">
        <f t="shared" si="311"/>
        <v>5</v>
      </c>
      <c r="AE3555" s="580">
        <f t="shared" si="312"/>
        <v>2.5</v>
      </c>
      <c r="AF3555" s="580">
        <f t="shared" si="313"/>
        <v>2.5</v>
      </c>
      <c r="AG3555" s="580">
        <f t="shared" si="314"/>
        <v>0</v>
      </c>
      <c r="AH3555" s="580">
        <f t="shared" si="315"/>
        <v>0</v>
      </c>
    </row>
    <row r="3556" spans="28:34">
      <c r="AB3556" s="580">
        <f>HLOOKUP("*"&amp;'Output annual'!$AC$2&amp;'Output annual'!$AD$2&amp;"*Zone People Number Of Occupants [](Hourly)",'Eplus results'!$1:$1048576,ROW(),FALSE)</f>
        <v>0</v>
      </c>
      <c r="AC3556" s="580">
        <f>HLOOKUP("*"&amp;'Output annual'!$AC$2&amp;'Output annual'!$AD$2&amp;"*FangerPMV(Hourly)",'Eplus results'!$1:$1048576,ROW(),FALSE)</f>
        <v>0</v>
      </c>
      <c r="AD3556" s="580">
        <f t="shared" si="311"/>
        <v>5</v>
      </c>
      <c r="AE3556" s="580">
        <f t="shared" si="312"/>
        <v>2.5</v>
      </c>
      <c r="AF3556" s="580">
        <f t="shared" si="313"/>
        <v>2.5</v>
      </c>
      <c r="AG3556" s="580">
        <f t="shared" si="314"/>
        <v>0</v>
      </c>
      <c r="AH3556" s="580">
        <f t="shared" si="315"/>
        <v>0</v>
      </c>
    </row>
    <row r="3557" spans="28:34">
      <c r="AB3557" s="580">
        <f>HLOOKUP("*"&amp;'Output annual'!$AC$2&amp;'Output annual'!$AD$2&amp;"*Zone People Number Of Occupants [](Hourly)",'Eplus results'!$1:$1048576,ROW(),FALSE)</f>
        <v>0</v>
      </c>
      <c r="AC3557" s="580">
        <f>HLOOKUP("*"&amp;'Output annual'!$AC$2&amp;'Output annual'!$AD$2&amp;"*FangerPMV(Hourly)",'Eplus results'!$1:$1048576,ROW(),FALSE)</f>
        <v>0</v>
      </c>
      <c r="AD3557" s="580">
        <f t="shared" si="311"/>
        <v>5</v>
      </c>
      <c r="AE3557" s="580">
        <f t="shared" si="312"/>
        <v>2.5</v>
      </c>
      <c r="AF3557" s="580">
        <f t="shared" si="313"/>
        <v>2.5</v>
      </c>
      <c r="AG3557" s="580">
        <f t="shared" si="314"/>
        <v>0</v>
      </c>
      <c r="AH3557" s="580">
        <f t="shared" si="315"/>
        <v>0</v>
      </c>
    </row>
    <row r="3558" spans="28:34">
      <c r="AB3558" s="580">
        <f>HLOOKUP("*"&amp;'Output annual'!$AC$2&amp;'Output annual'!$AD$2&amp;"*Zone People Number Of Occupants [](Hourly)",'Eplus results'!$1:$1048576,ROW(),FALSE)</f>
        <v>0</v>
      </c>
      <c r="AC3558" s="580">
        <f>HLOOKUP("*"&amp;'Output annual'!$AC$2&amp;'Output annual'!$AD$2&amp;"*FangerPMV(Hourly)",'Eplus results'!$1:$1048576,ROW(),FALSE)</f>
        <v>0</v>
      </c>
      <c r="AD3558" s="580">
        <f t="shared" si="311"/>
        <v>5</v>
      </c>
      <c r="AE3558" s="580">
        <f t="shared" si="312"/>
        <v>2.5</v>
      </c>
      <c r="AF3558" s="580">
        <f t="shared" si="313"/>
        <v>2.5</v>
      </c>
      <c r="AG3558" s="580">
        <f t="shared" si="314"/>
        <v>0</v>
      </c>
      <c r="AH3558" s="580">
        <f t="shared" si="315"/>
        <v>0</v>
      </c>
    </row>
    <row r="3559" spans="28:34">
      <c r="AB3559" s="580">
        <f>HLOOKUP("*"&amp;'Output annual'!$AC$2&amp;'Output annual'!$AD$2&amp;"*Zone People Number Of Occupants [](Hourly)",'Eplus results'!$1:$1048576,ROW(),FALSE)</f>
        <v>0</v>
      </c>
      <c r="AC3559" s="580">
        <f>HLOOKUP("*"&amp;'Output annual'!$AC$2&amp;'Output annual'!$AD$2&amp;"*FangerPMV(Hourly)",'Eplus results'!$1:$1048576,ROW(),FALSE)</f>
        <v>0</v>
      </c>
      <c r="AD3559" s="580">
        <f t="shared" si="311"/>
        <v>5</v>
      </c>
      <c r="AE3559" s="580">
        <f t="shared" si="312"/>
        <v>2.5</v>
      </c>
      <c r="AF3559" s="580">
        <f t="shared" si="313"/>
        <v>2.5</v>
      </c>
      <c r="AG3559" s="580">
        <f t="shared" si="314"/>
        <v>0</v>
      </c>
      <c r="AH3559" s="580">
        <f t="shared" si="315"/>
        <v>0</v>
      </c>
    </row>
    <row r="3560" spans="28:34">
      <c r="AB3560" s="580">
        <f>HLOOKUP("*"&amp;'Output annual'!$AC$2&amp;'Output annual'!$AD$2&amp;"*Zone People Number Of Occupants [](Hourly)",'Eplus results'!$1:$1048576,ROW(),FALSE)</f>
        <v>0</v>
      </c>
      <c r="AC3560" s="580">
        <f>HLOOKUP("*"&amp;'Output annual'!$AC$2&amp;'Output annual'!$AD$2&amp;"*FangerPMV(Hourly)",'Eplus results'!$1:$1048576,ROW(),FALSE)</f>
        <v>0</v>
      </c>
      <c r="AD3560" s="580">
        <f t="shared" si="311"/>
        <v>5</v>
      </c>
      <c r="AE3560" s="580">
        <f t="shared" si="312"/>
        <v>2.5</v>
      </c>
      <c r="AF3560" s="580">
        <f t="shared" si="313"/>
        <v>2.5</v>
      </c>
      <c r="AG3560" s="580">
        <f t="shared" si="314"/>
        <v>0</v>
      </c>
      <c r="AH3560" s="580">
        <f t="shared" si="315"/>
        <v>0</v>
      </c>
    </row>
    <row r="3561" spans="28:34">
      <c r="AB3561" s="580">
        <f>HLOOKUP("*"&amp;'Output annual'!$AC$2&amp;'Output annual'!$AD$2&amp;"*Zone People Number Of Occupants [](Hourly)",'Eplus results'!$1:$1048576,ROW(),FALSE)</f>
        <v>0</v>
      </c>
      <c r="AC3561" s="580">
        <f>HLOOKUP("*"&amp;'Output annual'!$AC$2&amp;'Output annual'!$AD$2&amp;"*FangerPMV(Hourly)",'Eplus results'!$1:$1048576,ROW(),FALSE)</f>
        <v>0</v>
      </c>
      <c r="AD3561" s="580">
        <f t="shared" si="311"/>
        <v>5</v>
      </c>
      <c r="AE3561" s="580">
        <f t="shared" si="312"/>
        <v>2.5</v>
      </c>
      <c r="AF3561" s="580">
        <f t="shared" si="313"/>
        <v>2.5</v>
      </c>
      <c r="AG3561" s="580">
        <f t="shared" si="314"/>
        <v>0</v>
      </c>
      <c r="AH3561" s="580">
        <f t="shared" si="315"/>
        <v>0</v>
      </c>
    </row>
    <row r="3562" spans="28:34">
      <c r="AB3562" s="580">
        <f>HLOOKUP("*"&amp;'Output annual'!$AC$2&amp;'Output annual'!$AD$2&amp;"*Zone People Number Of Occupants [](Hourly)",'Eplus results'!$1:$1048576,ROW(),FALSE)</f>
        <v>0</v>
      </c>
      <c r="AC3562" s="580">
        <f>HLOOKUP("*"&amp;'Output annual'!$AC$2&amp;'Output annual'!$AD$2&amp;"*FangerPMV(Hourly)",'Eplus results'!$1:$1048576,ROW(),FALSE)</f>
        <v>0</v>
      </c>
      <c r="AD3562" s="580">
        <f t="shared" si="311"/>
        <v>5</v>
      </c>
      <c r="AE3562" s="580">
        <f t="shared" si="312"/>
        <v>2.5</v>
      </c>
      <c r="AF3562" s="580">
        <f t="shared" si="313"/>
        <v>2.5</v>
      </c>
      <c r="AG3562" s="580">
        <f t="shared" si="314"/>
        <v>0</v>
      </c>
      <c r="AH3562" s="580">
        <f t="shared" si="315"/>
        <v>0</v>
      </c>
    </row>
    <row r="3563" spans="28:34">
      <c r="AB3563" s="580">
        <f>HLOOKUP("*"&amp;'Output annual'!$AC$2&amp;'Output annual'!$AD$2&amp;"*Zone People Number Of Occupants [](Hourly)",'Eplus results'!$1:$1048576,ROW(),FALSE)</f>
        <v>0</v>
      </c>
      <c r="AC3563" s="580">
        <f>HLOOKUP("*"&amp;'Output annual'!$AC$2&amp;'Output annual'!$AD$2&amp;"*FangerPMV(Hourly)",'Eplus results'!$1:$1048576,ROW(),FALSE)</f>
        <v>0</v>
      </c>
      <c r="AD3563" s="580">
        <f t="shared" si="311"/>
        <v>5</v>
      </c>
      <c r="AE3563" s="580">
        <f t="shared" si="312"/>
        <v>2.5</v>
      </c>
      <c r="AF3563" s="580">
        <f t="shared" si="313"/>
        <v>2.5</v>
      </c>
      <c r="AG3563" s="580">
        <f t="shared" si="314"/>
        <v>0</v>
      </c>
      <c r="AH3563" s="580">
        <f t="shared" si="315"/>
        <v>0</v>
      </c>
    </row>
    <row r="3564" spans="28:34">
      <c r="AB3564" s="580">
        <f>HLOOKUP("*"&amp;'Output annual'!$AC$2&amp;'Output annual'!$AD$2&amp;"*Zone People Number Of Occupants [](Hourly)",'Eplus results'!$1:$1048576,ROW(),FALSE)</f>
        <v>0</v>
      </c>
      <c r="AC3564" s="580">
        <f>HLOOKUP("*"&amp;'Output annual'!$AC$2&amp;'Output annual'!$AD$2&amp;"*FangerPMV(Hourly)",'Eplus results'!$1:$1048576,ROW(),FALSE)</f>
        <v>0</v>
      </c>
      <c r="AD3564" s="580">
        <f t="shared" si="311"/>
        <v>5</v>
      </c>
      <c r="AE3564" s="580">
        <f t="shared" si="312"/>
        <v>2.5</v>
      </c>
      <c r="AF3564" s="580">
        <f t="shared" si="313"/>
        <v>2.5</v>
      </c>
      <c r="AG3564" s="580">
        <f t="shared" si="314"/>
        <v>0</v>
      </c>
      <c r="AH3564" s="580">
        <f t="shared" si="315"/>
        <v>0</v>
      </c>
    </row>
    <row r="3565" spans="28:34">
      <c r="AB3565" s="580">
        <f>HLOOKUP("*"&amp;'Output annual'!$AC$2&amp;'Output annual'!$AD$2&amp;"*Zone People Number Of Occupants [](Hourly)",'Eplus results'!$1:$1048576,ROW(),FALSE)</f>
        <v>0</v>
      </c>
      <c r="AC3565" s="580">
        <f>HLOOKUP("*"&amp;'Output annual'!$AC$2&amp;'Output annual'!$AD$2&amp;"*FangerPMV(Hourly)",'Eplus results'!$1:$1048576,ROW(),FALSE)</f>
        <v>0</v>
      </c>
      <c r="AD3565" s="580">
        <f t="shared" si="311"/>
        <v>5</v>
      </c>
      <c r="AE3565" s="580">
        <f t="shared" si="312"/>
        <v>2.5</v>
      </c>
      <c r="AF3565" s="580">
        <f t="shared" si="313"/>
        <v>2.5</v>
      </c>
      <c r="AG3565" s="580">
        <f t="shared" si="314"/>
        <v>0</v>
      </c>
      <c r="AH3565" s="580">
        <f t="shared" si="315"/>
        <v>0</v>
      </c>
    </row>
    <row r="3566" spans="28:34">
      <c r="AB3566" s="580">
        <f>HLOOKUP("*"&amp;'Output annual'!$AC$2&amp;'Output annual'!$AD$2&amp;"*Zone People Number Of Occupants [](Hourly)",'Eplus results'!$1:$1048576,ROW(),FALSE)</f>
        <v>0</v>
      </c>
      <c r="AC3566" s="580">
        <f>HLOOKUP("*"&amp;'Output annual'!$AC$2&amp;'Output annual'!$AD$2&amp;"*FangerPMV(Hourly)",'Eplus results'!$1:$1048576,ROW(),FALSE)</f>
        <v>0</v>
      </c>
      <c r="AD3566" s="580">
        <f t="shared" si="311"/>
        <v>5</v>
      </c>
      <c r="AE3566" s="580">
        <f t="shared" si="312"/>
        <v>2.5</v>
      </c>
      <c r="AF3566" s="580">
        <f t="shared" si="313"/>
        <v>2.5</v>
      </c>
      <c r="AG3566" s="580">
        <f t="shared" si="314"/>
        <v>0</v>
      </c>
      <c r="AH3566" s="580">
        <f t="shared" si="315"/>
        <v>0</v>
      </c>
    </row>
    <row r="3567" spans="28:34">
      <c r="AB3567" s="580">
        <f>HLOOKUP("*"&amp;'Output annual'!$AC$2&amp;'Output annual'!$AD$2&amp;"*Zone People Number Of Occupants [](Hourly)",'Eplus results'!$1:$1048576,ROW(),FALSE)</f>
        <v>0</v>
      </c>
      <c r="AC3567" s="580">
        <f>HLOOKUP("*"&amp;'Output annual'!$AC$2&amp;'Output annual'!$AD$2&amp;"*FangerPMV(Hourly)",'Eplus results'!$1:$1048576,ROW(),FALSE)</f>
        <v>0</v>
      </c>
      <c r="AD3567" s="580">
        <f t="shared" si="311"/>
        <v>5</v>
      </c>
      <c r="AE3567" s="580">
        <f t="shared" si="312"/>
        <v>2.5</v>
      </c>
      <c r="AF3567" s="580">
        <f t="shared" si="313"/>
        <v>2.5</v>
      </c>
      <c r="AG3567" s="580">
        <f t="shared" si="314"/>
        <v>0</v>
      </c>
      <c r="AH3567" s="580">
        <f t="shared" si="315"/>
        <v>0</v>
      </c>
    </row>
    <row r="3568" spans="28:34">
      <c r="AB3568" s="580">
        <f>HLOOKUP("*"&amp;'Output annual'!$AC$2&amp;'Output annual'!$AD$2&amp;"*Zone People Number Of Occupants [](Hourly)",'Eplus results'!$1:$1048576,ROW(),FALSE)</f>
        <v>0</v>
      </c>
      <c r="AC3568" s="580">
        <f>HLOOKUP("*"&amp;'Output annual'!$AC$2&amp;'Output annual'!$AD$2&amp;"*FangerPMV(Hourly)",'Eplus results'!$1:$1048576,ROW(),FALSE)</f>
        <v>0</v>
      </c>
      <c r="AD3568" s="580">
        <f t="shared" si="311"/>
        <v>5</v>
      </c>
      <c r="AE3568" s="580">
        <f t="shared" si="312"/>
        <v>2.5</v>
      </c>
      <c r="AF3568" s="580">
        <f t="shared" si="313"/>
        <v>2.5</v>
      </c>
      <c r="AG3568" s="580">
        <f t="shared" si="314"/>
        <v>0</v>
      </c>
      <c r="AH3568" s="580">
        <f t="shared" si="315"/>
        <v>0</v>
      </c>
    </row>
    <row r="3569" spans="28:34">
      <c r="AB3569" s="580">
        <f>HLOOKUP("*"&amp;'Output annual'!$AC$2&amp;'Output annual'!$AD$2&amp;"*Zone People Number Of Occupants [](Hourly)",'Eplus results'!$1:$1048576,ROW(),FALSE)</f>
        <v>0</v>
      </c>
      <c r="AC3569" s="580">
        <f>HLOOKUP("*"&amp;'Output annual'!$AC$2&amp;'Output annual'!$AD$2&amp;"*FangerPMV(Hourly)",'Eplus results'!$1:$1048576,ROW(),FALSE)</f>
        <v>0</v>
      </c>
      <c r="AD3569" s="580">
        <f t="shared" si="311"/>
        <v>5</v>
      </c>
      <c r="AE3569" s="580">
        <f t="shared" si="312"/>
        <v>2.5</v>
      </c>
      <c r="AF3569" s="580">
        <f t="shared" si="313"/>
        <v>2.5</v>
      </c>
      <c r="AG3569" s="580">
        <f t="shared" si="314"/>
        <v>0</v>
      </c>
      <c r="AH3569" s="580">
        <f t="shared" si="315"/>
        <v>0</v>
      </c>
    </row>
    <row r="3570" spans="28:34">
      <c r="AB3570" s="580">
        <f>HLOOKUP("*"&amp;'Output annual'!$AC$2&amp;'Output annual'!$AD$2&amp;"*Zone People Number Of Occupants [](Hourly)",'Eplus results'!$1:$1048576,ROW(),FALSE)</f>
        <v>0</v>
      </c>
      <c r="AC3570" s="580">
        <f>HLOOKUP("*"&amp;'Output annual'!$AC$2&amp;'Output annual'!$AD$2&amp;"*FangerPMV(Hourly)",'Eplus results'!$1:$1048576,ROW(),FALSE)</f>
        <v>0</v>
      </c>
      <c r="AD3570" s="580">
        <f t="shared" si="311"/>
        <v>5</v>
      </c>
      <c r="AE3570" s="580">
        <f t="shared" si="312"/>
        <v>2.5</v>
      </c>
      <c r="AF3570" s="580">
        <f t="shared" si="313"/>
        <v>2.5</v>
      </c>
      <c r="AG3570" s="580">
        <f t="shared" si="314"/>
        <v>0</v>
      </c>
      <c r="AH3570" s="580">
        <f t="shared" si="315"/>
        <v>0</v>
      </c>
    </row>
    <row r="3571" spans="28:34">
      <c r="AB3571" s="580">
        <f>HLOOKUP("*"&amp;'Output annual'!$AC$2&amp;'Output annual'!$AD$2&amp;"*Zone People Number Of Occupants [](Hourly)",'Eplus results'!$1:$1048576,ROW(),FALSE)</f>
        <v>0</v>
      </c>
      <c r="AC3571" s="580">
        <f>HLOOKUP("*"&amp;'Output annual'!$AC$2&amp;'Output annual'!$AD$2&amp;"*FangerPMV(Hourly)",'Eplus results'!$1:$1048576,ROW(),FALSE)</f>
        <v>0</v>
      </c>
      <c r="AD3571" s="580">
        <f t="shared" si="311"/>
        <v>5</v>
      </c>
      <c r="AE3571" s="580">
        <f t="shared" si="312"/>
        <v>2.5</v>
      </c>
      <c r="AF3571" s="580">
        <f t="shared" si="313"/>
        <v>2.5</v>
      </c>
      <c r="AG3571" s="580">
        <f t="shared" si="314"/>
        <v>0</v>
      </c>
      <c r="AH3571" s="580">
        <f t="shared" si="315"/>
        <v>0</v>
      </c>
    </row>
    <row r="3572" spans="28:34">
      <c r="AB3572" s="580">
        <f>HLOOKUP("*"&amp;'Output annual'!$AC$2&amp;'Output annual'!$AD$2&amp;"*Zone People Number Of Occupants [](Hourly)",'Eplus results'!$1:$1048576,ROW(),FALSE)</f>
        <v>0</v>
      </c>
      <c r="AC3572" s="580">
        <f>HLOOKUP("*"&amp;'Output annual'!$AC$2&amp;'Output annual'!$AD$2&amp;"*FangerPMV(Hourly)",'Eplus results'!$1:$1048576,ROW(),FALSE)</f>
        <v>0</v>
      </c>
      <c r="AD3572" s="580">
        <f t="shared" si="311"/>
        <v>5</v>
      </c>
      <c r="AE3572" s="580">
        <f t="shared" si="312"/>
        <v>2.5</v>
      </c>
      <c r="AF3572" s="580">
        <f t="shared" si="313"/>
        <v>2.5</v>
      </c>
      <c r="AG3572" s="580">
        <f t="shared" si="314"/>
        <v>0</v>
      </c>
      <c r="AH3572" s="580">
        <f t="shared" si="315"/>
        <v>0</v>
      </c>
    </row>
    <row r="3573" spans="28:34">
      <c r="AB3573" s="580">
        <f>HLOOKUP("*"&amp;'Output annual'!$AC$2&amp;'Output annual'!$AD$2&amp;"*Zone People Number Of Occupants [](Hourly)",'Eplus results'!$1:$1048576,ROW(),FALSE)</f>
        <v>0</v>
      </c>
      <c r="AC3573" s="580">
        <f>HLOOKUP("*"&amp;'Output annual'!$AC$2&amp;'Output annual'!$AD$2&amp;"*FangerPMV(Hourly)",'Eplus results'!$1:$1048576,ROW(),FALSE)</f>
        <v>0</v>
      </c>
      <c r="AD3573" s="580">
        <f t="shared" si="311"/>
        <v>5</v>
      </c>
      <c r="AE3573" s="580">
        <f t="shared" si="312"/>
        <v>2.5</v>
      </c>
      <c r="AF3573" s="580">
        <f t="shared" si="313"/>
        <v>2.5</v>
      </c>
      <c r="AG3573" s="580">
        <f t="shared" si="314"/>
        <v>0</v>
      </c>
      <c r="AH3573" s="580">
        <f t="shared" si="315"/>
        <v>0</v>
      </c>
    </row>
    <row r="3574" spans="28:34">
      <c r="AB3574" s="580">
        <f>HLOOKUP("*"&amp;'Output annual'!$AC$2&amp;'Output annual'!$AD$2&amp;"*Zone People Number Of Occupants [](Hourly)",'Eplus results'!$1:$1048576,ROW(),FALSE)</f>
        <v>0</v>
      </c>
      <c r="AC3574" s="580">
        <f>HLOOKUP("*"&amp;'Output annual'!$AC$2&amp;'Output annual'!$AD$2&amp;"*FangerPMV(Hourly)",'Eplus results'!$1:$1048576,ROW(),FALSE)</f>
        <v>0</v>
      </c>
      <c r="AD3574" s="580">
        <f t="shared" si="311"/>
        <v>5</v>
      </c>
      <c r="AE3574" s="580">
        <f t="shared" si="312"/>
        <v>2.5</v>
      </c>
      <c r="AF3574" s="580">
        <f t="shared" si="313"/>
        <v>2.5</v>
      </c>
      <c r="AG3574" s="580">
        <f t="shared" si="314"/>
        <v>0</v>
      </c>
      <c r="AH3574" s="580">
        <f t="shared" si="315"/>
        <v>0</v>
      </c>
    </row>
    <row r="3575" spans="28:34">
      <c r="AB3575" s="580">
        <f>HLOOKUP("*"&amp;'Output annual'!$AC$2&amp;'Output annual'!$AD$2&amp;"*Zone People Number Of Occupants [](Hourly)",'Eplus results'!$1:$1048576,ROW(),FALSE)</f>
        <v>0</v>
      </c>
      <c r="AC3575" s="580">
        <f>HLOOKUP("*"&amp;'Output annual'!$AC$2&amp;'Output annual'!$AD$2&amp;"*FangerPMV(Hourly)",'Eplus results'!$1:$1048576,ROW(),FALSE)</f>
        <v>0</v>
      </c>
      <c r="AD3575" s="580">
        <f t="shared" si="311"/>
        <v>5</v>
      </c>
      <c r="AE3575" s="580">
        <f t="shared" si="312"/>
        <v>2.5</v>
      </c>
      <c r="AF3575" s="580">
        <f t="shared" si="313"/>
        <v>2.5</v>
      </c>
      <c r="AG3575" s="580">
        <f t="shared" si="314"/>
        <v>0</v>
      </c>
      <c r="AH3575" s="580">
        <f t="shared" si="315"/>
        <v>0</v>
      </c>
    </row>
    <row r="3576" spans="28:34">
      <c r="AB3576" s="580">
        <f>HLOOKUP("*"&amp;'Output annual'!$AC$2&amp;'Output annual'!$AD$2&amp;"*Zone People Number Of Occupants [](Hourly)",'Eplus results'!$1:$1048576,ROW(),FALSE)</f>
        <v>0</v>
      </c>
      <c r="AC3576" s="580">
        <f>HLOOKUP("*"&amp;'Output annual'!$AC$2&amp;'Output annual'!$AD$2&amp;"*FangerPMV(Hourly)",'Eplus results'!$1:$1048576,ROW(),FALSE)</f>
        <v>0</v>
      </c>
      <c r="AD3576" s="580">
        <f t="shared" si="311"/>
        <v>5</v>
      </c>
      <c r="AE3576" s="580">
        <f t="shared" si="312"/>
        <v>2.5</v>
      </c>
      <c r="AF3576" s="580">
        <f t="shared" si="313"/>
        <v>2.5</v>
      </c>
      <c r="AG3576" s="580">
        <f t="shared" si="314"/>
        <v>0</v>
      </c>
      <c r="AH3576" s="580">
        <f t="shared" si="315"/>
        <v>0</v>
      </c>
    </row>
    <row r="3577" spans="28:34">
      <c r="AB3577" s="580">
        <f>HLOOKUP("*"&amp;'Output annual'!$AC$2&amp;'Output annual'!$AD$2&amp;"*Zone People Number Of Occupants [](Hourly)",'Eplus results'!$1:$1048576,ROW(),FALSE)</f>
        <v>0</v>
      </c>
      <c r="AC3577" s="580">
        <f>HLOOKUP("*"&amp;'Output annual'!$AC$2&amp;'Output annual'!$AD$2&amp;"*FangerPMV(Hourly)",'Eplus results'!$1:$1048576,ROW(),FALSE)</f>
        <v>0</v>
      </c>
      <c r="AD3577" s="580">
        <f t="shared" si="311"/>
        <v>5</v>
      </c>
      <c r="AE3577" s="580">
        <f t="shared" si="312"/>
        <v>2.5</v>
      </c>
      <c r="AF3577" s="580">
        <f t="shared" si="313"/>
        <v>2.5</v>
      </c>
      <c r="AG3577" s="580">
        <f t="shared" si="314"/>
        <v>0</v>
      </c>
      <c r="AH3577" s="580">
        <f t="shared" si="315"/>
        <v>0</v>
      </c>
    </row>
    <row r="3578" spans="28:34">
      <c r="AB3578" s="580">
        <f>HLOOKUP("*"&amp;'Output annual'!$AC$2&amp;'Output annual'!$AD$2&amp;"*Zone People Number Of Occupants [](Hourly)",'Eplus results'!$1:$1048576,ROW(),FALSE)</f>
        <v>0</v>
      </c>
      <c r="AC3578" s="580">
        <f>HLOOKUP("*"&amp;'Output annual'!$AC$2&amp;'Output annual'!$AD$2&amp;"*FangerPMV(Hourly)",'Eplus results'!$1:$1048576,ROW(),FALSE)</f>
        <v>0</v>
      </c>
      <c r="AD3578" s="580">
        <f t="shared" si="311"/>
        <v>5</v>
      </c>
      <c r="AE3578" s="580">
        <f t="shared" si="312"/>
        <v>2.5</v>
      </c>
      <c r="AF3578" s="580">
        <f t="shared" si="313"/>
        <v>2.5</v>
      </c>
      <c r="AG3578" s="580">
        <f t="shared" si="314"/>
        <v>0</v>
      </c>
      <c r="AH3578" s="580">
        <f t="shared" si="315"/>
        <v>0</v>
      </c>
    </row>
    <row r="3579" spans="28:34">
      <c r="AB3579" s="580">
        <f>HLOOKUP("*"&amp;'Output annual'!$AC$2&amp;'Output annual'!$AD$2&amp;"*Zone People Number Of Occupants [](Hourly)",'Eplus results'!$1:$1048576,ROW(),FALSE)</f>
        <v>0</v>
      </c>
      <c r="AC3579" s="580">
        <f>HLOOKUP("*"&amp;'Output annual'!$AC$2&amp;'Output annual'!$AD$2&amp;"*FangerPMV(Hourly)",'Eplus results'!$1:$1048576,ROW(),FALSE)</f>
        <v>0</v>
      </c>
      <c r="AD3579" s="580">
        <f t="shared" si="311"/>
        <v>5</v>
      </c>
      <c r="AE3579" s="580">
        <f t="shared" si="312"/>
        <v>2.5</v>
      </c>
      <c r="AF3579" s="580">
        <f t="shared" si="313"/>
        <v>2.5</v>
      </c>
      <c r="AG3579" s="580">
        <f t="shared" si="314"/>
        <v>0</v>
      </c>
      <c r="AH3579" s="580">
        <f t="shared" si="315"/>
        <v>0</v>
      </c>
    </row>
    <row r="3580" spans="28:34">
      <c r="AB3580" s="580">
        <f>HLOOKUP("*"&amp;'Output annual'!$AC$2&amp;'Output annual'!$AD$2&amp;"*Zone People Number Of Occupants [](Hourly)",'Eplus results'!$1:$1048576,ROW(),FALSE)</f>
        <v>0</v>
      </c>
      <c r="AC3580" s="580">
        <f>HLOOKUP("*"&amp;'Output annual'!$AC$2&amp;'Output annual'!$AD$2&amp;"*FangerPMV(Hourly)",'Eplus results'!$1:$1048576,ROW(),FALSE)</f>
        <v>0</v>
      </c>
      <c r="AD3580" s="580">
        <f t="shared" si="311"/>
        <v>5</v>
      </c>
      <c r="AE3580" s="580">
        <f t="shared" si="312"/>
        <v>2.5</v>
      </c>
      <c r="AF3580" s="580">
        <f t="shared" si="313"/>
        <v>2.5</v>
      </c>
      <c r="AG3580" s="580">
        <f t="shared" si="314"/>
        <v>0</v>
      </c>
      <c r="AH3580" s="580">
        <f t="shared" si="315"/>
        <v>0</v>
      </c>
    </row>
    <row r="3581" spans="28:34">
      <c r="AB3581" s="580">
        <f>HLOOKUP("*"&amp;'Output annual'!$AC$2&amp;'Output annual'!$AD$2&amp;"*Zone People Number Of Occupants [](Hourly)",'Eplus results'!$1:$1048576,ROW(),FALSE)</f>
        <v>0</v>
      </c>
      <c r="AC3581" s="580">
        <f>HLOOKUP("*"&amp;'Output annual'!$AC$2&amp;'Output annual'!$AD$2&amp;"*FangerPMV(Hourly)",'Eplus results'!$1:$1048576,ROW(),FALSE)</f>
        <v>0</v>
      </c>
      <c r="AD3581" s="580">
        <f t="shared" si="311"/>
        <v>5</v>
      </c>
      <c r="AE3581" s="580">
        <f t="shared" si="312"/>
        <v>2.5</v>
      </c>
      <c r="AF3581" s="580">
        <f t="shared" si="313"/>
        <v>2.5</v>
      </c>
      <c r="AG3581" s="580">
        <f t="shared" si="314"/>
        <v>0</v>
      </c>
      <c r="AH3581" s="580">
        <f t="shared" si="315"/>
        <v>0</v>
      </c>
    </row>
    <row r="3582" spans="28:34">
      <c r="AB3582" s="580">
        <f>HLOOKUP("*"&amp;'Output annual'!$AC$2&amp;'Output annual'!$AD$2&amp;"*Zone People Number Of Occupants [](Hourly)",'Eplus results'!$1:$1048576,ROW(),FALSE)</f>
        <v>0</v>
      </c>
      <c r="AC3582" s="580">
        <f>HLOOKUP("*"&amp;'Output annual'!$AC$2&amp;'Output annual'!$AD$2&amp;"*FangerPMV(Hourly)",'Eplus results'!$1:$1048576,ROW(),FALSE)</f>
        <v>0</v>
      </c>
      <c r="AD3582" s="580">
        <f t="shared" si="311"/>
        <v>5</v>
      </c>
      <c r="AE3582" s="580">
        <f t="shared" si="312"/>
        <v>2.5</v>
      </c>
      <c r="AF3582" s="580">
        <f t="shared" si="313"/>
        <v>2.5</v>
      </c>
      <c r="AG3582" s="580">
        <f t="shared" si="314"/>
        <v>0</v>
      </c>
      <c r="AH3582" s="580">
        <f t="shared" si="315"/>
        <v>0</v>
      </c>
    </row>
    <row r="3583" spans="28:34">
      <c r="AB3583" s="580">
        <f>HLOOKUP("*"&amp;'Output annual'!$AC$2&amp;'Output annual'!$AD$2&amp;"*Zone People Number Of Occupants [](Hourly)",'Eplus results'!$1:$1048576,ROW(),FALSE)</f>
        <v>0</v>
      </c>
      <c r="AC3583" s="580">
        <f>HLOOKUP("*"&amp;'Output annual'!$AC$2&amp;'Output annual'!$AD$2&amp;"*FangerPMV(Hourly)",'Eplus results'!$1:$1048576,ROW(),FALSE)</f>
        <v>0</v>
      </c>
      <c r="AD3583" s="580">
        <f t="shared" si="311"/>
        <v>5</v>
      </c>
      <c r="AE3583" s="580">
        <f t="shared" si="312"/>
        <v>2.5</v>
      </c>
      <c r="AF3583" s="580">
        <f t="shared" si="313"/>
        <v>2.5</v>
      </c>
      <c r="AG3583" s="580">
        <f t="shared" si="314"/>
        <v>0</v>
      </c>
      <c r="AH3583" s="580">
        <f t="shared" si="315"/>
        <v>0</v>
      </c>
    </row>
    <row r="3584" spans="28:34">
      <c r="AB3584" s="580">
        <f>HLOOKUP("*"&amp;'Output annual'!$AC$2&amp;'Output annual'!$AD$2&amp;"*Zone People Number Of Occupants [](Hourly)",'Eplus results'!$1:$1048576,ROW(),FALSE)</f>
        <v>0</v>
      </c>
      <c r="AC3584" s="580">
        <f>HLOOKUP("*"&amp;'Output annual'!$AC$2&amp;'Output annual'!$AD$2&amp;"*FangerPMV(Hourly)",'Eplus results'!$1:$1048576,ROW(),FALSE)</f>
        <v>0</v>
      </c>
      <c r="AD3584" s="580">
        <f t="shared" si="311"/>
        <v>5</v>
      </c>
      <c r="AE3584" s="580">
        <f t="shared" si="312"/>
        <v>2.5</v>
      </c>
      <c r="AF3584" s="580">
        <f t="shared" si="313"/>
        <v>2.5</v>
      </c>
      <c r="AG3584" s="580">
        <f t="shared" si="314"/>
        <v>0</v>
      </c>
      <c r="AH3584" s="580">
        <f t="shared" si="315"/>
        <v>0</v>
      </c>
    </row>
    <row r="3585" spans="28:34">
      <c r="AB3585" s="580">
        <f>HLOOKUP("*"&amp;'Output annual'!$AC$2&amp;'Output annual'!$AD$2&amp;"*Zone People Number Of Occupants [](Hourly)",'Eplus results'!$1:$1048576,ROW(),FALSE)</f>
        <v>0</v>
      </c>
      <c r="AC3585" s="580">
        <f>HLOOKUP("*"&amp;'Output annual'!$AC$2&amp;'Output annual'!$AD$2&amp;"*FangerPMV(Hourly)",'Eplus results'!$1:$1048576,ROW(),FALSE)</f>
        <v>0</v>
      </c>
      <c r="AD3585" s="580">
        <f t="shared" si="311"/>
        <v>5</v>
      </c>
      <c r="AE3585" s="580">
        <f t="shared" si="312"/>
        <v>2.5</v>
      </c>
      <c r="AF3585" s="580">
        <f t="shared" si="313"/>
        <v>2.5</v>
      </c>
      <c r="AG3585" s="580">
        <f t="shared" si="314"/>
        <v>0</v>
      </c>
      <c r="AH3585" s="580">
        <f t="shared" si="315"/>
        <v>0</v>
      </c>
    </row>
    <row r="3586" spans="28:34">
      <c r="AB3586" s="580">
        <f>HLOOKUP("*"&amp;'Output annual'!$AC$2&amp;'Output annual'!$AD$2&amp;"*Zone People Number Of Occupants [](Hourly)",'Eplus results'!$1:$1048576,ROW(),FALSE)</f>
        <v>0</v>
      </c>
      <c r="AC3586" s="580">
        <f>HLOOKUP("*"&amp;'Output annual'!$AC$2&amp;'Output annual'!$AD$2&amp;"*FangerPMV(Hourly)",'Eplus results'!$1:$1048576,ROW(),FALSE)</f>
        <v>0</v>
      </c>
      <c r="AD3586" s="580">
        <f t="shared" si="311"/>
        <v>5</v>
      </c>
      <c r="AE3586" s="580">
        <f t="shared" si="312"/>
        <v>2.5</v>
      </c>
      <c r="AF3586" s="580">
        <f t="shared" si="313"/>
        <v>2.5</v>
      </c>
      <c r="AG3586" s="580">
        <f t="shared" si="314"/>
        <v>0</v>
      </c>
      <c r="AH3586" s="580">
        <f t="shared" si="315"/>
        <v>0</v>
      </c>
    </row>
    <row r="3587" spans="28:34">
      <c r="AB3587" s="580">
        <f>HLOOKUP("*"&amp;'Output annual'!$AC$2&amp;'Output annual'!$AD$2&amp;"*Zone People Number Of Occupants [](Hourly)",'Eplus results'!$1:$1048576,ROW(),FALSE)</f>
        <v>0</v>
      </c>
      <c r="AC3587" s="580">
        <f>HLOOKUP("*"&amp;'Output annual'!$AC$2&amp;'Output annual'!$AD$2&amp;"*FangerPMV(Hourly)",'Eplus results'!$1:$1048576,ROW(),FALSE)</f>
        <v>0</v>
      </c>
      <c r="AD3587" s="580">
        <f t="shared" ref="AD3587:AD3650" si="316">100-95*EXP(-0.03353*AC3587^4-0.2179*AC3587^2)</f>
        <v>5</v>
      </c>
      <c r="AE3587" s="580">
        <f t="shared" ref="AE3587:AE3650" si="317">AD3587*(1/(1+EXP(-6.3*$AC3587)))</f>
        <v>2.5</v>
      </c>
      <c r="AF3587" s="580">
        <f t="shared" ref="AF3587:AF3650" si="318">(AD3587-AE3587)</f>
        <v>2.5</v>
      </c>
      <c r="AG3587" s="580">
        <f t="shared" ref="AG3587:AG3650" si="319">AE3587*AB3587</f>
        <v>0</v>
      </c>
      <c r="AH3587" s="580">
        <f t="shared" ref="AH3587:AH3650" si="320">AF3587*AB3587</f>
        <v>0</v>
      </c>
    </row>
    <row r="3588" spans="28:34">
      <c r="AB3588" s="580">
        <f>HLOOKUP("*"&amp;'Output annual'!$AC$2&amp;'Output annual'!$AD$2&amp;"*Zone People Number Of Occupants [](Hourly)",'Eplus results'!$1:$1048576,ROW(),FALSE)</f>
        <v>0</v>
      </c>
      <c r="AC3588" s="580">
        <f>HLOOKUP("*"&amp;'Output annual'!$AC$2&amp;'Output annual'!$AD$2&amp;"*FangerPMV(Hourly)",'Eplus results'!$1:$1048576,ROW(),FALSE)</f>
        <v>0</v>
      </c>
      <c r="AD3588" s="580">
        <f t="shared" si="316"/>
        <v>5</v>
      </c>
      <c r="AE3588" s="580">
        <f t="shared" si="317"/>
        <v>2.5</v>
      </c>
      <c r="AF3588" s="580">
        <f t="shared" si="318"/>
        <v>2.5</v>
      </c>
      <c r="AG3588" s="580">
        <f t="shared" si="319"/>
        <v>0</v>
      </c>
      <c r="AH3588" s="580">
        <f t="shared" si="320"/>
        <v>0</v>
      </c>
    </row>
    <row r="3589" spans="28:34">
      <c r="AB3589" s="580">
        <f>HLOOKUP("*"&amp;'Output annual'!$AC$2&amp;'Output annual'!$AD$2&amp;"*Zone People Number Of Occupants [](Hourly)",'Eplus results'!$1:$1048576,ROW(),FALSE)</f>
        <v>0</v>
      </c>
      <c r="AC3589" s="580">
        <f>HLOOKUP("*"&amp;'Output annual'!$AC$2&amp;'Output annual'!$AD$2&amp;"*FangerPMV(Hourly)",'Eplus results'!$1:$1048576,ROW(),FALSE)</f>
        <v>0</v>
      </c>
      <c r="AD3589" s="580">
        <f t="shared" si="316"/>
        <v>5</v>
      </c>
      <c r="AE3589" s="580">
        <f t="shared" si="317"/>
        <v>2.5</v>
      </c>
      <c r="AF3589" s="580">
        <f t="shared" si="318"/>
        <v>2.5</v>
      </c>
      <c r="AG3589" s="580">
        <f t="shared" si="319"/>
        <v>0</v>
      </c>
      <c r="AH3589" s="580">
        <f t="shared" si="320"/>
        <v>0</v>
      </c>
    </row>
    <row r="3590" spans="28:34">
      <c r="AB3590" s="580">
        <f>HLOOKUP("*"&amp;'Output annual'!$AC$2&amp;'Output annual'!$AD$2&amp;"*Zone People Number Of Occupants [](Hourly)",'Eplus results'!$1:$1048576,ROW(),FALSE)</f>
        <v>0</v>
      </c>
      <c r="AC3590" s="580">
        <f>HLOOKUP("*"&amp;'Output annual'!$AC$2&amp;'Output annual'!$AD$2&amp;"*FangerPMV(Hourly)",'Eplus results'!$1:$1048576,ROW(),FALSE)</f>
        <v>0</v>
      </c>
      <c r="AD3590" s="580">
        <f t="shared" si="316"/>
        <v>5</v>
      </c>
      <c r="AE3590" s="580">
        <f t="shared" si="317"/>
        <v>2.5</v>
      </c>
      <c r="AF3590" s="580">
        <f t="shared" si="318"/>
        <v>2.5</v>
      </c>
      <c r="AG3590" s="580">
        <f t="shared" si="319"/>
        <v>0</v>
      </c>
      <c r="AH3590" s="580">
        <f t="shared" si="320"/>
        <v>0</v>
      </c>
    </row>
    <row r="3591" spans="28:34">
      <c r="AB3591" s="580">
        <f>HLOOKUP("*"&amp;'Output annual'!$AC$2&amp;'Output annual'!$AD$2&amp;"*Zone People Number Of Occupants [](Hourly)",'Eplus results'!$1:$1048576,ROW(),FALSE)</f>
        <v>0</v>
      </c>
      <c r="AC3591" s="580">
        <f>HLOOKUP("*"&amp;'Output annual'!$AC$2&amp;'Output annual'!$AD$2&amp;"*FangerPMV(Hourly)",'Eplus results'!$1:$1048576,ROW(),FALSE)</f>
        <v>0</v>
      </c>
      <c r="AD3591" s="580">
        <f t="shared" si="316"/>
        <v>5</v>
      </c>
      <c r="AE3591" s="580">
        <f t="shared" si="317"/>
        <v>2.5</v>
      </c>
      <c r="AF3591" s="580">
        <f t="shared" si="318"/>
        <v>2.5</v>
      </c>
      <c r="AG3591" s="580">
        <f t="shared" si="319"/>
        <v>0</v>
      </c>
      <c r="AH3591" s="580">
        <f t="shared" si="320"/>
        <v>0</v>
      </c>
    </row>
    <row r="3592" spans="28:34">
      <c r="AB3592" s="580">
        <f>HLOOKUP("*"&amp;'Output annual'!$AC$2&amp;'Output annual'!$AD$2&amp;"*Zone People Number Of Occupants [](Hourly)",'Eplus results'!$1:$1048576,ROW(),FALSE)</f>
        <v>0</v>
      </c>
      <c r="AC3592" s="580">
        <f>HLOOKUP("*"&amp;'Output annual'!$AC$2&amp;'Output annual'!$AD$2&amp;"*FangerPMV(Hourly)",'Eplus results'!$1:$1048576,ROW(),FALSE)</f>
        <v>0</v>
      </c>
      <c r="AD3592" s="580">
        <f t="shared" si="316"/>
        <v>5</v>
      </c>
      <c r="AE3592" s="580">
        <f t="shared" si="317"/>
        <v>2.5</v>
      </c>
      <c r="AF3592" s="580">
        <f t="shared" si="318"/>
        <v>2.5</v>
      </c>
      <c r="AG3592" s="580">
        <f t="shared" si="319"/>
        <v>0</v>
      </c>
      <c r="AH3592" s="580">
        <f t="shared" si="320"/>
        <v>0</v>
      </c>
    </row>
    <row r="3593" spans="28:34">
      <c r="AB3593" s="580">
        <f>HLOOKUP("*"&amp;'Output annual'!$AC$2&amp;'Output annual'!$AD$2&amp;"*Zone People Number Of Occupants [](Hourly)",'Eplus results'!$1:$1048576,ROW(),FALSE)</f>
        <v>0</v>
      </c>
      <c r="AC3593" s="580">
        <f>HLOOKUP("*"&amp;'Output annual'!$AC$2&amp;'Output annual'!$AD$2&amp;"*FangerPMV(Hourly)",'Eplus results'!$1:$1048576,ROW(),FALSE)</f>
        <v>0</v>
      </c>
      <c r="AD3593" s="580">
        <f t="shared" si="316"/>
        <v>5</v>
      </c>
      <c r="AE3593" s="580">
        <f t="shared" si="317"/>
        <v>2.5</v>
      </c>
      <c r="AF3593" s="580">
        <f t="shared" si="318"/>
        <v>2.5</v>
      </c>
      <c r="AG3593" s="580">
        <f t="shared" si="319"/>
        <v>0</v>
      </c>
      <c r="AH3593" s="580">
        <f t="shared" si="320"/>
        <v>0</v>
      </c>
    </row>
    <row r="3594" spans="28:34">
      <c r="AB3594" s="580">
        <f>HLOOKUP("*"&amp;'Output annual'!$AC$2&amp;'Output annual'!$AD$2&amp;"*Zone People Number Of Occupants [](Hourly)",'Eplus results'!$1:$1048576,ROW(),FALSE)</f>
        <v>0</v>
      </c>
      <c r="AC3594" s="580">
        <f>HLOOKUP("*"&amp;'Output annual'!$AC$2&amp;'Output annual'!$AD$2&amp;"*FangerPMV(Hourly)",'Eplus results'!$1:$1048576,ROW(),FALSE)</f>
        <v>0</v>
      </c>
      <c r="AD3594" s="580">
        <f t="shared" si="316"/>
        <v>5</v>
      </c>
      <c r="AE3594" s="580">
        <f t="shared" si="317"/>
        <v>2.5</v>
      </c>
      <c r="AF3594" s="580">
        <f t="shared" si="318"/>
        <v>2.5</v>
      </c>
      <c r="AG3594" s="580">
        <f t="shared" si="319"/>
        <v>0</v>
      </c>
      <c r="AH3594" s="580">
        <f t="shared" si="320"/>
        <v>0</v>
      </c>
    </row>
    <row r="3595" spans="28:34">
      <c r="AB3595" s="580">
        <f>HLOOKUP("*"&amp;'Output annual'!$AC$2&amp;'Output annual'!$AD$2&amp;"*Zone People Number Of Occupants [](Hourly)",'Eplus results'!$1:$1048576,ROW(),FALSE)</f>
        <v>0</v>
      </c>
      <c r="AC3595" s="580">
        <f>HLOOKUP("*"&amp;'Output annual'!$AC$2&amp;'Output annual'!$AD$2&amp;"*FangerPMV(Hourly)",'Eplus results'!$1:$1048576,ROW(),FALSE)</f>
        <v>0</v>
      </c>
      <c r="AD3595" s="580">
        <f t="shared" si="316"/>
        <v>5</v>
      </c>
      <c r="AE3595" s="580">
        <f t="shared" si="317"/>
        <v>2.5</v>
      </c>
      <c r="AF3595" s="580">
        <f t="shared" si="318"/>
        <v>2.5</v>
      </c>
      <c r="AG3595" s="580">
        <f t="shared" si="319"/>
        <v>0</v>
      </c>
      <c r="AH3595" s="580">
        <f t="shared" si="320"/>
        <v>0</v>
      </c>
    </row>
    <row r="3596" spans="28:34">
      <c r="AB3596" s="580">
        <f>HLOOKUP("*"&amp;'Output annual'!$AC$2&amp;'Output annual'!$AD$2&amp;"*Zone People Number Of Occupants [](Hourly)",'Eplus results'!$1:$1048576,ROW(),FALSE)</f>
        <v>0</v>
      </c>
      <c r="AC3596" s="580">
        <f>HLOOKUP("*"&amp;'Output annual'!$AC$2&amp;'Output annual'!$AD$2&amp;"*FangerPMV(Hourly)",'Eplus results'!$1:$1048576,ROW(),FALSE)</f>
        <v>0</v>
      </c>
      <c r="AD3596" s="580">
        <f t="shared" si="316"/>
        <v>5</v>
      </c>
      <c r="AE3596" s="580">
        <f t="shared" si="317"/>
        <v>2.5</v>
      </c>
      <c r="AF3596" s="580">
        <f t="shared" si="318"/>
        <v>2.5</v>
      </c>
      <c r="AG3596" s="580">
        <f t="shared" si="319"/>
        <v>0</v>
      </c>
      <c r="AH3596" s="580">
        <f t="shared" si="320"/>
        <v>0</v>
      </c>
    </row>
    <row r="3597" spans="28:34">
      <c r="AB3597" s="580">
        <f>HLOOKUP("*"&amp;'Output annual'!$AC$2&amp;'Output annual'!$AD$2&amp;"*Zone People Number Of Occupants [](Hourly)",'Eplus results'!$1:$1048576,ROW(),FALSE)</f>
        <v>0</v>
      </c>
      <c r="AC3597" s="580">
        <f>HLOOKUP("*"&amp;'Output annual'!$AC$2&amp;'Output annual'!$AD$2&amp;"*FangerPMV(Hourly)",'Eplus results'!$1:$1048576,ROW(),FALSE)</f>
        <v>0</v>
      </c>
      <c r="AD3597" s="580">
        <f t="shared" si="316"/>
        <v>5</v>
      </c>
      <c r="AE3597" s="580">
        <f t="shared" si="317"/>
        <v>2.5</v>
      </c>
      <c r="AF3597" s="580">
        <f t="shared" si="318"/>
        <v>2.5</v>
      </c>
      <c r="AG3597" s="580">
        <f t="shared" si="319"/>
        <v>0</v>
      </c>
      <c r="AH3597" s="580">
        <f t="shared" si="320"/>
        <v>0</v>
      </c>
    </row>
    <row r="3598" spans="28:34">
      <c r="AB3598" s="580">
        <f>HLOOKUP("*"&amp;'Output annual'!$AC$2&amp;'Output annual'!$AD$2&amp;"*Zone People Number Of Occupants [](Hourly)",'Eplus results'!$1:$1048576,ROW(),FALSE)</f>
        <v>0</v>
      </c>
      <c r="AC3598" s="580">
        <f>HLOOKUP("*"&amp;'Output annual'!$AC$2&amp;'Output annual'!$AD$2&amp;"*FangerPMV(Hourly)",'Eplus results'!$1:$1048576,ROW(),FALSE)</f>
        <v>0</v>
      </c>
      <c r="AD3598" s="580">
        <f t="shared" si="316"/>
        <v>5</v>
      </c>
      <c r="AE3598" s="580">
        <f t="shared" si="317"/>
        <v>2.5</v>
      </c>
      <c r="AF3598" s="580">
        <f t="shared" si="318"/>
        <v>2.5</v>
      </c>
      <c r="AG3598" s="580">
        <f t="shared" si="319"/>
        <v>0</v>
      </c>
      <c r="AH3598" s="580">
        <f t="shared" si="320"/>
        <v>0</v>
      </c>
    </row>
    <row r="3599" spans="28:34">
      <c r="AB3599" s="580">
        <f>HLOOKUP("*"&amp;'Output annual'!$AC$2&amp;'Output annual'!$AD$2&amp;"*Zone People Number Of Occupants [](Hourly)",'Eplus results'!$1:$1048576,ROW(),FALSE)</f>
        <v>0</v>
      </c>
      <c r="AC3599" s="580">
        <f>HLOOKUP("*"&amp;'Output annual'!$AC$2&amp;'Output annual'!$AD$2&amp;"*FangerPMV(Hourly)",'Eplus results'!$1:$1048576,ROW(),FALSE)</f>
        <v>0</v>
      </c>
      <c r="AD3599" s="580">
        <f t="shared" si="316"/>
        <v>5</v>
      </c>
      <c r="AE3599" s="580">
        <f t="shared" si="317"/>
        <v>2.5</v>
      </c>
      <c r="AF3599" s="580">
        <f t="shared" si="318"/>
        <v>2.5</v>
      </c>
      <c r="AG3599" s="580">
        <f t="shared" si="319"/>
        <v>0</v>
      </c>
      <c r="AH3599" s="580">
        <f t="shared" si="320"/>
        <v>0</v>
      </c>
    </row>
    <row r="3600" spans="28:34">
      <c r="AB3600" s="580">
        <f>HLOOKUP("*"&amp;'Output annual'!$AC$2&amp;'Output annual'!$AD$2&amp;"*Zone People Number Of Occupants [](Hourly)",'Eplus results'!$1:$1048576,ROW(),FALSE)</f>
        <v>0</v>
      </c>
      <c r="AC3600" s="580">
        <f>HLOOKUP("*"&amp;'Output annual'!$AC$2&amp;'Output annual'!$AD$2&amp;"*FangerPMV(Hourly)",'Eplus results'!$1:$1048576,ROW(),FALSE)</f>
        <v>0</v>
      </c>
      <c r="AD3600" s="580">
        <f t="shared" si="316"/>
        <v>5</v>
      </c>
      <c r="AE3600" s="580">
        <f t="shared" si="317"/>
        <v>2.5</v>
      </c>
      <c r="AF3600" s="580">
        <f t="shared" si="318"/>
        <v>2.5</v>
      </c>
      <c r="AG3600" s="580">
        <f t="shared" si="319"/>
        <v>0</v>
      </c>
      <c r="AH3600" s="580">
        <f t="shared" si="320"/>
        <v>0</v>
      </c>
    </row>
    <row r="3601" spans="28:34">
      <c r="AB3601" s="580">
        <f>HLOOKUP("*"&amp;'Output annual'!$AC$2&amp;'Output annual'!$AD$2&amp;"*Zone People Number Of Occupants [](Hourly)",'Eplus results'!$1:$1048576,ROW(),FALSE)</f>
        <v>0</v>
      </c>
      <c r="AC3601" s="580">
        <f>HLOOKUP("*"&amp;'Output annual'!$AC$2&amp;'Output annual'!$AD$2&amp;"*FangerPMV(Hourly)",'Eplus results'!$1:$1048576,ROW(),FALSE)</f>
        <v>0</v>
      </c>
      <c r="AD3601" s="580">
        <f t="shared" si="316"/>
        <v>5</v>
      </c>
      <c r="AE3601" s="580">
        <f t="shared" si="317"/>
        <v>2.5</v>
      </c>
      <c r="AF3601" s="580">
        <f t="shared" si="318"/>
        <v>2.5</v>
      </c>
      <c r="AG3601" s="580">
        <f t="shared" si="319"/>
        <v>0</v>
      </c>
      <c r="AH3601" s="580">
        <f t="shared" si="320"/>
        <v>0</v>
      </c>
    </row>
    <row r="3602" spans="28:34">
      <c r="AB3602" s="580">
        <f>HLOOKUP("*"&amp;'Output annual'!$AC$2&amp;'Output annual'!$AD$2&amp;"*Zone People Number Of Occupants [](Hourly)",'Eplus results'!$1:$1048576,ROW(),FALSE)</f>
        <v>0</v>
      </c>
      <c r="AC3602" s="580">
        <f>HLOOKUP("*"&amp;'Output annual'!$AC$2&amp;'Output annual'!$AD$2&amp;"*FangerPMV(Hourly)",'Eplus results'!$1:$1048576,ROW(),FALSE)</f>
        <v>0</v>
      </c>
      <c r="AD3602" s="580">
        <f t="shared" si="316"/>
        <v>5</v>
      </c>
      <c r="AE3602" s="580">
        <f t="shared" si="317"/>
        <v>2.5</v>
      </c>
      <c r="AF3602" s="580">
        <f t="shared" si="318"/>
        <v>2.5</v>
      </c>
      <c r="AG3602" s="580">
        <f t="shared" si="319"/>
        <v>0</v>
      </c>
      <c r="AH3602" s="580">
        <f t="shared" si="320"/>
        <v>0</v>
      </c>
    </row>
    <row r="3603" spans="28:34">
      <c r="AB3603" s="580">
        <f>HLOOKUP("*"&amp;'Output annual'!$AC$2&amp;'Output annual'!$AD$2&amp;"*Zone People Number Of Occupants [](Hourly)",'Eplus results'!$1:$1048576,ROW(),FALSE)</f>
        <v>0</v>
      </c>
      <c r="AC3603" s="580">
        <f>HLOOKUP("*"&amp;'Output annual'!$AC$2&amp;'Output annual'!$AD$2&amp;"*FangerPMV(Hourly)",'Eplus results'!$1:$1048576,ROW(),FALSE)</f>
        <v>0</v>
      </c>
      <c r="AD3603" s="580">
        <f t="shared" si="316"/>
        <v>5</v>
      </c>
      <c r="AE3603" s="580">
        <f t="shared" si="317"/>
        <v>2.5</v>
      </c>
      <c r="AF3603" s="580">
        <f t="shared" si="318"/>
        <v>2.5</v>
      </c>
      <c r="AG3603" s="580">
        <f t="shared" si="319"/>
        <v>0</v>
      </c>
      <c r="AH3603" s="580">
        <f t="shared" si="320"/>
        <v>0</v>
      </c>
    </row>
    <row r="3604" spans="28:34">
      <c r="AB3604" s="580">
        <f>HLOOKUP("*"&amp;'Output annual'!$AC$2&amp;'Output annual'!$AD$2&amp;"*Zone People Number Of Occupants [](Hourly)",'Eplus results'!$1:$1048576,ROW(),FALSE)</f>
        <v>0</v>
      </c>
      <c r="AC3604" s="580">
        <f>HLOOKUP("*"&amp;'Output annual'!$AC$2&amp;'Output annual'!$AD$2&amp;"*FangerPMV(Hourly)",'Eplus results'!$1:$1048576,ROW(),FALSE)</f>
        <v>0</v>
      </c>
      <c r="AD3604" s="580">
        <f t="shared" si="316"/>
        <v>5</v>
      </c>
      <c r="AE3604" s="580">
        <f t="shared" si="317"/>
        <v>2.5</v>
      </c>
      <c r="AF3604" s="580">
        <f t="shared" si="318"/>
        <v>2.5</v>
      </c>
      <c r="AG3604" s="580">
        <f t="shared" si="319"/>
        <v>0</v>
      </c>
      <c r="AH3604" s="580">
        <f t="shared" si="320"/>
        <v>0</v>
      </c>
    </row>
    <row r="3605" spans="28:34">
      <c r="AB3605" s="580">
        <f>HLOOKUP("*"&amp;'Output annual'!$AC$2&amp;'Output annual'!$AD$2&amp;"*Zone People Number Of Occupants [](Hourly)",'Eplus results'!$1:$1048576,ROW(),FALSE)</f>
        <v>0</v>
      </c>
      <c r="AC3605" s="580">
        <f>HLOOKUP("*"&amp;'Output annual'!$AC$2&amp;'Output annual'!$AD$2&amp;"*FangerPMV(Hourly)",'Eplus results'!$1:$1048576,ROW(),FALSE)</f>
        <v>0</v>
      </c>
      <c r="AD3605" s="580">
        <f t="shared" si="316"/>
        <v>5</v>
      </c>
      <c r="AE3605" s="580">
        <f t="shared" si="317"/>
        <v>2.5</v>
      </c>
      <c r="AF3605" s="580">
        <f t="shared" si="318"/>
        <v>2.5</v>
      </c>
      <c r="AG3605" s="580">
        <f t="shared" si="319"/>
        <v>0</v>
      </c>
      <c r="AH3605" s="580">
        <f t="shared" si="320"/>
        <v>0</v>
      </c>
    </row>
    <row r="3606" spans="28:34">
      <c r="AB3606" s="580">
        <f>HLOOKUP("*"&amp;'Output annual'!$AC$2&amp;'Output annual'!$AD$2&amp;"*Zone People Number Of Occupants [](Hourly)",'Eplus results'!$1:$1048576,ROW(),FALSE)</f>
        <v>0</v>
      </c>
      <c r="AC3606" s="580">
        <f>HLOOKUP("*"&amp;'Output annual'!$AC$2&amp;'Output annual'!$AD$2&amp;"*FangerPMV(Hourly)",'Eplus results'!$1:$1048576,ROW(),FALSE)</f>
        <v>0</v>
      </c>
      <c r="AD3606" s="580">
        <f t="shared" si="316"/>
        <v>5</v>
      </c>
      <c r="AE3606" s="580">
        <f t="shared" si="317"/>
        <v>2.5</v>
      </c>
      <c r="AF3606" s="580">
        <f t="shared" si="318"/>
        <v>2.5</v>
      </c>
      <c r="AG3606" s="580">
        <f t="shared" si="319"/>
        <v>0</v>
      </c>
      <c r="AH3606" s="580">
        <f t="shared" si="320"/>
        <v>0</v>
      </c>
    </row>
    <row r="3607" spans="28:34">
      <c r="AB3607" s="580">
        <f>HLOOKUP("*"&amp;'Output annual'!$AC$2&amp;'Output annual'!$AD$2&amp;"*Zone People Number Of Occupants [](Hourly)",'Eplus results'!$1:$1048576,ROW(),FALSE)</f>
        <v>0</v>
      </c>
      <c r="AC3607" s="580">
        <f>HLOOKUP("*"&amp;'Output annual'!$AC$2&amp;'Output annual'!$AD$2&amp;"*FangerPMV(Hourly)",'Eplus results'!$1:$1048576,ROW(),FALSE)</f>
        <v>0</v>
      </c>
      <c r="AD3607" s="580">
        <f t="shared" si="316"/>
        <v>5</v>
      </c>
      <c r="AE3607" s="580">
        <f t="shared" si="317"/>
        <v>2.5</v>
      </c>
      <c r="AF3607" s="580">
        <f t="shared" si="318"/>
        <v>2.5</v>
      </c>
      <c r="AG3607" s="580">
        <f t="shared" si="319"/>
        <v>0</v>
      </c>
      <c r="AH3607" s="580">
        <f t="shared" si="320"/>
        <v>0</v>
      </c>
    </row>
    <row r="3608" spans="28:34">
      <c r="AB3608" s="580">
        <f>HLOOKUP("*"&amp;'Output annual'!$AC$2&amp;'Output annual'!$AD$2&amp;"*Zone People Number Of Occupants [](Hourly)",'Eplus results'!$1:$1048576,ROW(),FALSE)</f>
        <v>0</v>
      </c>
      <c r="AC3608" s="580">
        <f>HLOOKUP("*"&amp;'Output annual'!$AC$2&amp;'Output annual'!$AD$2&amp;"*FangerPMV(Hourly)",'Eplus results'!$1:$1048576,ROW(),FALSE)</f>
        <v>0</v>
      </c>
      <c r="AD3608" s="580">
        <f t="shared" si="316"/>
        <v>5</v>
      </c>
      <c r="AE3608" s="580">
        <f t="shared" si="317"/>
        <v>2.5</v>
      </c>
      <c r="AF3608" s="580">
        <f t="shared" si="318"/>
        <v>2.5</v>
      </c>
      <c r="AG3608" s="580">
        <f t="shared" si="319"/>
        <v>0</v>
      </c>
      <c r="AH3608" s="580">
        <f t="shared" si="320"/>
        <v>0</v>
      </c>
    </row>
    <row r="3609" spans="28:34">
      <c r="AB3609" s="580">
        <f>HLOOKUP("*"&amp;'Output annual'!$AC$2&amp;'Output annual'!$AD$2&amp;"*Zone People Number Of Occupants [](Hourly)",'Eplus results'!$1:$1048576,ROW(),FALSE)</f>
        <v>0</v>
      </c>
      <c r="AC3609" s="580">
        <f>HLOOKUP("*"&amp;'Output annual'!$AC$2&amp;'Output annual'!$AD$2&amp;"*FangerPMV(Hourly)",'Eplus results'!$1:$1048576,ROW(),FALSE)</f>
        <v>0</v>
      </c>
      <c r="AD3609" s="580">
        <f t="shared" si="316"/>
        <v>5</v>
      </c>
      <c r="AE3609" s="580">
        <f t="shared" si="317"/>
        <v>2.5</v>
      </c>
      <c r="AF3609" s="580">
        <f t="shared" si="318"/>
        <v>2.5</v>
      </c>
      <c r="AG3609" s="580">
        <f t="shared" si="319"/>
        <v>0</v>
      </c>
      <c r="AH3609" s="580">
        <f t="shared" si="320"/>
        <v>0</v>
      </c>
    </row>
    <row r="3610" spans="28:34">
      <c r="AB3610" s="580">
        <f>HLOOKUP("*"&amp;'Output annual'!$AC$2&amp;'Output annual'!$AD$2&amp;"*Zone People Number Of Occupants [](Hourly)",'Eplus results'!$1:$1048576,ROW(),FALSE)</f>
        <v>0</v>
      </c>
      <c r="AC3610" s="580">
        <f>HLOOKUP("*"&amp;'Output annual'!$AC$2&amp;'Output annual'!$AD$2&amp;"*FangerPMV(Hourly)",'Eplus results'!$1:$1048576,ROW(),FALSE)</f>
        <v>0</v>
      </c>
      <c r="AD3610" s="580">
        <f t="shared" si="316"/>
        <v>5</v>
      </c>
      <c r="AE3610" s="580">
        <f t="shared" si="317"/>
        <v>2.5</v>
      </c>
      <c r="AF3610" s="580">
        <f t="shared" si="318"/>
        <v>2.5</v>
      </c>
      <c r="AG3610" s="580">
        <f t="shared" si="319"/>
        <v>0</v>
      </c>
      <c r="AH3610" s="580">
        <f t="shared" si="320"/>
        <v>0</v>
      </c>
    </row>
    <row r="3611" spans="28:34">
      <c r="AB3611" s="580">
        <f>HLOOKUP("*"&amp;'Output annual'!$AC$2&amp;'Output annual'!$AD$2&amp;"*Zone People Number Of Occupants [](Hourly)",'Eplus results'!$1:$1048576,ROW(),FALSE)</f>
        <v>0</v>
      </c>
      <c r="AC3611" s="580">
        <f>HLOOKUP("*"&amp;'Output annual'!$AC$2&amp;'Output annual'!$AD$2&amp;"*FangerPMV(Hourly)",'Eplus results'!$1:$1048576,ROW(),FALSE)</f>
        <v>0</v>
      </c>
      <c r="AD3611" s="580">
        <f t="shared" si="316"/>
        <v>5</v>
      </c>
      <c r="AE3611" s="580">
        <f t="shared" si="317"/>
        <v>2.5</v>
      </c>
      <c r="AF3611" s="580">
        <f t="shared" si="318"/>
        <v>2.5</v>
      </c>
      <c r="AG3611" s="580">
        <f t="shared" si="319"/>
        <v>0</v>
      </c>
      <c r="AH3611" s="580">
        <f t="shared" si="320"/>
        <v>0</v>
      </c>
    </row>
    <row r="3612" spans="28:34">
      <c r="AB3612" s="580">
        <f>HLOOKUP("*"&amp;'Output annual'!$AC$2&amp;'Output annual'!$AD$2&amp;"*Zone People Number Of Occupants [](Hourly)",'Eplus results'!$1:$1048576,ROW(),FALSE)</f>
        <v>0</v>
      </c>
      <c r="AC3612" s="580">
        <f>HLOOKUP("*"&amp;'Output annual'!$AC$2&amp;'Output annual'!$AD$2&amp;"*FangerPMV(Hourly)",'Eplus results'!$1:$1048576,ROW(),FALSE)</f>
        <v>0</v>
      </c>
      <c r="AD3612" s="580">
        <f t="shared" si="316"/>
        <v>5</v>
      </c>
      <c r="AE3612" s="580">
        <f t="shared" si="317"/>
        <v>2.5</v>
      </c>
      <c r="AF3612" s="580">
        <f t="shared" si="318"/>
        <v>2.5</v>
      </c>
      <c r="AG3612" s="580">
        <f t="shared" si="319"/>
        <v>0</v>
      </c>
      <c r="AH3612" s="580">
        <f t="shared" si="320"/>
        <v>0</v>
      </c>
    </row>
    <row r="3613" spans="28:34">
      <c r="AB3613" s="580">
        <f>HLOOKUP("*"&amp;'Output annual'!$AC$2&amp;'Output annual'!$AD$2&amp;"*Zone People Number Of Occupants [](Hourly)",'Eplus results'!$1:$1048576,ROW(),FALSE)</f>
        <v>0</v>
      </c>
      <c r="AC3613" s="580">
        <f>HLOOKUP("*"&amp;'Output annual'!$AC$2&amp;'Output annual'!$AD$2&amp;"*FangerPMV(Hourly)",'Eplus results'!$1:$1048576,ROW(),FALSE)</f>
        <v>0</v>
      </c>
      <c r="AD3613" s="580">
        <f t="shared" si="316"/>
        <v>5</v>
      </c>
      <c r="AE3613" s="580">
        <f t="shared" si="317"/>
        <v>2.5</v>
      </c>
      <c r="AF3613" s="580">
        <f t="shared" si="318"/>
        <v>2.5</v>
      </c>
      <c r="AG3613" s="580">
        <f t="shared" si="319"/>
        <v>0</v>
      </c>
      <c r="AH3613" s="580">
        <f t="shared" si="320"/>
        <v>0</v>
      </c>
    </row>
    <row r="3614" spans="28:34">
      <c r="AB3614" s="580">
        <f>HLOOKUP("*"&amp;'Output annual'!$AC$2&amp;'Output annual'!$AD$2&amp;"*Zone People Number Of Occupants [](Hourly)",'Eplus results'!$1:$1048576,ROW(),FALSE)</f>
        <v>0</v>
      </c>
      <c r="AC3614" s="580">
        <f>HLOOKUP("*"&amp;'Output annual'!$AC$2&amp;'Output annual'!$AD$2&amp;"*FangerPMV(Hourly)",'Eplus results'!$1:$1048576,ROW(),FALSE)</f>
        <v>0</v>
      </c>
      <c r="AD3614" s="580">
        <f t="shared" si="316"/>
        <v>5</v>
      </c>
      <c r="AE3614" s="580">
        <f t="shared" si="317"/>
        <v>2.5</v>
      </c>
      <c r="AF3614" s="580">
        <f t="shared" si="318"/>
        <v>2.5</v>
      </c>
      <c r="AG3614" s="580">
        <f t="shared" si="319"/>
        <v>0</v>
      </c>
      <c r="AH3614" s="580">
        <f t="shared" si="320"/>
        <v>0</v>
      </c>
    </row>
    <row r="3615" spans="28:34">
      <c r="AB3615" s="580">
        <f>HLOOKUP("*"&amp;'Output annual'!$AC$2&amp;'Output annual'!$AD$2&amp;"*Zone People Number Of Occupants [](Hourly)",'Eplus results'!$1:$1048576,ROW(),FALSE)</f>
        <v>0</v>
      </c>
      <c r="AC3615" s="580">
        <f>HLOOKUP("*"&amp;'Output annual'!$AC$2&amp;'Output annual'!$AD$2&amp;"*FangerPMV(Hourly)",'Eplus results'!$1:$1048576,ROW(),FALSE)</f>
        <v>0</v>
      </c>
      <c r="AD3615" s="580">
        <f t="shared" si="316"/>
        <v>5</v>
      </c>
      <c r="AE3615" s="580">
        <f t="shared" si="317"/>
        <v>2.5</v>
      </c>
      <c r="AF3615" s="580">
        <f t="shared" si="318"/>
        <v>2.5</v>
      </c>
      <c r="AG3615" s="580">
        <f t="shared" si="319"/>
        <v>0</v>
      </c>
      <c r="AH3615" s="580">
        <f t="shared" si="320"/>
        <v>0</v>
      </c>
    </row>
    <row r="3616" spans="28:34">
      <c r="AB3616" s="580">
        <f>HLOOKUP("*"&amp;'Output annual'!$AC$2&amp;'Output annual'!$AD$2&amp;"*Zone People Number Of Occupants [](Hourly)",'Eplus results'!$1:$1048576,ROW(),FALSE)</f>
        <v>0</v>
      </c>
      <c r="AC3616" s="580">
        <f>HLOOKUP("*"&amp;'Output annual'!$AC$2&amp;'Output annual'!$AD$2&amp;"*FangerPMV(Hourly)",'Eplus results'!$1:$1048576,ROW(),FALSE)</f>
        <v>0</v>
      </c>
      <c r="AD3616" s="580">
        <f t="shared" si="316"/>
        <v>5</v>
      </c>
      <c r="AE3616" s="580">
        <f t="shared" si="317"/>
        <v>2.5</v>
      </c>
      <c r="AF3616" s="580">
        <f t="shared" si="318"/>
        <v>2.5</v>
      </c>
      <c r="AG3616" s="580">
        <f t="shared" si="319"/>
        <v>0</v>
      </c>
      <c r="AH3616" s="580">
        <f t="shared" si="320"/>
        <v>0</v>
      </c>
    </row>
    <row r="3617" spans="28:34">
      <c r="AB3617" s="580">
        <f>HLOOKUP("*"&amp;'Output annual'!$AC$2&amp;'Output annual'!$AD$2&amp;"*Zone People Number Of Occupants [](Hourly)",'Eplus results'!$1:$1048576,ROW(),FALSE)</f>
        <v>0</v>
      </c>
      <c r="AC3617" s="580">
        <f>HLOOKUP("*"&amp;'Output annual'!$AC$2&amp;'Output annual'!$AD$2&amp;"*FangerPMV(Hourly)",'Eplus results'!$1:$1048576,ROW(),FALSE)</f>
        <v>0</v>
      </c>
      <c r="AD3617" s="580">
        <f t="shared" si="316"/>
        <v>5</v>
      </c>
      <c r="AE3617" s="580">
        <f t="shared" si="317"/>
        <v>2.5</v>
      </c>
      <c r="AF3617" s="580">
        <f t="shared" si="318"/>
        <v>2.5</v>
      </c>
      <c r="AG3617" s="580">
        <f t="shared" si="319"/>
        <v>0</v>
      </c>
      <c r="AH3617" s="580">
        <f t="shared" si="320"/>
        <v>0</v>
      </c>
    </row>
    <row r="3618" spans="28:34">
      <c r="AB3618" s="580">
        <f>HLOOKUP("*"&amp;'Output annual'!$AC$2&amp;'Output annual'!$AD$2&amp;"*Zone People Number Of Occupants [](Hourly)",'Eplus results'!$1:$1048576,ROW(),FALSE)</f>
        <v>0</v>
      </c>
      <c r="AC3618" s="580">
        <f>HLOOKUP("*"&amp;'Output annual'!$AC$2&amp;'Output annual'!$AD$2&amp;"*FangerPMV(Hourly)",'Eplus results'!$1:$1048576,ROW(),FALSE)</f>
        <v>0</v>
      </c>
      <c r="AD3618" s="580">
        <f t="shared" si="316"/>
        <v>5</v>
      </c>
      <c r="AE3618" s="580">
        <f t="shared" si="317"/>
        <v>2.5</v>
      </c>
      <c r="AF3618" s="580">
        <f t="shared" si="318"/>
        <v>2.5</v>
      </c>
      <c r="AG3618" s="580">
        <f t="shared" si="319"/>
        <v>0</v>
      </c>
      <c r="AH3618" s="580">
        <f t="shared" si="320"/>
        <v>0</v>
      </c>
    </row>
    <row r="3619" spans="28:34">
      <c r="AB3619" s="580">
        <f>HLOOKUP("*"&amp;'Output annual'!$AC$2&amp;'Output annual'!$AD$2&amp;"*Zone People Number Of Occupants [](Hourly)",'Eplus results'!$1:$1048576,ROW(),FALSE)</f>
        <v>0</v>
      </c>
      <c r="AC3619" s="580">
        <f>HLOOKUP("*"&amp;'Output annual'!$AC$2&amp;'Output annual'!$AD$2&amp;"*FangerPMV(Hourly)",'Eplus results'!$1:$1048576,ROW(),FALSE)</f>
        <v>0</v>
      </c>
      <c r="AD3619" s="580">
        <f t="shared" si="316"/>
        <v>5</v>
      </c>
      <c r="AE3619" s="580">
        <f t="shared" si="317"/>
        <v>2.5</v>
      </c>
      <c r="AF3619" s="580">
        <f t="shared" si="318"/>
        <v>2.5</v>
      </c>
      <c r="AG3619" s="580">
        <f t="shared" si="319"/>
        <v>0</v>
      </c>
      <c r="AH3619" s="580">
        <f t="shared" si="320"/>
        <v>0</v>
      </c>
    </row>
    <row r="3620" spans="28:34">
      <c r="AB3620" s="580">
        <f>HLOOKUP("*"&amp;'Output annual'!$AC$2&amp;'Output annual'!$AD$2&amp;"*Zone People Number Of Occupants [](Hourly)",'Eplus results'!$1:$1048576,ROW(),FALSE)</f>
        <v>0</v>
      </c>
      <c r="AC3620" s="580">
        <f>HLOOKUP("*"&amp;'Output annual'!$AC$2&amp;'Output annual'!$AD$2&amp;"*FangerPMV(Hourly)",'Eplus results'!$1:$1048576,ROW(),FALSE)</f>
        <v>0</v>
      </c>
      <c r="AD3620" s="580">
        <f t="shared" si="316"/>
        <v>5</v>
      </c>
      <c r="AE3620" s="580">
        <f t="shared" si="317"/>
        <v>2.5</v>
      </c>
      <c r="AF3620" s="580">
        <f t="shared" si="318"/>
        <v>2.5</v>
      </c>
      <c r="AG3620" s="580">
        <f t="shared" si="319"/>
        <v>0</v>
      </c>
      <c r="AH3620" s="580">
        <f t="shared" si="320"/>
        <v>0</v>
      </c>
    </row>
    <row r="3621" spans="28:34">
      <c r="AB3621" s="580">
        <f>HLOOKUP("*"&amp;'Output annual'!$AC$2&amp;'Output annual'!$AD$2&amp;"*Zone People Number Of Occupants [](Hourly)",'Eplus results'!$1:$1048576,ROW(),FALSE)</f>
        <v>0</v>
      </c>
      <c r="AC3621" s="580">
        <f>HLOOKUP("*"&amp;'Output annual'!$AC$2&amp;'Output annual'!$AD$2&amp;"*FangerPMV(Hourly)",'Eplus results'!$1:$1048576,ROW(),FALSE)</f>
        <v>0</v>
      </c>
      <c r="AD3621" s="580">
        <f t="shared" si="316"/>
        <v>5</v>
      </c>
      <c r="AE3621" s="580">
        <f t="shared" si="317"/>
        <v>2.5</v>
      </c>
      <c r="AF3621" s="580">
        <f t="shared" si="318"/>
        <v>2.5</v>
      </c>
      <c r="AG3621" s="580">
        <f t="shared" si="319"/>
        <v>0</v>
      </c>
      <c r="AH3621" s="580">
        <f t="shared" si="320"/>
        <v>0</v>
      </c>
    </row>
    <row r="3622" spans="28:34">
      <c r="AB3622" s="580">
        <f>HLOOKUP("*"&amp;'Output annual'!$AC$2&amp;'Output annual'!$AD$2&amp;"*Zone People Number Of Occupants [](Hourly)",'Eplus results'!$1:$1048576,ROW(),FALSE)</f>
        <v>0</v>
      </c>
      <c r="AC3622" s="580">
        <f>HLOOKUP("*"&amp;'Output annual'!$AC$2&amp;'Output annual'!$AD$2&amp;"*FangerPMV(Hourly)",'Eplus results'!$1:$1048576,ROW(),FALSE)</f>
        <v>0</v>
      </c>
      <c r="AD3622" s="580">
        <f t="shared" si="316"/>
        <v>5</v>
      </c>
      <c r="AE3622" s="580">
        <f t="shared" si="317"/>
        <v>2.5</v>
      </c>
      <c r="AF3622" s="580">
        <f t="shared" si="318"/>
        <v>2.5</v>
      </c>
      <c r="AG3622" s="580">
        <f t="shared" si="319"/>
        <v>0</v>
      </c>
      <c r="AH3622" s="580">
        <f t="shared" si="320"/>
        <v>0</v>
      </c>
    </row>
    <row r="3623" spans="28:34">
      <c r="AB3623" s="580">
        <f>HLOOKUP("*"&amp;'Output annual'!$AC$2&amp;'Output annual'!$AD$2&amp;"*Zone People Number Of Occupants [](Hourly)",'Eplus results'!$1:$1048576,ROW(),FALSE)</f>
        <v>0</v>
      </c>
      <c r="AC3623" s="580">
        <f>HLOOKUP("*"&amp;'Output annual'!$AC$2&amp;'Output annual'!$AD$2&amp;"*FangerPMV(Hourly)",'Eplus results'!$1:$1048576,ROW(),FALSE)</f>
        <v>0</v>
      </c>
      <c r="AD3623" s="580">
        <f t="shared" si="316"/>
        <v>5</v>
      </c>
      <c r="AE3623" s="580">
        <f t="shared" si="317"/>
        <v>2.5</v>
      </c>
      <c r="AF3623" s="580">
        <f t="shared" si="318"/>
        <v>2.5</v>
      </c>
      <c r="AG3623" s="580">
        <f t="shared" si="319"/>
        <v>0</v>
      </c>
      <c r="AH3623" s="580">
        <f t="shared" si="320"/>
        <v>0</v>
      </c>
    </row>
    <row r="3624" spans="28:34">
      <c r="AB3624" s="580">
        <f>HLOOKUP("*"&amp;'Output annual'!$AC$2&amp;'Output annual'!$AD$2&amp;"*Zone People Number Of Occupants [](Hourly)",'Eplus results'!$1:$1048576,ROW(),FALSE)</f>
        <v>0</v>
      </c>
      <c r="AC3624" s="580">
        <f>HLOOKUP("*"&amp;'Output annual'!$AC$2&amp;'Output annual'!$AD$2&amp;"*FangerPMV(Hourly)",'Eplus results'!$1:$1048576,ROW(),FALSE)</f>
        <v>0</v>
      </c>
      <c r="AD3624" s="580">
        <f t="shared" si="316"/>
        <v>5</v>
      </c>
      <c r="AE3624" s="580">
        <f t="shared" si="317"/>
        <v>2.5</v>
      </c>
      <c r="AF3624" s="580">
        <f t="shared" si="318"/>
        <v>2.5</v>
      </c>
      <c r="AG3624" s="580">
        <f t="shared" si="319"/>
        <v>0</v>
      </c>
      <c r="AH3624" s="580">
        <f t="shared" si="320"/>
        <v>0</v>
      </c>
    </row>
    <row r="3625" spans="28:34">
      <c r="AB3625" s="580">
        <f>HLOOKUP("*"&amp;'Output annual'!$AC$2&amp;'Output annual'!$AD$2&amp;"*Zone People Number Of Occupants [](Hourly)",'Eplus results'!$1:$1048576,ROW(),FALSE)</f>
        <v>0</v>
      </c>
      <c r="AC3625" s="580">
        <f>HLOOKUP("*"&amp;'Output annual'!$AC$2&amp;'Output annual'!$AD$2&amp;"*FangerPMV(Hourly)",'Eplus results'!$1:$1048576,ROW(),FALSE)</f>
        <v>0</v>
      </c>
      <c r="AD3625" s="580">
        <f t="shared" si="316"/>
        <v>5</v>
      </c>
      <c r="AE3625" s="580">
        <f t="shared" si="317"/>
        <v>2.5</v>
      </c>
      <c r="AF3625" s="580">
        <f t="shared" si="318"/>
        <v>2.5</v>
      </c>
      <c r="AG3625" s="580">
        <f t="shared" si="319"/>
        <v>0</v>
      </c>
      <c r="AH3625" s="580">
        <f t="shared" si="320"/>
        <v>0</v>
      </c>
    </row>
    <row r="3626" spans="28:34">
      <c r="AB3626" s="580">
        <f>HLOOKUP("*"&amp;'Output annual'!$AC$2&amp;'Output annual'!$AD$2&amp;"*Zone People Number Of Occupants [](Hourly)",'Eplus results'!$1:$1048576,ROW(),FALSE)</f>
        <v>0</v>
      </c>
      <c r="AC3626" s="580">
        <f>HLOOKUP("*"&amp;'Output annual'!$AC$2&amp;'Output annual'!$AD$2&amp;"*FangerPMV(Hourly)",'Eplus results'!$1:$1048576,ROW(),FALSE)</f>
        <v>0</v>
      </c>
      <c r="AD3626" s="580">
        <f t="shared" si="316"/>
        <v>5</v>
      </c>
      <c r="AE3626" s="580">
        <f t="shared" si="317"/>
        <v>2.5</v>
      </c>
      <c r="AF3626" s="580">
        <f t="shared" si="318"/>
        <v>2.5</v>
      </c>
      <c r="AG3626" s="580">
        <f t="shared" si="319"/>
        <v>0</v>
      </c>
      <c r="AH3626" s="580">
        <f t="shared" si="320"/>
        <v>0</v>
      </c>
    </row>
    <row r="3627" spans="28:34">
      <c r="AB3627" s="580">
        <f>HLOOKUP("*"&amp;'Output annual'!$AC$2&amp;'Output annual'!$AD$2&amp;"*Zone People Number Of Occupants [](Hourly)",'Eplus results'!$1:$1048576,ROW(),FALSE)</f>
        <v>0</v>
      </c>
      <c r="AC3627" s="580">
        <f>HLOOKUP("*"&amp;'Output annual'!$AC$2&amp;'Output annual'!$AD$2&amp;"*FangerPMV(Hourly)",'Eplus results'!$1:$1048576,ROW(),FALSE)</f>
        <v>0</v>
      </c>
      <c r="AD3627" s="580">
        <f t="shared" si="316"/>
        <v>5</v>
      </c>
      <c r="AE3627" s="580">
        <f t="shared" si="317"/>
        <v>2.5</v>
      </c>
      <c r="AF3627" s="580">
        <f t="shared" si="318"/>
        <v>2.5</v>
      </c>
      <c r="AG3627" s="580">
        <f t="shared" si="319"/>
        <v>0</v>
      </c>
      <c r="AH3627" s="580">
        <f t="shared" si="320"/>
        <v>0</v>
      </c>
    </row>
    <row r="3628" spans="28:34">
      <c r="AB3628" s="580">
        <f>HLOOKUP("*"&amp;'Output annual'!$AC$2&amp;'Output annual'!$AD$2&amp;"*Zone People Number Of Occupants [](Hourly)",'Eplus results'!$1:$1048576,ROW(),FALSE)</f>
        <v>0</v>
      </c>
      <c r="AC3628" s="580">
        <f>HLOOKUP("*"&amp;'Output annual'!$AC$2&amp;'Output annual'!$AD$2&amp;"*FangerPMV(Hourly)",'Eplus results'!$1:$1048576,ROW(),FALSE)</f>
        <v>0</v>
      </c>
      <c r="AD3628" s="580">
        <f t="shared" si="316"/>
        <v>5</v>
      </c>
      <c r="AE3628" s="580">
        <f t="shared" si="317"/>
        <v>2.5</v>
      </c>
      <c r="AF3628" s="580">
        <f t="shared" si="318"/>
        <v>2.5</v>
      </c>
      <c r="AG3628" s="580">
        <f t="shared" si="319"/>
        <v>0</v>
      </c>
      <c r="AH3628" s="580">
        <f t="shared" si="320"/>
        <v>0</v>
      </c>
    </row>
    <row r="3629" spans="28:34">
      <c r="AB3629" s="580">
        <f>HLOOKUP("*"&amp;'Output annual'!$AC$2&amp;'Output annual'!$AD$2&amp;"*Zone People Number Of Occupants [](Hourly)",'Eplus results'!$1:$1048576,ROW(),FALSE)</f>
        <v>0</v>
      </c>
      <c r="AC3629" s="580">
        <f>HLOOKUP("*"&amp;'Output annual'!$AC$2&amp;'Output annual'!$AD$2&amp;"*FangerPMV(Hourly)",'Eplus results'!$1:$1048576,ROW(),FALSE)</f>
        <v>0</v>
      </c>
      <c r="AD3629" s="580">
        <f t="shared" si="316"/>
        <v>5</v>
      </c>
      <c r="AE3629" s="580">
        <f t="shared" si="317"/>
        <v>2.5</v>
      </c>
      <c r="AF3629" s="580">
        <f t="shared" si="318"/>
        <v>2.5</v>
      </c>
      <c r="AG3629" s="580">
        <f t="shared" si="319"/>
        <v>0</v>
      </c>
      <c r="AH3629" s="580">
        <f t="shared" si="320"/>
        <v>0</v>
      </c>
    </row>
    <row r="3630" spans="28:34">
      <c r="AB3630" s="580">
        <f>HLOOKUP("*"&amp;'Output annual'!$AC$2&amp;'Output annual'!$AD$2&amp;"*Zone People Number Of Occupants [](Hourly)",'Eplus results'!$1:$1048576,ROW(),FALSE)</f>
        <v>0</v>
      </c>
      <c r="AC3630" s="580">
        <f>HLOOKUP("*"&amp;'Output annual'!$AC$2&amp;'Output annual'!$AD$2&amp;"*FangerPMV(Hourly)",'Eplus results'!$1:$1048576,ROW(),FALSE)</f>
        <v>0</v>
      </c>
      <c r="AD3630" s="580">
        <f t="shared" si="316"/>
        <v>5</v>
      </c>
      <c r="AE3630" s="580">
        <f t="shared" si="317"/>
        <v>2.5</v>
      </c>
      <c r="AF3630" s="580">
        <f t="shared" si="318"/>
        <v>2.5</v>
      </c>
      <c r="AG3630" s="580">
        <f t="shared" si="319"/>
        <v>0</v>
      </c>
      <c r="AH3630" s="580">
        <f t="shared" si="320"/>
        <v>0</v>
      </c>
    </row>
    <row r="3631" spans="28:34">
      <c r="AB3631" s="580">
        <f>HLOOKUP("*"&amp;'Output annual'!$AC$2&amp;'Output annual'!$AD$2&amp;"*Zone People Number Of Occupants [](Hourly)",'Eplus results'!$1:$1048576,ROW(),FALSE)</f>
        <v>0</v>
      </c>
      <c r="AC3631" s="580">
        <f>HLOOKUP("*"&amp;'Output annual'!$AC$2&amp;'Output annual'!$AD$2&amp;"*FangerPMV(Hourly)",'Eplus results'!$1:$1048576,ROW(),FALSE)</f>
        <v>0</v>
      </c>
      <c r="AD3631" s="580">
        <f t="shared" si="316"/>
        <v>5</v>
      </c>
      <c r="AE3631" s="580">
        <f t="shared" si="317"/>
        <v>2.5</v>
      </c>
      <c r="AF3631" s="580">
        <f t="shared" si="318"/>
        <v>2.5</v>
      </c>
      <c r="AG3631" s="580">
        <f t="shared" si="319"/>
        <v>0</v>
      </c>
      <c r="AH3631" s="580">
        <f t="shared" si="320"/>
        <v>0</v>
      </c>
    </row>
    <row r="3632" spans="28:34">
      <c r="AB3632" s="580">
        <f>HLOOKUP("*"&amp;'Output annual'!$AC$2&amp;'Output annual'!$AD$2&amp;"*Zone People Number Of Occupants [](Hourly)",'Eplus results'!$1:$1048576,ROW(),FALSE)</f>
        <v>0</v>
      </c>
      <c r="AC3632" s="580">
        <f>HLOOKUP("*"&amp;'Output annual'!$AC$2&amp;'Output annual'!$AD$2&amp;"*FangerPMV(Hourly)",'Eplus results'!$1:$1048576,ROW(),FALSE)</f>
        <v>0</v>
      </c>
      <c r="AD3632" s="580">
        <f t="shared" si="316"/>
        <v>5</v>
      </c>
      <c r="AE3632" s="580">
        <f t="shared" si="317"/>
        <v>2.5</v>
      </c>
      <c r="AF3632" s="580">
        <f t="shared" si="318"/>
        <v>2.5</v>
      </c>
      <c r="AG3632" s="580">
        <f t="shared" si="319"/>
        <v>0</v>
      </c>
      <c r="AH3632" s="580">
        <f t="shared" si="320"/>
        <v>0</v>
      </c>
    </row>
    <row r="3633" spans="28:34">
      <c r="AB3633" s="580">
        <f>HLOOKUP("*"&amp;'Output annual'!$AC$2&amp;'Output annual'!$AD$2&amp;"*Zone People Number Of Occupants [](Hourly)",'Eplus results'!$1:$1048576,ROW(),FALSE)</f>
        <v>0</v>
      </c>
      <c r="AC3633" s="580">
        <f>HLOOKUP("*"&amp;'Output annual'!$AC$2&amp;'Output annual'!$AD$2&amp;"*FangerPMV(Hourly)",'Eplus results'!$1:$1048576,ROW(),FALSE)</f>
        <v>0</v>
      </c>
      <c r="AD3633" s="580">
        <f t="shared" si="316"/>
        <v>5</v>
      </c>
      <c r="AE3633" s="580">
        <f t="shared" si="317"/>
        <v>2.5</v>
      </c>
      <c r="AF3633" s="580">
        <f t="shared" si="318"/>
        <v>2.5</v>
      </c>
      <c r="AG3633" s="580">
        <f t="shared" si="319"/>
        <v>0</v>
      </c>
      <c r="AH3633" s="580">
        <f t="shared" si="320"/>
        <v>0</v>
      </c>
    </row>
    <row r="3634" spans="28:34">
      <c r="AB3634" s="580">
        <f>HLOOKUP("*"&amp;'Output annual'!$AC$2&amp;'Output annual'!$AD$2&amp;"*Zone People Number Of Occupants [](Hourly)",'Eplus results'!$1:$1048576,ROW(),FALSE)</f>
        <v>0</v>
      </c>
      <c r="AC3634" s="580">
        <f>HLOOKUP("*"&amp;'Output annual'!$AC$2&amp;'Output annual'!$AD$2&amp;"*FangerPMV(Hourly)",'Eplus results'!$1:$1048576,ROW(),FALSE)</f>
        <v>0</v>
      </c>
      <c r="AD3634" s="580">
        <f t="shared" si="316"/>
        <v>5</v>
      </c>
      <c r="AE3634" s="580">
        <f t="shared" si="317"/>
        <v>2.5</v>
      </c>
      <c r="AF3634" s="580">
        <f t="shared" si="318"/>
        <v>2.5</v>
      </c>
      <c r="AG3634" s="580">
        <f t="shared" si="319"/>
        <v>0</v>
      </c>
      <c r="AH3634" s="580">
        <f t="shared" si="320"/>
        <v>0</v>
      </c>
    </row>
    <row r="3635" spans="28:34">
      <c r="AB3635" s="580">
        <f>HLOOKUP("*"&amp;'Output annual'!$AC$2&amp;'Output annual'!$AD$2&amp;"*Zone People Number Of Occupants [](Hourly)",'Eplus results'!$1:$1048576,ROW(),FALSE)</f>
        <v>0</v>
      </c>
      <c r="AC3635" s="580">
        <f>HLOOKUP("*"&amp;'Output annual'!$AC$2&amp;'Output annual'!$AD$2&amp;"*FangerPMV(Hourly)",'Eplus results'!$1:$1048576,ROW(),FALSE)</f>
        <v>0</v>
      </c>
      <c r="AD3635" s="580">
        <f t="shared" si="316"/>
        <v>5</v>
      </c>
      <c r="AE3635" s="580">
        <f t="shared" si="317"/>
        <v>2.5</v>
      </c>
      <c r="AF3635" s="580">
        <f t="shared" si="318"/>
        <v>2.5</v>
      </c>
      <c r="AG3635" s="580">
        <f t="shared" si="319"/>
        <v>0</v>
      </c>
      <c r="AH3635" s="580">
        <f t="shared" si="320"/>
        <v>0</v>
      </c>
    </row>
    <row r="3636" spans="28:34">
      <c r="AB3636" s="580">
        <f>HLOOKUP("*"&amp;'Output annual'!$AC$2&amp;'Output annual'!$AD$2&amp;"*Zone People Number Of Occupants [](Hourly)",'Eplus results'!$1:$1048576,ROW(),FALSE)</f>
        <v>0</v>
      </c>
      <c r="AC3636" s="580">
        <f>HLOOKUP("*"&amp;'Output annual'!$AC$2&amp;'Output annual'!$AD$2&amp;"*FangerPMV(Hourly)",'Eplus results'!$1:$1048576,ROW(),FALSE)</f>
        <v>0</v>
      </c>
      <c r="AD3636" s="580">
        <f t="shared" si="316"/>
        <v>5</v>
      </c>
      <c r="AE3636" s="580">
        <f t="shared" si="317"/>
        <v>2.5</v>
      </c>
      <c r="AF3636" s="580">
        <f t="shared" si="318"/>
        <v>2.5</v>
      </c>
      <c r="AG3636" s="580">
        <f t="shared" si="319"/>
        <v>0</v>
      </c>
      <c r="AH3636" s="580">
        <f t="shared" si="320"/>
        <v>0</v>
      </c>
    </row>
    <row r="3637" spans="28:34">
      <c r="AB3637" s="580">
        <f>HLOOKUP("*"&amp;'Output annual'!$AC$2&amp;'Output annual'!$AD$2&amp;"*Zone People Number Of Occupants [](Hourly)",'Eplus results'!$1:$1048576,ROW(),FALSE)</f>
        <v>0</v>
      </c>
      <c r="AC3637" s="580">
        <f>HLOOKUP("*"&amp;'Output annual'!$AC$2&amp;'Output annual'!$AD$2&amp;"*FangerPMV(Hourly)",'Eplus results'!$1:$1048576,ROW(),FALSE)</f>
        <v>0</v>
      </c>
      <c r="AD3637" s="580">
        <f t="shared" si="316"/>
        <v>5</v>
      </c>
      <c r="AE3637" s="580">
        <f t="shared" si="317"/>
        <v>2.5</v>
      </c>
      <c r="AF3637" s="580">
        <f t="shared" si="318"/>
        <v>2.5</v>
      </c>
      <c r="AG3637" s="580">
        <f t="shared" si="319"/>
        <v>0</v>
      </c>
      <c r="AH3637" s="580">
        <f t="shared" si="320"/>
        <v>0</v>
      </c>
    </row>
    <row r="3638" spans="28:34">
      <c r="AB3638" s="580">
        <f>HLOOKUP("*"&amp;'Output annual'!$AC$2&amp;'Output annual'!$AD$2&amp;"*Zone People Number Of Occupants [](Hourly)",'Eplus results'!$1:$1048576,ROW(),FALSE)</f>
        <v>0</v>
      </c>
      <c r="AC3638" s="580">
        <f>HLOOKUP("*"&amp;'Output annual'!$AC$2&amp;'Output annual'!$AD$2&amp;"*FangerPMV(Hourly)",'Eplus results'!$1:$1048576,ROW(),FALSE)</f>
        <v>0</v>
      </c>
      <c r="AD3638" s="580">
        <f t="shared" si="316"/>
        <v>5</v>
      </c>
      <c r="AE3638" s="580">
        <f t="shared" si="317"/>
        <v>2.5</v>
      </c>
      <c r="AF3638" s="580">
        <f t="shared" si="318"/>
        <v>2.5</v>
      </c>
      <c r="AG3638" s="580">
        <f t="shared" si="319"/>
        <v>0</v>
      </c>
      <c r="AH3638" s="580">
        <f t="shared" si="320"/>
        <v>0</v>
      </c>
    </row>
    <row r="3639" spans="28:34">
      <c r="AB3639" s="580">
        <f>HLOOKUP("*"&amp;'Output annual'!$AC$2&amp;'Output annual'!$AD$2&amp;"*Zone People Number Of Occupants [](Hourly)",'Eplus results'!$1:$1048576,ROW(),FALSE)</f>
        <v>0</v>
      </c>
      <c r="AC3639" s="580">
        <f>HLOOKUP("*"&amp;'Output annual'!$AC$2&amp;'Output annual'!$AD$2&amp;"*FangerPMV(Hourly)",'Eplus results'!$1:$1048576,ROW(),FALSE)</f>
        <v>0</v>
      </c>
      <c r="AD3639" s="580">
        <f t="shared" si="316"/>
        <v>5</v>
      </c>
      <c r="AE3639" s="580">
        <f t="shared" si="317"/>
        <v>2.5</v>
      </c>
      <c r="AF3639" s="580">
        <f t="shared" si="318"/>
        <v>2.5</v>
      </c>
      <c r="AG3639" s="580">
        <f t="shared" si="319"/>
        <v>0</v>
      </c>
      <c r="AH3639" s="580">
        <f t="shared" si="320"/>
        <v>0</v>
      </c>
    </row>
    <row r="3640" spans="28:34">
      <c r="AB3640" s="580">
        <f>HLOOKUP("*"&amp;'Output annual'!$AC$2&amp;'Output annual'!$AD$2&amp;"*Zone People Number Of Occupants [](Hourly)",'Eplus results'!$1:$1048576,ROW(),FALSE)</f>
        <v>0</v>
      </c>
      <c r="AC3640" s="580">
        <f>HLOOKUP("*"&amp;'Output annual'!$AC$2&amp;'Output annual'!$AD$2&amp;"*FangerPMV(Hourly)",'Eplus results'!$1:$1048576,ROW(),FALSE)</f>
        <v>0</v>
      </c>
      <c r="AD3640" s="580">
        <f t="shared" si="316"/>
        <v>5</v>
      </c>
      <c r="AE3640" s="580">
        <f t="shared" si="317"/>
        <v>2.5</v>
      </c>
      <c r="AF3640" s="580">
        <f t="shared" si="318"/>
        <v>2.5</v>
      </c>
      <c r="AG3640" s="580">
        <f t="shared" si="319"/>
        <v>0</v>
      </c>
      <c r="AH3640" s="580">
        <f t="shared" si="320"/>
        <v>0</v>
      </c>
    </row>
    <row r="3641" spans="28:34">
      <c r="AB3641" s="580">
        <f>HLOOKUP("*"&amp;'Output annual'!$AC$2&amp;'Output annual'!$AD$2&amp;"*Zone People Number Of Occupants [](Hourly)",'Eplus results'!$1:$1048576,ROW(),FALSE)</f>
        <v>0</v>
      </c>
      <c r="AC3641" s="580">
        <f>HLOOKUP("*"&amp;'Output annual'!$AC$2&amp;'Output annual'!$AD$2&amp;"*FangerPMV(Hourly)",'Eplus results'!$1:$1048576,ROW(),FALSE)</f>
        <v>0</v>
      </c>
      <c r="AD3641" s="580">
        <f t="shared" si="316"/>
        <v>5</v>
      </c>
      <c r="AE3641" s="580">
        <f t="shared" si="317"/>
        <v>2.5</v>
      </c>
      <c r="AF3641" s="580">
        <f t="shared" si="318"/>
        <v>2.5</v>
      </c>
      <c r="AG3641" s="580">
        <f t="shared" si="319"/>
        <v>0</v>
      </c>
      <c r="AH3641" s="580">
        <f t="shared" si="320"/>
        <v>0</v>
      </c>
    </row>
    <row r="3642" spans="28:34">
      <c r="AB3642" s="580">
        <f>HLOOKUP("*"&amp;'Output annual'!$AC$2&amp;'Output annual'!$AD$2&amp;"*Zone People Number Of Occupants [](Hourly)",'Eplus results'!$1:$1048576,ROW(),FALSE)</f>
        <v>0</v>
      </c>
      <c r="AC3642" s="580">
        <f>HLOOKUP("*"&amp;'Output annual'!$AC$2&amp;'Output annual'!$AD$2&amp;"*FangerPMV(Hourly)",'Eplus results'!$1:$1048576,ROW(),FALSE)</f>
        <v>0</v>
      </c>
      <c r="AD3642" s="580">
        <f t="shared" si="316"/>
        <v>5</v>
      </c>
      <c r="AE3642" s="580">
        <f t="shared" si="317"/>
        <v>2.5</v>
      </c>
      <c r="AF3642" s="580">
        <f t="shared" si="318"/>
        <v>2.5</v>
      </c>
      <c r="AG3642" s="580">
        <f t="shared" si="319"/>
        <v>0</v>
      </c>
      <c r="AH3642" s="580">
        <f t="shared" si="320"/>
        <v>0</v>
      </c>
    </row>
    <row r="3643" spans="28:34">
      <c r="AB3643" s="580">
        <f>HLOOKUP("*"&amp;'Output annual'!$AC$2&amp;'Output annual'!$AD$2&amp;"*Zone People Number Of Occupants [](Hourly)",'Eplus results'!$1:$1048576,ROW(),FALSE)</f>
        <v>0</v>
      </c>
      <c r="AC3643" s="580">
        <f>HLOOKUP("*"&amp;'Output annual'!$AC$2&amp;'Output annual'!$AD$2&amp;"*FangerPMV(Hourly)",'Eplus results'!$1:$1048576,ROW(),FALSE)</f>
        <v>0</v>
      </c>
      <c r="AD3643" s="580">
        <f t="shared" si="316"/>
        <v>5</v>
      </c>
      <c r="AE3643" s="580">
        <f t="shared" si="317"/>
        <v>2.5</v>
      </c>
      <c r="AF3643" s="580">
        <f t="shared" si="318"/>
        <v>2.5</v>
      </c>
      <c r="AG3643" s="580">
        <f t="shared" si="319"/>
        <v>0</v>
      </c>
      <c r="AH3643" s="580">
        <f t="shared" si="320"/>
        <v>0</v>
      </c>
    </row>
    <row r="3644" spans="28:34">
      <c r="AB3644" s="580">
        <f>HLOOKUP("*"&amp;'Output annual'!$AC$2&amp;'Output annual'!$AD$2&amp;"*Zone People Number Of Occupants [](Hourly)",'Eplus results'!$1:$1048576,ROW(),FALSE)</f>
        <v>0</v>
      </c>
      <c r="AC3644" s="580">
        <f>HLOOKUP("*"&amp;'Output annual'!$AC$2&amp;'Output annual'!$AD$2&amp;"*FangerPMV(Hourly)",'Eplus results'!$1:$1048576,ROW(),FALSE)</f>
        <v>0</v>
      </c>
      <c r="AD3644" s="580">
        <f t="shared" si="316"/>
        <v>5</v>
      </c>
      <c r="AE3644" s="580">
        <f t="shared" si="317"/>
        <v>2.5</v>
      </c>
      <c r="AF3644" s="580">
        <f t="shared" si="318"/>
        <v>2.5</v>
      </c>
      <c r="AG3644" s="580">
        <f t="shared" si="319"/>
        <v>0</v>
      </c>
      <c r="AH3644" s="580">
        <f t="shared" si="320"/>
        <v>0</v>
      </c>
    </row>
    <row r="3645" spans="28:34">
      <c r="AB3645" s="580">
        <f>HLOOKUP("*"&amp;'Output annual'!$AC$2&amp;'Output annual'!$AD$2&amp;"*Zone People Number Of Occupants [](Hourly)",'Eplus results'!$1:$1048576,ROW(),FALSE)</f>
        <v>0</v>
      </c>
      <c r="AC3645" s="580">
        <f>HLOOKUP("*"&amp;'Output annual'!$AC$2&amp;'Output annual'!$AD$2&amp;"*FangerPMV(Hourly)",'Eplus results'!$1:$1048576,ROW(),FALSE)</f>
        <v>0</v>
      </c>
      <c r="AD3645" s="580">
        <f t="shared" si="316"/>
        <v>5</v>
      </c>
      <c r="AE3645" s="580">
        <f t="shared" si="317"/>
        <v>2.5</v>
      </c>
      <c r="AF3645" s="580">
        <f t="shared" si="318"/>
        <v>2.5</v>
      </c>
      <c r="AG3645" s="580">
        <f t="shared" si="319"/>
        <v>0</v>
      </c>
      <c r="AH3645" s="580">
        <f t="shared" si="320"/>
        <v>0</v>
      </c>
    </row>
    <row r="3646" spans="28:34">
      <c r="AB3646" s="580">
        <f>HLOOKUP("*"&amp;'Output annual'!$AC$2&amp;'Output annual'!$AD$2&amp;"*Zone People Number Of Occupants [](Hourly)",'Eplus results'!$1:$1048576,ROW(),FALSE)</f>
        <v>0</v>
      </c>
      <c r="AC3646" s="580">
        <f>HLOOKUP("*"&amp;'Output annual'!$AC$2&amp;'Output annual'!$AD$2&amp;"*FangerPMV(Hourly)",'Eplus results'!$1:$1048576,ROW(),FALSE)</f>
        <v>0</v>
      </c>
      <c r="AD3646" s="580">
        <f t="shared" si="316"/>
        <v>5</v>
      </c>
      <c r="AE3646" s="580">
        <f t="shared" si="317"/>
        <v>2.5</v>
      </c>
      <c r="AF3646" s="580">
        <f t="shared" si="318"/>
        <v>2.5</v>
      </c>
      <c r="AG3646" s="580">
        <f t="shared" si="319"/>
        <v>0</v>
      </c>
      <c r="AH3646" s="580">
        <f t="shared" si="320"/>
        <v>0</v>
      </c>
    </row>
    <row r="3647" spans="28:34">
      <c r="AB3647" s="580">
        <f>HLOOKUP("*"&amp;'Output annual'!$AC$2&amp;'Output annual'!$AD$2&amp;"*Zone People Number Of Occupants [](Hourly)",'Eplus results'!$1:$1048576,ROW(),FALSE)</f>
        <v>0</v>
      </c>
      <c r="AC3647" s="580">
        <f>HLOOKUP("*"&amp;'Output annual'!$AC$2&amp;'Output annual'!$AD$2&amp;"*FangerPMV(Hourly)",'Eplus results'!$1:$1048576,ROW(),FALSE)</f>
        <v>0</v>
      </c>
      <c r="AD3647" s="580">
        <f t="shared" si="316"/>
        <v>5</v>
      </c>
      <c r="AE3647" s="580">
        <f t="shared" si="317"/>
        <v>2.5</v>
      </c>
      <c r="AF3647" s="580">
        <f t="shared" si="318"/>
        <v>2.5</v>
      </c>
      <c r="AG3647" s="580">
        <f t="shared" si="319"/>
        <v>0</v>
      </c>
      <c r="AH3647" s="580">
        <f t="shared" si="320"/>
        <v>0</v>
      </c>
    </row>
    <row r="3648" spans="28:34">
      <c r="AB3648" s="580">
        <f>HLOOKUP("*"&amp;'Output annual'!$AC$2&amp;'Output annual'!$AD$2&amp;"*Zone People Number Of Occupants [](Hourly)",'Eplus results'!$1:$1048576,ROW(),FALSE)</f>
        <v>0</v>
      </c>
      <c r="AC3648" s="580">
        <f>HLOOKUP("*"&amp;'Output annual'!$AC$2&amp;'Output annual'!$AD$2&amp;"*FangerPMV(Hourly)",'Eplus results'!$1:$1048576,ROW(),FALSE)</f>
        <v>0</v>
      </c>
      <c r="AD3648" s="580">
        <f t="shared" si="316"/>
        <v>5</v>
      </c>
      <c r="AE3648" s="580">
        <f t="shared" si="317"/>
        <v>2.5</v>
      </c>
      <c r="AF3648" s="580">
        <f t="shared" si="318"/>
        <v>2.5</v>
      </c>
      <c r="AG3648" s="580">
        <f t="shared" si="319"/>
        <v>0</v>
      </c>
      <c r="AH3648" s="580">
        <f t="shared" si="320"/>
        <v>0</v>
      </c>
    </row>
    <row r="3649" spans="28:34">
      <c r="AB3649" s="580">
        <f>HLOOKUP("*"&amp;'Output annual'!$AC$2&amp;'Output annual'!$AD$2&amp;"*Zone People Number Of Occupants [](Hourly)",'Eplus results'!$1:$1048576,ROW(),FALSE)</f>
        <v>0</v>
      </c>
      <c r="AC3649" s="580">
        <f>HLOOKUP("*"&amp;'Output annual'!$AC$2&amp;'Output annual'!$AD$2&amp;"*FangerPMV(Hourly)",'Eplus results'!$1:$1048576,ROW(),FALSE)</f>
        <v>0</v>
      </c>
      <c r="AD3649" s="580">
        <f t="shared" si="316"/>
        <v>5</v>
      </c>
      <c r="AE3649" s="580">
        <f t="shared" si="317"/>
        <v>2.5</v>
      </c>
      <c r="AF3649" s="580">
        <f t="shared" si="318"/>
        <v>2.5</v>
      </c>
      <c r="AG3649" s="580">
        <f t="shared" si="319"/>
        <v>0</v>
      </c>
      <c r="AH3649" s="580">
        <f t="shared" si="320"/>
        <v>0</v>
      </c>
    </row>
    <row r="3650" spans="28:34">
      <c r="AB3650" s="580">
        <f>HLOOKUP("*"&amp;'Output annual'!$AC$2&amp;'Output annual'!$AD$2&amp;"*Zone People Number Of Occupants [](Hourly)",'Eplus results'!$1:$1048576,ROW(),FALSE)</f>
        <v>0</v>
      </c>
      <c r="AC3650" s="580">
        <f>HLOOKUP("*"&amp;'Output annual'!$AC$2&amp;'Output annual'!$AD$2&amp;"*FangerPMV(Hourly)",'Eplus results'!$1:$1048576,ROW(),FALSE)</f>
        <v>0</v>
      </c>
      <c r="AD3650" s="580">
        <f t="shared" si="316"/>
        <v>5</v>
      </c>
      <c r="AE3650" s="580">
        <f t="shared" si="317"/>
        <v>2.5</v>
      </c>
      <c r="AF3650" s="580">
        <f t="shared" si="318"/>
        <v>2.5</v>
      </c>
      <c r="AG3650" s="580">
        <f t="shared" si="319"/>
        <v>0</v>
      </c>
      <c r="AH3650" s="580">
        <f t="shared" si="320"/>
        <v>0</v>
      </c>
    </row>
    <row r="3651" spans="28:34">
      <c r="AB3651" s="580">
        <f>HLOOKUP("*"&amp;'Output annual'!$AC$2&amp;'Output annual'!$AD$2&amp;"*Zone People Number Of Occupants [](Hourly)",'Eplus results'!$1:$1048576,ROW(),FALSE)</f>
        <v>0</v>
      </c>
      <c r="AC3651" s="580">
        <f>HLOOKUP("*"&amp;'Output annual'!$AC$2&amp;'Output annual'!$AD$2&amp;"*FangerPMV(Hourly)",'Eplus results'!$1:$1048576,ROW(),FALSE)</f>
        <v>0</v>
      </c>
      <c r="AD3651" s="580">
        <f t="shared" ref="AD3651:AD3714" si="321">100-95*EXP(-0.03353*AC3651^4-0.2179*AC3651^2)</f>
        <v>5</v>
      </c>
      <c r="AE3651" s="580">
        <f t="shared" ref="AE3651:AE3714" si="322">AD3651*(1/(1+EXP(-6.3*$AC3651)))</f>
        <v>2.5</v>
      </c>
      <c r="AF3651" s="580">
        <f t="shared" ref="AF3651:AF3714" si="323">(AD3651-AE3651)</f>
        <v>2.5</v>
      </c>
      <c r="AG3651" s="580">
        <f t="shared" ref="AG3651:AG3714" si="324">AE3651*AB3651</f>
        <v>0</v>
      </c>
      <c r="AH3651" s="580">
        <f t="shared" ref="AH3651:AH3714" si="325">AF3651*AB3651</f>
        <v>0</v>
      </c>
    </row>
    <row r="3652" spans="28:34">
      <c r="AB3652" s="580">
        <f>HLOOKUP("*"&amp;'Output annual'!$AC$2&amp;'Output annual'!$AD$2&amp;"*Zone People Number Of Occupants [](Hourly)",'Eplus results'!$1:$1048576,ROW(),FALSE)</f>
        <v>0</v>
      </c>
      <c r="AC3652" s="580">
        <f>HLOOKUP("*"&amp;'Output annual'!$AC$2&amp;'Output annual'!$AD$2&amp;"*FangerPMV(Hourly)",'Eplus results'!$1:$1048576,ROW(),FALSE)</f>
        <v>0</v>
      </c>
      <c r="AD3652" s="580">
        <f t="shared" si="321"/>
        <v>5</v>
      </c>
      <c r="AE3652" s="580">
        <f t="shared" si="322"/>
        <v>2.5</v>
      </c>
      <c r="AF3652" s="580">
        <f t="shared" si="323"/>
        <v>2.5</v>
      </c>
      <c r="AG3652" s="580">
        <f t="shared" si="324"/>
        <v>0</v>
      </c>
      <c r="AH3652" s="580">
        <f t="shared" si="325"/>
        <v>0</v>
      </c>
    </row>
    <row r="3653" spans="28:34">
      <c r="AB3653" s="580">
        <f>HLOOKUP("*"&amp;'Output annual'!$AC$2&amp;'Output annual'!$AD$2&amp;"*Zone People Number Of Occupants [](Hourly)",'Eplus results'!$1:$1048576,ROW(),FALSE)</f>
        <v>0</v>
      </c>
      <c r="AC3653" s="580">
        <f>HLOOKUP("*"&amp;'Output annual'!$AC$2&amp;'Output annual'!$AD$2&amp;"*FangerPMV(Hourly)",'Eplus results'!$1:$1048576,ROW(),FALSE)</f>
        <v>0</v>
      </c>
      <c r="AD3653" s="580">
        <f t="shared" si="321"/>
        <v>5</v>
      </c>
      <c r="AE3653" s="580">
        <f t="shared" si="322"/>
        <v>2.5</v>
      </c>
      <c r="AF3653" s="580">
        <f t="shared" si="323"/>
        <v>2.5</v>
      </c>
      <c r="AG3653" s="580">
        <f t="shared" si="324"/>
        <v>0</v>
      </c>
      <c r="AH3653" s="580">
        <f t="shared" si="325"/>
        <v>0</v>
      </c>
    </row>
    <row r="3654" spans="28:34">
      <c r="AB3654" s="580">
        <f>HLOOKUP("*"&amp;'Output annual'!$AC$2&amp;'Output annual'!$AD$2&amp;"*Zone People Number Of Occupants [](Hourly)",'Eplus results'!$1:$1048576,ROW(),FALSE)</f>
        <v>0</v>
      </c>
      <c r="AC3654" s="580">
        <f>HLOOKUP("*"&amp;'Output annual'!$AC$2&amp;'Output annual'!$AD$2&amp;"*FangerPMV(Hourly)",'Eplus results'!$1:$1048576,ROW(),FALSE)</f>
        <v>0</v>
      </c>
      <c r="AD3654" s="580">
        <f t="shared" si="321"/>
        <v>5</v>
      </c>
      <c r="AE3654" s="580">
        <f t="shared" si="322"/>
        <v>2.5</v>
      </c>
      <c r="AF3654" s="580">
        <f t="shared" si="323"/>
        <v>2.5</v>
      </c>
      <c r="AG3654" s="580">
        <f t="shared" si="324"/>
        <v>0</v>
      </c>
      <c r="AH3654" s="580">
        <f t="shared" si="325"/>
        <v>0</v>
      </c>
    </row>
    <row r="3655" spans="28:34">
      <c r="AB3655" s="580">
        <f>HLOOKUP("*"&amp;'Output annual'!$AC$2&amp;'Output annual'!$AD$2&amp;"*Zone People Number Of Occupants [](Hourly)",'Eplus results'!$1:$1048576,ROW(),FALSE)</f>
        <v>0</v>
      </c>
      <c r="AC3655" s="580">
        <f>HLOOKUP("*"&amp;'Output annual'!$AC$2&amp;'Output annual'!$AD$2&amp;"*FangerPMV(Hourly)",'Eplus results'!$1:$1048576,ROW(),FALSE)</f>
        <v>0</v>
      </c>
      <c r="AD3655" s="580">
        <f t="shared" si="321"/>
        <v>5</v>
      </c>
      <c r="AE3655" s="580">
        <f t="shared" si="322"/>
        <v>2.5</v>
      </c>
      <c r="AF3655" s="580">
        <f t="shared" si="323"/>
        <v>2.5</v>
      </c>
      <c r="AG3655" s="580">
        <f t="shared" si="324"/>
        <v>0</v>
      </c>
      <c r="AH3655" s="580">
        <f t="shared" si="325"/>
        <v>0</v>
      </c>
    </row>
    <row r="3656" spans="28:34">
      <c r="AB3656" s="580">
        <f>HLOOKUP("*"&amp;'Output annual'!$AC$2&amp;'Output annual'!$AD$2&amp;"*Zone People Number Of Occupants [](Hourly)",'Eplus results'!$1:$1048576,ROW(),FALSE)</f>
        <v>0</v>
      </c>
      <c r="AC3656" s="580">
        <f>HLOOKUP("*"&amp;'Output annual'!$AC$2&amp;'Output annual'!$AD$2&amp;"*FangerPMV(Hourly)",'Eplus results'!$1:$1048576,ROW(),FALSE)</f>
        <v>0</v>
      </c>
      <c r="AD3656" s="580">
        <f t="shared" si="321"/>
        <v>5</v>
      </c>
      <c r="AE3656" s="580">
        <f t="shared" si="322"/>
        <v>2.5</v>
      </c>
      <c r="AF3656" s="580">
        <f t="shared" si="323"/>
        <v>2.5</v>
      </c>
      <c r="AG3656" s="580">
        <f t="shared" si="324"/>
        <v>0</v>
      </c>
      <c r="AH3656" s="580">
        <f t="shared" si="325"/>
        <v>0</v>
      </c>
    </row>
    <row r="3657" spans="28:34">
      <c r="AB3657" s="580">
        <f>HLOOKUP("*"&amp;'Output annual'!$AC$2&amp;'Output annual'!$AD$2&amp;"*Zone People Number Of Occupants [](Hourly)",'Eplus results'!$1:$1048576,ROW(),FALSE)</f>
        <v>0</v>
      </c>
      <c r="AC3657" s="580">
        <f>HLOOKUP("*"&amp;'Output annual'!$AC$2&amp;'Output annual'!$AD$2&amp;"*FangerPMV(Hourly)",'Eplus results'!$1:$1048576,ROW(),FALSE)</f>
        <v>0</v>
      </c>
      <c r="AD3657" s="580">
        <f t="shared" si="321"/>
        <v>5</v>
      </c>
      <c r="AE3657" s="580">
        <f t="shared" si="322"/>
        <v>2.5</v>
      </c>
      <c r="AF3657" s="580">
        <f t="shared" si="323"/>
        <v>2.5</v>
      </c>
      <c r="AG3657" s="580">
        <f t="shared" si="324"/>
        <v>0</v>
      </c>
      <c r="AH3657" s="580">
        <f t="shared" si="325"/>
        <v>0</v>
      </c>
    </row>
    <row r="3658" spans="28:34">
      <c r="AB3658" s="580">
        <f>HLOOKUP("*"&amp;'Output annual'!$AC$2&amp;'Output annual'!$AD$2&amp;"*Zone People Number Of Occupants [](Hourly)",'Eplus results'!$1:$1048576,ROW(),FALSE)</f>
        <v>0</v>
      </c>
      <c r="AC3658" s="580">
        <f>HLOOKUP("*"&amp;'Output annual'!$AC$2&amp;'Output annual'!$AD$2&amp;"*FangerPMV(Hourly)",'Eplus results'!$1:$1048576,ROW(),FALSE)</f>
        <v>0</v>
      </c>
      <c r="AD3658" s="580">
        <f t="shared" si="321"/>
        <v>5</v>
      </c>
      <c r="AE3658" s="580">
        <f t="shared" si="322"/>
        <v>2.5</v>
      </c>
      <c r="AF3658" s="580">
        <f t="shared" si="323"/>
        <v>2.5</v>
      </c>
      <c r="AG3658" s="580">
        <f t="shared" si="324"/>
        <v>0</v>
      </c>
      <c r="AH3658" s="580">
        <f t="shared" si="325"/>
        <v>0</v>
      </c>
    </row>
    <row r="3659" spans="28:34">
      <c r="AB3659" s="580">
        <f>HLOOKUP("*"&amp;'Output annual'!$AC$2&amp;'Output annual'!$AD$2&amp;"*Zone People Number Of Occupants [](Hourly)",'Eplus results'!$1:$1048576,ROW(),FALSE)</f>
        <v>0</v>
      </c>
      <c r="AC3659" s="580">
        <f>HLOOKUP("*"&amp;'Output annual'!$AC$2&amp;'Output annual'!$AD$2&amp;"*FangerPMV(Hourly)",'Eplus results'!$1:$1048576,ROW(),FALSE)</f>
        <v>0</v>
      </c>
      <c r="AD3659" s="580">
        <f t="shared" si="321"/>
        <v>5</v>
      </c>
      <c r="AE3659" s="580">
        <f t="shared" si="322"/>
        <v>2.5</v>
      </c>
      <c r="AF3659" s="580">
        <f t="shared" si="323"/>
        <v>2.5</v>
      </c>
      <c r="AG3659" s="580">
        <f t="shared" si="324"/>
        <v>0</v>
      </c>
      <c r="AH3659" s="580">
        <f t="shared" si="325"/>
        <v>0</v>
      </c>
    </row>
    <row r="3660" spans="28:34">
      <c r="AB3660" s="580">
        <f>HLOOKUP("*"&amp;'Output annual'!$AC$2&amp;'Output annual'!$AD$2&amp;"*Zone People Number Of Occupants [](Hourly)",'Eplus results'!$1:$1048576,ROW(),FALSE)</f>
        <v>0</v>
      </c>
      <c r="AC3660" s="580">
        <f>HLOOKUP("*"&amp;'Output annual'!$AC$2&amp;'Output annual'!$AD$2&amp;"*FangerPMV(Hourly)",'Eplus results'!$1:$1048576,ROW(),FALSE)</f>
        <v>0</v>
      </c>
      <c r="AD3660" s="580">
        <f t="shared" si="321"/>
        <v>5</v>
      </c>
      <c r="AE3660" s="580">
        <f t="shared" si="322"/>
        <v>2.5</v>
      </c>
      <c r="AF3660" s="580">
        <f t="shared" si="323"/>
        <v>2.5</v>
      </c>
      <c r="AG3660" s="580">
        <f t="shared" si="324"/>
        <v>0</v>
      </c>
      <c r="AH3660" s="580">
        <f t="shared" si="325"/>
        <v>0</v>
      </c>
    </row>
    <row r="3661" spans="28:34">
      <c r="AB3661" s="580">
        <f>HLOOKUP("*"&amp;'Output annual'!$AC$2&amp;'Output annual'!$AD$2&amp;"*Zone People Number Of Occupants [](Hourly)",'Eplus results'!$1:$1048576,ROW(),FALSE)</f>
        <v>0</v>
      </c>
      <c r="AC3661" s="580">
        <f>HLOOKUP("*"&amp;'Output annual'!$AC$2&amp;'Output annual'!$AD$2&amp;"*FangerPMV(Hourly)",'Eplus results'!$1:$1048576,ROW(),FALSE)</f>
        <v>0</v>
      </c>
      <c r="AD3661" s="580">
        <f t="shared" si="321"/>
        <v>5</v>
      </c>
      <c r="AE3661" s="580">
        <f t="shared" si="322"/>
        <v>2.5</v>
      </c>
      <c r="AF3661" s="580">
        <f t="shared" si="323"/>
        <v>2.5</v>
      </c>
      <c r="AG3661" s="580">
        <f t="shared" si="324"/>
        <v>0</v>
      </c>
      <c r="AH3661" s="580">
        <f t="shared" si="325"/>
        <v>0</v>
      </c>
    </row>
    <row r="3662" spans="28:34">
      <c r="AB3662" s="580">
        <f>HLOOKUP("*"&amp;'Output annual'!$AC$2&amp;'Output annual'!$AD$2&amp;"*Zone People Number Of Occupants [](Hourly)",'Eplus results'!$1:$1048576,ROW(),FALSE)</f>
        <v>0</v>
      </c>
      <c r="AC3662" s="580">
        <f>HLOOKUP("*"&amp;'Output annual'!$AC$2&amp;'Output annual'!$AD$2&amp;"*FangerPMV(Hourly)",'Eplus results'!$1:$1048576,ROW(),FALSE)</f>
        <v>0</v>
      </c>
      <c r="AD3662" s="580">
        <f t="shared" si="321"/>
        <v>5</v>
      </c>
      <c r="AE3662" s="580">
        <f t="shared" si="322"/>
        <v>2.5</v>
      </c>
      <c r="AF3662" s="580">
        <f t="shared" si="323"/>
        <v>2.5</v>
      </c>
      <c r="AG3662" s="580">
        <f t="shared" si="324"/>
        <v>0</v>
      </c>
      <c r="AH3662" s="580">
        <f t="shared" si="325"/>
        <v>0</v>
      </c>
    </row>
    <row r="3663" spans="28:34">
      <c r="AB3663" s="580">
        <f>HLOOKUP("*"&amp;'Output annual'!$AC$2&amp;'Output annual'!$AD$2&amp;"*Zone People Number Of Occupants [](Hourly)",'Eplus results'!$1:$1048576,ROW(),FALSE)</f>
        <v>0</v>
      </c>
      <c r="AC3663" s="580">
        <f>HLOOKUP("*"&amp;'Output annual'!$AC$2&amp;'Output annual'!$AD$2&amp;"*FangerPMV(Hourly)",'Eplus results'!$1:$1048576,ROW(),FALSE)</f>
        <v>0</v>
      </c>
      <c r="AD3663" s="580">
        <f t="shared" si="321"/>
        <v>5</v>
      </c>
      <c r="AE3663" s="580">
        <f t="shared" si="322"/>
        <v>2.5</v>
      </c>
      <c r="AF3663" s="580">
        <f t="shared" si="323"/>
        <v>2.5</v>
      </c>
      <c r="AG3663" s="580">
        <f t="shared" si="324"/>
        <v>0</v>
      </c>
      <c r="AH3663" s="580">
        <f t="shared" si="325"/>
        <v>0</v>
      </c>
    </row>
    <row r="3664" spans="28:34">
      <c r="AB3664" s="580">
        <f>HLOOKUP("*"&amp;'Output annual'!$AC$2&amp;'Output annual'!$AD$2&amp;"*Zone People Number Of Occupants [](Hourly)",'Eplus results'!$1:$1048576,ROW(),FALSE)</f>
        <v>0</v>
      </c>
      <c r="AC3664" s="580">
        <f>HLOOKUP("*"&amp;'Output annual'!$AC$2&amp;'Output annual'!$AD$2&amp;"*FangerPMV(Hourly)",'Eplus results'!$1:$1048576,ROW(),FALSE)</f>
        <v>0</v>
      </c>
      <c r="AD3664" s="580">
        <f t="shared" si="321"/>
        <v>5</v>
      </c>
      <c r="AE3664" s="580">
        <f t="shared" si="322"/>
        <v>2.5</v>
      </c>
      <c r="AF3664" s="580">
        <f t="shared" si="323"/>
        <v>2.5</v>
      </c>
      <c r="AG3664" s="580">
        <f t="shared" si="324"/>
        <v>0</v>
      </c>
      <c r="AH3664" s="580">
        <f t="shared" si="325"/>
        <v>0</v>
      </c>
    </row>
    <row r="3665" spans="28:34">
      <c r="AB3665" s="580">
        <f>HLOOKUP("*"&amp;'Output annual'!$AC$2&amp;'Output annual'!$AD$2&amp;"*Zone People Number Of Occupants [](Hourly)",'Eplus results'!$1:$1048576,ROW(),FALSE)</f>
        <v>0</v>
      </c>
      <c r="AC3665" s="580">
        <f>HLOOKUP("*"&amp;'Output annual'!$AC$2&amp;'Output annual'!$AD$2&amp;"*FangerPMV(Hourly)",'Eplus results'!$1:$1048576,ROW(),FALSE)</f>
        <v>0</v>
      </c>
      <c r="AD3665" s="580">
        <f t="shared" si="321"/>
        <v>5</v>
      </c>
      <c r="AE3665" s="580">
        <f t="shared" si="322"/>
        <v>2.5</v>
      </c>
      <c r="AF3665" s="580">
        <f t="shared" si="323"/>
        <v>2.5</v>
      </c>
      <c r="AG3665" s="580">
        <f t="shared" si="324"/>
        <v>0</v>
      </c>
      <c r="AH3665" s="580">
        <f t="shared" si="325"/>
        <v>0</v>
      </c>
    </row>
    <row r="3666" spans="28:34">
      <c r="AB3666" s="580">
        <f>HLOOKUP("*"&amp;'Output annual'!$AC$2&amp;'Output annual'!$AD$2&amp;"*Zone People Number Of Occupants [](Hourly)",'Eplus results'!$1:$1048576,ROW(),FALSE)</f>
        <v>0</v>
      </c>
      <c r="AC3666" s="580">
        <f>HLOOKUP("*"&amp;'Output annual'!$AC$2&amp;'Output annual'!$AD$2&amp;"*FangerPMV(Hourly)",'Eplus results'!$1:$1048576,ROW(),FALSE)</f>
        <v>0</v>
      </c>
      <c r="AD3666" s="580">
        <f t="shared" si="321"/>
        <v>5</v>
      </c>
      <c r="AE3666" s="580">
        <f t="shared" si="322"/>
        <v>2.5</v>
      </c>
      <c r="AF3666" s="580">
        <f t="shared" si="323"/>
        <v>2.5</v>
      </c>
      <c r="AG3666" s="580">
        <f t="shared" si="324"/>
        <v>0</v>
      </c>
      <c r="AH3666" s="580">
        <f t="shared" si="325"/>
        <v>0</v>
      </c>
    </row>
    <row r="3667" spans="28:34">
      <c r="AB3667" s="580">
        <f>HLOOKUP("*"&amp;'Output annual'!$AC$2&amp;'Output annual'!$AD$2&amp;"*Zone People Number Of Occupants [](Hourly)",'Eplus results'!$1:$1048576,ROW(),FALSE)</f>
        <v>0</v>
      </c>
      <c r="AC3667" s="580">
        <f>HLOOKUP("*"&amp;'Output annual'!$AC$2&amp;'Output annual'!$AD$2&amp;"*FangerPMV(Hourly)",'Eplus results'!$1:$1048576,ROW(),FALSE)</f>
        <v>0</v>
      </c>
      <c r="AD3667" s="580">
        <f t="shared" si="321"/>
        <v>5</v>
      </c>
      <c r="AE3667" s="580">
        <f t="shared" si="322"/>
        <v>2.5</v>
      </c>
      <c r="AF3667" s="580">
        <f t="shared" si="323"/>
        <v>2.5</v>
      </c>
      <c r="AG3667" s="580">
        <f t="shared" si="324"/>
        <v>0</v>
      </c>
      <c r="AH3667" s="580">
        <f t="shared" si="325"/>
        <v>0</v>
      </c>
    </row>
    <row r="3668" spans="28:34">
      <c r="AB3668" s="580">
        <f>HLOOKUP("*"&amp;'Output annual'!$AC$2&amp;'Output annual'!$AD$2&amp;"*Zone People Number Of Occupants [](Hourly)",'Eplus results'!$1:$1048576,ROW(),FALSE)</f>
        <v>0</v>
      </c>
      <c r="AC3668" s="580">
        <f>HLOOKUP("*"&amp;'Output annual'!$AC$2&amp;'Output annual'!$AD$2&amp;"*FangerPMV(Hourly)",'Eplus results'!$1:$1048576,ROW(),FALSE)</f>
        <v>0</v>
      </c>
      <c r="AD3668" s="580">
        <f t="shared" si="321"/>
        <v>5</v>
      </c>
      <c r="AE3668" s="580">
        <f t="shared" si="322"/>
        <v>2.5</v>
      </c>
      <c r="AF3668" s="580">
        <f t="shared" si="323"/>
        <v>2.5</v>
      </c>
      <c r="AG3668" s="580">
        <f t="shared" si="324"/>
        <v>0</v>
      </c>
      <c r="AH3668" s="580">
        <f t="shared" si="325"/>
        <v>0</v>
      </c>
    </row>
    <row r="3669" spans="28:34">
      <c r="AB3669" s="580">
        <f>HLOOKUP("*"&amp;'Output annual'!$AC$2&amp;'Output annual'!$AD$2&amp;"*Zone People Number Of Occupants [](Hourly)",'Eplus results'!$1:$1048576,ROW(),FALSE)</f>
        <v>0</v>
      </c>
      <c r="AC3669" s="580">
        <f>HLOOKUP("*"&amp;'Output annual'!$AC$2&amp;'Output annual'!$AD$2&amp;"*FangerPMV(Hourly)",'Eplus results'!$1:$1048576,ROW(),FALSE)</f>
        <v>0</v>
      </c>
      <c r="AD3669" s="580">
        <f t="shared" si="321"/>
        <v>5</v>
      </c>
      <c r="AE3669" s="580">
        <f t="shared" si="322"/>
        <v>2.5</v>
      </c>
      <c r="AF3669" s="580">
        <f t="shared" si="323"/>
        <v>2.5</v>
      </c>
      <c r="AG3669" s="580">
        <f t="shared" si="324"/>
        <v>0</v>
      </c>
      <c r="AH3669" s="580">
        <f t="shared" si="325"/>
        <v>0</v>
      </c>
    </row>
    <row r="3670" spans="28:34">
      <c r="AB3670" s="580">
        <f>HLOOKUP("*"&amp;'Output annual'!$AC$2&amp;'Output annual'!$AD$2&amp;"*Zone People Number Of Occupants [](Hourly)",'Eplus results'!$1:$1048576,ROW(),FALSE)</f>
        <v>0</v>
      </c>
      <c r="AC3670" s="580">
        <f>HLOOKUP("*"&amp;'Output annual'!$AC$2&amp;'Output annual'!$AD$2&amp;"*FangerPMV(Hourly)",'Eplus results'!$1:$1048576,ROW(),FALSE)</f>
        <v>0</v>
      </c>
      <c r="AD3670" s="580">
        <f t="shared" si="321"/>
        <v>5</v>
      </c>
      <c r="AE3670" s="580">
        <f t="shared" si="322"/>
        <v>2.5</v>
      </c>
      <c r="AF3670" s="580">
        <f t="shared" si="323"/>
        <v>2.5</v>
      </c>
      <c r="AG3670" s="580">
        <f t="shared" si="324"/>
        <v>0</v>
      </c>
      <c r="AH3670" s="580">
        <f t="shared" si="325"/>
        <v>0</v>
      </c>
    </row>
    <row r="3671" spans="28:34">
      <c r="AB3671" s="580">
        <f>HLOOKUP("*"&amp;'Output annual'!$AC$2&amp;'Output annual'!$AD$2&amp;"*Zone People Number Of Occupants [](Hourly)",'Eplus results'!$1:$1048576,ROW(),FALSE)</f>
        <v>0</v>
      </c>
      <c r="AC3671" s="580">
        <f>HLOOKUP("*"&amp;'Output annual'!$AC$2&amp;'Output annual'!$AD$2&amp;"*FangerPMV(Hourly)",'Eplus results'!$1:$1048576,ROW(),FALSE)</f>
        <v>0</v>
      </c>
      <c r="AD3671" s="580">
        <f t="shared" si="321"/>
        <v>5</v>
      </c>
      <c r="AE3671" s="580">
        <f t="shared" si="322"/>
        <v>2.5</v>
      </c>
      <c r="AF3671" s="580">
        <f t="shared" si="323"/>
        <v>2.5</v>
      </c>
      <c r="AG3671" s="580">
        <f t="shared" si="324"/>
        <v>0</v>
      </c>
      <c r="AH3671" s="580">
        <f t="shared" si="325"/>
        <v>0</v>
      </c>
    </row>
    <row r="3672" spans="28:34">
      <c r="AB3672" s="580">
        <f>HLOOKUP("*"&amp;'Output annual'!$AC$2&amp;'Output annual'!$AD$2&amp;"*Zone People Number Of Occupants [](Hourly)",'Eplus results'!$1:$1048576,ROW(),FALSE)</f>
        <v>0</v>
      </c>
      <c r="AC3672" s="580">
        <f>HLOOKUP("*"&amp;'Output annual'!$AC$2&amp;'Output annual'!$AD$2&amp;"*FangerPMV(Hourly)",'Eplus results'!$1:$1048576,ROW(),FALSE)</f>
        <v>0</v>
      </c>
      <c r="AD3672" s="580">
        <f t="shared" si="321"/>
        <v>5</v>
      </c>
      <c r="AE3672" s="580">
        <f t="shared" si="322"/>
        <v>2.5</v>
      </c>
      <c r="AF3672" s="580">
        <f t="shared" si="323"/>
        <v>2.5</v>
      </c>
      <c r="AG3672" s="580">
        <f t="shared" si="324"/>
        <v>0</v>
      </c>
      <c r="AH3672" s="580">
        <f t="shared" si="325"/>
        <v>0</v>
      </c>
    </row>
    <row r="3673" spans="28:34">
      <c r="AB3673" s="580">
        <f>HLOOKUP("*"&amp;'Output annual'!$AC$2&amp;'Output annual'!$AD$2&amp;"*Zone People Number Of Occupants [](Hourly)",'Eplus results'!$1:$1048576,ROW(),FALSE)</f>
        <v>0</v>
      </c>
      <c r="AC3673" s="580">
        <f>HLOOKUP("*"&amp;'Output annual'!$AC$2&amp;'Output annual'!$AD$2&amp;"*FangerPMV(Hourly)",'Eplus results'!$1:$1048576,ROW(),FALSE)</f>
        <v>0</v>
      </c>
      <c r="AD3673" s="580">
        <f t="shared" si="321"/>
        <v>5</v>
      </c>
      <c r="AE3673" s="580">
        <f t="shared" si="322"/>
        <v>2.5</v>
      </c>
      <c r="AF3673" s="580">
        <f t="shared" si="323"/>
        <v>2.5</v>
      </c>
      <c r="AG3673" s="580">
        <f t="shared" si="324"/>
        <v>0</v>
      </c>
      <c r="AH3673" s="580">
        <f t="shared" si="325"/>
        <v>0</v>
      </c>
    </row>
    <row r="3674" spans="28:34">
      <c r="AB3674" s="580">
        <f>HLOOKUP("*"&amp;'Output annual'!$AC$2&amp;'Output annual'!$AD$2&amp;"*Zone People Number Of Occupants [](Hourly)",'Eplus results'!$1:$1048576,ROW(),FALSE)</f>
        <v>0</v>
      </c>
      <c r="AC3674" s="580">
        <f>HLOOKUP("*"&amp;'Output annual'!$AC$2&amp;'Output annual'!$AD$2&amp;"*FangerPMV(Hourly)",'Eplus results'!$1:$1048576,ROW(),FALSE)</f>
        <v>0</v>
      </c>
      <c r="AD3674" s="580">
        <f t="shared" si="321"/>
        <v>5</v>
      </c>
      <c r="AE3674" s="580">
        <f t="shared" si="322"/>
        <v>2.5</v>
      </c>
      <c r="AF3674" s="580">
        <f t="shared" si="323"/>
        <v>2.5</v>
      </c>
      <c r="AG3674" s="580">
        <f t="shared" si="324"/>
        <v>0</v>
      </c>
      <c r="AH3674" s="580">
        <f t="shared" si="325"/>
        <v>0</v>
      </c>
    </row>
    <row r="3675" spans="28:34">
      <c r="AB3675" s="580">
        <f>HLOOKUP("*"&amp;'Output annual'!$AC$2&amp;'Output annual'!$AD$2&amp;"*Zone People Number Of Occupants [](Hourly)",'Eplus results'!$1:$1048576,ROW(),FALSE)</f>
        <v>0</v>
      </c>
      <c r="AC3675" s="580">
        <f>HLOOKUP("*"&amp;'Output annual'!$AC$2&amp;'Output annual'!$AD$2&amp;"*FangerPMV(Hourly)",'Eplus results'!$1:$1048576,ROW(),FALSE)</f>
        <v>0</v>
      </c>
      <c r="AD3675" s="580">
        <f t="shared" si="321"/>
        <v>5</v>
      </c>
      <c r="AE3675" s="580">
        <f t="shared" si="322"/>
        <v>2.5</v>
      </c>
      <c r="AF3675" s="580">
        <f t="shared" si="323"/>
        <v>2.5</v>
      </c>
      <c r="AG3675" s="580">
        <f t="shared" si="324"/>
        <v>0</v>
      </c>
      <c r="AH3675" s="580">
        <f t="shared" si="325"/>
        <v>0</v>
      </c>
    </row>
    <row r="3676" spans="28:34">
      <c r="AB3676" s="580">
        <f>HLOOKUP("*"&amp;'Output annual'!$AC$2&amp;'Output annual'!$AD$2&amp;"*Zone People Number Of Occupants [](Hourly)",'Eplus results'!$1:$1048576,ROW(),FALSE)</f>
        <v>0</v>
      </c>
      <c r="AC3676" s="580">
        <f>HLOOKUP("*"&amp;'Output annual'!$AC$2&amp;'Output annual'!$AD$2&amp;"*FangerPMV(Hourly)",'Eplus results'!$1:$1048576,ROW(),FALSE)</f>
        <v>0</v>
      </c>
      <c r="AD3676" s="580">
        <f t="shared" si="321"/>
        <v>5</v>
      </c>
      <c r="AE3676" s="580">
        <f t="shared" si="322"/>
        <v>2.5</v>
      </c>
      <c r="AF3676" s="580">
        <f t="shared" si="323"/>
        <v>2.5</v>
      </c>
      <c r="AG3676" s="580">
        <f t="shared" si="324"/>
        <v>0</v>
      </c>
      <c r="AH3676" s="580">
        <f t="shared" si="325"/>
        <v>0</v>
      </c>
    </row>
    <row r="3677" spans="28:34">
      <c r="AB3677" s="580">
        <f>HLOOKUP("*"&amp;'Output annual'!$AC$2&amp;'Output annual'!$AD$2&amp;"*Zone People Number Of Occupants [](Hourly)",'Eplus results'!$1:$1048576,ROW(),FALSE)</f>
        <v>0</v>
      </c>
      <c r="AC3677" s="580">
        <f>HLOOKUP("*"&amp;'Output annual'!$AC$2&amp;'Output annual'!$AD$2&amp;"*FangerPMV(Hourly)",'Eplus results'!$1:$1048576,ROW(),FALSE)</f>
        <v>0</v>
      </c>
      <c r="AD3677" s="580">
        <f t="shared" si="321"/>
        <v>5</v>
      </c>
      <c r="AE3677" s="580">
        <f t="shared" si="322"/>
        <v>2.5</v>
      </c>
      <c r="AF3677" s="580">
        <f t="shared" si="323"/>
        <v>2.5</v>
      </c>
      <c r="AG3677" s="580">
        <f t="shared" si="324"/>
        <v>0</v>
      </c>
      <c r="AH3677" s="580">
        <f t="shared" si="325"/>
        <v>0</v>
      </c>
    </row>
    <row r="3678" spans="28:34">
      <c r="AB3678" s="580">
        <f>HLOOKUP("*"&amp;'Output annual'!$AC$2&amp;'Output annual'!$AD$2&amp;"*Zone People Number Of Occupants [](Hourly)",'Eplus results'!$1:$1048576,ROW(),FALSE)</f>
        <v>0</v>
      </c>
      <c r="AC3678" s="580">
        <f>HLOOKUP("*"&amp;'Output annual'!$AC$2&amp;'Output annual'!$AD$2&amp;"*FangerPMV(Hourly)",'Eplus results'!$1:$1048576,ROW(),FALSE)</f>
        <v>0</v>
      </c>
      <c r="AD3678" s="580">
        <f t="shared" si="321"/>
        <v>5</v>
      </c>
      <c r="AE3678" s="580">
        <f t="shared" si="322"/>
        <v>2.5</v>
      </c>
      <c r="AF3678" s="580">
        <f t="shared" si="323"/>
        <v>2.5</v>
      </c>
      <c r="AG3678" s="580">
        <f t="shared" si="324"/>
        <v>0</v>
      </c>
      <c r="AH3678" s="580">
        <f t="shared" si="325"/>
        <v>0</v>
      </c>
    </row>
    <row r="3679" spans="28:34">
      <c r="AB3679" s="580">
        <f>HLOOKUP("*"&amp;'Output annual'!$AC$2&amp;'Output annual'!$AD$2&amp;"*Zone People Number Of Occupants [](Hourly)",'Eplus results'!$1:$1048576,ROW(),FALSE)</f>
        <v>0</v>
      </c>
      <c r="AC3679" s="580">
        <f>HLOOKUP("*"&amp;'Output annual'!$AC$2&amp;'Output annual'!$AD$2&amp;"*FangerPMV(Hourly)",'Eplus results'!$1:$1048576,ROW(),FALSE)</f>
        <v>0</v>
      </c>
      <c r="AD3679" s="580">
        <f t="shared" si="321"/>
        <v>5</v>
      </c>
      <c r="AE3679" s="580">
        <f t="shared" si="322"/>
        <v>2.5</v>
      </c>
      <c r="AF3679" s="580">
        <f t="shared" si="323"/>
        <v>2.5</v>
      </c>
      <c r="AG3679" s="580">
        <f t="shared" si="324"/>
        <v>0</v>
      </c>
      <c r="AH3679" s="580">
        <f t="shared" si="325"/>
        <v>0</v>
      </c>
    </row>
    <row r="3680" spans="28:34">
      <c r="AB3680" s="580">
        <f>HLOOKUP("*"&amp;'Output annual'!$AC$2&amp;'Output annual'!$AD$2&amp;"*Zone People Number Of Occupants [](Hourly)",'Eplus results'!$1:$1048576,ROW(),FALSE)</f>
        <v>0</v>
      </c>
      <c r="AC3680" s="580">
        <f>HLOOKUP("*"&amp;'Output annual'!$AC$2&amp;'Output annual'!$AD$2&amp;"*FangerPMV(Hourly)",'Eplus results'!$1:$1048576,ROW(),FALSE)</f>
        <v>0</v>
      </c>
      <c r="AD3680" s="580">
        <f t="shared" si="321"/>
        <v>5</v>
      </c>
      <c r="AE3680" s="580">
        <f t="shared" si="322"/>
        <v>2.5</v>
      </c>
      <c r="AF3680" s="580">
        <f t="shared" si="323"/>
        <v>2.5</v>
      </c>
      <c r="AG3680" s="580">
        <f t="shared" si="324"/>
        <v>0</v>
      </c>
      <c r="AH3680" s="580">
        <f t="shared" si="325"/>
        <v>0</v>
      </c>
    </row>
    <row r="3681" spans="28:34">
      <c r="AB3681" s="580">
        <f>HLOOKUP("*"&amp;'Output annual'!$AC$2&amp;'Output annual'!$AD$2&amp;"*Zone People Number Of Occupants [](Hourly)",'Eplus results'!$1:$1048576,ROW(),FALSE)</f>
        <v>0</v>
      </c>
      <c r="AC3681" s="580">
        <f>HLOOKUP("*"&amp;'Output annual'!$AC$2&amp;'Output annual'!$AD$2&amp;"*FangerPMV(Hourly)",'Eplus results'!$1:$1048576,ROW(),FALSE)</f>
        <v>0</v>
      </c>
      <c r="AD3681" s="580">
        <f t="shared" si="321"/>
        <v>5</v>
      </c>
      <c r="AE3681" s="580">
        <f t="shared" si="322"/>
        <v>2.5</v>
      </c>
      <c r="AF3681" s="580">
        <f t="shared" si="323"/>
        <v>2.5</v>
      </c>
      <c r="AG3681" s="580">
        <f t="shared" si="324"/>
        <v>0</v>
      </c>
      <c r="AH3681" s="580">
        <f t="shared" si="325"/>
        <v>0</v>
      </c>
    </row>
    <row r="3682" spans="28:34">
      <c r="AB3682" s="580">
        <f>HLOOKUP("*"&amp;'Output annual'!$AC$2&amp;'Output annual'!$AD$2&amp;"*Zone People Number Of Occupants [](Hourly)",'Eplus results'!$1:$1048576,ROW(),FALSE)</f>
        <v>0</v>
      </c>
      <c r="AC3682" s="580">
        <f>HLOOKUP("*"&amp;'Output annual'!$AC$2&amp;'Output annual'!$AD$2&amp;"*FangerPMV(Hourly)",'Eplus results'!$1:$1048576,ROW(),FALSE)</f>
        <v>0</v>
      </c>
      <c r="AD3682" s="580">
        <f t="shared" si="321"/>
        <v>5</v>
      </c>
      <c r="AE3682" s="580">
        <f t="shared" si="322"/>
        <v>2.5</v>
      </c>
      <c r="AF3682" s="580">
        <f t="shared" si="323"/>
        <v>2.5</v>
      </c>
      <c r="AG3682" s="580">
        <f t="shared" si="324"/>
        <v>0</v>
      </c>
      <c r="AH3682" s="580">
        <f t="shared" si="325"/>
        <v>0</v>
      </c>
    </row>
    <row r="3683" spans="28:34">
      <c r="AB3683" s="580">
        <f>HLOOKUP("*"&amp;'Output annual'!$AC$2&amp;'Output annual'!$AD$2&amp;"*Zone People Number Of Occupants [](Hourly)",'Eplus results'!$1:$1048576,ROW(),FALSE)</f>
        <v>0</v>
      </c>
      <c r="AC3683" s="580">
        <f>HLOOKUP("*"&amp;'Output annual'!$AC$2&amp;'Output annual'!$AD$2&amp;"*FangerPMV(Hourly)",'Eplus results'!$1:$1048576,ROW(),FALSE)</f>
        <v>0</v>
      </c>
      <c r="AD3683" s="580">
        <f t="shared" si="321"/>
        <v>5</v>
      </c>
      <c r="AE3683" s="580">
        <f t="shared" si="322"/>
        <v>2.5</v>
      </c>
      <c r="AF3683" s="580">
        <f t="shared" si="323"/>
        <v>2.5</v>
      </c>
      <c r="AG3683" s="580">
        <f t="shared" si="324"/>
        <v>0</v>
      </c>
      <c r="AH3683" s="580">
        <f t="shared" si="325"/>
        <v>0</v>
      </c>
    </row>
    <row r="3684" spans="28:34">
      <c r="AB3684" s="580">
        <f>HLOOKUP("*"&amp;'Output annual'!$AC$2&amp;'Output annual'!$AD$2&amp;"*Zone People Number Of Occupants [](Hourly)",'Eplus results'!$1:$1048576,ROW(),FALSE)</f>
        <v>0</v>
      </c>
      <c r="AC3684" s="580">
        <f>HLOOKUP("*"&amp;'Output annual'!$AC$2&amp;'Output annual'!$AD$2&amp;"*FangerPMV(Hourly)",'Eplus results'!$1:$1048576,ROW(),FALSE)</f>
        <v>0</v>
      </c>
      <c r="AD3684" s="580">
        <f t="shared" si="321"/>
        <v>5</v>
      </c>
      <c r="AE3684" s="580">
        <f t="shared" si="322"/>
        <v>2.5</v>
      </c>
      <c r="AF3684" s="580">
        <f t="shared" si="323"/>
        <v>2.5</v>
      </c>
      <c r="AG3684" s="580">
        <f t="shared" si="324"/>
        <v>0</v>
      </c>
      <c r="AH3684" s="580">
        <f t="shared" si="325"/>
        <v>0</v>
      </c>
    </row>
    <row r="3685" spans="28:34">
      <c r="AB3685" s="580">
        <f>HLOOKUP("*"&amp;'Output annual'!$AC$2&amp;'Output annual'!$AD$2&amp;"*Zone People Number Of Occupants [](Hourly)",'Eplus results'!$1:$1048576,ROW(),FALSE)</f>
        <v>0</v>
      </c>
      <c r="AC3685" s="580">
        <f>HLOOKUP("*"&amp;'Output annual'!$AC$2&amp;'Output annual'!$AD$2&amp;"*FangerPMV(Hourly)",'Eplus results'!$1:$1048576,ROW(),FALSE)</f>
        <v>0</v>
      </c>
      <c r="AD3685" s="580">
        <f t="shared" si="321"/>
        <v>5</v>
      </c>
      <c r="AE3685" s="580">
        <f t="shared" si="322"/>
        <v>2.5</v>
      </c>
      <c r="AF3685" s="580">
        <f t="shared" si="323"/>
        <v>2.5</v>
      </c>
      <c r="AG3685" s="580">
        <f t="shared" si="324"/>
        <v>0</v>
      </c>
      <c r="AH3685" s="580">
        <f t="shared" si="325"/>
        <v>0</v>
      </c>
    </row>
    <row r="3686" spans="28:34">
      <c r="AB3686" s="580">
        <f>HLOOKUP("*"&amp;'Output annual'!$AC$2&amp;'Output annual'!$AD$2&amp;"*Zone People Number Of Occupants [](Hourly)",'Eplus results'!$1:$1048576,ROW(),FALSE)</f>
        <v>0</v>
      </c>
      <c r="AC3686" s="580">
        <f>HLOOKUP("*"&amp;'Output annual'!$AC$2&amp;'Output annual'!$AD$2&amp;"*FangerPMV(Hourly)",'Eplus results'!$1:$1048576,ROW(),FALSE)</f>
        <v>0</v>
      </c>
      <c r="AD3686" s="580">
        <f t="shared" si="321"/>
        <v>5</v>
      </c>
      <c r="AE3686" s="580">
        <f t="shared" si="322"/>
        <v>2.5</v>
      </c>
      <c r="AF3686" s="580">
        <f t="shared" si="323"/>
        <v>2.5</v>
      </c>
      <c r="AG3686" s="580">
        <f t="shared" si="324"/>
        <v>0</v>
      </c>
      <c r="AH3686" s="580">
        <f t="shared" si="325"/>
        <v>0</v>
      </c>
    </row>
    <row r="3687" spans="28:34">
      <c r="AB3687" s="580">
        <f>HLOOKUP("*"&amp;'Output annual'!$AC$2&amp;'Output annual'!$AD$2&amp;"*Zone People Number Of Occupants [](Hourly)",'Eplus results'!$1:$1048576,ROW(),FALSE)</f>
        <v>0</v>
      </c>
      <c r="AC3687" s="580">
        <f>HLOOKUP("*"&amp;'Output annual'!$AC$2&amp;'Output annual'!$AD$2&amp;"*FangerPMV(Hourly)",'Eplus results'!$1:$1048576,ROW(),FALSE)</f>
        <v>0</v>
      </c>
      <c r="AD3687" s="580">
        <f t="shared" si="321"/>
        <v>5</v>
      </c>
      <c r="AE3687" s="580">
        <f t="shared" si="322"/>
        <v>2.5</v>
      </c>
      <c r="AF3687" s="580">
        <f t="shared" si="323"/>
        <v>2.5</v>
      </c>
      <c r="AG3687" s="580">
        <f t="shared" si="324"/>
        <v>0</v>
      </c>
      <c r="AH3687" s="580">
        <f t="shared" si="325"/>
        <v>0</v>
      </c>
    </row>
    <row r="3688" spans="28:34">
      <c r="AB3688" s="580">
        <f>HLOOKUP("*"&amp;'Output annual'!$AC$2&amp;'Output annual'!$AD$2&amp;"*Zone People Number Of Occupants [](Hourly)",'Eplus results'!$1:$1048576,ROW(),FALSE)</f>
        <v>0</v>
      </c>
      <c r="AC3688" s="580">
        <f>HLOOKUP("*"&amp;'Output annual'!$AC$2&amp;'Output annual'!$AD$2&amp;"*FangerPMV(Hourly)",'Eplus results'!$1:$1048576,ROW(),FALSE)</f>
        <v>0</v>
      </c>
      <c r="AD3688" s="580">
        <f t="shared" si="321"/>
        <v>5</v>
      </c>
      <c r="AE3688" s="580">
        <f t="shared" si="322"/>
        <v>2.5</v>
      </c>
      <c r="AF3688" s="580">
        <f t="shared" si="323"/>
        <v>2.5</v>
      </c>
      <c r="AG3688" s="580">
        <f t="shared" si="324"/>
        <v>0</v>
      </c>
      <c r="AH3688" s="580">
        <f t="shared" si="325"/>
        <v>0</v>
      </c>
    </row>
    <row r="3689" spans="28:34">
      <c r="AB3689" s="580">
        <f>HLOOKUP("*"&amp;'Output annual'!$AC$2&amp;'Output annual'!$AD$2&amp;"*Zone People Number Of Occupants [](Hourly)",'Eplus results'!$1:$1048576,ROW(),FALSE)</f>
        <v>0</v>
      </c>
      <c r="AC3689" s="580">
        <f>HLOOKUP("*"&amp;'Output annual'!$AC$2&amp;'Output annual'!$AD$2&amp;"*FangerPMV(Hourly)",'Eplus results'!$1:$1048576,ROW(),FALSE)</f>
        <v>0</v>
      </c>
      <c r="AD3689" s="580">
        <f t="shared" si="321"/>
        <v>5</v>
      </c>
      <c r="AE3689" s="580">
        <f t="shared" si="322"/>
        <v>2.5</v>
      </c>
      <c r="AF3689" s="580">
        <f t="shared" si="323"/>
        <v>2.5</v>
      </c>
      <c r="AG3689" s="580">
        <f t="shared" si="324"/>
        <v>0</v>
      </c>
      <c r="AH3689" s="580">
        <f t="shared" si="325"/>
        <v>0</v>
      </c>
    </row>
    <row r="3690" spans="28:34">
      <c r="AB3690" s="580">
        <f>HLOOKUP("*"&amp;'Output annual'!$AC$2&amp;'Output annual'!$AD$2&amp;"*Zone People Number Of Occupants [](Hourly)",'Eplus results'!$1:$1048576,ROW(),FALSE)</f>
        <v>0</v>
      </c>
      <c r="AC3690" s="580">
        <f>HLOOKUP("*"&amp;'Output annual'!$AC$2&amp;'Output annual'!$AD$2&amp;"*FangerPMV(Hourly)",'Eplus results'!$1:$1048576,ROW(),FALSE)</f>
        <v>0</v>
      </c>
      <c r="AD3690" s="580">
        <f t="shared" si="321"/>
        <v>5</v>
      </c>
      <c r="AE3690" s="580">
        <f t="shared" si="322"/>
        <v>2.5</v>
      </c>
      <c r="AF3690" s="580">
        <f t="shared" si="323"/>
        <v>2.5</v>
      </c>
      <c r="AG3690" s="580">
        <f t="shared" si="324"/>
        <v>0</v>
      </c>
      <c r="AH3690" s="580">
        <f t="shared" si="325"/>
        <v>0</v>
      </c>
    </row>
    <row r="3691" spans="28:34">
      <c r="AB3691" s="580">
        <f>HLOOKUP("*"&amp;'Output annual'!$AC$2&amp;'Output annual'!$AD$2&amp;"*Zone People Number Of Occupants [](Hourly)",'Eplus results'!$1:$1048576,ROW(),FALSE)</f>
        <v>0</v>
      </c>
      <c r="AC3691" s="580">
        <f>HLOOKUP("*"&amp;'Output annual'!$AC$2&amp;'Output annual'!$AD$2&amp;"*FangerPMV(Hourly)",'Eplus results'!$1:$1048576,ROW(),FALSE)</f>
        <v>0</v>
      </c>
      <c r="AD3691" s="580">
        <f t="shared" si="321"/>
        <v>5</v>
      </c>
      <c r="AE3691" s="580">
        <f t="shared" si="322"/>
        <v>2.5</v>
      </c>
      <c r="AF3691" s="580">
        <f t="shared" si="323"/>
        <v>2.5</v>
      </c>
      <c r="AG3691" s="580">
        <f t="shared" si="324"/>
        <v>0</v>
      </c>
      <c r="AH3691" s="580">
        <f t="shared" si="325"/>
        <v>0</v>
      </c>
    </row>
    <row r="3692" spans="28:34">
      <c r="AB3692" s="580">
        <f>HLOOKUP("*"&amp;'Output annual'!$AC$2&amp;'Output annual'!$AD$2&amp;"*Zone People Number Of Occupants [](Hourly)",'Eplus results'!$1:$1048576,ROW(),FALSE)</f>
        <v>0</v>
      </c>
      <c r="AC3692" s="580">
        <f>HLOOKUP("*"&amp;'Output annual'!$AC$2&amp;'Output annual'!$AD$2&amp;"*FangerPMV(Hourly)",'Eplus results'!$1:$1048576,ROW(),FALSE)</f>
        <v>0</v>
      </c>
      <c r="AD3692" s="580">
        <f t="shared" si="321"/>
        <v>5</v>
      </c>
      <c r="AE3692" s="580">
        <f t="shared" si="322"/>
        <v>2.5</v>
      </c>
      <c r="AF3692" s="580">
        <f t="shared" si="323"/>
        <v>2.5</v>
      </c>
      <c r="AG3692" s="580">
        <f t="shared" si="324"/>
        <v>0</v>
      </c>
      <c r="AH3692" s="580">
        <f t="shared" si="325"/>
        <v>0</v>
      </c>
    </row>
    <row r="3693" spans="28:34">
      <c r="AB3693" s="580">
        <f>HLOOKUP("*"&amp;'Output annual'!$AC$2&amp;'Output annual'!$AD$2&amp;"*Zone People Number Of Occupants [](Hourly)",'Eplus results'!$1:$1048576,ROW(),FALSE)</f>
        <v>0</v>
      </c>
      <c r="AC3693" s="580">
        <f>HLOOKUP("*"&amp;'Output annual'!$AC$2&amp;'Output annual'!$AD$2&amp;"*FangerPMV(Hourly)",'Eplus results'!$1:$1048576,ROW(),FALSE)</f>
        <v>0</v>
      </c>
      <c r="AD3693" s="580">
        <f t="shared" si="321"/>
        <v>5</v>
      </c>
      <c r="AE3693" s="580">
        <f t="shared" si="322"/>
        <v>2.5</v>
      </c>
      <c r="AF3693" s="580">
        <f t="shared" si="323"/>
        <v>2.5</v>
      </c>
      <c r="AG3693" s="580">
        <f t="shared" si="324"/>
        <v>0</v>
      </c>
      <c r="AH3693" s="580">
        <f t="shared" si="325"/>
        <v>0</v>
      </c>
    </row>
    <row r="3694" spans="28:34">
      <c r="AB3694" s="580">
        <f>HLOOKUP("*"&amp;'Output annual'!$AC$2&amp;'Output annual'!$AD$2&amp;"*Zone People Number Of Occupants [](Hourly)",'Eplus results'!$1:$1048576,ROW(),FALSE)</f>
        <v>0</v>
      </c>
      <c r="AC3694" s="580">
        <f>HLOOKUP("*"&amp;'Output annual'!$AC$2&amp;'Output annual'!$AD$2&amp;"*FangerPMV(Hourly)",'Eplus results'!$1:$1048576,ROW(),FALSE)</f>
        <v>0</v>
      </c>
      <c r="AD3694" s="580">
        <f t="shared" si="321"/>
        <v>5</v>
      </c>
      <c r="AE3694" s="580">
        <f t="shared" si="322"/>
        <v>2.5</v>
      </c>
      <c r="AF3694" s="580">
        <f t="shared" si="323"/>
        <v>2.5</v>
      </c>
      <c r="AG3694" s="580">
        <f t="shared" si="324"/>
        <v>0</v>
      </c>
      <c r="AH3694" s="580">
        <f t="shared" si="325"/>
        <v>0</v>
      </c>
    </row>
    <row r="3695" spans="28:34">
      <c r="AB3695" s="580">
        <f>HLOOKUP("*"&amp;'Output annual'!$AC$2&amp;'Output annual'!$AD$2&amp;"*Zone People Number Of Occupants [](Hourly)",'Eplus results'!$1:$1048576,ROW(),FALSE)</f>
        <v>0</v>
      </c>
      <c r="AC3695" s="580">
        <f>HLOOKUP("*"&amp;'Output annual'!$AC$2&amp;'Output annual'!$AD$2&amp;"*FangerPMV(Hourly)",'Eplus results'!$1:$1048576,ROW(),FALSE)</f>
        <v>0</v>
      </c>
      <c r="AD3695" s="580">
        <f t="shared" si="321"/>
        <v>5</v>
      </c>
      <c r="AE3695" s="580">
        <f t="shared" si="322"/>
        <v>2.5</v>
      </c>
      <c r="AF3695" s="580">
        <f t="shared" si="323"/>
        <v>2.5</v>
      </c>
      <c r="AG3695" s="580">
        <f t="shared" si="324"/>
        <v>0</v>
      </c>
      <c r="AH3695" s="580">
        <f t="shared" si="325"/>
        <v>0</v>
      </c>
    </row>
    <row r="3696" spans="28:34">
      <c r="AB3696" s="580">
        <f>HLOOKUP("*"&amp;'Output annual'!$AC$2&amp;'Output annual'!$AD$2&amp;"*Zone People Number Of Occupants [](Hourly)",'Eplus results'!$1:$1048576,ROW(),FALSE)</f>
        <v>0</v>
      </c>
      <c r="AC3696" s="580">
        <f>HLOOKUP("*"&amp;'Output annual'!$AC$2&amp;'Output annual'!$AD$2&amp;"*FangerPMV(Hourly)",'Eplus results'!$1:$1048576,ROW(),FALSE)</f>
        <v>0</v>
      </c>
      <c r="AD3696" s="580">
        <f t="shared" si="321"/>
        <v>5</v>
      </c>
      <c r="AE3696" s="580">
        <f t="shared" si="322"/>
        <v>2.5</v>
      </c>
      <c r="AF3696" s="580">
        <f t="shared" si="323"/>
        <v>2.5</v>
      </c>
      <c r="AG3696" s="580">
        <f t="shared" si="324"/>
        <v>0</v>
      </c>
      <c r="AH3696" s="580">
        <f t="shared" si="325"/>
        <v>0</v>
      </c>
    </row>
    <row r="3697" spans="28:34">
      <c r="AB3697" s="580">
        <f>HLOOKUP("*"&amp;'Output annual'!$AC$2&amp;'Output annual'!$AD$2&amp;"*Zone People Number Of Occupants [](Hourly)",'Eplus results'!$1:$1048576,ROW(),FALSE)</f>
        <v>0</v>
      </c>
      <c r="AC3697" s="580">
        <f>HLOOKUP("*"&amp;'Output annual'!$AC$2&amp;'Output annual'!$AD$2&amp;"*FangerPMV(Hourly)",'Eplus results'!$1:$1048576,ROW(),FALSE)</f>
        <v>0</v>
      </c>
      <c r="AD3697" s="580">
        <f t="shared" si="321"/>
        <v>5</v>
      </c>
      <c r="AE3697" s="580">
        <f t="shared" si="322"/>
        <v>2.5</v>
      </c>
      <c r="AF3697" s="580">
        <f t="shared" si="323"/>
        <v>2.5</v>
      </c>
      <c r="AG3697" s="580">
        <f t="shared" si="324"/>
        <v>0</v>
      </c>
      <c r="AH3697" s="580">
        <f t="shared" si="325"/>
        <v>0</v>
      </c>
    </row>
    <row r="3698" spans="28:34">
      <c r="AB3698" s="580">
        <f>HLOOKUP("*"&amp;'Output annual'!$AC$2&amp;'Output annual'!$AD$2&amp;"*Zone People Number Of Occupants [](Hourly)",'Eplus results'!$1:$1048576,ROW(),FALSE)</f>
        <v>0</v>
      </c>
      <c r="AC3698" s="580">
        <f>HLOOKUP("*"&amp;'Output annual'!$AC$2&amp;'Output annual'!$AD$2&amp;"*FangerPMV(Hourly)",'Eplus results'!$1:$1048576,ROW(),FALSE)</f>
        <v>0</v>
      </c>
      <c r="AD3698" s="580">
        <f t="shared" si="321"/>
        <v>5</v>
      </c>
      <c r="AE3698" s="580">
        <f t="shared" si="322"/>
        <v>2.5</v>
      </c>
      <c r="AF3698" s="580">
        <f t="shared" si="323"/>
        <v>2.5</v>
      </c>
      <c r="AG3698" s="580">
        <f t="shared" si="324"/>
        <v>0</v>
      </c>
      <c r="AH3698" s="580">
        <f t="shared" si="325"/>
        <v>0</v>
      </c>
    </row>
    <row r="3699" spans="28:34">
      <c r="AB3699" s="580">
        <f>HLOOKUP("*"&amp;'Output annual'!$AC$2&amp;'Output annual'!$AD$2&amp;"*Zone People Number Of Occupants [](Hourly)",'Eplus results'!$1:$1048576,ROW(),FALSE)</f>
        <v>0</v>
      </c>
      <c r="AC3699" s="580">
        <f>HLOOKUP("*"&amp;'Output annual'!$AC$2&amp;'Output annual'!$AD$2&amp;"*FangerPMV(Hourly)",'Eplus results'!$1:$1048576,ROW(),FALSE)</f>
        <v>0</v>
      </c>
      <c r="AD3699" s="580">
        <f t="shared" si="321"/>
        <v>5</v>
      </c>
      <c r="AE3699" s="580">
        <f t="shared" si="322"/>
        <v>2.5</v>
      </c>
      <c r="AF3699" s="580">
        <f t="shared" si="323"/>
        <v>2.5</v>
      </c>
      <c r="AG3699" s="580">
        <f t="shared" si="324"/>
        <v>0</v>
      </c>
      <c r="AH3699" s="580">
        <f t="shared" si="325"/>
        <v>0</v>
      </c>
    </row>
    <row r="3700" spans="28:34">
      <c r="AB3700" s="580">
        <f>HLOOKUP("*"&amp;'Output annual'!$AC$2&amp;'Output annual'!$AD$2&amp;"*Zone People Number Of Occupants [](Hourly)",'Eplus results'!$1:$1048576,ROW(),FALSE)</f>
        <v>0</v>
      </c>
      <c r="AC3700" s="580">
        <f>HLOOKUP("*"&amp;'Output annual'!$AC$2&amp;'Output annual'!$AD$2&amp;"*FangerPMV(Hourly)",'Eplus results'!$1:$1048576,ROW(),FALSE)</f>
        <v>0</v>
      </c>
      <c r="AD3700" s="580">
        <f t="shared" si="321"/>
        <v>5</v>
      </c>
      <c r="AE3700" s="580">
        <f t="shared" si="322"/>
        <v>2.5</v>
      </c>
      <c r="AF3700" s="580">
        <f t="shared" si="323"/>
        <v>2.5</v>
      </c>
      <c r="AG3700" s="580">
        <f t="shared" si="324"/>
        <v>0</v>
      </c>
      <c r="AH3700" s="580">
        <f t="shared" si="325"/>
        <v>0</v>
      </c>
    </row>
    <row r="3701" spans="28:34">
      <c r="AB3701" s="580">
        <f>HLOOKUP("*"&amp;'Output annual'!$AC$2&amp;'Output annual'!$AD$2&amp;"*Zone People Number Of Occupants [](Hourly)",'Eplus results'!$1:$1048576,ROW(),FALSE)</f>
        <v>0</v>
      </c>
      <c r="AC3701" s="580">
        <f>HLOOKUP("*"&amp;'Output annual'!$AC$2&amp;'Output annual'!$AD$2&amp;"*FangerPMV(Hourly)",'Eplus results'!$1:$1048576,ROW(),FALSE)</f>
        <v>0</v>
      </c>
      <c r="AD3701" s="580">
        <f t="shared" si="321"/>
        <v>5</v>
      </c>
      <c r="AE3701" s="580">
        <f t="shared" si="322"/>
        <v>2.5</v>
      </c>
      <c r="AF3701" s="580">
        <f t="shared" si="323"/>
        <v>2.5</v>
      </c>
      <c r="AG3701" s="580">
        <f t="shared" si="324"/>
        <v>0</v>
      </c>
      <c r="AH3701" s="580">
        <f t="shared" si="325"/>
        <v>0</v>
      </c>
    </row>
    <row r="3702" spans="28:34">
      <c r="AB3702" s="580">
        <f>HLOOKUP("*"&amp;'Output annual'!$AC$2&amp;'Output annual'!$AD$2&amp;"*Zone People Number Of Occupants [](Hourly)",'Eplus results'!$1:$1048576,ROW(),FALSE)</f>
        <v>0</v>
      </c>
      <c r="AC3702" s="580">
        <f>HLOOKUP("*"&amp;'Output annual'!$AC$2&amp;'Output annual'!$AD$2&amp;"*FangerPMV(Hourly)",'Eplus results'!$1:$1048576,ROW(),FALSE)</f>
        <v>0</v>
      </c>
      <c r="AD3702" s="580">
        <f t="shared" si="321"/>
        <v>5</v>
      </c>
      <c r="AE3702" s="580">
        <f t="shared" si="322"/>
        <v>2.5</v>
      </c>
      <c r="AF3702" s="580">
        <f t="shared" si="323"/>
        <v>2.5</v>
      </c>
      <c r="AG3702" s="580">
        <f t="shared" si="324"/>
        <v>0</v>
      </c>
      <c r="AH3702" s="580">
        <f t="shared" si="325"/>
        <v>0</v>
      </c>
    </row>
    <row r="3703" spans="28:34">
      <c r="AB3703" s="580">
        <f>HLOOKUP("*"&amp;'Output annual'!$AC$2&amp;'Output annual'!$AD$2&amp;"*Zone People Number Of Occupants [](Hourly)",'Eplus results'!$1:$1048576,ROW(),FALSE)</f>
        <v>0</v>
      </c>
      <c r="AC3703" s="580">
        <f>HLOOKUP("*"&amp;'Output annual'!$AC$2&amp;'Output annual'!$AD$2&amp;"*FangerPMV(Hourly)",'Eplus results'!$1:$1048576,ROW(),FALSE)</f>
        <v>0</v>
      </c>
      <c r="AD3703" s="580">
        <f t="shared" si="321"/>
        <v>5</v>
      </c>
      <c r="AE3703" s="580">
        <f t="shared" si="322"/>
        <v>2.5</v>
      </c>
      <c r="AF3703" s="580">
        <f t="shared" si="323"/>
        <v>2.5</v>
      </c>
      <c r="AG3703" s="580">
        <f t="shared" si="324"/>
        <v>0</v>
      </c>
      <c r="AH3703" s="580">
        <f t="shared" si="325"/>
        <v>0</v>
      </c>
    </row>
    <row r="3704" spans="28:34">
      <c r="AB3704" s="580">
        <f>HLOOKUP("*"&amp;'Output annual'!$AC$2&amp;'Output annual'!$AD$2&amp;"*Zone People Number Of Occupants [](Hourly)",'Eplus results'!$1:$1048576,ROW(),FALSE)</f>
        <v>0</v>
      </c>
      <c r="AC3704" s="580">
        <f>HLOOKUP("*"&amp;'Output annual'!$AC$2&amp;'Output annual'!$AD$2&amp;"*FangerPMV(Hourly)",'Eplus results'!$1:$1048576,ROW(),FALSE)</f>
        <v>0</v>
      </c>
      <c r="AD3704" s="580">
        <f t="shared" si="321"/>
        <v>5</v>
      </c>
      <c r="AE3704" s="580">
        <f t="shared" si="322"/>
        <v>2.5</v>
      </c>
      <c r="AF3704" s="580">
        <f t="shared" si="323"/>
        <v>2.5</v>
      </c>
      <c r="AG3704" s="580">
        <f t="shared" si="324"/>
        <v>0</v>
      </c>
      <c r="AH3704" s="580">
        <f t="shared" si="325"/>
        <v>0</v>
      </c>
    </row>
    <row r="3705" spans="28:34">
      <c r="AB3705" s="580">
        <f>HLOOKUP("*"&amp;'Output annual'!$AC$2&amp;'Output annual'!$AD$2&amp;"*Zone People Number Of Occupants [](Hourly)",'Eplus results'!$1:$1048576,ROW(),FALSE)</f>
        <v>0</v>
      </c>
      <c r="AC3705" s="580">
        <f>HLOOKUP("*"&amp;'Output annual'!$AC$2&amp;'Output annual'!$AD$2&amp;"*FangerPMV(Hourly)",'Eplus results'!$1:$1048576,ROW(),FALSE)</f>
        <v>0</v>
      </c>
      <c r="AD3705" s="580">
        <f t="shared" si="321"/>
        <v>5</v>
      </c>
      <c r="AE3705" s="580">
        <f t="shared" si="322"/>
        <v>2.5</v>
      </c>
      <c r="AF3705" s="580">
        <f t="shared" si="323"/>
        <v>2.5</v>
      </c>
      <c r="AG3705" s="580">
        <f t="shared" si="324"/>
        <v>0</v>
      </c>
      <c r="AH3705" s="580">
        <f t="shared" si="325"/>
        <v>0</v>
      </c>
    </row>
    <row r="3706" spans="28:34">
      <c r="AB3706" s="580">
        <f>HLOOKUP("*"&amp;'Output annual'!$AC$2&amp;'Output annual'!$AD$2&amp;"*Zone People Number Of Occupants [](Hourly)",'Eplus results'!$1:$1048576,ROW(),FALSE)</f>
        <v>0</v>
      </c>
      <c r="AC3706" s="580">
        <f>HLOOKUP("*"&amp;'Output annual'!$AC$2&amp;'Output annual'!$AD$2&amp;"*FangerPMV(Hourly)",'Eplus results'!$1:$1048576,ROW(),FALSE)</f>
        <v>0</v>
      </c>
      <c r="AD3706" s="580">
        <f t="shared" si="321"/>
        <v>5</v>
      </c>
      <c r="AE3706" s="580">
        <f t="shared" si="322"/>
        <v>2.5</v>
      </c>
      <c r="AF3706" s="580">
        <f t="shared" si="323"/>
        <v>2.5</v>
      </c>
      <c r="AG3706" s="580">
        <f t="shared" si="324"/>
        <v>0</v>
      </c>
      <c r="AH3706" s="580">
        <f t="shared" si="325"/>
        <v>0</v>
      </c>
    </row>
    <row r="3707" spans="28:34">
      <c r="AB3707" s="580">
        <f>HLOOKUP("*"&amp;'Output annual'!$AC$2&amp;'Output annual'!$AD$2&amp;"*Zone People Number Of Occupants [](Hourly)",'Eplus results'!$1:$1048576,ROW(),FALSE)</f>
        <v>0</v>
      </c>
      <c r="AC3707" s="580">
        <f>HLOOKUP("*"&amp;'Output annual'!$AC$2&amp;'Output annual'!$AD$2&amp;"*FangerPMV(Hourly)",'Eplus results'!$1:$1048576,ROW(),FALSE)</f>
        <v>0</v>
      </c>
      <c r="AD3707" s="580">
        <f t="shared" si="321"/>
        <v>5</v>
      </c>
      <c r="AE3707" s="580">
        <f t="shared" si="322"/>
        <v>2.5</v>
      </c>
      <c r="AF3707" s="580">
        <f t="shared" si="323"/>
        <v>2.5</v>
      </c>
      <c r="AG3707" s="580">
        <f t="shared" si="324"/>
        <v>0</v>
      </c>
      <c r="AH3707" s="580">
        <f t="shared" si="325"/>
        <v>0</v>
      </c>
    </row>
    <row r="3708" spans="28:34">
      <c r="AB3708" s="580">
        <f>HLOOKUP("*"&amp;'Output annual'!$AC$2&amp;'Output annual'!$AD$2&amp;"*Zone People Number Of Occupants [](Hourly)",'Eplus results'!$1:$1048576,ROW(),FALSE)</f>
        <v>0</v>
      </c>
      <c r="AC3708" s="580">
        <f>HLOOKUP("*"&amp;'Output annual'!$AC$2&amp;'Output annual'!$AD$2&amp;"*FangerPMV(Hourly)",'Eplus results'!$1:$1048576,ROW(),FALSE)</f>
        <v>0</v>
      </c>
      <c r="AD3708" s="580">
        <f t="shared" si="321"/>
        <v>5</v>
      </c>
      <c r="AE3708" s="580">
        <f t="shared" si="322"/>
        <v>2.5</v>
      </c>
      <c r="AF3708" s="580">
        <f t="shared" si="323"/>
        <v>2.5</v>
      </c>
      <c r="AG3708" s="580">
        <f t="shared" si="324"/>
        <v>0</v>
      </c>
      <c r="AH3708" s="580">
        <f t="shared" si="325"/>
        <v>0</v>
      </c>
    </row>
    <row r="3709" spans="28:34">
      <c r="AB3709" s="580">
        <f>HLOOKUP("*"&amp;'Output annual'!$AC$2&amp;'Output annual'!$AD$2&amp;"*Zone People Number Of Occupants [](Hourly)",'Eplus results'!$1:$1048576,ROW(),FALSE)</f>
        <v>0</v>
      </c>
      <c r="AC3709" s="580">
        <f>HLOOKUP("*"&amp;'Output annual'!$AC$2&amp;'Output annual'!$AD$2&amp;"*FangerPMV(Hourly)",'Eplus results'!$1:$1048576,ROW(),FALSE)</f>
        <v>0</v>
      </c>
      <c r="AD3709" s="580">
        <f t="shared" si="321"/>
        <v>5</v>
      </c>
      <c r="AE3709" s="580">
        <f t="shared" si="322"/>
        <v>2.5</v>
      </c>
      <c r="AF3709" s="580">
        <f t="shared" si="323"/>
        <v>2.5</v>
      </c>
      <c r="AG3709" s="580">
        <f t="shared" si="324"/>
        <v>0</v>
      </c>
      <c r="AH3709" s="580">
        <f t="shared" si="325"/>
        <v>0</v>
      </c>
    </row>
    <row r="3710" spans="28:34">
      <c r="AB3710" s="580">
        <f>HLOOKUP("*"&amp;'Output annual'!$AC$2&amp;'Output annual'!$AD$2&amp;"*Zone People Number Of Occupants [](Hourly)",'Eplus results'!$1:$1048576,ROW(),FALSE)</f>
        <v>0</v>
      </c>
      <c r="AC3710" s="580">
        <f>HLOOKUP("*"&amp;'Output annual'!$AC$2&amp;'Output annual'!$AD$2&amp;"*FangerPMV(Hourly)",'Eplus results'!$1:$1048576,ROW(),FALSE)</f>
        <v>0</v>
      </c>
      <c r="AD3710" s="580">
        <f t="shared" si="321"/>
        <v>5</v>
      </c>
      <c r="AE3710" s="580">
        <f t="shared" si="322"/>
        <v>2.5</v>
      </c>
      <c r="AF3710" s="580">
        <f t="shared" si="323"/>
        <v>2.5</v>
      </c>
      <c r="AG3710" s="580">
        <f t="shared" si="324"/>
        <v>0</v>
      </c>
      <c r="AH3710" s="580">
        <f t="shared" si="325"/>
        <v>0</v>
      </c>
    </row>
    <row r="3711" spans="28:34">
      <c r="AB3711" s="580">
        <f>HLOOKUP("*"&amp;'Output annual'!$AC$2&amp;'Output annual'!$AD$2&amp;"*Zone People Number Of Occupants [](Hourly)",'Eplus results'!$1:$1048576,ROW(),FALSE)</f>
        <v>0</v>
      </c>
      <c r="AC3711" s="580">
        <f>HLOOKUP("*"&amp;'Output annual'!$AC$2&amp;'Output annual'!$AD$2&amp;"*FangerPMV(Hourly)",'Eplus results'!$1:$1048576,ROW(),FALSE)</f>
        <v>0</v>
      </c>
      <c r="AD3711" s="580">
        <f t="shared" si="321"/>
        <v>5</v>
      </c>
      <c r="AE3711" s="580">
        <f t="shared" si="322"/>
        <v>2.5</v>
      </c>
      <c r="AF3711" s="580">
        <f t="shared" si="323"/>
        <v>2.5</v>
      </c>
      <c r="AG3711" s="580">
        <f t="shared" si="324"/>
        <v>0</v>
      </c>
      <c r="AH3711" s="580">
        <f t="shared" si="325"/>
        <v>0</v>
      </c>
    </row>
    <row r="3712" spans="28:34">
      <c r="AB3712" s="580">
        <f>HLOOKUP("*"&amp;'Output annual'!$AC$2&amp;'Output annual'!$AD$2&amp;"*Zone People Number Of Occupants [](Hourly)",'Eplus results'!$1:$1048576,ROW(),FALSE)</f>
        <v>0</v>
      </c>
      <c r="AC3712" s="580">
        <f>HLOOKUP("*"&amp;'Output annual'!$AC$2&amp;'Output annual'!$AD$2&amp;"*FangerPMV(Hourly)",'Eplus results'!$1:$1048576,ROW(),FALSE)</f>
        <v>0</v>
      </c>
      <c r="AD3712" s="580">
        <f t="shared" si="321"/>
        <v>5</v>
      </c>
      <c r="AE3712" s="580">
        <f t="shared" si="322"/>
        <v>2.5</v>
      </c>
      <c r="AF3712" s="580">
        <f t="shared" si="323"/>
        <v>2.5</v>
      </c>
      <c r="AG3712" s="580">
        <f t="shared" si="324"/>
        <v>0</v>
      </c>
      <c r="AH3712" s="580">
        <f t="shared" si="325"/>
        <v>0</v>
      </c>
    </row>
    <row r="3713" spans="28:34">
      <c r="AB3713" s="580">
        <f>HLOOKUP("*"&amp;'Output annual'!$AC$2&amp;'Output annual'!$AD$2&amp;"*Zone People Number Of Occupants [](Hourly)",'Eplus results'!$1:$1048576,ROW(),FALSE)</f>
        <v>0</v>
      </c>
      <c r="AC3713" s="580">
        <f>HLOOKUP("*"&amp;'Output annual'!$AC$2&amp;'Output annual'!$AD$2&amp;"*FangerPMV(Hourly)",'Eplus results'!$1:$1048576,ROW(),FALSE)</f>
        <v>0</v>
      </c>
      <c r="AD3713" s="580">
        <f t="shared" si="321"/>
        <v>5</v>
      </c>
      <c r="AE3713" s="580">
        <f t="shared" si="322"/>
        <v>2.5</v>
      </c>
      <c r="AF3713" s="580">
        <f t="shared" si="323"/>
        <v>2.5</v>
      </c>
      <c r="AG3713" s="580">
        <f t="shared" si="324"/>
        <v>0</v>
      </c>
      <c r="AH3713" s="580">
        <f t="shared" si="325"/>
        <v>0</v>
      </c>
    </row>
    <row r="3714" spans="28:34">
      <c r="AB3714" s="580">
        <f>HLOOKUP("*"&amp;'Output annual'!$AC$2&amp;'Output annual'!$AD$2&amp;"*Zone People Number Of Occupants [](Hourly)",'Eplus results'!$1:$1048576,ROW(),FALSE)</f>
        <v>0</v>
      </c>
      <c r="AC3714" s="580">
        <f>HLOOKUP("*"&amp;'Output annual'!$AC$2&amp;'Output annual'!$AD$2&amp;"*FangerPMV(Hourly)",'Eplus results'!$1:$1048576,ROW(),FALSE)</f>
        <v>0</v>
      </c>
      <c r="AD3714" s="580">
        <f t="shared" si="321"/>
        <v>5</v>
      </c>
      <c r="AE3714" s="580">
        <f t="shared" si="322"/>
        <v>2.5</v>
      </c>
      <c r="AF3714" s="580">
        <f t="shared" si="323"/>
        <v>2.5</v>
      </c>
      <c r="AG3714" s="580">
        <f t="shared" si="324"/>
        <v>0</v>
      </c>
      <c r="AH3714" s="580">
        <f t="shared" si="325"/>
        <v>0</v>
      </c>
    </row>
    <row r="3715" spans="28:34">
      <c r="AB3715" s="580">
        <f>HLOOKUP("*"&amp;'Output annual'!$AC$2&amp;'Output annual'!$AD$2&amp;"*Zone People Number Of Occupants [](Hourly)",'Eplus results'!$1:$1048576,ROW(),FALSE)</f>
        <v>0</v>
      </c>
      <c r="AC3715" s="580">
        <f>HLOOKUP("*"&amp;'Output annual'!$AC$2&amp;'Output annual'!$AD$2&amp;"*FangerPMV(Hourly)",'Eplus results'!$1:$1048576,ROW(),FALSE)</f>
        <v>0</v>
      </c>
      <c r="AD3715" s="580">
        <f t="shared" ref="AD3715:AD3778" si="326">100-95*EXP(-0.03353*AC3715^4-0.2179*AC3715^2)</f>
        <v>5</v>
      </c>
      <c r="AE3715" s="580">
        <f t="shared" ref="AE3715:AE3778" si="327">AD3715*(1/(1+EXP(-6.3*$AC3715)))</f>
        <v>2.5</v>
      </c>
      <c r="AF3715" s="580">
        <f t="shared" ref="AF3715:AF3778" si="328">(AD3715-AE3715)</f>
        <v>2.5</v>
      </c>
      <c r="AG3715" s="580">
        <f t="shared" ref="AG3715:AG3778" si="329">AE3715*AB3715</f>
        <v>0</v>
      </c>
      <c r="AH3715" s="580">
        <f t="shared" ref="AH3715:AH3778" si="330">AF3715*AB3715</f>
        <v>0</v>
      </c>
    </row>
    <row r="3716" spans="28:34">
      <c r="AB3716" s="580">
        <f>HLOOKUP("*"&amp;'Output annual'!$AC$2&amp;'Output annual'!$AD$2&amp;"*Zone People Number Of Occupants [](Hourly)",'Eplus results'!$1:$1048576,ROW(),FALSE)</f>
        <v>0</v>
      </c>
      <c r="AC3716" s="580">
        <f>HLOOKUP("*"&amp;'Output annual'!$AC$2&amp;'Output annual'!$AD$2&amp;"*FangerPMV(Hourly)",'Eplus results'!$1:$1048576,ROW(),FALSE)</f>
        <v>0</v>
      </c>
      <c r="AD3716" s="580">
        <f t="shared" si="326"/>
        <v>5</v>
      </c>
      <c r="AE3716" s="580">
        <f t="shared" si="327"/>
        <v>2.5</v>
      </c>
      <c r="AF3716" s="580">
        <f t="shared" si="328"/>
        <v>2.5</v>
      </c>
      <c r="AG3716" s="580">
        <f t="shared" si="329"/>
        <v>0</v>
      </c>
      <c r="AH3716" s="580">
        <f t="shared" si="330"/>
        <v>0</v>
      </c>
    </row>
    <row r="3717" spans="28:34">
      <c r="AB3717" s="580">
        <f>HLOOKUP("*"&amp;'Output annual'!$AC$2&amp;'Output annual'!$AD$2&amp;"*Zone People Number Of Occupants [](Hourly)",'Eplus results'!$1:$1048576,ROW(),FALSE)</f>
        <v>0</v>
      </c>
      <c r="AC3717" s="580">
        <f>HLOOKUP("*"&amp;'Output annual'!$AC$2&amp;'Output annual'!$AD$2&amp;"*FangerPMV(Hourly)",'Eplus results'!$1:$1048576,ROW(),FALSE)</f>
        <v>0</v>
      </c>
      <c r="AD3717" s="580">
        <f t="shared" si="326"/>
        <v>5</v>
      </c>
      <c r="AE3717" s="580">
        <f t="shared" si="327"/>
        <v>2.5</v>
      </c>
      <c r="AF3717" s="580">
        <f t="shared" si="328"/>
        <v>2.5</v>
      </c>
      <c r="AG3717" s="580">
        <f t="shared" si="329"/>
        <v>0</v>
      </c>
      <c r="AH3717" s="580">
        <f t="shared" si="330"/>
        <v>0</v>
      </c>
    </row>
    <row r="3718" spans="28:34">
      <c r="AB3718" s="580">
        <f>HLOOKUP("*"&amp;'Output annual'!$AC$2&amp;'Output annual'!$AD$2&amp;"*Zone People Number Of Occupants [](Hourly)",'Eplus results'!$1:$1048576,ROW(),FALSE)</f>
        <v>0</v>
      </c>
      <c r="AC3718" s="580">
        <f>HLOOKUP("*"&amp;'Output annual'!$AC$2&amp;'Output annual'!$AD$2&amp;"*FangerPMV(Hourly)",'Eplus results'!$1:$1048576,ROW(),FALSE)</f>
        <v>0</v>
      </c>
      <c r="AD3718" s="580">
        <f t="shared" si="326"/>
        <v>5</v>
      </c>
      <c r="AE3718" s="580">
        <f t="shared" si="327"/>
        <v>2.5</v>
      </c>
      <c r="AF3718" s="580">
        <f t="shared" si="328"/>
        <v>2.5</v>
      </c>
      <c r="AG3718" s="580">
        <f t="shared" si="329"/>
        <v>0</v>
      </c>
      <c r="AH3718" s="580">
        <f t="shared" si="330"/>
        <v>0</v>
      </c>
    </row>
    <row r="3719" spans="28:34">
      <c r="AB3719" s="580">
        <f>HLOOKUP("*"&amp;'Output annual'!$AC$2&amp;'Output annual'!$AD$2&amp;"*Zone People Number Of Occupants [](Hourly)",'Eplus results'!$1:$1048576,ROW(),FALSE)</f>
        <v>0</v>
      </c>
      <c r="AC3719" s="580">
        <f>HLOOKUP("*"&amp;'Output annual'!$AC$2&amp;'Output annual'!$AD$2&amp;"*FangerPMV(Hourly)",'Eplus results'!$1:$1048576,ROW(),FALSE)</f>
        <v>0</v>
      </c>
      <c r="AD3719" s="580">
        <f t="shared" si="326"/>
        <v>5</v>
      </c>
      <c r="AE3719" s="580">
        <f t="shared" si="327"/>
        <v>2.5</v>
      </c>
      <c r="AF3719" s="580">
        <f t="shared" si="328"/>
        <v>2.5</v>
      </c>
      <c r="AG3719" s="580">
        <f t="shared" si="329"/>
        <v>0</v>
      </c>
      <c r="AH3719" s="580">
        <f t="shared" si="330"/>
        <v>0</v>
      </c>
    </row>
    <row r="3720" spans="28:34">
      <c r="AB3720" s="580">
        <f>HLOOKUP("*"&amp;'Output annual'!$AC$2&amp;'Output annual'!$AD$2&amp;"*Zone People Number Of Occupants [](Hourly)",'Eplus results'!$1:$1048576,ROW(),FALSE)</f>
        <v>0</v>
      </c>
      <c r="AC3720" s="580">
        <f>HLOOKUP("*"&amp;'Output annual'!$AC$2&amp;'Output annual'!$AD$2&amp;"*FangerPMV(Hourly)",'Eplus results'!$1:$1048576,ROW(),FALSE)</f>
        <v>0</v>
      </c>
      <c r="AD3720" s="580">
        <f t="shared" si="326"/>
        <v>5</v>
      </c>
      <c r="AE3720" s="580">
        <f t="shared" si="327"/>
        <v>2.5</v>
      </c>
      <c r="AF3720" s="580">
        <f t="shared" si="328"/>
        <v>2.5</v>
      </c>
      <c r="AG3720" s="580">
        <f t="shared" si="329"/>
        <v>0</v>
      </c>
      <c r="AH3720" s="580">
        <f t="shared" si="330"/>
        <v>0</v>
      </c>
    </row>
    <row r="3721" spans="28:34">
      <c r="AB3721" s="580">
        <f>HLOOKUP("*"&amp;'Output annual'!$AC$2&amp;'Output annual'!$AD$2&amp;"*Zone People Number Of Occupants [](Hourly)",'Eplus results'!$1:$1048576,ROW(),FALSE)</f>
        <v>0</v>
      </c>
      <c r="AC3721" s="580">
        <f>HLOOKUP("*"&amp;'Output annual'!$AC$2&amp;'Output annual'!$AD$2&amp;"*FangerPMV(Hourly)",'Eplus results'!$1:$1048576,ROW(),FALSE)</f>
        <v>0</v>
      </c>
      <c r="AD3721" s="580">
        <f t="shared" si="326"/>
        <v>5</v>
      </c>
      <c r="AE3721" s="580">
        <f t="shared" si="327"/>
        <v>2.5</v>
      </c>
      <c r="AF3721" s="580">
        <f t="shared" si="328"/>
        <v>2.5</v>
      </c>
      <c r="AG3721" s="580">
        <f t="shared" si="329"/>
        <v>0</v>
      </c>
      <c r="AH3721" s="580">
        <f t="shared" si="330"/>
        <v>0</v>
      </c>
    </row>
    <row r="3722" spans="28:34">
      <c r="AB3722" s="580">
        <f>HLOOKUP("*"&amp;'Output annual'!$AC$2&amp;'Output annual'!$AD$2&amp;"*Zone People Number Of Occupants [](Hourly)",'Eplus results'!$1:$1048576,ROW(),FALSE)</f>
        <v>0</v>
      </c>
      <c r="AC3722" s="580">
        <f>HLOOKUP("*"&amp;'Output annual'!$AC$2&amp;'Output annual'!$AD$2&amp;"*FangerPMV(Hourly)",'Eplus results'!$1:$1048576,ROW(),FALSE)</f>
        <v>0</v>
      </c>
      <c r="AD3722" s="580">
        <f t="shared" si="326"/>
        <v>5</v>
      </c>
      <c r="AE3722" s="580">
        <f t="shared" si="327"/>
        <v>2.5</v>
      </c>
      <c r="AF3722" s="580">
        <f t="shared" si="328"/>
        <v>2.5</v>
      </c>
      <c r="AG3722" s="580">
        <f t="shared" si="329"/>
        <v>0</v>
      </c>
      <c r="AH3722" s="580">
        <f t="shared" si="330"/>
        <v>0</v>
      </c>
    </row>
    <row r="3723" spans="28:34">
      <c r="AB3723" s="580">
        <f>HLOOKUP("*"&amp;'Output annual'!$AC$2&amp;'Output annual'!$AD$2&amp;"*Zone People Number Of Occupants [](Hourly)",'Eplus results'!$1:$1048576,ROW(),FALSE)</f>
        <v>0</v>
      </c>
      <c r="AC3723" s="580">
        <f>HLOOKUP("*"&amp;'Output annual'!$AC$2&amp;'Output annual'!$AD$2&amp;"*FangerPMV(Hourly)",'Eplus results'!$1:$1048576,ROW(),FALSE)</f>
        <v>0</v>
      </c>
      <c r="AD3723" s="580">
        <f t="shared" si="326"/>
        <v>5</v>
      </c>
      <c r="AE3723" s="580">
        <f t="shared" si="327"/>
        <v>2.5</v>
      </c>
      <c r="AF3723" s="580">
        <f t="shared" si="328"/>
        <v>2.5</v>
      </c>
      <c r="AG3723" s="580">
        <f t="shared" si="329"/>
        <v>0</v>
      </c>
      <c r="AH3723" s="580">
        <f t="shared" si="330"/>
        <v>0</v>
      </c>
    </row>
    <row r="3724" spans="28:34">
      <c r="AB3724" s="580">
        <f>HLOOKUP("*"&amp;'Output annual'!$AC$2&amp;'Output annual'!$AD$2&amp;"*Zone People Number Of Occupants [](Hourly)",'Eplus results'!$1:$1048576,ROW(),FALSE)</f>
        <v>0</v>
      </c>
      <c r="AC3724" s="580">
        <f>HLOOKUP("*"&amp;'Output annual'!$AC$2&amp;'Output annual'!$AD$2&amp;"*FangerPMV(Hourly)",'Eplus results'!$1:$1048576,ROW(),FALSE)</f>
        <v>0</v>
      </c>
      <c r="AD3724" s="580">
        <f t="shared" si="326"/>
        <v>5</v>
      </c>
      <c r="AE3724" s="580">
        <f t="shared" si="327"/>
        <v>2.5</v>
      </c>
      <c r="AF3724" s="580">
        <f t="shared" si="328"/>
        <v>2.5</v>
      </c>
      <c r="AG3724" s="580">
        <f t="shared" si="329"/>
        <v>0</v>
      </c>
      <c r="AH3724" s="580">
        <f t="shared" si="330"/>
        <v>0</v>
      </c>
    </row>
    <row r="3725" spans="28:34">
      <c r="AB3725" s="580">
        <f>HLOOKUP("*"&amp;'Output annual'!$AC$2&amp;'Output annual'!$AD$2&amp;"*Zone People Number Of Occupants [](Hourly)",'Eplus results'!$1:$1048576,ROW(),FALSE)</f>
        <v>0</v>
      </c>
      <c r="AC3725" s="580">
        <f>HLOOKUP("*"&amp;'Output annual'!$AC$2&amp;'Output annual'!$AD$2&amp;"*FangerPMV(Hourly)",'Eplus results'!$1:$1048576,ROW(),FALSE)</f>
        <v>0</v>
      </c>
      <c r="AD3725" s="580">
        <f t="shared" si="326"/>
        <v>5</v>
      </c>
      <c r="AE3725" s="580">
        <f t="shared" si="327"/>
        <v>2.5</v>
      </c>
      <c r="AF3725" s="580">
        <f t="shared" si="328"/>
        <v>2.5</v>
      </c>
      <c r="AG3725" s="580">
        <f t="shared" si="329"/>
        <v>0</v>
      </c>
      <c r="AH3725" s="580">
        <f t="shared" si="330"/>
        <v>0</v>
      </c>
    </row>
    <row r="3726" spans="28:34">
      <c r="AB3726" s="580">
        <f>HLOOKUP("*"&amp;'Output annual'!$AC$2&amp;'Output annual'!$AD$2&amp;"*Zone People Number Of Occupants [](Hourly)",'Eplus results'!$1:$1048576,ROW(),FALSE)</f>
        <v>0</v>
      </c>
      <c r="AC3726" s="580">
        <f>HLOOKUP("*"&amp;'Output annual'!$AC$2&amp;'Output annual'!$AD$2&amp;"*FangerPMV(Hourly)",'Eplus results'!$1:$1048576,ROW(),FALSE)</f>
        <v>0</v>
      </c>
      <c r="AD3726" s="580">
        <f t="shared" si="326"/>
        <v>5</v>
      </c>
      <c r="AE3726" s="580">
        <f t="shared" si="327"/>
        <v>2.5</v>
      </c>
      <c r="AF3726" s="580">
        <f t="shared" si="328"/>
        <v>2.5</v>
      </c>
      <c r="AG3726" s="580">
        <f t="shared" si="329"/>
        <v>0</v>
      </c>
      <c r="AH3726" s="580">
        <f t="shared" si="330"/>
        <v>0</v>
      </c>
    </row>
    <row r="3727" spans="28:34">
      <c r="AB3727" s="580">
        <f>HLOOKUP("*"&amp;'Output annual'!$AC$2&amp;'Output annual'!$AD$2&amp;"*Zone People Number Of Occupants [](Hourly)",'Eplus results'!$1:$1048576,ROW(),FALSE)</f>
        <v>0</v>
      </c>
      <c r="AC3727" s="580">
        <f>HLOOKUP("*"&amp;'Output annual'!$AC$2&amp;'Output annual'!$AD$2&amp;"*FangerPMV(Hourly)",'Eplus results'!$1:$1048576,ROW(),FALSE)</f>
        <v>0</v>
      </c>
      <c r="AD3727" s="580">
        <f t="shared" si="326"/>
        <v>5</v>
      </c>
      <c r="AE3727" s="580">
        <f t="shared" si="327"/>
        <v>2.5</v>
      </c>
      <c r="AF3727" s="580">
        <f t="shared" si="328"/>
        <v>2.5</v>
      </c>
      <c r="AG3727" s="580">
        <f t="shared" si="329"/>
        <v>0</v>
      </c>
      <c r="AH3727" s="580">
        <f t="shared" si="330"/>
        <v>0</v>
      </c>
    </row>
    <row r="3728" spans="28:34">
      <c r="AB3728" s="580">
        <f>HLOOKUP("*"&amp;'Output annual'!$AC$2&amp;'Output annual'!$AD$2&amp;"*Zone People Number Of Occupants [](Hourly)",'Eplus results'!$1:$1048576,ROW(),FALSE)</f>
        <v>0</v>
      </c>
      <c r="AC3728" s="580">
        <f>HLOOKUP("*"&amp;'Output annual'!$AC$2&amp;'Output annual'!$AD$2&amp;"*FangerPMV(Hourly)",'Eplus results'!$1:$1048576,ROW(),FALSE)</f>
        <v>0</v>
      </c>
      <c r="AD3728" s="580">
        <f t="shared" si="326"/>
        <v>5</v>
      </c>
      <c r="AE3728" s="580">
        <f t="shared" si="327"/>
        <v>2.5</v>
      </c>
      <c r="AF3728" s="580">
        <f t="shared" si="328"/>
        <v>2.5</v>
      </c>
      <c r="AG3728" s="580">
        <f t="shared" si="329"/>
        <v>0</v>
      </c>
      <c r="AH3728" s="580">
        <f t="shared" si="330"/>
        <v>0</v>
      </c>
    </row>
    <row r="3729" spans="28:34">
      <c r="AB3729" s="580">
        <f>HLOOKUP("*"&amp;'Output annual'!$AC$2&amp;'Output annual'!$AD$2&amp;"*Zone People Number Of Occupants [](Hourly)",'Eplus results'!$1:$1048576,ROW(),FALSE)</f>
        <v>0</v>
      </c>
      <c r="AC3729" s="580">
        <f>HLOOKUP("*"&amp;'Output annual'!$AC$2&amp;'Output annual'!$AD$2&amp;"*FangerPMV(Hourly)",'Eplus results'!$1:$1048576,ROW(),FALSE)</f>
        <v>0</v>
      </c>
      <c r="AD3729" s="580">
        <f t="shared" si="326"/>
        <v>5</v>
      </c>
      <c r="AE3729" s="580">
        <f t="shared" si="327"/>
        <v>2.5</v>
      </c>
      <c r="AF3729" s="580">
        <f t="shared" si="328"/>
        <v>2.5</v>
      </c>
      <c r="AG3729" s="580">
        <f t="shared" si="329"/>
        <v>0</v>
      </c>
      <c r="AH3729" s="580">
        <f t="shared" si="330"/>
        <v>0</v>
      </c>
    </row>
    <row r="3730" spans="28:34">
      <c r="AB3730" s="580">
        <f>HLOOKUP("*"&amp;'Output annual'!$AC$2&amp;'Output annual'!$AD$2&amp;"*Zone People Number Of Occupants [](Hourly)",'Eplus results'!$1:$1048576,ROW(),FALSE)</f>
        <v>0</v>
      </c>
      <c r="AC3730" s="580">
        <f>HLOOKUP("*"&amp;'Output annual'!$AC$2&amp;'Output annual'!$AD$2&amp;"*FangerPMV(Hourly)",'Eplus results'!$1:$1048576,ROW(),FALSE)</f>
        <v>0</v>
      </c>
      <c r="AD3730" s="580">
        <f t="shared" si="326"/>
        <v>5</v>
      </c>
      <c r="AE3730" s="580">
        <f t="shared" si="327"/>
        <v>2.5</v>
      </c>
      <c r="AF3730" s="580">
        <f t="shared" si="328"/>
        <v>2.5</v>
      </c>
      <c r="AG3730" s="580">
        <f t="shared" si="329"/>
        <v>0</v>
      </c>
      <c r="AH3730" s="580">
        <f t="shared" si="330"/>
        <v>0</v>
      </c>
    </row>
    <row r="3731" spans="28:34">
      <c r="AB3731" s="580">
        <f>HLOOKUP("*"&amp;'Output annual'!$AC$2&amp;'Output annual'!$AD$2&amp;"*Zone People Number Of Occupants [](Hourly)",'Eplus results'!$1:$1048576,ROW(),FALSE)</f>
        <v>0</v>
      </c>
      <c r="AC3731" s="580">
        <f>HLOOKUP("*"&amp;'Output annual'!$AC$2&amp;'Output annual'!$AD$2&amp;"*FangerPMV(Hourly)",'Eplus results'!$1:$1048576,ROW(),FALSE)</f>
        <v>0</v>
      </c>
      <c r="AD3731" s="580">
        <f t="shared" si="326"/>
        <v>5</v>
      </c>
      <c r="AE3731" s="580">
        <f t="shared" si="327"/>
        <v>2.5</v>
      </c>
      <c r="AF3731" s="580">
        <f t="shared" si="328"/>
        <v>2.5</v>
      </c>
      <c r="AG3731" s="580">
        <f t="shared" si="329"/>
        <v>0</v>
      </c>
      <c r="AH3731" s="580">
        <f t="shared" si="330"/>
        <v>0</v>
      </c>
    </row>
    <row r="3732" spans="28:34">
      <c r="AB3732" s="580">
        <f>HLOOKUP("*"&amp;'Output annual'!$AC$2&amp;'Output annual'!$AD$2&amp;"*Zone People Number Of Occupants [](Hourly)",'Eplus results'!$1:$1048576,ROW(),FALSE)</f>
        <v>0</v>
      </c>
      <c r="AC3732" s="580">
        <f>HLOOKUP("*"&amp;'Output annual'!$AC$2&amp;'Output annual'!$AD$2&amp;"*FangerPMV(Hourly)",'Eplus results'!$1:$1048576,ROW(),FALSE)</f>
        <v>0</v>
      </c>
      <c r="AD3732" s="580">
        <f t="shared" si="326"/>
        <v>5</v>
      </c>
      <c r="AE3732" s="580">
        <f t="shared" si="327"/>
        <v>2.5</v>
      </c>
      <c r="AF3732" s="580">
        <f t="shared" si="328"/>
        <v>2.5</v>
      </c>
      <c r="AG3732" s="580">
        <f t="shared" si="329"/>
        <v>0</v>
      </c>
      <c r="AH3732" s="580">
        <f t="shared" si="330"/>
        <v>0</v>
      </c>
    </row>
    <row r="3733" spans="28:34">
      <c r="AB3733" s="580">
        <f>HLOOKUP("*"&amp;'Output annual'!$AC$2&amp;'Output annual'!$AD$2&amp;"*Zone People Number Of Occupants [](Hourly)",'Eplus results'!$1:$1048576,ROW(),FALSE)</f>
        <v>0</v>
      </c>
      <c r="AC3733" s="580">
        <f>HLOOKUP("*"&amp;'Output annual'!$AC$2&amp;'Output annual'!$AD$2&amp;"*FangerPMV(Hourly)",'Eplus results'!$1:$1048576,ROW(),FALSE)</f>
        <v>0</v>
      </c>
      <c r="AD3733" s="580">
        <f t="shared" si="326"/>
        <v>5</v>
      </c>
      <c r="AE3733" s="580">
        <f t="shared" si="327"/>
        <v>2.5</v>
      </c>
      <c r="AF3733" s="580">
        <f t="shared" si="328"/>
        <v>2.5</v>
      </c>
      <c r="AG3733" s="580">
        <f t="shared" si="329"/>
        <v>0</v>
      </c>
      <c r="AH3733" s="580">
        <f t="shared" si="330"/>
        <v>0</v>
      </c>
    </row>
    <row r="3734" spans="28:34">
      <c r="AB3734" s="580">
        <f>HLOOKUP("*"&amp;'Output annual'!$AC$2&amp;'Output annual'!$AD$2&amp;"*Zone People Number Of Occupants [](Hourly)",'Eplus results'!$1:$1048576,ROW(),FALSE)</f>
        <v>0</v>
      </c>
      <c r="AC3734" s="580">
        <f>HLOOKUP("*"&amp;'Output annual'!$AC$2&amp;'Output annual'!$AD$2&amp;"*FangerPMV(Hourly)",'Eplus results'!$1:$1048576,ROW(),FALSE)</f>
        <v>0</v>
      </c>
      <c r="AD3734" s="580">
        <f t="shared" si="326"/>
        <v>5</v>
      </c>
      <c r="AE3734" s="580">
        <f t="shared" si="327"/>
        <v>2.5</v>
      </c>
      <c r="AF3734" s="580">
        <f t="shared" si="328"/>
        <v>2.5</v>
      </c>
      <c r="AG3734" s="580">
        <f t="shared" si="329"/>
        <v>0</v>
      </c>
      <c r="AH3734" s="580">
        <f t="shared" si="330"/>
        <v>0</v>
      </c>
    </row>
    <row r="3735" spans="28:34">
      <c r="AB3735" s="580">
        <f>HLOOKUP("*"&amp;'Output annual'!$AC$2&amp;'Output annual'!$AD$2&amp;"*Zone People Number Of Occupants [](Hourly)",'Eplus results'!$1:$1048576,ROW(),FALSE)</f>
        <v>0</v>
      </c>
      <c r="AC3735" s="580">
        <f>HLOOKUP("*"&amp;'Output annual'!$AC$2&amp;'Output annual'!$AD$2&amp;"*FangerPMV(Hourly)",'Eplus results'!$1:$1048576,ROW(),FALSE)</f>
        <v>0</v>
      </c>
      <c r="AD3735" s="580">
        <f t="shared" si="326"/>
        <v>5</v>
      </c>
      <c r="AE3735" s="580">
        <f t="shared" si="327"/>
        <v>2.5</v>
      </c>
      <c r="AF3735" s="580">
        <f t="shared" si="328"/>
        <v>2.5</v>
      </c>
      <c r="AG3735" s="580">
        <f t="shared" si="329"/>
        <v>0</v>
      </c>
      <c r="AH3735" s="580">
        <f t="shared" si="330"/>
        <v>0</v>
      </c>
    </row>
    <row r="3736" spans="28:34">
      <c r="AB3736" s="580">
        <f>HLOOKUP("*"&amp;'Output annual'!$AC$2&amp;'Output annual'!$AD$2&amp;"*Zone People Number Of Occupants [](Hourly)",'Eplus results'!$1:$1048576,ROW(),FALSE)</f>
        <v>0</v>
      </c>
      <c r="AC3736" s="580">
        <f>HLOOKUP("*"&amp;'Output annual'!$AC$2&amp;'Output annual'!$AD$2&amp;"*FangerPMV(Hourly)",'Eplus results'!$1:$1048576,ROW(),FALSE)</f>
        <v>0</v>
      </c>
      <c r="AD3736" s="580">
        <f t="shared" si="326"/>
        <v>5</v>
      </c>
      <c r="AE3736" s="580">
        <f t="shared" si="327"/>
        <v>2.5</v>
      </c>
      <c r="AF3736" s="580">
        <f t="shared" si="328"/>
        <v>2.5</v>
      </c>
      <c r="AG3736" s="580">
        <f t="shared" si="329"/>
        <v>0</v>
      </c>
      <c r="AH3736" s="580">
        <f t="shared" si="330"/>
        <v>0</v>
      </c>
    </row>
    <row r="3737" spans="28:34">
      <c r="AB3737" s="580">
        <f>HLOOKUP("*"&amp;'Output annual'!$AC$2&amp;'Output annual'!$AD$2&amp;"*Zone People Number Of Occupants [](Hourly)",'Eplus results'!$1:$1048576,ROW(),FALSE)</f>
        <v>0</v>
      </c>
      <c r="AC3737" s="580">
        <f>HLOOKUP("*"&amp;'Output annual'!$AC$2&amp;'Output annual'!$AD$2&amp;"*FangerPMV(Hourly)",'Eplus results'!$1:$1048576,ROW(),FALSE)</f>
        <v>0</v>
      </c>
      <c r="AD3737" s="580">
        <f t="shared" si="326"/>
        <v>5</v>
      </c>
      <c r="AE3737" s="580">
        <f t="shared" si="327"/>
        <v>2.5</v>
      </c>
      <c r="AF3737" s="580">
        <f t="shared" si="328"/>
        <v>2.5</v>
      </c>
      <c r="AG3737" s="580">
        <f t="shared" si="329"/>
        <v>0</v>
      </c>
      <c r="AH3737" s="580">
        <f t="shared" si="330"/>
        <v>0</v>
      </c>
    </row>
    <row r="3738" spans="28:34">
      <c r="AB3738" s="580">
        <f>HLOOKUP("*"&amp;'Output annual'!$AC$2&amp;'Output annual'!$AD$2&amp;"*Zone People Number Of Occupants [](Hourly)",'Eplus results'!$1:$1048576,ROW(),FALSE)</f>
        <v>0</v>
      </c>
      <c r="AC3738" s="580">
        <f>HLOOKUP("*"&amp;'Output annual'!$AC$2&amp;'Output annual'!$AD$2&amp;"*FangerPMV(Hourly)",'Eplus results'!$1:$1048576,ROW(),FALSE)</f>
        <v>0</v>
      </c>
      <c r="AD3738" s="580">
        <f t="shared" si="326"/>
        <v>5</v>
      </c>
      <c r="AE3738" s="580">
        <f t="shared" si="327"/>
        <v>2.5</v>
      </c>
      <c r="AF3738" s="580">
        <f t="shared" si="328"/>
        <v>2.5</v>
      </c>
      <c r="AG3738" s="580">
        <f t="shared" si="329"/>
        <v>0</v>
      </c>
      <c r="AH3738" s="580">
        <f t="shared" si="330"/>
        <v>0</v>
      </c>
    </row>
    <row r="3739" spans="28:34">
      <c r="AB3739" s="580">
        <f>HLOOKUP("*"&amp;'Output annual'!$AC$2&amp;'Output annual'!$AD$2&amp;"*Zone People Number Of Occupants [](Hourly)",'Eplus results'!$1:$1048576,ROW(),FALSE)</f>
        <v>0</v>
      </c>
      <c r="AC3739" s="580">
        <f>HLOOKUP("*"&amp;'Output annual'!$AC$2&amp;'Output annual'!$AD$2&amp;"*FangerPMV(Hourly)",'Eplus results'!$1:$1048576,ROW(),FALSE)</f>
        <v>0</v>
      </c>
      <c r="AD3739" s="580">
        <f t="shared" si="326"/>
        <v>5</v>
      </c>
      <c r="AE3739" s="580">
        <f t="shared" si="327"/>
        <v>2.5</v>
      </c>
      <c r="AF3739" s="580">
        <f t="shared" si="328"/>
        <v>2.5</v>
      </c>
      <c r="AG3739" s="580">
        <f t="shared" si="329"/>
        <v>0</v>
      </c>
      <c r="AH3739" s="580">
        <f t="shared" si="330"/>
        <v>0</v>
      </c>
    </row>
    <row r="3740" spans="28:34">
      <c r="AB3740" s="580">
        <f>HLOOKUP("*"&amp;'Output annual'!$AC$2&amp;'Output annual'!$AD$2&amp;"*Zone People Number Of Occupants [](Hourly)",'Eplus results'!$1:$1048576,ROW(),FALSE)</f>
        <v>0</v>
      </c>
      <c r="AC3740" s="580">
        <f>HLOOKUP("*"&amp;'Output annual'!$AC$2&amp;'Output annual'!$AD$2&amp;"*FangerPMV(Hourly)",'Eplus results'!$1:$1048576,ROW(),FALSE)</f>
        <v>0</v>
      </c>
      <c r="AD3740" s="580">
        <f t="shared" si="326"/>
        <v>5</v>
      </c>
      <c r="AE3740" s="580">
        <f t="shared" si="327"/>
        <v>2.5</v>
      </c>
      <c r="AF3740" s="580">
        <f t="shared" si="328"/>
        <v>2.5</v>
      </c>
      <c r="AG3740" s="580">
        <f t="shared" si="329"/>
        <v>0</v>
      </c>
      <c r="AH3740" s="580">
        <f t="shared" si="330"/>
        <v>0</v>
      </c>
    </row>
    <row r="3741" spans="28:34">
      <c r="AB3741" s="580">
        <f>HLOOKUP("*"&amp;'Output annual'!$AC$2&amp;'Output annual'!$AD$2&amp;"*Zone People Number Of Occupants [](Hourly)",'Eplus results'!$1:$1048576,ROW(),FALSE)</f>
        <v>0</v>
      </c>
      <c r="AC3741" s="580">
        <f>HLOOKUP("*"&amp;'Output annual'!$AC$2&amp;'Output annual'!$AD$2&amp;"*FangerPMV(Hourly)",'Eplus results'!$1:$1048576,ROW(),FALSE)</f>
        <v>0</v>
      </c>
      <c r="AD3741" s="580">
        <f t="shared" si="326"/>
        <v>5</v>
      </c>
      <c r="AE3741" s="580">
        <f t="shared" si="327"/>
        <v>2.5</v>
      </c>
      <c r="AF3741" s="580">
        <f t="shared" si="328"/>
        <v>2.5</v>
      </c>
      <c r="AG3741" s="580">
        <f t="shared" si="329"/>
        <v>0</v>
      </c>
      <c r="AH3741" s="580">
        <f t="shared" si="330"/>
        <v>0</v>
      </c>
    </row>
    <row r="3742" spans="28:34">
      <c r="AB3742" s="580">
        <f>HLOOKUP("*"&amp;'Output annual'!$AC$2&amp;'Output annual'!$AD$2&amp;"*Zone People Number Of Occupants [](Hourly)",'Eplus results'!$1:$1048576,ROW(),FALSE)</f>
        <v>0</v>
      </c>
      <c r="AC3742" s="580">
        <f>HLOOKUP("*"&amp;'Output annual'!$AC$2&amp;'Output annual'!$AD$2&amp;"*FangerPMV(Hourly)",'Eplus results'!$1:$1048576,ROW(),FALSE)</f>
        <v>0</v>
      </c>
      <c r="AD3742" s="580">
        <f t="shared" si="326"/>
        <v>5</v>
      </c>
      <c r="AE3742" s="580">
        <f t="shared" si="327"/>
        <v>2.5</v>
      </c>
      <c r="AF3742" s="580">
        <f t="shared" si="328"/>
        <v>2.5</v>
      </c>
      <c r="AG3742" s="580">
        <f t="shared" si="329"/>
        <v>0</v>
      </c>
      <c r="AH3742" s="580">
        <f t="shared" si="330"/>
        <v>0</v>
      </c>
    </row>
    <row r="3743" spans="28:34">
      <c r="AB3743" s="580">
        <f>HLOOKUP("*"&amp;'Output annual'!$AC$2&amp;'Output annual'!$AD$2&amp;"*Zone People Number Of Occupants [](Hourly)",'Eplus results'!$1:$1048576,ROW(),FALSE)</f>
        <v>0</v>
      </c>
      <c r="AC3743" s="580">
        <f>HLOOKUP("*"&amp;'Output annual'!$AC$2&amp;'Output annual'!$AD$2&amp;"*FangerPMV(Hourly)",'Eplus results'!$1:$1048576,ROW(),FALSE)</f>
        <v>0</v>
      </c>
      <c r="AD3743" s="580">
        <f t="shared" si="326"/>
        <v>5</v>
      </c>
      <c r="AE3743" s="580">
        <f t="shared" si="327"/>
        <v>2.5</v>
      </c>
      <c r="AF3743" s="580">
        <f t="shared" si="328"/>
        <v>2.5</v>
      </c>
      <c r="AG3743" s="580">
        <f t="shared" si="329"/>
        <v>0</v>
      </c>
      <c r="AH3743" s="580">
        <f t="shared" si="330"/>
        <v>0</v>
      </c>
    </row>
    <row r="3744" spans="28:34">
      <c r="AB3744" s="580">
        <f>HLOOKUP("*"&amp;'Output annual'!$AC$2&amp;'Output annual'!$AD$2&amp;"*Zone People Number Of Occupants [](Hourly)",'Eplus results'!$1:$1048576,ROW(),FALSE)</f>
        <v>0</v>
      </c>
      <c r="AC3744" s="580">
        <f>HLOOKUP("*"&amp;'Output annual'!$AC$2&amp;'Output annual'!$AD$2&amp;"*FangerPMV(Hourly)",'Eplus results'!$1:$1048576,ROW(),FALSE)</f>
        <v>0</v>
      </c>
      <c r="AD3744" s="580">
        <f t="shared" si="326"/>
        <v>5</v>
      </c>
      <c r="AE3744" s="580">
        <f t="shared" si="327"/>
        <v>2.5</v>
      </c>
      <c r="AF3744" s="580">
        <f t="shared" si="328"/>
        <v>2.5</v>
      </c>
      <c r="AG3744" s="580">
        <f t="shared" si="329"/>
        <v>0</v>
      </c>
      <c r="AH3744" s="580">
        <f t="shared" si="330"/>
        <v>0</v>
      </c>
    </row>
    <row r="3745" spans="28:34">
      <c r="AB3745" s="580">
        <f>HLOOKUP("*"&amp;'Output annual'!$AC$2&amp;'Output annual'!$AD$2&amp;"*Zone People Number Of Occupants [](Hourly)",'Eplus results'!$1:$1048576,ROW(),FALSE)</f>
        <v>0</v>
      </c>
      <c r="AC3745" s="580">
        <f>HLOOKUP("*"&amp;'Output annual'!$AC$2&amp;'Output annual'!$AD$2&amp;"*FangerPMV(Hourly)",'Eplus results'!$1:$1048576,ROW(),FALSE)</f>
        <v>0</v>
      </c>
      <c r="AD3745" s="580">
        <f t="shared" si="326"/>
        <v>5</v>
      </c>
      <c r="AE3745" s="580">
        <f t="shared" si="327"/>
        <v>2.5</v>
      </c>
      <c r="AF3745" s="580">
        <f t="shared" si="328"/>
        <v>2.5</v>
      </c>
      <c r="AG3745" s="580">
        <f t="shared" si="329"/>
        <v>0</v>
      </c>
      <c r="AH3745" s="580">
        <f t="shared" si="330"/>
        <v>0</v>
      </c>
    </row>
    <row r="3746" spans="28:34">
      <c r="AB3746" s="580">
        <f>HLOOKUP("*"&amp;'Output annual'!$AC$2&amp;'Output annual'!$AD$2&amp;"*Zone People Number Of Occupants [](Hourly)",'Eplus results'!$1:$1048576,ROW(),FALSE)</f>
        <v>0</v>
      </c>
      <c r="AC3746" s="580">
        <f>HLOOKUP("*"&amp;'Output annual'!$AC$2&amp;'Output annual'!$AD$2&amp;"*FangerPMV(Hourly)",'Eplus results'!$1:$1048576,ROW(),FALSE)</f>
        <v>0</v>
      </c>
      <c r="AD3746" s="580">
        <f t="shared" si="326"/>
        <v>5</v>
      </c>
      <c r="AE3746" s="580">
        <f t="shared" si="327"/>
        <v>2.5</v>
      </c>
      <c r="AF3746" s="580">
        <f t="shared" si="328"/>
        <v>2.5</v>
      </c>
      <c r="AG3746" s="580">
        <f t="shared" si="329"/>
        <v>0</v>
      </c>
      <c r="AH3746" s="580">
        <f t="shared" si="330"/>
        <v>0</v>
      </c>
    </row>
    <row r="3747" spans="28:34">
      <c r="AB3747" s="580">
        <f>HLOOKUP("*"&amp;'Output annual'!$AC$2&amp;'Output annual'!$AD$2&amp;"*Zone People Number Of Occupants [](Hourly)",'Eplus results'!$1:$1048576,ROW(),FALSE)</f>
        <v>0</v>
      </c>
      <c r="AC3747" s="580">
        <f>HLOOKUP("*"&amp;'Output annual'!$AC$2&amp;'Output annual'!$AD$2&amp;"*FangerPMV(Hourly)",'Eplus results'!$1:$1048576,ROW(),FALSE)</f>
        <v>0</v>
      </c>
      <c r="AD3747" s="580">
        <f t="shared" si="326"/>
        <v>5</v>
      </c>
      <c r="AE3747" s="580">
        <f t="shared" si="327"/>
        <v>2.5</v>
      </c>
      <c r="AF3747" s="580">
        <f t="shared" si="328"/>
        <v>2.5</v>
      </c>
      <c r="AG3747" s="580">
        <f t="shared" si="329"/>
        <v>0</v>
      </c>
      <c r="AH3747" s="580">
        <f t="shared" si="330"/>
        <v>0</v>
      </c>
    </row>
    <row r="3748" spans="28:34">
      <c r="AB3748" s="580">
        <f>HLOOKUP("*"&amp;'Output annual'!$AC$2&amp;'Output annual'!$AD$2&amp;"*Zone People Number Of Occupants [](Hourly)",'Eplus results'!$1:$1048576,ROW(),FALSE)</f>
        <v>0</v>
      </c>
      <c r="AC3748" s="580">
        <f>HLOOKUP("*"&amp;'Output annual'!$AC$2&amp;'Output annual'!$AD$2&amp;"*FangerPMV(Hourly)",'Eplus results'!$1:$1048576,ROW(),FALSE)</f>
        <v>0</v>
      </c>
      <c r="AD3748" s="580">
        <f t="shared" si="326"/>
        <v>5</v>
      </c>
      <c r="AE3748" s="580">
        <f t="shared" si="327"/>
        <v>2.5</v>
      </c>
      <c r="AF3748" s="580">
        <f t="shared" si="328"/>
        <v>2.5</v>
      </c>
      <c r="AG3748" s="580">
        <f t="shared" si="329"/>
        <v>0</v>
      </c>
      <c r="AH3748" s="580">
        <f t="shared" si="330"/>
        <v>0</v>
      </c>
    </row>
    <row r="3749" spans="28:34">
      <c r="AB3749" s="580">
        <f>HLOOKUP("*"&amp;'Output annual'!$AC$2&amp;'Output annual'!$AD$2&amp;"*Zone People Number Of Occupants [](Hourly)",'Eplus results'!$1:$1048576,ROW(),FALSE)</f>
        <v>0</v>
      </c>
      <c r="AC3749" s="580">
        <f>HLOOKUP("*"&amp;'Output annual'!$AC$2&amp;'Output annual'!$AD$2&amp;"*FangerPMV(Hourly)",'Eplus results'!$1:$1048576,ROW(),FALSE)</f>
        <v>0</v>
      </c>
      <c r="AD3749" s="580">
        <f t="shared" si="326"/>
        <v>5</v>
      </c>
      <c r="AE3749" s="580">
        <f t="shared" si="327"/>
        <v>2.5</v>
      </c>
      <c r="AF3749" s="580">
        <f t="shared" si="328"/>
        <v>2.5</v>
      </c>
      <c r="AG3749" s="580">
        <f t="shared" si="329"/>
        <v>0</v>
      </c>
      <c r="AH3749" s="580">
        <f t="shared" si="330"/>
        <v>0</v>
      </c>
    </row>
    <row r="3750" spans="28:34">
      <c r="AB3750" s="580">
        <f>HLOOKUP("*"&amp;'Output annual'!$AC$2&amp;'Output annual'!$AD$2&amp;"*Zone People Number Of Occupants [](Hourly)",'Eplus results'!$1:$1048576,ROW(),FALSE)</f>
        <v>0</v>
      </c>
      <c r="AC3750" s="580">
        <f>HLOOKUP("*"&amp;'Output annual'!$AC$2&amp;'Output annual'!$AD$2&amp;"*FangerPMV(Hourly)",'Eplus results'!$1:$1048576,ROW(),FALSE)</f>
        <v>0</v>
      </c>
      <c r="AD3750" s="580">
        <f t="shared" si="326"/>
        <v>5</v>
      </c>
      <c r="AE3750" s="580">
        <f t="shared" si="327"/>
        <v>2.5</v>
      </c>
      <c r="AF3750" s="580">
        <f t="shared" si="328"/>
        <v>2.5</v>
      </c>
      <c r="AG3750" s="580">
        <f t="shared" si="329"/>
        <v>0</v>
      </c>
      <c r="AH3750" s="580">
        <f t="shared" si="330"/>
        <v>0</v>
      </c>
    </row>
    <row r="3751" spans="28:34">
      <c r="AB3751" s="580">
        <f>HLOOKUP("*"&amp;'Output annual'!$AC$2&amp;'Output annual'!$AD$2&amp;"*Zone People Number Of Occupants [](Hourly)",'Eplus results'!$1:$1048576,ROW(),FALSE)</f>
        <v>0</v>
      </c>
      <c r="AC3751" s="580">
        <f>HLOOKUP("*"&amp;'Output annual'!$AC$2&amp;'Output annual'!$AD$2&amp;"*FangerPMV(Hourly)",'Eplus results'!$1:$1048576,ROW(),FALSE)</f>
        <v>0</v>
      </c>
      <c r="AD3751" s="580">
        <f t="shared" si="326"/>
        <v>5</v>
      </c>
      <c r="AE3751" s="580">
        <f t="shared" si="327"/>
        <v>2.5</v>
      </c>
      <c r="AF3751" s="580">
        <f t="shared" si="328"/>
        <v>2.5</v>
      </c>
      <c r="AG3751" s="580">
        <f t="shared" si="329"/>
        <v>0</v>
      </c>
      <c r="AH3751" s="580">
        <f t="shared" si="330"/>
        <v>0</v>
      </c>
    </row>
    <row r="3752" spans="28:34">
      <c r="AB3752" s="580">
        <f>HLOOKUP("*"&amp;'Output annual'!$AC$2&amp;'Output annual'!$AD$2&amp;"*Zone People Number Of Occupants [](Hourly)",'Eplus results'!$1:$1048576,ROW(),FALSE)</f>
        <v>0</v>
      </c>
      <c r="AC3752" s="580">
        <f>HLOOKUP("*"&amp;'Output annual'!$AC$2&amp;'Output annual'!$AD$2&amp;"*FangerPMV(Hourly)",'Eplus results'!$1:$1048576,ROW(),FALSE)</f>
        <v>0</v>
      </c>
      <c r="AD3752" s="580">
        <f t="shared" si="326"/>
        <v>5</v>
      </c>
      <c r="AE3752" s="580">
        <f t="shared" si="327"/>
        <v>2.5</v>
      </c>
      <c r="AF3752" s="580">
        <f t="shared" si="328"/>
        <v>2.5</v>
      </c>
      <c r="AG3752" s="580">
        <f t="shared" si="329"/>
        <v>0</v>
      </c>
      <c r="AH3752" s="580">
        <f t="shared" si="330"/>
        <v>0</v>
      </c>
    </row>
    <row r="3753" spans="28:34">
      <c r="AB3753" s="580">
        <f>HLOOKUP("*"&amp;'Output annual'!$AC$2&amp;'Output annual'!$AD$2&amp;"*Zone People Number Of Occupants [](Hourly)",'Eplus results'!$1:$1048576,ROW(),FALSE)</f>
        <v>0</v>
      </c>
      <c r="AC3753" s="580">
        <f>HLOOKUP("*"&amp;'Output annual'!$AC$2&amp;'Output annual'!$AD$2&amp;"*FangerPMV(Hourly)",'Eplus results'!$1:$1048576,ROW(),FALSE)</f>
        <v>0</v>
      </c>
      <c r="AD3753" s="580">
        <f t="shared" si="326"/>
        <v>5</v>
      </c>
      <c r="AE3753" s="580">
        <f t="shared" si="327"/>
        <v>2.5</v>
      </c>
      <c r="AF3753" s="580">
        <f t="shared" si="328"/>
        <v>2.5</v>
      </c>
      <c r="AG3753" s="580">
        <f t="shared" si="329"/>
        <v>0</v>
      </c>
      <c r="AH3753" s="580">
        <f t="shared" si="330"/>
        <v>0</v>
      </c>
    </row>
    <row r="3754" spans="28:34">
      <c r="AB3754" s="580">
        <f>HLOOKUP("*"&amp;'Output annual'!$AC$2&amp;'Output annual'!$AD$2&amp;"*Zone People Number Of Occupants [](Hourly)",'Eplus results'!$1:$1048576,ROW(),FALSE)</f>
        <v>0</v>
      </c>
      <c r="AC3754" s="580">
        <f>HLOOKUP("*"&amp;'Output annual'!$AC$2&amp;'Output annual'!$AD$2&amp;"*FangerPMV(Hourly)",'Eplus results'!$1:$1048576,ROW(),FALSE)</f>
        <v>0</v>
      </c>
      <c r="AD3754" s="580">
        <f t="shared" si="326"/>
        <v>5</v>
      </c>
      <c r="AE3754" s="580">
        <f t="shared" si="327"/>
        <v>2.5</v>
      </c>
      <c r="AF3754" s="580">
        <f t="shared" si="328"/>
        <v>2.5</v>
      </c>
      <c r="AG3754" s="580">
        <f t="shared" si="329"/>
        <v>0</v>
      </c>
      <c r="AH3754" s="580">
        <f t="shared" si="330"/>
        <v>0</v>
      </c>
    </row>
    <row r="3755" spans="28:34">
      <c r="AB3755" s="580">
        <f>HLOOKUP("*"&amp;'Output annual'!$AC$2&amp;'Output annual'!$AD$2&amp;"*Zone People Number Of Occupants [](Hourly)",'Eplus results'!$1:$1048576,ROW(),FALSE)</f>
        <v>0</v>
      </c>
      <c r="AC3755" s="580">
        <f>HLOOKUP("*"&amp;'Output annual'!$AC$2&amp;'Output annual'!$AD$2&amp;"*FangerPMV(Hourly)",'Eplus results'!$1:$1048576,ROW(),FALSE)</f>
        <v>0</v>
      </c>
      <c r="AD3755" s="580">
        <f t="shared" si="326"/>
        <v>5</v>
      </c>
      <c r="AE3755" s="580">
        <f t="shared" si="327"/>
        <v>2.5</v>
      </c>
      <c r="AF3755" s="580">
        <f t="shared" si="328"/>
        <v>2.5</v>
      </c>
      <c r="AG3755" s="580">
        <f t="shared" si="329"/>
        <v>0</v>
      </c>
      <c r="AH3755" s="580">
        <f t="shared" si="330"/>
        <v>0</v>
      </c>
    </row>
    <row r="3756" spans="28:34">
      <c r="AB3756" s="580">
        <f>HLOOKUP("*"&amp;'Output annual'!$AC$2&amp;'Output annual'!$AD$2&amp;"*Zone People Number Of Occupants [](Hourly)",'Eplus results'!$1:$1048576,ROW(),FALSE)</f>
        <v>0</v>
      </c>
      <c r="AC3756" s="580">
        <f>HLOOKUP("*"&amp;'Output annual'!$AC$2&amp;'Output annual'!$AD$2&amp;"*FangerPMV(Hourly)",'Eplus results'!$1:$1048576,ROW(),FALSE)</f>
        <v>0</v>
      </c>
      <c r="AD3756" s="580">
        <f t="shared" si="326"/>
        <v>5</v>
      </c>
      <c r="AE3756" s="580">
        <f t="shared" si="327"/>
        <v>2.5</v>
      </c>
      <c r="AF3756" s="580">
        <f t="shared" si="328"/>
        <v>2.5</v>
      </c>
      <c r="AG3756" s="580">
        <f t="shared" si="329"/>
        <v>0</v>
      </c>
      <c r="AH3756" s="580">
        <f t="shared" si="330"/>
        <v>0</v>
      </c>
    </row>
    <row r="3757" spans="28:34">
      <c r="AB3757" s="580">
        <f>HLOOKUP("*"&amp;'Output annual'!$AC$2&amp;'Output annual'!$AD$2&amp;"*Zone People Number Of Occupants [](Hourly)",'Eplus results'!$1:$1048576,ROW(),FALSE)</f>
        <v>0</v>
      </c>
      <c r="AC3757" s="580">
        <f>HLOOKUP("*"&amp;'Output annual'!$AC$2&amp;'Output annual'!$AD$2&amp;"*FangerPMV(Hourly)",'Eplus results'!$1:$1048576,ROW(),FALSE)</f>
        <v>0</v>
      </c>
      <c r="AD3757" s="580">
        <f t="shared" si="326"/>
        <v>5</v>
      </c>
      <c r="AE3757" s="580">
        <f t="shared" si="327"/>
        <v>2.5</v>
      </c>
      <c r="AF3757" s="580">
        <f t="shared" si="328"/>
        <v>2.5</v>
      </c>
      <c r="AG3757" s="580">
        <f t="shared" si="329"/>
        <v>0</v>
      </c>
      <c r="AH3757" s="580">
        <f t="shared" si="330"/>
        <v>0</v>
      </c>
    </row>
    <row r="3758" spans="28:34">
      <c r="AB3758" s="580">
        <f>HLOOKUP("*"&amp;'Output annual'!$AC$2&amp;'Output annual'!$AD$2&amp;"*Zone People Number Of Occupants [](Hourly)",'Eplus results'!$1:$1048576,ROW(),FALSE)</f>
        <v>0</v>
      </c>
      <c r="AC3758" s="580">
        <f>HLOOKUP("*"&amp;'Output annual'!$AC$2&amp;'Output annual'!$AD$2&amp;"*FangerPMV(Hourly)",'Eplus results'!$1:$1048576,ROW(),FALSE)</f>
        <v>0</v>
      </c>
      <c r="AD3758" s="580">
        <f t="shared" si="326"/>
        <v>5</v>
      </c>
      <c r="AE3758" s="580">
        <f t="shared" si="327"/>
        <v>2.5</v>
      </c>
      <c r="AF3758" s="580">
        <f t="shared" si="328"/>
        <v>2.5</v>
      </c>
      <c r="AG3758" s="580">
        <f t="shared" si="329"/>
        <v>0</v>
      </c>
      <c r="AH3758" s="580">
        <f t="shared" si="330"/>
        <v>0</v>
      </c>
    </row>
    <row r="3759" spans="28:34">
      <c r="AB3759" s="580">
        <f>HLOOKUP("*"&amp;'Output annual'!$AC$2&amp;'Output annual'!$AD$2&amp;"*Zone People Number Of Occupants [](Hourly)",'Eplus results'!$1:$1048576,ROW(),FALSE)</f>
        <v>0</v>
      </c>
      <c r="AC3759" s="580">
        <f>HLOOKUP("*"&amp;'Output annual'!$AC$2&amp;'Output annual'!$AD$2&amp;"*FangerPMV(Hourly)",'Eplus results'!$1:$1048576,ROW(),FALSE)</f>
        <v>0</v>
      </c>
      <c r="AD3759" s="580">
        <f t="shared" si="326"/>
        <v>5</v>
      </c>
      <c r="AE3759" s="580">
        <f t="shared" si="327"/>
        <v>2.5</v>
      </c>
      <c r="AF3759" s="580">
        <f t="shared" si="328"/>
        <v>2.5</v>
      </c>
      <c r="AG3759" s="580">
        <f t="shared" si="329"/>
        <v>0</v>
      </c>
      <c r="AH3759" s="580">
        <f t="shared" si="330"/>
        <v>0</v>
      </c>
    </row>
    <row r="3760" spans="28:34">
      <c r="AB3760" s="580">
        <f>HLOOKUP("*"&amp;'Output annual'!$AC$2&amp;'Output annual'!$AD$2&amp;"*Zone People Number Of Occupants [](Hourly)",'Eplus results'!$1:$1048576,ROW(),FALSE)</f>
        <v>0</v>
      </c>
      <c r="AC3760" s="580">
        <f>HLOOKUP("*"&amp;'Output annual'!$AC$2&amp;'Output annual'!$AD$2&amp;"*FangerPMV(Hourly)",'Eplus results'!$1:$1048576,ROW(),FALSE)</f>
        <v>0</v>
      </c>
      <c r="AD3760" s="580">
        <f t="shared" si="326"/>
        <v>5</v>
      </c>
      <c r="AE3760" s="580">
        <f t="shared" si="327"/>
        <v>2.5</v>
      </c>
      <c r="AF3760" s="580">
        <f t="shared" si="328"/>
        <v>2.5</v>
      </c>
      <c r="AG3760" s="580">
        <f t="shared" si="329"/>
        <v>0</v>
      </c>
      <c r="AH3760" s="580">
        <f t="shared" si="330"/>
        <v>0</v>
      </c>
    </row>
    <row r="3761" spans="28:34">
      <c r="AB3761" s="580">
        <f>HLOOKUP("*"&amp;'Output annual'!$AC$2&amp;'Output annual'!$AD$2&amp;"*Zone People Number Of Occupants [](Hourly)",'Eplus results'!$1:$1048576,ROW(),FALSE)</f>
        <v>0</v>
      </c>
      <c r="AC3761" s="580">
        <f>HLOOKUP("*"&amp;'Output annual'!$AC$2&amp;'Output annual'!$AD$2&amp;"*FangerPMV(Hourly)",'Eplus results'!$1:$1048576,ROW(),FALSE)</f>
        <v>0</v>
      </c>
      <c r="AD3761" s="580">
        <f t="shared" si="326"/>
        <v>5</v>
      </c>
      <c r="AE3761" s="580">
        <f t="shared" si="327"/>
        <v>2.5</v>
      </c>
      <c r="AF3761" s="580">
        <f t="shared" si="328"/>
        <v>2.5</v>
      </c>
      <c r="AG3761" s="580">
        <f t="shared" si="329"/>
        <v>0</v>
      </c>
      <c r="AH3761" s="580">
        <f t="shared" si="330"/>
        <v>0</v>
      </c>
    </row>
    <row r="3762" spans="28:34">
      <c r="AB3762" s="580">
        <f>HLOOKUP("*"&amp;'Output annual'!$AC$2&amp;'Output annual'!$AD$2&amp;"*Zone People Number Of Occupants [](Hourly)",'Eplus results'!$1:$1048576,ROW(),FALSE)</f>
        <v>0</v>
      </c>
      <c r="AC3762" s="580">
        <f>HLOOKUP("*"&amp;'Output annual'!$AC$2&amp;'Output annual'!$AD$2&amp;"*FangerPMV(Hourly)",'Eplus results'!$1:$1048576,ROW(),FALSE)</f>
        <v>0</v>
      </c>
      <c r="AD3762" s="580">
        <f t="shared" si="326"/>
        <v>5</v>
      </c>
      <c r="AE3762" s="580">
        <f t="shared" si="327"/>
        <v>2.5</v>
      </c>
      <c r="AF3762" s="580">
        <f t="shared" si="328"/>
        <v>2.5</v>
      </c>
      <c r="AG3762" s="580">
        <f t="shared" si="329"/>
        <v>0</v>
      </c>
      <c r="AH3762" s="580">
        <f t="shared" si="330"/>
        <v>0</v>
      </c>
    </row>
    <row r="3763" spans="28:34">
      <c r="AB3763" s="580">
        <f>HLOOKUP("*"&amp;'Output annual'!$AC$2&amp;'Output annual'!$AD$2&amp;"*Zone People Number Of Occupants [](Hourly)",'Eplus results'!$1:$1048576,ROW(),FALSE)</f>
        <v>0</v>
      </c>
      <c r="AC3763" s="580">
        <f>HLOOKUP("*"&amp;'Output annual'!$AC$2&amp;'Output annual'!$AD$2&amp;"*FangerPMV(Hourly)",'Eplus results'!$1:$1048576,ROW(),FALSE)</f>
        <v>0</v>
      </c>
      <c r="AD3763" s="580">
        <f t="shared" si="326"/>
        <v>5</v>
      </c>
      <c r="AE3763" s="580">
        <f t="shared" si="327"/>
        <v>2.5</v>
      </c>
      <c r="AF3763" s="580">
        <f t="shared" si="328"/>
        <v>2.5</v>
      </c>
      <c r="AG3763" s="580">
        <f t="shared" si="329"/>
        <v>0</v>
      </c>
      <c r="AH3763" s="580">
        <f t="shared" si="330"/>
        <v>0</v>
      </c>
    </row>
    <row r="3764" spans="28:34">
      <c r="AB3764" s="580">
        <f>HLOOKUP("*"&amp;'Output annual'!$AC$2&amp;'Output annual'!$AD$2&amp;"*Zone People Number Of Occupants [](Hourly)",'Eplus results'!$1:$1048576,ROW(),FALSE)</f>
        <v>0</v>
      </c>
      <c r="AC3764" s="580">
        <f>HLOOKUP("*"&amp;'Output annual'!$AC$2&amp;'Output annual'!$AD$2&amp;"*FangerPMV(Hourly)",'Eplus results'!$1:$1048576,ROW(),FALSE)</f>
        <v>0</v>
      </c>
      <c r="AD3764" s="580">
        <f t="shared" si="326"/>
        <v>5</v>
      </c>
      <c r="AE3764" s="580">
        <f t="shared" si="327"/>
        <v>2.5</v>
      </c>
      <c r="AF3764" s="580">
        <f t="shared" si="328"/>
        <v>2.5</v>
      </c>
      <c r="AG3764" s="580">
        <f t="shared" si="329"/>
        <v>0</v>
      </c>
      <c r="AH3764" s="580">
        <f t="shared" si="330"/>
        <v>0</v>
      </c>
    </row>
    <row r="3765" spans="28:34">
      <c r="AB3765" s="580">
        <f>HLOOKUP("*"&amp;'Output annual'!$AC$2&amp;'Output annual'!$AD$2&amp;"*Zone People Number Of Occupants [](Hourly)",'Eplus results'!$1:$1048576,ROW(),FALSE)</f>
        <v>0</v>
      </c>
      <c r="AC3765" s="580">
        <f>HLOOKUP("*"&amp;'Output annual'!$AC$2&amp;'Output annual'!$AD$2&amp;"*FangerPMV(Hourly)",'Eplus results'!$1:$1048576,ROW(),FALSE)</f>
        <v>0</v>
      </c>
      <c r="AD3765" s="580">
        <f t="shared" si="326"/>
        <v>5</v>
      </c>
      <c r="AE3765" s="580">
        <f t="shared" si="327"/>
        <v>2.5</v>
      </c>
      <c r="AF3765" s="580">
        <f t="shared" si="328"/>
        <v>2.5</v>
      </c>
      <c r="AG3765" s="580">
        <f t="shared" si="329"/>
        <v>0</v>
      </c>
      <c r="AH3765" s="580">
        <f t="shared" si="330"/>
        <v>0</v>
      </c>
    </row>
    <row r="3766" spans="28:34">
      <c r="AB3766" s="580">
        <f>HLOOKUP("*"&amp;'Output annual'!$AC$2&amp;'Output annual'!$AD$2&amp;"*Zone People Number Of Occupants [](Hourly)",'Eplus results'!$1:$1048576,ROW(),FALSE)</f>
        <v>0</v>
      </c>
      <c r="AC3766" s="580">
        <f>HLOOKUP("*"&amp;'Output annual'!$AC$2&amp;'Output annual'!$AD$2&amp;"*FangerPMV(Hourly)",'Eplus results'!$1:$1048576,ROW(),FALSE)</f>
        <v>0</v>
      </c>
      <c r="AD3766" s="580">
        <f t="shared" si="326"/>
        <v>5</v>
      </c>
      <c r="AE3766" s="580">
        <f t="shared" si="327"/>
        <v>2.5</v>
      </c>
      <c r="AF3766" s="580">
        <f t="shared" si="328"/>
        <v>2.5</v>
      </c>
      <c r="AG3766" s="580">
        <f t="shared" si="329"/>
        <v>0</v>
      </c>
      <c r="AH3766" s="580">
        <f t="shared" si="330"/>
        <v>0</v>
      </c>
    </row>
    <row r="3767" spans="28:34">
      <c r="AB3767" s="580">
        <f>HLOOKUP("*"&amp;'Output annual'!$AC$2&amp;'Output annual'!$AD$2&amp;"*Zone People Number Of Occupants [](Hourly)",'Eplus results'!$1:$1048576,ROW(),FALSE)</f>
        <v>0</v>
      </c>
      <c r="AC3767" s="580">
        <f>HLOOKUP("*"&amp;'Output annual'!$AC$2&amp;'Output annual'!$AD$2&amp;"*FangerPMV(Hourly)",'Eplus results'!$1:$1048576,ROW(),FALSE)</f>
        <v>0</v>
      </c>
      <c r="AD3767" s="580">
        <f t="shared" si="326"/>
        <v>5</v>
      </c>
      <c r="AE3767" s="580">
        <f t="shared" si="327"/>
        <v>2.5</v>
      </c>
      <c r="AF3767" s="580">
        <f t="shared" si="328"/>
        <v>2.5</v>
      </c>
      <c r="AG3767" s="580">
        <f t="shared" si="329"/>
        <v>0</v>
      </c>
      <c r="AH3767" s="580">
        <f t="shared" si="330"/>
        <v>0</v>
      </c>
    </row>
    <row r="3768" spans="28:34">
      <c r="AB3768" s="580">
        <f>HLOOKUP("*"&amp;'Output annual'!$AC$2&amp;'Output annual'!$AD$2&amp;"*Zone People Number Of Occupants [](Hourly)",'Eplus results'!$1:$1048576,ROW(),FALSE)</f>
        <v>0</v>
      </c>
      <c r="AC3768" s="580">
        <f>HLOOKUP("*"&amp;'Output annual'!$AC$2&amp;'Output annual'!$AD$2&amp;"*FangerPMV(Hourly)",'Eplus results'!$1:$1048576,ROW(),FALSE)</f>
        <v>0</v>
      </c>
      <c r="AD3768" s="580">
        <f t="shared" si="326"/>
        <v>5</v>
      </c>
      <c r="AE3768" s="580">
        <f t="shared" si="327"/>
        <v>2.5</v>
      </c>
      <c r="AF3768" s="580">
        <f t="shared" si="328"/>
        <v>2.5</v>
      </c>
      <c r="AG3768" s="580">
        <f t="shared" si="329"/>
        <v>0</v>
      </c>
      <c r="AH3768" s="580">
        <f t="shared" si="330"/>
        <v>0</v>
      </c>
    </row>
    <row r="3769" spans="28:34">
      <c r="AB3769" s="580">
        <f>HLOOKUP("*"&amp;'Output annual'!$AC$2&amp;'Output annual'!$AD$2&amp;"*Zone People Number Of Occupants [](Hourly)",'Eplus results'!$1:$1048576,ROW(),FALSE)</f>
        <v>0</v>
      </c>
      <c r="AC3769" s="580">
        <f>HLOOKUP("*"&amp;'Output annual'!$AC$2&amp;'Output annual'!$AD$2&amp;"*FangerPMV(Hourly)",'Eplus results'!$1:$1048576,ROW(),FALSE)</f>
        <v>0</v>
      </c>
      <c r="AD3769" s="580">
        <f t="shared" si="326"/>
        <v>5</v>
      </c>
      <c r="AE3769" s="580">
        <f t="shared" si="327"/>
        <v>2.5</v>
      </c>
      <c r="AF3769" s="580">
        <f t="shared" si="328"/>
        <v>2.5</v>
      </c>
      <c r="AG3769" s="580">
        <f t="shared" si="329"/>
        <v>0</v>
      </c>
      <c r="AH3769" s="580">
        <f t="shared" si="330"/>
        <v>0</v>
      </c>
    </row>
    <row r="3770" spans="28:34">
      <c r="AB3770" s="580">
        <f>HLOOKUP("*"&amp;'Output annual'!$AC$2&amp;'Output annual'!$AD$2&amp;"*Zone People Number Of Occupants [](Hourly)",'Eplus results'!$1:$1048576,ROW(),FALSE)</f>
        <v>0</v>
      </c>
      <c r="AC3770" s="580">
        <f>HLOOKUP("*"&amp;'Output annual'!$AC$2&amp;'Output annual'!$AD$2&amp;"*FangerPMV(Hourly)",'Eplus results'!$1:$1048576,ROW(),FALSE)</f>
        <v>0</v>
      </c>
      <c r="AD3770" s="580">
        <f t="shared" si="326"/>
        <v>5</v>
      </c>
      <c r="AE3770" s="580">
        <f t="shared" si="327"/>
        <v>2.5</v>
      </c>
      <c r="AF3770" s="580">
        <f t="shared" si="328"/>
        <v>2.5</v>
      </c>
      <c r="AG3770" s="580">
        <f t="shared" si="329"/>
        <v>0</v>
      </c>
      <c r="AH3770" s="580">
        <f t="shared" si="330"/>
        <v>0</v>
      </c>
    </row>
    <row r="3771" spans="28:34">
      <c r="AB3771" s="580">
        <f>HLOOKUP("*"&amp;'Output annual'!$AC$2&amp;'Output annual'!$AD$2&amp;"*Zone People Number Of Occupants [](Hourly)",'Eplus results'!$1:$1048576,ROW(),FALSE)</f>
        <v>0</v>
      </c>
      <c r="AC3771" s="580">
        <f>HLOOKUP("*"&amp;'Output annual'!$AC$2&amp;'Output annual'!$AD$2&amp;"*FangerPMV(Hourly)",'Eplus results'!$1:$1048576,ROW(),FALSE)</f>
        <v>0</v>
      </c>
      <c r="AD3771" s="580">
        <f t="shared" si="326"/>
        <v>5</v>
      </c>
      <c r="AE3771" s="580">
        <f t="shared" si="327"/>
        <v>2.5</v>
      </c>
      <c r="AF3771" s="580">
        <f t="shared" si="328"/>
        <v>2.5</v>
      </c>
      <c r="AG3771" s="580">
        <f t="shared" si="329"/>
        <v>0</v>
      </c>
      <c r="AH3771" s="580">
        <f t="shared" si="330"/>
        <v>0</v>
      </c>
    </row>
    <row r="3772" spans="28:34">
      <c r="AB3772" s="580">
        <f>HLOOKUP("*"&amp;'Output annual'!$AC$2&amp;'Output annual'!$AD$2&amp;"*Zone People Number Of Occupants [](Hourly)",'Eplus results'!$1:$1048576,ROW(),FALSE)</f>
        <v>0</v>
      </c>
      <c r="AC3772" s="580">
        <f>HLOOKUP("*"&amp;'Output annual'!$AC$2&amp;'Output annual'!$AD$2&amp;"*FangerPMV(Hourly)",'Eplus results'!$1:$1048576,ROW(),FALSE)</f>
        <v>0</v>
      </c>
      <c r="AD3772" s="580">
        <f t="shared" si="326"/>
        <v>5</v>
      </c>
      <c r="AE3772" s="580">
        <f t="shared" si="327"/>
        <v>2.5</v>
      </c>
      <c r="AF3772" s="580">
        <f t="shared" si="328"/>
        <v>2.5</v>
      </c>
      <c r="AG3772" s="580">
        <f t="shared" si="329"/>
        <v>0</v>
      </c>
      <c r="AH3772" s="580">
        <f t="shared" si="330"/>
        <v>0</v>
      </c>
    </row>
    <row r="3773" spans="28:34">
      <c r="AB3773" s="580">
        <f>HLOOKUP("*"&amp;'Output annual'!$AC$2&amp;'Output annual'!$AD$2&amp;"*Zone People Number Of Occupants [](Hourly)",'Eplus results'!$1:$1048576,ROW(),FALSE)</f>
        <v>0</v>
      </c>
      <c r="AC3773" s="580">
        <f>HLOOKUP("*"&amp;'Output annual'!$AC$2&amp;'Output annual'!$AD$2&amp;"*FangerPMV(Hourly)",'Eplus results'!$1:$1048576,ROW(),FALSE)</f>
        <v>0</v>
      </c>
      <c r="AD3773" s="580">
        <f t="shared" si="326"/>
        <v>5</v>
      </c>
      <c r="AE3773" s="580">
        <f t="shared" si="327"/>
        <v>2.5</v>
      </c>
      <c r="AF3773" s="580">
        <f t="shared" si="328"/>
        <v>2.5</v>
      </c>
      <c r="AG3773" s="580">
        <f t="shared" si="329"/>
        <v>0</v>
      </c>
      <c r="AH3773" s="580">
        <f t="shared" si="330"/>
        <v>0</v>
      </c>
    </row>
    <row r="3774" spans="28:34">
      <c r="AB3774" s="580">
        <f>HLOOKUP("*"&amp;'Output annual'!$AC$2&amp;'Output annual'!$AD$2&amp;"*Zone People Number Of Occupants [](Hourly)",'Eplus results'!$1:$1048576,ROW(),FALSE)</f>
        <v>0</v>
      </c>
      <c r="AC3774" s="580">
        <f>HLOOKUP("*"&amp;'Output annual'!$AC$2&amp;'Output annual'!$AD$2&amp;"*FangerPMV(Hourly)",'Eplus results'!$1:$1048576,ROW(),FALSE)</f>
        <v>0</v>
      </c>
      <c r="AD3774" s="580">
        <f t="shared" si="326"/>
        <v>5</v>
      </c>
      <c r="AE3774" s="580">
        <f t="shared" si="327"/>
        <v>2.5</v>
      </c>
      <c r="AF3774" s="580">
        <f t="shared" si="328"/>
        <v>2.5</v>
      </c>
      <c r="AG3774" s="580">
        <f t="shared" si="329"/>
        <v>0</v>
      </c>
      <c r="AH3774" s="580">
        <f t="shared" si="330"/>
        <v>0</v>
      </c>
    </row>
    <row r="3775" spans="28:34">
      <c r="AB3775" s="580">
        <f>HLOOKUP("*"&amp;'Output annual'!$AC$2&amp;'Output annual'!$AD$2&amp;"*Zone People Number Of Occupants [](Hourly)",'Eplus results'!$1:$1048576,ROW(),FALSE)</f>
        <v>0</v>
      </c>
      <c r="AC3775" s="580">
        <f>HLOOKUP("*"&amp;'Output annual'!$AC$2&amp;'Output annual'!$AD$2&amp;"*FangerPMV(Hourly)",'Eplus results'!$1:$1048576,ROW(),FALSE)</f>
        <v>0</v>
      </c>
      <c r="AD3775" s="580">
        <f t="shared" si="326"/>
        <v>5</v>
      </c>
      <c r="AE3775" s="580">
        <f t="shared" si="327"/>
        <v>2.5</v>
      </c>
      <c r="AF3775" s="580">
        <f t="shared" si="328"/>
        <v>2.5</v>
      </c>
      <c r="AG3775" s="580">
        <f t="shared" si="329"/>
        <v>0</v>
      </c>
      <c r="AH3775" s="580">
        <f t="shared" si="330"/>
        <v>0</v>
      </c>
    </row>
    <row r="3776" spans="28:34">
      <c r="AB3776" s="580">
        <f>HLOOKUP("*"&amp;'Output annual'!$AC$2&amp;'Output annual'!$AD$2&amp;"*Zone People Number Of Occupants [](Hourly)",'Eplus results'!$1:$1048576,ROW(),FALSE)</f>
        <v>0</v>
      </c>
      <c r="AC3776" s="580">
        <f>HLOOKUP("*"&amp;'Output annual'!$AC$2&amp;'Output annual'!$AD$2&amp;"*FangerPMV(Hourly)",'Eplus results'!$1:$1048576,ROW(),FALSE)</f>
        <v>0</v>
      </c>
      <c r="AD3776" s="580">
        <f t="shared" si="326"/>
        <v>5</v>
      </c>
      <c r="AE3776" s="580">
        <f t="shared" si="327"/>
        <v>2.5</v>
      </c>
      <c r="AF3776" s="580">
        <f t="shared" si="328"/>
        <v>2.5</v>
      </c>
      <c r="AG3776" s="580">
        <f t="shared" si="329"/>
        <v>0</v>
      </c>
      <c r="AH3776" s="580">
        <f t="shared" si="330"/>
        <v>0</v>
      </c>
    </row>
    <row r="3777" spans="28:34">
      <c r="AB3777" s="580">
        <f>HLOOKUP("*"&amp;'Output annual'!$AC$2&amp;'Output annual'!$AD$2&amp;"*Zone People Number Of Occupants [](Hourly)",'Eplus results'!$1:$1048576,ROW(),FALSE)</f>
        <v>0</v>
      </c>
      <c r="AC3777" s="580">
        <f>HLOOKUP("*"&amp;'Output annual'!$AC$2&amp;'Output annual'!$AD$2&amp;"*FangerPMV(Hourly)",'Eplus results'!$1:$1048576,ROW(),FALSE)</f>
        <v>0</v>
      </c>
      <c r="AD3777" s="580">
        <f t="shared" si="326"/>
        <v>5</v>
      </c>
      <c r="AE3777" s="580">
        <f t="shared" si="327"/>
        <v>2.5</v>
      </c>
      <c r="AF3777" s="580">
        <f t="shared" si="328"/>
        <v>2.5</v>
      </c>
      <c r="AG3777" s="580">
        <f t="shared" si="329"/>
        <v>0</v>
      </c>
      <c r="AH3777" s="580">
        <f t="shared" si="330"/>
        <v>0</v>
      </c>
    </row>
    <row r="3778" spans="28:34">
      <c r="AB3778" s="580">
        <f>HLOOKUP("*"&amp;'Output annual'!$AC$2&amp;'Output annual'!$AD$2&amp;"*Zone People Number Of Occupants [](Hourly)",'Eplus results'!$1:$1048576,ROW(),FALSE)</f>
        <v>0</v>
      </c>
      <c r="AC3778" s="580">
        <f>HLOOKUP("*"&amp;'Output annual'!$AC$2&amp;'Output annual'!$AD$2&amp;"*FangerPMV(Hourly)",'Eplus results'!$1:$1048576,ROW(),FALSE)</f>
        <v>0</v>
      </c>
      <c r="AD3778" s="580">
        <f t="shared" si="326"/>
        <v>5</v>
      </c>
      <c r="AE3778" s="580">
        <f t="shared" si="327"/>
        <v>2.5</v>
      </c>
      <c r="AF3778" s="580">
        <f t="shared" si="328"/>
        <v>2.5</v>
      </c>
      <c r="AG3778" s="580">
        <f t="shared" si="329"/>
        <v>0</v>
      </c>
      <c r="AH3778" s="580">
        <f t="shared" si="330"/>
        <v>0</v>
      </c>
    </row>
    <row r="3779" spans="28:34">
      <c r="AB3779" s="580">
        <f>HLOOKUP("*"&amp;'Output annual'!$AC$2&amp;'Output annual'!$AD$2&amp;"*Zone People Number Of Occupants [](Hourly)",'Eplus results'!$1:$1048576,ROW(),FALSE)</f>
        <v>0</v>
      </c>
      <c r="AC3779" s="580">
        <f>HLOOKUP("*"&amp;'Output annual'!$AC$2&amp;'Output annual'!$AD$2&amp;"*FangerPMV(Hourly)",'Eplus results'!$1:$1048576,ROW(),FALSE)</f>
        <v>0</v>
      </c>
      <c r="AD3779" s="580">
        <f t="shared" ref="AD3779:AD3842" si="331">100-95*EXP(-0.03353*AC3779^4-0.2179*AC3779^2)</f>
        <v>5</v>
      </c>
      <c r="AE3779" s="580">
        <f t="shared" ref="AE3779:AE3842" si="332">AD3779*(1/(1+EXP(-6.3*$AC3779)))</f>
        <v>2.5</v>
      </c>
      <c r="AF3779" s="580">
        <f t="shared" ref="AF3779:AF3842" si="333">(AD3779-AE3779)</f>
        <v>2.5</v>
      </c>
      <c r="AG3779" s="580">
        <f t="shared" ref="AG3779:AG3842" si="334">AE3779*AB3779</f>
        <v>0</v>
      </c>
      <c r="AH3779" s="580">
        <f t="shared" ref="AH3779:AH3842" si="335">AF3779*AB3779</f>
        <v>0</v>
      </c>
    </row>
    <row r="3780" spans="28:34">
      <c r="AB3780" s="580">
        <f>HLOOKUP("*"&amp;'Output annual'!$AC$2&amp;'Output annual'!$AD$2&amp;"*Zone People Number Of Occupants [](Hourly)",'Eplus results'!$1:$1048576,ROW(),FALSE)</f>
        <v>0</v>
      </c>
      <c r="AC3780" s="580">
        <f>HLOOKUP("*"&amp;'Output annual'!$AC$2&amp;'Output annual'!$AD$2&amp;"*FangerPMV(Hourly)",'Eplus results'!$1:$1048576,ROW(),FALSE)</f>
        <v>0</v>
      </c>
      <c r="AD3780" s="580">
        <f t="shared" si="331"/>
        <v>5</v>
      </c>
      <c r="AE3780" s="580">
        <f t="shared" si="332"/>
        <v>2.5</v>
      </c>
      <c r="AF3780" s="580">
        <f t="shared" si="333"/>
        <v>2.5</v>
      </c>
      <c r="AG3780" s="580">
        <f t="shared" si="334"/>
        <v>0</v>
      </c>
      <c r="AH3780" s="580">
        <f t="shared" si="335"/>
        <v>0</v>
      </c>
    </row>
    <row r="3781" spans="28:34">
      <c r="AB3781" s="580">
        <f>HLOOKUP("*"&amp;'Output annual'!$AC$2&amp;'Output annual'!$AD$2&amp;"*Zone People Number Of Occupants [](Hourly)",'Eplus results'!$1:$1048576,ROW(),FALSE)</f>
        <v>0</v>
      </c>
      <c r="AC3781" s="580">
        <f>HLOOKUP("*"&amp;'Output annual'!$AC$2&amp;'Output annual'!$AD$2&amp;"*FangerPMV(Hourly)",'Eplus results'!$1:$1048576,ROW(),FALSE)</f>
        <v>0</v>
      </c>
      <c r="AD3781" s="580">
        <f t="shared" si="331"/>
        <v>5</v>
      </c>
      <c r="AE3781" s="580">
        <f t="shared" si="332"/>
        <v>2.5</v>
      </c>
      <c r="AF3781" s="580">
        <f t="shared" si="333"/>
        <v>2.5</v>
      </c>
      <c r="AG3781" s="580">
        <f t="shared" si="334"/>
        <v>0</v>
      </c>
      <c r="AH3781" s="580">
        <f t="shared" si="335"/>
        <v>0</v>
      </c>
    </row>
    <row r="3782" spans="28:34">
      <c r="AB3782" s="580">
        <f>HLOOKUP("*"&amp;'Output annual'!$AC$2&amp;'Output annual'!$AD$2&amp;"*Zone People Number Of Occupants [](Hourly)",'Eplus results'!$1:$1048576,ROW(),FALSE)</f>
        <v>0</v>
      </c>
      <c r="AC3782" s="580">
        <f>HLOOKUP("*"&amp;'Output annual'!$AC$2&amp;'Output annual'!$AD$2&amp;"*FangerPMV(Hourly)",'Eplus results'!$1:$1048576,ROW(),FALSE)</f>
        <v>0</v>
      </c>
      <c r="AD3782" s="580">
        <f t="shared" si="331"/>
        <v>5</v>
      </c>
      <c r="AE3782" s="580">
        <f t="shared" si="332"/>
        <v>2.5</v>
      </c>
      <c r="AF3782" s="580">
        <f t="shared" si="333"/>
        <v>2.5</v>
      </c>
      <c r="AG3782" s="580">
        <f t="shared" si="334"/>
        <v>0</v>
      </c>
      <c r="AH3782" s="580">
        <f t="shared" si="335"/>
        <v>0</v>
      </c>
    </row>
    <row r="3783" spans="28:34">
      <c r="AB3783" s="580">
        <f>HLOOKUP("*"&amp;'Output annual'!$AC$2&amp;'Output annual'!$AD$2&amp;"*Zone People Number Of Occupants [](Hourly)",'Eplus results'!$1:$1048576,ROW(),FALSE)</f>
        <v>0</v>
      </c>
      <c r="AC3783" s="580">
        <f>HLOOKUP("*"&amp;'Output annual'!$AC$2&amp;'Output annual'!$AD$2&amp;"*FangerPMV(Hourly)",'Eplus results'!$1:$1048576,ROW(),FALSE)</f>
        <v>0</v>
      </c>
      <c r="AD3783" s="580">
        <f t="shared" si="331"/>
        <v>5</v>
      </c>
      <c r="AE3783" s="580">
        <f t="shared" si="332"/>
        <v>2.5</v>
      </c>
      <c r="AF3783" s="580">
        <f t="shared" si="333"/>
        <v>2.5</v>
      </c>
      <c r="AG3783" s="580">
        <f t="shared" si="334"/>
        <v>0</v>
      </c>
      <c r="AH3783" s="580">
        <f t="shared" si="335"/>
        <v>0</v>
      </c>
    </row>
    <row r="3784" spans="28:34">
      <c r="AB3784" s="580">
        <f>HLOOKUP("*"&amp;'Output annual'!$AC$2&amp;'Output annual'!$AD$2&amp;"*Zone People Number Of Occupants [](Hourly)",'Eplus results'!$1:$1048576,ROW(),FALSE)</f>
        <v>0</v>
      </c>
      <c r="AC3784" s="580">
        <f>HLOOKUP("*"&amp;'Output annual'!$AC$2&amp;'Output annual'!$AD$2&amp;"*FangerPMV(Hourly)",'Eplus results'!$1:$1048576,ROW(),FALSE)</f>
        <v>0</v>
      </c>
      <c r="AD3784" s="580">
        <f t="shared" si="331"/>
        <v>5</v>
      </c>
      <c r="AE3784" s="580">
        <f t="shared" si="332"/>
        <v>2.5</v>
      </c>
      <c r="AF3784" s="580">
        <f t="shared" si="333"/>
        <v>2.5</v>
      </c>
      <c r="AG3784" s="580">
        <f t="shared" si="334"/>
        <v>0</v>
      </c>
      <c r="AH3784" s="580">
        <f t="shared" si="335"/>
        <v>0</v>
      </c>
    </row>
    <row r="3785" spans="28:34">
      <c r="AB3785" s="580">
        <f>HLOOKUP("*"&amp;'Output annual'!$AC$2&amp;'Output annual'!$AD$2&amp;"*Zone People Number Of Occupants [](Hourly)",'Eplus results'!$1:$1048576,ROW(),FALSE)</f>
        <v>0</v>
      </c>
      <c r="AC3785" s="580">
        <f>HLOOKUP("*"&amp;'Output annual'!$AC$2&amp;'Output annual'!$AD$2&amp;"*FangerPMV(Hourly)",'Eplus results'!$1:$1048576,ROW(),FALSE)</f>
        <v>0</v>
      </c>
      <c r="AD3785" s="580">
        <f t="shared" si="331"/>
        <v>5</v>
      </c>
      <c r="AE3785" s="580">
        <f t="shared" si="332"/>
        <v>2.5</v>
      </c>
      <c r="AF3785" s="580">
        <f t="shared" si="333"/>
        <v>2.5</v>
      </c>
      <c r="AG3785" s="580">
        <f t="shared" si="334"/>
        <v>0</v>
      </c>
      <c r="AH3785" s="580">
        <f t="shared" si="335"/>
        <v>0</v>
      </c>
    </row>
    <row r="3786" spans="28:34">
      <c r="AB3786" s="580">
        <f>HLOOKUP("*"&amp;'Output annual'!$AC$2&amp;'Output annual'!$AD$2&amp;"*Zone People Number Of Occupants [](Hourly)",'Eplus results'!$1:$1048576,ROW(),FALSE)</f>
        <v>0</v>
      </c>
      <c r="AC3786" s="580">
        <f>HLOOKUP("*"&amp;'Output annual'!$AC$2&amp;'Output annual'!$AD$2&amp;"*FangerPMV(Hourly)",'Eplus results'!$1:$1048576,ROW(),FALSE)</f>
        <v>0</v>
      </c>
      <c r="AD3786" s="580">
        <f t="shared" si="331"/>
        <v>5</v>
      </c>
      <c r="AE3786" s="580">
        <f t="shared" si="332"/>
        <v>2.5</v>
      </c>
      <c r="AF3786" s="580">
        <f t="shared" si="333"/>
        <v>2.5</v>
      </c>
      <c r="AG3786" s="580">
        <f t="shared" si="334"/>
        <v>0</v>
      </c>
      <c r="AH3786" s="580">
        <f t="shared" si="335"/>
        <v>0</v>
      </c>
    </row>
    <row r="3787" spans="28:34">
      <c r="AB3787" s="580">
        <f>HLOOKUP("*"&amp;'Output annual'!$AC$2&amp;'Output annual'!$AD$2&amp;"*Zone People Number Of Occupants [](Hourly)",'Eplus results'!$1:$1048576,ROW(),FALSE)</f>
        <v>0</v>
      </c>
      <c r="AC3787" s="580">
        <f>HLOOKUP("*"&amp;'Output annual'!$AC$2&amp;'Output annual'!$AD$2&amp;"*FangerPMV(Hourly)",'Eplus results'!$1:$1048576,ROW(),FALSE)</f>
        <v>0</v>
      </c>
      <c r="AD3787" s="580">
        <f t="shared" si="331"/>
        <v>5</v>
      </c>
      <c r="AE3787" s="580">
        <f t="shared" si="332"/>
        <v>2.5</v>
      </c>
      <c r="AF3787" s="580">
        <f t="shared" si="333"/>
        <v>2.5</v>
      </c>
      <c r="AG3787" s="580">
        <f t="shared" si="334"/>
        <v>0</v>
      </c>
      <c r="AH3787" s="580">
        <f t="shared" si="335"/>
        <v>0</v>
      </c>
    </row>
    <row r="3788" spans="28:34">
      <c r="AB3788" s="580">
        <f>HLOOKUP("*"&amp;'Output annual'!$AC$2&amp;'Output annual'!$AD$2&amp;"*Zone People Number Of Occupants [](Hourly)",'Eplus results'!$1:$1048576,ROW(),FALSE)</f>
        <v>0</v>
      </c>
      <c r="AC3788" s="580">
        <f>HLOOKUP("*"&amp;'Output annual'!$AC$2&amp;'Output annual'!$AD$2&amp;"*FangerPMV(Hourly)",'Eplus results'!$1:$1048576,ROW(),FALSE)</f>
        <v>0</v>
      </c>
      <c r="AD3788" s="580">
        <f t="shared" si="331"/>
        <v>5</v>
      </c>
      <c r="AE3788" s="580">
        <f t="shared" si="332"/>
        <v>2.5</v>
      </c>
      <c r="AF3788" s="580">
        <f t="shared" si="333"/>
        <v>2.5</v>
      </c>
      <c r="AG3788" s="580">
        <f t="shared" si="334"/>
        <v>0</v>
      </c>
      <c r="AH3788" s="580">
        <f t="shared" si="335"/>
        <v>0</v>
      </c>
    </row>
    <row r="3789" spans="28:34">
      <c r="AB3789" s="580">
        <f>HLOOKUP("*"&amp;'Output annual'!$AC$2&amp;'Output annual'!$AD$2&amp;"*Zone People Number Of Occupants [](Hourly)",'Eplus results'!$1:$1048576,ROW(),FALSE)</f>
        <v>0</v>
      </c>
      <c r="AC3789" s="580">
        <f>HLOOKUP("*"&amp;'Output annual'!$AC$2&amp;'Output annual'!$AD$2&amp;"*FangerPMV(Hourly)",'Eplus results'!$1:$1048576,ROW(),FALSE)</f>
        <v>0</v>
      </c>
      <c r="AD3789" s="580">
        <f t="shared" si="331"/>
        <v>5</v>
      </c>
      <c r="AE3789" s="580">
        <f t="shared" si="332"/>
        <v>2.5</v>
      </c>
      <c r="AF3789" s="580">
        <f t="shared" si="333"/>
        <v>2.5</v>
      </c>
      <c r="AG3789" s="580">
        <f t="shared" si="334"/>
        <v>0</v>
      </c>
      <c r="AH3789" s="580">
        <f t="shared" si="335"/>
        <v>0</v>
      </c>
    </row>
    <row r="3790" spans="28:34">
      <c r="AB3790" s="580">
        <f>HLOOKUP("*"&amp;'Output annual'!$AC$2&amp;'Output annual'!$AD$2&amp;"*Zone People Number Of Occupants [](Hourly)",'Eplus results'!$1:$1048576,ROW(),FALSE)</f>
        <v>0</v>
      </c>
      <c r="AC3790" s="580">
        <f>HLOOKUP("*"&amp;'Output annual'!$AC$2&amp;'Output annual'!$AD$2&amp;"*FangerPMV(Hourly)",'Eplus results'!$1:$1048576,ROW(),FALSE)</f>
        <v>0</v>
      </c>
      <c r="AD3790" s="580">
        <f t="shared" si="331"/>
        <v>5</v>
      </c>
      <c r="AE3790" s="580">
        <f t="shared" si="332"/>
        <v>2.5</v>
      </c>
      <c r="AF3790" s="580">
        <f t="shared" si="333"/>
        <v>2.5</v>
      </c>
      <c r="AG3790" s="580">
        <f t="shared" si="334"/>
        <v>0</v>
      </c>
      <c r="AH3790" s="580">
        <f t="shared" si="335"/>
        <v>0</v>
      </c>
    </row>
    <row r="3791" spans="28:34">
      <c r="AB3791" s="580">
        <f>HLOOKUP("*"&amp;'Output annual'!$AC$2&amp;'Output annual'!$AD$2&amp;"*Zone People Number Of Occupants [](Hourly)",'Eplus results'!$1:$1048576,ROW(),FALSE)</f>
        <v>0</v>
      </c>
      <c r="AC3791" s="580">
        <f>HLOOKUP("*"&amp;'Output annual'!$AC$2&amp;'Output annual'!$AD$2&amp;"*FangerPMV(Hourly)",'Eplus results'!$1:$1048576,ROW(),FALSE)</f>
        <v>0</v>
      </c>
      <c r="AD3791" s="580">
        <f t="shared" si="331"/>
        <v>5</v>
      </c>
      <c r="AE3791" s="580">
        <f t="shared" si="332"/>
        <v>2.5</v>
      </c>
      <c r="AF3791" s="580">
        <f t="shared" si="333"/>
        <v>2.5</v>
      </c>
      <c r="AG3791" s="580">
        <f t="shared" si="334"/>
        <v>0</v>
      </c>
      <c r="AH3791" s="580">
        <f t="shared" si="335"/>
        <v>0</v>
      </c>
    </row>
    <row r="3792" spans="28:34">
      <c r="AB3792" s="580">
        <f>HLOOKUP("*"&amp;'Output annual'!$AC$2&amp;'Output annual'!$AD$2&amp;"*Zone People Number Of Occupants [](Hourly)",'Eplus results'!$1:$1048576,ROW(),FALSE)</f>
        <v>0</v>
      </c>
      <c r="AC3792" s="580">
        <f>HLOOKUP("*"&amp;'Output annual'!$AC$2&amp;'Output annual'!$AD$2&amp;"*FangerPMV(Hourly)",'Eplus results'!$1:$1048576,ROW(),FALSE)</f>
        <v>0</v>
      </c>
      <c r="AD3792" s="580">
        <f t="shared" si="331"/>
        <v>5</v>
      </c>
      <c r="AE3792" s="580">
        <f t="shared" si="332"/>
        <v>2.5</v>
      </c>
      <c r="AF3792" s="580">
        <f t="shared" si="333"/>
        <v>2.5</v>
      </c>
      <c r="AG3792" s="580">
        <f t="shared" si="334"/>
        <v>0</v>
      </c>
      <c r="AH3792" s="580">
        <f t="shared" si="335"/>
        <v>0</v>
      </c>
    </row>
    <row r="3793" spans="28:34">
      <c r="AB3793" s="580">
        <f>HLOOKUP("*"&amp;'Output annual'!$AC$2&amp;'Output annual'!$AD$2&amp;"*Zone People Number Of Occupants [](Hourly)",'Eplus results'!$1:$1048576,ROW(),FALSE)</f>
        <v>0</v>
      </c>
      <c r="AC3793" s="580">
        <f>HLOOKUP("*"&amp;'Output annual'!$AC$2&amp;'Output annual'!$AD$2&amp;"*FangerPMV(Hourly)",'Eplus results'!$1:$1048576,ROW(),FALSE)</f>
        <v>0</v>
      </c>
      <c r="AD3793" s="580">
        <f t="shared" si="331"/>
        <v>5</v>
      </c>
      <c r="AE3793" s="580">
        <f t="shared" si="332"/>
        <v>2.5</v>
      </c>
      <c r="AF3793" s="580">
        <f t="shared" si="333"/>
        <v>2.5</v>
      </c>
      <c r="AG3793" s="580">
        <f t="shared" si="334"/>
        <v>0</v>
      </c>
      <c r="AH3793" s="580">
        <f t="shared" si="335"/>
        <v>0</v>
      </c>
    </row>
    <row r="3794" spans="28:34">
      <c r="AB3794" s="580">
        <f>HLOOKUP("*"&amp;'Output annual'!$AC$2&amp;'Output annual'!$AD$2&amp;"*Zone People Number Of Occupants [](Hourly)",'Eplus results'!$1:$1048576,ROW(),FALSE)</f>
        <v>0</v>
      </c>
      <c r="AC3794" s="580">
        <f>HLOOKUP("*"&amp;'Output annual'!$AC$2&amp;'Output annual'!$AD$2&amp;"*FangerPMV(Hourly)",'Eplus results'!$1:$1048576,ROW(),FALSE)</f>
        <v>0</v>
      </c>
      <c r="AD3794" s="580">
        <f t="shared" si="331"/>
        <v>5</v>
      </c>
      <c r="AE3794" s="580">
        <f t="shared" si="332"/>
        <v>2.5</v>
      </c>
      <c r="AF3794" s="580">
        <f t="shared" si="333"/>
        <v>2.5</v>
      </c>
      <c r="AG3794" s="580">
        <f t="shared" si="334"/>
        <v>0</v>
      </c>
      <c r="AH3794" s="580">
        <f t="shared" si="335"/>
        <v>0</v>
      </c>
    </row>
    <row r="3795" spans="28:34">
      <c r="AB3795" s="580">
        <f>HLOOKUP("*"&amp;'Output annual'!$AC$2&amp;'Output annual'!$AD$2&amp;"*Zone People Number Of Occupants [](Hourly)",'Eplus results'!$1:$1048576,ROW(),FALSE)</f>
        <v>0</v>
      </c>
      <c r="AC3795" s="580">
        <f>HLOOKUP("*"&amp;'Output annual'!$AC$2&amp;'Output annual'!$AD$2&amp;"*FangerPMV(Hourly)",'Eplus results'!$1:$1048576,ROW(),FALSE)</f>
        <v>0</v>
      </c>
      <c r="AD3795" s="580">
        <f t="shared" si="331"/>
        <v>5</v>
      </c>
      <c r="AE3795" s="580">
        <f t="shared" si="332"/>
        <v>2.5</v>
      </c>
      <c r="AF3795" s="580">
        <f t="shared" si="333"/>
        <v>2.5</v>
      </c>
      <c r="AG3795" s="580">
        <f t="shared" si="334"/>
        <v>0</v>
      </c>
      <c r="AH3795" s="580">
        <f t="shared" si="335"/>
        <v>0</v>
      </c>
    </row>
    <row r="3796" spans="28:34">
      <c r="AB3796" s="580">
        <f>HLOOKUP("*"&amp;'Output annual'!$AC$2&amp;'Output annual'!$AD$2&amp;"*Zone People Number Of Occupants [](Hourly)",'Eplus results'!$1:$1048576,ROW(),FALSE)</f>
        <v>0</v>
      </c>
      <c r="AC3796" s="580">
        <f>HLOOKUP("*"&amp;'Output annual'!$AC$2&amp;'Output annual'!$AD$2&amp;"*FangerPMV(Hourly)",'Eplus results'!$1:$1048576,ROW(),FALSE)</f>
        <v>0</v>
      </c>
      <c r="AD3796" s="580">
        <f t="shared" si="331"/>
        <v>5</v>
      </c>
      <c r="AE3796" s="580">
        <f t="shared" si="332"/>
        <v>2.5</v>
      </c>
      <c r="AF3796" s="580">
        <f t="shared" si="333"/>
        <v>2.5</v>
      </c>
      <c r="AG3796" s="580">
        <f t="shared" si="334"/>
        <v>0</v>
      </c>
      <c r="AH3796" s="580">
        <f t="shared" si="335"/>
        <v>0</v>
      </c>
    </row>
    <row r="3797" spans="28:34">
      <c r="AB3797" s="580">
        <f>HLOOKUP("*"&amp;'Output annual'!$AC$2&amp;'Output annual'!$AD$2&amp;"*Zone People Number Of Occupants [](Hourly)",'Eplus results'!$1:$1048576,ROW(),FALSE)</f>
        <v>0</v>
      </c>
      <c r="AC3797" s="580">
        <f>HLOOKUP("*"&amp;'Output annual'!$AC$2&amp;'Output annual'!$AD$2&amp;"*FangerPMV(Hourly)",'Eplus results'!$1:$1048576,ROW(),FALSE)</f>
        <v>0</v>
      </c>
      <c r="AD3797" s="580">
        <f t="shared" si="331"/>
        <v>5</v>
      </c>
      <c r="AE3797" s="580">
        <f t="shared" si="332"/>
        <v>2.5</v>
      </c>
      <c r="AF3797" s="580">
        <f t="shared" si="333"/>
        <v>2.5</v>
      </c>
      <c r="AG3797" s="580">
        <f t="shared" si="334"/>
        <v>0</v>
      </c>
      <c r="AH3797" s="580">
        <f t="shared" si="335"/>
        <v>0</v>
      </c>
    </row>
    <row r="3798" spans="28:34">
      <c r="AB3798" s="580">
        <f>HLOOKUP("*"&amp;'Output annual'!$AC$2&amp;'Output annual'!$AD$2&amp;"*Zone People Number Of Occupants [](Hourly)",'Eplus results'!$1:$1048576,ROW(),FALSE)</f>
        <v>0</v>
      </c>
      <c r="AC3798" s="580">
        <f>HLOOKUP("*"&amp;'Output annual'!$AC$2&amp;'Output annual'!$AD$2&amp;"*FangerPMV(Hourly)",'Eplus results'!$1:$1048576,ROW(),FALSE)</f>
        <v>0</v>
      </c>
      <c r="AD3798" s="580">
        <f t="shared" si="331"/>
        <v>5</v>
      </c>
      <c r="AE3798" s="580">
        <f t="shared" si="332"/>
        <v>2.5</v>
      </c>
      <c r="AF3798" s="580">
        <f t="shared" si="333"/>
        <v>2.5</v>
      </c>
      <c r="AG3798" s="580">
        <f t="shared" si="334"/>
        <v>0</v>
      </c>
      <c r="AH3798" s="580">
        <f t="shared" si="335"/>
        <v>0</v>
      </c>
    </row>
    <row r="3799" spans="28:34">
      <c r="AB3799" s="580">
        <f>HLOOKUP("*"&amp;'Output annual'!$AC$2&amp;'Output annual'!$AD$2&amp;"*Zone People Number Of Occupants [](Hourly)",'Eplus results'!$1:$1048576,ROW(),FALSE)</f>
        <v>0</v>
      </c>
      <c r="AC3799" s="580">
        <f>HLOOKUP("*"&amp;'Output annual'!$AC$2&amp;'Output annual'!$AD$2&amp;"*FangerPMV(Hourly)",'Eplus results'!$1:$1048576,ROW(),FALSE)</f>
        <v>0</v>
      </c>
      <c r="AD3799" s="580">
        <f t="shared" si="331"/>
        <v>5</v>
      </c>
      <c r="AE3799" s="580">
        <f t="shared" si="332"/>
        <v>2.5</v>
      </c>
      <c r="AF3799" s="580">
        <f t="shared" si="333"/>
        <v>2.5</v>
      </c>
      <c r="AG3799" s="580">
        <f t="shared" si="334"/>
        <v>0</v>
      </c>
      <c r="AH3799" s="580">
        <f t="shared" si="335"/>
        <v>0</v>
      </c>
    </row>
    <row r="3800" spans="28:34">
      <c r="AB3800" s="580">
        <f>HLOOKUP("*"&amp;'Output annual'!$AC$2&amp;'Output annual'!$AD$2&amp;"*Zone People Number Of Occupants [](Hourly)",'Eplus results'!$1:$1048576,ROW(),FALSE)</f>
        <v>0</v>
      </c>
      <c r="AC3800" s="580">
        <f>HLOOKUP("*"&amp;'Output annual'!$AC$2&amp;'Output annual'!$AD$2&amp;"*FangerPMV(Hourly)",'Eplus results'!$1:$1048576,ROW(),FALSE)</f>
        <v>0</v>
      </c>
      <c r="AD3800" s="580">
        <f t="shared" si="331"/>
        <v>5</v>
      </c>
      <c r="AE3800" s="580">
        <f t="shared" si="332"/>
        <v>2.5</v>
      </c>
      <c r="AF3800" s="580">
        <f t="shared" si="333"/>
        <v>2.5</v>
      </c>
      <c r="AG3800" s="580">
        <f t="shared" si="334"/>
        <v>0</v>
      </c>
      <c r="AH3800" s="580">
        <f t="shared" si="335"/>
        <v>0</v>
      </c>
    </row>
    <row r="3801" spans="28:34">
      <c r="AB3801" s="580">
        <f>HLOOKUP("*"&amp;'Output annual'!$AC$2&amp;'Output annual'!$AD$2&amp;"*Zone People Number Of Occupants [](Hourly)",'Eplus results'!$1:$1048576,ROW(),FALSE)</f>
        <v>0</v>
      </c>
      <c r="AC3801" s="580">
        <f>HLOOKUP("*"&amp;'Output annual'!$AC$2&amp;'Output annual'!$AD$2&amp;"*FangerPMV(Hourly)",'Eplus results'!$1:$1048576,ROW(),FALSE)</f>
        <v>0</v>
      </c>
      <c r="AD3801" s="580">
        <f t="shared" si="331"/>
        <v>5</v>
      </c>
      <c r="AE3801" s="580">
        <f t="shared" si="332"/>
        <v>2.5</v>
      </c>
      <c r="AF3801" s="580">
        <f t="shared" si="333"/>
        <v>2.5</v>
      </c>
      <c r="AG3801" s="580">
        <f t="shared" si="334"/>
        <v>0</v>
      </c>
      <c r="AH3801" s="580">
        <f t="shared" si="335"/>
        <v>0</v>
      </c>
    </row>
    <row r="3802" spans="28:34">
      <c r="AB3802" s="580">
        <f>HLOOKUP("*"&amp;'Output annual'!$AC$2&amp;'Output annual'!$AD$2&amp;"*Zone People Number Of Occupants [](Hourly)",'Eplus results'!$1:$1048576,ROW(),FALSE)</f>
        <v>0</v>
      </c>
      <c r="AC3802" s="580">
        <f>HLOOKUP("*"&amp;'Output annual'!$AC$2&amp;'Output annual'!$AD$2&amp;"*FangerPMV(Hourly)",'Eplus results'!$1:$1048576,ROW(),FALSE)</f>
        <v>0</v>
      </c>
      <c r="AD3802" s="580">
        <f t="shared" si="331"/>
        <v>5</v>
      </c>
      <c r="AE3802" s="580">
        <f t="shared" si="332"/>
        <v>2.5</v>
      </c>
      <c r="AF3802" s="580">
        <f t="shared" si="333"/>
        <v>2.5</v>
      </c>
      <c r="AG3802" s="580">
        <f t="shared" si="334"/>
        <v>0</v>
      </c>
      <c r="AH3802" s="580">
        <f t="shared" si="335"/>
        <v>0</v>
      </c>
    </row>
    <row r="3803" spans="28:34">
      <c r="AB3803" s="580">
        <f>HLOOKUP("*"&amp;'Output annual'!$AC$2&amp;'Output annual'!$AD$2&amp;"*Zone People Number Of Occupants [](Hourly)",'Eplus results'!$1:$1048576,ROW(),FALSE)</f>
        <v>0</v>
      </c>
      <c r="AC3803" s="580">
        <f>HLOOKUP("*"&amp;'Output annual'!$AC$2&amp;'Output annual'!$AD$2&amp;"*FangerPMV(Hourly)",'Eplus results'!$1:$1048576,ROW(),FALSE)</f>
        <v>0</v>
      </c>
      <c r="AD3803" s="580">
        <f t="shared" si="331"/>
        <v>5</v>
      </c>
      <c r="AE3803" s="580">
        <f t="shared" si="332"/>
        <v>2.5</v>
      </c>
      <c r="AF3803" s="580">
        <f t="shared" si="333"/>
        <v>2.5</v>
      </c>
      <c r="AG3803" s="580">
        <f t="shared" si="334"/>
        <v>0</v>
      </c>
      <c r="AH3803" s="580">
        <f t="shared" si="335"/>
        <v>0</v>
      </c>
    </row>
    <row r="3804" spans="28:34">
      <c r="AB3804" s="580">
        <f>HLOOKUP("*"&amp;'Output annual'!$AC$2&amp;'Output annual'!$AD$2&amp;"*Zone People Number Of Occupants [](Hourly)",'Eplus results'!$1:$1048576,ROW(),FALSE)</f>
        <v>0</v>
      </c>
      <c r="AC3804" s="580">
        <f>HLOOKUP("*"&amp;'Output annual'!$AC$2&amp;'Output annual'!$AD$2&amp;"*FangerPMV(Hourly)",'Eplus results'!$1:$1048576,ROW(),FALSE)</f>
        <v>0</v>
      </c>
      <c r="AD3804" s="580">
        <f t="shared" si="331"/>
        <v>5</v>
      </c>
      <c r="AE3804" s="580">
        <f t="shared" si="332"/>
        <v>2.5</v>
      </c>
      <c r="AF3804" s="580">
        <f t="shared" si="333"/>
        <v>2.5</v>
      </c>
      <c r="AG3804" s="580">
        <f t="shared" si="334"/>
        <v>0</v>
      </c>
      <c r="AH3804" s="580">
        <f t="shared" si="335"/>
        <v>0</v>
      </c>
    </row>
    <row r="3805" spans="28:34">
      <c r="AB3805" s="580">
        <f>HLOOKUP("*"&amp;'Output annual'!$AC$2&amp;'Output annual'!$AD$2&amp;"*Zone People Number Of Occupants [](Hourly)",'Eplus results'!$1:$1048576,ROW(),FALSE)</f>
        <v>0</v>
      </c>
      <c r="AC3805" s="580">
        <f>HLOOKUP("*"&amp;'Output annual'!$AC$2&amp;'Output annual'!$AD$2&amp;"*FangerPMV(Hourly)",'Eplus results'!$1:$1048576,ROW(),FALSE)</f>
        <v>0</v>
      </c>
      <c r="AD3805" s="580">
        <f t="shared" si="331"/>
        <v>5</v>
      </c>
      <c r="AE3805" s="580">
        <f t="shared" si="332"/>
        <v>2.5</v>
      </c>
      <c r="AF3805" s="580">
        <f t="shared" si="333"/>
        <v>2.5</v>
      </c>
      <c r="AG3805" s="580">
        <f t="shared" si="334"/>
        <v>0</v>
      </c>
      <c r="AH3805" s="580">
        <f t="shared" si="335"/>
        <v>0</v>
      </c>
    </row>
    <row r="3806" spans="28:34">
      <c r="AB3806" s="580">
        <f>HLOOKUP("*"&amp;'Output annual'!$AC$2&amp;'Output annual'!$AD$2&amp;"*Zone People Number Of Occupants [](Hourly)",'Eplus results'!$1:$1048576,ROW(),FALSE)</f>
        <v>0</v>
      </c>
      <c r="AC3806" s="580">
        <f>HLOOKUP("*"&amp;'Output annual'!$AC$2&amp;'Output annual'!$AD$2&amp;"*FangerPMV(Hourly)",'Eplus results'!$1:$1048576,ROW(),FALSE)</f>
        <v>0</v>
      </c>
      <c r="AD3806" s="580">
        <f t="shared" si="331"/>
        <v>5</v>
      </c>
      <c r="AE3806" s="580">
        <f t="shared" si="332"/>
        <v>2.5</v>
      </c>
      <c r="AF3806" s="580">
        <f t="shared" si="333"/>
        <v>2.5</v>
      </c>
      <c r="AG3806" s="580">
        <f t="shared" si="334"/>
        <v>0</v>
      </c>
      <c r="AH3806" s="580">
        <f t="shared" si="335"/>
        <v>0</v>
      </c>
    </row>
    <row r="3807" spans="28:34">
      <c r="AB3807" s="580">
        <f>HLOOKUP("*"&amp;'Output annual'!$AC$2&amp;'Output annual'!$AD$2&amp;"*Zone People Number Of Occupants [](Hourly)",'Eplus results'!$1:$1048576,ROW(),FALSE)</f>
        <v>0</v>
      </c>
      <c r="AC3807" s="580">
        <f>HLOOKUP("*"&amp;'Output annual'!$AC$2&amp;'Output annual'!$AD$2&amp;"*FangerPMV(Hourly)",'Eplus results'!$1:$1048576,ROW(),FALSE)</f>
        <v>0</v>
      </c>
      <c r="AD3807" s="580">
        <f t="shared" si="331"/>
        <v>5</v>
      </c>
      <c r="AE3807" s="580">
        <f t="shared" si="332"/>
        <v>2.5</v>
      </c>
      <c r="AF3807" s="580">
        <f t="shared" si="333"/>
        <v>2.5</v>
      </c>
      <c r="AG3807" s="580">
        <f t="shared" si="334"/>
        <v>0</v>
      </c>
      <c r="AH3807" s="580">
        <f t="shared" si="335"/>
        <v>0</v>
      </c>
    </row>
    <row r="3808" spans="28:34">
      <c r="AB3808" s="580">
        <f>HLOOKUP("*"&amp;'Output annual'!$AC$2&amp;'Output annual'!$AD$2&amp;"*Zone People Number Of Occupants [](Hourly)",'Eplus results'!$1:$1048576,ROW(),FALSE)</f>
        <v>0</v>
      </c>
      <c r="AC3808" s="580">
        <f>HLOOKUP("*"&amp;'Output annual'!$AC$2&amp;'Output annual'!$AD$2&amp;"*FangerPMV(Hourly)",'Eplus results'!$1:$1048576,ROW(),FALSE)</f>
        <v>0</v>
      </c>
      <c r="AD3808" s="580">
        <f t="shared" si="331"/>
        <v>5</v>
      </c>
      <c r="AE3808" s="580">
        <f t="shared" si="332"/>
        <v>2.5</v>
      </c>
      <c r="AF3808" s="580">
        <f t="shared" si="333"/>
        <v>2.5</v>
      </c>
      <c r="AG3808" s="580">
        <f t="shared" si="334"/>
        <v>0</v>
      </c>
      <c r="AH3808" s="580">
        <f t="shared" si="335"/>
        <v>0</v>
      </c>
    </row>
    <row r="3809" spans="28:34">
      <c r="AB3809" s="580">
        <f>HLOOKUP("*"&amp;'Output annual'!$AC$2&amp;'Output annual'!$AD$2&amp;"*Zone People Number Of Occupants [](Hourly)",'Eplus results'!$1:$1048576,ROW(),FALSE)</f>
        <v>0</v>
      </c>
      <c r="AC3809" s="580">
        <f>HLOOKUP("*"&amp;'Output annual'!$AC$2&amp;'Output annual'!$AD$2&amp;"*FangerPMV(Hourly)",'Eplus results'!$1:$1048576,ROW(),FALSE)</f>
        <v>0</v>
      </c>
      <c r="AD3809" s="580">
        <f t="shared" si="331"/>
        <v>5</v>
      </c>
      <c r="AE3809" s="580">
        <f t="shared" si="332"/>
        <v>2.5</v>
      </c>
      <c r="AF3809" s="580">
        <f t="shared" si="333"/>
        <v>2.5</v>
      </c>
      <c r="AG3809" s="580">
        <f t="shared" si="334"/>
        <v>0</v>
      </c>
      <c r="AH3809" s="580">
        <f t="shared" si="335"/>
        <v>0</v>
      </c>
    </row>
    <row r="3810" spans="28:34">
      <c r="AB3810" s="580">
        <f>HLOOKUP("*"&amp;'Output annual'!$AC$2&amp;'Output annual'!$AD$2&amp;"*Zone People Number Of Occupants [](Hourly)",'Eplus results'!$1:$1048576,ROW(),FALSE)</f>
        <v>0</v>
      </c>
      <c r="AC3810" s="580">
        <f>HLOOKUP("*"&amp;'Output annual'!$AC$2&amp;'Output annual'!$AD$2&amp;"*FangerPMV(Hourly)",'Eplus results'!$1:$1048576,ROW(),FALSE)</f>
        <v>0</v>
      </c>
      <c r="AD3810" s="580">
        <f t="shared" si="331"/>
        <v>5</v>
      </c>
      <c r="AE3810" s="580">
        <f t="shared" si="332"/>
        <v>2.5</v>
      </c>
      <c r="AF3810" s="580">
        <f t="shared" si="333"/>
        <v>2.5</v>
      </c>
      <c r="AG3810" s="580">
        <f t="shared" si="334"/>
        <v>0</v>
      </c>
      <c r="AH3810" s="580">
        <f t="shared" si="335"/>
        <v>0</v>
      </c>
    </row>
    <row r="3811" spans="28:34">
      <c r="AB3811" s="580">
        <f>HLOOKUP("*"&amp;'Output annual'!$AC$2&amp;'Output annual'!$AD$2&amp;"*Zone People Number Of Occupants [](Hourly)",'Eplus results'!$1:$1048576,ROW(),FALSE)</f>
        <v>0</v>
      </c>
      <c r="AC3811" s="580">
        <f>HLOOKUP("*"&amp;'Output annual'!$AC$2&amp;'Output annual'!$AD$2&amp;"*FangerPMV(Hourly)",'Eplus results'!$1:$1048576,ROW(),FALSE)</f>
        <v>0</v>
      </c>
      <c r="AD3811" s="580">
        <f t="shared" si="331"/>
        <v>5</v>
      </c>
      <c r="AE3811" s="580">
        <f t="shared" si="332"/>
        <v>2.5</v>
      </c>
      <c r="AF3811" s="580">
        <f t="shared" si="333"/>
        <v>2.5</v>
      </c>
      <c r="AG3811" s="580">
        <f t="shared" si="334"/>
        <v>0</v>
      </c>
      <c r="AH3811" s="580">
        <f t="shared" si="335"/>
        <v>0</v>
      </c>
    </row>
    <row r="3812" spans="28:34">
      <c r="AB3812" s="580">
        <f>HLOOKUP("*"&amp;'Output annual'!$AC$2&amp;'Output annual'!$AD$2&amp;"*Zone People Number Of Occupants [](Hourly)",'Eplus results'!$1:$1048576,ROW(),FALSE)</f>
        <v>0</v>
      </c>
      <c r="AC3812" s="580">
        <f>HLOOKUP("*"&amp;'Output annual'!$AC$2&amp;'Output annual'!$AD$2&amp;"*FangerPMV(Hourly)",'Eplus results'!$1:$1048576,ROW(),FALSE)</f>
        <v>0</v>
      </c>
      <c r="AD3812" s="580">
        <f t="shared" si="331"/>
        <v>5</v>
      </c>
      <c r="AE3812" s="580">
        <f t="shared" si="332"/>
        <v>2.5</v>
      </c>
      <c r="AF3812" s="580">
        <f t="shared" si="333"/>
        <v>2.5</v>
      </c>
      <c r="AG3812" s="580">
        <f t="shared" si="334"/>
        <v>0</v>
      </c>
      <c r="AH3812" s="580">
        <f t="shared" si="335"/>
        <v>0</v>
      </c>
    </row>
    <row r="3813" spans="28:34">
      <c r="AB3813" s="580">
        <f>HLOOKUP("*"&amp;'Output annual'!$AC$2&amp;'Output annual'!$AD$2&amp;"*Zone People Number Of Occupants [](Hourly)",'Eplus results'!$1:$1048576,ROW(),FALSE)</f>
        <v>0</v>
      </c>
      <c r="AC3813" s="580">
        <f>HLOOKUP("*"&amp;'Output annual'!$AC$2&amp;'Output annual'!$AD$2&amp;"*FangerPMV(Hourly)",'Eplus results'!$1:$1048576,ROW(),FALSE)</f>
        <v>0</v>
      </c>
      <c r="AD3813" s="580">
        <f t="shared" si="331"/>
        <v>5</v>
      </c>
      <c r="AE3813" s="580">
        <f t="shared" si="332"/>
        <v>2.5</v>
      </c>
      <c r="AF3813" s="580">
        <f t="shared" si="333"/>
        <v>2.5</v>
      </c>
      <c r="AG3813" s="580">
        <f t="shared" si="334"/>
        <v>0</v>
      </c>
      <c r="AH3813" s="580">
        <f t="shared" si="335"/>
        <v>0</v>
      </c>
    </row>
    <row r="3814" spans="28:34">
      <c r="AB3814" s="580">
        <f>HLOOKUP("*"&amp;'Output annual'!$AC$2&amp;'Output annual'!$AD$2&amp;"*Zone People Number Of Occupants [](Hourly)",'Eplus results'!$1:$1048576,ROW(),FALSE)</f>
        <v>0</v>
      </c>
      <c r="AC3814" s="580">
        <f>HLOOKUP("*"&amp;'Output annual'!$AC$2&amp;'Output annual'!$AD$2&amp;"*FangerPMV(Hourly)",'Eplus results'!$1:$1048576,ROW(),FALSE)</f>
        <v>0</v>
      </c>
      <c r="AD3814" s="580">
        <f t="shared" si="331"/>
        <v>5</v>
      </c>
      <c r="AE3814" s="580">
        <f t="shared" si="332"/>
        <v>2.5</v>
      </c>
      <c r="AF3814" s="580">
        <f t="shared" si="333"/>
        <v>2.5</v>
      </c>
      <c r="AG3814" s="580">
        <f t="shared" si="334"/>
        <v>0</v>
      </c>
      <c r="AH3814" s="580">
        <f t="shared" si="335"/>
        <v>0</v>
      </c>
    </row>
    <row r="3815" spans="28:34">
      <c r="AB3815" s="580">
        <f>HLOOKUP("*"&amp;'Output annual'!$AC$2&amp;'Output annual'!$AD$2&amp;"*Zone People Number Of Occupants [](Hourly)",'Eplus results'!$1:$1048576,ROW(),FALSE)</f>
        <v>0</v>
      </c>
      <c r="AC3815" s="580">
        <f>HLOOKUP("*"&amp;'Output annual'!$AC$2&amp;'Output annual'!$AD$2&amp;"*FangerPMV(Hourly)",'Eplus results'!$1:$1048576,ROW(),FALSE)</f>
        <v>0</v>
      </c>
      <c r="AD3815" s="580">
        <f t="shared" si="331"/>
        <v>5</v>
      </c>
      <c r="AE3815" s="580">
        <f t="shared" si="332"/>
        <v>2.5</v>
      </c>
      <c r="AF3815" s="580">
        <f t="shared" si="333"/>
        <v>2.5</v>
      </c>
      <c r="AG3815" s="580">
        <f t="shared" si="334"/>
        <v>0</v>
      </c>
      <c r="AH3815" s="580">
        <f t="shared" si="335"/>
        <v>0</v>
      </c>
    </row>
    <row r="3816" spans="28:34">
      <c r="AB3816" s="580">
        <f>HLOOKUP("*"&amp;'Output annual'!$AC$2&amp;'Output annual'!$AD$2&amp;"*Zone People Number Of Occupants [](Hourly)",'Eplus results'!$1:$1048576,ROW(),FALSE)</f>
        <v>0</v>
      </c>
      <c r="AC3816" s="580">
        <f>HLOOKUP("*"&amp;'Output annual'!$AC$2&amp;'Output annual'!$AD$2&amp;"*FangerPMV(Hourly)",'Eplus results'!$1:$1048576,ROW(),FALSE)</f>
        <v>0</v>
      </c>
      <c r="AD3816" s="580">
        <f t="shared" si="331"/>
        <v>5</v>
      </c>
      <c r="AE3816" s="580">
        <f t="shared" si="332"/>
        <v>2.5</v>
      </c>
      <c r="AF3816" s="580">
        <f t="shared" si="333"/>
        <v>2.5</v>
      </c>
      <c r="AG3816" s="580">
        <f t="shared" si="334"/>
        <v>0</v>
      </c>
      <c r="AH3816" s="580">
        <f t="shared" si="335"/>
        <v>0</v>
      </c>
    </row>
    <row r="3817" spans="28:34">
      <c r="AB3817" s="580">
        <f>HLOOKUP("*"&amp;'Output annual'!$AC$2&amp;'Output annual'!$AD$2&amp;"*Zone People Number Of Occupants [](Hourly)",'Eplus results'!$1:$1048576,ROW(),FALSE)</f>
        <v>0</v>
      </c>
      <c r="AC3817" s="580">
        <f>HLOOKUP("*"&amp;'Output annual'!$AC$2&amp;'Output annual'!$AD$2&amp;"*FangerPMV(Hourly)",'Eplus results'!$1:$1048576,ROW(),FALSE)</f>
        <v>0</v>
      </c>
      <c r="AD3817" s="580">
        <f t="shared" si="331"/>
        <v>5</v>
      </c>
      <c r="AE3817" s="580">
        <f t="shared" si="332"/>
        <v>2.5</v>
      </c>
      <c r="AF3817" s="580">
        <f t="shared" si="333"/>
        <v>2.5</v>
      </c>
      <c r="AG3817" s="580">
        <f t="shared" si="334"/>
        <v>0</v>
      </c>
      <c r="AH3817" s="580">
        <f t="shared" si="335"/>
        <v>0</v>
      </c>
    </row>
    <row r="3818" spans="28:34">
      <c r="AB3818" s="580">
        <f>HLOOKUP("*"&amp;'Output annual'!$AC$2&amp;'Output annual'!$AD$2&amp;"*Zone People Number Of Occupants [](Hourly)",'Eplus results'!$1:$1048576,ROW(),FALSE)</f>
        <v>0</v>
      </c>
      <c r="AC3818" s="580">
        <f>HLOOKUP("*"&amp;'Output annual'!$AC$2&amp;'Output annual'!$AD$2&amp;"*FangerPMV(Hourly)",'Eplus results'!$1:$1048576,ROW(),FALSE)</f>
        <v>0</v>
      </c>
      <c r="AD3818" s="580">
        <f t="shared" si="331"/>
        <v>5</v>
      </c>
      <c r="AE3818" s="580">
        <f t="shared" si="332"/>
        <v>2.5</v>
      </c>
      <c r="AF3818" s="580">
        <f t="shared" si="333"/>
        <v>2.5</v>
      </c>
      <c r="AG3818" s="580">
        <f t="shared" si="334"/>
        <v>0</v>
      </c>
      <c r="AH3818" s="580">
        <f t="shared" si="335"/>
        <v>0</v>
      </c>
    </row>
    <row r="3819" spans="28:34">
      <c r="AB3819" s="580">
        <f>HLOOKUP("*"&amp;'Output annual'!$AC$2&amp;'Output annual'!$AD$2&amp;"*Zone People Number Of Occupants [](Hourly)",'Eplus results'!$1:$1048576,ROW(),FALSE)</f>
        <v>0</v>
      </c>
      <c r="AC3819" s="580">
        <f>HLOOKUP("*"&amp;'Output annual'!$AC$2&amp;'Output annual'!$AD$2&amp;"*FangerPMV(Hourly)",'Eplus results'!$1:$1048576,ROW(),FALSE)</f>
        <v>0</v>
      </c>
      <c r="AD3819" s="580">
        <f t="shared" si="331"/>
        <v>5</v>
      </c>
      <c r="AE3819" s="580">
        <f t="shared" si="332"/>
        <v>2.5</v>
      </c>
      <c r="AF3819" s="580">
        <f t="shared" si="333"/>
        <v>2.5</v>
      </c>
      <c r="AG3819" s="580">
        <f t="shared" si="334"/>
        <v>0</v>
      </c>
      <c r="AH3819" s="580">
        <f t="shared" si="335"/>
        <v>0</v>
      </c>
    </row>
    <row r="3820" spans="28:34">
      <c r="AB3820" s="580">
        <f>HLOOKUP("*"&amp;'Output annual'!$AC$2&amp;'Output annual'!$AD$2&amp;"*Zone People Number Of Occupants [](Hourly)",'Eplus results'!$1:$1048576,ROW(),FALSE)</f>
        <v>0</v>
      </c>
      <c r="AC3820" s="580">
        <f>HLOOKUP("*"&amp;'Output annual'!$AC$2&amp;'Output annual'!$AD$2&amp;"*FangerPMV(Hourly)",'Eplus results'!$1:$1048576,ROW(),FALSE)</f>
        <v>0</v>
      </c>
      <c r="AD3820" s="580">
        <f t="shared" si="331"/>
        <v>5</v>
      </c>
      <c r="AE3820" s="580">
        <f t="shared" si="332"/>
        <v>2.5</v>
      </c>
      <c r="AF3820" s="580">
        <f t="shared" si="333"/>
        <v>2.5</v>
      </c>
      <c r="AG3820" s="580">
        <f t="shared" si="334"/>
        <v>0</v>
      </c>
      <c r="AH3820" s="580">
        <f t="shared" si="335"/>
        <v>0</v>
      </c>
    </row>
    <row r="3821" spans="28:34">
      <c r="AB3821" s="580">
        <f>HLOOKUP("*"&amp;'Output annual'!$AC$2&amp;'Output annual'!$AD$2&amp;"*Zone People Number Of Occupants [](Hourly)",'Eplus results'!$1:$1048576,ROW(),FALSE)</f>
        <v>0</v>
      </c>
      <c r="AC3821" s="580">
        <f>HLOOKUP("*"&amp;'Output annual'!$AC$2&amp;'Output annual'!$AD$2&amp;"*FangerPMV(Hourly)",'Eplus results'!$1:$1048576,ROW(),FALSE)</f>
        <v>0</v>
      </c>
      <c r="AD3821" s="580">
        <f t="shared" si="331"/>
        <v>5</v>
      </c>
      <c r="AE3821" s="580">
        <f t="shared" si="332"/>
        <v>2.5</v>
      </c>
      <c r="AF3821" s="580">
        <f t="shared" si="333"/>
        <v>2.5</v>
      </c>
      <c r="AG3821" s="580">
        <f t="shared" si="334"/>
        <v>0</v>
      </c>
      <c r="AH3821" s="580">
        <f t="shared" si="335"/>
        <v>0</v>
      </c>
    </row>
    <row r="3822" spans="28:34">
      <c r="AB3822" s="580">
        <f>HLOOKUP("*"&amp;'Output annual'!$AC$2&amp;'Output annual'!$AD$2&amp;"*Zone People Number Of Occupants [](Hourly)",'Eplus results'!$1:$1048576,ROW(),FALSE)</f>
        <v>0</v>
      </c>
      <c r="AC3822" s="580">
        <f>HLOOKUP("*"&amp;'Output annual'!$AC$2&amp;'Output annual'!$AD$2&amp;"*FangerPMV(Hourly)",'Eplus results'!$1:$1048576,ROW(),FALSE)</f>
        <v>0</v>
      </c>
      <c r="AD3822" s="580">
        <f t="shared" si="331"/>
        <v>5</v>
      </c>
      <c r="AE3822" s="580">
        <f t="shared" si="332"/>
        <v>2.5</v>
      </c>
      <c r="AF3822" s="580">
        <f t="shared" si="333"/>
        <v>2.5</v>
      </c>
      <c r="AG3822" s="580">
        <f t="shared" si="334"/>
        <v>0</v>
      </c>
      <c r="AH3822" s="580">
        <f t="shared" si="335"/>
        <v>0</v>
      </c>
    </row>
    <row r="3823" spans="28:34">
      <c r="AB3823" s="580">
        <f>HLOOKUP("*"&amp;'Output annual'!$AC$2&amp;'Output annual'!$AD$2&amp;"*Zone People Number Of Occupants [](Hourly)",'Eplus results'!$1:$1048576,ROW(),FALSE)</f>
        <v>0</v>
      </c>
      <c r="AC3823" s="580">
        <f>HLOOKUP("*"&amp;'Output annual'!$AC$2&amp;'Output annual'!$AD$2&amp;"*FangerPMV(Hourly)",'Eplus results'!$1:$1048576,ROW(),FALSE)</f>
        <v>0</v>
      </c>
      <c r="AD3823" s="580">
        <f t="shared" si="331"/>
        <v>5</v>
      </c>
      <c r="AE3823" s="580">
        <f t="shared" si="332"/>
        <v>2.5</v>
      </c>
      <c r="AF3823" s="580">
        <f t="shared" si="333"/>
        <v>2.5</v>
      </c>
      <c r="AG3823" s="580">
        <f t="shared" si="334"/>
        <v>0</v>
      </c>
      <c r="AH3823" s="580">
        <f t="shared" si="335"/>
        <v>0</v>
      </c>
    </row>
    <row r="3824" spans="28:34">
      <c r="AB3824" s="580">
        <f>HLOOKUP("*"&amp;'Output annual'!$AC$2&amp;'Output annual'!$AD$2&amp;"*Zone People Number Of Occupants [](Hourly)",'Eplus results'!$1:$1048576,ROW(),FALSE)</f>
        <v>0</v>
      </c>
      <c r="AC3824" s="580">
        <f>HLOOKUP("*"&amp;'Output annual'!$AC$2&amp;'Output annual'!$AD$2&amp;"*FangerPMV(Hourly)",'Eplus results'!$1:$1048576,ROW(),FALSE)</f>
        <v>0</v>
      </c>
      <c r="AD3824" s="580">
        <f t="shared" si="331"/>
        <v>5</v>
      </c>
      <c r="AE3824" s="580">
        <f t="shared" si="332"/>
        <v>2.5</v>
      </c>
      <c r="AF3824" s="580">
        <f t="shared" si="333"/>
        <v>2.5</v>
      </c>
      <c r="AG3824" s="580">
        <f t="shared" si="334"/>
        <v>0</v>
      </c>
      <c r="AH3824" s="580">
        <f t="shared" si="335"/>
        <v>0</v>
      </c>
    </row>
    <row r="3825" spans="28:34">
      <c r="AB3825" s="580">
        <f>HLOOKUP("*"&amp;'Output annual'!$AC$2&amp;'Output annual'!$AD$2&amp;"*Zone People Number Of Occupants [](Hourly)",'Eplus results'!$1:$1048576,ROW(),FALSE)</f>
        <v>0</v>
      </c>
      <c r="AC3825" s="580">
        <f>HLOOKUP("*"&amp;'Output annual'!$AC$2&amp;'Output annual'!$AD$2&amp;"*FangerPMV(Hourly)",'Eplus results'!$1:$1048576,ROW(),FALSE)</f>
        <v>0</v>
      </c>
      <c r="AD3825" s="580">
        <f t="shared" si="331"/>
        <v>5</v>
      </c>
      <c r="AE3825" s="580">
        <f t="shared" si="332"/>
        <v>2.5</v>
      </c>
      <c r="AF3825" s="580">
        <f t="shared" si="333"/>
        <v>2.5</v>
      </c>
      <c r="AG3825" s="580">
        <f t="shared" si="334"/>
        <v>0</v>
      </c>
      <c r="AH3825" s="580">
        <f t="shared" si="335"/>
        <v>0</v>
      </c>
    </row>
    <row r="3826" spans="28:34">
      <c r="AB3826" s="580">
        <f>HLOOKUP("*"&amp;'Output annual'!$AC$2&amp;'Output annual'!$AD$2&amp;"*Zone People Number Of Occupants [](Hourly)",'Eplus results'!$1:$1048576,ROW(),FALSE)</f>
        <v>0</v>
      </c>
      <c r="AC3826" s="580">
        <f>HLOOKUP("*"&amp;'Output annual'!$AC$2&amp;'Output annual'!$AD$2&amp;"*FangerPMV(Hourly)",'Eplus results'!$1:$1048576,ROW(),FALSE)</f>
        <v>0</v>
      </c>
      <c r="AD3826" s="580">
        <f t="shared" si="331"/>
        <v>5</v>
      </c>
      <c r="AE3826" s="580">
        <f t="shared" si="332"/>
        <v>2.5</v>
      </c>
      <c r="AF3826" s="580">
        <f t="shared" si="333"/>
        <v>2.5</v>
      </c>
      <c r="AG3826" s="580">
        <f t="shared" si="334"/>
        <v>0</v>
      </c>
      <c r="AH3826" s="580">
        <f t="shared" si="335"/>
        <v>0</v>
      </c>
    </row>
    <row r="3827" spans="28:34">
      <c r="AB3827" s="580">
        <f>HLOOKUP("*"&amp;'Output annual'!$AC$2&amp;'Output annual'!$AD$2&amp;"*Zone People Number Of Occupants [](Hourly)",'Eplus results'!$1:$1048576,ROW(),FALSE)</f>
        <v>0</v>
      </c>
      <c r="AC3827" s="580">
        <f>HLOOKUP("*"&amp;'Output annual'!$AC$2&amp;'Output annual'!$AD$2&amp;"*FangerPMV(Hourly)",'Eplus results'!$1:$1048576,ROW(),FALSE)</f>
        <v>0</v>
      </c>
      <c r="AD3827" s="580">
        <f t="shared" si="331"/>
        <v>5</v>
      </c>
      <c r="AE3827" s="580">
        <f t="shared" si="332"/>
        <v>2.5</v>
      </c>
      <c r="AF3827" s="580">
        <f t="shared" si="333"/>
        <v>2.5</v>
      </c>
      <c r="AG3827" s="580">
        <f t="shared" si="334"/>
        <v>0</v>
      </c>
      <c r="AH3827" s="580">
        <f t="shared" si="335"/>
        <v>0</v>
      </c>
    </row>
    <row r="3828" spans="28:34">
      <c r="AB3828" s="580">
        <f>HLOOKUP("*"&amp;'Output annual'!$AC$2&amp;'Output annual'!$AD$2&amp;"*Zone People Number Of Occupants [](Hourly)",'Eplus results'!$1:$1048576,ROW(),FALSE)</f>
        <v>0</v>
      </c>
      <c r="AC3828" s="580">
        <f>HLOOKUP("*"&amp;'Output annual'!$AC$2&amp;'Output annual'!$AD$2&amp;"*FangerPMV(Hourly)",'Eplus results'!$1:$1048576,ROW(),FALSE)</f>
        <v>0</v>
      </c>
      <c r="AD3828" s="580">
        <f t="shared" si="331"/>
        <v>5</v>
      </c>
      <c r="AE3828" s="580">
        <f t="shared" si="332"/>
        <v>2.5</v>
      </c>
      <c r="AF3828" s="580">
        <f t="shared" si="333"/>
        <v>2.5</v>
      </c>
      <c r="AG3828" s="580">
        <f t="shared" si="334"/>
        <v>0</v>
      </c>
      <c r="AH3828" s="580">
        <f t="shared" si="335"/>
        <v>0</v>
      </c>
    </row>
    <row r="3829" spans="28:34">
      <c r="AB3829" s="580">
        <f>HLOOKUP("*"&amp;'Output annual'!$AC$2&amp;'Output annual'!$AD$2&amp;"*Zone People Number Of Occupants [](Hourly)",'Eplus results'!$1:$1048576,ROW(),FALSE)</f>
        <v>0</v>
      </c>
      <c r="AC3829" s="580">
        <f>HLOOKUP("*"&amp;'Output annual'!$AC$2&amp;'Output annual'!$AD$2&amp;"*FangerPMV(Hourly)",'Eplus results'!$1:$1048576,ROW(),FALSE)</f>
        <v>0</v>
      </c>
      <c r="AD3829" s="580">
        <f t="shared" si="331"/>
        <v>5</v>
      </c>
      <c r="AE3829" s="580">
        <f t="shared" si="332"/>
        <v>2.5</v>
      </c>
      <c r="AF3829" s="580">
        <f t="shared" si="333"/>
        <v>2.5</v>
      </c>
      <c r="AG3829" s="580">
        <f t="shared" si="334"/>
        <v>0</v>
      </c>
      <c r="AH3829" s="580">
        <f t="shared" si="335"/>
        <v>0</v>
      </c>
    </row>
    <row r="3830" spans="28:34">
      <c r="AB3830" s="580">
        <f>HLOOKUP("*"&amp;'Output annual'!$AC$2&amp;'Output annual'!$AD$2&amp;"*Zone People Number Of Occupants [](Hourly)",'Eplus results'!$1:$1048576,ROW(),FALSE)</f>
        <v>0</v>
      </c>
      <c r="AC3830" s="580">
        <f>HLOOKUP("*"&amp;'Output annual'!$AC$2&amp;'Output annual'!$AD$2&amp;"*FangerPMV(Hourly)",'Eplus results'!$1:$1048576,ROW(),FALSE)</f>
        <v>0</v>
      </c>
      <c r="AD3830" s="580">
        <f t="shared" si="331"/>
        <v>5</v>
      </c>
      <c r="AE3830" s="580">
        <f t="shared" si="332"/>
        <v>2.5</v>
      </c>
      <c r="AF3830" s="580">
        <f t="shared" si="333"/>
        <v>2.5</v>
      </c>
      <c r="AG3830" s="580">
        <f t="shared" si="334"/>
        <v>0</v>
      </c>
      <c r="AH3830" s="580">
        <f t="shared" si="335"/>
        <v>0</v>
      </c>
    </row>
    <row r="3831" spans="28:34">
      <c r="AB3831" s="580">
        <f>HLOOKUP("*"&amp;'Output annual'!$AC$2&amp;'Output annual'!$AD$2&amp;"*Zone People Number Of Occupants [](Hourly)",'Eplus results'!$1:$1048576,ROW(),FALSE)</f>
        <v>0</v>
      </c>
      <c r="AC3831" s="580">
        <f>HLOOKUP("*"&amp;'Output annual'!$AC$2&amp;'Output annual'!$AD$2&amp;"*FangerPMV(Hourly)",'Eplus results'!$1:$1048576,ROW(),FALSE)</f>
        <v>0</v>
      </c>
      <c r="AD3831" s="580">
        <f t="shared" si="331"/>
        <v>5</v>
      </c>
      <c r="AE3831" s="580">
        <f t="shared" si="332"/>
        <v>2.5</v>
      </c>
      <c r="AF3831" s="580">
        <f t="shared" si="333"/>
        <v>2.5</v>
      </c>
      <c r="AG3831" s="580">
        <f t="shared" si="334"/>
        <v>0</v>
      </c>
      <c r="AH3831" s="580">
        <f t="shared" si="335"/>
        <v>0</v>
      </c>
    </row>
    <row r="3832" spans="28:34">
      <c r="AB3832" s="580">
        <f>HLOOKUP("*"&amp;'Output annual'!$AC$2&amp;'Output annual'!$AD$2&amp;"*Zone People Number Of Occupants [](Hourly)",'Eplus results'!$1:$1048576,ROW(),FALSE)</f>
        <v>0</v>
      </c>
      <c r="AC3832" s="580">
        <f>HLOOKUP("*"&amp;'Output annual'!$AC$2&amp;'Output annual'!$AD$2&amp;"*FangerPMV(Hourly)",'Eplus results'!$1:$1048576,ROW(),FALSE)</f>
        <v>0</v>
      </c>
      <c r="AD3832" s="580">
        <f t="shared" si="331"/>
        <v>5</v>
      </c>
      <c r="AE3832" s="580">
        <f t="shared" si="332"/>
        <v>2.5</v>
      </c>
      <c r="AF3832" s="580">
        <f t="shared" si="333"/>
        <v>2.5</v>
      </c>
      <c r="AG3832" s="580">
        <f t="shared" si="334"/>
        <v>0</v>
      </c>
      <c r="AH3832" s="580">
        <f t="shared" si="335"/>
        <v>0</v>
      </c>
    </row>
    <row r="3833" spans="28:34">
      <c r="AB3833" s="580">
        <f>HLOOKUP("*"&amp;'Output annual'!$AC$2&amp;'Output annual'!$AD$2&amp;"*Zone People Number Of Occupants [](Hourly)",'Eplus results'!$1:$1048576,ROW(),FALSE)</f>
        <v>0</v>
      </c>
      <c r="AC3833" s="580">
        <f>HLOOKUP("*"&amp;'Output annual'!$AC$2&amp;'Output annual'!$AD$2&amp;"*FangerPMV(Hourly)",'Eplus results'!$1:$1048576,ROW(),FALSE)</f>
        <v>0</v>
      </c>
      <c r="AD3833" s="580">
        <f t="shared" si="331"/>
        <v>5</v>
      </c>
      <c r="AE3833" s="580">
        <f t="shared" si="332"/>
        <v>2.5</v>
      </c>
      <c r="AF3833" s="580">
        <f t="shared" si="333"/>
        <v>2.5</v>
      </c>
      <c r="AG3833" s="580">
        <f t="shared" si="334"/>
        <v>0</v>
      </c>
      <c r="AH3833" s="580">
        <f t="shared" si="335"/>
        <v>0</v>
      </c>
    </row>
    <row r="3834" spans="28:34">
      <c r="AB3834" s="580">
        <f>HLOOKUP("*"&amp;'Output annual'!$AC$2&amp;'Output annual'!$AD$2&amp;"*Zone People Number Of Occupants [](Hourly)",'Eplus results'!$1:$1048576,ROW(),FALSE)</f>
        <v>0</v>
      </c>
      <c r="AC3834" s="580">
        <f>HLOOKUP("*"&amp;'Output annual'!$AC$2&amp;'Output annual'!$AD$2&amp;"*FangerPMV(Hourly)",'Eplus results'!$1:$1048576,ROW(),FALSE)</f>
        <v>0</v>
      </c>
      <c r="AD3834" s="580">
        <f t="shared" si="331"/>
        <v>5</v>
      </c>
      <c r="AE3834" s="580">
        <f t="shared" si="332"/>
        <v>2.5</v>
      </c>
      <c r="AF3834" s="580">
        <f t="shared" si="333"/>
        <v>2.5</v>
      </c>
      <c r="AG3834" s="580">
        <f t="shared" si="334"/>
        <v>0</v>
      </c>
      <c r="AH3834" s="580">
        <f t="shared" si="335"/>
        <v>0</v>
      </c>
    </row>
    <row r="3835" spans="28:34">
      <c r="AB3835" s="580">
        <f>HLOOKUP("*"&amp;'Output annual'!$AC$2&amp;'Output annual'!$AD$2&amp;"*Zone People Number Of Occupants [](Hourly)",'Eplus results'!$1:$1048576,ROW(),FALSE)</f>
        <v>0</v>
      </c>
      <c r="AC3835" s="580">
        <f>HLOOKUP("*"&amp;'Output annual'!$AC$2&amp;'Output annual'!$AD$2&amp;"*FangerPMV(Hourly)",'Eplus results'!$1:$1048576,ROW(),FALSE)</f>
        <v>0</v>
      </c>
      <c r="AD3835" s="580">
        <f t="shared" si="331"/>
        <v>5</v>
      </c>
      <c r="AE3835" s="580">
        <f t="shared" si="332"/>
        <v>2.5</v>
      </c>
      <c r="AF3835" s="580">
        <f t="shared" si="333"/>
        <v>2.5</v>
      </c>
      <c r="AG3835" s="580">
        <f t="shared" si="334"/>
        <v>0</v>
      </c>
      <c r="AH3835" s="580">
        <f t="shared" si="335"/>
        <v>0</v>
      </c>
    </row>
    <row r="3836" spans="28:34">
      <c r="AB3836" s="580">
        <f>HLOOKUP("*"&amp;'Output annual'!$AC$2&amp;'Output annual'!$AD$2&amp;"*Zone People Number Of Occupants [](Hourly)",'Eplus results'!$1:$1048576,ROW(),FALSE)</f>
        <v>0</v>
      </c>
      <c r="AC3836" s="580">
        <f>HLOOKUP("*"&amp;'Output annual'!$AC$2&amp;'Output annual'!$AD$2&amp;"*FangerPMV(Hourly)",'Eplus results'!$1:$1048576,ROW(),FALSE)</f>
        <v>0</v>
      </c>
      <c r="AD3836" s="580">
        <f t="shared" si="331"/>
        <v>5</v>
      </c>
      <c r="AE3836" s="580">
        <f t="shared" si="332"/>
        <v>2.5</v>
      </c>
      <c r="AF3836" s="580">
        <f t="shared" si="333"/>
        <v>2.5</v>
      </c>
      <c r="AG3836" s="580">
        <f t="shared" si="334"/>
        <v>0</v>
      </c>
      <c r="AH3836" s="580">
        <f t="shared" si="335"/>
        <v>0</v>
      </c>
    </row>
    <row r="3837" spans="28:34">
      <c r="AB3837" s="580">
        <f>HLOOKUP("*"&amp;'Output annual'!$AC$2&amp;'Output annual'!$AD$2&amp;"*Zone People Number Of Occupants [](Hourly)",'Eplus results'!$1:$1048576,ROW(),FALSE)</f>
        <v>0</v>
      </c>
      <c r="AC3837" s="580">
        <f>HLOOKUP("*"&amp;'Output annual'!$AC$2&amp;'Output annual'!$AD$2&amp;"*FangerPMV(Hourly)",'Eplus results'!$1:$1048576,ROW(),FALSE)</f>
        <v>0</v>
      </c>
      <c r="AD3837" s="580">
        <f t="shared" si="331"/>
        <v>5</v>
      </c>
      <c r="AE3837" s="580">
        <f t="shared" si="332"/>
        <v>2.5</v>
      </c>
      <c r="AF3837" s="580">
        <f t="shared" si="333"/>
        <v>2.5</v>
      </c>
      <c r="AG3837" s="580">
        <f t="shared" si="334"/>
        <v>0</v>
      </c>
      <c r="AH3837" s="580">
        <f t="shared" si="335"/>
        <v>0</v>
      </c>
    </row>
    <row r="3838" spans="28:34">
      <c r="AB3838" s="580">
        <f>HLOOKUP("*"&amp;'Output annual'!$AC$2&amp;'Output annual'!$AD$2&amp;"*Zone People Number Of Occupants [](Hourly)",'Eplus results'!$1:$1048576,ROW(),FALSE)</f>
        <v>0</v>
      </c>
      <c r="AC3838" s="580">
        <f>HLOOKUP("*"&amp;'Output annual'!$AC$2&amp;'Output annual'!$AD$2&amp;"*FangerPMV(Hourly)",'Eplus results'!$1:$1048576,ROW(),FALSE)</f>
        <v>0</v>
      </c>
      <c r="AD3838" s="580">
        <f t="shared" si="331"/>
        <v>5</v>
      </c>
      <c r="AE3838" s="580">
        <f t="shared" si="332"/>
        <v>2.5</v>
      </c>
      <c r="AF3838" s="580">
        <f t="shared" si="333"/>
        <v>2.5</v>
      </c>
      <c r="AG3838" s="580">
        <f t="shared" si="334"/>
        <v>0</v>
      </c>
      <c r="AH3838" s="580">
        <f t="shared" si="335"/>
        <v>0</v>
      </c>
    </row>
    <row r="3839" spans="28:34">
      <c r="AB3839" s="580">
        <f>HLOOKUP("*"&amp;'Output annual'!$AC$2&amp;'Output annual'!$AD$2&amp;"*Zone People Number Of Occupants [](Hourly)",'Eplus results'!$1:$1048576,ROW(),FALSE)</f>
        <v>0</v>
      </c>
      <c r="AC3839" s="580">
        <f>HLOOKUP("*"&amp;'Output annual'!$AC$2&amp;'Output annual'!$AD$2&amp;"*FangerPMV(Hourly)",'Eplus results'!$1:$1048576,ROW(),FALSE)</f>
        <v>0</v>
      </c>
      <c r="AD3839" s="580">
        <f t="shared" si="331"/>
        <v>5</v>
      </c>
      <c r="AE3839" s="580">
        <f t="shared" si="332"/>
        <v>2.5</v>
      </c>
      <c r="AF3839" s="580">
        <f t="shared" si="333"/>
        <v>2.5</v>
      </c>
      <c r="AG3839" s="580">
        <f t="shared" si="334"/>
        <v>0</v>
      </c>
      <c r="AH3839" s="580">
        <f t="shared" si="335"/>
        <v>0</v>
      </c>
    </row>
    <row r="3840" spans="28:34">
      <c r="AB3840" s="580">
        <f>HLOOKUP("*"&amp;'Output annual'!$AC$2&amp;'Output annual'!$AD$2&amp;"*Zone People Number Of Occupants [](Hourly)",'Eplus results'!$1:$1048576,ROW(),FALSE)</f>
        <v>0</v>
      </c>
      <c r="AC3840" s="580">
        <f>HLOOKUP("*"&amp;'Output annual'!$AC$2&amp;'Output annual'!$AD$2&amp;"*FangerPMV(Hourly)",'Eplus results'!$1:$1048576,ROW(),FALSE)</f>
        <v>0</v>
      </c>
      <c r="AD3840" s="580">
        <f t="shared" si="331"/>
        <v>5</v>
      </c>
      <c r="AE3840" s="580">
        <f t="shared" si="332"/>
        <v>2.5</v>
      </c>
      <c r="AF3840" s="580">
        <f t="shared" si="333"/>
        <v>2.5</v>
      </c>
      <c r="AG3840" s="580">
        <f t="shared" si="334"/>
        <v>0</v>
      </c>
      <c r="AH3840" s="580">
        <f t="shared" si="335"/>
        <v>0</v>
      </c>
    </row>
    <row r="3841" spans="28:34">
      <c r="AB3841" s="580">
        <f>HLOOKUP("*"&amp;'Output annual'!$AC$2&amp;'Output annual'!$AD$2&amp;"*Zone People Number Of Occupants [](Hourly)",'Eplus results'!$1:$1048576,ROW(),FALSE)</f>
        <v>0</v>
      </c>
      <c r="AC3841" s="580">
        <f>HLOOKUP("*"&amp;'Output annual'!$AC$2&amp;'Output annual'!$AD$2&amp;"*FangerPMV(Hourly)",'Eplus results'!$1:$1048576,ROW(),FALSE)</f>
        <v>0</v>
      </c>
      <c r="AD3841" s="580">
        <f t="shared" si="331"/>
        <v>5</v>
      </c>
      <c r="AE3841" s="580">
        <f t="shared" si="332"/>
        <v>2.5</v>
      </c>
      <c r="AF3841" s="580">
        <f t="shared" si="333"/>
        <v>2.5</v>
      </c>
      <c r="AG3841" s="580">
        <f t="shared" si="334"/>
        <v>0</v>
      </c>
      <c r="AH3841" s="580">
        <f t="shared" si="335"/>
        <v>0</v>
      </c>
    </row>
    <row r="3842" spans="28:34">
      <c r="AB3842" s="580">
        <f>HLOOKUP("*"&amp;'Output annual'!$AC$2&amp;'Output annual'!$AD$2&amp;"*Zone People Number Of Occupants [](Hourly)",'Eplus results'!$1:$1048576,ROW(),FALSE)</f>
        <v>0</v>
      </c>
      <c r="AC3842" s="580">
        <f>HLOOKUP("*"&amp;'Output annual'!$AC$2&amp;'Output annual'!$AD$2&amp;"*FangerPMV(Hourly)",'Eplus results'!$1:$1048576,ROW(),FALSE)</f>
        <v>0</v>
      </c>
      <c r="AD3842" s="580">
        <f t="shared" si="331"/>
        <v>5</v>
      </c>
      <c r="AE3842" s="580">
        <f t="shared" si="332"/>
        <v>2.5</v>
      </c>
      <c r="AF3842" s="580">
        <f t="shared" si="333"/>
        <v>2.5</v>
      </c>
      <c r="AG3842" s="580">
        <f t="shared" si="334"/>
        <v>0</v>
      </c>
      <c r="AH3842" s="580">
        <f t="shared" si="335"/>
        <v>0</v>
      </c>
    </row>
    <row r="3843" spans="28:34">
      <c r="AB3843" s="580">
        <f>HLOOKUP("*"&amp;'Output annual'!$AC$2&amp;'Output annual'!$AD$2&amp;"*Zone People Number Of Occupants [](Hourly)",'Eplus results'!$1:$1048576,ROW(),FALSE)</f>
        <v>0</v>
      </c>
      <c r="AC3843" s="580">
        <f>HLOOKUP("*"&amp;'Output annual'!$AC$2&amp;'Output annual'!$AD$2&amp;"*FangerPMV(Hourly)",'Eplus results'!$1:$1048576,ROW(),FALSE)</f>
        <v>0</v>
      </c>
      <c r="AD3843" s="580">
        <f t="shared" ref="AD3843:AD3906" si="336">100-95*EXP(-0.03353*AC3843^4-0.2179*AC3843^2)</f>
        <v>5</v>
      </c>
      <c r="AE3843" s="580">
        <f t="shared" ref="AE3843:AE3906" si="337">AD3843*(1/(1+EXP(-6.3*$AC3843)))</f>
        <v>2.5</v>
      </c>
      <c r="AF3843" s="580">
        <f t="shared" ref="AF3843:AF3906" si="338">(AD3843-AE3843)</f>
        <v>2.5</v>
      </c>
      <c r="AG3843" s="580">
        <f t="shared" ref="AG3843:AG3906" si="339">AE3843*AB3843</f>
        <v>0</v>
      </c>
      <c r="AH3843" s="580">
        <f t="shared" ref="AH3843:AH3906" si="340">AF3843*AB3843</f>
        <v>0</v>
      </c>
    </row>
    <row r="3844" spans="28:34">
      <c r="AB3844" s="580">
        <f>HLOOKUP("*"&amp;'Output annual'!$AC$2&amp;'Output annual'!$AD$2&amp;"*Zone People Number Of Occupants [](Hourly)",'Eplus results'!$1:$1048576,ROW(),FALSE)</f>
        <v>0</v>
      </c>
      <c r="AC3844" s="580">
        <f>HLOOKUP("*"&amp;'Output annual'!$AC$2&amp;'Output annual'!$AD$2&amp;"*FangerPMV(Hourly)",'Eplus results'!$1:$1048576,ROW(),FALSE)</f>
        <v>0</v>
      </c>
      <c r="AD3844" s="580">
        <f t="shared" si="336"/>
        <v>5</v>
      </c>
      <c r="AE3844" s="580">
        <f t="shared" si="337"/>
        <v>2.5</v>
      </c>
      <c r="AF3844" s="580">
        <f t="shared" si="338"/>
        <v>2.5</v>
      </c>
      <c r="AG3844" s="580">
        <f t="shared" si="339"/>
        <v>0</v>
      </c>
      <c r="AH3844" s="580">
        <f t="shared" si="340"/>
        <v>0</v>
      </c>
    </row>
    <row r="3845" spans="28:34">
      <c r="AB3845" s="580">
        <f>HLOOKUP("*"&amp;'Output annual'!$AC$2&amp;'Output annual'!$AD$2&amp;"*Zone People Number Of Occupants [](Hourly)",'Eplus results'!$1:$1048576,ROW(),FALSE)</f>
        <v>0</v>
      </c>
      <c r="AC3845" s="580">
        <f>HLOOKUP("*"&amp;'Output annual'!$AC$2&amp;'Output annual'!$AD$2&amp;"*FangerPMV(Hourly)",'Eplus results'!$1:$1048576,ROW(),FALSE)</f>
        <v>0</v>
      </c>
      <c r="AD3845" s="580">
        <f t="shared" si="336"/>
        <v>5</v>
      </c>
      <c r="AE3845" s="580">
        <f t="shared" si="337"/>
        <v>2.5</v>
      </c>
      <c r="AF3845" s="580">
        <f t="shared" si="338"/>
        <v>2.5</v>
      </c>
      <c r="AG3845" s="580">
        <f t="shared" si="339"/>
        <v>0</v>
      </c>
      <c r="AH3845" s="580">
        <f t="shared" si="340"/>
        <v>0</v>
      </c>
    </row>
    <row r="3846" spans="28:34">
      <c r="AB3846" s="580">
        <f>HLOOKUP("*"&amp;'Output annual'!$AC$2&amp;'Output annual'!$AD$2&amp;"*Zone People Number Of Occupants [](Hourly)",'Eplus results'!$1:$1048576,ROW(),FALSE)</f>
        <v>0</v>
      </c>
      <c r="AC3846" s="580">
        <f>HLOOKUP("*"&amp;'Output annual'!$AC$2&amp;'Output annual'!$AD$2&amp;"*FangerPMV(Hourly)",'Eplus results'!$1:$1048576,ROW(),FALSE)</f>
        <v>0</v>
      </c>
      <c r="AD3846" s="580">
        <f t="shared" si="336"/>
        <v>5</v>
      </c>
      <c r="AE3846" s="580">
        <f t="shared" si="337"/>
        <v>2.5</v>
      </c>
      <c r="AF3846" s="580">
        <f t="shared" si="338"/>
        <v>2.5</v>
      </c>
      <c r="AG3846" s="580">
        <f t="shared" si="339"/>
        <v>0</v>
      </c>
      <c r="AH3846" s="580">
        <f t="shared" si="340"/>
        <v>0</v>
      </c>
    </row>
    <row r="3847" spans="28:34">
      <c r="AB3847" s="580">
        <f>HLOOKUP("*"&amp;'Output annual'!$AC$2&amp;'Output annual'!$AD$2&amp;"*Zone People Number Of Occupants [](Hourly)",'Eplus results'!$1:$1048576,ROW(),FALSE)</f>
        <v>0</v>
      </c>
      <c r="AC3847" s="580">
        <f>HLOOKUP("*"&amp;'Output annual'!$AC$2&amp;'Output annual'!$AD$2&amp;"*FangerPMV(Hourly)",'Eplus results'!$1:$1048576,ROW(),FALSE)</f>
        <v>0</v>
      </c>
      <c r="AD3847" s="580">
        <f t="shared" si="336"/>
        <v>5</v>
      </c>
      <c r="AE3847" s="580">
        <f t="shared" si="337"/>
        <v>2.5</v>
      </c>
      <c r="AF3847" s="580">
        <f t="shared" si="338"/>
        <v>2.5</v>
      </c>
      <c r="AG3847" s="580">
        <f t="shared" si="339"/>
        <v>0</v>
      </c>
      <c r="AH3847" s="580">
        <f t="shared" si="340"/>
        <v>0</v>
      </c>
    </row>
    <row r="3848" spans="28:34">
      <c r="AB3848" s="580">
        <f>HLOOKUP("*"&amp;'Output annual'!$AC$2&amp;'Output annual'!$AD$2&amp;"*Zone People Number Of Occupants [](Hourly)",'Eplus results'!$1:$1048576,ROW(),FALSE)</f>
        <v>0</v>
      </c>
      <c r="AC3848" s="580">
        <f>HLOOKUP("*"&amp;'Output annual'!$AC$2&amp;'Output annual'!$AD$2&amp;"*FangerPMV(Hourly)",'Eplus results'!$1:$1048576,ROW(),FALSE)</f>
        <v>0</v>
      </c>
      <c r="AD3848" s="580">
        <f t="shared" si="336"/>
        <v>5</v>
      </c>
      <c r="AE3848" s="580">
        <f t="shared" si="337"/>
        <v>2.5</v>
      </c>
      <c r="AF3848" s="580">
        <f t="shared" si="338"/>
        <v>2.5</v>
      </c>
      <c r="AG3848" s="580">
        <f t="shared" si="339"/>
        <v>0</v>
      </c>
      <c r="AH3848" s="580">
        <f t="shared" si="340"/>
        <v>0</v>
      </c>
    </row>
    <row r="3849" spans="28:34">
      <c r="AB3849" s="580">
        <f>HLOOKUP("*"&amp;'Output annual'!$AC$2&amp;'Output annual'!$AD$2&amp;"*Zone People Number Of Occupants [](Hourly)",'Eplus results'!$1:$1048576,ROW(),FALSE)</f>
        <v>0</v>
      </c>
      <c r="AC3849" s="580">
        <f>HLOOKUP("*"&amp;'Output annual'!$AC$2&amp;'Output annual'!$AD$2&amp;"*FangerPMV(Hourly)",'Eplus results'!$1:$1048576,ROW(),FALSE)</f>
        <v>0</v>
      </c>
      <c r="AD3849" s="580">
        <f t="shared" si="336"/>
        <v>5</v>
      </c>
      <c r="AE3849" s="580">
        <f t="shared" si="337"/>
        <v>2.5</v>
      </c>
      <c r="AF3849" s="580">
        <f t="shared" si="338"/>
        <v>2.5</v>
      </c>
      <c r="AG3849" s="580">
        <f t="shared" si="339"/>
        <v>0</v>
      </c>
      <c r="AH3849" s="580">
        <f t="shared" si="340"/>
        <v>0</v>
      </c>
    </row>
    <row r="3850" spans="28:34">
      <c r="AB3850" s="580">
        <f>HLOOKUP("*"&amp;'Output annual'!$AC$2&amp;'Output annual'!$AD$2&amp;"*Zone People Number Of Occupants [](Hourly)",'Eplus results'!$1:$1048576,ROW(),FALSE)</f>
        <v>0</v>
      </c>
      <c r="AC3850" s="580">
        <f>HLOOKUP("*"&amp;'Output annual'!$AC$2&amp;'Output annual'!$AD$2&amp;"*FangerPMV(Hourly)",'Eplus results'!$1:$1048576,ROW(),FALSE)</f>
        <v>0</v>
      </c>
      <c r="AD3850" s="580">
        <f t="shared" si="336"/>
        <v>5</v>
      </c>
      <c r="AE3850" s="580">
        <f t="shared" si="337"/>
        <v>2.5</v>
      </c>
      <c r="AF3850" s="580">
        <f t="shared" si="338"/>
        <v>2.5</v>
      </c>
      <c r="AG3850" s="580">
        <f t="shared" si="339"/>
        <v>0</v>
      </c>
      <c r="AH3850" s="580">
        <f t="shared" si="340"/>
        <v>0</v>
      </c>
    </row>
    <row r="3851" spans="28:34">
      <c r="AB3851" s="580">
        <f>HLOOKUP("*"&amp;'Output annual'!$AC$2&amp;'Output annual'!$AD$2&amp;"*Zone People Number Of Occupants [](Hourly)",'Eplus results'!$1:$1048576,ROW(),FALSE)</f>
        <v>0</v>
      </c>
      <c r="AC3851" s="580">
        <f>HLOOKUP("*"&amp;'Output annual'!$AC$2&amp;'Output annual'!$AD$2&amp;"*FangerPMV(Hourly)",'Eplus results'!$1:$1048576,ROW(),FALSE)</f>
        <v>0</v>
      </c>
      <c r="AD3851" s="580">
        <f t="shared" si="336"/>
        <v>5</v>
      </c>
      <c r="AE3851" s="580">
        <f t="shared" si="337"/>
        <v>2.5</v>
      </c>
      <c r="AF3851" s="580">
        <f t="shared" si="338"/>
        <v>2.5</v>
      </c>
      <c r="AG3851" s="580">
        <f t="shared" si="339"/>
        <v>0</v>
      </c>
      <c r="AH3851" s="580">
        <f t="shared" si="340"/>
        <v>0</v>
      </c>
    </row>
    <row r="3852" spans="28:34">
      <c r="AB3852" s="580">
        <f>HLOOKUP("*"&amp;'Output annual'!$AC$2&amp;'Output annual'!$AD$2&amp;"*Zone People Number Of Occupants [](Hourly)",'Eplus results'!$1:$1048576,ROW(),FALSE)</f>
        <v>0</v>
      </c>
      <c r="AC3852" s="580">
        <f>HLOOKUP("*"&amp;'Output annual'!$AC$2&amp;'Output annual'!$AD$2&amp;"*FangerPMV(Hourly)",'Eplus results'!$1:$1048576,ROW(),FALSE)</f>
        <v>0</v>
      </c>
      <c r="AD3852" s="580">
        <f t="shared" si="336"/>
        <v>5</v>
      </c>
      <c r="AE3852" s="580">
        <f t="shared" si="337"/>
        <v>2.5</v>
      </c>
      <c r="AF3852" s="580">
        <f t="shared" si="338"/>
        <v>2.5</v>
      </c>
      <c r="AG3852" s="580">
        <f t="shared" si="339"/>
        <v>0</v>
      </c>
      <c r="AH3852" s="580">
        <f t="shared" si="340"/>
        <v>0</v>
      </c>
    </row>
    <row r="3853" spans="28:34">
      <c r="AB3853" s="580">
        <f>HLOOKUP("*"&amp;'Output annual'!$AC$2&amp;'Output annual'!$AD$2&amp;"*Zone People Number Of Occupants [](Hourly)",'Eplus results'!$1:$1048576,ROW(),FALSE)</f>
        <v>0</v>
      </c>
      <c r="AC3853" s="580">
        <f>HLOOKUP("*"&amp;'Output annual'!$AC$2&amp;'Output annual'!$AD$2&amp;"*FangerPMV(Hourly)",'Eplus results'!$1:$1048576,ROW(),FALSE)</f>
        <v>0</v>
      </c>
      <c r="AD3853" s="580">
        <f t="shared" si="336"/>
        <v>5</v>
      </c>
      <c r="AE3853" s="580">
        <f t="shared" si="337"/>
        <v>2.5</v>
      </c>
      <c r="AF3853" s="580">
        <f t="shared" si="338"/>
        <v>2.5</v>
      </c>
      <c r="AG3853" s="580">
        <f t="shared" si="339"/>
        <v>0</v>
      </c>
      <c r="AH3853" s="580">
        <f t="shared" si="340"/>
        <v>0</v>
      </c>
    </row>
    <row r="3854" spans="28:34">
      <c r="AB3854" s="580">
        <f>HLOOKUP("*"&amp;'Output annual'!$AC$2&amp;'Output annual'!$AD$2&amp;"*Zone People Number Of Occupants [](Hourly)",'Eplus results'!$1:$1048576,ROW(),FALSE)</f>
        <v>0</v>
      </c>
      <c r="AC3854" s="580">
        <f>HLOOKUP("*"&amp;'Output annual'!$AC$2&amp;'Output annual'!$AD$2&amp;"*FangerPMV(Hourly)",'Eplus results'!$1:$1048576,ROW(),FALSE)</f>
        <v>0</v>
      </c>
      <c r="AD3854" s="580">
        <f t="shared" si="336"/>
        <v>5</v>
      </c>
      <c r="AE3854" s="580">
        <f t="shared" si="337"/>
        <v>2.5</v>
      </c>
      <c r="AF3854" s="580">
        <f t="shared" si="338"/>
        <v>2.5</v>
      </c>
      <c r="AG3854" s="580">
        <f t="shared" si="339"/>
        <v>0</v>
      </c>
      <c r="AH3854" s="580">
        <f t="shared" si="340"/>
        <v>0</v>
      </c>
    </row>
    <row r="3855" spans="28:34">
      <c r="AB3855" s="580">
        <f>HLOOKUP("*"&amp;'Output annual'!$AC$2&amp;'Output annual'!$AD$2&amp;"*Zone People Number Of Occupants [](Hourly)",'Eplus results'!$1:$1048576,ROW(),FALSE)</f>
        <v>0</v>
      </c>
      <c r="AC3855" s="580">
        <f>HLOOKUP("*"&amp;'Output annual'!$AC$2&amp;'Output annual'!$AD$2&amp;"*FangerPMV(Hourly)",'Eplus results'!$1:$1048576,ROW(),FALSE)</f>
        <v>0</v>
      </c>
      <c r="AD3855" s="580">
        <f t="shared" si="336"/>
        <v>5</v>
      </c>
      <c r="AE3855" s="580">
        <f t="shared" si="337"/>
        <v>2.5</v>
      </c>
      <c r="AF3855" s="580">
        <f t="shared" si="338"/>
        <v>2.5</v>
      </c>
      <c r="AG3855" s="580">
        <f t="shared" si="339"/>
        <v>0</v>
      </c>
      <c r="AH3855" s="580">
        <f t="shared" si="340"/>
        <v>0</v>
      </c>
    </row>
    <row r="3856" spans="28:34">
      <c r="AB3856" s="580">
        <f>HLOOKUP("*"&amp;'Output annual'!$AC$2&amp;'Output annual'!$AD$2&amp;"*Zone People Number Of Occupants [](Hourly)",'Eplus results'!$1:$1048576,ROW(),FALSE)</f>
        <v>0</v>
      </c>
      <c r="AC3856" s="580">
        <f>HLOOKUP("*"&amp;'Output annual'!$AC$2&amp;'Output annual'!$AD$2&amp;"*FangerPMV(Hourly)",'Eplus results'!$1:$1048576,ROW(),FALSE)</f>
        <v>0</v>
      </c>
      <c r="AD3856" s="580">
        <f t="shared" si="336"/>
        <v>5</v>
      </c>
      <c r="AE3856" s="580">
        <f t="shared" si="337"/>
        <v>2.5</v>
      </c>
      <c r="AF3856" s="580">
        <f t="shared" si="338"/>
        <v>2.5</v>
      </c>
      <c r="AG3856" s="580">
        <f t="shared" si="339"/>
        <v>0</v>
      </c>
      <c r="AH3856" s="580">
        <f t="shared" si="340"/>
        <v>0</v>
      </c>
    </row>
    <row r="3857" spans="28:34">
      <c r="AB3857" s="580">
        <f>HLOOKUP("*"&amp;'Output annual'!$AC$2&amp;'Output annual'!$AD$2&amp;"*Zone People Number Of Occupants [](Hourly)",'Eplus results'!$1:$1048576,ROW(),FALSE)</f>
        <v>0</v>
      </c>
      <c r="AC3857" s="580">
        <f>HLOOKUP("*"&amp;'Output annual'!$AC$2&amp;'Output annual'!$AD$2&amp;"*FangerPMV(Hourly)",'Eplus results'!$1:$1048576,ROW(),FALSE)</f>
        <v>0</v>
      </c>
      <c r="AD3857" s="580">
        <f t="shared" si="336"/>
        <v>5</v>
      </c>
      <c r="AE3857" s="580">
        <f t="shared" si="337"/>
        <v>2.5</v>
      </c>
      <c r="AF3857" s="580">
        <f t="shared" si="338"/>
        <v>2.5</v>
      </c>
      <c r="AG3857" s="580">
        <f t="shared" si="339"/>
        <v>0</v>
      </c>
      <c r="AH3857" s="580">
        <f t="shared" si="340"/>
        <v>0</v>
      </c>
    </row>
    <row r="3858" spans="28:34">
      <c r="AB3858" s="580">
        <f>HLOOKUP("*"&amp;'Output annual'!$AC$2&amp;'Output annual'!$AD$2&amp;"*Zone People Number Of Occupants [](Hourly)",'Eplus results'!$1:$1048576,ROW(),FALSE)</f>
        <v>0</v>
      </c>
      <c r="AC3858" s="580">
        <f>HLOOKUP("*"&amp;'Output annual'!$AC$2&amp;'Output annual'!$AD$2&amp;"*FangerPMV(Hourly)",'Eplus results'!$1:$1048576,ROW(),FALSE)</f>
        <v>0</v>
      </c>
      <c r="AD3858" s="580">
        <f t="shared" si="336"/>
        <v>5</v>
      </c>
      <c r="AE3858" s="580">
        <f t="shared" si="337"/>
        <v>2.5</v>
      </c>
      <c r="AF3858" s="580">
        <f t="shared" si="338"/>
        <v>2.5</v>
      </c>
      <c r="AG3858" s="580">
        <f t="shared" si="339"/>
        <v>0</v>
      </c>
      <c r="AH3858" s="580">
        <f t="shared" si="340"/>
        <v>0</v>
      </c>
    </row>
    <row r="3859" spans="28:34">
      <c r="AB3859" s="580">
        <f>HLOOKUP("*"&amp;'Output annual'!$AC$2&amp;'Output annual'!$AD$2&amp;"*Zone People Number Of Occupants [](Hourly)",'Eplus results'!$1:$1048576,ROW(),FALSE)</f>
        <v>0</v>
      </c>
      <c r="AC3859" s="580">
        <f>HLOOKUP("*"&amp;'Output annual'!$AC$2&amp;'Output annual'!$AD$2&amp;"*FangerPMV(Hourly)",'Eplus results'!$1:$1048576,ROW(),FALSE)</f>
        <v>0</v>
      </c>
      <c r="AD3859" s="580">
        <f t="shared" si="336"/>
        <v>5</v>
      </c>
      <c r="AE3859" s="580">
        <f t="shared" si="337"/>
        <v>2.5</v>
      </c>
      <c r="AF3859" s="580">
        <f t="shared" si="338"/>
        <v>2.5</v>
      </c>
      <c r="AG3859" s="580">
        <f t="shared" si="339"/>
        <v>0</v>
      </c>
      <c r="AH3859" s="580">
        <f t="shared" si="340"/>
        <v>0</v>
      </c>
    </row>
    <row r="3860" spans="28:34">
      <c r="AB3860" s="580">
        <f>HLOOKUP("*"&amp;'Output annual'!$AC$2&amp;'Output annual'!$AD$2&amp;"*Zone People Number Of Occupants [](Hourly)",'Eplus results'!$1:$1048576,ROW(),FALSE)</f>
        <v>0</v>
      </c>
      <c r="AC3860" s="580">
        <f>HLOOKUP("*"&amp;'Output annual'!$AC$2&amp;'Output annual'!$AD$2&amp;"*FangerPMV(Hourly)",'Eplus results'!$1:$1048576,ROW(),FALSE)</f>
        <v>0</v>
      </c>
      <c r="AD3860" s="580">
        <f t="shared" si="336"/>
        <v>5</v>
      </c>
      <c r="AE3860" s="580">
        <f t="shared" si="337"/>
        <v>2.5</v>
      </c>
      <c r="AF3860" s="580">
        <f t="shared" si="338"/>
        <v>2.5</v>
      </c>
      <c r="AG3860" s="580">
        <f t="shared" si="339"/>
        <v>0</v>
      </c>
      <c r="AH3860" s="580">
        <f t="shared" si="340"/>
        <v>0</v>
      </c>
    </row>
    <row r="3861" spans="28:34">
      <c r="AB3861" s="580">
        <f>HLOOKUP("*"&amp;'Output annual'!$AC$2&amp;'Output annual'!$AD$2&amp;"*Zone People Number Of Occupants [](Hourly)",'Eplus results'!$1:$1048576,ROW(),FALSE)</f>
        <v>0</v>
      </c>
      <c r="AC3861" s="580">
        <f>HLOOKUP("*"&amp;'Output annual'!$AC$2&amp;'Output annual'!$AD$2&amp;"*FangerPMV(Hourly)",'Eplus results'!$1:$1048576,ROW(),FALSE)</f>
        <v>0</v>
      </c>
      <c r="AD3861" s="580">
        <f t="shared" si="336"/>
        <v>5</v>
      </c>
      <c r="AE3861" s="580">
        <f t="shared" si="337"/>
        <v>2.5</v>
      </c>
      <c r="AF3861" s="580">
        <f t="shared" si="338"/>
        <v>2.5</v>
      </c>
      <c r="AG3861" s="580">
        <f t="shared" si="339"/>
        <v>0</v>
      </c>
      <c r="AH3861" s="580">
        <f t="shared" si="340"/>
        <v>0</v>
      </c>
    </row>
    <row r="3862" spans="28:34">
      <c r="AB3862" s="580">
        <f>HLOOKUP("*"&amp;'Output annual'!$AC$2&amp;'Output annual'!$AD$2&amp;"*Zone People Number Of Occupants [](Hourly)",'Eplus results'!$1:$1048576,ROW(),FALSE)</f>
        <v>0</v>
      </c>
      <c r="AC3862" s="580">
        <f>HLOOKUP("*"&amp;'Output annual'!$AC$2&amp;'Output annual'!$AD$2&amp;"*FangerPMV(Hourly)",'Eplus results'!$1:$1048576,ROW(),FALSE)</f>
        <v>0</v>
      </c>
      <c r="AD3862" s="580">
        <f t="shared" si="336"/>
        <v>5</v>
      </c>
      <c r="AE3862" s="580">
        <f t="shared" si="337"/>
        <v>2.5</v>
      </c>
      <c r="AF3862" s="580">
        <f t="shared" si="338"/>
        <v>2.5</v>
      </c>
      <c r="AG3862" s="580">
        <f t="shared" si="339"/>
        <v>0</v>
      </c>
      <c r="AH3862" s="580">
        <f t="shared" si="340"/>
        <v>0</v>
      </c>
    </row>
    <row r="3863" spans="28:34">
      <c r="AB3863" s="580">
        <f>HLOOKUP("*"&amp;'Output annual'!$AC$2&amp;'Output annual'!$AD$2&amp;"*Zone People Number Of Occupants [](Hourly)",'Eplus results'!$1:$1048576,ROW(),FALSE)</f>
        <v>0</v>
      </c>
      <c r="AC3863" s="580">
        <f>HLOOKUP("*"&amp;'Output annual'!$AC$2&amp;'Output annual'!$AD$2&amp;"*FangerPMV(Hourly)",'Eplus results'!$1:$1048576,ROW(),FALSE)</f>
        <v>0</v>
      </c>
      <c r="AD3863" s="580">
        <f t="shared" si="336"/>
        <v>5</v>
      </c>
      <c r="AE3863" s="580">
        <f t="shared" si="337"/>
        <v>2.5</v>
      </c>
      <c r="AF3863" s="580">
        <f t="shared" si="338"/>
        <v>2.5</v>
      </c>
      <c r="AG3863" s="580">
        <f t="shared" si="339"/>
        <v>0</v>
      </c>
      <c r="AH3863" s="580">
        <f t="shared" si="340"/>
        <v>0</v>
      </c>
    </row>
    <row r="3864" spans="28:34">
      <c r="AB3864" s="580">
        <f>HLOOKUP("*"&amp;'Output annual'!$AC$2&amp;'Output annual'!$AD$2&amp;"*Zone People Number Of Occupants [](Hourly)",'Eplus results'!$1:$1048576,ROW(),FALSE)</f>
        <v>0</v>
      </c>
      <c r="AC3864" s="580">
        <f>HLOOKUP("*"&amp;'Output annual'!$AC$2&amp;'Output annual'!$AD$2&amp;"*FangerPMV(Hourly)",'Eplus results'!$1:$1048576,ROW(),FALSE)</f>
        <v>0</v>
      </c>
      <c r="AD3864" s="580">
        <f t="shared" si="336"/>
        <v>5</v>
      </c>
      <c r="AE3864" s="580">
        <f t="shared" si="337"/>
        <v>2.5</v>
      </c>
      <c r="AF3864" s="580">
        <f t="shared" si="338"/>
        <v>2.5</v>
      </c>
      <c r="AG3864" s="580">
        <f t="shared" si="339"/>
        <v>0</v>
      </c>
      <c r="AH3864" s="580">
        <f t="shared" si="340"/>
        <v>0</v>
      </c>
    </row>
    <row r="3865" spans="28:34">
      <c r="AB3865" s="580">
        <f>HLOOKUP("*"&amp;'Output annual'!$AC$2&amp;'Output annual'!$AD$2&amp;"*Zone People Number Of Occupants [](Hourly)",'Eplus results'!$1:$1048576,ROW(),FALSE)</f>
        <v>0</v>
      </c>
      <c r="AC3865" s="580">
        <f>HLOOKUP("*"&amp;'Output annual'!$AC$2&amp;'Output annual'!$AD$2&amp;"*FangerPMV(Hourly)",'Eplus results'!$1:$1048576,ROW(),FALSE)</f>
        <v>0</v>
      </c>
      <c r="AD3865" s="580">
        <f t="shared" si="336"/>
        <v>5</v>
      </c>
      <c r="AE3865" s="580">
        <f t="shared" si="337"/>
        <v>2.5</v>
      </c>
      <c r="AF3865" s="580">
        <f t="shared" si="338"/>
        <v>2.5</v>
      </c>
      <c r="AG3865" s="580">
        <f t="shared" si="339"/>
        <v>0</v>
      </c>
      <c r="AH3865" s="580">
        <f t="shared" si="340"/>
        <v>0</v>
      </c>
    </row>
    <row r="3866" spans="28:34">
      <c r="AB3866" s="580">
        <f>HLOOKUP("*"&amp;'Output annual'!$AC$2&amp;'Output annual'!$AD$2&amp;"*Zone People Number Of Occupants [](Hourly)",'Eplus results'!$1:$1048576,ROW(),FALSE)</f>
        <v>0</v>
      </c>
      <c r="AC3866" s="580">
        <f>HLOOKUP("*"&amp;'Output annual'!$AC$2&amp;'Output annual'!$AD$2&amp;"*FangerPMV(Hourly)",'Eplus results'!$1:$1048576,ROW(),FALSE)</f>
        <v>0</v>
      </c>
      <c r="AD3866" s="580">
        <f t="shared" si="336"/>
        <v>5</v>
      </c>
      <c r="AE3866" s="580">
        <f t="shared" si="337"/>
        <v>2.5</v>
      </c>
      <c r="AF3866" s="580">
        <f t="shared" si="338"/>
        <v>2.5</v>
      </c>
      <c r="AG3866" s="580">
        <f t="shared" si="339"/>
        <v>0</v>
      </c>
      <c r="AH3866" s="580">
        <f t="shared" si="340"/>
        <v>0</v>
      </c>
    </row>
    <row r="3867" spans="28:34">
      <c r="AB3867" s="580">
        <f>HLOOKUP("*"&amp;'Output annual'!$AC$2&amp;'Output annual'!$AD$2&amp;"*Zone People Number Of Occupants [](Hourly)",'Eplus results'!$1:$1048576,ROW(),FALSE)</f>
        <v>0</v>
      </c>
      <c r="AC3867" s="580">
        <f>HLOOKUP("*"&amp;'Output annual'!$AC$2&amp;'Output annual'!$AD$2&amp;"*FangerPMV(Hourly)",'Eplus results'!$1:$1048576,ROW(),FALSE)</f>
        <v>0</v>
      </c>
      <c r="AD3867" s="580">
        <f t="shared" si="336"/>
        <v>5</v>
      </c>
      <c r="AE3867" s="580">
        <f t="shared" si="337"/>
        <v>2.5</v>
      </c>
      <c r="AF3867" s="580">
        <f t="shared" si="338"/>
        <v>2.5</v>
      </c>
      <c r="AG3867" s="580">
        <f t="shared" si="339"/>
        <v>0</v>
      </c>
      <c r="AH3867" s="580">
        <f t="shared" si="340"/>
        <v>0</v>
      </c>
    </row>
    <row r="3868" spans="28:34">
      <c r="AB3868" s="580">
        <f>HLOOKUP("*"&amp;'Output annual'!$AC$2&amp;'Output annual'!$AD$2&amp;"*Zone People Number Of Occupants [](Hourly)",'Eplus results'!$1:$1048576,ROW(),FALSE)</f>
        <v>0</v>
      </c>
      <c r="AC3868" s="580">
        <f>HLOOKUP("*"&amp;'Output annual'!$AC$2&amp;'Output annual'!$AD$2&amp;"*FangerPMV(Hourly)",'Eplus results'!$1:$1048576,ROW(),FALSE)</f>
        <v>0</v>
      </c>
      <c r="AD3868" s="580">
        <f t="shared" si="336"/>
        <v>5</v>
      </c>
      <c r="AE3868" s="580">
        <f t="shared" si="337"/>
        <v>2.5</v>
      </c>
      <c r="AF3868" s="580">
        <f t="shared" si="338"/>
        <v>2.5</v>
      </c>
      <c r="AG3868" s="580">
        <f t="shared" si="339"/>
        <v>0</v>
      </c>
      <c r="AH3868" s="580">
        <f t="shared" si="340"/>
        <v>0</v>
      </c>
    </row>
    <row r="3869" spans="28:34">
      <c r="AB3869" s="580">
        <f>HLOOKUP("*"&amp;'Output annual'!$AC$2&amp;'Output annual'!$AD$2&amp;"*Zone People Number Of Occupants [](Hourly)",'Eplus results'!$1:$1048576,ROW(),FALSE)</f>
        <v>0</v>
      </c>
      <c r="AC3869" s="580">
        <f>HLOOKUP("*"&amp;'Output annual'!$AC$2&amp;'Output annual'!$AD$2&amp;"*FangerPMV(Hourly)",'Eplus results'!$1:$1048576,ROW(),FALSE)</f>
        <v>0</v>
      </c>
      <c r="AD3869" s="580">
        <f t="shared" si="336"/>
        <v>5</v>
      </c>
      <c r="AE3869" s="580">
        <f t="shared" si="337"/>
        <v>2.5</v>
      </c>
      <c r="AF3869" s="580">
        <f t="shared" si="338"/>
        <v>2.5</v>
      </c>
      <c r="AG3869" s="580">
        <f t="shared" si="339"/>
        <v>0</v>
      </c>
      <c r="AH3869" s="580">
        <f t="shared" si="340"/>
        <v>0</v>
      </c>
    </row>
    <row r="3870" spans="28:34">
      <c r="AB3870" s="580">
        <f>HLOOKUP("*"&amp;'Output annual'!$AC$2&amp;'Output annual'!$AD$2&amp;"*Zone People Number Of Occupants [](Hourly)",'Eplus results'!$1:$1048576,ROW(),FALSE)</f>
        <v>0</v>
      </c>
      <c r="AC3870" s="580">
        <f>HLOOKUP("*"&amp;'Output annual'!$AC$2&amp;'Output annual'!$AD$2&amp;"*FangerPMV(Hourly)",'Eplus results'!$1:$1048576,ROW(),FALSE)</f>
        <v>0</v>
      </c>
      <c r="AD3870" s="580">
        <f t="shared" si="336"/>
        <v>5</v>
      </c>
      <c r="AE3870" s="580">
        <f t="shared" si="337"/>
        <v>2.5</v>
      </c>
      <c r="AF3870" s="580">
        <f t="shared" si="338"/>
        <v>2.5</v>
      </c>
      <c r="AG3870" s="580">
        <f t="shared" si="339"/>
        <v>0</v>
      </c>
      <c r="AH3870" s="580">
        <f t="shared" si="340"/>
        <v>0</v>
      </c>
    </row>
    <row r="3871" spans="28:34">
      <c r="AB3871" s="580">
        <f>HLOOKUP("*"&amp;'Output annual'!$AC$2&amp;'Output annual'!$AD$2&amp;"*Zone People Number Of Occupants [](Hourly)",'Eplus results'!$1:$1048576,ROW(),FALSE)</f>
        <v>0</v>
      </c>
      <c r="AC3871" s="580">
        <f>HLOOKUP("*"&amp;'Output annual'!$AC$2&amp;'Output annual'!$AD$2&amp;"*FangerPMV(Hourly)",'Eplus results'!$1:$1048576,ROW(),FALSE)</f>
        <v>0</v>
      </c>
      <c r="AD3871" s="580">
        <f t="shared" si="336"/>
        <v>5</v>
      </c>
      <c r="AE3871" s="580">
        <f t="shared" si="337"/>
        <v>2.5</v>
      </c>
      <c r="AF3871" s="580">
        <f t="shared" si="338"/>
        <v>2.5</v>
      </c>
      <c r="AG3871" s="580">
        <f t="shared" si="339"/>
        <v>0</v>
      </c>
      <c r="AH3871" s="580">
        <f t="shared" si="340"/>
        <v>0</v>
      </c>
    </row>
    <row r="3872" spans="28:34">
      <c r="AB3872" s="580">
        <f>HLOOKUP("*"&amp;'Output annual'!$AC$2&amp;'Output annual'!$AD$2&amp;"*Zone People Number Of Occupants [](Hourly)",'Eplus results'!$1:$1048576,ROW(),FALSE)</f>
        <v>0</v>
      </c>
      <c r="AC3872" s="580">
        <f>HLOOKUP("*"&amp;'Output annual'!$AC$2&amp;'Output annual'!$AD$2&amp;"*FangerPMV(Hourly)",'Eplus results'!$1:$1048576,ROW(),FALSE)</f>
        <v>0</v>
      </c>
      <c r="AD3872" s="580">
        <f t="shared" si="336"/>
        <v>5</v>
      </c>
      <c r="AE3872" s="580">
        <f t="shared" si="337"/>
        <v>2.5</v>
      </c>
      <c r="AF3872" s="580">
        <f t="shared" si="338"/>
        <v>2.5</v>
      </c>
      <c r="AG3872" s="580">
        <f t="shared" si="339"/>
        <v>0</v>
      </c>
      <c r="AH3872" s="580">
        <f t="shared" si="340"/>
        <v>0</v>
      </c>
    </row>
    <row r="3873" spans="28:34">
      <c r="AB3873" s="580">
        <f>HLOOKUP("*"&amp;'Output annual'!$AC$2&amp;'Output annual'!$AD$2&amp;"*Zone People Number Of Occupants [](Hourly)",'Eplus results'!$1:$1048576,ROW(),FALSE)</f>
        <v>0</v>
      </c>
      <c r="AC3873" s="580">
        <f>HLOOKUP("*"&amp;'Output annual'!$AC$2&amp;'Output annual'!$AD$2&amp;"*FangerPMV(Hourly)",'Eplus results'!$1:$1048576,ROW(),FALSE)</f>
        <v>0</v>
      </c>
      <c r="AD3873" s="580">
        <f t="shared" si="336"/>
        <v>5</v>
      </c>
      <c r="AE3873" s="580">
        <f t="shared" si="337"/>
        <v>2.5</v>
      </c>
      <c r="AF3873" s="580">
        <f t="shared" si="338"/>
        <v>2.5</v>
      </c>
      <c r="AG3873" s="580">
        <f t="shared" si="339"/>
        <v>0</v>
      </c>
      <c r="AH3873" s="580">
        <f t="shared" si="340"/>
        <v>0</v>
      </c>
    </row>
    <row r="3874" spans="28:34">
      <c r="AB3874" s="580">
        <f>HLOOKUP("*"&amp;'Output annual'!$AC$2&amp;'Output annual'!$AD$2&amp;"*Zone People Number Of Occupants [](Hourly)",'Eplus results'!$1:$1048576,ROW(),FALSE)</f>
        <v>0</v>
      </c>
      <c r="AC3874" s="580">
        <f>HLOOKUP("*"&amp;'Output annual'!$AC$2&amp;'Output annual'!$AD$2&amp;"*FangerPMV(Hourly)",'Eplus results'!$1:$1048576,ROW(),FALSE)</f>
        <v>0</v>
      </c>
      <c r="AD3874" s="580">
        <f t="shared" si="336"/>
        <v>5</v>
      </c>
      <c r="AE3874" s="580">
        <f t="shared" si="337"/>
        <v>2.5</v>
      </c>
      <c r="AF3874" s="580">
        <f t="shared" si="338"/>
        <v>2.5</v>
      </c>
      <c r="AG3874" s="580">
        <f t="shared" si="339"/>
        <v>0</v>
      </c>
      <c r="AH3874" s="580">
        <f t="shared" si="340"/>
        <v>0</v>
      </c>
    </row>
    <row r="3875" spans="28:34">
      <c r="AB3875" s="580">
        <f>HLOOKUP("*"&amp;'Output annual'!$AC$2&amp;'Output annual'!$AD$2&amp;"*Zone People Number Of Occupants [](Hourly)",'Eplus results'!$1:$1048576,ROW(),FALSE)</f>
        <v>0</v>
      </c>
      <c r="AC3875" s="580">
        <f>HLOOKUP("*"&amp;'Output annual'!$AC$2&amp;'Output annual'!$AD$2&amp;"*FangerPMV(Hourly)",'Eplus results'!$1:$1048576,ROW(),FALSE)</f>
        <v>0</v>
      </c>
      <c r="AD3875" s="580">
        <f t="shared" si="336"/>
        <v>5</v>
      </c>
      <c r="AE3875" s="580">
        <f t="shared" si="337"/>
        <v>2.5</v>
      </c>
      <c r="AF3875" s="580">
        <f t="shared" si="338"/>
        <v>2.5</v>
      </c>
      <c r="AG3875" s="580">
        <f t="shared" si="339"/>
        <v>0</v>
      </c>
      <c r="AH3875" s="580">
        <f t="shared" si="340"/>
        <v>0</v>
      </c>
    </row>
    <row r="3876" spans="28:34">
      <c r="AB3876" s="580">
        <f>HLOOKUP("*"&amp;'Output annual'!$AC$2&amp;'Output annual'!$AD$2&amp;"*Zone People Number Of Occupants [](Hourly)",'Eplus results'!$1:$1048576,ROW(),FALSE)</f>
        <v>0</v>
      </c>
      <c r="AC3876" s="580">
        <f>HLOOKUP("*"&amp;'Output annual'!$AC$2&amp;'Output annual'!$AD$2&amp;"*FangerPMV(Hourly)",'Eplus results'!$1:$1048576,ROW(),FALSE)</f>
        <v>0</v>
      </c>
      <c r="AD3876" s="580">
        <f t="shared" si="336"/>
        <v>5</v>
      </c>
      <c r="AE3876" s="580">
        <f t="shared" si="337"/>
        <v>2.5</v>
      </c>
      <c r="AF3876" s="580">
        <f t="shared" si="338"/>
        <v>2.5</v>
      </c>
      <c r="AG3876" s="580">
        <f t="shared" si="339"/>
        <v>0</v>
      </c>
      <c r="AH3876" s="580">
        <f t="shared" si="340"/>
        <v>0</v>
      </c>
    </row>
    <row r="3877" spans="28:34">
      <c r="AB3877" s="580">
        <f>HLOOKUP("*"&amp;'Output annual'!$AC$2&amp;'Output annual'!$AD$2&amp;"*Zone People Number Of Occupants [](Hourly)",'Eplus results'!$1:$1048576,ROW(),FALSE)</f>
        <v>0</v>
      </c>
      <c r="AC3877" s="580">
        <f>HLOOKUP("*"&amp;'Output annual'!$AC$2&amp;'Output annual'!$AD$2&amp;"*FangerPMV(Hourly)",'Eplus results'!$1:$1048576,ROW(),FALSE)</f>
        <v>0</v>
      </c>
      <c r="AD3877" s="580">
        <f t="shared" si="336"/>
        <v>5</v>
      </c>
      <c r="AE3877" s="580">
        <f t="shared" si="337"/>
        <v>2.5</v>
      </c>
      <c r="AF3877" s="580">
        <f t="shared" si="338"/>
        <v>2.5</v>
      </c>
      <c r="AG3877" s="580">
        <f t="shared" si="339"/>
        <v>0</v>
      </c>
      <c r="AH3877" s="580">
        <f t="shared" si="340"/>
        <v>0</v>
      </c>
    </row>
    <row r="3878" spans="28:34">
      <c r="AB3878" s="580">
        <f>HLOOKUP("*"&amp;'Output annual'!$AC$2&amp;'Output annual'!$AD$2&amp;"*Zone People Number Of Occupants [](Hourly)",'Eplus results'!$1:$1048576,ROW(),FALSE)</f>
        <v>0</v>
      </c>
      <c r="AC3878" s="580">
        <f>HLOOKUP("*"&amp;'Output annual'!$AC$2&amp;'Output annual'!$AD$2&amp;"*FangerPMV(Hourly)",'Eplus results'!$1:$1048576,ROW(),FALSE)</f>
        <v>0</v>
      </c>
      <c r="AD3878" s="580">
        <f t="shared" si="336"/>
        <v>5</v>
      </c>
      <c r="AE3878" s="580">
        <f t="shared" si="337"/>
        <v>2.5</v>
      </c>
      <c r="AF3878" s="580">
        <f t="shared" si="338"/>
        <v>2.5</v>
      </c>
      <c r="AG3878" s="580">
        <f t="shared" si="339"/>
        <v>0</v>
      </c>
      <c r="AH3878" s="580">
        <f t="shared" si="340"/>
        <v>0</v>
      </c>
    </row>
    <row r="3879" spans="28:34">
      <c r="AB3879" s="580">
        <f>HLOOKUP("*"&amp;'Output annual'!$AC$2&amp;'Output annual'!$AD$2&amp;"*Zone People Number Of Occupants [](Hourly)",'Eplus results'!$1:$1048576,ROW(),FALSE)</f>
        <v>0</v>
      </c>
      <c r="AC3879" s="580">
        <f>HLOOKUP("*"&amp;'Output annual'!$AC$2&amp;'Output annual'!$AD$2&amp;"*FangerPMV(Hourly)",'Eplus results'!$1:$1048576,ROW(),FALSE)</f>
        <v>0</v>
      </c>
      <c r="AD3879" s="580">
        <f t="shared" si="336"/>
        <v>5</v>
      </c>
      <c r="AE3879" s="580">
        <f t="shared" si="337"/>
        <v>2.5</v>
      </c>
      <c r="AF3879" s="580">
        <f t="shared" si="338"/>
        <v>2.5</v>
      </c>
      <c r="AG3879" s="580">
        <f t="shared" si="339"/>
        <v>0</v>
      </c>
      <c r="AH3879" s="580">
        <f t="shared" si="340"/>
        <v>0</v>
      </c>
    </row>
    <row r="3880" spans="28:34">
      <c r="AB3880" s="580">
        <f>HLOOKUP("*"&amp;'Output annual'!$AC$2&amp;'Output annual'!$AD$2&amp;"*Zone People Number Of Occupants [](Hourly)",'Eplus results'!$1:$1048576,ROW(),FALSE)</f>
        <v>0</v>
      </c>
      <c r="AC3880" s="580">
        <f>HLOOKUP("*"&amp;'Output annual'!$AC$2&amp;'Output annual'!$AD$2&amp;"*FangerPMV(Hourly)",'Eplus results'!$1:$1048576,ROW(),FALSE)</f>
        <v>0</v>
      </c>
      <c r="AD3880" s="580">
        <f t="shared" si="336"/>
        <v>5</v>
      </c>
      <c r="AE3880" s="580">
        <f t="shared" si="337"/>
        <v>2.5</v>
      </c>
      <c r="AF3880" s="580">
        <f t="shared" si="338"/>
        <v>2.5</v>
      </c>
      <c r="AG3880" s="580">
        <f t="shared" si="339"/>
        <v>0</v>
      </c>
      <c r="AH3880" s="580">
        <f t="shared" si="340"/>
        <v>0</v>
      </c>
    </row>
    <row r="3881" spans="28:34">
      <c r="AB3881" s="580">
        <f>HLOOKUP("*"&amp;'Output annual'!$AC$2&amp;'Output annual'!$AD$2&amp;"*Zone People Number Of Occupants [](Hourly)",'Eplus results'!$1:$1048576,ROW(),FALSE)</f>
        <v>0</v>
      </c>
      <c r="AC3881" s="580">
        <f>HLOOKUP("*"&amp;'Output annual'!$AC$2&amp;'Output annual'!$AD$2&amp;"*FangerPMV(Hourly)",'Eplus results'!$1:$1048576,ROW(),FALSE)</f>
        <v>0</v>
      </c>
      <c r="AD3881" s="580">
        <f t="shared" si="336"/>
        <v>5</v>
      </c>
      <c r="AE3881" s="580">
        <f t="shared" si="337"/>
        <v>2.5</v>
      </c>
      <c r="AF3881" s="580">
        <f t="shared" si="338"/>
        <v>2.5</v>
      </c>
      <c r="AG3881" s="580">
        <f t="shared" si="339"/>
        <v>0</v>
      </c>
      <c r="AH3881" s="580">
        <f t="shared" si="340"/>
        <v>0</v>
      </c>
    </row>
    <row r="3882" spans="28:34">
      <c r="AB3882" s="580">
        <f>HLOOKUP("*"&amp;'Output annual'!$AC$2&amp;'Output annual'!$AD$2&amp;"*Zone People Number Of Occupants [](Hourly)",'Eplus results'!$1:$1048576,ROW(),FALSE)</f>
        <v>0</v>
      </c>
      <c r="AC3882" s="580">
        <f>HLOOKUP("*"&amp;'Output annual'!$AC$2&amp;'Output annual'!$AD$2&amp;"*FangerPMV(Hourly)",'Eplus results'!$1:$1048576,ROW(),FALSE)</f>
        <v>0</v>
      </c>
      <c r="AD3882" s="580">
        <f t="shared" si="336"/>
        <v>5</v>
      </c>
      <c r="AE3882" s="580">
        <f t="shared" si="337"/>
        <v>2.5</v>
      </c>
      <c r="AF3882" s="580">
        <f t="shared" si="338"/>
        <v>2.5</v>
      </c>
      <c r="AG3882" s="580">
        <f t="shared" si="339"/>
        <v>0</v>
      </c>
      <c r="AH3882" s="580">
        <f t="shared" si="340"/>
        <v>0</v>
      </c>
    </row>
    <row r="3883" spans="28:34">
      <c r="AB3883" s="580">
        <f>HLOOKUP("*"&amp;'Output annual'!$AC$2&amp;'Output annual'!$AD$2&amp;"*Zone People Number Of Occupants [](Hourly)",'Eplus results'!$1:$1048576,ROW(),FALSE)</f>
        <v>0</v>
      </c>
      <c r="AC3883" s="580">
        <f>HLOOKUP("*"&amp;'Output annual'!$AC$2&amp;'Output annual'!$AD$2&amp;"*FangerPMV(Hourly)",'Eplus results'!$1:$1048576,ROW(),FALSE)</f>
        <v>0</v>
      </c>
      <c r="AD3883" s="580">
        <f t="shared" si="336"/>
        <v>5</v>
      </c>
      <c r="AE3883" s="580">
        <f t="shared" si="337"/>
        <v>2.5</v>
      </c>
      <c r="AF3883" s="580">
        <f t="shared" si="338"/>
        <v>2.5</v>
      </c>
      <c r="AG3883" s="580">
        <f t="shared" si="339"/>
        <v>0</v>
      </c>
      <c r="AH3883" s="580">
        <f t="shared" si="340"/>
        <v>0</v>
      </c>
    </row>
    <row r="3884" spans="28:34">
      <c r="AB3884" s="580">
        <f>HLOOKUP("*"&amp;'Output annual'!$AC$2&amp;'Output annual'!$AD$2&amp;"*Zone People Number Of Occupants [](Hourly)",'Eplus results'!$1:$1048576,ROW(),FALSE)</f>
        <v>0</v>
      </c>
      <c r="AC3884" s="580">
        <f>HLOOKUP("*"&amp;'Output annual'!$AC$2&amp;'Output annual'!$AD$2&amp;"*FangerPMV(Hourly)",'Eplus results'!$1:$1048576,ROW(),FALSE)</f>
        <v>0</v>
      </c>
      <c r="AD3884" s="580">
        <f t="shared" si="336"/>
        <v>5</v>
      </c>
      <c r="AE3884" s="580">
        <f t="shared" si="337"/>
        <v>2.5</v>
      </c>
      <c r="AF3884" s="580">
        <f t="shared" si="338"/>
        <v>2.5</v>
      </c>
      <c r="AG3884" s="580">
        <f t="shared" si="339"/>
        <v>0</v>
      </c>
      <c r="AH3884" s="580">
        <f t="shared" si="340"/>
        <v>0</v>
      </c>
    </row>
    <row r="3885" spans="28:34">
      <c r="AB3885" s="580">
        <f>HLOOKUP("*"&amp;'Output annual'!$AC$2&amp;'Output annual'!$AD$2&amp;"*Zone People Number Of Occupants [](Hourly)",'Eplus results'!$1:$1048576,ROW(),FALSE)</f>
        <v>0</v>
      </c>
      <c r="AC3885" s="580">
        <f>HLOOKUP("*"&amp;'Output annual'!$AC$2&amp;'Output annual'!$AD$2&amp;"*FangerPMV(Hourly)",'Eplus results'!$1:$1048576,ROW(),FALSE)</f>
        <v>0</v>
      </c>
      <c r="AD3885" s="580">
        <f t="shared" si="336"/>
        <v>5</v>
      </c>
      <c r="AE3885" s="580">
        <f t="shared" si="337"/>
        <v>2.5</v>
      </c>
      <c r="AF3885" s="580">
        <f t="shared" si="338"/>
        <v>2.5</v>
      </c>
      <c r="AG3885" s="580">
        <f t="shared" si="339"/>
        <v>0</v>
      </c>
      <c r="AH3885" s="580">
        <f t="shared" si="340"/>
        <v>0</v>
      </c>
    </row>
    <row r="3886" spans="28:34">
      <c r="AB3886" s="580">
        <f>HLOOKUP("*"&amp;'Output annual'!$AC$2&amp;'Output annual'!$AD$2&amp;"*Zone People Number Of Occupants [](Hourly)",'Eplus results'!$1:$1048576,ROW(),FALSE)</f>
        <v>0</v>
      </c>
      <c r="AC3886" s="580">
        <f>HLOOKUP("*"&amp;'Output annual'!$AC$2&amp;'Output annual'!$AD$2&amp;"*FangerPMV(Hourly)",'Eplus results'!$1:$1048576,ROW(),FALSE)</f>
        <v>0</v>
      </c>
      <c r="AD3886" s="580">
        <f t="shared" si="336"/>
        <v>5</v>
      </c>
      <c r="AE3886" s="580">
        <f t="shared" si="337"/>
        <v>2.5</v>
      </c>
      <c r="AF3886" s="580">
        <f t="shared" si="338"/>
        <v>2.5</v>
      </c>
      <c r="AG3886" s="580">
        <f t="shared" si="339"/>
        <v>0</v>
      </c>
      <c r="AH3886" s="580">
        <f t="shared" si="340"/>
        <v>0</v>
      </c>
    </row>
    <row r="3887" spans="28:34">
      <c r="AB3887" s="580">
        <f>HLOOKUP("*"&amp;'Output annual'!$AC$2&amp;'Output annual'!$AD$2&amp;"*Zone People Number Of Occupants [](Hourly)",'Eplus results'!$1:$1048576,ROW(),FALSE)</f>
        <v>0</v>
      </c>
      <c r="AC3887" s="580">
        <f>HLOOKUP("*"&amp;'Output annual'!$AC$2&amp;'Output annual'!$AD$2&amp;"*FangerPMV(Hourly)",'Eplus results'!$1:$1048576,ROW(),FALSE)</f>
        <v>0</v>
      </c>
      <c r="AD3887" s="580">
        <f t="shared" si="336"/>
        <v>5</v>
      </c>
      <c r="AE3887" s="580">
        <f t="shared" si="337"/>
        <v>2.5</v>
      </c>
      <c r="AF3887" s="580">
        <f t="shared" si="338"/>
        <v>2.5</v>
      </c>
      <c r="AG3887" s="580">
        <f t="shared" si="339"/>
        <v>0</v>
      </c>
      <c r="AH3887" s="580">
        <f t="shared" si="340"/>
        <v>0</v>
      </c>
    </row>
    <row r="3888" spans="28:34">
      <c r="AB3888" s="580">
        <f>HLOOKUP("*"&amp;'Output annual'!$AC$2&amp;'Output annual'!$AD$2&amp;"*Zone People Number Of Occupants [](Hourly)",'Eplus results'!$1:$1048576,ROW(),FALSE)</f>
        <v>0</v>
      </c>
      <c r="AC3888" s="580">
        <f>HLOOKUP("*"&amp;'Output annual'!$AC$2&amp;'Output annual'!$AD$2&amp;"*FangerPMV(Hourly)",'Eplus results'!$1:$1048576,ROW(),FALSE)</f>
        <v>0</v>
      </c>
      <c r="AD3888" s="580">
        <f t="shared" si="336"/>
        <v>5</v>
      </c>
      <c r="AE3888" s="580">
        <f t="shared" si="337"/>
        <v>2.5</v>
      </c>
      <c r="AF3888" s="580">
        <f t="shared" si="338"/>
        <v>2.5</v>
      </c>
      <c r="AG3888" s="580">
        <f t="shared" si="339"/>
        <v>0</v>
      </c>
      <c r="AH3888" s="580">
        <f t="shared" si="340"/>
        <v>0</v>
      </c>
    </row>
    <row r="3889" spans="28:34">
      <c r="AB3889" s="580">
        <f>HLOOKUP("*"&amp;'Output annual'!$AC$2&amp;'Output annual'!$AD$2&amp;"*Zone People Number Of Occupants [](Hourly)",'Eplus results'!$1:$1048576,ROW(),FALSE)</f>
        <v>0</v>
      </c>
      <c r="AC3889" s="580">
        <f>HLOOKUP("*"&amp;'Output annual'!$AC$2&amp;'Output annual'!$AD$2&amp;"*FangerPMV(Hourly)",'Eplus results'!$1:$1048576,ROW(),FALSE)</f>
        <v>0</v>
      </c>
      <c r="AD3889" s="580">
        <f t="shared" si="336"/>
        <v>5</v>
      </c>
      <c r="AE3889" s="580">
        <f t="shared" si="337"/>
        <v>2.5</v>
      </c>
      <c r="AF3889" s="580">
        <f t="shared" si="338"/>
        <v>2.5</v>
      </c>
      <c r="AG3889" s="580">
        <f t="shared" si="339"/>
        <v>0</v>
      </c>
      <c r="AH3889" s="580">
        <f t="shared" si="340"/>
        <v>0</v>
      </c>
    </row>
    <row r="3890" spans="28:34">
      <c r="AB3890" s="580">
        <f>HLOOKUP("*"&amp;'Output annual'!$AC$2&amp;'Output annual'!$AD$2&amp;"*Zone People Number Of Occupants [](Hourly)",'Eplus results'!$1:$1048576,ROW(),FALSE)</f>
        <v>0</v>
      </c>
      <c r="AC3890" s="580">
        <f>HLOOKUP("*"&amp;'Output annual'!$AC$2&amp;'Output annual'!$AD$2&amp;"*FangerPMV(Hourly)",'Eplus results'!$1:$1048576,ROW(),FALSE)</f>
        <v>0</v>
      </c>
      <c r="AD3890" s="580">
        <f t="shared" si="336"/>
        <v>5</v>
      </c>
      <c r="AE3890" s="580">
        <f t="shared" si="337"/>
        <v>2.5</v>
      </c>
      <c r="AF3890" s="580">
        <f t="shared" si="338"/>
        <v>2.5</v>
      </c>
      <c r="AG3890" s="580">
        <f t="shared" si="339"/>
        <v>0</v>
      </c>
      <c r="AH3890" s="580">
        <f t="shared" si="340"/>
        <v>0</v>
      </c>
    </row>
    <row r="3891" spans="28:34">
      <c r="AB3891" s="580">
        <f>HLOOKUP("*"&amp;'Output annual'!$AC$2&amp;'Output annual'!$AD$2&amp;"*Zone People Number Of Occupants [](Hourly)",'Eplus results'!$1:$1048576,ROW(),FALSE)</f>
        <v>0</v>
      </c>
      <c r="AC3891" s="580">
        <f>HLOOKUP("*"&amp;'Output annual'!$AC$2&amp;'Output annual'!$AD$2&amp;"*FangerPMV(Hourly)",'Eplus results'!$1:$1048576,ROW(),FALSE)</f>
        <v>0</v>
      </c>
      <c r="AD3891" s="580">
        <f t="shared" si="336"/>
        <v>5</v>
      </c>
      <c r="AE3891" s="580">
        <f t="shared" si="337"/>
        <v>2.5</v>
      </c>
      <c r="AF3891" s="580">
        <f t="shared" si="338"/>
        <v>2.5</v>
      </c>
      <c r="AG3891" s="580">
        <f t="shared" si="339"/>
        <v>0</v>
      </c>
      <c r="AH3891" s="580">
        <f t="shared" si="340"/>
        <v>0</v>
      </c>
    </row>
    <row r="3892" spans="28:34">
      <c r="AB3892" s="580">
        <f>HLOOKUP("*"&amp;'Output annual'!$AC$2&amp;'Output annual'!$AD$2&amp;"*Zone People Number Of Occupants [](Hourly)",'Eplus results'!$1:$1048576,ROW(),FALSE)</f>
        <v>0</v>
      </c>
      <c r="AC3892" s="580">
        <f>HLOOKUP("*"&amp;'Output annual'!$AC$2&amp;'Output annual'!$AD$2&amp;"*FangerPMV(Hourly)",'Eplus results'!$1:$1048576,ROW(),FALSE)</f>
        <v>0</v>
      </c>
      <c r="AD3892" s="580">
        <f t="shared" si="336"/>
        <v>5</v>
      </c>
      <c r="AE3892" s="580">
        <f t="shared" si="337"/>
        <v>2.5</v>
      </c>
      <c r="AF3892" s="580">
        <f t="shared" si="338"/>
        <v>2.5</v>
      </c>
      <c r="AG3892" s="580">
        <f t="shared" si="339"/>
        <v>0</v>
      </c>
      <c r="AH3892" s="580">
        <f t="shared" si="340"/>
        <v>0</v>
      </c>
    </row>
    <row r="3893" spans="28:34">
      <c r="AB3893" s="580">
        <f>HLOOKUP("*"&amp;'Output annual'!$AC$2&amp;'Output annual'!$AD$2&amp;"*Zone People Number Of Occupants [](Hourly)",'Eplus results'!$1:$1048576,ROW(),FALSE)</f>
        <v>0</v>
      </c>
      <c r="AC3893" s="580">
        <f>HLOOKUP("*"&amp;'Output annual'!$AC$2&amp;'Output annual'!$AD$2&amp;"*FangerPMV(Hourly)",'Eplus results'!$1:$1048576,ROW(),FALSE)</f>
        <v>0</v>
      </c>
      <c r="AD3893" s="580">
        <f t="shared" si="336"/>
        <v>5</v>
      </c>
      <c r="AE3893" s="580">
        <f t="shared" si="337"/>
        <v>2.5</v>
      </c>
      <c r="AF3893" s="580">
        <f t="shared" si="338"/>
        <v>2.5</v>
      </c>
      <c r="AG3893" s="580">
        <f t="shared" si="339"/>
        <v>0</v>
      </c>
      <c r="AH3893" s="580">
        <f t="shared" si="340"/>
        <v>0</v>
      </c>
    </row>
    <row r="3894" spans="28:34">
      <c r="AB3894" s="580">
        <f>HLOOKUP("*"&amp;'Output annual'!$AC$2&amp;'Output annual'!$AD$2&amp;"*Zone People Number Of Occupants [](Hourly)",'Eplus results'!$1:$1048576,ROW(),FALSE)</f>
        <v>0</v>
      </c>
      <c r="AC3894" s="580">
        <f>HLOOKUP("*"&amp;'Output annual'!$AC$2&amp;'Output annual'!$AD$2&amp;"*FangerPMV(Hourly)",'Eplus results'!$1:$1048576,ROW(),FALSE)</f>
        <v>0</v>
      </c>
      <c r="AD3894" s="580">
        <f t="shared" si="336"/>
        <v>5</v>
      </c>
      <c r="AE3894" s="580">
        <f t="shared" si="337"/>
        <v>2.5</v>
      </c>
      <c r="AF3894" s="580">
        <f t="shared" si="338"/>
        <v>2.5</v>
      </c>
      <c r="AG3894" s="580">
        <f t="shared" si="339"/>
        <v>0</v>
      </c>
      <c r="AH3894" s="580">
        <f t="shared" si="340"/>
        <v>0</v>
      </c>
    </row>
    <row r="3895" spans="28:34">
      <c r="AB3895" s="580">
        <f>HLOOKUP("*"&amp;'Output annual'!$AC$2&amp;'Output annual'!$AD$2&amp;"*Zone People Number Of Occupants [](Hourly)",'Eplus results'!$1:$1048576,ROW(),FALSE)</f>
        <v>0</v>
      </c>
      <c r="AC3895" s="580">
        <f>HLOOKUP("*"&amp;'Output annual'!$AC$2&amp;'Output annual'!$AD$2&amp;"*FangerPMV(Hourly)",'Eplus results'!$1:$1048576,ROW(),FALSE)</f>
        <v>0</v>
      </c>
      <c r="AD3895" s="580">
        <f t="shared" si="336"/>
        <v>5</v>
      </c>
      <c r="AE3895" s="580">
        <f t="shared" si="337"/>
        <v>2.5</v>
      </c>
      <c r="AF3895" s="580">
        <f t="shared" si="338"/>
        <v>2.5</v>
      </c>
      <c r="AG3895" s="580">
        <f t="shared" si="339"/>
        <v>0</v>
      </c>
      <c r="AH3895" s="580">
        <f t="shared" si="340"/>
        <v>0</v>
      </c>
    </row>
    <row r="3896" spans="28:34">
      <c r="AB3896" s="580">
        <f>HLOOKUP("*"&amp;'Output annual'!$AC$2&amp;'Output annual'!$AD$2&amp;"*Zone People Number Of Occupants [](Hourly)",'Eplus results'!$1:$1048576,ROW(),FALSE)</f>
        <v>0</v>
      </c>
      <c r="AC3896" s="580">
        <f>HLOOKUP("*"&amp;'Output annual'!$AC$2&amp;'Output annual'!$AD$2&amp;"*FangerPMV(Hourly)",'Eplus results'!$1:$1048576,ROW(),FALSE)</f>
        <v>0</v>
      </c>
      <c r="AD3896" s="580">
        <f t="shared" si="336"/>
        <v>5</v>
      </c>
      <c r="AE3896" s="580">
        <f t="shared" si="337"/>
        <v>2.5</v>
      </c>
      <c r="AF3896" s="580">
        <f t="shared" si="338"/>
        <v>2.5</v>
      </c>
      <c r="AG3896" s="580">
        <f t="shared" si="339"/>
        <v>0</v>
      </c>
      <c r="AH3896" s="580">
        <f t="shared" si="340"/>
        <v>0</v>
      </c>
    </row>
    <row r="3897" spans="28:34">
      <c r="AB3897" s="580">
        <f>HLOOKUP("*"&amp;'Output annual'!$AC$2&amp;'Output annual'!$AD$2&amp;"*Zone People Number Of Occupants [](Hourly)",'Eplus results'!$1:$1048576,ROW(),FALSE)</f>
        <v>0</v>
      </c>
      <c r="AC3897" s="580">
        <f>HLOOKUP("*"&amp;'Output annual'!$AC$2&amp;'Output annual'!$AD$2&amp;"*FangerPMV(Hourly)",'Eplus results'!$1:$1048576,ROW(),FALSE)</f>
        <v>0</v>
      </c>
      <c r="AD3897" s="580">
        <f t="shared" si="336"/>
        <v>5</v>
      </c>
      <c r="AE3897" s="580">
        <f t="shared" si="337"/>
        <v>2.5</v>
      </c>
      <c r="AF3897" s="580">
        <f t="shared" si="338"/>
        <v>2.5</v>
      </c>
      <c r="AG3897" s="580">
        <f t="shared" si="339"/>
        <v>0</v>
      </c>
      <c r="AH3897" s="580">
        <f t="shared" si="340"/>
        <v>0</v>
      </c>
    </row>
    <row r="3898" spans="28:34">
      <c r="AB3898" s="580">
        <f>HLOOKUP("*"&amp;'Output annual'!$AC$2&amp;'Output annual'!$AD$2&amp;"*Zone People Number Of Occupants [](Hourly)",'Eplus results'!$1:$1048576,ROW(),FALSE)</f>
        <v>0</v>
      </c>
      <c r="AC3898" s="580">
        <f>HLOOKUP("*"&amp;'Output annual'!$AC$2&amp;'Output annual'!$AD$2&amp;"*FangerPMV(Hourly)",'Eplus results'!$1:$1048576,ROW(),FALSE)</f>
        <v>0</v>
      </c>
      <c r="AD3898" s="580">
        <f t="shared" si="336"/>
        <v>5</v>
      </c>
      <c r="AE3898" s="580">
        <f t="shared" si="337"/>
        <v>2.5</v>
      </c>
      <c r="AF3898" s="580">
        <f t="shared" si="338"/>
        <v>2.5</v>
      </c>
      <c r="AG3898" s="580">
        <f t="shared" si="339"/>
        <v>0</v>
      </c>
      <c r="AH3898" s="580">
        <f t="shared" si="340"/>
        <v>0</v>
      </c>
    </row>
    <row r="3899" spans="28:34">
      <c r="AB3899" s="580">
        <f>HLOOKUP("*"&amp;'Output annual'!$AC$2&amp;'Output annual'!$AD$2&amp;"*Zone People Number Of Occupants [](Hourly)",'Eplus results'!$1:$1048576,ROW(),FALSE)</f>
        <v>0</v>
      </c>
      <c r="AC3899" s="580">
        <f>HLOOKUP("*"&amp;'Output annual'!$AC$2&amp;'Output annual'!$AD$2&amp;"*FangerPMV(Hourly)",'Eplus results'!$1:$1048576,ROW(),FALSE)</f>
        <v>0</v>
      </c>
      <c r="AD3899" s="580">
        <f t="shared" si="336"/>
        <v>5</v>
      </c>
      <c r="AE3899" s="580">
        <f t="shared" si="337"/>
        <v>2.5</v>
      </c>
      <c r="AF3899" s="580">
        <f t="shared" si="338"/>
        <v>2.5</v>
      </c>
      <c r="AG3899" s="580">
        <f t="shared" si="339"/>
        <v>0</v>
      </c>
      <c r="AH3899" s="580">
        <f t="shared" si="340"/>
        <v>0</v>
      </c>
    </row>
    <row r="3900" spans="28:34">
      <c r="AB3900" s="580">
        <f>HLOOKUP("*"&amp;'Output annual'!$AC$2&amp;'Output annual'!$AD$2&amp;"*Zone People Number Of Occupants [](Hourly)",'Eplus results'!$1:$1048576,ROW(),FALSE)</f>
        <v>0</v>
      </c>
      <c r="AC3900" s="580">
        <f>HLOOKUP("*"&amp;'Output annual'!$AC$2&amp;'Output annual'!$AD$2&amp;"*FangerPMV(Hourly)",'Eplus results'!$1:$1048576,ROW(),FALSE)</f>
        <v>0</v>
      </c>
      <c r="AD3900" s="580">
        <f t="shared" si="336"/>
        <v>5</v>
      </c>
      <c r="AE3900" s="580">
        <f t="shared" si="337"/>
        <v>2.5</v>
      </c>
      <c r="AF3900" s="580">
        <f t="shared" si="338"/>
        <v>2.5</v>
      </c>
      <c r="AG3900" s="580">
        <f t="shared" si="339"/>
        <v>0</v>
      </c>
      <c r="AH3900" s="580">
        <f t="shared" si="340"/>
        <v>0</v>
      </c>
    </row>
    <row r="3901" spans="28:34">
      <c r="AB3901" s="580">
        <f>HLOOKUP("*"&amp;'Output annual'!$AC$2&amp;'Output annual'!$AD$2&amp;"*Zone People Number Of Occupants [](Hourly)",'Eplus results'!$1:$1048576,ROW(),FALSE)</f>
        <v>0</v>
      </c>
      <c r="AC3901" s="580">
        <f>HLOOKUP("*"&amp;'Output annual'!$AC$2&amp;'Output annual'!$AD$2&amp;"*FangerPMV(Hourly)",'Eplus results'!$1:$1048576,ROW(),FALSE)</f>
        <v>0</v>
      </c>
      <c r="AD3901" s="580">
        <f t="shared" si="336"/>
        <v>5</v>
      </c>
      <c r="AE3901" s="580">
        <f t="shared" si="337"/>
        <v>2.5</v>
      </c>
      <c r="AF3901" s="580">
        <f t="shared" si="338"/>
        <v>2.5</v>
      </c>
      <c r="AG3901" s="580">
        <f t="shared" si="339"/>
        <v>0</v>
      </c>
      <c r="AH3901" s="580">
        <f t="shared" si="340"/>
        <v>0</v>
      </c>
    </row>
    <row r="3902" spans="28:34">
      <c r="AB3902" s="580">
        <f>HLOOKUP("*"&amp;'Output annual'!$AC$2&amp;'Output annual'!$AD$2&amp;"*Zone People Number Of Occupants [](Hourly)",'Eplus results'!$1:$1048576,ROW(),FALSE)</f>
        <v>0</v>
      </c>
      <c r="AC3902" s="580">
        <f>HLOOKUP("*"&amp;'Output annual'!$AC$2&amp;'Output annual'!$AD$2&amp;"*FangerPMV(Hourly)",'Eplus results'!$1:$1048576,ROW(),FALSE)</f>
        <v>0</v>
      </c>
      <c r="AD3902" s="580">
        <f t="shared" si="336"/>
        <v>5</v>
      </c>
      <c r="AE3902" s="580">
        <f t="shared" si="337"/>
        <v>2.5</v>
      </c>
      <c r="AF3902" s="580">
        <f t="shared" si="338"/>
        <v>2.5</v>
      </c>
      <c r="AG3902" s="580">
        <f t="shared" si="339"/>
        <v>0</v>
      </c>
      <c r="AH3902" s="580">
        <f t="shared" si="340"/>
        <v>0</v>
      </c>
    </row>
    <row r="3903" spans="28:34">
      <c r="AB3903" s="580">
        <f>HLOOKUP("*"&amp;'Output annual'!$AC$2&amp;'Output annual'!$AD$2&amp;"*Zone People Number Of Occupants [](Hourly)",'Eplus results'!$1:$1048576,ROW(),FALSE)</f>
        <v>0</v>
      </c>
      <c r="AC3903" s="580">
        <f>HLOOKUP("*"&amp;'Output annual'!$AC$2&amp;'Output annual'!$AD$2&amp;"*FangerPMV(Hourly)",'Eplus results'!$1:$1048576,ROW(),FALSE)</f>
        <v>0</v>
      </c>
      <c r="AD3903" s="580">
        <f t="shared" si="336"/>
        <v>5</v>
      </c>
      <c r="AE3903" s="580">
        <f t="shared" si="337"/>
        <v>2.5</v>
      </c>
      <c r="AF3903" s="580">
        <f t="shared" si="338"/>
        <v>2.5</v>
      </c>
      <c r="AG3903" s="580">
        <f t="shared" si="339"/>
        <v>0</v>
      </c>
      <c r="AH3903" s="580">
        <f t="shared" si="340"/>
        <v>0</v>
      </c>
    </row>
    <row r="3904" spans="28:34">
      <c r="AB3904" s="580">
        <f>HLOOKUP("*"&amp;'Output annual'!$AC$2&amp;'Output annual'!$AD$2&amp;"*Zone People Number Of Occupants [](Hourly)",'Eplus results'!$1:$1048576,ROW(),FALSE)</f>
        <v>0</v>
      </c>
      <c r="AC3904" s="580">
        <f>HLOOKUP("*"&amp;'Output annual'!$AC$2&amp;'Output annual'!$AD$2&amp;"*FangerPMV(Hourly)",'Eplus results'!$1:$1048576,ROW(),FALSE)</f>
        <v>0</v>
      </c>
      <c r="AD3904" s="580">
        <f t="shared" si="336"/>
        <v>5</v>
      </c>
      <c r="AE3904" s="580">
        <f t="shared" si="337"/>
        <v>2.5</v>
      </c>
      <c r="AF3904" s="580">
        <f t="shared" si="338"/>
        <v>2.5</v>
      </c>
      <c r="AG3904" s="580">
        <f t="shared" si="339"/>
        <v>0</v>
      </c>
      <c r="AH3904" s="580">
        <f t="shared" si="340"/>
        <v>0</v>
      </c>
    </row>
    <row r="3905" spans="28:34">
      <c r="AB3905" s="580">
        <f>HLOOKUP("*"&amp;'Output annual'!$AC$2&amp;'Output annual'!$AD$2&amp;"*Zone People Number Of Occupants [](Hourly)",'Eplus results'!$1:$1048576,ROW(),FALSE)</f>
        <v>0</v>
      </c>
      <c r="AC3905" s="580">
        <f>HLOOKUP("*"&amp;'Output annual'!$AC$2&amp;'Output annual'!$AD$2&amp;"*FangerPMV(Hourly)",'Eplus results'!$1:$1048576,ROW(),FALSE)</f>
        <v>0</v>
      </c>
      <c r="AD3905" s="580">
        <f t="shared" si="336"/>
        <v>5</v>
      </c>
      <c r="AE3905" s="580">
        <f t="shared" si="337"/>
        <v>2.5</v>
      </c>
      <c r="AF3905" s="580">
        <f t="shared" si="338"/>
        <v>2.5</v>
      </c>
      <c r="AG3905" s="580">
        <f t="shared" si="339"/>
        <v>0</v>
      </c>
      <c r="AH3905" s="580">
        <f t="shared" si="340"/>
        <v>0</v>
      </c>
    </row>
    <row r="3906" spans="28:34">
      <c r="AB3906" s="580">
        <f>HLOOKUP("*"&amp;'Output annual'!$AC$2&amp;'Output annual'!$AD$2&amp;"*Zone People Number Of Occupants [](Hourly)",'Eplus results'!$1:$1048576,ROW(),FALSE)</f>
        <v>0</v>
      </c>
      <c r="AC3906" s="580">
        <f>HLOOKUP("*"&amp;'Output annual'!$AC$2&amp;'Output annual'!$AD$2&amp;"*FangerPMV(Hourly)",'Eplus results'!$1:$1048576,ROW(),FALSE)</f>
        <v>0</v>
      </c>
      <c r="AD3906" s="580">
        <f t="shared" si="336"/>
        <v>5</v>
      </c>
      <c r="AE3906" s="580">
        <f t="shared" si="337"/>
        <v>2.5</v>
      </c>
      <c r="AF3906" s="580">
        <f t="shared" si="338"/>
        <v>2.5</v>
      </c>
      <c r="AG3906" s="580">
        <f t="shared" si="339"/>
        <v>0</v>
      </c>
      <c r="AH3906" s="580">
        <f t="shared" si="340"/>
        <v>0</v>
      </c>
    </row>
    <row r="3907" spans="28:34">
      <c r="AB3907" s="580">
        <f>HLOOKUP("*"&amp;'Output annual'!$AC$2&amp;'Output annual'!$AD$2&amp;"*Zone People Number Of Occupants [](Hourly)",'Eplus results'!$1:$1048576,ROW(),FALSE)</f>
        <v>0</v>
      </c>
      <c r="AC3907" s="580">
        <f>HLOOKUP("*"&amp;'Output annual'!$AC$2&amp;'Output annual'!$AD$2&amp;"*FangerPMV(Hourly)",'Eplus results'!$1:$1048576,ROW(),FALSE)</f>
        <v>0</v>
      </c>
      <c r="AD3907" s="580">
        <f t="shared" ref="AD3907:AD3970" si="341">100-95*EXP(-0.03353*AC3907^4-0.2179*AC3907^2)</f>
        <v>5</v>
      </c>
      <c r="AE3907" s="580">
        <f t="shared" ref="AE3907:AE3970" si="342">AD3907*(1/(1+EXP(-6.3*$AC3907)))</f>
        <v>2.5</v>
      </c>
      <c r="AF3907" s="580">
        <f t="shared" ref="AF3907:AF3970" si="343">(AD3907-AE3907)</f>
        <v>2.5</v>
      </c>
      <c r="AG3907" s="580">
        <f t="shared" ref="AG3907:AG3970" si="344">AE3907*AB3907</f>
        <v>0</v>
      </c>
      <c r="AH3907" s="580">
        <f t="shared" ref="AH3907:AH3970" si="345">AF3907*AB3907</f>
        <v>0</v>
      </c>
    </row>
    <row r="3908" spans="28:34">
      <c r="AB3908" s="580">
        <f>HLOOKUP("*"&amp;'Output annual'!$AC$2&amp;'Output annual'!$AD$2&amp;"*Zone People Number Of Occupants [](Hourly)",'Eplus results'!$1:$1048576,ROW(),FALSE)</f>
        <v>0</v>
      </c>
      <c r="AC3908" s="580">
        <f>HLOOKUP("*"&amp;'Output annual'!$AC$2&amp;'Output annual'!$AD$2&amp;"*FangerPMV(Hourly)",'Eplus results'!$1:$1048576,ROW(),FALSE)</f>
        <v>0</v>
      </c>
      <c r="AD3908" s="580">
        <f t="shared" si="341"/>
        <v>5</v>
      </c>
      <c r="AE3908" s="580">
        <f t="shared" si="342"/>
        <v>2.5</v>
      </c>
      <c r="AF3908" s="580">
        <f t="shared" si="343"/>
        <v>2.5</v>
      </c>
      <c r="AG3908" s="580">
        <f t="shared" si="344"/>
        <v>0</v>
      </c>
      <c r="AH3908" s="580">
        <f t="shared" si="345"/>
        <v>0</v>
      </c>
    </row>
    <row r="3909" spans="28:34">
      <c r="AB3909" s="580">
        <f>HLOOKUP("*"&amp;'Output annual'!$AC$2&amp;'Output annual'!$AD$2&amp;"*Zone People Number Of Occupants [](Hourly)",'Eplus results'!$1:$1048576,ROW(),FALSE)</f>
        <v>0</v>
      </c>
      <c r="AC3909" s="580">
        <f>HLOOKUP("*"&amp;'Output annual'!$AC$2&amp;'Output annual'!$AD$2&amp;"*FangerPMV(Hourly)",'Eplus results'!$1:$1048576,ROW(),FALSE)</f>
        <v>0</v>
      </c>
      <c r="AD3909" s="580">
        <f t="shared" si="341"/>
        <v>5</v>
      </c>
      <c r="AE3909" s="580">
        <f t="shared" si="342"/>
        <v>2.5</v>
      </c>
      <c r="AF3909" s="580">
        <f t="shared" si="343"/>
        <v>2.5</v>
      </c>
      <c r="AG3909" s="580">
        <f t="shared" si="344"/>
        <v>0</v>
      </c>
      <c r="AH3909" s="580">
        <f t="shared" si="345"/>
        <v>0</v>
      </c>
    </row>
    <row r="3910" spans="28:34">
      <c r="AB3910" s="580">
        <f>HLOOKUP("*"&amp;'Output annual'!$AC$2&amp;'Output annual'!$AD$2&amp;"*Zone People Number Of Occupants [](Hourly)",'Eplus results'!$1:$1048576,ROW(),FALSE)</f>
        <v>0</v>
      </c>
      <c r="AC3910" s="580">
        <f>HLOOKUP("*"&amp;'Output annual'!$AC$2&amp;'Output annual'!$AD$2&amp;"*FangerPMV(Hourly)",'Eplus results'!$1:$1048576,ROW(),FALSE)</f>
        <v>0</v>
      </c>
      <c r="AD3910" s="580">
        <f t="shared" si="341"/>
        <v>5</v>
      </c>
      <c r="AE3910" s="580">
        <f t="shared" si="342"/>
        <v>2.5</v>
      </c>
      <c r="AF3910" s="580">
        <f t="shared" si="343"/>
        <v>2.5</v>
      </c>
      <c r="AG3910" s="580">
        <f t="shared" si="344"/>
        <v>0</v>
      </c>
      <c r="AH3910" s="580">
        <f t="shared" si="345"/>
        <v>0</v>
      </c>
    </row>
    <row r="3911" spans="28:34">
      <c r="AB3911" s="580">
        <f>HLOOKUP("*"&amp;'Output annual'!$AC$2&amp;'Output annual'!$AD$2&amp;"*Zone People Number Of Occupants [](Hourly)",'Eplus results'!$1:$1048576,ROW(),FALSE)</f>
        <v>0</v>
      </c>
      <c r="AC3911" s="580">
        <f>HLOOKUP("*"&amp;'Output annual'!$AC$2&amp;'Output annual'!$AD$2&amp;"*FangerPMV(Hourly)",'Eplus results'!$1:$1048576,ROW(),FALSE)</f>
        <v>0</v>
      </c>
      <c r="AD3911" s="580">
        <f t="shared" si="341"/>
        <v>5</v>
      </c>
      <c r="AE3911" s="580">
        <f t="shared" si="342"/>
        <v>2.5</v>
      </c>
      <c r="AF3911" s="580">
        <f t="shared" si="343"/>
        <v>2.5</v>
      </c>
      <c r="AG3911" s="580">
        <f t="shared" si="344"/>
        <v>0</v>
      </c>
      <c r="AH3911" s="580">
        <f t="shared" si="345"/>
        <v>0</v>
      </c>
    </row>
    <row r="3912" spans="28:34">
      <c r="AB3912" s="580">
        <f>HLOOKUP("*"&amp;'Output annual'!$AC$2&amp;'Output annual'!$AD$2&amp;"*Zone People Number Of Occupants [](Hourly)",'Eplus results'!$1:$1048576,ROW(),FALSE)</f>
        <v>0</v>
      </c>
      <c r="AC3912" s="580">
        <f>HLOOKUP("*"&amp;'Output annual'!$AC$2&amp;'Output annual'!$AD$2&amp;"*FangerPMV(Hourly)",'Eplus results'!$1:$1048576,ROW(),FALSE)</f>
        <v>0</v>
      </c>
      <c r="AD3912" s="580">
        <f t="shared" si="341"/>
        <v>5</v>
      </c>
      <c r="AE3912" s="580">
        <f t="shared" si="342"/>
        <v>2.5</v>
      </c>
      <c r="AF3912" s="580">
        <f t="shared" si="343"/>
        <v>2.5</v>
      </c>
      <c r="AG3912" s="580">
        <f t="shared" si="344"/>
        <v>0</v>
      </c>
      <c r="AH3912" s="580">
        <f t="shared" si="345"/>
        <v>0</v>
      </c>
    </row>
    <row r="3913" spans="28:34">
      <c r="AB3913" s="580">
        <f>HLOOKUP("*"&amp;'Output annual'!$AC$2&amp;'Output annual'!$AD$2&amp;"*Zone People Number Of Occupants [](Hourly)",'Eplus results'!$1:$1048576,ROW(),FALSE)</f>
        <v>0</v>
      </c>
      <c r="AC3913" s="580">
        <f>HLOOKUP("*"&amp;'Output annual'!$AC$2&amp;'Output annual'!$AD$2&amp;"*FangerPMV(Hourly)",'Eplus results'!$1:$1048576,ROW(),FALSE)</f>
        <v>0</v>
      </c>
      <c r="AD3913" s="580">
        <f t="shared" si="341"/>
        <v>5</v>
      </c>
      <c r="AE3913" s="580">
        <f t="shared" si="342"/>
        <v>2.5</v>
      </c>
      <c r="AF3913" s="580">
        <f t="shared" si="343"/>
        <v>2.5</v>
      </c>
      <c r="AG3913" s="580">
        <f t="shared" si="344"/>
        <v>0</v>
      </c>
      <c r="AH3913" s="580">
        <f t="shared" si="345"/>
        <v>0</v>
      </c>
    </row>
    <row r="3914" spans="28:34">
      <c r="AB3914" s="580">
        <f>HLOOKUP("*"&amp;'Output annual'!$AC$2&amp;'Output annual'!$AD$2&amp;"*Zone People Number Of Occupants [](Hourly)",'Eplus results'!$1:$1048576,ROW(),FALSE)</f>
        <v>0</v>
      </c>
      <c r="AC3914" s="580">
        <f>HLOOKUP("*"&amp;'Output annual'!$AC$2&amp;'Output annual'!$AD$2&amp;"*FangerPMV(Hourly)",'Eplus results'!$1:$1048576,ROW(),FALSE)</f>
        <v>0</v>
      </c>
      <c r="AD3914" s="580">
        <f t="shared" si="341"/>
        <v>5</v>
      </c>
      <c r="AE3914" s="580">
        <f t="shared" si="342"/>
        <v>2.5</v>
      </c>
      <c r="AF3914" s="580">
        <f t="shared" si="343"/>
        <v>2.5</v>
      </c>
      <c r="AG3914" s="580">
        <f t="shared" si="344"/>
        <v>0</v>
      </c>
      <c r="AH3914" s="580">
        <f t="shared" si="345"/>
        <v>0</v>
      </c>
    </row>
    <row r="3915" spans="28:34">
      <c r="AB3915" s="580">
        <f>HLOOKUP("*"&amp;'Output annual'!$AC$2&amp;'Output annual'!$AD$2&amp;"*Zone People Number Of Occupants [](Hourly)",'Eplus results'!$1:$1048576,ROW(),FALSE)</f>
        <v>0</v>
      </c>
      <c r="AC3915" s="580">
        <f>HLOOKUP("*"&amp;'Output annual'!$AC$2&amp;'Output annual'!$AD$2&amp;"*FangerPMV(Hourly)",'Eplus results'!$1:$1048576,ROW(),FALSE)</f>
        <v>0</v>
      </c>
      <c r="AD3915" s="580">
        <f t="shared" si="341"/>
        <v>5</v>
      </c>
      <c r="AE3915" s="580">
        <f t="shared" si="342"/>
        <v>2.5</v>
      </c>
      <c r="AF3915" s="580">
        <f t="shared" si="343"/>
        <v>2.5</v>
      </c>
      <c r="AG3915" s="580">
        <f t="shared" si="344"/>
        <v>0</v>
      </c>
      <c r="AH3915" s="580">
        <f t="shared" si="345"/>
        <v>0</v>
      </c>
    </row>
    <row r="3916" spans="28:34">
      <c r="AB3916" s="580">
        <f>HLOOKUP("*"&amp;'Output annual'!$AC$2&amp;'Output annual'!$AD$2&amp;"*Zone People Number Of Occupants [](Hourly)",'Eplus results'!$1:$1048576,ROW(),FALSE)</f>
        <v>0</v>
      </c>
      <c r="AC3916" s="580">
        <f>HLOOKUP("*"&amp;'Output annual'!$AC$2&amp;'Output annual'!$AD$2&amp;"*FangerPMV(Hourly)",'Eplus results'!$1:$1048576,ROW(),FALSE)</f>
        <v>0</v>
      </c>
      <c r="AD3916" s="580">
        <f t="shared" si="341"/>
        <v>5</v>
      </c>
      <c r="AE3916" s="580">
        <f t="shared" si="342"/>
        <v>2.5</v>
      </c>
      <c r="AF3916" s="580">
        <f t="shared" si="343"/>
        <v>2.5</v>
      </c>
      <c r="AG3916" s="580">
        <f t="shared" si="344"/>
        <v>0</v>
      </c>
      <c r="AH3916" s="580">
        <f t="shared" si="345"/>
        <v>0</v>
      </c>
    </row>
    <row r="3917" spans="28:34">
      <c r="AB3917" s="580">
        <f>HLOOKUP("*"&amp;'Output annual'!$AC$2&amp;'Output annual'!$AD$2&amp;"*Zone People Number Of Occupants [](Hourly)",'Eplus results'!$1:$1048576,ROW(),FALSE)</f>
        <v>0</v>
      </c>
      <c r="AC3917" s="580">
        <f>HLOOKUP("*"&amp;'Output annual'!$AC$2&amp;'Output annual'!$AD$2&amp;"*FangerPMV(Hourly)",'Eplus results'!$1:$1048576,ROW(),FALSE)</f>
        <v>0</v>
      </c>
      <c r="AD3917" s="580">
        <f t="shared" si="341"/>
        <v>5</v>
      </c>
      <c r="AE3917" s="580">
        <f t="shared" si="342"/>
        <v>2.5</v>
      </c>
      <c r="AF3917" s="580">
        <f t="shared" si="343"/>
        <v>2.5</v>
      </c>
      <c r="AG3917" s="580">
        <f t="shared" si="344"/>
        <v>0</v>
      </c>
      <c r="AH3917" s="580">
        <f t="shared" si="345"/>
        <v>0</v>
      </c>
    </row>
    <row r="3918" spans="28:34">
      <c r="AB3918" s="580">
        <f>HLOOKUP("*"&amp;'Output annual'!$AC$2&amp;'Output annual'!$AD$2&amp;"*Zone People Number Of Occupants [](Hourly)",'Eplus results'!$1:$1048576,ROW(),FALSE)</f>
        <v>0</v>
      </c>
      <c r="AC3918" s="580">
        <f>HLOOKUP("*"&amp;'Output annual'!$AC$2&amp;'Output annual'!$AD$2&amp;"*FangerPMV(Hourly)",'Eplus results'!$1:$1048576,ROW(),FALSE)</f>
        <v>0</v>
      </c>
      <c r="AD3918" s="580">
        <f t="shared" si="341"/>
        <v>5</v>
      </c>
      <c r="AE3918" s="580">
        <f t="shared" si="342"/>
        <v>2.5</v>
      </c>
      <c r="AF3918" s="580">
        <f t="shared" si="343"/>
        <v>2.5</v>
      </c>
      <c r="AG3918" s="580">
        <f t="shared" si="344"/>
        <v>0</v>
      </c>
      <c r="AH3918" s="580">
        <f t="shared" si="345"/>
        <v>0</v>
      </c>
    </row>
    <row r="3919" spans="28:34">
      <c r="AB3919" s="580">
        <f>HLOOKUP("*"&amp;'Output annual'!$AC$2&amp;'Output annual'!$AD$2&amp;"*Zone People Number Of Occupants [](Hourly)",'Eplus results'!$1:$1048576,ROW(),FALSE)</f>
        <v>0</v>
      </c>
      <c r="AC3919" s="580">
        <f>HLOOKUP("*"&amp;'Output annual'!$AC$2&amp;'Output annual'!$AD$2&amp;"*FangerPMV(Hourly)",'Eplus results'!$1:$1048576,ROW(),FALSE)</f>
        <v>0</v>
      </c>
      <c r="AD3919" s="580">
        <f t="shared" si="341"/>
        <v>5</v>
      </c>
      <c r="AE3919" s="580">
        <f t="shared" si="342"/>
        <v>2.5</v>
      </c>
      <c r="AF3919" s="580">
        <f t="shared" si="343"/>
        <v>2.5</v>
      </c>
      <c r="AG3919" s="580">
        <f t="shared" si="344"/>
        <v>0</v>
      </c>
      <c r="AH3919" s="580">
        <f t="shared" si="345"/>
        <v>0</v>
      </c>
    </row>
    <row r="3920" spans="28:34">
      <c r="AB3920" s="580">
        <f>HLOOKUP("*"&amp;'Output annual'!$AC$2&amp;'Output annual'!$AD$2&amp;"*Zone People Number Of Occupants [](Hourly)",'Eplus results'!$1:$1048576,ROW(),FALSE)</f>
        <v>0</v>
      </c>
      <c r="AC3920" s="580">
        <f>HLOOKUP("*"&amp;'Output annual'!$AC$2&amp;'Output annual'!$AD$2&amp;"*FangerPMV(Hourly)",'Eplus results'!$1:$1048576,ROW(),FALSE)</f>
        <v>0</v>
      </c>
      <c r="AD3920" s="580">
        <f t="shared" si="341"/>
        <v>5</v>
      </c>
      <c r="AE3920" s="580">
        <f t="shared" si="342"/>
        <v>2.5</v>
      </c>
      <c r="AF3920" s="580">
        <f t="shared" si="343"/>
        <v>2.5</v>
      </c>
      <c r="AG3920" s="580">
        <f t="shared" si="344"/>
        <v>0</v>
      </c>
      <c r="AH3920" s="580">
        <f t="shared" si="345"/>
        <v>0</v>
      </c>
    </row>
    <row r="3921" spans="28:34">
      <c r="AB3921" s="580">
        <f>HLOOKUP("*"&amp;'Output annual'!$AC$2&amp;'Output annual'!$AD$2&amp;"*Zone People Number Of Occupants [](Hourly)",'Eplus results'!$1:$1048576,ROW(),FALSE)</f>
        <v>0</v>
      </c>
      <c r="AC3921" s="580">
        <f>HLOOKUP("*"&amp;'Output annual'!$AC$2&amp;'Output annual'!$AD$2&amp;"*FangerPMV(Hourly)",'Eplus results'!$1:$1048576,ROW(),FALSE)</f>
        <v>0</v>
      </c>
      <c r="AD3921" s="580">
        <f t="shared" si="341"/>
        <v>5</v>
      </c>
      <c r="AE3921" s="580">
        <f t="shared" si="342"/>
        <v>2.5</v>
      </c>
      <c r="AF3921" s="580">
        <f t="shared" si="343"/>
        <v>2.5</v>
      </c>
      <c r="AG3921" s="580">
        <f t="shared" si="344"/>
        <v>0</v>
      </c>
      <c r="AH3921" s="580">
        <f t="shared" si="345"/>
        <v>0</v>
      </c>
    </row>
    <row r="3922" spans="28:34">
      <c r="AB3922" s="580">
        <f>HLOOKUP("*"&amp;'Output annual'!$AC$2&amp;'Output annual'!$AD$2&amp;"*Zone People Number Of Occupants [](Hourly)",'Eplus results'!$1:$1048576,ROW(),FALSE)</f>
        <v>0</v>
      </c>
      <c r="AC3922" s="580">
        <f>HLOOKUP("*"&amp;'Output annual'!$AC$2&amp;'Output annual'!$AD$2&amp;"*FangerPMV(Hourly)",'Eplus results'!$1:$1048576,ROW(),FALSE)</f>
        <v>0</v>
      </c>
      <c r="AD3922" s="580">
        <f t="shared" si="341"/>
        <v>5</v>
      </c>
      <c r="AE3922" s="580">
        <f t="shared" si="342"/>
        <v>2.5</v>
      </c>
      <c r="AF3922" s="580">
        <f t="shared" si="343"/>
        <v>2.5</v>
      </c>
      <c r="AG3922" s="580">
        <f t="shared" si="344"/>
        <v>0</v>
      </c>
      <c r="AH3922" s="580">
        <f t="shared" si="345"/>
        <v>0</v>
      </c>
    </row>
    <row r="3923" spans="28:34">
      <c r="AB3923" s="580">
        <f>HLOOKUP("*"&amp;'Output annual'!$AC$2&amp;'Output annual'!$AD$2&amp;"*Zone People Number Of Occupants [](Hourly)",'Eplus results'!$1:$1048576,ROW(),FALSE)</f>
        <v>0</v>
      </c>
      <c r="AC3923" s="580">
        <f>HLOOKUP("*"&amp;'Output annual'!$AC$2&amp;'Output annual'!$AD$2&amp;"*FangerPMV(Hourly)",'Eplus results'!$1:$1048576,ROW(),FALSE)</f>
        <v>0</v>
      </c>
      <c r="AD3923" s="580">
        <f t="shared" si="341"/>
        <v>5</v>
      </c>
      <c r="AE3923" s="580">
        <f t="shared" si="342"/>
        <v>2.5</v>
      </c>
      <c r="AF3923" s="580">
        <f t="shared" si="343"/>
        <v>2.5</v>
      </c>
      <c r="AG3923" s="580">
        <f t="shared" si="344"/>
        <v>0</v>
      </c>
      <c r="AH3923" s="580">
        <f t="shared" si="345"/>
        <v>0</v>
      </c>
    </row>
    <row r="3924" spans="28:34">
      <c r="AB3924" s="580">
        <f>HLOOKUP("*"&amp;'Output annual'!$AC$2&amp;'Output annual'!$AD$2&amp;"*Zone People Number Of Occupants [](Hourly)",'Eplus results'!$1:$1048576,ROW(),FALSE)</f>
        <v>0</v>
      </c>
      <c r="AC3924" s="580">
        <f>HLOOKUP("*"&amp;'Output annual'!$AC$2&amp;'Output annual'!$AD$2&amp;"*FangerPMV(Hourly)",'Eplus results'!$1:$1048576,ROW(),FALSE)</f>
        <v>0</v>
      </c>
      <c r="AD3924" s="580">
        <f t="shared" si="341"/>
        <v>5</v>
      </c>
      <c r="AE3924" s="580">
        <f t="shared" si="342"/>
        <v>2.5</v>
      </c>
      <c r="AF3924" s="580">
        <f t="shared" si="343"/>
        <v>2.5</v>
      </c>
      <c r="AG3924" s="580">
        <f t="shared" si="344"/>
        <v>0</v>
      </c>
      <c r="AH3924" s="580">
        <f t="shared" si="345"/>
        <v>0</v>
      </c>
    </row>
    <row r="3925" spans="28:34">
      <c r="AB3925" s="580">
        <f>HLOOKUP("*"&amp;'Output annual'!$AC$2&amp;'Output annual'!$AD$2&amp;"*Zone People Number Of Occupants [](Hourly)",'Eplus results'!$1:$1048576,ROW(),FALSE)</f>
        <v>0</v>
      </c>
      <c r="AC3925" s="580">
        <f>HLOOKUP("*"&amp;'Output annual'!$AC$2&amp;'Output annual'!$AD$2&amp;"*FangerPMV(Hourly)",'Eplus results'!$1:$1048576,ROW(),FALSE)</f>
        <v>0</v>
      </c>
      <c r="AD3925" s="580">
        <f t="shared" si="341"/>
        <v>5</v>
      </c>
      <c r="AE3925" s="580">
        <f t="shared" si="342"/>
        <v>2.5</v>
      </c>
      <c r="AF3925" s="580">
        <f t="shared" si="343"/>
        <v>2.5</v>
      </c>
      <c r="AG3925" s="580">
        <f t="shared" si="344"/>
        <v>0</v>
      </c>
      <c r="AH3925" s="580">
        <f t="shared" si="345"/>
        <v>0</v>
      </c>
    </row>
    <row r="3926" spans="28:34">
      <c r="AB3926" s="580">
        <f>HLOOKUP("*"&amp;'Output annual'!$AC$2&amp;'Output annual'!$AD$2&amp;"*Zone People Number Of Occupants [](Hourly)",'Eplus results'!$1:$1048576,ROW(),FALSE)</f>
        <v>0</v>
      </c>
      <c r="AC3926" s="580">
        <f>HLOOKUP("*"&amp;'Output annual'!$AC$2&amp;'Output annual'!$AD$2&amp;"*FangerPMV(Hourly)",'Eplus results'!$1:$1048576,ROW(),FALSE)</f>
        <v>0</v>
      </c>
      <c r="AD3926" s="580">
        <f t="shared" si="341"/>
        <v>5</v>
      </c>
      <c r="AE3926" s="580">
        <f t="shared" si="342"/>
        <v>2.5</v>
      </c>
      <c r="AF3926" s="580">
        <f t="shared" si="343"/>
        <v>2.5</v>
      </c>
      <c r="AG3926" s="580">
        <f t="shared" si="344"/>
        <v>0</v>
      </c>
      <c r="AH3926" s="580">
        <f t="shared" si="345"/>
        <v>0</v>
      </c>
    </row>
    <row r="3927" spans="28:34">
      <c r="AB3927" s="580">
        <f>HLOOKUP("*"&amp;'Output annual'!$AC$2&amp;'Output annual'!$AD$2&amp;"*Zone People Number Of Occupants [](Hourly)",'Eplus results'!$1:$1048576,ROW(),FALSE)</f>
        <v>0</v>
      </c>
      <c r="AC3927" s="580">
        <f>HLOOKUP("*"&amp;'Output annual'!$AC$2&amp;'Output annual'!$AD$2&amp;"*FangerPMV(Hourly)",'Eplus results'!$1:$1048576,ROW(),FALSE)</f>
        <v>0</v>
      </c>
      <c r="AD3927" s="580">
        <f t="shared" si="341"/>
        <v>5</v>
      </c>
      <c r="AE3927" s="580">
        <f t="shared" si="342"/>
        <v>2.5</v>
      </c>
      <c r="AF3927" s="580">
        <f t="shared" si="343"/>
        <v>2.5</v>
      </c>
      <c r="AG3927" s="580">
        <f t="shared" si="344"/>
        <v>0</v>
      </c>
      <c r="AH3927" s="580">
        <f t="shared" si="345"/>
        <v>0</v>
      </c>
    </row>
    <row r="3928" spans="28:34">
      <c r="AB3928" s="580">
        <f>HLOOKUP("*"&amp;'Output annual'!$AC$2&amp;'Output annual'!$AD$2&amp;"*Zone People Number Of Occupants [](Hourly)",'Eplus results'!$1:$1048576,ROW(),FALSE)</f>
        <v>0</v>
      </c>
      <c r="AC3928" s="580">
        <f>HLOOKUP("*"&amp;'Output annual'!$AC$2&amp;'Output annual'!$AD$2&amp;"*FangerPMV(Hourly)",'Eplus results'!$1:$1048576,ROW(),FALSE)</f>
        <v>0</v>
      </c>
      <c r="AD3928" s="580">
        <f t="shared" si="341"/>
        <v>5</v>
      </c>
      <c r="AE3928" s="580">
        <f t="shared" si="342"/>
        <v>2.5</v>
      </c>
      <c r="AF3928" s="580">
        <f t="shared" si="343"/>
        <v>2.5</v>
      </c>
      <c r="AG3928" s="580">
        <f t="shared" si="344"/>
        <v>0</v>
      </c>
      <c r="AH3928" s="580">
        <f t="shared" si="345"/>
        <v>0</v>
      </c>
    </row>
    <row r="3929" spans="28:34">
      <c r="AB3929" s="580">
        <f>HLOOKUP("*"&amp;'Output annual'!$AC$2&amp;'Output annual'!$AD$2&amp;"*Zone People Number Of Occupants [](Hourly)",'Eplus results'!$1:$1048576,ROW(),FALSE)</f>
        <v>0</v>
      </c>
      <c r="AC3929" s="580">
        <f>HLOOKUP("*"&amp;'Output annual'!$AC$2&amp;'Output annual'!$AD$2&amp;"*FangerPMV(Hourly)",'Eplus results'!$1:$1048576,ROW(),FALSE)</f>
        <v>0</v>
      </c>
      <c r="AD3929" s="580">
        <f t="shared" si="341"/>
        <v>5</v>
      </c>
      <c r="AE3929" s="580">
        <f t="shared" si="342"/>
        <v>2.5</v>
      </c>
      <c r="AF3929" s="580">
        <f t="shared" si="343"/>
        <v>2.5</v>
      </c>
      <c r="AG3929" s="580">
        <f t="shared" si="344"/>
        <v>0</v>
      </c>
      <c r="AH3929" s="580">
        <f t="shared" si="345"/>
        <v>0</v>
      </c>
    </row>
    <row r="3930" spans="28:34">
      <c r="AB3930" s="580">
        <f>HLOOKUP("*"&amp;'Output annual'!$AC$2&amp;'Output annual'!$AD$2&amp;"*Zone People Number Of Occupants [](Hourly)",'Eplus results'!$1:$1048576,ROW(),FALSE)</f>
        <v>0</v>
      </c>
      <c r="AC3930" s="580">
        <f>HLOOKUP("*"&amp;'Output annual'!$AC$2&amp;'Output annual'!$AD$2&amp;"*FangerPMV(Hourly)",'Eplus results'!$1:$1048576,ROW(),FALSE)</f>
        <v>0</v>
      </c>
      <c r="AD3930" s="580">
        <f t="shared" si="341"/>
        <v>5</v>
      </c>
      <c r="AE3930" s="580">
        <f t="shared" si="342"/>
        <v>2.5</v>
      </c>
      <c r="AF3930" s="580">
        <f t="shared" si="343"/>
        <v>2.5</v>
      </c>
      <c r="AG3930" s="580">
        <f t="shared" si="344"/>
        <v>0</v>
      </c>
      <c r="AH3930" s="580">
        <f t="shared" si="345"/>
        <v>0</v>
      </c>
    </row>
    <row r="3931" spans="28:34">
      <c r="AB3931" s="580">
        <f>HLOOKUP("*"&amp;'Output annual'!$AC$2&amp;'Output annual'!$AD$2&amp;"*Zone People Number Of Occupants [](Hourly)",'Eplus results'!$1:$1048576,ROW(),FALSE)</f>
        <v>0</v>
      </c>
      <c r="AC3931" s="580">
        <f>HLOOKUP("*"&amp;'Output annual'!$AC$2&amp;'Output annual'!$AD$2&amp;"*FangerPMV(Hourly)",'Eplus results'!$1:$1048576,ROW(),FALSE)</f>
        <v>0</v>
      </c>
      <c r="AD3931" s="580">
        <f t="shared" si="341"/>
        <v>5</v>
      </c>
      <c r="AE3931" s="580">
        <f t="shared" si="342"/>
        <v>2.5</v>
      </c>
      <c r="AF3931" s="580">
        <f t="shared" si="343"/>
        <v>2.5</v>
      </c>
      <c r="AG3931" s="580">
        <f t="shared" si="344"/>
        <v>0</v>
      </c>
      <c r="AH3931" s="580">
        <f t="shared" si="345"/>
        <v>0</v>
      </c>
    </row>
    <row r="3932" spans="28:34">
      <c r="AB3932" s="580">
        <f>HLOOKUP("*"&amp;'Output annual'!$AC$2&amp;'Output annual'!$AD$2&amp;"*Zone People Number Of Occupants [](Hourly)",'Eplus results'!$1:$1048576,ROW(),FALSE)</f>
        <v>0</v>
      </c>
      <c r="AC3932" s="580">
        <f>HLOOKUP("*"&amp;'Output annual'!$AC$2&amp;'Output annual'!$AD$2&amp;"*FangerPMV(Hourly)",'Eplus results'!$1:$1048576,ROW(),FALSE)</f>
        <v>0</v>
      </c>
      <c r="AD3932" s="580">
        <f t="shared" si="341"/>
        <v>5</v>
      </c>
      <c r="AE3932" s="580">
        <f t="shared" si="342"/>
        <v>2.5</v>
      </c>
      <c r="AF3932" s="580">
        <f t="shared" si="343"/>
        <v>2.5</v>
      </c>
      <c r="AG3932" s="580">
        <f t="shared" si="344"/>
        <v>0</v>
      </c>
      <c r="AH3932" s="580">
        <f t="shared" si="345"/>
        <v>0</v>
      </c>
    </row>
    <row r="3933" spans="28:34">
      <c r="AB3933" s="580">
        <f>HLOOKUP("*"&amp;'Output annual'!$AC$2&amp;'Output annual'!$AD$2&amp;"*Zone People Number Of Occupants [](Hourly)",'Eplus results'!$1:$1048576,ROW(),FALSE)</f>
        <v>0</v>
      </c>
      <c r="AC3933" s="580">
        <f>HLOOKUP("*"&amp;'Output annual'!$AC$2&amp;'Output annual'!$AD$2&amp;"*FangerPMV(Hourly)",'Eplus results'!$1:$1048576,ROW(),FALSE)</f>
        <v>0</v>
      </c>
      <c r="AD3933" s="580">
        <f t="shared" si="341"/>
        <v>5</v>
      </c>
      <c r="AE3933" s="580">
        <f t="shared" si="342"/>
        <v>2.5</v>
      </c>
      <c r="AF3933" s="580">
        <f t="shared" si="343"/>
        <v>2.5</v>
      </c>
      <c r="AG3933" s="580">
        <f t="shared" si="344"/>
        <v>0</v>
      </c>
      <c r="AH3933" s="580">
        <f t="shared" si="345"/>
        <v>0</v>
      </c>
    </row>
    <row r="3934" spans="28:34">
      <c r="AB3934" s="580">
        <f>HLOOKUP("*"&amp;'Output annual'!$AC$2&amp;'Output annual'!$AD$2&amp;"*Zone People Number Of Occupants [](Hourly)",'Eplus results'!$1:$1048576,ROW(),FALSE)</f>
        <v>0</v>
      </c>
      <c r="AC3934" s="580">
        <f>HLOOKUP("*"&amp;'Output annual'!$AC$2&amp;'Output annual'!$AD$2&amp;"*FangerPMV(Hourly)",'Eplus results'!$1:$1048576,ROW(),FALSE)</f>
        <v>0</v>
      </c>
      <c r="AD3934" s="580">
        <f t="shared" si="341"/>
        <v>5</v>
      </c>
      <c r="AE3934" s="580">
        <f t="shared" si="342"/>
        <v>2.5</v>
      </c>
      <c r="AF3934" s="580">
        <f t="shared" si="343"/>
        <v>2.5</v>
      </c>
      <c r="AG3934" s="580">
        <f t="shared" si="344"/>
        <v>0</v>
      </c>
      <c r="AH3934" s="580">
        <f t="shared" si="345"/>
        <v>0</v>
      </c>
    </row>
    <row r="3935" spans="28:34">
      <c r="AB3935" s="580">
        <f>HLOOKUP("*"&amp;'Output annual'!$AC$2&amp;'Output annual'!$AD$2&amp;"*Zone People Number Of Occupants [](Hourly)",'Eplus results'!$1:$1048576,ROW(),FALSE)</f>
        <v>0</v>
      </c>
      <c r="AC3935" s="580">
        <f>HLOOKUP("*"&amp;'Output annual'!$AC$2&amp;'Output annual'!$AD$2&amp;"*FangerPMV(Hourly)",'Eplus results'!$1:$1048576,ROW(),FALSE)</f>
        <v>0</v>
      </c>
      <c r="AD3935" s="580">
        <f t="shared" si="341"/>
        <v>5</v>
      </c>
      <c r="AE3935" s="580">
        <f t="shared" si="342"/>
        <v>2.5</v>
      </c>
      <c r="AF3935" s="580">
        <f t="shared" si="343"/>
        <v>2.5</v>
      </c>
      <c r="AG3935" s="580">
        <f t="shared" si="344"/>
        <v>0</v>
      </c>
      <c r="AH3935" s="580">
        <f t="shared" si="345"/>
        <v>0</v>
      </c>
    </row>
    <row r="3936" spans="28:34">
      <c r="AB3936" s="580">
        <f>HLOOKUP("*"&amp;'Output annual'!$AC$2&amp;'Output annual'!$AD$2&amp;"*Zone People Number Of Occupants [](Hourly)",'Eplus results'!$1:$1048576,ROW(),FALSE)</f>
        <v>0</v>
      </c>
      <c r="AC3936" s="580">
        <f>HLOOKUP("*"&amp;'Output annual'!$AC$2&amp;'Output annual'!$AD$2&amp;"*FangerPMV(Hourly)",'Eplus results'!$1:$1048576,ROW(),FALSE)</f>
        <v>0</v>
      </c>
      <c r="AD3936" s="580">
        <f t="shared" si="341"/>
        <v>5</v>
      </c>
      <c r="AE3936" s="580">
        <f t="shared" si="342"/>
        <v>2.5</v>
      </c>
      <c r="AF3936" s="580">
        <f t="shared" si="343"/>
        <v>2.5</v>
      </c>
      <c r="AG3936" s="580">
        <f t="shared" si="344"/>
        <v>0</v>
      </c>
      <c r="AH3936" s="580">
        <f t="shared" si="345"/>
        <v>0</v>
      </c>
    </row>
    <row r="3937" spans="28:34">
      <c r="AB3937" s="580">
        <f>HLOOKUP("*"&amp;'Output annual'!$AC$2&amp;'Output annual'!$AD$2&amp;"*Zone People Number Of Occupants [](Hourly)",'Eplus results'!$1:$1048576,ROW(),FALSE)</f>
        <v>0</v>
      </c>
      <c r="AC3937" s="580">
        <f>HLOOKUP("*"&amp;'Output annual'!$AC$2&amp;'Output annual'!$AD$2&amp;"*FangerPMV(Hourly)",'Eplus results'!$1:$1048576,ROW(),FALSE)</f>
        <v>0</v>
      </c>
      <c r="AD3937" s="580">
        <f t="shared" si="341"/>
        <v>5</v>
      </c>
      <c r="AE3937" s="580">
        <f t="shared" si="342"/>
        <v>2.5</v>
      </c>
      <c r="AF3937" s="580">
        <f t="shared" si="343"/>
        <v>2.5</v>
      </c>
      <c r="AG3937" s="580">
        <f t="shared" si="344"/>
        <v>0</v>
      </c>
      <c r="AH3937" s="580">
        <f t="shared" si="345"/>
        <v>0</v>
      </c>
    </row>
    <row r="3938" spans="28:34">
      <c r="AB3938" s="580">
        <f>HLOOKUP("*"&amp;'Output annual'!$AC$2&amp;'Output annual'!$AD$2&amp;"*Zone People Number Of Occupants [](Hourly)",'Eplus results'!$1:$1048576,ROW(),FALSE)</f>
        <v>0</v>
      </c>
      <c r="AC3938" s="580">
        <f>HLOOKUP("*"&amp;'Output annual'!$AC$2&amp;'Output annual'!$AD$2&amp;"*FangerPMV(Hourly)",'Eplus results'!$1:$1048576,ROW(),FALSE)</f>
        <v>0</v>
      </c>
      <c r="AD3938" s="580">
        <f t="shared" si="341"/>
        <v>5</v>
      </c>
      <c r="AE3938" s="580">
        <f t="shared" si="342"/>
        <v>2.5</v>
      </c>
      <c r="AF3938" s="580">
        <f t="shared" si="343"/>
        <v>2.5</v>
      </c>
      <c r="AG3938" s="580">
        <f t="shared" si="344"/>
        <v>0</v>
      </c>
      <c r="AH3938" s="580">
        <f t="shared" si="345"/>
        <v>0</v>
      </c>
    </row>
    <row r="3939" spans="28:34">
      <c r="AB3939" s="580">
        <f>HLOOKUP("*"&amp;'Output annual'!$AC$2&amp;'Output annual'!$AD$2&amp;"*Zone People Number Of Occupants [](Hourly)",'Eplus results'!$1:$1048576,ROW(),FALSE)</f>
        <v>0</v>
      </c>
      <c r="AC3939" s="580">
        <f>HLOOKUP("*"&amp;'Output annual'!$AC$2&amp;'Output annual'!$AD$2&amp;"*FangerPMV(Hourly)",'Eplus results'!$1:$1048576,ROW(),FALSE)</f>
        <v>0</v>
      </c>
      <c r="AD3939" s="580">
        <f t="shared" si="341"/>
        <v>5</v>
      </c>
      <c r="AE3939" s="580">
        <f t="shared" si="342"/>
        <v>2.5</v>
      </c>
      <c r="AF3939" s="580">
        <f t="shared" si="343"/>
        <v>2.5</v>
      </c>
      <c r="AG3939" s="580">
        <f t="shared" si="344"/>
        <v>0</v>
      </c>
      <c r="AH3939" s="580">
        <f t="shared" si="345"/>
        <v>0</v>
      </c>
    </row>
    <row r="3940" spans="28:34">
      <c r="AB3940" s="580">
        <f>HLOOKUP("*"&amp;'Output annual'!$AC$2&amp;'Output annual'!$AD$2&amp;"*Zone People Number Of Occupants [](Hourly)",'Eplus results'!$1:$1048576,ROW(),FALSE)</f>
        <v>0</v>
      </c>
      <c r="AC3940" s="580">
        <f>HLOOKUP("*"&amp;'Output annual'!$AC$2&amp;'Output annual'!$AD$2&amp;"*FangerPMV(Hourly)",'Eplus results'!$1:$1048576,ROW(),FALSE)</f>
        <v>0</v>
      </c>
      <c r="AD3940" s="580">
        <f t="shared" si="341"/>
        <v>5</v>
      </c>
      <c r="AE3940" s="580">
        <f t="shared" si="342"/>
        <v>2.5</v>
      </c>
      <c r="AF3940" s="580">
        <f t="shared" si="343"/>
        <v>2.5</v>
      </c>
      <c r="AG3940" s="580">
        <f t="shared" si="344"/>
        <v>0</v>
      </c>
      <c r="AH3940" s="580">
        <f t="shared" si="345"/>
        <v>0</v>
      </c>
    </row>
    <row r="3941" spans="28:34">
      <c r="AB3941" s="580">
        <f>HLOOKUP("*"&amp;'Output annual'!$AC$2&amp;'Output annual'!$AD$2&amp;"*Zone People Number Of Occupants [](Hourly)",'Eplus results'!$1:$1048576,ROW(),FALSE)</f>
        <v>0</v>
      </c>
      <c r="AC3941" s="580">
        <f>HLOOKUP("*"&amp;'Output annual'!$AC$2&amp;'Output annual'!$AD$2&amp;"*FangerPMV(Hourly)",'Eplus results'!$1:$1048576,ROW(),FALSE)</f>
        <v>0</v>
      </c>
      <c r="AD3941" s="580">
        <f t="shared" si="341"/>
        <v>5</v>
      </c>
      <c r="AE3941" s="580">
        <f t="shared" si="342"/>
        <v>2.5</v>
      </c>
      <c r="AF3941" s="580">
        <f t="shared" si="343"/>
        <v>2.5</v>
      </c>
      <c r="AG3941" s="580">
        <f t="shared" si="344"/>
        <v>0</v>
      </c>
      <c r="AH3941" s="580">
        <f t="shared" si="345"/>
        <v>0</v>
      </c>
    </row>
    <row r="3942" spans="28:34">
      <c r="AB3942" s="580">
        <f>HLOOKUP("*"&amp;'Output annual'!$AC$2&amp;'Output annual'!$AD$2&amp;"*Zone People Number Of Occupants [](Hourly)",'Eplus results'!$1:$1048576,ROW(),FALSE)</f>
        <v>0</v>
      </c>
      <c r="AC3942" s="580">
        <f>HLOOKUP("*"&amp;'Output annual'!$AC$2&amp;'Output annual'!$AD$2&amp;"*FangerPMV(Hourly)",'Eplus results'!$1:$1048576,ROW(),FALSE)</f>
        <v>0</v>
      </c>
      <c r="AD3942" s="580">
        <f t="shared" si="341"/>
        <v>5</v>
      </c>
      <c r="AE3942" s="580">
        <f t="shared" si="342"/>
        <v>2.5</v>
      </c>
      <c r="AF3942" s="580">
        <f t="shared" si="343"/>
        <v>2.5</v>
      </c>
      <c r="AG3942" s="580">
        <f t="shared" si="344"/>
        <v>0</v>
      </c>
      <c r="AH3942" s="580">
        <f t="shared" si="345"/>
        <v>0</v>
      </c>
    </row>
    <row r="3943" spans="28:34">
      <c r="AB3943" s="580">
        <f>HLOOKUP("*"&amp;'Output annual'!$AC$2&amp;'Output annual'!$AD$2&amp;"*Zone People Number Of Occupants [](Hourly)",'Eplus results'!$1:$1048576,ROW(),FALSE)</f>
        <v>0</v>
      </c>
      <c r="AC3943" s="580">
        <f>HLOOKUP("*"&amp;'Output annual'!$AC$2&amp;'Output annual'!$AD$2&amp;"*FangerPMV(Hourly)",'Eplus results'!$1:$1048576,ROW(),FALSE)</f>
        <v>0</v>
      </c>
      <c r="AD3943" s="580">
        <f t="shared" si="341"/>
        <v>5</v>
      </c>
      <c r="AE3943" s="580">
        <f t="shared" si="342"/>
        <v>2.5</v>
      </c>
      <c r="AF3943" s="580">
        <f t="shared" si="343"/>
        <v>2.5</v>
      </c>
      <c r="AG3943" s="580">
        <f t="shared" si="344"/>
        <v>0</v>
      </c>
      <c r="AH3943" s="580">
        <f t="shared" si="345"/>
        <v>0</v>
      </c>
    </row>
    <row r="3944" spans="28:34">
      <c r="AB3944" s="580">
        <f>HLOOKUP("*"&amp;'Output annual'!$AC$2&amp;'Output annual'!$AD$2&amp;"*Zone People Number Of Occupants [](Hourly)",'Eplus results'!$1:$1048576,ROW(),FALSE)</f>
        <v>0</v>
      </c>
      <c r="AC3944" s="580">
        <f>HLOOKUP("*"&amp;'Output annual'!$AC$2&amp;'Output annual'!$AD$2&amp;"*FangerPMV(Hourly)",'Eplus results'!$1:$1048576,ROW(),FALSE)</f>
        <v>0</v>
      </c>
      <c r="AD3944" s="580">
        <f t="shared" si="341"/>
        <v>5</v>
      </c>
      <c r="AE3944" s="580">
        <f t="shared" si="342"/>
        <v>2.5</v>
      </c>
      <c r="AF3944" s="580">
        <f t="shared" si="343"/>
        <v>2.5</v>
      </c>
      <c r="AG3944" s="580">
        <f t="shared" si="344"/>
        <v>0</v>
      </c>
      <c r="AH3944" s="580">
        <f t="shared" si="345"/>
        <v>0</v>
      </c>
    </row>
    <row r="3945" spans="28:34">
      <c r="AB3945" s="580">
        <f>HLOOKUP("*"&amp;'Output annual'!$AC$2&amp;'Output annual'!$AD$2&amp;"*Zone People Number Of Occupants [](Hourly)",'Eplus results'!$1:$1048576,ROW(),FALSE)</f>
        <v>0</v>
      </c>
      <c r="AC3945" s="580">
        <f>HLOOKUP("*"&amp;'Output annual'!$AC$2&amp;'Output annual'!$AD$2&amp;"*FangerPMV(Hourly)",'Eplus results'!$1:$1048576,ROW(),FALSE)</f>
        <v>0</v>
      </c>
      <c r="AD3945" s="580">
        <f t="shared" si="341"/>
        <v>5</v>
      </c>
      <c r="AE3945" s="580">
        <f t="shared" si="342"/>
        <v>2.5</v>
      </c>
      <c r="AF3945" s="580">
        <f t="shared" si="343"/>
        <v>2.5</v>
      </c>
      <c r="AG3945" s="580">
        <f t="shared" si="344"/>
        <v>0</v>
      </c>
      <c r="AH3945" s="580">
        <f t="shared" si="345"/>
        <v>0</v>
      </c>
    </row>
    <row r="3946" spans="28:34">
      <c r="AB3946" s="580">
        <f>HLOOKUP("*"&amp;'Output annual'!$AC$2&amp;'Output annual'!$AD$2&amp;"*Zone People Number Of Occupants [](Hourly)",'Eplus results'!$1:$1048576,ROW(),FALSE)</f>
        <v>0</v>
      </c>
      <c r="AC3946" s="580">
        <f>HLOOKUP("*"&amp;'Output annual'!$AC$2&amp;'Output annual'!$AD$2&amp;"*FangerPMV(Hourly)",'Eplus results'!$1:$1048576,ROW(),FALSE)</f>
        <v>0</v>
      </c>
      <c r="AD3946" s="580">
        <f t="shared" si="341"/>
        <v>5</v>
      </c>
      <c r="AE3946" s="580">
        <f t="shared" si="342"/>
        <v>2.5</v>
      </c>
      <c r="AF3946" s="580">
        <f t="shared" si="343"/>
        <v>2.5</v>
      </c>
      <c r="AG3946" s="580">
        <f t="shared" si="344"/>
        <v>0</v>
      </c>
      <c r="AH3946" s="580">
        <f t="shared" si="345"/>
        <v>0</v>
      </c>
    </row>
    <row r="3947" spans="28:34">
      <c r="AB3947" s="580">
        <f>HLOOKUP("*"&amp;'Output annual'!$AC$2&amp;'Output annual'!$AD$2&amp;"*Zone People Number Of Occupants [](Hourly)",'Eplus results'!$1:$1048576,ROW(),FALSE)</f>
        <v>0</v>
      </c>
      <c r="AC3947" s="580">
        <f>HLOOKUP("*"&amp;'Output annual'!$AC$2&amp;'Output annual'!$AD$2&amp;"*FangerPMV(Hourly)",'Eplus results'!$1:$1048576,ROW(),FALSE)</f>
        <v>0</v>
      </c>
      <c r="AD3947" s="580">
        <f t="shared" si="341"/>
        <v>5</v>
      </c>
      <c r="AE3947" s="580">
        <f t="shared" si="342"/>
        <v>2.5</v>
      </c>
      <c r="AF3947" s="580">
        <f t="shared" si="343"/>
        <v>2.5</v>
      </c>
      <c r="AG3947" s="580">
        <f t="shared" si="344"/>
        <v>0</v>
      </c>
      <c r="AH3947" s="580">
        <f t="shared" si="345"/>
        <v>0</v>
      </c>
    </row>
    <row r="3948" spans="28:34">
      <c r="AB3948" s="580">
        <f>HLOOKUP("*"&amp;'Output annual'!$AC$2&amp;'Output annual'!$AD$2&amp;"*Zone People Number Of Occupants [](Hourly)",'Eplus results'!$1:$1048576,ROW(),FALSE)</f>
        <v>0</v>
      </c>
      <c r="AC3948" s="580">
        <f>HLOOKUP("*"&amp;'Output annual'!$AC$2&amp;'Output annual'!$AD$2&amp;"*FangerPMV(Hourly)",'Eplus results'!$1:$1048576,ROW(),FALSE)</f>
        <v>0</v>
      </c>
      <c r="AD3948" s="580">
        <f t="shared" si="341"/>
        <v>5</v>
      </c>
      <c r="AE3948" s="580">
        <f t="shared" si="342"/>
        <v>2.5</v>
      </c>
      <c r="AF3948" s="580">
        <f t="shared" si="343"/>
        <v>2.5</v>
      </c>
      <c r="AG3948" s="580">
        <f t="shared" si="344"/>
        <v>0</v>
      </c>
      <c r="AH3948" s="580">
        <f t="shared" si="345"/>
        <v>0</v>
      </c>
    </row>
    <row r="3949" spans="28:34">
      <c r="AB3949" s="580">
        <f>HLOOKUP("*"&amp;'Output annual'!$AC$2&amp;'Output annual'!$AD$2&amp;"*Zone People Number Of Occupants [](Hourly)",'Eplus results'!$1:$1048576,ROW(),FALSE)</f>
        <v>0</v>
      </c>
      <c r="AC3949" s="580">
        <f>HLOOKUP("*"&amp;'Output annual'!$AC$2&amp;'Output annual'!$AD$2&amp;"*FangerPMV(Hourly)",'Eplus results'!$1:$1048576,ROW(),FALSE)</f>
        <v>0</v>
      </c>
      <c r="AD3949" s="580">
        <f t="shared" si="341"/>
        <v>5</v>
      </c>
      <c r="AE3949" s="580">
        <f t="shared" si="342"/>
        <v>2.5</v>
      </c>
      <c r="AF3949" s="580">
        <f t="shared" si="343"/>
        <v>2.5</v>
      </c>
      <c r="AG3949" s="580">
        <f t="shared" si="344"/>
        <v>0</v>
      </c>
      <c r="AH3949" s="580">
        <f t="shared" si="345"/>
        <v>0</v>
      </c>
    </row>
    <row r="3950" spans="28:34">
      <c r="AB3950" s="580">
        <f>HLOOKUP("*"&amp;'Output annual'!$AC$2&amp;'Output annual'!$AD$2&amp;"*Zone People Number Of Occupants [](Hourly)",'Eplus results'!$1:$1048576,ROW(),FALSE)</f>
        <v>0</v>
      </c>
      <c r="AC3950" s="580">
        <f>HLOOKUP("*"&amp;'Output annual'!$AC$2&amp;'Output annual'!$AD$2&amp;"*FangerPMV(Hourly)",'Eplus results'!$1:$1048576,ROW(),FALSE)</f>
        <v>0</v>
      </c>
      <c r="AD3950" s="580">
        <f t="shared" si="341"/>
        <v>5</v>
      </c>
      <c r="AE3950" s="580">
        <f t="shared" si="342"/>
        <v>2.5</v>
      </c>
      <c r="AF3950" s="580">
        <f t="shared" si="343"/>
        <v>2.5</v>
      </c>
      <c r="AG3950" s="580">
        <f t="shared" si="344"/>
        <v>0</v>
      </c>
      <c r="AH3950" s="580">
        <f t="shared" si="345"/>
        <v>0</v>
      </c>
    </row>
    <row r="3951" spans="28:34">
      <c r="AB3951" s="580">
        <f>HLOOKUP("*"&amp;'Output annual'!$AC$2&amp;'Output annual'!$AD$2&amp;"*Zone People Number Of Occupants [](Hourly)",'Eplus results'!$1:$1048576,ROW(),FALSE)</f>
        <v>0</v>
      </c>
      <c r="AC3951" s="580">
        <f>HLOOKUP("*"&amp;'Output annual'!$AC$2&amp;'Output annual'!$AD$2&amp;"*FangerPMV(Hourly)",'Eplus results'!$1:$1048576,ROW(),FALSE)</f>
        <v>0</v>
      </c>
      <c r="AD3951" s="580">
        <f t="shared" si="341"/>
        <v>5</v>
      </c>
      <c r="AE3951" s="580">
        <f t="shared" si="342"/>
        <v>2.5</v>
      </c>
      <c r="AF3951" s="580">
        <f t="shared" si="343"/>
        <v>2.5</v>
      </c>
      <c r="AG3951" s="580">
        <f t="shared" si="344"/>
        <v>0</v>
      </c>
      <c r="AH3951" s="580">
        <f t="shared" si="345"/>
        <v>0</v>
      </c>
    </row>
    <row r="3952" spans="28:34">
      <c r="AB3952" s="580">
        <f>HLOOKUP("*"&amp;'Output annual'!$AC$2&amp;'Output annual'!$AD$2&amp;"*Zone People Number Of Occupants [](Hourly)",'Eplus results'!$1:$1048576,ROW(),FALSE)</f>
        <v>0</v>
      </c>
      <c r="AC3952" s="580">
        <f>HLOOKUP("*"&amp;'Output annual'!$AC$2&amp;'Output annual'!$AD$2&amp;"*FangerPMV(Hourly)",'Eplus results'!$1:$1048576,ROW(),FALSE)</f>
        <v>0</v>
      </c>
      <c r="AD3952" s="580">
        <f t="shared" si="341"/>
        <v>5</v>
      </c>
      <c r="AE3952" s="580">
        <f t="shared" si="342"/>
        <v>2.5</v>
      </c>
      <c r="AF3952" s="580">
        <f t="shared" si="343"/>
        <v>2.5</v>
      </c>
      <c r="AG3952" s="580">
        <f t="shared" si="344"/>
        <v>0</v>
      </c>
      <c r="AH3952" s="580">
        <f t="shared" si="345"/>
        <v>0</v>
      </c>
    </row>
    <row r="3953" spans="28:34">
      <c r="AB3953" s="580">
        <f>HLOOKUP("*"&amp;'Output annual'!$AC$2&amp;'Output annual'!$AD$2&amp;"*Zone People Number Of Occupants [](Hourly)",'Eplus results'!$1:$1048576,ROW(),FALSE)</f>
        <v>0</v>
      </c>
      <c r="AC3953" s="580">
        <f>HLOOKUP("*"&amp;'Output annual'!$AC$2&amp;'Output annual'!$AD$2&amp;"*FangerPMV(Hourly)",'Eplus results'!$1:$1048576,ROW(),FALSE)</f>
        <v>0</v>
      </c>
      <c r="AD3953" s="580">
        <f t="shared" si="341"/>
        <v>5</v>
      </c>
      <c r="AE3953" s="580">
        <f t="shared" si="342"/>
        <v>2.5</v>
      </c>
      <c r="AF3953" s="580">
        <f t="shared" si="343"/>
        <v>2.5</v>
      </c>
      <c r="AG3953" s="580">
        <f t="shared" si="344"/>
        <v>0</v>
      </c>
      <c r="AH3953" s="580">
        <f t="shared" si="345"/>
        <v>0</v>
      </c>
    </row>
    <row r="3954" spans="28:34">
      <c r="AB3954" s="580">
        <f>HLOOKUP("*"&amp;'Output annual'!$AC$2&amp;'Output annual'!$AD$2&amp;"*Zone People Number Of Occupants [](Hourly)",'Eplus results'!$1:$1048576,ROW(),FALSE)</f>
        <v>0</v>
      </c>
      <c r="AC3954" s="580">
        <f>HLOOKUP("*"&amp;'Output annual'!$AC$2&amp;'Output annual'!$AD$2&amp;"*FangerPMV(Hourly)",'Eplus results'!$1:$1048576,ROW(),FALSE)</f>
        <v>0</v>
      </c>
      <c r="AD3954" s="580">
        <f t="shared" si="341"/>
        <v>5</v>
      </c>
      <c r="AE3954" s="580">
        <f t="shared" si="342"/>
        <v>2.5</v>
      </c>
      <c r="AF3954" s="580">
        <f t="shared" si="343"/>
        <v>2.5</v>
      </c>
      <c r="AG3954" s="580">
        <f t="shared" si="344"/>
        <v>0</v>
      </c>
      <c r="AH3954" s="580">
        <f t="shared" si="345"/>
        <v>0</v>
      </c>
    </row>
    <row r="3955" spans="28:34">
      <c r="AB3955" s="580">
        <f>HLOOKUP("*"&amp;'Output annual'!$AC$2&amp;'Output annual'!$AD$2&amp;"*Zone People Number Of Occupants [](Hourly)",'Eplus results'!$1:$1048576,ROW(),FALSE)</f>
        <v>0</v>
      </c>
      <c r="AC3955" s="580">
        <f>HLOOKUP("*"&amp;'Output annual'!$AC$2&amp;'Output annual'!$AD$2&amp;"*FangerPMV(Hourly)",'Eplus results'!$1:$1048576,ROW(),FALSE)</f>
        <v>0</v>
      </c>
      <c r="AD3955" s="580">
        <f t="shared" si="341"/>
        <v>5</v>
      </c>
      <c r="AE3955" s="580">
        <f t="shared" si="342"/>
        <v>2.5</v>
      </c>
      <c r="AF3955" s="580">
        <f t="shared" si="343"/>
        <v>2.5</v>
      </c>
      <c r="AG3955" s="580">
        <f t="shared" si="344"/>
        <v>0</v>
      </c>
      <c r="AH3955" s="580">
        <f t="shared" si="345"/>
        <v>0</v>
      </c>
    </row>
    <row r="3956" spans="28:34">
      <c r="AB3956" s="580">
        <f>HLOOKUP("*"&amp;'Output annual'!$AC$2&amp;'Output annual'!$AD$2&amp;"*Zone People Number Of Occupants [](Hourly)",'Eplus results'!$1:$1048576,ROW(),FALSE)</f>
        <v>0</v>
      </c>
      <c r="AC3956" s="580">
        <f>HLOOKUP("*"&amp;'Output annual'!$AC$2&amp;'Output annual'!$AD$2&amp;"*FangerPMV(Hourly)",'Eplus results'!$1:$1048576,ROW(),FALSE)</f>
        <v>0</v>
      </c>
      <c r="AD3956" s="580">
        <f t="shared" si="341"/>
        <v>5</v>
      </c>
      <c r="AE3956" s="580">
        <f t="shared" si="342"/>
        <v>2.5</v>
      </c>
      <c r="AF3956" s="580">
        <f t="shared" si="343"/>
        <v>2.5</v>
      </c>
      <c r="AG3956" s="580">
        <f t="shared" si="344"/>
        <v>0</v>
      </c>
      <c r="AH3956" s="580">
        <f t="shared" si="345"/>
        <v>0</v>
      </c>
    </row>
    <row r="3957" spans="28:34">
      <c r="AB3957" s="580">
        <f>HLOOKUP("*"&amp;'Output annual'!$AC$2&amp;'Output annual'!$AD$2&amp;"*Zone People Number Of Occupants [](Hourly)",'Eplus results'!$1:$1048576,ROW(),FALSE)</f>
        <v>0</v>
      </c>
      <c r="AC3957" s="580">
        <f>HLOOKUP("*"&amp;'Output annual'!$AC$2&amp;'Output annual'!$AD$2&amp;"*FangerPMV(Hourly)",'Eplus results'!$1:$1048576,ROW(),FALSE)</f>
        <v>0</v>
      </c>
      <c r="AD3957" s="580">
        <f t="shared" si="341"/>
        <v>5</v>
      </c>
      <c r="AE3957" s="580">
        <f t="shared" si="342"/>
        <v>2.5</v>
      </c>
      <c r="AF3957" s="580">
        <f t="shared" si="343"/>
        <v>2.5</v>
      </c>
      <c r="AG3957" s="580">
        <f t="shared" si="344"/>
        <v>0</v>
      </c>
      <c r="AH3957" s="580">
        <f t="shared" si="345"/>
        <v>0</v>
      </c>
    </row>
    <row r="3958" spans="28:34">
      <c r="AB3958" s="580">
        <f>HLOOKUP("*"&amp;'Output annual'!$AC$2&amp;'Output annual'!$AD$2&amp;"*Zone People Number Of Occupants [](Hourly)",'Eplus results'!$1:$1048576,ROW(),FALSE)</f>
        <v>0</v>
      </c>
      <c r="AC3958" s="580">
        <f>HLOOKUP("*"&amp;'Output annual'!$AC$2&amp;'Output annual'!$AD$2&amp;"*FangerPMV(Hourly)",'Eplus results'!$1:$1048576,ROW(),FALSE)</f>
        <v>0</v>
      </c>
      <c r="AD3958" s="580">
        <f t="shared" si="341"/>
        <v>5</v>
      </c>
      <c r="AE3958" s="580">
        <f t="shared" si="342"/>
        <v>2.5</v>
      </c>
      <c r="AF3958" s="580">
        <f t="shared" si="343"/>
        <v>2.5</v>
      </c>
      <c r="AG3958" s="580">
        <f t="shared" si="344"/>
        <v>0</v>
      </c>
      <c r="AH3958" s="580">
        <f t="shared" si="345"/>
        <v>0</v>
      </c>
    </row>
    <row r="3959" spans="28:34">
      <c r="AB3959" s="580">
        <f>HLOOKUP("*"&amp;'Output annual'!$AC$2&amp;'Output annual'!$AD$2&amp;"*Zone People Number Of Occupants [](Hourly)",'Eplus results'!$1:$1048576,ROW(),FALSE)</f>
        <v>0</v>
      </c>
      <c r="AC3959" s="580">
        <f>HLOOKUP("*"&amp;'Output annual'!$AC$2&amp;'Output annual'!$AD$2&amp;"*FangerPMV(Hourly)",'Eplus results'!$1:$1048576,ROW(),FALSE)</f>
        <v>0</v>
      </c>
      <c r="AD3959" s="580">
        <f t="shared" si="341"/>
        <v>5</v>
      </c>
      <c r="AE3959" s="580">
        <f t="shared" si="342"/>
        <v>2.5</v>
      </c>
      <c r="AF3959" s="580">
        <f t="shared" si="343"/>
        <v>2.5</v>
      </c>
      <c r="AG3959" s="580">
        <f t="shared" si="344"/>
        <v>0</v>
      </c>
      <c r="AH3959" s="580">
        <f t="shared" si="345"/>
        <v>0</v>
      </c>
    </row>
    <row r="3960" spans="28:34">
      <c r="AB3960" s="580">
        <f>HLOOKUP("*"&amp;'Output annual'!$AC$2&amp;'Output annual'!$AD$2&amp;"*Zone People Number Of Occupants [](Hourly)",'Eplus results'!$1:$1048576,ROW(),FALSE)</f>
        <v>0</v>
      </c>
      <c r="AC3960" s="580">
        <f>HLOOKUP("*"&amp;'Output annual'!$AC$2&amp;'Output annual'!$AD$2&amp;"*FangerPMV(Hourly)",'Eplus results'!$1:$1048576,ROW(),FALSE)</f>
        <v>0</v>
      </c>
      <c r="AD3960" s="580">
        <f t="shared" si="341"/>
        <v>5</v>
      </c>
      <c r="AE3960" s="580">
        <f t="shared" si="342"/>
        <v>2.5</v>
      </c>
      <c r="AF3960" s="580">
        <f t="shared" si="343"/>
        <v>2.5</v>
      </c>
      <c r="AG3960" s="580">
        <f t="shared" si="344"/>
        <v>0</v>
      </c>
      <c r="AH3960" s="580">
        <f t="shared" si="345"/>
        <v>0</v>
      </c>
    </row>
    <row r="3961" spans="28:34">
      <c r="AB3961" s="580">
        <f>HLOOKUP("*"&amp;'Output annual'!$AC$2&amp;'Output annual'!$AD$2&amp;"*Zone People Number Of Occupants [](Hourly)",'Eplus results'!$1:$1048576,ROW(),FALSE)</f>
        <v>0</v>
      </c>
      <c r="AC3961" s="580">
        <f>HLOOKUP("*"&amp;'Output annual'!$AC$2&amp;'Output annual'!$AD$2&amp;"*FangerPMV(Hourly)",'Eplus results'!$1:$1048576,ROW(),FALSE)</f>
        <v>0</v>
      </c>
      <c r="AD3961" s="580">
        <f t="shared" si="341"/>
        <v>5</v>
      </c>
      <c r="AE3961" s="580">
        <f t="shared" si="342"/>
        <v>2.5</v>
      </c>
      <c r="AF3961" s="580">
        <f t="shared" si="343"/>
        <v>2.5</v>
      </c>
      <c r="AG3961" s="580">
        <f t="shared" si="344"/>
        <v>0</v>
      </c>
      <c r="AH3961" s="580">
        <f t="shared" si="345"/>
        <v>0</v>
      </c>
    </row>
    <row r="3962" spans="28:34">
      <c r="AB3962" s="580">
        <f>HLOOKUP("*"&amp;'Output annual'!$AC$2&amp;'Output annual'!$AD$2&amp;"*Zone People Number Of Occupants [](Hourly)",'Eplus results'!$1:$1048576,ROW(),FALSE)</f>
        <v>0</v>
      </c>
      <c r="AC3962" s="580">
        <f>HLOOKUP("*"&amp;'Output annual'!$AC$2&amp;'Output annual'!$AD$2&amp;"*FangerPMV(Hourly)",'Eplus results'!$1:$1048576,ROW(),FALSE)</f>
        <v>0</v>
      </c>
      <c r="AD3962" s="580">
        <f t="shared" si="341"/>
        <v>5</v>
      </c>
      <c r="AE3962" s="580">
        <f t="shared" si="342"/>
        <v>2.5</v>
      </c>
      <c r="AF3962" s="580">
        <f t="shared" si="343"/>
        <v>2.5</v>
      </c>
      <c r="AG3962" s="580">
        <f t="shared" si="344"/>
        <v>0</v>
      </c>
      <c r="AH3962" s="580">
        <f t="shared" si="345"/>
        <v>0</v>
      </c>
    </row>
    <row r="3963" spans="28:34">
      <c r="AB3963" s="580">
        <f>HLOOKUP("*"&amp;'Output annual'!$AC$2&amp;'Output annual'!$AD$2&amp;"*Zone People Number Of Occupants [](Hourly)",'Eplus results'!$1:$1048576,ROW(),FALSE)</f>
        <v>0</v>
      </c>
      <c r="AC3963" s="580">
        <f>HLOOKUP("*"&amp;'Output annual'!$AC$2&amp;'Output annual'!$AD$2&amp;"*FangerPMV(Hourly)",'Eplus results'!$1:$1048576,ROW(),FALSE)</f>
        <v>0</v>
      </c>
      <c r="AD3963" s="580">
        <f t="shared" si="341"/>
        <v>5</v>
      </c>
      <c r="AE3963" s="580">
        <f t="shared" si="342"/>
        <v>2.5</v>
      </c>
      <c r="AF3963" s="580">
        <f t="shared" si="343"/>
        <v>2.5</v>
      </c>
      <c r="AG3963" s="580">
        <f t="shared" si="344"/>
        <v>0</v>
      </c>
      <c r="AH3963" s="580">
        <f t="shared" si="345"/>
        <v>0</v>
      </c>
    </row>
    <row r="3964" spans="28:34">
      <c r="AB3964" s="580">
        <f>HLOOKUP("*"&amp;'Output annual'!$AC$2&amp;'Output annual'!$AD$2&amp;"*Zone People Number Of Occupants [](Hourly)",'Eplus results'!$1:$1048576,ROW(),FALSE)</f>
        <v>0</v>
      </c>
      <c r="AC3964" s="580">
        <f>HLOOKUP("*"&amp;'Output annual'!$AC$2&amp;'Output annual'!$AD$2&amp;"*FangerPMV(Hourly)",'Eplus results'!$1:$1048576,ROW(),FALSE)</f>
        <v>0</v>
      </c>
      <c r="AD3964" s="580">
        <f t="shared" si="341"/>
        <v>5</v>
      </c>
      <c r="AE3964" s="580">
        <f t="shared" si="342"/>
        <v>2.5</v>
      </c>
      <c r="AF3964" s="580">
        <f t="shared" si="343"/>
        <v>2.5</v>
      </c>
      <c r="AG3964" s="580">
        <f t="shared" si="344"/>
        <v>0</v>
      </c>
      <c r="AH3964" s="580">
        <f t="shared" si="345"/>
        <v>0</v>
      </c>
    </row>
    <row r="3965" spans="28:34">
      <c r="AB3965" s="580">
        <f>HLOOKUP("*"&amp;'Output annual'!$AC$2&amp;'Output annual'!$AD$2&amp;"*Zone People Number Of Occupants [](Hourly)",'Eplus results'!$1:$1048576,ROW(),FALSE)</f>
        <v>0</v>
      </c>
      <c r="AC3965" s="580">
        <f>HLOOKUP("*"&amp;'Output annual'!$AC$2&amp;'Output annual'!$AD$2&amp;"*FangerPMV(Hourly)",'Eplus results'!$1:$1048576,ROW(),FALSE)</f>
        <v>0</v>
      </c>
      <c r="AD3965" s="580">
        <f t="shared" si="341"/>
        <v>5</v>
      </c>
      <c r="AE3965" s="580">
        <f t="shared" si="342"/>
        <v>2.5</v>
      </c>
      <c r="AF3965" s="580">
        <f t="shared" si="343"/>
        <v>2.5</v>
      </c>
      <c r="AG3965" s="580">
        <f t="shared" si="344"/>
        <v>0</v>
      </c>
      <c r="AH3965" s="580">
        <f t="shared" si="345"/>
        <v>0</v>
      </c>
    </row>
    <row r="3966" spans="28:34">
      <c r="AB3966" s="580">
        <f>HLOOKUP("*"&amp;'Output annual'!$AC$2&amp;'Output annual'!$AD$2&amp;"*Zone People Number Of Occupants [](Hourly)",'Eplus results'!$1:$1048576,ROW(),FALSE)</f>
        <v>0</v>
      </c>
      <c r="AC3966" s="580">
        <f>HLOOKUP("*"&amp;'Output annual'!$AC$2&amp;'Output annual'!$AD$2&amp;"*FangerPMV(Hourly)",'Eplus results'!$1:$1048576,ROW(),FALSE)</f>
        <v>0</v>
      </c>
      <c r="AD3966" s="580">
        <f t="shared" si="341"/>
        <v>5</v>
      </c>
      <c r="AE3966" s="580">
        <f t="shared" si="342"/>
        <v>2.5</v>
      </c>
      <c r="AF3966" s="580">
        <f t="shared" si="343"/>
        <v>2.5</v>
      </c>
      <c r="AG3966" s="580">
        <f t="shared" si="344"/>
        <v>0</v>
      </c>
      <c r="AH3966" s="580">
        <f t="shared" si="345"/>
        <v>0</v>
      </c>
    </row>
    <row r="3967" spans="28:34">
      <c r="AB3967" s="580">
        <f>HLOOKUP("*"&amp;'Output annual'!$AC$2&amp;'Output annual'!$AD$2&amp;"*Zone People Number Of Occupants [](Hourly)",'Eplus results'!$1:$1048576,ROW(),FALSE)</f>
        <v>0</v>
      </c>
      <c r="AC3967" s="580">
        <f>HLOOKUP("*"&amp;'Output annual'!$AC$2&amp;'Output annual'!$AD$2&amp;"*FangerPMV(Hourly)",'Eplus results'!$1:$1048576,ROW(),FALSE)</f>
        <v>0</v>
      </c>
      <c r="AD3967" s="580">
        <f t="shared" si="341"/>
        <v>5</v>
      </c>
      <c r="AE3967" s="580">
        <f t="shared" si="342"/>
        <v>2.5</v>
      </c>
      <c r="AF3967" s="580">
        <f t="shared" si="343"/>
        <v>2.5</v>
      </c>
      <c r="AG3967" s="580">
        <f t="shared" si="344"/>
        <v>0</v>
      </c>
      <c r="AH3967" s="580">
        <f t="shared" si="345"/>
        <v>0</v>
      </c>
    </row>
    <row r="3968" spans="28:34">
      <c r="AB3968" s="580">
        <f>HLOOKUP("*"&amp;'Output annual'!$AC$2&amp;'Output annual'!$AD$2&amp;"*Zone People Number Of Occupants [](Hourly)",'Eplus results'!$1:$1048576,ROW(),FALSE)</f>
        <v>0</v>
      </c>
      <c r="AC3968" s="580">
        <f>HLOOKUP("*"&amp;'Output annual'!$AC$2&amp;'Output annual'!$AD$2&amp;"*FangerPMV(Hourly)",'Eplus results'!$1:$1048576,ROW(),FALSE)</f>
        <v>0</v>
      </c>
      <c r="AD3968" s="580">
        <f t="shared" si="341"/>
        <v>5</v>
      </c>
      <c r="AE3968" s="580">
        <f t="shared" si="342"/>
        <v>2.5</v>
      </c>
      <c r="AF3968" s="580">
        <f t="shared" si="343"/>
        <v>2.5</v>
      </c>
      <c r="AG3968" s="580">
        <f t="shared" si="344"/>
        <v>0</v>
      </c>
      <c r="AH3968" s="580">
        <f t="shared" si="345"/>
        <v>0</v>
      </c>
    </row>
    <row r="3969" spans="28:34">
      <c r="AB3969" s="580">
        <f>HLOOKUP("*"&amp;'Output annual'!$AC$2&amp;'Output annual'!$AD$2&amp;"*Zone People Number Of Occupants [](Hourly)",'Eplus results'!$1:$1048576,ROW(),FALSE)</f>
        <v>0</v>
      </c>
      <c r="AC3969" s="580">
        <f>HLOOKUP("*"&amp;'Output annual'!$AC$2&amp;'Output annual'!$AD$2&amp;"*FangerPMV(Hourly)",'Eplus results'!$1:$1048576,ROW(),FALSE)</f>
        <v>0</v>
      </c>
      <c r="AD3969" s="580">
        <f t="shared" si="341"/>
        <v>5</v>
      </c>
      <c r="AE3969" s="580">
        <f t="shared" si="342"/>
        <v>2.5</v>
      </c>
      <c r="AF3969" s="580">
        <f t="shared" si="343"/>
        <v>2.5</v>
      </c>
      <c r="AG3969" s="580">
        <f t="shared" si="344"/>
        <v>0</v>
      </c>
      <c r="AH3969" s="580">
        <f t="shared" si="345"/>
        <v>0</v>
      </c>
    </row>
    <row r="3970" spans="28:34">
      <c r="AB3970" s="580">
        <f>HLOOKUP("*"&amp;'Output annual'!$AC$2&amp;'Output annual'!$AD$2&amp;"*Zone People Number Of Occupants [](Hourly)",'Eplus results'!$1:$1048576,ROW(),FALSE)</f>
        <v>0</v>
      </c>
      <c r="AC3970" s="580">
        <f>HLOOKUP("*"&amp;'Output annual'!$AC$2&amp;'Output annual'!$AD$2&amp;"*FangerPMV(Hourly)",'Eplus results'!$1:$1048576,ROW(),FALSE)</f>
        <v>0</v>
      </c>
      <c r="AD3970" s="580">
        <f t="shared" si="341"/>
        <v>5</v>
      </c>
      <c r="AE3970" s="580">
        <f t="shared" si="342"/>
        <v>2.5</v>
      </c>
      <c r="AF3970" s="580">
        <f t="shared" si="343"/>
        <v>2.5</v>
      </c>
      <c r="AG3970" s="580">
        <f t="shared" si="344"/>
        <v>0</v>
      </c>
      <c r="AH3970" s="580">
        <f t="shared" si="345"/>
        <v>0</v>
      </c>
    </row>
    <row r="3971" spans="28:34">
      <c r="AB3971" s="580">
        <f>HLOOKUP("*"&amp;'Output annual'!$AC$2&amp;'Output annual'!$AD$2&amp;"*Zone People Number Of Occupants [](Hourly)",'Eplus results'!$1:$1048576,ROW(),FALSE)</f>
        <v>0</v>
      </c>
      <c r="AC3971" s="580">
        <f>HLOOKUP("*"&amp;'Output annual'!$AC$2&amp;'Output annual'!$AD$2&amp;"*FangerPMV(Hourly)",'Eplus results'!$1:$1048576,ROW(),FALSE)</f>
        <v>0</v>
      </c>
      <c r="AD3971" s="580">
        <f t="shared" ref="AD3971:AD4034" si="346">100-95*EXP(-0.03353*AC3971^4-0.2179*AC3971^2)</f>
        <v>5</v>
      </c>
      <c r="AE3971" s="580">
        <f t="shared" ref="AE3971:AE4034" si="347">AD3971*(1/(1+EXP(-6.3*$AC3971)))</f>
        <v>2.5</v>
      </c>
      <c r="AF3971" s="580">
        <f t="shared" ref="AF3971:AF4034" si="348">(AD3971-AE3971)</f>
        <v>2.5</v>
      </c>
      <c r="AG3971" s="580">
        <f t="shared" ref="AG3971:AG4034" si="349">AE3971*AB3971</f>
        <v>0</v>
      </c>
      <c r="AH3971" s="580">
        <f t="shared" ref="AH3971:AH4034" si="350">AF3971*AB3971</f>
        <v>0</v>
      </c>
    </row>
    <row r="3972" spans="28:34">
      <c r="AB3972" s="580">
        <f>HLOOKUP("*"&amp;'Output annual'!$AC$2&amp;'Output annual'!$AD$2&amp;"*Zone People Number Of Occupants [](Hourly)",'Eplus results'!$1:$1048576,ROW(),FALSE)</f>
        <v>0</v>
      </c>
      <c r="AC3972" s="580">
        <f>HLOOKUP("*"&amp;'Output annual'!$AC$2&amp;'Output annual'!$AD$2&amp;"*FangerPMV(Hourly)",'Eplus results'!$1:$1048576,ROW(),FALSE)</f>
        <v>0</v>
      </c>
      <c r="AD3972" s="580">
        <f t="shared" si="346"/>
        <v>5</v>
      </c>
      <c r="AE3972" s="580">
        <f t="shared" si="347"/>
        <v>2.5</v>
      </c>
      <c r="AF3972" s="580">
        <f t="shared" si="348"/>
        <v>2.5</v>
      </c>
      <c r="AG3972" s="580">
        <f t="shared" si="349"/>
        <v>0</v>
      </c>
      <c r="AH3972" s="580">
        <f t="shared" si="350"/>
        <v>0</v>
      </c>
    </row>
    <row r="3973" spans="28:34">
      <c r="AB3973" s="580">
        <f>HLOOKUP("*"&amp;'Output annual'!$AC$2&amp;'Output annual'!$AD$2&amp;"*Zone People Number Of Occupants [](Hourly)",'Eplus results'!$1:$1048576,ROW(),FALSE)</f>
        <v>0</v>
      </c>
      <c r="AC3973" s="580">
        <f>HLOOKUP("*"&amp;'Output annual'!$AC$2&amp;'Output annual'!$AD$2&amp;"*FangerPMV(Hourly)",'Eplus results'!$1:$1048576,ROW(),FALSE)</f>
        <v>0</v>
      </c>
      <c r="AD3973" s="580">
        <f t="shared" si="346"/>
        <v>5</v>
      </c>
      <c r="AE3973" s="580">
        <f t="shared" si="347"/>
        <v>2.5</v>
      </c>
      <c r="AF3973" s="580">
        <f t="shared" si="348"/>
        <v>2.5</v>
      </c>
      <c r="AG3973" s="580">
        <f t="shared" si="349"/>
        <v>0</v>
      </c>
      <c r="AH3973" s="580">
        <f t="shared" si="350"/>
        <v>0</v>
      </c>
    </row>
    <row r="3974" spans="28:34">
      <c r="AB3974" s="580">
        <f>HLOOKUP("*"&amp;'Output annual'!$AC$2&amp;'Output annual'!$AD$2&amp;"*Zone People Number Of Occupants [](Hourly)",'Eplus results'!$1:$1048576,ROW(),FALSE)</f>
        <v>0</v>
      </c>
      <c r="AC3974" s="580">
        <f>HLOOKUP("*"&amp;'Output annual'!$AC$2&amp;'Output annual'!$AD$2&amp;"*FangerPMV(Hourly)",'Eplus results'!$1:$1048576,ROW(),FALSE)</f>
        <v>0</v>
      </c>
      <c r="AD3974" s="580">
        <f t="shared" si="346"/>
        <v>5</v>
      </c>
      <c r="AE3974" s="580">
        <f t="shared" si="347"/>
        <v>2.5</v>
      </c>
      <c r="AF3974" s="580">
        <f t="shared" si="348"/>
        <v>2.5</v>
      </c>
      <c r="AG3974" s="580">
        <f t="shared" si="349"/>
        <v>0</v>
      </c>
      <c r="AH3974" s="580">
        <f t="shared" si="350"/>
        <v>0</v>
      </c>
    </row>
    <row r="3975" spans="28:34">
      <c r="AB3975" s="580">
        <f>HLOOKUP("*"&amp;'Output annual'!$AC$2&amp;'Output annual'!$AD$2&amp;"*Zone People Number Of Occupants [](Hourly)",'Eplus results'!$1:$1048576,ROW(),FALSE)</f>
        <v>0</v>
      </c>
      <c r="AC3975" s="580">
        <f>HLOOKUP("*"&amp;'Output annual'!$AC$2&amp;'Output annual'!$AD$2&amp;"*FangerPMV(Hourly)",'Eplus results'!$1:$1048576,ROW(),FALSE)</f>
        <v>0</v>
      </c>
      <c r="AD3975" s="580">
        <f t="shared" si="346"/>
        <v>5</v>
      </c>
      <c r="AE3975" s="580">
        <f t="shared" si="347"/>
        <v>2.5</v>
      </c>
      <c r="AF3975" s="580">
        <f t="shared" si="348"/>
        <v>2.5</v>
      </c>
      <c r="AG3975" s="580">
        <f t="shared" si="349"/>
        <v>0</v>
      </c>
      <c r="AH3975" s="580">
        <f t="shared" si="350"/>
        <v>0</v>
      </c>
    </row>
    <row r="3976" spans="28:34">
      <c r="AB3976" s="580">
        <f>HLOOKUP("*"&amp;'Output annual'!$AC$2&amp;'Output annual'!$AD$2&amp;"*Zone People Number Of Occupants [](Hourly)",'Eplus results'!$1:$1048576,ROW(),FALSE)</f>
        <v>0</v>
      </c>
      <c r="AC3976" s="580">
        <f>HLOOKUP("*"&amp;'Output annual'!$AC$2&amp;'Output annual'!$AD$2&amp;"*FangerPMV(Hourly)",'Eplus results'!$1:$1048576,ROW(),FALSE)</f>
        <v>0</v>
      </c>
      <c r="AD3976" s="580">
        <f t="shared" si="346"/>
        <v>5</v>
      </c>
      <c r="AE3976" s="580">
        <f t="shared" si="347"/>
        <v>2.5</v>
      </c>
      <c r="AF3976" s="580">
        <f t="shared" si="348"/>
        <v>2.5</v>
      </c>
      <c r="AG3976" s="580">
        <f t="shared" si="349"/>
        <v>0</v>
      </c>
      <c r="AH3976" s="580">
        <f t="shared" si="350"/>
        <v>0</v>
      </c>
    </row>
    <row r="3977" spans="28:34">
      <c r="AB3977" s="580">
        <f>HLOOKUP("*"&amp;'Output annual'!$AC$2&amp;'Output annual'!$AD$2&amp;"*Zone People Number Of Occupants [](Hourly)",'Eplus results'!$1:$1048576,ROW(),FALSE)</f>
        <v>0</v>
      </c>
      <c r="AC3977" s="580">
        <f>HLOOKUP("*"&amp;'Output annual'!$AC$2&amp;'Output annual'!$AD$2&amp;"*FangerPMV(Hourly)",'Eplus results'!$1:$1048576,ROW(),FALSE)</f>
        <v>0</v>
      </c>
      <c r="AD3977" s="580">
        <f t="shared" si="346"/>
        <v>5</v>
      </c>
      <c r="AE3977" s="580">
        <f t="shared" si="347"/>
        <v>2.5</v>
      </c>
      <c r="AF3977" s="580">
        <f t="shared" si="348"/>
        <v>2.5</v>
      </c>
      <c r="AG3977" s="580">
        <f t="shared" si="349"/>
        <v>0</v>
      </c>
      <c r="AH3977" s="580">
        <f t="shared" si="350"/>
        <v>0</v>
      </c>
    </row>
    <row r="3978" spans="28:34">
      <c r="AB3978" s="580">
        <f>HLOOKUP("*"&amp;'Output annual'!$AC$2&amp;'Output annual'!$AD$2&amp;"*Zone People Number Of Occupants [](Hourly)",'Eplus results'!$1:$1048576,ROW(),FALSE)</f>
        <v>0</v>
      </c>
      <c r="AC3978" s="580">
        <f>HLOOKUP("*"&amp;'Output annual'!$AC$2&amp;'Output annual'!$AD$2&amp;"*FangerPMV(Hourly)",'Eplus results'!$1:$1048576,ROW(),FALSE)</f>
        <v>0</v>
      </c>
      <c r="AD3978" s="580">
        <f t="shared" si="346"/>
        <v>5</v>
      </c>
      <c r="AE3978" s="580">
        <f t="shared" si="347"/>
        <v>2.5</v>
      </c>
      <c r="AF3978" s="580">
        <f t="shared" si="348"/>
        <v>2.5</v>
      </c>
      <c r="AG3978" s="580">
        <f t="shared" si="349"/>
        <v>0</v>
      </c>
      <c r="AH3978" s="580">
        <f t="shared" si="350"/>
        <v>0</v>
      </c>
    </row>
    <row r="3979" spans="28:34">
      <c r="AB3979" s="580">
        <f>HLOOKUP("*"&amp;'Output annual'!$AC$2&amp;'Output annual'!$AD$2&amp;"*Zone People Number Of Occupants [](Hourly)",'Eplus results'!$1:$1048576,ROW(),FALSE)</f>
        <v>0</v>
      </c>
      <c r="AC3979" s="580">
        <f>HLOOKUP("*"&amp;'Output annual'!$AC$2&amp;'Output annual'!$AD$2&amp;"*FangerPMV(Hourly)",'Eplus results'!$1:$1048576,ROW(),FALSE)</f>
        <v>0</v>
      </c>
      <c r="AD3979" s="580">
        <f t="shared" si="346"/>
        <v>5</v>
      </c>
      <c r="AE3979" s="580">
        <f t="shared" si="347"/>
        <v>2.5</v>
      </c>
      <c r="AF3979" s="580">
        <f t="shared" si="348"/>
        <v>2.5</v>
      </c>
      <c r="AG3979" s="580">
        <f t="shared" si="349"/>
        <v>0</v>
      </c>
      <c r="AH3979" s="580">
        <f t="shared" si="350"/>
        <v>0</v>
      </c>
    </row>
    <row r="3980" spans="28:34">
      <c r="AB3980" s="580">
        <f>HLOOKUP("*"&amp;'Output annual'!$AC$2&amp;'Output annual'!$AD$2&amp;"*Zone People Number Of Occupants [](Hourly)",'Eplus results'!$1:$1048576,ROW(),FALSE)</f>
        <v>0</v>
      </c>
      <c r="AC3980" s="580">
        <f>HLOOKUP("*"&amp;'Output annual'!$AC$2&amp;'Output annual'!$AD$2&amp;"*FangerPMV(Hourly)",'Eplus results'!$1:$1048576,ROW(),FALSE)</f>
        <v>0</v>
      </c>
      <c r="AD3980" s="580">
        <f t="shared" si="346"/>
        <v>5</v>
      </c>
      <c r="AE3980" s="580">
        <f t="shared" si="347"/>
        <v>2.5</v>
      </c>
      <c r="AF3980" s="580">
        <f t="shared" si="348"/>
        <v>2.5</v>
      </c>
      <c r="AG3980" s="580">
        <f t="shared" si="349"/>
        <v>0</v>
      </c>
      <c r="AH3980" s="580">
        <f t="shared" si="350"/>
        <v>0</v>
      </c>
    </row>
    <row r="3981" spans="28:34">
      <c r="AB3981" s="580">
        <f>HLOOKUP("*"&amp;'Output annual'!$AC$2&amp;'Output annual'!$AD$2&amp;"*Zone People Number Of Occupants [](Hourly)",'Eplus results'!$1:$1048576,ROW(),FALSE)</f>
        <v>0</v>
      </c>
      <c r="AC3981" s="580">
        <f>HLOOKUP("*"&amp;'Output annual'!$AC$2&amp;'Output annual'!$AD$2&amp;"*FangerPMV(Hourly)",'Eplus results'!$1:$1048576,ROW(),FALSE)</f>
        <v>0</v>
      </c>
      <c r="AD3981" s="580">
        <f t="shared" si="346"/>
        <v>5</v>
      </c>
      <c r="AE3981" s="580">
        <f t="shared" si="347"/>
        <v>2.5</v>
      </c>
      <c r="AF3981" s="580">
        <f t="shared" si="348"/>
        <v>2.5</v>
      </c>
      <c r="AG3981" s="580">
        <f t="shared" si="349"/>
        <v>0</v>
      </c>
      <c r="AH3981" s="580">
        <f t="shared" si="350"/>
        <v>0</v>
      </c>
    </row>
    <row r="3982" spans="28:34">
      <c r="AB3982" s="580">
        <f>HLOOKUP("*"&amp;'Output annual'!$AC$2&amp;'Output annual'!$AD$2&amp;"*Zone People Number Of Occupants [](Hourly)",'Eplus results'!$1:$1048576,ROW(),FALSE)</f>
        <v>0</v>
      </c>
      <c r="AC3982" s="580">
        <f>HLOOKUP("*"&amp;'Output annual'!$AC$2&amp;'Output annual'!$AD$2&amp;"*FangerPMV(Hourly)",'Eplus results'!$1:$1048576,ROW(),FALSE)</f>
        <v>0</v>
      </c>
      <c r="AD3982" s="580">
        <f t="shared" si="346"/>
        <v>5</v>
      </c>
      <c r="AE3982" s="580">
        <f t="shared" si="347"/>
        <v>2.5</v>
      </c>
      <c r="AF3982" s="580">
        <f t="shared" si="348"/>
        <v>2.5</v>
      </c>
      <c r="AG3982" s="580">
        <f t="shared" si="349"/>
        <v>0</v>
      </c>
      <c r="AH3982" s="580">
        <f t="shared" si="350"/>
        <v>0</v>
      </c>
    </row>
    <row r="3983" spans="28:34">
      <c r="AB3983" s="580">
        <f>HLOOKUP("*"&amp;'Output annual'!$AC$2&amp;'Output annual'!$AD$2&amp;"*Zone People Number Of Occupants [](Hourly)",'Eplus results'!$1:$1048576,ROW(),FALSE)</f>
        <v>0</v>
      </c>
      <c r="AC3983" s="580">
        <f>HLOOKUP("*"&amp;'Output annual'!$AC$2&amp;'Output annual'!$AD$2&amp;"*FangerPMV(Hourly)",'Eplus results'!$1:$1048576,ROW(),FALSE)</f>
        <v>0</v>
      </c>
      <c r="AD3983" s="580">
        <f t="shared" si="346"/>
        <v>5</v>
      </c>
      <c r="AE3983" s="580">
        <f t="shared" si="347"/>
        <v>2.5</v>
      </c>
      <c r="AF3983" s="580">
        <f t="shared" si="348"/>
        <v>2.5</v>
      </c>
      <c r="AG3983" s="580">
        <f t="shared" si="349"/>
        <v>0</v>
      </c>
      <c r="AH3983" s="580">
        <f t="shared" si="350"/>
        <v>0</v>
      </c>
    </row>
    <row r="3984" spans="28:34">
      <c r="AB3984" s="580">
        <f>HLOOKUP("*"&amp;'Output annual'!$AC$2&amp;'Output annual'!$AD$2&amp;"*Zone People Number Of Occupants [](Hourly)",'Eplus results'!$1:$1048576,ROW(),FALSE)</f>
        <v>0</v>
      </c>
      <c r="AC3984" s="580">
        <f>HLOOKUP("*"&amp;'Output annual'!$AC$2&amp;'Output annual'!$AD$2&amp;"*FangerPMV(Hourly)",'Eplus results'!$1:$1048576,ROW(),FALSE)</f>
        <v>0</v>
      </c>
      <c r="AD3984" s="580">
        <f t="shared" si="346"/>
        <v>5</v>
      </c>
      <c r="AE3984" s="580">
        <f t="shared" si="347"/>
        <v>2.5</v>
      </c>
      <c r="AF3984" s="580">
        <f t="shared" si="348"/>
        <v>2.5</v>
      </c>
      <c r="AG3984" s="580">
        <f t="shared" si="349"/>
        <v>0</v>
      </c>
      <c r="AH3984" s="580">
        <f t="shared" si="350"/>
        <v>0</v>
      </c>
    </row>
    <row r="3985" spans="28:34">
      <c r="AB3985" s="580">
        <f>HLOOKUP("*"&amp;'Output annual'!$AC$2&amp;'Output annual'!$AD$2&amp;"*Zone People Number Of Occupants [](Hourly)",'Eplus results'!$1:$1048576,ROW(),FALSE)</f>
        <v>0</v>
      </c>
      <c r="AC3985" s="580">
        <f>HLOOKUP("*"&amp;'Output annual'!$AC$2&amp;'Output annual'!$AD$2&amp;"*FangerPMV(Hourly)",'Eplus results'!$1:$1048576,ROW(),FALSE)</f>
        <v>0</v>
      </c>
      <c r="AD3985" s="580">
        <f t="shared" si="346"/>
        <v>5</v>
      </c>
      <c r="AE3985" s="580">
        <f t="shared" si="347"/>
        <v>2.5</v>
      </c>
      <c r="AF3985" s="580">
        <f t="shared" si="348"/>
        <v>2.5</v>
      </c>
      <c r="AG3985" s="580">
        <f t="shared" si="349"/>
        <v>0</v>
      </c>
      <c r="AH3985" s="580">
        <f t="shared" si="350"/>
        <v>0</v>
      </c>
    </row>
    <row r="3986" spans="28:34">
      <c r="AB3986" s="580">
        <f>HLOOKUP("*"&amp;'Output annual'!$AC$2&amp;'Output annual'!$AD$2&amp;"*Zone People Number Of Occupants [](Hourly)",'Eplus results'!$1:$1048576,ROW(),FALSE)</f>
        <v>0</v>
      </c>
      <c r="AC3986" s="580">
        <f>HLOOKUP("*"&amp;'Output annual'!$AC$2&amp;'Output annual'!$AD$2&amp;"*FangerPMV(Hourly)",'Eplus results'!$1:$1048576,ROW(),FALSE)</f>
        <v>0</v>
      </c>
      <c r="AD3986" s="580">
        <f t="shared" si="346"/>
        <v>5</v>
      </c>
      <c r="AE3986" s="580">
        <f t="shared" si="347"/>
        <v>2.5</v>
      </c>
      <c r="AF3986" s="580">
        <f t="shared" si="348"/>
        <v>2.5</v>
      </c>
      <c r="AG3986" s="580">
        <f t="shared" si="349"/>
        <v>0</v>
      </c>
      <c r="AH3986" s="580">
        <f t="shared" si="350"/>
        <v>0</v>
      </c>
    </row>
    <row r="3987" spans="28:34">
      <c r="AB3987" s="580">
        <f>HLOOKUP("*"&amp;'Output annual'!$AC$2&amp;'Output annual'!$AD$2&amp;"*Zone People Number Of Occupants [](Hourly)",'Eplus results'!$1:$1048576,ROW(),FALSE)</f>
        <v>0</v>
      </c>
      <c r="AC3987" s="580">
        <f>HLOOKUP("*"&amp;'Output annual'!$AC$2&amp;'Output annual'!$AD$2&amp;"*FangerPMV(Hourly)",'Eplus results'!$1:$1048576,ROW(),FALSE)</f>
        <v>0</v>
      </c>
      <c r="AD3987" s="580">
        <f t="shared" si="346"/>
        <v>5</v>
      </c>
      <c r="AE3987" s="580">
        <f t="shared" si="347"/>
        <v>2.5</v>
      </c>
      <c r="AF3987" s="580">
        <f t="shared" si="348"/>
        <v>2.5</v>
      </c>
      <c r="AG3987" s="580">
        <f t="shared" si="349"/>
        <v>0</v>
      </c>
      <c r="AH3987" s="580">
        <f t="shared" si="350"/>
        <v>0</v>
      </c>
    </row>
    <row r="3988" spans="28:34">
      <c r="AB3988" s="580">
        <f>HLOOKUP("*"&amp;'Output annual'!$AC$2&amp;'Output annual'!$AD$2&amp;"*Zone People Number Of Occupants [](Hourly)",'Eplus results'!$1:$1048576,ROW(),FALSE)</f>
        <v>0</v>
      </c>
      <c r="AC3988" s="580">
        <f>HLOOKUP("*"&amp;'Output annual'!$AC$2&amp;'Output annual'!$AD$2&amp;"*FangerPMV(Hourly)",'Eplus results'!$1:$1048576,ROW(),FALSE)</f>
        <v>0</v>
      </c>
      <c r="AD3988" s="580">
        <f t="shared" si="346"/>
        <v>5</v>
      </c>
      <c r="AE3988" s="580">
        <f t="shared" si="347"/>
        <v>2.5</v>
      </c>
      <c r="AF3988" s="580">
        <f t="shared" si="348"/>
        <v>2.5</v>
      </c>
      <c r="AG3988" s="580">
        <f t="shared" si="349"/>
        <v>0</v>
      </c>
      <c r="AH3988" s="580">
        <f t="shared" si="350"/>
        <v>0</v>
      </c>
    </row>
    <row r="3989" spans="28:34">
      <c r="AB3989" s="580">
        <f>HLOOKUP("*"&amp;'Output annual'!$AC$2&amp;'Output annual'!$AD$2&amp;"*Zone People Number Of Occupants [](Hourly)",'Eplus results'!$1:$1048576,ROW(),FALSE)</f>
        <v>0</v>
      </c>
      <c r="AC3989" s="580">
        <f>HLOOKUP("*"&amp;'Output annual'!$AC$2&amp;'Output annual'!$AD$2&amp;"*FangerPMV(Hourly)",'Eplus results'!$1:$1048576,ROW(),FALSE)</f>
        <v>0</v>
      </c>
      <c r="AD3989" s="580">
        <f t="shared" si="346"/>
        <v>5</v>
      </c>
      <c r="AE3989" s="580">
        <f t="shared" si="347"/>
        <v>2.5</v>
      </c>
      <c r="AF3989" s="580">
        <f t="shared" si="348"/>
        <v>2.5</v>
      </c>
      <c r="AG3989" s="580">
        <f t="shared" si="349"/>
        <v>0</v>
      </c>
      <c r="AH3989" s="580">
        <f t="shared" si="350"/>
        <v>0</v>
      </c>
    </row>
    <row r="3990" spans="28:34">
      <c r="AB3990" s="580">
        <f>HLOOKUP("*"&amp;'Output annual'!$AC$2&amp;'Output annual'!$AD$2&amp;"*Zone People Number Of Occupants [](Hourly)",'Eplus results'!$1:$1048576,ROW(),FALSE)</f>
        <v>0</v>
      </c>
      <c r="AC3990" s="580">
        <f>HLOOKUP("*"&amp;'Output annual'!$AC$2&amp;'Output annual'!$AD$2&amp;"*FangerPMV(Hourly)",'Eplus results'!$1:$1048576,ROW(),FALSE)</f>
        <v>0</v>
      </c>
      <c r="AD3990" s="580">
        <f t="shared" si="346"/>
        <v>5</v>
      </c>
      <c r="AE3990" s="580">
        <f t="shared" si="347"/>
        <v>2.5</v>
      </c>
      <c r="AF3990" s="580">
        <f t="shared" si="348"/>
        <v>2.5</v>
      </c>
      <c r="AG3990" s="580">
        <f t="shared" si="349"/>
        <v>0</v>
      </c>
      <c r="AH3990" s="580">
        <f t="shared" si="350"/>
        <v>0</v>
      </c>
    </row>
    <row r="3991" spans="28:34">
      <c r="AB3991" s="580">
        <f>HLOOKUP("*"&amp;'Output annual'!$AC$2&amp;'Output annual'!$AD$2&amp;"*Zone People Number Of Occupants [](Hourly)",'Eplus results'!$1:$1048576,ROW(),FALSE)</f>
        <v>0</v>
      </c>
      <c r="AC3991" s="580">
        <f>HLOOKUP("*"&amp;'Output annual'!$AC$2&amp;'Output annual'!$AD$2&amp;"*FangerPMV(Hourly)",'Eplus results'!$1:$1048576,ROW(),FALSE)</f>
        <v>0</v>
      </c>
      <c r="AD3991" s="580">
        <f t="shared" si="346"/>
        <v>5</v>
      </c>
      <c r="AE3991" s="580">
        <f t="shared" si="347"/>
        <v>2.5</v>
      </c>
      <c r="AF3991" s="580">
        <f t="shared" si="348"/>
        <v>2.5</v>
      </c>
      <c r="AG3991" s="580">
        <f t="shared" si="349"/>
        <v>0</v>
      </c>
      <c r="AH3991" s="580">
        <f t="shared" si="350"/>
        <v>0</v>
      </c>
    </row>
    <row r="3992" spans="28:34">
      <c r="AB3992" s="580">
        <f>HLOOKUP("*"&amp;'Output annual'!$AC$2&amp;'Output annual'!$AD$2&amp;"*Zone People Number Of Occupants [](Hourly)",'Eplus results'!$1:$1048576,ROW(),FALSE)</f>
        <v>0</v>
      </c>
      <c r="AC3992" s="580">
        <f>HLOOKUP("*"&amp;'Output annual'!$AC$2&amp;'Output annual'!$AD$2&amp;"*FangerPMV(Hourly)",'Eplus results'!$1:$1048576,ROW(),FALSE)</f>
        <v>0</v>
      </c>
      <c r="AD3992" s="580">
        <f t="shared" si="346"/>
        <v>5</v>
      </c>
      <c r="AE3992" s="580">
        <f t="shared" si="347"/>
        <v>2.5</v>
      </c>
      <c r="AF3992" s="580">
        <f t="shared" si="348"/>
        <v>2.5</v>
      </c>
      <c r="AG3992" s="580">
        <f t="shared" si="349"/>
        <v>0</v>
      </c>
      <c r="AH3992" s="580">
        <f t="shared" si="350"/>
        <v>0</v>
      </c>
    </row>
    <row r="3993" spans="28:34">
      <c r="AB3993" s="580">
        <f>HLOOKUP("*"&amp;'Output annual'!$AC$2&amp;'Output annual'!$AD$2&amp;"*Zone People Number Of Occupants [](Hourly)",'Eplus results'!$1:$1048576,ROW(),FALSE)</f>
        <v>0</v>
      </c>
      <c r="AC3993" s="580">
        <f>HLOOKUP("*"&amp;'Output annual'!$AC$2&amp;'Output annual'!$AD$2&amp;"*FangerPMV(Hourly)",'Eplus results'!$1:$1048576,ROW(),FALSE)</f>
        <v>0</v>
      </c>
      <c r="AD3993" s="580">
        <f t="shared" si="346"/>
        <v>5</v>
      </c>
      <c r="AE3993" s="580">
        <f t="shared" si="347"/>
        <v>2.5</v>
      </c>
      <c r="AF3993" s="580">
        <f t="shared" si="348"/>
        <v>2.5</v>
      </c>
      <c r="AG3993" s="580">
        <f t="shared" si="349"/>
        <v>0</v>
      </c>
      <c r="AH3993" s="580">
        <f t="shared" si="350"/>
        <v>0</v>
      </c>
    </row>
    <row r="3994" spans="28:34">
      <c r="AB3994" s="580">
        <f>HLOOKUP("*"&amp;'Output annual'!$AC$2&amp;'Output annual'!$AD$2&amp;"*Zone People Number Of Occupants [](Hourly)",'Eplus results'!$1:$1048576,ROW(),FALSE)</f>
        <v>0</v>
      </c>
      <c r="AC3994" s="580">
        <f>HLOOKUP("*"&amp;'Output annual'!$AC$2&amp;'Output annual'!$AD$2&amp;"*FangerPMV(Hourly)",'Eplus results'!$1:$1048576,ROW(),FALSE)</f>
        <v>0</v>
      </c>
      <c r="AD3994" s="580">
        <f t="shared" si="346"/>
        <v>5</v>
      </c>
      <c r="AE3994" s="580">
        <f t="shared" si="347"/>
        <v>2.5</v>
      </c>
      <c r="AF3994" s="580">
        <f t="shared" si="348"/>
        <v>2.5</v>
      </c>
      <c r="AG3994" s="580">
        <f t="shared" si="349"/>
        <v>0</v>
      </c>
      <c r="AH3994" s="580">
        <f t="shared" si="350"/>
        <v>0</v>
      </c>
    </row>
    <row r="3995" spans="28:34">
      <c r="AB3995" s="580">
        <f>HLOOKUP("*"&amp;'Output annual'!$AC$2&amp;'Output annual'!$AD$2&amp;"*Zone People Number Of Occupants [](Hourly)",'Eplus results'!$1:$1048576,ROW(),FALSE)</f>
        <v>0</v>
      </c>
      <c r="AC3995" s="580">
        <f>HLOOKUP("*"&amp;'Output annual'!$AC$2&amp;'Output annual'!$AD$2&amp;"*FangerPMV(Hourly)",'Eplus results'!$1:$1048576,ROW(),FALSE)</f>
        <v>0</v>
      </c>
      <c r="AD3995" s="580">
        <f t="shared" si="346"/>
        <v>5</v>
      </c>
      <c r="AE3995" s="580">
        <f t="shared" si="347"/>
        <v>2.5</v>
      </c>
      <c r="AF3995" s="580">
        <f t="shared" si="348"/>
        <v>2.5</v>
      </c>
      <c r="AG3995" s="580">
        <f t="shared" si="349"/>
        <v>0</v>
      </c>
      <c r="AH3995" s="580">
        <f t="shared" si="350"/>
        <v>0</v>
      </c>
    </row>
    <row r="3996" spans="28:34">
      <c r="AB3996" s="580">
        <f>HLOOKUP("*"&amp;'Output annual'!$AC$2&amp;'Output annual'!$AD$2&amp;"*Zone People Number Of Occupants [](Hourly)",'Eplus results'!$1:$1048576,ROW(),FALSE)</f>
        <v>0</v>
      </c>
      <c r="AC3996" s="580">
        <f>HLOOKUP("*"&amp;'Output annual'!$AC$2&amp;'Output annual'!$AD$2&amp;"*FangerPMV(Hourly)",'Eplus results'!$1:$1048576,ROW(),FALSE)</f>
        <v>0</v>
      </c>
      <c r="AD3996" s="580">
        <f t="shared" si="346"/>
        <v>5</v>
      </c>
      <c r="AE3996" s="580">
        <f t="shared" si="347"/>
        <v>2.5</v>
      </c>
      <c r="AF3996" s="580">
        <f t="shared" si="348"/>
        <v>2.5</v>
      </c>
      <c r="AG3996" s="580">
        <f t="shared" si="349"/>
        <v>0</v>
      </c>
      <c r="AH3996" s="580">
        <f t="shared" si="350"/>
        <v>0</v>
      </c>
    </row>
    <row r="3997" spans="28:34">
      <c r="AB3997" s="580">
        <f>HLOOKUP("*"&amp;'Output annual'!$AC$2&amp;'Output annual'!$AD$2&amp;"*Zone People Number Of Occupants [](Hourly)",'Eplus results'!$1:$1048576,ROW(),FALSE)</f>
        <v>0</v>
      </c>
      <c r="AC3997" s="580">
        <f>HLOOKUP("*"&amp;'Output annual'!$AC$2&amp;'Output annual'!$AD$2&amp;"*FangerPMV(Hourly)",'Eplus results'!$1:$1048576,ROW(),FALSE)</f>
        <v>0</v>
      </c>
      <c r="AD3997" s="580">
        <f t="shared" si="346"/>
        <v>5</v>
      </c>
      <c r="AE3997" s="580">
        <f t="shared" si="347"/>
        <v>2.5</v>
      </c>
      <c r="AF3997" s="580">
        <f t="shared" si="348"/>
        <v>2.5</v>
      </c>
      <c r="AG3997" s="580">
        <f t="shared" si="349"/>
        <v>0</v>
      </c>
      <c r="AH3997" s="580">
        <f t="shared" si="350"/>
        <v>0</v>
      </c>
    </row>
    <row r="3998" spans="28:34">
      <c r="AB3998" s="580">
        <f>HLOOKUP("*"&amp;'Output annual'!$AC$2&amp;'Output annual'!$AD$2&amp;"*Zone People Number Of Occupants [](Hourly)",'Eplus results'!$1:$1048576,ROW(),FALSE)</f>
        <v>0</v>
      </c>
      <c r="AC3998" s="580">
        <f>HLOOKUP("*"&amp;'Output annual'!$AC$2&amp;'Output annual'!$AD$2&amp;"*FangerPMV(Hourly)",'Eplus results'!$1:$1048576,ROW(),FALSE)</f>
        <v>0</v>
      </c>
      <c r="AD3998" s="580">
        <f t="shared" si="346"/>
        <v>5</v>
      </c>
      <c r="AE3998" s="580">
        <f t="shared" si="347"/>
        <v>2.5</v>
      </c>
      <c r="AF3998" s="580">
        <f t="shared" si="348"/>
        <v>2.5</v>
      </c>
      <c r="AG3998" s="580">
        <f t="shared" si="349"/>
        <v>0</v>
      </c>
      <c r="AH3998" s="580">
        <f t="shared" si="350"/>
        <v>0</v>
      </c>
    </row>
    <row r="3999" spans="28:34">
      <c r="AB3999" s="580">
        <f>HLOOKUP("*"&amp;'Output annual'!$AC$2&amp;'Output annual'!$AD$2&amp;"*Zone People Number Of Occupants [](Hourly)",'Eplus results'!$1:$1048576,ROW(),FALSE)</f>
        <v>0</v>
      </c>
      <c r="AC3999" s="580">
        <f>HLOOKUP("*"&amp;'Output annual'!$AC$2&amp;'Output annual'!$AD$2&amp;"*FangerPMV(Hourly)",'Eplus results'!$1:$1048576,ROW(),FALSE)</f>
        <v>0</v>
      </c>
      <c r="AD3999" s="580">
        <f t="shared" si="346"/>
        <v>5</v>
      </c>
      <c r="AE3999" s="580">
        <f t="shared" si="347"/>
        <v>2.5</v>
      </c>
      <c r="AF3999" s="580">
        <f t="shared" si="348"/>
        <v>2.5</v>
      </c>
      <c r="AG3999" s="580">
        <f t="shared" si="349"/>
        <v>0</v>
      </c>
      <c r="AH3999" s="580">
        <f t="shared" si="350"/>
        <v>0</v>
      </c>
    </row>
    <row r="4000" spans="28:34">
      <c r="AB4000" s="580">
        <f>HLOOKUP("*"&amp;'Output annual'!$AC$2&amp;'Output annual'!$AD$2&amp;"*Zone People Number Of Occupants [](Hourly)",'Eplus results'!$1:$1048576,ROW(),FALSE)</f>
        <v>0</v>
      </c>
      <c r="AC4000" s="580">
        <f>HLOOKUP("*"&amp;'Output annual'!$AC$2&amp;'Output annual'!$AD$2&amp;"*FangerPMV(Hourly)",'Eplus results'!$1:$1048576,ROW(),FALSE)</f>
        <v>0</v>
      </c>
      <c r="AD4000" s="580">
        <f t="shared" si="346"/>
        <v>5</v>
      </c>
      <c r="AE4000" s="580">
        <f t="shared" si="347"/>
        <v>2.5</v>
      </c>
      <c r="AF4000" s="580">
        <f t="shared" si="348"/>
        <v>2.5</v>
      </c>
      <c r="AG4000" s="580">
        <f t="shared" si="349"/>
        <v>0</v>
      </c>
      <c r="AH4000" s="580">
        <f t="shared" si="350"/>
        <v>0</v>
      </c>
    </row>
    <row r="4001" spans="28:34">
      <c r="AB4001" s="580">
        <f>HLOOKUP("*"&amp;'Output annual'!$AC$2&amp;'Output annual'!$AD$2&amp;"*Zone People Number Of Occupants [](Hourly)",'Eplus results'!$1:$1048576,ROW(),FALSE)</f>
        <v>0</v>
      </c>
      <c r="AC4001" s="580">
        <f>HLOOKUP("*"&amp;'Output annual'!$AC$2&amp;'Output annual'!$AD$2&amp;"*FangerPMV(Hourly)",'Eplus results'!$1:$1048576,ROW(),FALSE)</f>
        <v>0</v>
      </c>
      <c r="AD4001" s="580">
        <f t="shared" si="346"/>
        <v>5</v>
      </c>
      <c r="AE4001" s="580">
        <f t="shared" si="347"/>
        <v>2.5</v>
      </c>
      <c r="AF4001" s="580">
        <f t="shared" si="348"/>
        <v>2.5</v>
      </c>
      <c r="AG4001" s="580">
        <f t="shared" si="349"/>
        <v>0</v>
      </c>
      <c r="AH4001" s="580">
        <f t="shared" si="350"/>
        <v>0</v>
      </c>
    </row>
    <row r="4002" spans="28:34">
      <c r="AB4002" s="580">
        <f>HLOOKUP("*"&amp;'Output annual'!$AC$2&amp;'Output annual'!$AD$2&amp;"*Zone People Number Of Occupants [](Hourly)",'Eplus results'!$1:$1048576,ROW(),FALSE)</f>
        <v>0</v>
      </c>
      <c r="AC4002" s="580">
        <f>HLOOKUP("*"&amp;'Output annual'!$AC$2&amp;'Output annual'!$AD$2&amp;"*FangerPMV(Hourly)",'Eplus results'!$1:$1048576,ROW(),FALSE)</f>
        <v>0</v>
      </c>
      <c r="AD4002" s="580">
        <f t="shared" si="346"/>
        <v>5</v>
      </c>
      <c r="AE4002" s="580">
        <f t="shared" si="347"/>
        <v>2.5</v>
      </c>
      <c r="AF4002" s="580">
        <f t="shared" si="348"/>
        <v>2.5</v>
      </c>
      <c r="AG4002" s="580">
        <f t="shared" si="349"/>
        <v>0</v>
      </c>
      <c r="AH4002" s="580">
        <f t="shared" si="350"/>
        <v>0</v>
      </c>
    </row>
    <row r="4003" spans="28:34">
      <c r="AB4003" s="580">
        <f>HLOOKUP("*"&amp;'Output annual'!$AC$2&amp;'Output annual'!$AD$2&amp;"*Zone People Number Of Occupants [](Hourly)",'Eplus results'!$1:$1048576,ROW(),FALSE)</f>
        <v>0</v>
      </c>
      <c r="AC4003" s="580">
        <f>HLOOKUP("*"&amp;'Output annual'!$AC$2&amp;'Output annual'!$AD$2&amp;"*FangerPMV(Hourly)",'Eplus results'!$1:$1048576,ROW(),FALSE)</f>
        <v>0</v>
      </c>
      <c r="AD4003" s="580">
        <f t="shared" si="346"/>
        <v>5</v>
      </c>
      <c r="AE4003" s="580">
        <f t="shared" si="347"/>
        <v>2.5</v>
      </c>
      <c r="AF4003" s="580">
        <f t="shared" si="348"/>
        <v>2.5</v>
      </c>
      <c r="AG4003" s="580">
        <f t="shared" si="349"/>
        <v>0</v>
      </c>
      <c r="AH4003" s="580">
        <f t="shared" si="350"/>
        <v>0</v>
      </c>
    </row>
    <row r="4004" spans="28:34">
      <c r="AB4004" s="580">
        <f>HLOOKUP("*"&amp;'Output annual'!$AC$2&amp;'Output annual'!$AD$2&amp;"*Zone People Number Of Occupants [](Hourly)",'Eplus results'!$1:$1048576,ROW(),FALSE)</f>
        <v>0</v>
      </c>
      <c r="AC4004" s="580">
        <f>HLOOKUP("*"&amp;'Output annual'!$AC$2&amp;'Output annual'!$AD$2&amp;"*FangerPMV(Hourly)",'Eplus results'!$1:$1048576,ROW(),FALSE)</f>
        <v>0</v>
      </c>
      <c r="AD4004" s="580">
        <f t="shared" si="346"/>
        <v>5</v>
      </c>
      <c r="AE4004" s="580">
        <f t="shared" si="347"/>
        <v>2.5</v>
      </c>
      <c r="AF4004" s="580">
        <f t="shared" si="348"/>
        <v>2.5</v>
      </c>
      <c r="AG4004" s="580">
        <f t="shared" si="349"/>
        <v>0</v>
      </c>
      <c r="AH4004" s="580">
        <f t="shared" si="350"/>
        <v>0</v>
      </c>
    </row>
    <row r="4005" spans="28:34">
      <c r="AB4005" s="580">
        <f>HLOOKUP("*"&amp;'Output annual'!$AC$2&amp;'Output annual'!$AD$2&amp;"*Zone People Number Of Occupants [](Hourly)",'Eplus results'!$1:$1048576,ROW(),FALSE)</f>
        <v>0</v>
      </c>
      <c r="AC4005" s="580">
        <f>HLOOKUP("*"&amp;'Output annual'!$AC$2&amp;'Output annual'!$AD$2&amp;"*FangerPMV(Hourly)",'Eplus results'!$1:$1048576,ROW(),FALSE)</f>
        <v>0</v>
      </c>
      <c r="AD4005" s="580">
        <f t="shared" si="346"/>
        <v>5</v>
      </c>
      <c r="AE4005" s="580">
        <f t="shared" si="347"/>
        <v>2.5</v>
      </c>
      <c r="AF4005" s="580">
        <f t="shared" si="348"/>
        <v>2.5</v>
      </c>
      <c r="AG4005" s="580">
        <f t="shared" si="349"/>
        <v>0</v>
      </c>
      <c r="AH4005" s="580">
        <f t="shared" si="350"/>
        <v>0</v>
      </c>
    </row>
    <row r="4006" spans="28:34">
      <c r="AB4006" s="580">
        <f>HLOOKUP("*"&amp;'Output annual'!$AC$2&amp;'Output annual'!$AD$2&amp;"*Zone People Number Of Occupants [](Hourly)",'Eplus results'!$1:$1048576,ROW(),FALSE)</f>
        <v>0</v>
      </c>
      <c r="AC4006" s="580">
        <f>HLOOKUP("*"&amp;'Output annual'!$AC$2&amp;'Output annual'!$AD$2&amp;"*FangerPMV(Hourly)",'Eplus results'!$1:$1048576,ROW(),FALSE)</f>
        <v>0</v>
      </c>
      <c r="AD4006" s="580">
        <f t="shared" si="346"/>
        <v>5</v>
      </c>
      <c r="AE4006" s="580">
        <f t="shared" si="347"/>
        <v>2.5</v>
      </c>
      <c r="AF4006" s="580">
        <f t="shared" si="348"/>
        <v>2.5</v>
      </c>
      <c r="AG4006" s="580">
        <f t="shared" si="349"/>
        <v>0</v>
      </c>
      <c r="AH4006" s="580">
        <f t="shared" si="350"/>
        <v>0</v>
      </c>
    </row>
    <row r="4007" spans="28:34">
      <c r="AB4007" s="580">
        <f>HLOOKUP("*"&amp;'Output annual'!$AC$2&amp;'Output annual'!$AD$2&amp;"*Zone People Number Of Occupants [](Hourly)",'Eplus results'!$1:$1048576,ROW(),FALSE)</f>
        <v>0</v>
      </c>
      <c r="AC4007" s="580">
        <f>HLOOKUP("*"&amp;'Output annual'!$AC$2&amp;'Output annual'!$AD$2&amp;"*FangerPMV(Hourly)",'Eplus results'!$1:$1048576,ROW(),FALSE)</f>
        <v>0</v>
      </c>
      <c r="AD4007" s="580">
        <f t="shared" si="346"/>
        <v>5</v>
      </c>
      <c r="AE4007" s="580">
        <f t="shared" si="347"/>
        <v>2.5</v>
      </c>
      <c r="AF4007" s="580">
        <f t="shared" si="348"/>
        <v>2.5</v>
      </c>
      <c r="AG4007" s="580">
        <f t="shared" si="349"/>
        <v>0</v>
      </c>
      <c r="AH4007" s="580">
        <f t="shared" si="350"/>
        <v>0</v>
      </c>
    </row>
    <row r="4008" spans="28:34">
      <c r="AB4008" s="580">
        <f>HLOOKUP("*"&amp;'Output annual'!$AC$2&amp;'Output annual'!$AD$2&amp;"*Zone People Number Of Occupants [](Hourly)",'Eplus results'!$1:$1048576,ROW(),FALSE)</f>
        <v>0</v>
      </c>
      <c r="AC4008" s="580">
        <f>HLOOKUP("*"&amp;'Output annual'!$AC$2&amp;'Output annual'!$AD$2&amp;"*FangerPMV(Hourly)",'Eplus results'!$1:$1048576,ROW(),FALSE)</f>
        <v>0</v>
      </c>
      <c r="AD4008" s="580">
        <f t="shared" si="346"/>
        <v>5</v>
      </c>
      <c r="AE4008" s="580">
        <f t="shared" si="347"/>
        <v>2.5</v>
      </c>
      <c r="AF4008" s="580">
        <f t="shared" si="348"/>
        <v>2.5</v>
      </c>
      <c r="AG4008" s="580">
        <f t="shared" si="349"/>
        <v>0</v>
      </c>
      <c r="AH4008" s="580">
        <f t="shared" si="350"/>
        <v>0</v>
      </c>
    </row>
    <row r="4009" spans="28:34">
      <c r="AB4009" s="580">
        <f>HLOOKUP("*"&amp;'Output annual'!$AC$2&amp;'Output annual'!$AD$2&amp;"*Zone People Number Of Occupants [](Hourly)",'Eplus results'!$1:$1048576,ROW(),FALSE)</f>
        <v>0</v>
      </c>
      <c r="AC4009" s="580">
        <f>HLOOKUP("*"&amp;'Output annual'!$AC$2&amp;'Output annual'!$AD$2&amp;"*FangerPMV(Hourly)",'Eplus results'!$1:$1048576,ROW(),FALSE)</f>
        <v>0</v>
      </c>
      <c r="AD4009" s="580">
        <f t="shared" si="346"/>
        <v>5</v>
      </c>
      <c r="AE4009" s="580">
        <f t="shared" si="347"/>
        <v>2.5</v>
      </c>
      <c r="AF4009" s="580">
        <f t="shared" si="348"/>
        <v>2.5</v>
      </c>
      <c r="AG4009" s="580">
        <f t="shared" si="349"/>
        <v>0</v>
      </c>
      <c r="AH4009" s="580">
        <f t="shared" si="350"/>
        <v>0</v>
      </c>
    </row>
    <row r="4010" spans="28:34">
      <c r="AB4010" s="580">
        <f>HLOOKUP("*"&amp;'Output annual'!$AC$2&amp;'Output annual'!$AD$2&amp;"*Zone People Number Of Occupants [](Hourly)",'Eplus results'!$1:$1048576,ROW(),FALSE)</f>
        <v>0</v>
      </c>
      <c r="AC4010" s="580">
        <f>HLOOKUP("*"&amp;'Output annual'!$AC$2&amp;'Output annual'!$AD$2&amp;"*FangerPMV(Hourly)",'Eplus results'!$1:$1048576,ROW(),FALSE)</f>
        <v>0</v>
      </c>
      <c r="AD4010" s="580">
        <f t="shared" si="346"/>
        <v>5</v>
      </c>
      <c r="AE4010" s="580">
        <f t="shared" si="347"/>
        <v>2.5</v>
      </c>
      <c r="AF4010" s="580">
        <f t="shared" si="348"/>
        <v>2.5</v>
      </c>
      <c r="AG4010" s="580">
        <f t="shared" si="349"/>
        <v>0</v>
      </c>
      <c r="AH4010" s="580">
        <f t="shared" si="350"/>
        <v>0</v>
      </c>
    </row>
    <row r="4011" spans="28:34">
      <c r="AB4011" s="580">
        <f>HLOOKUP("*"&amp;'Output annual'!$AC$2&amp;'Output annual'!$AD$2&amp;"*Zone People Number Of Occupants [](Hourly)",'Eplus results'!$1:$1048576,ROW(),FALSE)</f>
        <v>0</v>
      </c>
      <c r="AC4011" s="580">
        <f>HLOOKUP("*"&amp;'Output annual'!$AC$2&amp;'Output annual'!$AD$2&amp;"*FangerPMV(Hourly)",'Eplus results'!$1:$1048576,ROW(),FALSE)</f>
        <v>0</v>
      </c>
      <c r="AD4011" s="580">
        <f t="shared" si="346"/>
        <v>5</v>
      </c>
      <c r="AE4011" s="580">
        <f t="shared" si="347"/>
        <v>2.5</v>
      </c>
      <c r="AF4011" s="580">
        <f t="shared" si="348"/>
        <v>2.5</v>
      </c>
      <c r="AG4011" s="580">
        <f t="shared" si="349"/>
        <v>0</v>
      </c>
      <c r="AH4011" s="580">
        <f t="shared" si="350"/>
        <v>0</v>
      </c>
    </row>
    <row r="4012" spans="28:34">
      <c r="AB4012" s="580">
        <f>HLOOKUP("*"&amp;'Output annual'!$AC$2&amp;'Output annual'!$AD$2&amp;"*Zone People Number Of Occupants [](Hourly)",'Eplus results'!$1:$1048576,ROW(),FALSE)</f>
        <v>0</v>
      </c>
      <c r="AC4012" s="580">
        <f>HLOOKUP("*"&amp;'Output annual'!$AC$2&amp;'Output annual'!$AD$2&amp;"*FangerPMV(Hourly)",'Eplus results'!$1:$1048576,ROW(),FALSE)</f>
        <v>0</v>
      </c>
      <c r="AD4012" s="580">
        <f t="shared" si="346"/>
        <v>5</v>
      </c>
      <c r="AE4012" s="580">
        <f t="shared" si="347"/>
        <v>2.5</v>
      </c>
      <c r="AF4012" s="580">
        <f t="shared" si="348"/>
        <v>2.5</v>
      </c>
      <c r="AG4012" s="580">
        <f t="shared" si="349"/>
        <v>0</v>
      </c>
      <c r="AH4012" s="580">
        <f t="shared" si="350"/>
        <v>0</v>
      </c>
    </row>
    <row r="4013" spans="28:34">
      <c r="AB4013" s="580">
        <f>HLOOKUP("*"&amp;'Output annual'!$AC$2&amp;'Output annual'!$AD$2&amp;"*Zone People Number Of Occupants [](Hourly)",'Eplus results'!$1:$1048576,ROW(),FALSE)</f>
        <v>0</v>
      </c>
      <c r="AC4013" s="580">
        <f>HLOOKUP("*"&amp;'Output annual'!$AC$2&amp;'Output annual'!$AD$2&amp;"*FangerPMV(Hourly)",'Eplus results'!$1:$1048576,ROW(),FALSE)</f>
        <v>0</v>
      </c>
      <c r="AD4013" s="580">
        <f t="shared" si="346"/>
        <v>5</v>
      </c>
      <c r="AE4013" s="580">
        <f t="shared" si="347"/>
        <v>2.5</v>
      </c>
      <c r="AF4013" s="580">
        <f t="shared" si="348"/>
        <v>2.5</v>
      </c>
      <c r="AG4013" s="580">
        <f t="shared" si="349"/>
        <v>0</v>
      </c>
      <c r="AH4013" s="580">
        <f t="shared" si="350"/>
        <v>0</v>
      </c>
    </row>
    <row r="4014" spans="28:34">
      <c r="AB4014" s="580">
        <f>HLOOKUP("*"&amp;'Output annual'!$AC$2&amp;'Output annual'!$AD$2&amp;"*Zone People Number Of Occupants [](Hourly)",'Eplus results'!$1:$1048576,ROW(),FALSE)</f>
        <v>0</v>
      </c>
      <c r="AC4014" s="580">
        <f>HLOOKUP("*"&amp;'Output annual'!$AC$2&amp;'Output annual'!$AD$2&amp;"*FangerPMV(Hourly)",'Eplus results'!$1:$1048576,ROW(),FALSE)</f>
        <v>0</v>
      </c>
      <c r="AD4014" s="580">
        <f t="shared" si="346"/>
        <v>5</v>
      </c>
      <c r="AE4014" s="580">
        <f t="shared" si="347"/>
        <v>2.5</v>
      </c>
      <c r="AF4014" s="580">
        <f t="shared" si="348"/>
        <v>2.5</v>
      </c>
      <c r="AG4014" s="580">
        <f t="shared" si="349"/>
        <v>0</v>
      </c>
      <c r="AH4014" s="580">
        <f t="shared" si="350"/>
        <v>0</v>
      </c>
    </row>
    <row r="4015" spans="28:34">
      <c r="AB4015" s="580">
        <f>HLOOKUP("*"&amp;'Output annual'!$AC$2&amp;'Output annual'!$AD$2&amp;"*Zone People Number Of Occupants [](Hourly)",'Eplus results'!$1:$1048576,ROW(),FALSE)</f>
        <v>0</v>
      </c>
      <c r="AC4015" s="580">
        <f>HLOOKUP("*"&amp;'Output annual'!$AC$2&amp;'Output annual'!$AD$2&amp;"*FangerPMV(Hourly)",'Eplus results'!$1:$1048576,ROW(),FALSE)</f>
        <v>0</v>
      </c>
      <c r="AD4015" s="580">
        <f t="shared" si="346"/>
        <v>5</v>
      </c>
      <c r="AE4015" s="580">
        <f t="shared" si="347"/>
        <v>2.5</v>
      </c>
      <c r="AF4015" s="580">
        <f t="shared" si="348"/>
        <v>2.5</v>
      </c>
      <c r="AG4015" s="580">
        <f t="shared" si="349"/>
        <v>0</v>
      </c>
      <c r="AH4015" s="580">
        <f t="shared" si="350"/>
        <v>0</v>
      </c>
    </row>
    <row r="4016" spans="28:34">
      <c r="AB4016" s="580">
        <f>HLOOKUP("*"&amp;'Output annual'!$AC$2&amp;'Output annual'!$AD$2&amp;"*Zone People Number Of Occupants [](Hourly)",'Eplus results'!$1:$1048576,ROW(),FALSE)</f>
        <v>0</v>
      </c>
      <c r="AC4016" s="580">
        <f>HLOOKUP("*"&amp;'Output annual'!$AC$2&amp;'Output annual'!$AD$2&amp;"*FangerPMV(Hourly)",'Eplus results'!$1:$1048576,ROW(),FALSE)</f>
        <v>0</v>
      </c>
      <c r="AD4016" s="580">
        <f t="shared" si="346"/>
        <v>5</v>
      </c>
      <c r="AE4016" s="580">
        <f t="shared" si="347"/>
        <v>2.5</v>
      </c>
      <c r="AF4016" s="580">
        <f t="shared" si="348"/>
        <v>2.5</v>
      </c>
      <c r="AG4016" s="580">
        <f t="shared" si="349"/>
        <v>0</v>
      </c>
      <c r="AH4016" s="580">
        <f t="shared" si="350"/>
        <v>0</v>
      </c>
    </row>
    <row r="4017" spans="28:34">
      <c r="AB4017" s="580">
        <f>HLOOKUP("*"&amp;'Output annual'!$AC$2&amp;'Output annual'!$AD$2&amp;"*Zone People Number Of Occupants [](Hourly)",'Eplus results'!$1:$1048576,ROW(),FALSE)</f>
        <v>0</v>
      </c>
      <c r="AC4017" s="580">
        <f>HLOOKUP("*"&amp;'Output annual'!$AC$2&amp;'Output annual'!$AD$2&amp;"*FangerPMV(Hourly)",'Eplus results'!$1:$1048576,ROW(),FALSE)</f>
        <v>0</v>
      </c>
      <c r="AD4017" s="580">
        <f t="shared" si="346"/>
        <v>5</v>
      </c>
      <c r="AE4017" s="580">
        <f t="shared" si="347"/>
        <v>2.5</v>
      </c>
      <c r="AF4017" s="580">
        <f t="shared" si="348"/>
        <v>2.5</v>
      </c>
      <c r="AG4017" s="580">
        <f t="shared" si="349"/>
        <v>0</v>
      </c>
      <c r="AH4017" s="580">
        <f t="shared" si="350"/>
        <v>0</v>
      </c>
    </row>
    <row r="4018" spans="28:34">
      <c r="AB4018" s="580">
        <f>HLOOKUP("*"&amp;'Output annual'!$AC$2&amp;'Output annual'!$AD$2&amp;"*Zone People Number Of Occupants [](Hourly)",'Eplus results'!$1:$1048576,ROW(),FALSE)</f>
        <v>0</v>
      </c>
      <c r="AC4018" s="580">
        <f>HLOOKUP("*"&amp;'Output annual'!$AC$2&amp;'Output annual'!$AD$2&amp;"*FangerPMV(Hourly)",'Eplus results'!$1:$1048576,ROW(),FALSE)</f>
        <v>0</v>
      </c>
      <c r="AD4018" s="580">
        <f t="shared" si="346"/>
        <v>5</v>
      </c>
      <c r="AE4018" s="580">
        <f t="shared" si="347"/>
        <v>2.5</v>
      </c>
      <c r="AF4018" s="580">
        <f t="shared" si="348"/>
        <v>2.5</v>
      </c>
      <c r="AG4018" s="580">
        <f t="shared" si="349"/>
        <v>0</v>
      </c>
      <c r="AH4018" s="580">
        <f t="shared" si="350"/>
        <v>0</v>
      </c>
    </row>
    <row r="4019" spans="28:34">
      <c r="AB4019" s="580">
        <f>HLOOKUP("*"&amp;'Output annual'!$AC$2&amp;'Output annual'!$AD$2&amp;"*Zone People Number Of Occupants [](Hourly)",'Eplus results'!$1:$1048576,ROW(),FALSE)</f>
        <v>0</v>
      </c>
      <c r="AC4019" s="580">
        <f>HLOOKUP("*"&amp;'Output annual'!$AC$2&amp;'Output annual'!$AD$2&amp;"*FangerPMV(Hourly)",'Eplus results'!$1:$1048576,ROW(),FALSE)</f>
        <v>0</v>
      </c>
      <c r="AD4019" s="580">
        <f t="shared" si="346"/>
        <v>5</v>
      </c>
      <c r="AE4019" s="580">
        <f t="shared" si="347"/>
        <v>2.5</v>
      </c>
      <c r="AF4019" s="580">
        <f t="shared" si="348"/>
        <v>2.5</v>
      </c>
      <c r="AG4019" s="580">
        <f t="shared" si="349"/>
        <v>0</v>
      </c>
      <c r="AH4019" s="580">
        <f t="shared" si="350"/>
        <v>0</v>
      </c>
    </row>
    <row r="4020" spans="28:34">
      <c r="AB4020" s="580">
        <f>HLOOKUP("*"&amp;'Output annual'!$AC$2&amp;'Output annual'!$AD$2&amp;"*Zone People Number Of Occupants [](Hourly)",'Eplus results'!$1:$1048576,ROW(),FALSE)</f>
        <v>0</v>
      </c>
      <c r="AC4020" s="580">
        <f>HLOOKUP("*"&amp;'Output annual'!$AC$2&amp;'Output annual'!$AD$2&amp;"*FangerPMV(Hourly)",'Eplus results'!$1:$1048576,ROW(),FALSE)</f>
        <v>0</v>
      </c>
      <c r="AD4020" s="580">
        <f t="shared" si="346"/>
        <v>5</v>
      </c>
      <c r="AE4020" s="580">
        <f t="shared" si="347"/>
        <v>2.5</v>
      </c>
      <c r="AF4020" s="580">
        <f t="shared" si="348"/>
        <v>2.5</v>
      </c>
      <c r="AG4020" s="580">
        <f t="shared" si="349"/>
        <v>0</v>
      </c>
      <c r="AH4020" s="580">
        <f t="shared" si="350"/>
        <v>0</v>
      </c>
    </row>
    <row r="4021" spans="28:34">
      <c r="AB4021" s="580">
        <f>HLOOKUP("*"&amp;'Output annual'!$AC$2&amp;'Output annual'!$AD$2&amp;"*Zone People Number Of Occupants [](Hourly)",'Eplus results'!$1:$1048576,ROW(),FALSE)</f>
        <v>0</v>
      </c>
      <c r="AC4021" s="580">
        <f>HLOOKUP("*"&amp;'Output annual'!$AC$2&amp;'Output annual'!$AD$2&amp;"*FangerPMV(Hourly)",'Eplus results'!$1:$1048576,ROW(),FALSE)</f>
        <v>0</v>
      </c>
      <c r="AD4021" s="580">
        <f t="shared" si="346"/>
        <v>5</v>
      </c>
      <c r="AE4021" s="580">
        <f t="shared" si="347"/>
        <v>2.5</v>
      </c>
      <c r="AF4021" s="580">
        <f t="shared" si="348"/>
        <v>2.5</v>
      </c>
      <c r="AG4021" s="580">
        <f t="shared" si="349"/>
        <v>0</v>
      </c>
      <c r="AH4021" s="580">
        <f t="shared" si="350"/>
        <v>0</v>
      </c>
    </row>
    <row r="4022" spans="28:34">
      <c r="AB4022" s="580">
        <f>HLOOKUP("*"&amp;'Output annual'!$AC$2&amp;'Output annual'!$AD$2&amp;"*Zone People Number Of Occupants [](Hourly)",'Eplus results'!$1:$1048576,ROW(),FALSE)</f>
        <v>0</v>
      </c>
      <c r="AC4022" s="580">
        <f>HLOOKUP("*"&amp;'Output annual'!$AC$2&amp;'Output annual'!$AD$2&amp;"*FangerPMV(Hourly)",'Eplus results'!$1:$1048576,ROW(),FALSE)</f>
        <v>0</v>
      </c>
      <c r="AD4022" s="580">
        <f t="shared" si="346"/>
        <v>5</v>
      </c>
      <c r="AE4022" s="580">
        <f t="shared" si="347"/>
        <v>2.5</v>
      </c>
      <c r="AF4022" s="580">
        <f t="shared" si="348"/>
        <v>2.5</v>
      </c>
      <c r="AG4022" s="580">
        <f t="shared" si="349"/>
        <v>0</v>
      </c>
      <c r="AH4022" s="580">
        <f t="shared" si="350"/>
        <v>0</v>
      </c>
    </row>
    <row r="4023" spans="28:34">
      <c r="AB4023" s="580">
        <f>HLOOKUP("*"&amp;'Output annual'!$AC$2&amp;'Output annual'!$AD$2&amp;"*Zone People Number Of Occupants [](Hourly)",'Eplus results'!$1:$1048576,ROW(),FALSE)</f>
        <v>0</v>
      </c>
      <c r="AC4023" s="580">
        <f>HLOOKUP("*"&amp;'Output annual'!$AC$2&amp;'Output annual'!$AD$2&amp;"*FangerPMV(Hourly)",'Eplus results'!$1:$1048576,ROW(),FALSE)</f>
        <v>0</v>
      </c>
      <c r="AD4023" s="580">
        <f t="shared" si="346"/>
        <v>5</v>
      </c>
      <c r="AE4023" s="580">
        <f t="shared" si="347"/>
        <v>2.5</v>
      </c>
      <c r="AF4023" s="580">
        <f t="shared" si="348"/>
        <v>2.5</v>
      </c>
      <c r="AG4023" s="580">
        <f t="shared" si="349"/>
        <v>0</v>
      </c>
      <c r="AH4023" s="580">
        <f t="shared" si="350"/>
        <v>0</v>
      </c>
    </row>
    <row r="4024" spans="28:34">
      <c r="AB4024" s="580">
        <f>HLOOKUP("*"&amp;'Output annual'!$AC$2&amp;'Output annual'!$AD$2&amp;"*Zone People Number Of Occupants [](Hourly)",'Eplus results'!$1:$1048576,ROW(),FALSE)</f>
        <v>0</v>
      </c>
      <c r="AC4024" s="580">
        <f>HLOOKUP("*"&amp;'Output annual'!$AC$2&amp;'Output annual'!$AD$2&amp;"*FangerPMV(Hourly)",'Eplus results'!$1:$1048576,ROW(),FALSE)</f>
        <v>0</v>
      </c>
      <c r="AD4024" s="580">
        <f t="shared" si="346"/>
        <v>5</v>
      </c>
      <c r="AE4024" s="580">
        <f t="shared" si="347"/>
        <v>2.5</v>
      </c>
      <c r="AF4024" s="580">
        <f t="shared" si="348"/>
        <v>2.5</v>
      </c>
      <c r="AG4024" s="580">
        <f t="shared" si="349"/>
        <v>0</v>
      </c>
      <c r="AH4024" s="580">
        <f t="shared" si="350"/>
        <v>0</v>
      </c>
    </row>
    <row r="4025" spans="28:34">
      <c r="AB4025" s="580">
        <f>HLOOKUP("*"&amp;'Output annual'!$AC$2&amp;'Output annual'!$AD$2&amp;"*Zone People Number Of Occupants [](Hourly)",'Eplus results'!$1:$1048576,ROW(),FALSE)</f>
        <v>0</v>
      </c>
      <c r="AC4025" s="580">
        <f>HLOOKUP("*"&amp;'Output annual'!$AC$2&amp;'Output annual'!$AD$2&amp;"*FangerPMV(Hourly)",'Eplus results'!$1:$1048576,ROW(),FALSE)</f>
        <v>0</v>
      </c>
      <c r="AD4025" s="580">
        <f t="shared" si="346"/>
        <v>5</v>
      </c>
      <c r="AE4025" s="580">
        <f t="shared" si="347"/>
        <v>2.5</v>
      </c>
      <c r="AF4025" s="580">
        <f t="shared" si="348"/>
        <v>2.5</v>
      </c>
      <c r="AG4025" s="580">
        <f t="shared" si="349"/>
        <v>0</v>
      </c>
      <c r="AH4025" s="580">
        <f t="shared" si="350"/>
        <v>0</v>
      </c>
    </row>
    <row r="4026" spans="28:34">
      <c r="AB4026" s="580">
        <f>HLOOKUP("*"&amp;'Output annual'!$AC$2&amp;'Output annual'!$AD$2&amp;"*Zone People Number Of Occupants [](Hourly)",'Eplus results'!$1:$1048576,ROW(),FALSE)</f>
        <v>0</v>
      </c>
      <c r="AC4026" s="580">
        <f>HLOOKUP("*"&amp;'Output annual'!$AC$2&amp;'Output annual'!$AD$2&amp;"*FangerPMV(Hourly)",'Eplus results'!$1:$1048576,ROW(),FALSE)</f>
        <v>0</v>
      </c>
      <c r="AD4026" s="580">
        <f t="shared" si="346"/>
        <v>5</v>
      </c>
      <c r="AE4026" s="580">
        <f t="shared" si="347"/>
        <v>2.5</v>
      </c>
      <c r="AF4026" s="580">
        <f t="shared" si="348"/>
        <v>2.5</v>
      </c>
      <c r="AG4026" s="580">
        <f t="shared" si="349"/>
        <v>0</v>
      </c>
      <c r="AH4026" s="580">
        <f t="shared" si="350"/>
        <v>0</v>
      </c>
    </row>
    <row r="4027" spans="28:34">
      <c r="AB4027" s="580">
        <f>HLOOKUP("*"&amp;'Output annual'!$AC$2&amp;'Output annual'!$AD$2&amp;"*Zone People Number Of Occupants [](Hourly)",'Eplus results'!$1:$1048576,ROW(),FALSE)</f>
        <v>0</v>
      </c>
      <c r="AC4027" s="580">
        <f>HLOOKUP("*"&amp;'Output annual'!$AC$2&amp;'Output annual'!$AD$2&amp;"*FangerPMV(Hourly)",'Eplus results'!$1:$1048576,ROW(),FALSE)</f>
        <v>0</v>
      </c>
      <c r="AD4027" s="580">
        <f t="shared" si="346"/>
        <v>5</v>
      </c>
      <c r="AE4027" s="580">
        <f t="shared" si="347"/>
        <v>2.5</v>
      </c>
      <c r="AF4027" s="580">
        <f t="shared" si="348"/>
        <v>2.5</v>
      </c>
      <c r="AG4027" s="580">
        <f t="shared" si="349"/>
        <v>0</v>
      </c>
      <c r="AH4027" s="580">
        <f t="shared" si="350"/>
        <v>0</v>
      </c>
    </row>
    <row r="4028" spans="28:34">
      <c r="AB4028" s="580">
        <f>HLOOKUP("*"&amp;'Output annual'!$AC$2&amp;'Output annual'!$AD$2&amp;"*Zone People Number Of Occupants [](Hourly)",'Eplus results'!$1:$1048576,ROW(),FALSE)</f>
        <v>0</v>
      </c>
      <c r="AC4028" s="580">
        <f>HLOOKUP("*"&amp;'Output annual'!$AC$2&amp;'Output annual'!$AD$2&amp;"*FangerPMV(Hourly)",'Eplus results'!$1:$1048576,ROW(),FALSE)</f>
        <v>0</v>
      </c>
      <c r="AD4028" s="580">
        <f t="shared" si="346"/>
        <v>5</v>
      </c>
      <c r="AE4028" s="580">
        <f t="shared" si="347"/>
        <v>2.5</v>
      </c>
      <c r="AF4028" s="580">
        <f t="shared" si="348"/>
        <v>2.5</v>
      </c>
      <c r="AG4028" s="580">
        <f t="shared" si="349"/>
        <v>0</v>
      </c>
      <c r="AH4028" s="580">
        <f t="shared" si="350"/>
        <v>0</v>
      </c>
    </row>
    <row r="4029" spans="28:34">
      <c r="AB4029" s="580">
        <f>HLOOKUP("*"&amp;'Output annual'!$AC$2&amp;'Output annual'!$AD$2&amp;"*Zone People Number Of Occupants [](Hourly)",'Eplus results'!$1:$1048576,ROW(),FALSE)</f>
        <v>0</v>
      </c>
      <c r="AC4029" s="580">
        <f>HLOOKUP("*"&amp;'Output annual'!$AC$2&amp;'Output annual'!$AD$2&amp;"*FangerPMV(Hourly)",'Eplus results'!$1:$1048576,ROW(),FALSE)</f>
        <v>0</v>
      </c>
      <c r="AD4029" s="580">
        <f t="shared" si="346"/>
        <v>5</v>
      </c>
      <c r="AE4029" s="580">
        <f t="shared" si="347"/>
        <v>2.5</v>
      </c>
      <c r="AF4029" s="580">
        <f t="shared" si="348"/>
        <v>2.5</v>
      </c>
      <c r="AG4029" s="580">
        <f t="shared" si="349"/>
        <v>0</v>
      </c>
      <c r="AH4029" s="580">
        <f t="shared" si="350"/>
        <v>0</v>
      </c>
    </row>
    <row r="4030" spans="28:34">
      <c r="AB4030" s="580">
        <f>HLOOKUP("*"&amp;'Output annual'!$AC$2&amp;'Output annual'!$AD$2&amp;"*Zone People Number Of Occupants [](Hourly)",'Eplus results'!$1:$1048576,ROW(),FALSE)</f>
        <v>0</v>
      </c>
      <c r="AC4030" s="580">
        <f>HLOOKUP("*"&amp;'Output annual'!$AC$2&amp;'Output annual'!$AD$2&amp;"*FangerPMV(Hourly)",'Eplus results'!$1:$1048576,ROW(),FALSE)</f>
        <v>0</v>
      </c>
      <c r="AD4030" s="580">
        <f t="shared" si="346"/>
        <v>5</v>
      </c>
      <c r="AE4030" s="580">
        <f t="shared" si="347"/>
        <v>2.5</v>
      </c>
      <c r="AF4030" s="580">
        <f t="shared" si="348"/>
        <v>2.5</v>
      </c>
      <c r="AG4030" s="580">
        <f t="shared" si="349"/>
        <v>0</v>
      </c>
      <c r="AH4030" s="580">
        <f t="shared" si="350"/>
        <v>0</v>
      </c>
    </row>
    <row r="4031" spans="28:34">
      <c r="AB4031" s="580">
        <f>HLOOKUP("*"&amp;'Output annual'!$AC$2&amp;'Output annual'!$AD$2&amp;"*Zone People Number Of Occupants [](Hourly)",'Eplus results'!$1:$1048576,ROW(),FALSE)</f>
        <v>0</v>
      </c>
      <c r="AC4031" s="580">
        <f>HLOOKUP("*"&amp;'Output annual'!$AC$2&amp;'Output annual'!$AD$2&amp;"*FangerPMV(Hourly)",'Eplus results'!$1:$1048576,ROW(),FALSE)</f>
        <v>0</v>
      </c>
      <c r="AD4031" s="580">
        <f t="shared" si="346"/>
        <v>5</v>
      </c>
      <c r="AE4031" s="580">
        <f t="shared" si="347"/>
        <v>2.5</v>
      </c>
      <c r="AF4031" s="580">
        <f t="shared" si="348"/>
        <v>2.5</v>
      </c>
      <c r="AG4031" s="580">
        <f t="shared" si="349"/>
        <v>0</v>
      </c>
      <c r="AH4031" s="580">
        <f t="shared" si="350"/>
        <v>0</v>
      </c>
    </row>
    <row r="4032" spans="28:34">
      <c r="AB4032" s="580">
        <f>HLOOKUP("*"&amp;'Output annual'!$AC$2&amp;'Output annual'!$AD$2&amp;"*Zone People Number Of Occupants [](Hourly)",'Eplus results'!$1:$1048576,ROW(),FALSE)</f>
        <v>0</v>
      </c>
      <c r="AC4032" s="580">
        <f>HLOOKUP("*"&amp;'Output annual'!$AC$2&amp;'Output annual'!$AD$2&amp;"*FangerPMV(Hourly)",'Eplus results'!$1:$1048576,ROW(),FALSE)</f>
        <v>0</v>
      </c>
      <c r="AD4032" s="580">
        <f t="shared" si="346"/>
        <v>5</v>
      </c>
      <c r="AE4032" s="580">
        <f t="shared" si="347"/>
        <v>2.5</v>
      </c>
      <c r="AF4032" s="580">
        <f t="shared" si="348"/>
        <v>2.5</v>
      </c>
      <c r="AG4032" s="580">
        <f t="shared" si="349"/>
        <v>0</v>
      </c>
      <c r="AH4032" s="580">
        <f t="shared" si="350"/>
        <v>0</v>
      </c>
    </row>
    <row r="4033" spans="28:34">
      <c r="AB4033" s="580">
        <f>HLOOKUP("*"&amp;'Output annual'!$AC$2&amp;'Output annual'!$AD$2&amp;"*Zone People Number Of Occupants [](Hourly)",'Eplus results'!$1:$1048576,ROW(),FALSE)</f>
        <v>0</v>
      </c>
      <c r="AC4033" s="580">
        <f>HLOOKUP("*"&amp;'Output annual'!$AC$2&amp;'Output annual'!$AD$2&amp;"*FangerPMV(Hourly)",'Eplus results'!$1:$1048576,ROW(),FALSE)</f>
        <v>0</v>
      </c>
      <c r="AD4033" s="580">
        <f t="shared" si="346"/>
        <v>5</v>
      </c>
      <c r="AE4033" s="580">
        <f t="shared" si="347"/>
        <v>2.5</v>
      </c>
      <c r="AF4033" s="580">
        <f t="shared" si="348"/>
        <v>2.5</v>
      </c>
      <c r="AG4033" s="580">
        <f t="shared" si="349"/>
        <v>0</v>
      </c>
      <c r="AH4033" s="580">
        <f t="shared" si="350"/>
        <v>0</v>
      </c>
    </row>
    <row r="4034" spans="28:34">
      <c r="AB4034" s="580">
        <f>HLOOKUP("*"&amp;'Output annual'!$AC$2&amp;'Output annual'!$AD$2&amp;"*Zone People Number Of Occupants [](Hourly)",'Eplus results'!$1:$1048576,ROW(),FALSE)</f>
        <v>0</v>
      </c>
      <c r="AC4034" s="580">
        <f>HLOOKUP("*"&amp;'Output annual'!$AC$2&amp;'Output annual'!$AD$2&amp;"*FangerPMV(Hourly)",'Eplus results'!$1:$1048576,ROW(),FALSE)</f>
        <v>0</v>
      </c>
      <c r="AD4034" s="580">
        <f t="shared" si="346"/>
        <v>5</v>
      </c>
      <c r="AE4034" s="580">
        <f t="shared" si="347"/>
        <v>2.5</v>
      </c>
      <c r="AF4034" s="580">
        <f t="shared" si="348"/>
        <v>2.5</v>
      </c>
      <c r="AG4034" s="580">
        <f t="shared" si="349"/>
        <v>0</v>
      </c>
      <c r="AH4034" s="580">
        <f t="shared" si="350"/>
        <v>0</v>
      </c>
    </row>
    <row r="4035" spans="28:34">
      <c r="AB4035" s="580">
        <f>HLOOKUP("*"&amp;'Output annual'!$AC$2&amp;'Output annual'!$AD$2&amp;"*Zone People Number Of Occupants [](Hourly)",'Eplus results'!$1:$1048576,ROW(),FALSE)</f>
        <v>0</v>
      </c>
      <c r="AC4035" s="580">
        <f>HLOOKUP("*"&amp;'Output annual'!$AC$2&amp;'Output annual'!$AD$2&amp;"*FangerPMV(Hourly)",'Eplus results'!$1:$1048576,ROW(),FALSE)</f>
        <v>0</v>
      </c>
      <c r="AD4035" s="580">
        <f t="shared" ref="AD4035:AD4098" si="351">100-95*EXP(-0.03353*AC4035^4-0.2179*AC4035^2)</f>
        <v>5</v>
      </c>
      <c r="AE4035" s="580">
        <f t="shared" ref="AE4035:AE4098" si="352">AD4035*(1/(1+EXP(-6.3*$AC4035)))</f>
        <v>2.5</v>
      </c>
      <c r="AF4035" s="580">
        <f t="shared" ref="AF4035:AF4098" si="353">(AD4035-AE4035)</f>
        <v>2.5</v>
      </c>
      <c r="AG4035" s="580">
        <f t="shared" ref="AG4035:AG4098" si="354">AE4035*AB4035</f>
        <v>0</v>
      </c>
      <c r="AH4035" s="580">
        <f t="shared" ref="AH4035:AH4098" si="355">AF4035*AB4035</f>
        <v>0</v>
      </c>
    </row>
    <row r="4036" spans="28:34">
      <c r="AB4036" s="580">
        <f>HLOOKUP("*"&amp;'Output annual'!$AC$2&amp;'Output annual'!$AD$2&amp;"*Zone People Number Of Occupants [](Hourly)",'Eplus results'!$1:$1048576,ROW(),FALSE)</f>
        <v>0</v>
      </c>
      <c r="AC4036" s="580">
        <f>HLOOKUP("*"&amp;'Output annual'!$AC$2&amp;'Output annual'!$AD$2&amp;"*FangerPMV(Hourly)",'Eplus results'!$1:$1048576,ROW(),FALSE)</f>
        <v>0</v>
      </c>
      <c r="AD4036" s="580">
        <f t="shared" si="351"/>
        <v>5</v>
      </c>
      <c r="AE4036" s="580">
        <f t="shared" si="352"/>
        <v>2.5</v>
      </c>
      <c r="AF4036" s="580">
        <f t="shared" si="353"/>
        <v>2.5</v>
      </c>
      <c r="AG4036" s="580">
        <f t="shared" si="354"/>
        <v>0</v>
      </c>
      <c r="AH4036" s="580">
        <f t="shared" si="355"/>
        <v>0</v>
      </c>
    </row>
    <row r="4037" spans="28:34">
      <c r="AB4037" s="580">
        <f>HLOOKUP("*"&amp;'Output annual'!$AC$2&amp;'Output annual'!$AD$2&amp;"*Zone People Number Of Occupants [](Hourly)",'Eplus results'!$1:$1048576,ROW(),FALSE)</f>
        <v>0</v>
      </c>
      <c r="AC4037" s="580">
        <f>HLOOKUP("*"&amp;'Output annual'!$AC$2&amp;'Output annual'!$AD$2&amp;"*FangerPMV(Hourly)",'Eplus results'!$1:$1048576,ROW(),FALSE)</f>
        <v>0</v>
      </c>
      <c r="AD4037" s="580">
        <f t="shared" si="351"/>
        <v>5</v>
      </c>
      <c r="AE4037" s="580">
        <f t="shared" si="352"/>
        <v>2.5</v>
      </c>
      <c r="AF4037" s="580">
        <f t="shared" si="353"/>
        <v>2.5</v>
      </c>
      <c r="AG4037" s="580">
        <f t="shared" si="354"/>
        <v>0</v>
      </c>
      <c r="AH4037" s="580">
        <f t="shared" si="355"/>
        <v>0</v>
      </c>
    </row>
    <row r="4038" spans="28:34">
      <c r="AB4038" s="580">
        <f>HLOOKUP("*"&amp;'Output annual'!$AC$2&amp;'Output annual'!$AD$2&amp;"*Zone People Number Of Occupants [](Hourly)",'Eplus results'!$1:$1048576,ROW(),FALSE)</f>
        <v>0</v>
      </c>
      <c r="AC4038" s="580">
        <f>HLOOKUP("*"&amp;'Output annual'!$AC$2&amp;'Output annual'!$AD$2&amp;"*FangerPMV(Hourly)",'Eplus results'!$1:$1048576,ROW(),FALSE)</f>
        <v>0</v>
      </c>
      <c r="AD4038" s="580">
        <f t="shared" si="351"/>
        <v>5</v>
      </c>
      <c r="AE4038" s="580">
        <f t="shared" si="352"/>
        <v>2.5</v>
      </c>
      <c r="AF4038" s="580">
        <f t="shared" si="353"/>
        <v>2.5</v>
      </c>
      <c r="AG4038" s="580">
        <f t="shared" si="354"/>
        <v>0</v>
      </c>
      <c r="AH4038" s="580">
        <f t="shared" si="355"/>
        <v>0</v>
      </c>
    </row>
    <row r="4039" spans="28:34">
      <c r="AB4039" s="580">
        <f>HLOOKUP("*"&amp;'Output annual'!$AC$2&amp;'Output annual'!$AD$2&amp;"*Zone People Number Of Occupants [](Hourly)",'Eplus results'!$1:$1048576,ROW(),FALSE)</f>
        <v>0</v>
      </c>
      <c r="AC4039" s="580">
        <f>HLOOKUP("*"&amp;'Output annual'!$AC$2&amp;'Output annual'!$AD$2&amp;"*FangerPMV(Hourly)",'Eplus results'!$1:$1048576,ROW(),FALSE)</f>
        <v>0</v>
      </c>
      <c r="AD4039" s="580">
        <f t="shared" si="351"/>
        <v>5</v>
      </c>
      <c r="AE4039" s="580">
        <f t="shared" si="352"/>
        <v>2.5</v>
      </c>
      <c r="AF4039" s="580">
        <f t="shared" si="353"/>
        <v>2.5</v>
      </c>
      <c r="AG4039" s="580">
        <f t="shared" si="354"/>
        <v>0</v>
      </c>
      <c r="AH4039" s="580">
        <f t="shared" si="355"/>
        <v>0</v>
      </c>
    </row>
    <row r="4040" spans="28:34">
      <c r="AB4040" s="580">
        <f>HLOOKUP("*"&amp;'Output annual'!$AC$2&amp;'Output annual'!$AD$2&amp;"*Zone People Number Of Occupants [](Hourly)",'Eplus results'!$1:$1048576,ROW(),FALSE)</f>
        <v>0</v>
      </c>
      <c r="AC4040" s="580">
        <f>HLOOKUP("*"&amp;'Output annual'!$AC$2&amp;'Output annual'!$AD$2&amp;"*FangerPMV(Hourly)",'Eplus results'!$1:$1048576,ROW(),FALSE)</f>
        <v>0</v>
      </c>
      <c r="AD4040" s="580">
        <f t="shared" si="351"/>
        <v>5</v>
      </c>
      <c r="AE4040" s="580">
        <f t="shared" si="352"/>
        <v>2.5</v>
      </c>
      <c r="AF4040" s="580">
        <f t="shared" si="353"/>
        <v>2.5</v>
      </c>
      <c r="AG4040" s="580">
        <f t="shared" si="354"/>
        <v>0</v>
      </c>
      <c r="AH4040" s="580">
        <f t="shared" si="355"/>
        <v>0</v>
      </c>
    </row>
    <row r="4041" spans="28:34">
      <c r="AB4041" s="580">
        <f>HLOOKUP("*"&amp;'Output annual'!$AC$2&amp;'Output annual'!$AD$2&amp;"*Zone People Number Of Occupants [](Hourly)",'Eplus results'!$1:$1048576,ROW(),FALSE)</f>
        <v>0</v>
      </c>
      <c r="AC4041" s="580">
        <f>HLOOKUP("*"&amp;'Output annual'!$AC$2&amp;'Output annual'!$AD$2&amp;"*FangerPMV(Hourly)",'Eplus results'!$1:$1048576,ROW(),FALSE)</f>
        <v>0</v>
      </c>
      <c r="AD4041" s="580">
        <f t="shared" si="351"/>
        <v>5</v>
      </c>
      <c r="AE4041" s="580">
        <f t="shared" si="352"/>
        <v>2.5</v>
      </c>
      <c r="AF4041" s="580">
        <f t="shared" si="353"/>
        <v>2.5</v>
      </c>
      <c r="AG4041" s="580">
        <f t="shared" si="354"/>
        <v>0</v>
      </c>
      <c r="AH4041" s="580">
        <f t="shared" si="355"/>
        <v>0</v>
      </c>
    </row>
    <row r="4042" spans="28:34">
      <c r="AB4042" s="580">
        <f>HLOOKUP("*"&amp;'Output annual'!$AC$2&amp;'Output annual'!$AD$2&amp;"*Zone People Number Of Occupants [](Hourly)",'Eplus results'!$1:$1048576,ROW(),FALSE)</f>
        <v>0</v>
      </c>
      <c r="AC4042" s="580">
        <f>HLOOKUP("*"&amp;'Output annual'!$AC$2&amp;'Output annual'!$AD$2&amp;"*FangerPMV(Hourly)",'Eplus results'!$1:$1048576,ROW(),FALSE)</f>
        <v>0</v>
      </c>
      <c r="AD4042" s="580">
        <f t="shared" si="351"/>
        <v>5</v>
      </c>
      <c r="AE4042" s="580">
        <f t="shared" si="352"/>
        <v>2.5</v>
      </c>
      <c r="AF4042" s="580">
        <f t="shared" si="353"/>
        <v>2.5</v>
      </c>
      <c r="AG4042" s="580">
        <f t="shared" si="354"/>
        <v>0</v>
      </c>
      <c r="AH4042" s="580">
        <f t="shared" si="355"/>
        <v>0</v>
      </c>
    </row>
    <row r="4043" spans="28:34">
      <c r="AB4043" s="580">
        <f>HLOOKUP("*"&amp;'Output annual'!$AC$2&amp;'Output annual'!$AD$2&amp;"*Zone People Number Of Occupants [](Hourly)",'Eplus results'!$1:$1048576,ROW(),FALSE)</f>
        <v>0</v>
      </c>
      <c r="AC4043" s="580">
        <f>HLOOKUP("*"&amp;'Output annual'!$AC$2&amp;'Output annual'!$AD$2&amp;"*FangerPMV(Hourly)",'Eplus results'!$1:$1048576,ROW(),FALSE)</f>
        <v>0</v>
      </c>
      <c r="AD4043" s="580">
        <f t="shared" si="351"/>
        <v>5</v>
      </c>
      <c r="AE4043" s="580">
        <f t="shared" si="352"/>
        <v>2.5</v>
      </c>
      <c r="AF4043" s="580">
        <f t="shared" si="353"/>
        <v>2.5</v>
      </c>
      <c r="AG4043" s="580">
        <f t="shared" si="354"/>
        <v>0</v>
      </c>
      <c r="AH4043" s="580">
        <f t="shared" si="355"/>
        <v>0</v>
      </c>
    </row>
    <row r="4044" spans="28:34">
      <c r="AB4044" s="580">
        <f>HLOOKUP("*"&amp;'Output annual'!$AC$2&amp;'Output annual'!$AD$2&amp;"*Zone People Number Of Occupants [](Hourly)",'Eplus results'!$1:$1048576,ROW(),FALSE)</f>
        <v>0</v>
      </c>
      <c r="AC4044" s="580">
        <f>HLOOKUP("*"&amp;'Output annual'!$AC$2&amp;'Output annual'!$AD$2&amp;"*FangerPMV(Hourly)",'Eplus results'!$1:$1048576,ROW(),FALSE)</f>
        <v>0</v>
      </c>
      <c r="AD4044" s="580">
        <f t="shared" si="351"/>
        <v>5</v>
      </c>
      <c r="AE4044" s="580">
        <f t="shared" si="352"/>
        <v>2.5</v>
      </c>
      <c r="AF4044" s="580">
        <f t="shared" si="353"/>
        <v>2.5</v>
      </c>
      <c r="AG4044" s="580">
        <f t="shared" si="354"/>
        <v>0</v>
      </c>
      <c r="AH4044" s="580">
        <f t="shared" si="355"/>
        <v>0</v>
      </c>
    </row>
    <row r="4045" spans="28:34">
      <c r="AB4045" s="580">
        <f>HLOOKUP("*"&amp;'Output annual'!$AC$2&amp;'Output annual'!$AD$2&amp;"*Zone People Number Of Occupants [](Hourly)",'Eplus results'!$1:$1048576,ROW(),FALSE)</f>
        <v>0</v>
      </c>
      <c r="AC4045" s="580">
        <f>HLOOKUP("*"&amp;'Output annual'!$AC$2&amp;'Output annual'!$AD$2&amp;"*FangerPMV(Hourly)",'Eplus results'!$1:$1048576,ROW(),FALSE)</f>
        <v>0</v>
      </c>
      <c r="AD4045" s="580">
        <f t="shared" si="351"/>
        <v>5</v>
      </c>
      <c r="AE4045" s="580">
        <f t="shared" si="352"/>
        <v>2.5</v>
      </c>
      <c r="AF4045" s="580">
        <f t="shared" si="353"/>
        <v>2.5</v>
      </c>
      <c r="AG4045" s="580">
        <f t="shared" si="354"/>
        <v>0</v>
      </c>
      <c r="AH4045" s="580">
        <f t="shared" si="355"/>
        <v>0</v>
      </c>
    </row>
    <row r="4046" spans="28:34">
      <c r="AB4046" s="580">
        <f>HLOOKUP("*"&amp;'Output annual'!$AC$2&amp;'Output annual'!$AD$2&amp;"*Zone People Number Of Occupants [](Hourly)",'Eplus results'!$1:$1048576,ROW(),FALSE)</f>
        <v>0</v>
      </c>
      <c r="AC4046" s="580">
        <f>HLOOKUP("*"&amp;'Output annual'!$AC$2&amp;'Output annual'!$AD$2&amp;"*FangerPMV(Hourly)",'Eplus results'!$1:$1048576,ROW(),FALSE)</f>
        <v>0</v>
      </c>
      <c r="AD4046" s="580">
        <f t="shared" si="351"/>
        <v>5</v>
      </c>
      <c r="AE4046" s="580">
        <f t="shared" si="352"/>
        <v>2.5</v>
      </c>
      <c r="AF4046" s="580">
        <f t="shared" si="353"/>
        <v>2.5</v>
      </c>
      <c r="AG4046" s="580">
        <f t="shared" si="354"/>
        <v>0</v>
      </c>
      <c r="AH4046" s="580">
        <f t="shared" si="355"/>
        <v>0</v>
      </c>
    </row>
    <row r="4047" spans="28:34">
      <c r="AB4047" s="580">
        <f>HLOOKUP("*"&amp;'Output annual'!$AC$2&amp;'Output annual'!$AD$2&amp;"*Zone People Number Of Occupants [](Hourly)",'Eplus results'!$1:$1048576,ROW(),FALSE)</f>
        <v>0</v>
      </c>
      <c r="AC4047" s="580">
        <f>HLOOKUP("*"&amp;'Output annual'!$AC$2&amp;'Output annual'!$AD$2&amp;"*FangerPMV(Hourly)",'Eplus results'!$1:$1048576,ROW(),FALSE)</f>
        <v>0</v>
      </c>
      <c r="AD4047" s="580">
        <f t="shared" si="351"/>
        <v>5</v>
      </c>
      <c r="AE4047" s="580">
        <f t="shared" si="352"/>
        <v>2.5</v>
      </c>
      <c r="AF4047" s="580">
        <f t="shared" si="353"/>
        <v>2.5</v>
      </c>
      <c r="AG4047" s="580">
        <f t="shared" si="354"/>
        <v>0</v>
      </c>
      <c r="AH4047" s="580">
        <f t="shared" si="355"/>
        <v>0</v>
      </c>
    </row>
    <row r="4048" spans="28:34">
      <c r="AB4048" s="580">
        <f>HLOOKUP("*"&amp;'Output annual'!$AC$2&amp;'Output annual'!$AD$2&amp;"*Zone People Number Of Occupants [](Hourly)",'Eplus results'!$1:$1048576,ROW(),FALSE)</f>
        <v>0</v>
      </c>
      <c r="AC4048" s="580">
        <f>HLOOKUP("*"&amp;'Output annual'!$AC$2&amp;'Output annual'!$AD$2&amp;"*FangerPMV(Hourly)",'Eplus results'!$1:$1048576,ROW(),FALSE)</f>
        <v>0</v>
      </c>
      <c r="AD4048" s="580">
        <f t="shared" si="351"/>
        <v>5</v>
      </c>
      <c r="AE4048" s="580">
        <f t="shared" si="352"/>
        <v>2.5</v>
      </c>
      <c r="AF4048" s="580">
        <f t="shared" si="353"/>
        <v>2.5</v>
      </c>
      <c r="AG4048" s="580">
        <f t="shared" si="354"/>
        <v>0</v>
      </c>
      <c r="AH4048" s="580">
        <f t="shared" si="355"/>
        <v>0</v>
      </c>
    </row>
    <row r="4049" spans="28:34">
      <c r="AB4049" s="580">
        <f>HLOOKUP("*"&amp;'Output annual'!$AC$2&amp;'Output annual'!$AD$2&amp;"*Zone People Number Of Occupants [](Hourly)",'Eplus results'!$1:$1048576,ROW(),FALSE)</f>
        <v>0</v>
      </c>
      <c r="AC4049" s="580">
        <f>HLOOKUP("*"&amp;'Output annual'!$AC$2&amp;'Output annual'!$AD$2&amp;"*FangerPMV(Hourly)",'Eplus results'!$1:$1048576,ROW(),FALSE)</f>
        <v>0</v>
      </c>
      <c r="AD4049" s="580">
        <f t="shared" si="351"/>
        <v>5</v>
      </c>
      <c r="AE4049" s="580">
        <f t="shared" si="352"/>
        <v>2.5</v>
      </c>
      <c r="AF4049" s="580">
        <f t="shared" si="353"/>
        <v>2.5</v>
      </c>
      <c r="AG4049" s="580">
        <f t="shared" si="354"/>
        <v>0</v>
      </c>
      <c r="AH4049" s="580">
        <f t="shared" si="355"/>
        <v>0</v>
      </c>
    </row>
    <row r="4050" spans="28:34">
      <c r="AB4050" s="580">
        <f>HLOOKUP("*"&amp;'Output annual'!$AC$2&amp;'Output annual'!$AD$2&amp;"*Zone People Number Of Occupants [](Hourly)",'Eplus results'!$1:$1048576,ROW(),FALSE)</f>
        <v>0</v>
      </c>
      <c r="AC4050" s="580">
        <f>HLOOKUP("*"&amp;'Output annual'!$AC$2&amp;'Output annual'!$AD$2&amp;"*FangerPMV(Hourly)",'Eplus results'!$1:$1048576,ROW(),FALSE)</f>
        <v>0</v>
      </c>
      <c r="AD4050" s="580">
        <f t="shared" si="351"/>
        <v>5</v>
      </c>
      <c r="AE4050" s="580">
        <f t="shared" si="352"/>
        <v>2.5</v>
      </c>
      <c r="AF4050" s="580">
        <f t="shared" si="353"/>
        <v>2.5</v>
      </c>
      <c r="AG4050" s="580">
        <f t="shared" si="354"/>
        <v>0</v>
      </c>
      <c r="AH4050" s="580">
        <f t="shared" si="355"/>
        <v>0</v>
      </c>
    </row>
    <row r="4051" spans="28:34">
      <c r="AB4051" s="580">
        <f>HLOOKUP("*"&amp;'Output annual'!$AC$2&amp;'Output annual'!$AD$2&amp;"*Zone People Number Of Occupants [](Hourly)",'Eplus results'!$1:$1048576,ROW(),FALSE)</f>
        <v>0</v>
      </c>
      <c r="AC4051" s="580">
        <f>HLOOKUP("*"&amp;'Output annual'!$AC$2&amp;'Output annual'!$AD$2&amp;"*FangerPMV(Hourly)",'Eplus results'!$1:$1048576,ROW(),FALSE)</f>
        <v>0</v>
      </c>
      <c r="AD4051" s="580">
        <f t="shared" si="351"/>
        <v>5</v>
      </c>
      <c r="AE4051" s="580">
        <f t="shared" si="352"/>
        <v>2.5</v>
      </c>
      <c r="AF4051" s="580">
        <f t="shared" si="353"/>
        <v>2.5</v>
      </c>
      <c r="AG4051" s="580">
        <f t="shared" si="354"/>
        <v>0</v>
      </c>
      <c r="AH4051" s="580">
        <f t="shared" si="355"/>
        <v>0</v>
      </c>
    </row>
    <row r="4052" spans="28:34">
      <c r="AB4052" s="580">
        <f>HLOOKUP("*"&amp;'Output annual'!$AC$2&amp;'Output annual'!$AD$2&amp;"*Zone People Number Of Occupants [](Hourly)",'Eplus results'!$1:$1048576,ROW(),FALSE)</f>
        <v>0</v>
      </c>
      <c r="AC4052" s="580">
        <f>HLOOKUP("*"&amp;'Output annual'!$AC$2&amp;'Output annual'!$AD$2&amp;"*FangerPMV(Hourly)",'Eplus results'!$1:$1048576,ROW(),FALSE)</f>
        <v>0</v>
      </c>
      <c r="AD4052" s="580">
        <f t="shared" si="351"/>
        <v>5</v>
      </c>
      <c r="AE4052" s="580">
        <f t="shared" si="352"/>
        <v>2.5</v>
      </c>
      <c r="AF4052" s="580">
        <f t="shared" si="353"/>
        <v>2.5</v>
      </c>
      <c r="AG4052" s="580">
        <f t="shared" si="354"/>
        <v>0</v>
      </c>
      <c r="AH4052" s="580">
        <f t="shared" si="355"/>
        <v>0</v>
      </c>
    </row>
    <row r="4053" spans="28:34">
      <c r="AB4053" s="580">
        <f>HLOOKUP("*"&amp;'Output annual'!$AC$2&amp;'Output annual'!$AD$2&amp;"*Zone People Number Of Occupants [](Hourly)",'Eplus results'!$1:$1048576,ROW(),FALSE)</f>
        <v>0</v>
      </c>
      <c r="AC4053" s="580">
        <f>HLOOKUP("*"&amp;'Output annual'!$AC$2&amp;'Output annual'!$AD$2&amp;"*FangerPMV(Hourly)",'Eplus results'!$1:$1048576,ROW(),FALSE)</f>
        <v>0</v>
      </c>
      <c r="AD4053" s="580">
        <f t="shared" si="351"/>
        <v>5</v>
      </c>
      <c r="AE4053" s="580">
        <f t="shared" si="352"/>
        <v>2.5</v>
      </c>
      <c r="AF4053" s="580">
        <f t="shared" si="353"/>
        <v>2.5</v>
      </c>
      <c r="AG4053" s="580">
        <f t="shared" si="354"/>
        <v>0</v>
      </c>
      <c r="AH4053" s="580">
        <f t="shared" si="355"/>
        <v>0</v>
      </c>
    </row>
    <row r="4054" spans="28:34">
      <c r="AB4054" s="580">
        <f>HLOOKUP("*"&amp;'Output annual'!$AC$2&amp;'Output annual'!$AD$2&amp;"*Zone People Number Of Occupants [](Hourly)",'Eplus results'!$1:$1048576,ROW(),FALSE)</f>
        <v>0</v>
      </c>
      <c r="AC4054" s="580">
        <f>HLOOKUP("*"&amp;'Output annual'!$AC$2&amp;'Output annual'!$AD$2&amp;"*FangerPMV(Hourly)",'Eplus results'!$1:$1048576,ROW(),FALSE)</f>
        <v>0</v>
      </c>
      <c r="AD4054" s="580">
        <f t="shared" si="351"/>
        <v>5</v>
      </c>
      <c r="AE4054" s="580">
        <f t="shared" si="352"/>
        <v>2.5</v>
      </c>
      <c r="AF4054" s="580">
        <f t="shared" si="353"/>
        <v>2.5</v>
      </c>
      <c r="AG4054" s="580">
        <f t="shared" si="354"/>
        <v>0</v>
      </c>
      <c r="AH4054" s="580">
        <f t="shared" si="355"/>
        <v>0</v>
      </c>
    </row>
    <row r="4055" spans="28:34">
      <c r="AB4055" s="580">
        <f>HLOOKUP("*"&amp;'Output annual'!$AC$2&amp;'Output annual'!$AD$2&amp;"*Zone People Number Of Occupants [](Hourly)",'Eplus results'!$1:$1048576,ROW(),FALSE)</f>
        <v>0</v>
      </c>
      <c r="AC4055" s="580">
        <f>HLOOKUP("*"&amp;'Output annual'!$AC$2&amp;'Output annual'!$AD$2&amp;"*FangerPMV(Hourly)",'Eplus results'!$1:$1048576,ROW(),FALSE)</f>
        <v>0</v>
      </c>
      <c r="AD4055" s="580">
        <f t="shared" si="351"/>
        <v>5</v>
      </c>
      <c r="AE4055" s="580">
        <f t="shared" si="352"/>
        <v>2.5</v>
      </c>
      <c r="AF4055" s="580">
        <f t="shared" si="353"/>
        <v>2.5</v>
      </c>
      <c r="AG4055" s="580">
        <f t="shared" si="354"/>
        <v>0</v>
      </c>
      <c r="AH4055" s="580">
        <f t="shared" si="355"/>
        <v>0</v>
      </c>
    </row>
    <row r="4056" spans="28:34">
      <c r="AB4056" s="580">
        <f>HLOOKUP("*"&amp;'Output annual'!$AC$2&amp;'Output annual'!$AD$2&amp;"*Zone People Number Of Occupants [](Hourly)",'Eplus results'!$1:$1048576,ROW(),FALSE)</f>
        <v>0</v>
      </c>
      <c r="AC4056" s="580">
        <f>HLOOKUP("*"&amp;'Output annual'!$AC$2&amp;'Output annual'!$AD$2&amp;"*FangerPMV(Hourly)",'Eplus results'!$1:$1048576,ROW(),FALSE)</f>
        <v>0</v>
      </c>
      <c r="AD4056" s="580">
        <f t="shared" si="351"/>
        <v>5</v>
      </c>
      <c r="AE4056" s="580">
        <f t="shared" si="352"/>
        <v>2.5</v>
      </c>
      <c r="AF4056" s="580">
        <f t="shared" si="353"/>
        <v>2.5</v>
      </c>
      <c r="AG4056" s="580">
        <f t="shared" si="354"/>
        <v>0</v>
      </c>
      <c r="AH4056" s="580">
        <f t="shared" si="355"/>
        <v>0</v>
      </c>
    </row>
    <row r="4057" spans="28:34">
      <c r="AB4057" s="580">
        <f>HLOOKUP("*"&amp;'Output annual'!$AC$2&amp;'Output annual'!$AD$2&amp;"*Zone People Number Of Occupants [](Hourly)",'Eplus results'!$1:$1048576,ROW(),FALSE)</f>
        <v>0</v>
      </c>
      <c r="AC4057" s="580">
        <f>HLOOKUP("*"&amp;'Output annual'!$AC$2&amp;'Output annual'!$AD$2&amp;"*FangerPMV(Hourly)",'Eplus results'!$1:$1048576,ROW(),FALSE)</f>
        <v>0</v>
      </c>
      <c r="AD4057" s="580">
        <f t="shared" si="351"/>
        <v>5</v>
      </c>
      <c r="AE4057" s="580">
        <f t="shared" si="352"/>
        <v>2.5</v>
      </c>
      <c r="AF4057" s="580">
        <f t="shared" si="353"/>
        <v>2.5</v>
      </c>
      <c r="AG4057" s="580">
        <f t="shared" si="354"/>
        <v>0</v>
      </c>
      <c r="AH4057" s="580">
        <f t="shared" si="355"/>
        <v>0</v>
      </c>
    </row>
    <row r="4058" spans="28:34">
      <c r="AB4058" s="580">
        <f>HLOOKUP("*"&amp;'Output annual'!$AC$2&amp;'Output annual'!$AD$2&amp;"*Zone People Number Of Occupants [](Hourly)",'Eplus results'!$1:$1048576,ROW(),FALSE)</f>
        <v>0</v>
      </c>
      <c r="AC4058" s="580">
        <f>HLOOKUP("*"&amp;'Output annual'!$AC$2&amp;'Output annual'!$AD$2&amp;"*FangerPMV(Hourly)",'Eplus results'!$1:$1048576,ROW(),FALSE)</f>
        <v>0</v>
      </c>
      <c r="AD4058" s="580">
        <f t="shared" si="351"/>
        <v>5</v>
      </c>
      <c r="AE4058" s="580">
        <f t="shared" si="352"/>
        <v>2.5</v>
      </c>
      <c r="AF4058" s="580">
        <f t="shared" si="353"/>
        <v>2.5</v>
      </c>
      <c r="AG4058" s="580">
        <f t="shared" si="354"/>
        <v>0</v>
      </c>
      <c r="AH4058" s="580">
        <f t="shared" si="355"/>
        <v>0</v>
      </c>
    </row>
    <row r="4059" spans="28:34">
      <c r="AB4059" s="580">
        <f>HLOOKUP("*"&amp;'Output annual'!$AC$2&amp;'Output annual'!$AD$2&amp;"*Zone People Number Of Occupants [](Hourly)",'Eplus results'!$1:$1048576,ROW(),FALSE)</f>
        <v>0</v>
      </c>
      <c r="AC4059" s="580">
        <f>HLOOKUP("*"&amp;'Output annual'!$AC$2&amp;'Output annual'!$AD$2&amp;"*FangerPMV(Hourly)",'Eplus results'!$1:$1048576,ROW(),FALSE)</f>
        <v>0</v>
      </c>
      <c r="AD4059" s="580">
        <f t="shared" si="351"/>
        <v>5</v>
      </c>
      <c r="AE4059" s="580">
        <f t="shared" si="352"/>
        <v>2.5</v>
      </c>
      <c r="AF4059" s="580">
        <f t="shared" si="353"/>
        <v>2.5</v>
      </c>
      <c r="AG4059" s="580">
        <f t="shared" si="354"/>
        <v>0</v>
      </c>
      <c r="AH4059" s="580">
        <f t="shared" si="355"/>
        <v>0</v>
      </c>
    </row>
    <row r="4060" spans="28:34">
      <c r="AB4060" s="580">
        <f>HLOOKUP("*"&amp;'Output annual'!$AC$2&amp;'Output annual'!$AD$2&amp;"*Zone People Number Of Occupants [](Hourly)",'Eplus results'!$1:$1048576,ROW(),FALSE)</f>
        <v>0</v>
      </c>
      <c r="AC4060" s="580">
        <f>HLOOKUP("*"&amp;'Output annual'!$AC$2&amp;'Output annual'!$AD$2&amp;"*FangerPMV(Hourly)",'Eplus results'!$1:$1048576,ROW(),FALSE)</f>
        <v>0</v>
      </c>
      <c r="AD4060" s="580">
        <f t="shared" si="351"/>
        <v>5</v>
      </c>
      <c r="AE4060" s="580">
        <f t="shared" si="352"/>
        <v>2.5</v>
      </c>
      <c r="AF4060" s="580">
        <f t="shared" si="353"/>
        <v>2.5</v>
      </c>
      <c r="AG4060" s="580">
        <f t="shared" si="354"/>
        <v>0</v>
      </c>
      <c r="AH4060" s="580">
        <f t="shared" si="355"/>
        <v>0</v>
      </c>
    </row>
    <row r="4061" spans="28:34">
      <c r="AB4061" s="580">
        <f>HLOOKUP("*"&amp;'Output annual'!$AC$2&amp;'Output annual'!$AD$2&amp;"*Zone People Number Of Occupants [](Hourly)",'Eplus results'!$1:$1048576,ROW(),FALSE)</f>
        <v>0</v>
      </c>
      <c r="AC4061" s="580">
        <f>HLOOKUP("*"&amp;'Output annual'!$AC$2&amp;'Output annual'!$AD$2&amp;"*FangerPMV(Hourly)",'Eplus results'!$1:$1048576,ROW(),FALSE)</f>
        <v>0</v>
      </c>
      <c r="AD4061" s="580">
        <f t="shared" si="351"/>
        <v>5</v>
      </c>
      <c r="AE4061" s="580">
        <f t="shared" si="352"/>
        <v>2.5</v>
      </c>
      <c r="AF4061" s="580">
        <f t="shared" si="353"/>
        <v>2.5</v>
      </c>
      <c r="AG4061" s="580">
        <f t="shared" si="354"/>
        <v>0</v>
      </c>
      <c r="AH4061" s="580">
        <f t="shared" si="355"/>
        <v>0</v>
      </c>
    </row>
    <row r="4062" spans="28:34">
      <c r="AB4062" s="580">
        <f>HLOOKUP("*"&amp;'Output annual'!$AC$2&amp;'Output annual'!$AD$2&amp;"*Zone People Number Of Occupants [](Hourly)",'Eplus results'!$1:$1048576,ROW(),FALSE)</f>
        <v>0</v>
      </c>
      <c r="AC4062" s="580">
        <f>HLOOKUP("*"&amp;'Output annual'!$AC$2&amp;'Output annual'!$AD$2&amp;"*FangerPMV(Hourly)",'Eplus results'!$1:$1048576,ROW(),FALSE)</f>
        <v>0</v>
      </c>
      <c r="AD4062" s="580">
        <f t="shared" si="351"/>
        <v>5</v>
      </c>
      <c r="AE4062" s="580">
        <f t="shared" si="352"/>
        <v>2.5</v>
      </c>
      <c r="AF4062" s="580">
        <f t="shared" si="353"/>
        <v>2.5</v>
      </c>
      <c r="AG4062" s="580">
        <f t="shared" si="354"/>
        <v>0</v>
      </c>
      <c r="AH4062" s="580">
        <f t="shared" si="355"/>
        <v>0</v>
      </c>
    </row>
    <row r="4063" spans="28:34">
      <c r="AB4063" s="580">
        <f>HLOOKUP("*"&amp;'Output annual'!$AC$2&amp;'Output annual'!$AD$2&amp;"*Zone People Number Of Occupants [](Hourly)",'Eplus results'!$1:$1048576,ROW(),FALSE)</f>
        <v>0</v>
      </c>
      <c r="AC4063" s="580">
        <f>HLOOKUP("*"&amp;'Output annual'!$AC$2&amp;'Output annual'!$AD$2&amp;"*FangerPMV(Hourly)",'Eplus results'!$1:$1048576,ROW(),FALSE)</f>
        <v>0</v>
      </c>
      <c r="AD4063" s="580">
        <f t="shared" si="351"/>
        <v>5</v>
      </c>
      <c r="AE4063" s="580">
        <f t="shared" si="352"/>
        <v>2.5</v>
      </c>
      <c r="AF4063" s="580">
        <f t="shared" si="353"/>
        <v>2.5</v>
      </c>
      <c r="AG4063" s="580">
        <f t="shared" si="354"/>
        <v>0</v>
      </c>
      <c r="AH4063" s="580">
        <f t="shared" si="355"/>
        <v>0</v>
      </c>
    </row>
    <row r="4064" spans="28:34">
      <c r="AB4064" s="580">
        <f>HLOOKUP("*"&amp;'Output annual'!$AC$2&amp;'Output annual'!$AD$2&amp;"*Zone People Number Of Occupants [](Hourly)",'Eplus results'!$1:$1048576,ROW(),FALSE)</f>
        <v>0</v>
      </c>
      <c r="AC4064" s="580">
        <f>HLOOKUP("*"&amp;'Output annual'!$AC$2&amp;'Output annual'!$AD$2&amp;"*FangerPMV(Hourly)",'Eplus results'!$1:$1048576,ROW(),FALSE)</f>
        <v>0</v>
      </c>
      <c r="AD4064" s="580">
        <f t="shared" si="351"/>
        <v>5</v>
      </c>
      <c r="AE4064" s="580">
        <f t="shared" si="352"/>
        <v>2.5</v>
      </c>
      <c r="AF4064" s="580">
        <f t="shared" si="353"/>
        <v>2.5</v>
      </c>
      <c r="AG4064" s="580">
        <f t="shared" si="354"/>
        <v>0</v>
      </c>
      <c r="AH4064" s="580">
        <f t="shared" si="355"/>
        <v>0</v>
      </c>
    </row>
    <row r="4065" spans="28:34">
      <c r="AB4065" s="580">
        <f>HLOOKUP("*"&amp;'Output annual'!$AC$2&amp;'Output annual'!$AD$2&amp;"*Zone People Number Of Occupants [](Hourly)",'Eplus results'!$1:$1048576,ROW(),FALSE)</f>
        <v>0</v>
      </c>
      <c r="AC4065" s="580">
        <f>HLOOKUP("*"&amp;'Output annual'!$AC$2&amp;'Output annual'!$AD$2&amp;"*FangerPMV(Hourly)",'Eplus results'!$1:$1048576,ROW(),FALSE)</f>
        <v>0</v>
      </c>
      <c r="AD4065" s="580">
        <f t="shared" si="351"/>
        <v>5</v>
      </c>
      <c r="AE4065" s="580">
        <f t="shared" si="352"/>
        <v>2.5</v>
      </c>
      <c r="AF4065" s="580">
        <f t="shared" si="353"/>
        <v>2.5</v>
      </c>
      <c r="AG4065" s="580">
        <f t="shared" si="354"/>
        <v>0</v>
      </c>
      <c r="AH4065" s="580">
        <f t="shared" si="355"/>
        <v>0</v>
      </c>
    </row>
    <row r="4066" spans="28:34">
      <c r="AB4066" s="580">
        <f>HLOOKUP("*"&amp;'Output annual'!$AC$2&amp;'Output annual'!$AD$2&amp;"*Zone People Number Of Occupants [](Hourly)",'Eplus results'!$1:$1048576,ROW(),FALSE)</f>
        <v>0</v>
      </c>
      <c r="AC4066" s="580">
        <f>HLOOKUP("*"&amp;'Output annual'!$AC$2&amp;'Output annual'!$AD$2&amp;"*FangerPMV(Hourly)",'Eplus results'!$1:$1048576,ROW(),FALSE)</f>
        <v>0</v>
      </c>
      <c r="AD4066" s="580">
        <f t="shared" si="351"/>
        <v>5</v>
      </c>
      <c r="AE4066" s="580">
        <f t="shared" si="352"/>
        <v>2.5</v>
      </c>
      <c r="AF4066" s="580">
        <f t="shared" si="353"/>
        <v>2.5</v>
      </c>
      <c r="AG4066" s="580">
        <f t="shared" si="354"/>
        <v>0</v>
      </c>
      <c r="AH4066" s="580">
        <f t="shared" si="355"/>
        <v>0</v>
      </c>
    </row>
    <row r="4067" spans="28:34">
      <c r="AB4067" s="580">
        <f>HLOOKUP("*"&amp;'Output annual'!$AC$2&amp;'Output annual'!$AD$2&amp;"*Zone People Number Of Occupants [](Hourly)",'Eplus results'!$1:$1048576,ROW(),FALSE)</f>
        <v>0</v>
      </c>
      <c r="AC4067" s="580">
        <f>HLOOKUP("*"&amp;'Output annual'!$AC$2&amp;'Output annual'!$AD$2&amp;"*FangerPMV(Hourly)",'Eplus results'!$1:$1048576,ROW(),FALSE)</f>
        <v>0</v>
      </c>
      <c r="AD4067" s="580">
        <f t="shared" si="351"/>
        <v>5</v>
      </c>
      <c r="AE4067" s="580">
        <f t="shared" si="352"/>
        <v>2.5</v>
      </c>
      <c r="AF4067" s="580">
        <f t="shared" si="353"/>
        <v>2.5</v>
      </c>
      <c r="AG4067" s="580">
        <f t="shared" si="354"/>
        <v>0</v>
      </c>
      <c r="AH4067" s="580">
        <f t="shared" si="355"/>
        <v>0</v>
      </c>
    </row>
    <row r="4068" spans="28:34">
      <c r="AB4068" s="580">
        <f>HLOOKUP("*"&amp;'Output annual'!$AC$2&amp;'Output annual'!$AD$2&amp;"*Zone People Number Of Occupants [](Hourly)",'Eplus results'!$1:$1048576,ROW(),FALSE)</f>
        <v>0</v>
      </c>
      <c r="AC4068" s="580">
        <f>HLOOKUP("*"&amp;'Output annual'!$AC$2&amp;'Output annual'!$AD$2&amp;"*FangerPMV(Hourly)",'Eplus results'!$1:$1048576,ROW(),FALSE)</f>
        <v>0</v>
      </c>
      <c r="AD4068" s="580">
        <f t="shared" si="351"/>
        <v>5</v>
      </c>
      <c r="AE4068" s="580">
        <f t="shared" si="352"/>
        <v>2.5</v>
      </c>
      <c r="AF4068" s="580">
        <f t="shared" si="353"/>
        <v>2.5</v>
      </c>
      <c r="AG4068" s="580">
        <f t="shared" si="354"/>
        <v>0</v>
      </c>
      <c r="AH4068" s="580">
        <f t="shared" si="355"/>
        <v>0</v>
      </c>
    </row>
    <row r="4069" spans="28:34">
      <c r="AB4069" s="580">
        <f>HLOOKUP("*"&amp;'Output annual'!$AC$2&amp;'Output annual'!$AD$2&amp;"*Zone People Number Of Occupants [](Hourly)",'Eplus results'!$1:$1048576,ROW(),FALSE)</f>
        <v>0</v>
      </c>
      <c r="AC4069" s="580">
        <f>HLOOKUP("*"&amp;'Output annual'!$AC$2&amp;'Output annual'!$AD$2&amp;"*FangerPMV(Hourly)",'Eplus results'!$1:$1048576,ROW(),FALSE)</f>
        <v>0</v>
      </c>
      <c r="AD4069" s="580">
        <f t="shared" si="351"/>
        <v>5</v>
      </c>
      <c r="AE4069" s="580">
        <f t="shared" si="352"/>
        <v>2.5</v>
      </c>
      <c r="AF4069" s="580">
        <f t="shared" si="353"/>
        <v>2.5</v>
      </c>
      <c r="AG4069" s="580">
        <f t="shared" si="354"/>
        <v>0</v>
      </c>
      <c r="AH4069" s="580">
        <f t="shared" si="355"/>
        <v>0</v>
      </c>
    </row>
    <row r="4070" spans="28:34">
      <c r="AB4070" s="580">
        <f>HLOOKUP("*"&amp;'Output annual'!$AC$2&amp;'Output annual'!$AD$2&amp;"*Zone People Number Of Occupants [](Hourly)",'Eplus results'!$1:$1048576,ROW(),FALSE)</f>
        <v>0</v>
      </c>
      <c r="AC4070" s="580">
        <f>HLOOKUP("*"&amp;'Output annual'!$AC$2&amp;'Output annual'!$AD$2&amp;"*FangerPMV(Hourly)",'Eplus results'!$1:$1048576,ROW(),FALSE)</f>
        <v>0</v>
      </c>
      <c r="AD4070" s="580">
        <f t="shared" si="351"/>
        <v>5</v>
      </c>
      <c r="AE4070" s="580">
        <f t="shared" si="352"/>
        <v>2.5</v>
      </c>
      <c r="AF4070" s="580">
        <f t="shared" si="353"/>
        <v>2.5</v>
      </c>
      <c r="AG4070" s="580">
        <f t="shared" si="354"/>
        <v>0</v>
      </c>
      <c r="AH4070" s="580">
        <f t="shared" si="355"/>
        <v>0</v>
      </c>
    </row>
    <row r="4071" spans="28:34">
      <c r="AB4071" s="580">
        <f>HLOOKUP("*"&amp;'Output annual'!$AC$2&amp;'Output annual'!$AD$2&amp;"*Zone People Number Of Occupants [](Hourly)",'Eplus results'!$1:$1048576,ROW(),FALSE)</f>
        <v>0</v>
      </c>
      <c r="AC4071" s="580">
        <f>HLOOKUP("*"&amp;'Output annual'!$AC$2&amp;'Output annual'!$AD$2&amp;"*FangerPMV(Hourly)",'Eplus results'!$1:$1048576,ROW(),FALSE)</f>
        <v>0</v>
      </c>
      <c r="AD4071" s="580">
        <f t="shared" si="351"/>
        <v>5</v>
      </c>
      <c r="AE4071" s="580">
        <f t="shared" si="352"/>
        <v>2.5</v>
      </c>
      <c r="AF4071" s="580">
        <f t="shared" si="353"/>
        <v>2.5</v>
      </c>
      <c r="AG4071" s="580">
        <f t="shared" si="354"/>
        <v>0</v>
      </c>
      <c r="AH4071" s="580">
        <f t="shared" si="355"/>
        <v>0</v>
      </c>
    </row>
    <row r="4072" spans="28:34">
      <c r="AB4072" s="580">
        <f>HLOOKUP("*"&amp;'Output annual'!$AC$2&amp;'Output annual'!$AD$2&amp;"*Zone People Number Of Occupants [](Hourly)",'Eplus results'!$1:$1048576,ROW(),FALSE)</f>
        <v>0</v>
      </c>
      <c r="AC4072" s="580">
        <f>HLOOKUP("*"&amp;'Output annual'!$AC$2&amp;'Output annual'!$AD$2&amp;"*FangerPMV(Hourly)",'Eplus results'!$1:$1048576,ROW(),FALSE)</f>
        <v>0</v>
      </c>
      <c r="AD4072" s="580">
        <f t="shared" si="351"/>
        <v>5</v>
      </c>
      <c r="AE4072" s="580">
        <f t="shared" si="352"/>
        <v>2.5</v>
      </c>
      <c r="AF4072" s="580">
        <f t="shared" si="353"/>
        <v>2.5</v>
      </c>
      <c r="AG4072" s="580">
        <f t="shared" si="354"/>
        <v>0</v>
      </c>
      <c r="AH4072" s="580">
        <f t="shared" si="355"/>
        <v>0</v>
      </c>
    </row>
    <row r="4073" spans="28:34">
      <c r="AB4073" s="580">
        <f>HLOOKUP("*"&amp;'Output annual'!$AC$2&amp;'Output annual'!$AD$2&amp;"*Zone People Number Of Occupants [](Hourly)",'Eplus results'!$1:$1048576,ROW(),FALSE)</f>
        <v>0</v>
      </c>
      <c r="AC4073" s="580">
        <f>HLOOKUP("*"&amp;'Output annual'!$AC$2&amp;'Output annual'!$AD$2&amp;"*FangerPMV(Hourly)",'Eplus results'!$1:$1048576,ROW(),FALSE)</f>
        <v>0</v>
      </c>
      <c r="AD4073" s="580">
        <f t="shared" si="351"/>
        <v>5</v>
      </c>
      <c r="AE4073" s="580">
        <f t="shared" si="352"/>
        <v>2.5</v>
      </c>
      <c r="AF4073" s="580">
        <f t="shared" si="353"/>
        <v>2.5</v>
      </c>
      <c r="AG4073" s="580">
        <f t="shared" si="354"/>
        <v>0</v>
      </c>
      <c r="AH4073" s="580">
        <f t="shared" si="355"/>
        <v>0</v>
      </c>
    </row>
    <row r="4074" spans="28:34">
      <c r="AB4074" s="580">
        <f>HLOOKUP("*"&amp;'Output annual'!$AC$2&amp;'Output annual'!$AD$2&amp;"*Zone People Number Of Occupants [](Hourly)",'Eplus results'!$1:$1048576,ROW(),FALSE)</f>
        <v>0</v>
      </c>
      <c r="AC4074" s="580">
        <f>HLOOKUP("*"&amp;'Output annual'!$AC$2&amp;'Output annual'!$AD$2&amp;"*FangerPMV(Hourly)",'Eplus results'!$1:$1048576,ROW(),FALSE)</f>
        <v>0</v>
      </c>
      <c r="AD4074" s="580">
        <f t="shared" si="351"/>
        <v>5</v>
      </c>
      <c r="AE4074" s="580">
        <f t="shared" si="352"/>
        <v>2.5</v>
      </c>
      <c r="AF4074" s="580">
        <f t="shared" si="353"/>
        <v>2.5</v>
      </c>
      <c r="AG4074" s="580">
        <f t="shared" si="354"/>
        <v>0</v>
      </c>
      <c r="AH4074" s="580">
        <f t="shared" si="355"/>
        <v>0</v>
      </c>
    </row>
    <row r="4075" spans="28:34">
      <c r="AB4075" s="580">
        <f>HLOOKUP("*"&amp;'Output annual'!$AC$2&amp;'Output annual'!$AD$2&amp;"*Zone People Number Of Occupants [](Hourly)",'Eplus results'!$1:$1048576,ROW(),FALSE)</f>
        <v>0</v>
      </c>
      <c r="AC4075" s="580">
        <f>HLOOKUP("*"&amp;'Output annual'!$AC$2&amp;'Output annual'!$AD$2&amp;"*FangerPMV(Hourly)",'Eplus results'!$1:$1048576,ROW(),FALSE)</f>
        <v>0</v>
      </c>
      <c r="AD4075" s="580">
        <f t="shared" si="351"/>
        <v>5</v>
      </c>
      <c r="AE4075" s="580">
        <f t="shared" si="352"/>
        <v>2.5</v>
      </c>
      <c r="AF4075" s="580">
        <f t="shared" si="353"/>
        <v>2.5</v>
      </c>
      <c r="AG4075" s="580">
        <f t="shared" si="354"/>
        <v>0</v>
      </c>
      <c r="AH4075" s="580">
        <f t="shared" si="355"/>
        <v>0</v>
      </c>
    </row>
    <row r="4076" spans="28:34">
      <c r="AB4076" s="580">
        <f>HLOOKUP("*"&amp;'Output annual'!$AC$2&amp;'Output annual'!$AD$2&amp;"*Zone People Number Of Occupants [](Hourly)",'Eplus results'!$1:$1048576,ROW(),FALSE)</f>
        <v>0</v>
      </c>
      <c r="AC4076" s="580">
        <f>HLOOKUP("*"&amp;'Output annual'!$AC$2&amp;'Output annual'!$AD$2&amp;"*FangerPMV(Hourly)",'Eplus results'!$1:$1048576,ROW(),FALSE)</f>
        <v>0</v>
      </c>
      <c r="AD4076" s="580">
        <f t="shared" si="351"/>
        <v>5</v>
      </c>
      <c r="AE4076" s="580">
        <f t="shared" si="352"/>
        <v>2.5</v>
      </c>
      <c r="AF4076" s="580">
        <f t="shared" si="353"/>
        <v>2.5</v>
      </c>
      <c r="AG4076" s="580">
        <f t="shared" si="354"/>
        <v>0</v>
      </c>
      <c r="AH4076" s="580">
        <f t="shared" si="355"/>
        <v>0</v>
      </c>
    </row>
    <row r="4077" spans="28:34">
      <c r="AB4077" s="580">
        <f>HLOOKUP("*"&amp;'Output annual'!$AC$2&amp;'Output annual'!$AD$2&amp;"*Zone People Number Of Occupants [](Hourly)",'Eplus results'!$1:$1048576,ROW(),FALSE)</f>
        <v>0</v>
      </c>
      <c r="AC4077" s="580">
        <f>HLOOKUP("*"&amp;'Output annual'!$AC$2&amp;'Output annual'!$AD$2&amp;"*FangerPMV(Hourly)",'Eplus results'!$1:$1048576,ROW(),FALSE)</f>
        <v>0</v>
      </c>
      <c r="AD4077" s="580">
        <f t="shared" si="351"/>
        <v>5</v>
      </c>
      <c r="AE4077" s="580">
        <f t="shared" si="352"/>
        <v>2.5</v>
      </c>
      <c r="AF4077" s="580">
        <f t="shared" si="353"/>
        <v>2.5</v>
      </c>
      <c r="AG4077" s="580">
        <f t="shared" si="354"/>
        <v>0</v>
      </c>
      <c r="AH4077" s="580">
        <f t="shared" si="355"/>
        <v>0</v>
      </c>
    </row>
    <row r="4078" spans="28:34">
      <c r="AB4078" s="580">
        <f>HLOOKUP("*"&amp;'Output annual'!$AC$2&amp;'Output annual'!$AD$2&amp;"*Zone People Number Of Occupants [](Hourly)",'Eplus results'!$1:$1048576,ROW(),FALSE)</f>
        <v>0</v>
      </c>
      <c r="AC4078" s="580">
        <f>HLOOKUP("*"&amp;'Output annual'!$AC$2&amp;'Output annual'!$AD$2&amp;"*FangerPMV(Hourly)",'Eplus results'!$1:$1048576,ROW(),FALSE)</f>
        <v>0</v>
      </c>
      <c r="AD4078" s="580">
        <f t="shared" si="351"/>
        <v>5</v>
      </c>
      <c r="AE4078" s="580">
        <f t="shared" si="352"/>
        <v>2.5</v>
      </c>
      <c r="AF4078" s="580">
        <f t="shared" si="353"/>
        <v>2.5</v>
      </c>
      <c r="AG4078" s="580">
        <f t="shared" si="354"/>
        <v>0</v>
      </c>
      <c r="AH4078" s="580">
        <f t="shared" si="355"/>
        <v>0</v>
      </c>
    </row>
    <row r="4079" spans="28:34">
      <c r="AB4079" s="580">
        <f>HLOOKUP("*"&amp;'Output annual'!$AC$2&amp;'Output annual'!$AD$2&amp;"*Zone People Number Of Occupants [](Hourly)",'Eplus results'!$1:$1048576,ROW(),FALSE)</f>
        <v>0</v>
      </c>
      <c r="AC4079" s="580">
        <f>HLOOKUP("*"&amp;'Output annual'!$AC$2&amp;'Output annual'!$AD$2&amp;"*FangerPMV(Hourly)",'Eplus results'!$1:$1048576,ROW(),FALSE)</f>
        <v>0</v>
      </c>
      <c r="AD4079" s="580">
        <f t="shared" si="351"/>
        <v>5</v>
      </c>
      <c r="AE4079" s="580">
        <f t="shared" si="352"/>
        <v>2.5</v>
      </c>
      <c r="AF4079" s="580">
        <f t="shared" si="353"/>
        <v>2.5</v>
      </c>
      <c r="AG4079" s="580">
        <f t="shared" si="354"/>
        <v>0</v>
      </c>
      <c r="AH4079" s="580">
        <f t="shared" si="355"/>
        <v>0</v>
      </c>
    </row>
    <row r="4080" spans="28:34">
      <c r="AB4080" s="580">
        <f>HLOOKUP("*"&amp;'Output annual'!$AC$2&amp;'Output annual'!$AD$2&amp;"*Zone People Number Of Occupants [](Hourly)",'Eplus results'!$1:$1048576,ROW(),FALSE)</f>
        <v>0</v>
      </c>
      <c r="AC4080" s="580">
        <f>HLOOKUP("*"&amp;'Output annual'!$AC$2&amp;'Output annual'!$AD$2&amp;"*FangerPMV(Hourly)",'Eplus results'!$1:$1048576,ROW(),FALSE)</f>
        <v>0</v>
      </c>
      <c r="AD4080" s="580">
        <f t="shared" si="351"/>
        <v>5</v>
      </c>
      <c r="AE4080" s="580">
        <f t="shared" si="352"/>
        <v>2.5</v>
      </c>
      <c r="AF4080" s="580">
        <f t="shared" si="353"/>
        <v>2.5</v>
      </c>
      <c r="AG4080" s="580">
        <f t="shared" si="354"/>
        <v>0</v>
      </c>
      <c r="AH4080" s="580">
        <f t="shared" si="355"/>
        <v>0</v>
      </c>
    </row>
    <row r="4081" spans="28:34">
      <c r="AB4081" s="580">
        <f>HLOOKUP("*"&amp;'Output annual'!$AC$2&amp;'Output annual'!$AD$2&amp;"*Zone People Number Of Occupants [](Hourly)",'Eplus results'!$1:$1048576,ROW(),FALSE)</f>
        <v>0</v>
      </c>
      <c r="AC4081" s="580">
        <f>HLOOKUP("*"&amp;'Output annual'!$AC$2&amp;'Output annual'!$AD$2&amp;"*FangerPMV(Hourly)",'Eplus results'!$1:$1048576,ROW(),FALSE)</f>
        <v>0</v>
      </c>
      <c r="AD4081" s="580">
        <f t="shared" si="351"/>
        <v>5</v>
      </c>
      <c r="AE4081" s="580">
        <f t="shared" si="352"/>
        <v>2.5</v>
      </c>
      <c r="AF4081" s="580">
        <f t="shared" si="353"/>
        <v>2.5</v>
      </c>
      <c r="AG4081" s="580">
        <f t="shared" si="354"/>
        <v>0</v>
      </c>
      <c r="AH4081" s="580">
        <f t="shared" si="355"/>
        <v>0</v>
      </c>
    </row>
    <row r="4082" spans="28:34">
      <c r="AB4082" s="580">
        <f>HLOOKUP("*"&amp;'Output annual'!$AC$2&amp;'Output annual'!$AD$2&amp;"*Zone People Number Of Occupants [](Hourly)",'Eplus results'!$1:$1048576,ROW(),FALSE)</f>
        <v>0</v>
      </c>
      <c r="AC4082" s="580">
        <f>HLOOKUP("*"&amp;'Output annual'!$AC$2&amp;'Output annual'!$AD$2&amp;"*FangerPMV(Hourly)",'Eplus results'!$1:$1048576,ROW(),FALSE)</f>
        <v>0</v>
      </c>
      <c r="AD4082" s="580">
        <f t="shared" si="351"/>
        <v>5</v>
      </c>
      <c r="AE4082" s="580">
        <f t="shared" si="352"/>
        <v>2.5</v>
      </c>
      <c r="AF4082" s="580">
        <f t="shared" si="353"/>
        <v>2.5</v>
      </c>
      <c r="AG4082" s="580">
        <f t="shared" si="354"/>
        <v>0</v>
      </c>
      <c r="AH4082" s="580">
        <f t="shared" si="355"/>
        <v>0</v>
      </c>
    </row>
    <row r="4083" spans="28:34">
      <c r="AB4083" s="580">
        <f>HLOOKUP("*"&amp;'Output annual'!$AC$2&amp;'Output annual'!$AD$2&amp;"*Zone People Number Of Occupants [](Hourly)",'Eplus results'!$1:$1048576,ROW(),FALSE)</f>
        <v>0</v>
      </c>
      <c r="AC4083" s="580">
        <f>HLOOKUP("*"&amp;'Output annual'!$AC$2&amp;'Output annual'!$AD$2&amp;"*FangerPMV(Hourly)",'Eplus results'!$1:$1048576,ROW(),FALSE)</f>
        <v>0</v>
      </c>
      <c r="AD4083" s="580">
        <f t="shared" si="351"/>
        <v>5</v>
      </c>
      <c r="AE4083" s="580">
        <f t="shared" si="352"/>
        <v>2.5</v>
      </c>
      <c r="AF4083" s="580">
        <f t="shared" si="353"/>
        <v>2.5</v>
      </c>
      <c r="AG4083" s="580">
        <f t="shared" si="354"/>
        <v>0</v>
      </c>
      <c r="AH4083" s="580">
        <f t="shared" si="355"/>
        <v>0</v>
      </c>
    </row>
    <row r="4084" spans="28:34">
      <c r="AB4084" s="580">
        <f>HLOOKUP("*"&amp;'Output annual'!$AC$2&amp;'Output annual'!$AD$2&amp;"*Zone People Number Of Occupants [](Hourly)",'Eplus results'!$1:$1048576,ROW(),FALSE)</f>
        <v>0</v>
      </c>
      <c r="AC4084" s="580">
        <f>HLOOKUP("*"&amp;'Output annual'!$AC$2&amp;'Output annual'!$AD$2&amp;"*FangerPMV(Hourly)",'Eplus results'!$1:$1048576,ROW(),FALSE)</f>
        <v>0</v>
      </c>
      <c r="AD4084" s="580">
        <f t="shared" si="351"/>
        <v>5</v>
      </c>
      <c r="AE4084" s="580">
        <f t="shared" si="352"/>
        <v>2.5</v>
      </c>
      <c r="AF4084" s="580">
        <f t="shared" si="353"/>
        <v>2.5</v>
      </c>
      <c r="AG4084" s="580">
        <f t="shared" si="354"/>
        <v>0</v>
      </c>
      <c r="AH4084" s="580">
        <f t="shared" si="355"/>
        <v>0</v>
      </c>
    </row>
    <row r="4085" spans="28:34">
      <c r="AB4085" s="580">
        <f>HLOOKUP("*"&amp;'Output annual'!$AC$2&amp;'Output annual'!$AD$2&amp;"*Zone People Number Of Occupants [](Hourly)",'Eplus results'!$1:$1048576,ROW(),FALSE)</f>
        <v>0</v>
      </c>
      <c r="AC4085" s="580">
        <f>HLOOKUP("*"&amp;'Output annual'!$AC$2&amp;'Output annual'!$AD$2&amp;"*FangerPMV(Hourly)",'Eplus results'!$1:$1048576,ROW(),FALSE)</f>
        <v>0</v>
      </c>
      <c r="AD4085" s="580">
        <f t="shared" si="351"/>
        <v>5</v>
      </c>
      <c r="AE4085" s="580">
        <f t="shared" si="352"/>
        <v>2.5</v>
      </c>
      <c r="AF4085" s="580">
        <f t="shared" si="353"/>
        <v>2.5</v>
      </c>
      <c r="AG4085" s="580">
        <f t="shared" si="354"/>
        <v>0</v>
      </c>
      <c r="AH4085" s="580">
        <f t="shared" si="355"/>
        <v>0</v>
      </c>
    </row>
    <row r="4086" spans="28:34">
      <c r="AB4086" s="580">
        <f>HLOOKUP("*"&amp;'Output annual'!$AC$2&amp;'Output annual'!$AD$2&amp;"*Zone People Number Of Occupants [](Hourly)",'Eplus results'!$1:$1048576,ROW(),FALSE)</f>
        <v>0</v>
      </c>
      <c r="AC4086" s="580">
        <f>HLOOKUP("*"&amp;'Output annual'!$AC$2&amp;'Output annual'!$AD$2&amp;"*FangerPMV(Hourly)",'Eplus results'!$1:$1048576,ROW(),FALSE)</f>
        <v>0</v>
      </c>
      <c r="AD4086" s="580">
        <f t="shared" si="351"/>
        <v>5</v>
      </c>
      <c r="AE4086" s="580">
        <f t="shared" si="352"/>
        <v>2.5</v>
      </c>
      <c r="AF4086" s="580">
        <f t="shared" si="353"/>
        <v>2.5</v>
      </c>
      <c r="AG4086" s="580">
        <f t="shared" si="354"/>
        <v>0</v>
      </c>
      <c r="AH4086" s="580">
        <f t="shared" si="355"/>
        <v>0</v>
      </c>
    </row>
    <row r="4087" spans="28:34">
      <c r="AB4087" s="580">
        <f>HLOOKUP("*"&amp;'Output annual'!$AC$2&amp;'Output annual'!$AD$2&amp;"*Zone People Number Of Occupants [](Hourly)",'Eplus results'!$1:$1048576,ROW(),FALSE)</f>
        <v>0</v>
      </c>
      <c r="AC4087" s="580">
        <f>HLOOKUP("*"&amp;'Output annual'!$AC$2&amp;'Output annual'!$AD$2&amp;"*FangerPMV(Hourly)",'Eplus results'!$1:$1048576,ROW(),FALSE)</f>
        <v>0</v>
      </c>
      <c r="AD4087" s="580">
        <f t="shared" si="351"/>
        <v>5</v>
      </c>
      <c r="AE4087" s="580">
        <f t="shared" si="352"/>
        <v>2.5</v>
      </c>
      <c r="AF4087" s="580">
        <f t="shared" si="353"/>
        <v>2.5</v>
      </c>
      <c r="AG4087" s="580">
        <f t="shared" si="354"/>
        <v>0</v>
      </c>
      <c r="AH4087" s="580">
        <f t="shared" si="355"/>
        <v>0</v>
      </c>
    </row>
    <row r="4088" spans="28:34">
      <c r="AB4088" s="580">
        <f>HLOOKUP("*"&amp;'Output annual'!$AC$2&amp;'Output annual'!$AD$2&amp;"*Zone People Number Of Occupants [](Hourly)",'Eplus results'!$1:$1048576,ROW(),FALSE)</f>
        <v>0</v>
      </c>
      <c r="AC4088" s="580">
        <f>HLOOKUP("*"&amp;'Output annual'!$AC$2&amp;'Output annual'!$AD$2&amp;"*FangerPMV(Hourly)",'Eplus results'!$1:$1048576,ROW(),FALSE)</f>
        <v>0</v>
      </c>
      <c r="AD4088" s="580">
        <f t="shared" si="351"/>
        <v>5</v>
      </c>
      <c r="AE4088" s="580">
        <f t="shared" si="352"/>
        <v>2.5</v>
      </c>
      <c r="AF4088" s="580">
        <f t="shared" si="353"/>
        <v>2.5</v>
      </c>
      <c r="AG4088" s="580">
        <f t="shared" si="354"/>
        <v>0</v>
      </c>
      <c r="AH4088" s="580">
        <f t="shared" si="355"/>
        <v>0</v>
      </c>
    </row>
    <row r="4089" spans="28:34">
      <c r="AB4089" s="580">
        <f>HLOOKUP("*"&amp;'Output annual'!$AC$2&amp;'Output annual'!$AD$2&amp;"*Zone People Number Of Occupants [](Hourly)",'Eplus results'!$1:$1048576,ROW(),FALSE)</f>
        <v>0</v>
      </c>
      <c r="AC4089" s="580">
        <f>HLOOKUP("*"&amp;'Output annual'!$AC$2&amp;'Output annual'!$AD$2&amp;"*FangerPMV(Hourly)",'Eplus results'!$1:$1048576,ROW(),FALSE)</f>
        <v>0</v>
      </c>
      <c r="AD4089" s="580">
        <f t="shared" si="351"/>
        <v>5</v>
      </c>
      <c r="AE4089" s="580">
        <f t="shared" si="352"/>
        <v>2.5</v>
      </c>
      <c r="AF4089" s="580">
        <f t="shared" si="353"/>
        <v>2.5</v>
      </c>
      <c r="AG4089" s="580">
        <f t="shared" si="354"/>
        <v>0</v>
      </c>
      <c r="AH4089" s="580">
        <f t="shared" si="355"/>
        <v>0</v>
      </c>
    </row>
    <row r="4090" spans="28:34">
      <c r="AB4090" s="580">
        <f>HLOOKUP("*"&amp;'Output annual'!$AC$2&amp;'Output annual'!$AD$2&amp;"*Zone People Number Of Occupants [](Hourly)",'Eplus results'!$1:$1048576,ROW(),FALSE)</f>
        <v>0</v>
      </c>
      <c r="AC4090" s="580">
        <f>HLOOKUP("*"&amp;'Output annual'!$AC$2&amp;'Output annual'!$AD$2&amp;"*FangerPMV(Hourly)",'Eplus results'!$1:$1048576,ROW(),FALSE)</f>
        <v>0</v>
      </c>
      <c r="AD4090" s="580">
        <f t="shared" si="351"/>
        <v>5</v>
      </c>
      <c r="AE4090" s="580">
        <f t="shared" si="352"/>
        <v>2.5</v>
      </c>
      <c r="AF4090" s="580">
        <f t="shared" si="353"/>
        <v>2.5</v>
      </c>
      <c r="AG4090" s="580">
        <f t="shared" si="354"/>
        <v>0</v>
      </c>
      <c r="AH4090" s="580">
        <f t="shared" si="355"/>
        <v>0</v>
      </c>
    </row>
    <row r="4091" spans="28:34">
      <c r="AB4091" s="580">
        <f>HLOOKUP("*"&amp;'Output annual'!$AC$2&amp;'Output annual'!$AD$2&amp;"*Zone People Number Of Occupants [](Hourly)",'Eplus results'!$1:$1048576,ROW(),FALSE)</f>
        <v>0</v>
      </c>
      <c r="AC4091" s="580">
        <f>HLOOKUP("*"&amp;'Output annual'!$AC$2&amp;'Output annual'!$AD$2&amp;"*FangerPMV(Hourly)",'Eplus results'!$1:$1048576,ROW(),FALSE)</f>
        <v>0</v>
      </c>
      <c r="AD4091" s="580">
        <f t="shared" si="351"/>
        <v>5</v>
      </c>
      <c r="AE4091" s="580">
        <f t="shared" si="352"/>
        <v>2.5</v>
      </c>
      <c r="AF4091" s="580">
        <f t="shared" si="353"/>
        <v>2.5</v>
      </c>
      <c r="AG4091" s="580">
        <f t="shared" si="354"/>
        <v>0</v>
      </c>
      <c r="AH4091" s="580">
        <f t="shared" si="355"/>
        <v>0</v>
      </c>
    </row>
    <row r="4092" spans="28:34">
      <c r="AB4092" s="580">
        <f>HLOOKUP("*"&amp;'Output annual'!$AC$2&amp;'Output annual'!$AD$2&amp;"*Zone People Number Of Occupants [](Hourly)",'Eplus results'!$1:$1048576,ROW(),FALSE)</f>
        <v>0</v>
      </c>
      <c r="AC4092" s="580">
        <f>HLOOKUP("*"&amp;'Output annual'!$AC$2&amp;'Output annual'!$AD$2&amp;"*FangerPMV(Hourly)",'Eplus results'!$1:$1048576,ROW(),FALSE)</f>
        <v>0</v>
      </c>
      <c r="AD4092" s="580">
        <f t="shared" si="351"/>
        <v>5</v>
      </c>
      <c r="AE4092" s="580">
        <f t="shared" si="352"/>
        <v>2.5</v>
      </c>
      <c r="AF4092" s="580">
        <f t="shared" si="353"/>
        <v>2.5</v>
      </c>
      <c r="AG4092" s="580">
        <f t="shared" si="354"/>
        <v>0</v>
      </c>
      <c r="AH4092" s="580">
        <f t="shared" si="355"/>
        <v>0</v>
      </c>
    </row>
    <row r="4093" spans="28:34">
      <c r="AB4093" s="580">
        <f>HLOOKUP("*"&amp;'Output annual'!$AC$2&amp;'Output annual'!$AD$2&amp;"*Zone People Number Of Occupants [](Hourly)",'Eplus results'!$1:$1048576,ROW(),FALSE)</f>
        <v>0</v>
      </c>
      <c r="AC4093" s="580">
        <f>HLOOKUP("*"&amp;'Output annual'!$AC$2&amp;'Output annual'!$AD$2&amp;"*FangerPMV(Hourly)",'Eplus results'!$1:$1048576,ROW(),FALSE)</f>
        <v>0</v>
      </c>
      <c r="AD4093" s="580">
        <f t="shared" si="351"/>
        <v>5</v>
      </c>
      <c r="AE4093" s="580">
        <f t="shared" si="352"/>
        <v>2.5</v>
      </c>
      <c r="AF4093" s="580">
        <f t="shared" si="353"/>
        <v>2.5</v>
      </c>
      <c r="AG4093" s="580">
        <f t="shared" si="354"/>
        <v>0</v>
      </c>
      <c r="AH4093" s="580">
        <f t="shared" si="355"/>
        <v>0</v>
      </c>
    </row>
    <row r="4094" spans="28:34">
      <c r="AB4094" s="580">
        <f>HLOOKUP("*"&amp;'Output annual'!$AC$2&amp;'Output annual'!$AD$2&amp;"*Zone People Number Of Occupants [](Hourly)",'Eplus results'!$1:$1048576,ROW(),FALSE)</f>
        <v>0</v>
      </c>
      <c r="AC4094" s="580">
        <f>HLOOKUP("*"&amp;'Output annual'!$AC$2&amp;'Output annual'!$AD$2&amp;"*FangerPMV(Hourly)",'Eplus results'!$1:$1048576,ROW(),FALSE)</f>
        <v>0</v>
      </c>
      <c r="AD4094" s="580">
        <f t="shared" si="351"/>
        <v>5</v>
      </c>
      <c r="AE4094" s="580">
        <f t="shared" si="352"/>
        <v>2.5</v>
      </c>
      <c r="AF4094" s="580">
        <f t="shared" si="353"/>
        <v>2.5</v>
      </c>
      <c r="AG4094" s="580">
        <f t="shared" si="354"/>
        <v>0</v>
      </c>
      <c r="AH4094" s="580">
        <f t="shared" si="355"/>
        <v>0</v>
      </c>
    </row>
    <row r="4095" spans="28:34">
      <c r="AB4095" s="580">
        <f>HLOOKUP("*"&amp;'Output annual'!$AC$2&amp;'Output annual'!$AD$2&amp;"*Zone People Number Of Occupants [](Hourly)",'Eplus results'!$1:$1048576,ROW(),FALSE)</f>
        <v>0</v>
      </c>
      <c r="AC4095" s="580">
        <f>HLOOKUP("*"&amp;'Output annual'!$AC$2&amp;'Output annual'!$AD$2&amp;"*FangerPMV(Hourly)",'Eplus results'!$1:$1048576,ROW(),FALSE)</f>
        <v>0</v>
      </c>
      <c r="AD4095" s="580">
        <f t="shared" si="351"/>
        <v>5</v>
      </c>
      <c r="AE4095" s="580">
        <f t="shared" si="352"/>
        <v>2.5</v>
      </c>
      <c r="AF4095" s="580">
        <f t="shared" si="353"/>
        <v>2.5</v>
      </c>
      <c r="AG4095" s="580">
        <f t="shared" si="354"/>
        <v>0</v>
      </c>
      <c r="AH4095" s="580">
        <f t="shared" si="355"/>
        <v>0</v>
      </c>
    </row>
    <row r="4096" spans="28:34">
      <c r="AB4096" s="580">
        <f>HLOOKUP("*"&amp;'Output annual'!$AC$2&amp;'Output annual'!$AD$2&amp;"*Zone People Number Of Occupants [](Hourly)",'Eplus results'!$1:$1048576,ROW(),FALSE)</f>
        <v>0</v>
      </c>
      <c r="AC4096" s="580">
        <f>HLOOKUP("*"&amp;'Output annual'!$AC$2&amp;'Output annual'!$AD$2&amp;"*FangerPMV(Hourly)",'Eplus results'!$1:$1048576,ROW(),FALSE)</f>
        <v>0</v>
      </c>
      <c r="AD4096" s="580">
        <f t="shared" si="351"/>
        <v>5</v>
      </c>
      <c r="AE4096" s="580">
        <f t="shared" si="352"/>
        <v>2.5</v>
      </c>
      <c r="AF4096" s="580">
        <f t="shared" si="353"/>
        <v>2.5</v>
      </c>
      <c r="AG4096" s="580">
        <f t="shared" si="354"/>
        <v>0</v>
      </c>
      <c r="AH4096" s="580">
        <f t="shared" si="355"/>
        <v>0</v>
      </c>
    </row>
    <row r="4097" spans="28:34">
      <c r="AB4097" s="580">
        <f>HLOOKUP("*"&amp;'Output annual'!$AC$2&amp;'Output annual'!$AD$2&amp;"*Zone People Number Of Occupants [](Hourly)",'Eplus results'!$1:$1048576,ROW(),FALSE)</f>
        <v>0</v>
      </c>
      <c r="AC4097" s="580">
        <f>HLOOKUP("*"&amp;'Output annual'!$AC$2&amp;'Output annual'!$AD$2&amp;"*FangerPMV(Hourly)",'Eplus results'!$1:$1048576,ROW(),FALSE)</f>
        <v>0</v>
      </c>
      <c r="AD4097" s="580">
        <f t="shared" si="351"/>
        <v>5</v>
      </c>
      <c r="AE4097" s="580">
        <f t="shared" si="352"/>
        <v>2.5</v>
      </c>
      <c r="AF4097" s="580">
        <f t="shared" si="353"/>
        <v>2.5</v>
      </c>
      <c r="AG4097" s="580">
        <f t="shared" si="354"/>
        <v>0</v>
      </c>
      <c r="AH4097" s="580">
        <f t="shared" si="355"/>
        <v>0</v>
      </c>
    </row>
    <row r="4098" spans="28:34">
      <c r="AB4098" s="580">
        <f>HLOOKUP("*"&amp;'Output annual'!$AC$2&amp;'Output annual'!$AD$2&amp;"*Zone People Number Of Occupants [](Hourly)",'Eplus results'!$1:$1048576,ROW(),FALSE)</f>
        <v>0</v>
      </c>
      <c r="AC4098" s="580">
        <f>HLOOKUP("*"&amp;'Output annual'!$AC$2&amp;'Output annual'!$AD$2&amp;"*FangerPMV(Hourly)",'Eplus results'!$1:$1048576,ROW(),FALSE)</f>
        <v>0</v>
      </c>
      <c r="AD4098" s="580">
        <f t="shared" si="351"/>
        <v>5</v>
      </c>
      <c r="AE4098" s="580">
        <f t="shared" si="352"/>
        <v>2.5</v>
      </c>
      <c r="AF4098" s="580">
        <f t="shared" si="353"/>
        <v>2.5</v>
      </c>
      <c r="AG4098" s="580">
        <f t="shared" si="354"/>
        <v>0</v>
      </c>
      <c r="AH4098" s="580">
        <f t="shared" si="355"/>
        <v>0</v>
      </c>
    </row>
    <row r="4099" spans="28:34">
      <c r="AB4099" s="580">
        <f>HLOOKUP("*"&amp;'Output annual'!$AC$2&amp;'Output annual'!$AD$2&amp;"*Zone People Number Of Occupants [](Hourly)",'Eplus results'!$1:$1048576,ROW(),FALSE)</f>
        <v>0</v>
      </c>
      <c r="AC4099" s="580">
        <f>HLOOKUP("*"&amp;'Output annual'!$AC$2&amp;'Output annual'!$AD$2&amp;"*FangerPMV(Hourly)",'Eplus results'!$1:$1048576,ROW(),FALSE)</f>
        <v>0</v>
      </c>
      <c r="AD4099" s="580">
        <f t="shared" ref="AD4099:AD4162" si="356">100-95*EXP(-0.03353*AC4099^4-0.2179*AC4099^2)</f>
        <v>5</v>
      </c>
      <c r="AE4099" s="580">
        <f t="shared" ref="AE4099:AE4162" si="357">AD4099*(1/(1+EXP(-6.3*$AC4099)))</f>
        <v>2.5</v>
      </c>
      <c r="AF4099" s="580">
        <f t="shared" ref="AF4099:AF4162" si="358">(AD4099-AE4099)</f>
        <v>2.5</v>
      </c>
      <c r="AG4099" s="580">
        <f t="shared" ref="AG4099:AG4162" si="359">AE4099*AB4099</f>
        <v>0</v>
      </c>
      <c r="AH4099" s="580">
        <f t="shared" ref="AH4099:AH4162" si="360">AF4099*AB4099</f>
        <v>0</v>
      </c>
    </row>
    <row r="4100" spans="28:34">
      <c r="AB4100" s="580">
        <f>HLOOKUP("*"&amp;'Output annual'!$AC$2&amp;'Output annual'!$AD$2&amp;"*Zone People Number Of Occupants [](Hourly)",'Eplus results'!$1:$1048576,ROW(),FALSE)</f>
        <v>0</v>
      </c>
      <c r="AC4100" s="580">
        <f>HLOOKUP("*"&amp;'Output annual'!$AC$2&amp;'Output annual'!$AD$2&amp;"*FangerPMV(Hourly)",'Eplus results'!$1:$1048576,ROW(),FALSE)</f>
        <v>0</v>
      </c>
      <c r="AD4100" s="580">
        <f t="shared" si="356"/>
        <v>5</v>
      </c>
      <c r="AE4100" s="580">
        <f t="shared" si="357"/>
        <v>2.5</v>
      </c>
      <c r="AF4100" s="580">
        <f t="shared" si="358"/>
        <v>2.5</v>
      </c>
      <c r="AG4100" s="580">
        <f t="shared" si="359"/>
        <v>0</v>
      </c>
      <c r="AH4100" s="580">
        <f t="shared" si="360"/>
        <v>0</v>
      </c>
    </row>
    <row r="4101" spans="28:34">
      <c r="AB4101" s="580">
        <f>HLOOKUP("*"&amp;'Output annual'!$AC$2&amp;'Output annual'!$AD$2&amp;"*Zone People Number Of Occupants [](Hourly)",'Eplus results'!$1:$1048576,ROW(),FALSE)</f>
        <v>0</v>
      </c>
      <c r="AC4101" s="580">
        <f>HLOOKUP("*"&amp;'Output annual'!$AC$2&amp;'Output annual'!$AD$2&amp;"*FangerPMV(Hourly)",'Eplus results'!$1:$1048576,ROW(),FALSE)</f>
        <v>0</v>
      </c>
      <c r="AD4101" s="580">
        <f t="shared" si="356"/>
        <v>5</v>
      </c>
      <c r="AE4101" s="580">
        <f t="shared" si="357"/>
        <v>2.5</v>
      </c>
      <c r="AF4101" s="580">
        <f t="shared" si="358"/>
        <v>2.5</v>
      </c>
      <c r="AG4101" s="580">
        <f t="shared" si="359"/>
        <v>0</v>
      </c>
      <c r="AH4101" s="580">
        <f t="shared" si="360"/>
        <v>0</v>
      </c>
    </row>
    <row r="4102" spans="28:34">
      <c r="AB4102" s="580">
        <f>HLOOKUP("*"&amp;'Output annual'!$AC$2&amp;'Output annual'!$AD$2&amp;"*Zone People Number Of Occupants [](Hourly)",'Eplus results'!$1:$1048576,ROW(),FALSE)</f>
        <v>0</v>
      </c>
      <c r="AC4102" s="580">
        <f>HLOOKUP("*"&amp;'Output annual'!$AC$2&amp;'Output annual'!$AD$2&amp;"*FangerPMV(Hourly)",'Eplus results'!$1:$1048576,ROW(),FALSE)</f>
        <v>0</v>
      </c>
      <c r="AD4102" s="580">
        <f t="shared" si="356"/>
        <v>5</v>
      </c>
      <c r="AE4102" s="580">
        <f t="shared" si="357"/>
        <v>2.5</v>
      </c>
      <c r="AF4102" s="580">
        <f t="shared" si="358"/>
        <v>2.5</v>
      </c>
      <c r="AG4102" s="580">
        <f t="shared" si="359"/>
        <v>0</v>
      </c>
      <c r="AH4102" s="580">
        <f t="shared" si="360"/>
        <v>0</v>
      </c>
    </row>
    <row r="4103" spans="28:34">
      <c r="AB4103" s="580">
        <f>HLOOKUP("*"&amp;'Output annual'!$AC$2&amp;'Output annual'!$AD$2&amp;"*Zone People Number Of Occupants [](Hourly)",'Eplus results'!$1:$1048576,ROW(),FALSE)</f>
        <v>0</v>
      </c>
      <c r="AC4103" s="580">
        <f>HLOOKUP("*"&amp;'Output annual'!$AC$2&amp;'Output annual'!$AD$2&amp;"*FangerPMV(Hourly)",'Eplus results'!$1:$1048576,ROW(),FALSE)</f>
        <v>0</v>
      </c>
      <c r="AD4103" s="580">
        <f t="shared" si="356"/>
        <v>5</v>
      </c>
      <c r="AE4103" s="580">
        <f t="shared" si="357"/>
        <v>2.5</v>
      </c>
      <c r="AF4103" s="580">
        <f t="shared" si="358"/>
        <v>2.5</v>
      </c>
      <c r="AG4103" s="580">
        <f t="shared" si="359"/>
        <v>0</v>
      </c>
      <c r="AH4103" s="580">
        <f t="shared" si="360"/>
        <v>0</v>
      </c>
    </row>
    <row r="4104" spans="28:34">
      <c r="AB4104" s="580">
        <f>HLOOKUP("*"&amp;'Output annual'!$AC$2&amp;'Output annual'!$AD$2&amp;"*Zone People Number Of Occupants [](Hourly)",'Eplus results'!$1:$1048576,ROW(),FALSE)</f>
        <v>0</v>
      </c>
      <c r="AC4104" s="580">
        <f>HLOOKUP("*"&amp;'Output annual'!$AC$2&amp;'Output annual'!$AD$2&amp;"*FangerPMV(Hourly)",'Eplus results'!$1:$1048576,ROW(),FALSE)</f>
        <v>0</v>
      </c>
      <c r="AD4104" s="580">
        <f t="shared" si="356"/>
        <v>5</v>
      </c>
      <c r="AE4104" s="580">
        <f t="shared" si="357"/>
        <v>2.5</v>
      </c>
      <c r="AF4104" s="580">
        <f t="shared" si="358"/>
        <v>2.5</v>
      </c>
      <c r="AG4104" s="580">
        <f t="shared" si="359"/>
        <v>0</v>
      </c>
      <c r="AH4104" s="580">
        <f t="shared" si="360"/>
        <v>0</v>
      </c>
    </row>
    <row r="4105" spans="28:34">
      <c r="AB4105" s="580">
        <f>HLOOKUP("*"&amp;'Output annual'!$AC$2&amp;'Output annual'!$AD$2&amp;"*Zone People Number Of Occupants [](Hourly)",'Eplus results'!$1:$1048576,ROW(),FALSE)</f>
        <v>0</v>
      </c>
      <c r="AC4105" s="580">
        <f>HLOOKUP("*"&amp;'Output annual'!$AC$2&amp;'Output annual'!$AD$2&amp;"*FangerPMV(Hourly)",'Eplus results'!$1:$1048576,ROW(),FALSE)</f>
        <v>0</v>
      </c>
      <c r="AD4105" s="580">
        <f t="shared" si="356"/>
        <v>5</v>
      </c>
      <c r="AE4105" s="580">
        <f t="shared" si="357"/>
        <v>2.5</v>
      </c>
      <c r="AF4105" s="580">
        <f t="shared" si="358"/>
        <v>2.5</v>
      </c>
      <c r="AG4105" s="580">
        <f t="shared" si="359"/>
        <v>0</v>
      </c>
      <c r="AH4105" s="580">
        <f t="shared" si="360"/>
        <v>0</v>
      </c>
    </row>
    <row r="4106" spans="28:34">
      <c r="AB4106" s="580">
        <f>HLOOKUP("*"&amp;'Output annual'!$AC$2&amp;'Output annual'!$AD$2&amp;"*Zone People Number Of Occupants [](Hourly)",'Eplus results'!$1:$1048576,ROW(),FALSE)</f>
        <v>0</v>
      </c>
      <c r="AC4106" s="580">
        <f>HLOOKUP("*"&amp;'Output annual'!$AC$2&amp;'Output annual'!$AD$2&amp;"*FangerPMV(Hourly)",'Eplus results'!$1:$1048576,ROW(),FALSE)</f>
        <v>0</v>
      </c>
      <c r="AD4106" s="580">
        <f t="shared" si="356"/>
        <v>5</v>
      </c>
      <c r="AE4106" s="580">
        <f t="shared" si="357"/>
        <v>2.5</v>
      </c>
      <c r="AF4106" s="580">
        <f t="shared" si="358"/>
        <v>2.5</v>
      </c>
      <c r="AG4106" s="580">
        <f t="shared" si="359"/>
        <v>0</v>
      </c>
      <c r="AH4106" s="580">
        <f t="shared" si="360"/>
        <v>0</v>
      </c>
    </row>
    <row r="4107" spans="28:34">
      <c r="AB4107" s="580">
        <f>HLOOKUP("*"&amp;'Output annual'!$AC$2&amp;'Output annual'!$AD$2&amp;"*Zone People Number Of Occupants [](Hourly)",'Eplus results'!$1:$1048576,ROW(),FALSE)</f>
        <v>0</v>
      </c>
      <c r="AC4107" s="580">
        <f>HLOOKUP("*"&amp;'Output annual'!$AC$2&amp;'Output annual'!$AD$2&amp;"*FangerPMV(Hourly)",'Eplus results'!$1:$1048576,ROW(),FALSE)</f>
        <v>0</v>
      </c>
      <c r="AD4107" s="580">
        <f t="shared" si="356"/>
        <v>5</v>
      </c>
      <c r="AE4107" s="580">
        <f t="shared" si="357"/>
        <v>2.5</v>
      </c>
      <c r="AF4107" s="580">
        <f t="shared" si="358"/>
        <v>2.5</v>
      </c>
      <c r="AG4107" s="580">
        <f t="shared" si="359"/>
        <v>0</v>
      </c>
      <c r="AH4107" s="580">
        <f t="shared" si="360"/>
        <v>0</v>
      </c>
    </row>
    <row r="4108" spans="28:34">
      <c r="AB4108" s="580">
        <f>HLOOKUP("*"&amp;'Output annual'!$AC$2&amp;'Output annual'!$AD$2&amp;"*Zone People Number Of Occupants [](Hourly)",'Eplus results'!$1:$1048576,ROW(),FALSE)</f>
        <v>0</v>
      </c>
      <c r="AC4108" s="580">
        <f>HLOOKUP("*"&amp;'Output annual'!$AC$2&amp;'Output annual'!$AD$2&amp;"*FangerPMV(Hourly)",'Eplus results'!$1:$1048576,ROW(),FALSE)</f>
        <v>0</v>
      </c>
      <c r="AD4108" s="580">
        <f t="shared" si="356"/>
        <v>5</v>
      </c>
      <c r="AE4108" s="580">
        <f t="shared" si="357"/>
        <v>2.5</v>
      </c>
      <c r="AF4108" s="580">
        <f t="shared" si="358"/>
        <v>2.5</v>
      </c>
      <c r="AG4108" s="580">
        <f t="shared" si="359"/>
        <v>0</v>
      </c>
      <c r="AH4108" s="580">
        <f t="shared" si="360"/>
        <v>0</v>
      </c>
    </row>
    <row r="4109" spans="28:34">
      <c r="AB4109" s="580">
        <f>HLOOKUP("*"&amp;'Output annual'!$AC$2&amp;'Output annual'!$AD$2&amp;"*Zone People Number Of Occupants [](Hourly)",'Eplus results'!$1:$1048576,ROW(),FALSE)</f>
        <v>0</v>
      </c>
      <c r="AC4109" s="580">
        <f>HLOOKUP("*"&amp;'Output annual'!$AC$2&amp;'Output annual'!$AD$2&amp;"*FangerPMV(Hourly)",'Eplus results'!$1:$1048576,ROW(),FALSE)</f>
        <v>0</v>
      </c>
      <c r="AD4109" s="580">
        <f t="shared" si="356"/>
        <v>5</v>
      </c>
      <c r="AE4109" s="580">
        <f t="shared" si="357"/>
        <v>2.5</v>
      </c>
      <c r="AF4109" s="580">
        <f t="shared" si="358"/>
        <v>2.5</v>
      </c>
      <c r="AG4109" s="580">
        <f t="shared" si="359"/>
        <v>0</v>
      </c>
      <c r="AH4109" s="580">
        <f t="shared" si="360"/>
        <v>0</v>
      </c>
    </row>
    <row r="4110" spans="28:34">
      <c r="AB4110" s="580">
        <f>HLOOKUP("*"&amp;'Output annual'!$AC$2&amp;'Output annual'!$AD$2&amp;"*Zone People Number Of Occupants [](Hourly)",'Eplus results'!$1:$1048576,ROW(),FALSE)</f>
        <v>0</v>
      </c>
      <c r="AC4110" s="580">
        <f>HLOOKUP("*"&amp;'Output annual'!$AC$2&amp;'Output annual'!$AD$2&amp;"*FangerPMV(Hourly)",'Eplus results'!$1:$1048576,ROW(),FALSE)</f>
        <v>0</v>
      </c>
      <c r="AD4110" s="580">
        <f t="shared" si="356"/>
        <v>5</v>
      </c>
      <c r="AE4110" s="580">
        <f t="shared" si="357"/>
        <v>2.5</v>
      </c>
      <c r="AF4110" s="580">
        <f t="shared" si="358"/>
        <v>2.5</v>
      </c>
      <c r="AG4110" s="580">
        <f t="shared" si="359"/>
        <v>0</v>
      </c>
      <c r="AH4110" s="580">
        <f t="shared" si="360"/>
        <v>0</v>
      </c>
    </row>
    <row r="4111" spans="28:34">
      <c r="AB4111" s="580">
        <f>HLOOKUP("*"&amp;'Output annual'!$AC$2&amp;'Output annual'!$AD$2&amp;"*Zone People Number Of Occupants [](Hourly)",'Eplus results'!$1:$1048576,ROW(),FALSE)</f>
        <v>0</v>
      </c>
      <c r="AC4111" s="580">
        <f>HLOOKUP("*"&amp;'Output annual'!$AC$2&amp;'Output annual'!$AD$2&amp;"*FangerPMV(Hourly)",'Eplus results'!$1:$1048576,ROW(),FALSE)</f>
        <v>0</v>
      </c>
      <c r="AD4111" s="580">
        <f t="shared" si="356"/>
        <v>5</v>
      </c>
      <c r="AE4111" s="580">
        <f t="shared" si="357"/>
        <v>2.5</v>
      </c>
      <c r="AF4111" s="580">
        <f t="shared" si="358"/>
        <v>2.5</v>
      </c>
      <c r="AG4111" s="580">
        <f t="shared" si="359"/>
        <v>0</v>
      </c>
      <c r="AH4111" s="580">
        <f t="shared" si="360"/>
        <v>0</v>
      </c>
    </row>
    <row r="4112" spans="28:34">
      <c r="AB4112" s="580">
        <f>HLOOKUP("*"&amp;'Output annual'!$AC$2&amp;'Output annual'!$AD$2&amp;"*Zone People Number Of Occupants [](Hourly)",'Eplus results'!$1:$1048576,ROW(),FALSE)</f>
        <v>0</v>
      </c>
      <c r="AC4112" s="580">
        <f>HLOOKUP("*"&amp;'Output annual'!$AC$2&amp;'Output annual'!$AD$2&amp;"*FangerPMV(Hourly)",'Eplus results'!$1:$1048576,ROW(),FALSE)</f>
        <v>0</v>
      </c>
      <c r="AD4112" s="580">
        <f t="shared" si="356"/>
        <v>5</v>
      </c>
      <c r="AE4112" s="580">
        <f t="shared" si="357"/>
        <v>2.5</v>
      </c>
      <c r="AF4112" s="580">
        <f t="shared" si="358"/>
        <v>2.5</v>
      </c>
      <c r="AG4112" s="580">
        <f t="shared" si="359"/>
        <v>0</v>
      </c>
      <c r="AH4112" s="580">
        <f t="shared" si="360"/>
        <v>0</v>
      </c>
    </row>
    <row r="4113" spans="28:34">
      <c r="AB4113" s="580">
        <f>HLOOKUP("*"&amp;'Output annual'!$AC$2&amp;'Output annual'!$AD$2&amp;"*Zone People Number Of Occupants [](Hourly)",'Eplus results'!$1:$1048576,ROW(),FALSE)</f>
        <v>0</v>
      </c>
      <c r="AC4113" s="580">
        <f>HLOOKUP("*"&amp;'Output annual'!$AC$2&amp;'Output annual'!$AD$2&amp;"*FangerPMV(Hourly)",'Eplus results'!$1:$1048576,ROW(),FALSE)</f>
        <v>0</v>
      </c>
      <c r="AD4113" s="580">
        <f t="shared" si="356"/>
        <v>5</v>
      </c>
      <c r="AE4113" s="580">
        <f t="shared" si="357"/>
        <v>2.5</v>
      </c>
      <c r="AF4113" s="580">
        <f t="shared" si="358"/>
        <v>2.5</v>
      </c>
      <c r="AG4113" s="580">
        <f t="shared" si="359"/>
        <v>0</v>
      </c>
      <c r="AH4113" s="580">
        <f t="shared" si="360"/>
        <v>0</v>
      </c>
    </row>
    <row r="4114" spans="28:34">
      <c r="AB4114" s="580">
        <f>HLOOKUP("*"&amp;'Output annual'!$AC$2&amp;'Output annual'!$AD$2&amp;"*Zone People Number Of Occupants [](Hourly)",'Eplus results'!$1:$1048576,ROW(),FALSE)</f>
        <v>0</v>
      </c>
      <c r="AC4114" s="580">
        <f>HLOOKUP("*"&amp;'Output annual'!$AC$2&amp;'Output annual'!$AD$2&amp;"*FangerPMV(Hourly)",'Eplus results'!$1:$1048576,ROW(),FALSE)</f>
        <v>0</v>
      </c>
      <c r="AD4114" s="580">
        <f t="shared" si="356"/>
        <v>5</v>
      </c>
      <c r="AE4114" s="580">
        <f t="shared" si="357"/>
        <v>2.5</v>
      </c>
      <c r="AF4114" s="580">
        <f t="shared" si="358"/>
        <v>2.5</v>
      </c>
      <c r="AG4114" s="580">
        <f t="shared" si="359"/>
        <v>0</v>
      </c>
      <c r="AH4114" s="580">
        <f t="shared" si="360"/>
        <v>0</v>
      </c>
    </row>
    <row r="4115" spans="28:34">
      <c r="AB4115" s="580">
        <f>HLOOKUP("*"&amp;'Output annual'!$AC$2&amp;'Output annual'!$AD$2&amp;"*Zone People Number Of Occupants [](Hourly)",'Eplus results'!$1:$1048576,ROW(),FALSE)</f>
        <v>0</v>
      </c>
      <c r="AC4115" s="580">
        <f>HLOOKUP("*"&amp;'Output annual'!$AC$2&amp;'Output annual'!$AD$2&amp;"*FangerPMV(Hourly)",'Eplus results'!$1:$1048576,ROW(),FALSE)</f>
        <v>0</v>
      </c>
      <c r="AD4115" s="580">
        <f t="shared" si="356"/>
        <v>5</v>
      </c>
      <c r="AE4115" s="580">
        <f t="shared" si="357"/>
        <v>2.5</v>
      </c>
      <c r="AF4115" s="580">
        <f t="shared" si="358"/>
        <v>2.5</v>
      </c>
      <c r="AG4115" s="580">
        <f t="shared" si="359"/>
        <v>0</v>
      </c>
      <c r="AH4115" s="580">
        <f t="shared" si="360"/>
        <v>0</v>
      </c>
    </row>
    <row r="4116" spans="28:34">
      <c r="AB4116" s="580">
        <f>HLOOKUP("*"&amp;'Output annual'!$AC$2&amp;'Output annual'!$AD$2&amp;"*Zone People Number Of Occupants [](Hourly)",'Eplus results'!$1:$1048576,ROW(),FALSE)</f>
        <v>0</v>
      </c>
      <c r="AC4116" s="580">
        <f>HLOOKUP("*"&amp;'Output annual'!$AC$2&amp;'Output annual'!$AD$2&amp;"*FangerPMV(Hourly)",'Eplus results'!$1:$1048576,ROW(),FALSE)</f>
        <v>0</v>
      </c>
      <c r="AD4116" s="580">
        <f t="shared" si="356"/>
        <v>5</v>
      </c>
      <c r="AE4116" s="580">
        <f t="shared" si="357"/>
        <v>2.5</v>
      </c>
      <c r="AF4116" s="580">
        <f t="shared" si="358"/>
        <v>2.5</v>
      </c>
      <c r="AG4116" s="580">
        <f t="shared" si="359"/>
        <v>0</v>
      </c>
      <c r="AH4116" s="580">
        <f t="shared" si="360"/>
        <v>0</v>
      </c>
    </row>
    <row r="4117" spans="28:34">
      <c r="AB4117" s="580">
        <f>HLOOKUP("*"&amp;'Output annual'!$AC$2&amp;'Output annual'!$AD$2&amp;"*Zone People Number Of Occupants [](Hourly)",'Eplus results'!$1:$1048576,ROW(),FALSE)</f>
        <v>0</v>
      </c>
      <c r="AC4117" s="580">
        <f>HLOOKUP("*"&amp;'Output annual'!$AC$2&amp;'Output annual'!$AD$2&amp;"*FangerPMV(Hourly)",'Eplus results'!$1:$1048576,ROW(),FALSE)</f>
        <v>0</v>
      </c>
      <c r="AD4117" s="580">
        <f t="shared" si="356"/>
        <v>5</v>
      </c>
      <c r="AE4117" s="580">
        <f t="shared" si="357"/>
        <v>2.5</v>
      </c>
      <c r="AF4117" s="580">
        <f t="shared" si="358"/>
        <v>2.5</v>
      </c>
      <c r="AG4117" s="580">
        <f t="shared" si="359"/>
        <v>0</v>
      </c>
      <c r="AH4117" s="580">
        <f t="shared" si="360"/>
        <v>0</v>
      </c>
    </row>
    <row r="4118" spans="28:34">
      <c r="AB4118" s="580">
        <f>HLOOKUP("*"&amp;'Output annual'!$AC$2&amp;'Output annual'!$AD$2&amp;"*Zone People Number Of Occupants [](Hourly)",'Eplus results'!$1:$1048576,ROW(),FALSE)</f>
        <v>0</v>
      </c>
      <c r="AC4118" s="580">
        <f>HLOOKUP("*"&amp;'Output annual'!$AC$2&amp;'Output annual'!$AD$2&amp;"*FangerPMV(Hourly)",'Eplus results'!$1:$1048576,ROW(),FALSE)</f>
        <v>0</v>
      </c>
      <c r="AD4118" s="580">
        <f t="shared" si="356"/>
        <v>5</v>
      </c>
      <c r="AE4118" s="580">
        <f t="shared" si="357"/>
        <v>2.5</v>
      </c>
      <c r="AF4118" s="580">
        <f t="shared" si="358"/>
        <v>2.5</v>
      </c>
      <c r="AG4118" s="580">
        <f t="shared" si="359"/>
        <v>0</v>
      </c>
      <c r="AH4118" s="580">
        <f t="shared" si="360"/>
        <v>0</v>
      </c>
    </row>
    <row r="4119" spans="28:34">
      <c r="AB4119" s="580">
        <f>HLOOKUP("*"&amp;'Output annual'!$AC$2&amp;'Output annual'!$AD$2&amp;"*Zone People Number Of Occupants [](Hourly)",'Eplus results'!$1:$1048576,ROW(),FALSE)</f>
        <v>0</v>
      </c>
      <c r="AC4119" s="580">
        <f>HLOOKUP("*"&amp;'Output annual'!$AC$2&amp;'Output annual'!$AD$2&amp;"*FangerPMV(Hourly)",'Eplus results'!$1:$1048576,ROW(),FALSE)</f>
        <v>0</v>
      </c>
      <c r="AD4119" s="580">
        <f t="shared" si="356"/>
        <v>5</v>
      </c>
      <c r="AE4119" s="580">
        <f t="shared" si="357"/>
        <v>2.5</v>
      </c>
      <c r="AF4119" s="580">
        <f t="shared" si="358"/>
        <v>2.5</v>
      </c>
      <c r="AG4119" s="580">
        <f t="shared" si="359"/>
        <v>0</v>
      </c>
      <c r="AH4119" s="580">
        <f t="shared" si="360"/>
        <v>0</v>
      </c>
    </row>
    <row r="4120" spans="28:34">
      <c r="AB4120" s="580">
        <f>HLOOKUP("*"&amp;'Output annual'!$AC$2&amp;'Output annual'!$AD$2&amp;"*Zone People Number Of Occupants [](Hourly)",'Eplus results'!$1:$1048576,ROW(),FALSE)</f>
        <v>0</v>
      </c>
      <c r="AC4120" s="580">
        <f>HLOOKUP("*"&amp;'Output annual'!$AC$2&amp;'Output annual'!$AD$2&amp;"*FangerPMV(Hourly)",'Eplus results'!$1:$1048576,ROW(),FALSE)</f>
        <v>0</v>
      </c>
      <c r="AD4120" s="580">
        <f t="shared" si="356"/>
        <v>5</v>
      </c>
      <c r="AE4120" s="580">
        <f t="shared" si="357"/>
        <v>2.5</v>
      </c>
      <c r="AF4120" s="580">
        <f t="shared" si="358"/>
        <v>2.5</v>
      </c>
      <c r="AG4120" s="580">
        <f t="shared" si="359"/>
        <v>0</v>
      </c>
      <c r="AH4120" s="580">
        <f t="shared" si="360"/>
        <v>0</v>
      </c>
    </row>
    <row r="4121" spans="28:34">
      <c r="AB4121" s="580">
        <f>HLOOKUP("*"&amp;'Output annual'!$AC$2&amp;'Output annual'!$AD$2&amp;"*Zone People Number Of Occupants [](Hourly)",'Eplus results'!$1:$1048576,ROW(),FALSE)</f>
        <v>0</v>
      </c>
      <c r="AC4121" s="580">
        <f>HLOOKUP("*"&amp;'Output annual'!$AC$2&amp;'Output annual'!$AD$2&amp;"*FangerPMV(Hourly)",'Eplus results'!$1:$1048576,ROW(),FALSE)</f>
        <v>0</v>
      </c>
      <c r="AD4121" s="580">
        <f t="shared" si="356"/>
        <v>5</v>
      </c>
      <c r="AE4121" s="580">
        <f t="shared" si="357"/>
        <v>2.5</v>
      </c>
      <c r="AF4121" s="580">
        <f t="shared" si="358"/>
        <v>2.5</v>
      </c>
      <c r="AG4121" s="580">
        <f t="shared" si="359"/>
        <v>0</v>
      </c>
      <c r="AH4121" s="580">
        <f t="shared" si="360"/>
        <v>0</v>
      </c>
    </row>
    <row r="4122" spans="28:34">
      <c r="AB4122" s="580">
        <f>HLOOKUP("*"&amp;'Output annual'!$AC$2&amp;'Output annual'!$AD$2&amp;"*Zone People Number Of Occupants [](Hourly)",'Eplus results'!$1:$1048576,ROW(),FALSE)</f>
        <v>0</v>
      </c>
      <c r="AC4122" s="580">
        <f>HLOOKUP("*"&amp;'Output annual'!$AC$2&amp;'Output annual'!$AD$2&amp;"*FangerPMV(Hourly)",'Eplus results'!$1:$1048576,ROW(),FALSE)</f>
        <v>0</v>
      </c>
      <c r="AD4122" s="580">
        <f t="shared" si="356"/>
        <v>5</v>
      </c>
      <c r="AE4122" s="580">
        <f t="shared" si="357"/>
        <v>2.5</v>
      </c>
      <c r="AF4122" s="580">
        <f t="shared" si="358"/>
        <v>2.5</v>
      </c>
      <c r="AG4122" s="580">
        <f t="shared" si="359"/>
        <v>0</v>
      </c>
      <c r="AH4122" s="580">
        <f t="shared" si="360"/>
        <v>0</v>
      </c>
    </row>
    <row r="4123" spans="28:34">
      <c r="AB4123" s="580">
        <f>HLOOKUP("*"&amp;'Output annual'!$AC$2&amp;'Output annual'!$AD$2&amp;"*Zone People Number Of Occupants [](Hourly)",'Eplus results'!$1:$1048576,ROW(),FALSE)</f>
        <v>0</v>
      </c>
      <c r="AC4123" s="580">
        <f>HLOOKUP("*"&amp;'Output annual'!$AC$2&amp;'Output annual'!$AD$2&amp;"*FangerPMV(Hourly)",'Eplus results'!$1:$1048576,ROW(),FALSE)</f>
        <v>0</v>
      </c>
      <c r="AD4123" s="580">
        <f t="shared" si="356"/>
        <v>5</v>
      </c>
      <c r="AE4123" s="580">
        <f t="shared" si="357"/>
        <v>2.5</v>
      </c>
      <c r="AF4123" s="580">
        <f t="shared" si="358"/>
        <v>2.5</v>
      </c>
      <c r="AG4123" s="580">
        <f t="shared" si="359"/>
        <v>0</v>
      </c>
      <c r="AH4123" s="580">
        <f t="shared" si="360"/>
        <v>0</v>
      </c>
    </row>
    <row r="4124" spans="28:34">
      <c r="AB4124" s="580">
        <f>HLOOKUP("*"&amp;'Output annual'!$AC$2&amp;'Output annual'!$AD$2&amp;"*Zone People Number Of Occupants [](Hourly)",'Eplus results'!$1:$1048576,ROW(),FALSE)</f>
        <v>0</v>
      </c>
      <c r="AC4124" s="580">
        <f>HLOOKUP("*"&amp;'Output annual'!$AC$2&amp;'Output annual'!$AD$2&amp;"*FangerPMV(Hourly)",'Eplus results'!$1:$1048576,ROW(),FALSE)</f>
        <v>0</v>
      </c>
      <c r="AD4124" s="580">
        <f t="shared" si="356"/>
        <v>5</v>
      </c>
      <c r="AE4124" s="580">
        <f t="shared" si="357"/>
        <v>2.5</v>
      </c>
      <c r="AF4124" s="580">
        <f t="shared" si="358"/>
        <v>2.5</v>
      </c>
      <c r="AG4124" s="580">
        <f t="shared" si="359"/>
        <v>0</v>
      </c>
      <c r="AH4124" s="580">
        <f t="shared" si="360"/>
        <v>0</v>
      </c>
    </row>
    <row r="4125" spans="28:34">
      <c r="AB4125" s="580">
        <f>HLOOKUP("*"&amp;'Output annual'!$AC$2&amp;'Output annual'!$AD$2&amp;"*Zone People Number Of Occupants [](Hourly)",'Eplus results'!$1:$1048576,ROW(),FALSE)</f>
        <v>0</v>
      </c>
      <c r="AC4125" s="580">
        <f>HLOOKUP("*"&amp;'Output annual'!$AC$2&amp;'Output annual'!$AD$2&amp;"*FangerPMV(Hourly)",'Eplus results'!$1:$1048576,ROW(),FALSE)</f>
        <v>0</v>
      </c>
      <c r="AD4125" s="580">
        <f t="shared" si="356"/>
        <v>5</v>
      </c>
      <c r="AE4125" s="580">
        <f t="shared" si="357"/>
        <v>2.5</v>
      </c>
      <c r="AF4125" s="580">
        <f t="shared" si="358"/>
        <v>2.5</v>
      </c>
      <c r="AG4125" s="580">
        <f t="shared" si="359"/>
        <v>0</v>
      </c>
      <c r="AH4125" s="580">
        <f t="shared" si="360"/>
        <v>0</v>
      </c>
    </row>
    <row r="4126" spans="28:34">
      <c r="AB4126" s="580">
        <f>HLOOKUP("*"&amp;'Output annual'!$AC$2&amp;'Output annual'!$AD$2&amp;"*Zone People Number Of Occupants [](Hourly)",'Eplus results'!$1:$1048576,ROW(),FALSE)</f>
        <v>0</v>
      </c>
      <c r="AC4126" s="580">
        <f>HLOOKUP("*"&amp;'Output annual'!$AC$2&amp;'Output annual'!$AD$2&amp;"*FangerPMV(Hourly)",'Eplus results'!$1:$1048576,ROW(),FALSE)</f>
        <v>0</v>
      </c>
      <c r="AD4126" s="580">
        <f t="shared" si="356"/>
        <v>5</v>
      </c>
      <c r="AE4126" s="580">
        <f t="shared" si="357"/>
        <v>2.5</v>
      </c>
      <c r="AF4126" s="580">
        <f t="shared" si="358"/>
        <v>2.5</v>
      </c>
      <c r="AG4126" s="580">
        <f t="shared" si="359"/>
        <v>0</v>
      </c>
      <c r="AH4126" s="580">
        <f t="shared" si="360"/>
        <v>0</v>
      </c>
    </row>
    <row r="4127" spans="28:34">
      <c r="AB4127" s="580">
        <f>HLOOKUP("*"&amp;'Output annual'!$AC$2&amp;'Output annual'!$AD$2&amp;"*Zone People Number Of Occupants [](Hourly)",'Eplus results'!$1:$1048576,ROW(),FALSE)</f>
        <v>0</v>
      </c>
      <c r="AC4127" s="580">
        <f>HLOOKUP("*"&amp;'Output annual'!$AC$2&amp;'Output annual'!$AD$2&amp;"*FangerPMV(Hourly)",'Eplus results'!$1:$1048576,ROW(),FALSE)</f>
        <v>0</v>
      </c>
      <c r="AD4127" s="580">
        <f t="shared" si="356"/>
        <v>5</v>
      </c>
      <c r="AE4127" s="580">
        <f t="shared" si="357"/>
        <v>2.5</v>
      </c>
      <c r="AF4127" s="580">
        <f t="shared" si="358"/>
        <v>2.5</v>
      </c>
      <c r="AG4127" s="580">
        <f t="shared" si="359"/>
        <v>0</v>
      </c>
      <c r="AH4127" s="580">
        <f t="shared" si="360"/>
        <v>0</v>
      </c>
    </row>
    <row r="4128" spans="28:34">
      <c r="AB4128" s="580">
        <f>HLOOKUP("*"&amp;'Output annual'!$AC$2&amp;'Output annual'!$AD$2&amp;"*Zone People Number Of Occupants [](Hourly)",'Eplus results'!$1:$1048576,ROW(),FALSE)</f>
        <v>0</v>
      </c>
      <c r="AC4128" s="580">
        <f>HLOOKUP("*"&amp;'Output annual'!$AC$2&amp;'Output annual'!$AD$2&amp;"*FangerPMV(Hourly)",'Eplus results'!$1:$1048576,ROW(),FALSE)</f>
        <v>0</v>
      </c>
      <c r="AD4128" s="580">
        <f t="shared" si="356"/>
        <v>5</v>
      </c>
      <c r="AE4128" s="580">
        <f t="shared" si="357"/>
        <v>2.5</v>
      </c>
      <c r="AF4128" s="580">
        <f t="shared" si="358"/>
        <v>2.5</v>
      </c>
      <c r="AG4128" s="580">
        <f t="shared" si="359"/>
        <v>0</v>
      </c>
      <c r="AH4128" s="580">
        <f t="shared" si="360"/>
        <v>0</v>
      </c>
    </row>
    <row r="4129" spans="28:34">
      <c r="AB4129" s="580">
        <f>HLOOKUP("*"&amp;'Output annual'!$AC$2&amp;'Output annual'!$AD$2&amp;"*Zone People Number Of Occupants [](Hourly)",'Eplus results'!$1:$1048576,ROW(),FALSE)</f>
        <v>0</v>
      </c>
      <c r="AC4129" s="580">
        <f>HLOOKUP("*"&amp;'Output annual'!$AC$2&amp;'Output annual'!$AD$2&amp;"*FangerPMV(Hourly)",'Eplus results'!$1:$1048576,ROW(),FALSE)</f>
        <v>0</v>
      </c>
      <c r="AD4129" s="580">
        <f t="shared" si="356"/>
        <v>5</v>
      </c>
      <c r="AE4129" s="580">
        <f t="shared" si="357"/>
        <v>2.5</v>
      </c>
      <c r="AF4129" s="580">
        <f t="shared" si="358"/>
        <v>2.5</v>
      </c>
      <c r="AG4129" s="580">
        <f t="shared" si="359"/>
        <v>0</v>
      </c>
      <c r="AH4129" s="580">
        <f t="shared" si="360"/>
        <v>0</v>
      </c>
    </row>
    <row r="4130" spans="28:34">
      <c r="AB4130" s="580">
        <f>HLOOKUP("*"&amp;'Output annual'!$AC$2&amp;'Output annual'!$AD$2&amp;"*Zone People Number Of Occupants [](Hourly)",'Eplus results'!$1:$1048576,ROW(),FALSE)</f>
        <v>0</v>
      </c>
      <c r="AC4130" s="580">
        <f>HLOOKUP("*"&amp;'Output annual'!$AC$2&amp;'Output annual'!$AD$2&amp;"*FangerPMV(Hourly)",'Eplus results'!$1:$1048576,ROW(),FALSE)</f>
        <v>0</v>
      </c>
      <c r="AD4130" s="580">
        <f t="shared" si="356"/>
        <v>5</v>
      </c>
      <c r="AE4130" s="580">
        <f t="shared" si="357"/>
        <v>2.5</v>
      </c>
      <c r="AF4130" s="580">
        <f t="shared" si="358"/>
        <v>2.5</v>
      </c>
      <c r="AG4130" s="580">
        <f t="shared" si="359"/>
        <v>0</v>
      </c>
      <c r="AH4130" s="580">
        <f t="shared" si="360"/>
        <v>0</v>
      </c>
    </row>
    <row r="4131" spans="28:34">
      <c r="AB4131" s="580">
        <f>HLOOKUP("*"&amp;'Output annual'!$AC$2&amp;'Output annual'!$AD$2&amp;"*Zone People Number Of Occupants [](Hourly)",'Eplus results'!$1:$1048576,ROW(),FALSE)</f>
        <v>0</v>
      </c>
      <c r="AC4131" s="580">
        <f>HLOOKUP("*"&amp;'Output annual'!$AC$2&amp;'Output annual'!$AD$2&amp;"*FangerPMV(Hourly)",'Eplus results'!$1:$1048576,ROW(),FALSE)</f>
        <v>0</v>
      </c>
      <c r="AD4131" s="580">
        <f t="shared" si="356"/>
        <v>5</v>
      </c>
      <c r="AE4131" s="580">
        <f t="shared" si="357"/>
        <v>2.5</v>
      </c>
      <c r="AF4131" s="580">
        <f t="shared" si="358"/>
        <v>2.5</v>
      </c>
      <c r="AG4131" s="580">
        <f t="shared" si="359"/>
        <v>0</v>
      </c>
      <c r="AH4131" s="580">
        <f t="shared" si="360"/>
        <v>0</v>
      </c>
    </row>
    <row r="4132" spans="28:34">
      <c r="AB4132" s="580">
        <f>HLOOKUP("*"&amp;'Output annual'!$AC$2&amp;'Output annual'!$AD$2&amp;"*Zone People Number Of Occupants [](Hourly)",'Eplus results'!$1:$1048576,ROW(),FALSE)</f>
        <v>0</v>
      </c>
      <c r="AC4132" s="580">
        <f>HLOOKUP("*"&amp;'Output annual'!$AC$2&amp;'Output annual'!$AD$2&amp;"*FangerPMV(Hourly)",'Eplus results'!$1:$1048576,ROW(),FALSE)</f>
        <v>0</v>
      </c>
      <c r="AD4132" s="580">
        <f t="shared" si="356"/>
        <v>5</v>
      </c>
      <c r="AE4132" s="580">
        <f t="shared" si="357"/>
        <v>2.5</v>
      </c>
      <c r="AF4132" s="580">
        <f t="shared" si="358"/>
        <v>2.5</v>
      </c>
      <c r="AG4132" s="580">
        <f t="shared" si="359"/>
        <v>0</v>
      </c>
      <c r="AH4132" s="580">
        <f t="shared" si="360"/>
        <v>0</v>
      </c>
    </row>
    <row r="4133" spans="28:34">
      <c r="AB4133" s="580">
        <f>HLOOKUP("*"&amp;'Output annual'!$AC$2&amp;'Output annual'!$AD$2&amp;"*Zone People Number Of Occupants [](Hourly)",'Eplus results'!$1:$1048576,ROW(),FALSE)</f>
        <v>0</v>
      </c>
      <c r="AC4133" s="580">
        <f>HLOOKUP("*"&amp;'Output annual'!$AC$2&amp;'Output annual'!$AD$2&amp;"*FangerPMV(Hourly)",'Eplus results'!$1:$1048576,ROW(),FALSE)</f>
        <v>0</v>
      </c>
      <c r="AD4133" s="580">
        <f t="shared" si="356"/>
        <v>5</v>
      </c>
      <c r="AE4133" s="580">
        <f t="shared" si="357"/>
        <v>2.5</v>
      </c>
      <c r="AF4133" s="580">
        <f t="shared" si="358"/>
        <v>2.5</v>
      </c>
      <c r="AG4133" s="580">
        <f t="shared" si="359"/>
        <v>0</v>
      </c>
      <c r="AH4133" s="580">
        <f t="shared" si="360"/>
        <v>0</v>
      </c>
    </row>
    <row r="4134" spans="28:34">
      <c r="AB4134" s="580">
        <f>HLOOKUP("*"&amp;'Output annual'!$AC$2&amp;'Output annual'!$AD$2&amp;"*Zone People Number Of Occupants [](Hourly)",'Eplus results'!$1:$1048576,ROW(),FALSE)</f>
        <v>0</v>
      </c>
      <c r="AC4134" s="580">
        <f>HLOOKUP("*"&amp;'Output annual'!$AC$2&amp;'Output annual'!$AD$2&amp;"*FangerPMV(Hourly)",'Eplus results'!$1:$1048576,ROW(),FALSE)</f>
        <v>0</v>
      </c>
      <c r="AD4134" s="580">
        <f t="shared" si="356"/>
        <v>5</v>
      </c>
      <c r="AE4134" s="580">
        <f t="shared" si="357"/>
        <v>2.5</v>
      </c>
      <c r="AF4134" s="580">
        <f t="shared" si="358"/>
        <v>2.5</v>
      </c>
      <c r="AG4134" s="580">
        <f t="shared" si="359"/>
        <v>0</v>
      </c>
      <c r="AH4134" s="580">
        <f t="shared" si="360"/>
        <v>0</v>
      </c>
    </row>
    <row r="4135" spans="28:34">
      <c r="AB4135" s="580">
        <f>HLOOKUP("*"&amp;'Output annual'!$AC$2&amp;'Output annual'!$AD$2&amp;"*Zone People Number Of Occupants [](Hourly)",'Eplus results'!$1:$1048576,ROW(),FALSE)</f>
        <v>0</v>
      </c>
      <c r="AC4135" s="580">
        <f>HLOOKUP("*"&amp;'Output annual'!$AC$2&amp;'Output annual'!$AD$2&amp;"*FangerPMV(Hourly)",'Eplus results'!$1:$1048576,ROW(),FALSE)</f>
        <v>0</v>
      </c>
      <c r="AD4135" s="580">
        <f t="shared" si="356"/>
        <v>5</v>
      </c>
      <c r="AE4135" s="580">
        <f t="shared" si="357"/>
        <v>2.5</v>
      </c>
      <c r="AF4135" s="580">
        <f t="shared" si="358"/>
        <v>2.5</v>
      </c>
      <c r="AG4135" s="580">
        <f t="shared" si="359"/>
        <v>0</v>
      </c>
      <c r="AH4135" s="580">
        <f t="shared" si="360"/>
        <v>0</v>
      </c>
    </row>
    <row r="4136" spans="28:34">
      <c r="AB4136" s="580">
        <f>HLOOKUP("*"&amp;'Output annual'!$AC$2&amp;'Output annual'!$AD$2&amp;"*Zone People Number Of Occupants [](Hourly)",'Eplus results'!$1:$1048576,ROW(),FALSE)</f>
        <v>0</v>
      </c>
      <c r="AC4136" s="580">
        <f>HLOOKUP("*"&amp;'Output annual'!$AC$2&amp;'Output annual'!$AD$2&amp;"*FangerPMV(Hourly)",'Eplus results'!$1:$1048576,ROW(),FALSE)</f>
        <v>0</v>
      </c>
      <c r="AD4136" s="580">
        <f t="shared" si="356"/>
        <v>5</v>
      </c>
      <c r="AE4136" s="580">
        <f t="shared" si="357"/>
        <v>2.5</v>
      </c>
      <c r="AF4136" s="580">
        <f t="shared" si="358"/>
        <v>2.5</v>
      </c>
      <c r="AG4136" s="580">
        <f t="shared" si="359"/>
        <v>0</v>
      </c>
      <c r="AH4136" s="580">
        <f t="shared" si="360"/>
        <v>0</v>
      </c>
    </row>
    <row r="4137" spans="28:34">
      <c r="AB4137" s="580">
        <f>HLOOKUP("*"&amp;'Output annual'!$AC$2&amp;'Output annual'!$AD$2&amp;"*Zone People Number Of Occupants [](Hourly)",'Eplus results'!$1:$1048576,ROW(),FALSE)</f>
        <v>0</v>
      </c>
      <c r="AC4137" s="580">
        <f>HLOOKUP("*"&amp;'Output annual'!$AC$2&amp;'Output annual'!$AD$2&amp;"*FangerPMV(Hourly)",'Eplus results'!$1:$1048576,ROW(),FALSE)</f>
        <v>0</v>
      </c>
      <c r="AD4137" s="580">
        <f t="shared" si="356"/>
        <v>5</v>
      </c>
      <c r="AE4137" s="580">
        <f t="shared" si="357"/>
        <v>2.5</v>
      </c>
      <c r="AF4137" s="580">
        <f t="shared" si="358"/>
        <v>2.5</v>
      </c>
      <c r="AG4137" s="580">
        <f t="shared" si="359"/>
        <v>0</v>
      </c>
      <c r="AH4137" s="580">
        <f t="shared" si="360"/>
        <v>0</v>
      </c>
    </row>
    <row r="4138" spans="28:34">
      <c r="AB4138" s="580">
        <f>HLOOKUP("*"&amp;'Output annual'!$AC$2&amp;'Output annual'!$AD$2&amp;"*Zone People Number Of Occupants [](Hourly)",'Eplus results'!$1:$1048576,ROW(),FALSE)</f>
        <v>0</v>
      </c>
      <c r="AC4138" s="580">
        <f>HLOOKUP("*"&amp;'Output annual'!$AC$2&amp;'Output annual'!$AD$2&amp;"*FangerPMV(Hourly)",'Eplus results'!$1:$1048576,ROW(),FALSE)</f>
        <v>0</v>
      </c>
      <c r="AD4138" s="580">
        <f t="shared" si="356"/>
        <v>5</v>
      </c>
      <c r="AE4138" s="580">
        <f t="shared" si="357"/>
        <v>2.5</v>
      </c>
      <c r="AF4138" s="580">
        <f t="shared" si="358"/>
        <v>2.5</v>
      </c>
      <c r="AG4138" s="580">
        <f t="shared" si="359"/>
        <v>0</v>
      </c>
      <c r="AH4138" s="580">
        <f t="shared" si="360"/>
        <v>0</v>
      </c>
    </row>
    <row r="4139" spans="28:34">
      <c r="AB4139" s="580">
        <f>HLOOKUP("*"&amp;'Output annual'!$AC$2&amp;'Output annual'!$AD$2&amp;"*Zone People Number Of Occupants [](Hourly)",'Eplus results'!$1:$1048576,ROW(),FALSE)</f>
        <v>0</v>
      </c>
      <c r="AC4139" s="580">
        <f>HLOOKUP("*"&amp;'Output annual'!$AC$2&amp;'Output annual'!$AD$2&amp;"*FangerPMV(Hourly)",'Eplus results'!$1:$1048576,ROW(),FALSE)</f>
        <v>0</v>
      </c>
      <c r="AD4139" s="580">
        <f t="shared" si="356"/>
        <v>5</v>
      </c>
      <c r="AE4139" s="580">
        <f t="shared" si="357"/>
        <v>2.5</v>
      </c>
      <c r="AF4139" s="580">
        <f t="shared" si="358"/>
        <v>2.5</v>
      </c>
      <c r="AG4139" s="580">
        <f t="shared" si="359"/>
        <v>0</v>
      </c>
      <c r="AH4139" s="580">
        <f t="shared" si="360"/>
        <v>0</v>
      </c>
    </row>
    <row r="4140" spans="28:34">
      <c r="AB4140" s="580">
        <f>HLOOKUP("*"&amp;'Output annual'!$AC$2&amp;'Output annual'!$AD$2&amp;"*Zone People Number Of Occupants [](Hourly)",'Eplus results'!$1:$1048576,ROW(),FALSE)</f>
        <v>0</v>
      </c>
      <c r="AC4140" s="580">
        <f>HLOOKUP("*"&amp;'Output annual'!$AC$2&amp;'Output annual'!$AD$2&amp;"*FangerPMV(Hourly)",'Eplus results'!$1:$1048576,ROW(),FALSE)</f>
        <v>0</v>
      </c>
      <c r="AD4140" s="580">
        <f t="shared" si="356"/>
        <v>5</v>
      </c>
      <c r="AE4140" s="580">
        <f t="shared" si="357"/>
        <v>2.5</v>
      </c>
      <c r="AF4140" s="580">
        <f t="shared" si="358"/>
        <v>2.5</v>
      </c>
      <c r="AG4140" s="580">
        <f t="shared" si="359"/>
        <v>0</v>
      </c>
      <c r="AH4140" s="580">
        <f t="shared" si="360"/>
        <v>0</v>
      </c>
    </row>
    <row r="4141" spans="28:34">
      <c r="AB4141" s="580">
        <f>HLOOKUP("*"&amp;'Output annual'!$AC$2&amp;'Output annual'!$AD$2&amp;"*Zone People Number Of Occupants [](Hourly)",'Eplus results'!$1:$1048576,ROW(),FALSE)</f>
        <v>0</v>
      </c>
      <c r="AC4141" s="580">
        <f>HLOOKUP("*"&amp;'Output annual'!$AC$2&amp;'Output annual'!$AD$2&amp;"*FangerPMV(Hourly)",'Eplus results'!$1:$1048576,ROW(),FALSE)</f>
        <v>0</v>
      </c>
      <c r="AD4141" s="580">
        <f t="shared" si="356"/>
        <v>5</v>
      </c>
      <c r="AE4141" s="580">
        <f t="shared" si="357"/>
        <v>2.5</v>
      </c>
      <c r="AF4141" s="580">
        <f t="shared" si="358"/>
        <v>2.5</v>
      </c>
      <c r="AG4141" s="580">
        <f t="shared" si="359"/>
        <v>0</v>
      </c>
      <c r="AH4141" s="580">
        <f t="shared" si="360"/>
        <v>0</v>
      </c>
    </row>
    <row r="4142" spans="28:34">
      <c r="AB4142" s="580">
        <f>HLOOKUP("*"&amp;'Output annual'!$AC$2&amp;'Output annual'!$AD$2&amp;"*Zone People Number Of Occupants [](Hourly)",'Eplus results'!$1:$1048576,ROW(),FALSE)</f>
        <v>0</v>
      </c>
      <c r="AC4142" s="580">
        <f>HLOOKUP("*"&amp;'Output annual'!$AC$2&amp;'Output annual'!$AD$2&amp;"*FangerPMV(Hourly)",'Eplus results'!$1:$1048576,ROW(),FALSE)</f>
        <v>0</v>
      </c>
      <c r="AD4142" s="580">
        <f t="shared" si="356"/>
        <v>5</v>
      </c>
      <c r="AE4142" s="580">
        <f t="shared" si="357"/>
        <v>2.5</v>
      </c>
      <c r="AF4142" s="580">
        <f t="shared" si="358"/>
        <v>2.5</v>
      </c>
      <c r="AG4142" s="580">
        <f t="shared" si="359"/>
        <v>0</v>
      </c>
      <c r="AH4142" s="580">
        <f t="shared" si="360"/>
        <v>0</v>
      </c>
    </row>
    <row r="4143" spans="28:34">
      <c r="AB4143" s="580">
        <f>HLOOKUP("*"&amp;'Output annual'!$AC$2&amp;'Output annual'!$AD$2&amp;"*Zone People Number Of Occupants [](Hourly)",'Eplus results'!$1:$1048576,ROW(),FALSE)</f>
        <v>0</v>
      </c>
      <c r="AC4143" s="580">
        <f>HLOOKUP("*"&amp;'Output annual'!$AC$2&amp;'Output annual'!$AD$2&amp;"*FangerPMV(Hourly)",'Eplus results'!$1:$1048576,ROW(),FALSE)</f>
        <v>0</v>
      </c>
      <c r="AD4143" s="580">
        <f t="shared" si="356"/>
        <v>5</v>
      </c>
      <c r="AE4143" s="580">
        <f t="shared" si="357"/>
        <v>2.5</v>
      </c>
      <c r="AF4143" s="580">
        <f t="shared" si="358"/>
        <v>2.5</v>
      </c>
      <c r="AG4143" s="580">
        <f t="shared" si="359"/>
        <v>0</v>
      </c>
      <c r="AH4143" s="580">
        <f t="shared" si="360"/>
        <v>0</v>
      </c>
    </row>
    <row r="4144" spans="28:34">
      <c r="AB4144" s="580">
        <f>HLOOKUP("*"&amp;'Output annual'!$AC$2&amp;'Output annual'!$AD$2&amp;"*Zone People Number Of Occupants [](Hourly)",'Eplus results'!$1:$1048576,ROW(),FALSE)</f>
        <v>0</v>
      </c>
      <c r="AC4144" s="580">
        <f>HLOOKUP("*"&amp;'Output annual'!$AC$2&amp;'Output annual'!$AD$2&amp;"*FangerPMV(Hourly)",'Eplus results'!$1:$1048576,ROW(),FALSE)</f>
        <v>0</v>
      </c>
      <c r="AD4144" s="580">
        <f t="shared" si="356"/>
        <v>5</v>
      </c>
      <c r="AE4144" s="580">
        <f t="shared" si="357"/>
        <v>2.5</v>
      </c>
      <c r="AF4144" s="580">
        <f t="shared" si="358"/>
        <v>2.5</v>
      </c>
      <c r="AG4144" s="580">
        <f t="shared" si="359"/>
        <v>0</v>
      </c>
      <c r="AH4144" s="580">
        <f t="shared" si="360"/>
        <v>0</v>
      </c>
    </row>
    <row r="4145" spans="28:34">
      <c r="AB4145" s="580">
        <f>HLOOKUP("*"&amp;'Output annual'!$AC$2&amp;'Output annual'!$AD$2&amp;"*Zone People Number Of Occupants [](Hourly)",'Eplus results'!$1:$1048576,ROW(),FALSE)</f>
        <v>0</v>
      </c>
      <c r="AC4145" s="580">
        <f>HLOOKUP("*"&amp;'Output annual'!$AC$2&amp;'Output annual'!$AD$2&amp;"*FangerPMV(Hourly)",'Eplus results'!$1:$1048576,ROW(),FALSE)</f>
        <v>0</v>
      </c>
      <c r="AD4145" s="580">
        <f t="shared" si="356"/>
        <v>5</v>
      </c>
      <c r="AE4145" s="580">
        <f t="shared" si="357"/>
        <v>2.5</v>
      </c>
      <c r="AF4145" s="580">
        <f t="shared" si="358"/>
        <v>2.5</v>
      </c>
      <c r="AG4145" s="580">
        <f t="shared" si="359"/>
        <v>0</v>
      </c>
      <c r="AH4145" s="580">
        <f t="shared" si="360"/>
        <v>0</v>
      </c>
    </row>
    <row r="4146" spans="28:34">
      <c r="AB4146" s="580">
        <f>HLOOKUP("*"&amp;'Output annual'!$AC$2&amp;'Output annual'!$AD$2&amp;"*Zone People Number Of Occupants [](Hourly)",'Eplus results'!$1:$1048576,ROW(),FALSE)</f>
        <v>0</v>
      </c>
      <c r="AC4146" s="580">
        <f>HLOOKUP("*"&amp;'Output annual'!$AC$2&amp;'Output annual'!$AD$2&amp;"*FangerPMV(Hourly)",'Eplus results'!$1:$1048576,ROW(),FALSE)</f>
        <v>0</v>
      </c>
      <c r="AD4146" s="580">
        <f t="shared" si="356"/>
        <v>5</v>
      </c>
      <c r="AE4146" s="580">
        <f t="shared" si="357"/>
        <v>2.5</v>
      </c>
      <c r="AF4146" s="580">
        <f t="shared" si="358"/>
        <v>2.5</v>
      </c>
      <c r="AG4146" s="580">
        <f t="shared" si="359"/>
        <v>0</v>
      </c>
      <c r="AH4146" s="580">
        <f t="shared" si="360"/>
        <v>0</v>
      </c>
    </row>
    <row r="4147" spans="28:34">
      <c r="AB4147" s="580">
        <f>HLOOKUP("*"&amp;'Output annual'!$AC$2&amp;'Output annual'!$AD$2&amp;"*Zone People Number Of Occupants [](Hourly)",'Eplus results'!$1:$1048576,ROW(),FALSE)</f>
        <v>0</v>
      </c>
      <c r="AC4147" s="580">
        <f>HLOOKUP("*"&amp;'Output annual'!$AC$2&amp;'Output annual'!$AD$2&amp;"*FangerPMV(Hourly)",'Eplus results'!$1:$1048576,ROW(),FALSE)</f>
        <v>0</v>
      </c>
      <c r="AD4147" s="580">
        <f t="shared" si="356"/>
        <v>5</v>
      </c>
      <c r="AE4147" s="580">
        <f t="shared" si="357"/>
        <v>2.5</v>
      </c>
      <c r="AF4147" s="580">
        <f t="shared" si="358"/>
        <v>2.5</v>
      </c>
      <c r="AG4147" s="580">
        <f t="shared" si="359"/>
        <v>0</v>
      </c>
      <c r="AH4147" s="580">
        <f t="shared" si="360"/>
        <v>0</v>
      </c>
    </row>
    <row r="4148" spans="28:34">
      <c r="AB4148" s="580">
        <f>HLOOKUP("*"&amp;'Output annual'!$AC$2&amp;'Output annual'!$AD$2&amp;"*Zone People Number Of Occupants [](Hourly)",'Eplus results'!$1:$1048576,ROW(),FALSE)</f>
        <v>0</v>
      </c>
      <c r="AC4148" s="580">
        <f>HLOOKUP("*"&amp;'Output annual'!$AC$2&amp;'Output annual'!$AD$2&amp;"*FangerPMV(Hourly)",'Eplus results'!$1:$1048576,ROW(),FALSE)</f>
        <v>0</v>
      </c>
      <c r="AD4148" s="580">
        <f t="shared" si="356"/>
        <v>5</v>
      </c>
      <c r="AE4148" s="580">
        <f t="shared" si="357"/>
        <v>2.5</v>
      </c>
      <c r="AF4148" s="580">
        <f t="shared" si="358"/>
        <v>2.5</v>
      </c>
      <c r="AG4148" s="580">
        <f t="shared" si="359"/>
        <v>0</v>
      </c>
      <c r="AH4148" s="580">
        <f t="shared" si="360"/>
        <v>0</v>
      </c>
    </row>
    <row r="4149" spans="28:34">
      <c r="AB4149" s="580">
        <f>HLOOKUP("*"&amp;'Output annual'!$AC$2&amp;'Output annual'!$AD$2&amp;"*Zone People Number Of Occupants [](Hourly)",'Eplus results'!$1:$1048576,ROW(),FALSE)</f>
        <v>0</v>
      </c>
      <c r="AC4149" s="580">
        <f>HLOOKUP("*"&amp;'Output annual'!$AC$2&amp;'Output annual'!$AD$2&amp;"*FangerPMV(Hourly)",'Eplus results'!$1:$1048576,ROW(),FALSE)</f>
        <v>0</v>
      </c>
      <c r="AD4149" s="580">
        <f t="shared" si="356"/>
        <v>5</v>
      </c>
      <c r="AE4149" s="580">
        <f t="shared" si="357"/>
        <v>2.5</v>
      </c>
      <c r="AF4149" s="580">
        <f t="shared" si="358"/>
        <v>2.5</v>
      </c>
      <c r="AG4149" s="580">
        <f t="shared" si="359"/>
        <v>0</v>
      </c>
      <c r="AH4149" s="580">
        <f t="shared" si="360"/>
        <v>0</v>
      </c>
    </row>
    <row r="4150" spans="28:34">
      <c r="AB4150" s="580">
        <f>HLOOKUP("*"&amp;'Output annual'!$AC$2&amp;'Output annual'!$AD$2&amp;"*Zone People Number Of Occupants [](Hourly)",'Eplus results'!$1:$1048576,ROW(),FALSE)</f>
        <v>0</v>
      </c>
      <c r="AC4150" s="580">
        <f>HLOOKUP("*"&amp;'Output annual'!$AC$2&amp;'Output annual'!$AD$2&amp;"*FangerPMV(Hourly)",'Eplus results'!$1:$1048576,ROW(),FALSE)</f>
        <v>0</v>
      </c>
      <c r="AD4150" s="580">
        <f t="shared" si="356"/>
        <v>5</v>
      </c>
      <c r="AE4150" s="580">
        <f t="shared" si="357"/>
        <v>2.5</v>
      </c>
      <c r="AF4150" s="580">
        <f t="shared" si="358"/>
        <v>2.5</v>
      </c>
      <c r="AG4150" s="580">
        <f t="shared" si="359"/>
        <v>0</v>
      </c>
      <c r="AH4150" s="580">
        <f t="shared" si="360"/>
        <v>0</v>
      </c>
    </row>
    <row r="4151" spans="28:34">
      <c r="AB4151" s="580">
        <f>HLOOKUP("*"&amp;'Output annual'!$AC$2&amp;'Output annual'!$AD$2&amp;"*Zone People Number Of Occupants [](Hourly)",'Eplus results'!$1:$1048576,ROW(),FALSE)</f>
        <v>0</v>
      </c>
      <c r="AC4151" s="580">
        <f>HLOOKUP("*"&amp;'Output annual'!$AC$2&amp;'Output annual'!$AD$2&amp;"*FangerPMV(Hourly)",'Eplus results'!$1:$1048576,ROW(),FALSE)</f>
        <v>0</v>
      </c>
      <c r="AD4151" s="580">
        <f t="shared" si="356"/>
        <v>5</v>
      </c>
      <c r="AE4151" s="580">
        <f t="shared" si="357"/>
        <v>2.5</v>
      </c>
      <c r="AF4151" s="580">
        <f t="shared" si="358"/>
        <v>2.5</v>
      </c>
      <c r="AG4151" s="580">
        <f t="shared" si="359"/>
        <v>0</v>
      </c>
      <c r="AH4151" s="580">
        <f t="shared" si="360"/>
        <v>0</v>
      </c>
    </row>
    <row r="4152" spans="28:34">
      <c r="AB4152" s="580">
        <f>HLOOKUP("*"&amp;'Output annual'!$AC$2&amp;'Output annual'!$AD$2&amp;"*Zone People Number Of Occupants [](Hourly)",'Eplus results'!$1:$1048576,ROW(),FALSE)</f>
        <v>0</v>
      </c>
      <c r="AC4152" s="580">
        <f>HLOOKUP("*"&amp;'Output annual'!$AC$2&amp;'Output annual'!$AD$2&amp;"*FangerPMV(Hourly)",'Eplus results'!$1:$1048576,ROW(),FALSE)</f>
        <v>0</v>
      </c>
      <c r="AD4152" s="580">
        <f t="shared" si="356"/>
        <v>5</v>
      </c>
      <c r="AE4152" s="580">
        <f t="shared" si="357"/>
        <v>2.5</v>
      </c>
      <c r="AF4152" s="580">
        <f t="shared" si="358"/>
        <v>2.5</v>
      </c>
      <c r="AG4152" s="580">
        <f t="shared" si="359"/>
        <v>0</v>
      </c>
      <c r="AH4152" s="580">
        <f t="shared" si="360"/>
        <v>0</v>
      </c>
    </row>
    <row r="4153" spans="28:34">
      <c r="AB4153" s="580">
        <f>HLOOKUP("*"&amp;'Output annual'!$AC$2&amp;'Output annual'!$AD$2&amp;"*Zone People Number Of Occupants [](Hourly)",'Eplus results'!$1:$1048576,ROW(),FALSE)</f>
        <v>0</v>
      </c>
      <c r="AC4153" s="580">
        <f>HLOOKUP("*"&amp;'Output annual'!$AC$2&amp;'Output annual'!$AD$2&amp;"*FangerPMV(Hourly)",'Eplus results'!$1:$1048576,ROW(),FALSE)</f>
        <v>0</v>
      </c>
      <c r="AD4153" s="580">
        <f t="shared" si="356"/>
        <v>5</v>
      </c>
      <c r="AE4153" s="580">
        <f t="shared" si="357"/>
        <v>2.5</v>
      </c>
      <c r="AF4153" s="580">
        <f t="shared" si="358"/>
        <v>2.5</v>
      </c>
      <c r="AG4153" s="580">
        <f t="shared" si="359"/>
        <v>0</v>
      </c>
      <c r="AH4153" s="580">
        <f t="shared" si="360"/>
        <v>0</v>
      </c>
    </row>
    <row r="4154" spans="28:34">
      <c r="AB4154" s="580">
        <f>HLOOKUP("*"&amp;'Output annual'!$AC$2&amp;'Output annual'!$AD$2&amp;"*Zone People Number Of Occupants [](Hourly)",'Eplus results'!$1:$1048576,ROW(),FALSE)</f>
        <v>0</v>
      </c>
      <c r="AC4154" s="580">
        <f>HLOOKUP("*"&amp;'Output annual'!$AC$2&amp;'Output annual'!$AD$2&amp;"*FangerPMV(Hourly)",'Eplus results'!$1:$1048576,ROW(),FALSE)</f>
        <v>0</v>
      </c>
      <c r="AD4154" s="580">
        <f t="shared" si="356"/>
        <v>5</v>
      </c>
      <c r="AE4154" s="580">
        <f t="shared" si="357"/>
        <v>2.5</v>
      </c>
      <c r="AF4154" s="580">
        <f t="shared" si="358"/>
        <v>2.5</v>
      </c>
      <c r="AG4154" s="580">
        <f t="shared" si="359"/>
        <v>0</v>
      </c>
      <c r="AH4154" s="580">
        <f t="shared" si="360"/>
        <v>0</v>
      </c>
    </row>
    <row r="4155" spans="28:34">
      <c r="AB4155" s="580">
        <f>HLOOKUP("*"&amp;'Output annual'!$AC$2&amp;'Output annual'!$AD$2&amp;"*Zone People Number Of Occupants [](Hourly)",'Eplus results'!$1:$1048576,ROW(),FALSE)</f>
        <v>0</v>
      </c>
      <c r="AC4155" s="580">
        <f>HLOOKUP("*"&amp;'Output annual'!$AC$2&amp;'Output annual'!$AD$2&amp;"*FangerPMV(Hourly)",'Eplus results'!$1:$1048576,ROW(),FALSE)</f>
        <v>0</v>
      </c>
      <c r="AD4155" s="580">
        <f t="shared" si="356"/>
        <v>5</v>
      </c>
      <c r="AE4155" s="580">
        <f t="shared" si="357"/>
        <v>2.5</v>
      </c>
      <c r="AF4155" s="580">
        <f t="shared" si="358"/>
        <v>2.5</v>
      </c>
      <c r="AG4155" s="580">
        <f t="shared" si="359"/>
        <v>0</v>
      </c>
      <c r="AH4155" s="580">
        <f t="shared" si="360"/>
        <v>0</v>
      </c>
    </row>
    <row r="4156" spans="28:34">
      <c r="AB4156" s="580">
        <f>HLOOKUP("*"&amp;'Output annual'!$AC$2&amp;'Output annual'!$AD$2&amp;"*Zone People Number Of Occupants [](Hourly)",'Eplus results'!$1:$1048576,ROW(),FALSE)</f>
        <v>0</v>
      </c>
      <c r="AC4156" s="580">
        <f>HLOOKUP("*"&amp;'Output annual'!$AC$2&amp;'Output annual'!$AD$2&amp;"*FangerPMV(Hourly)",'Eplus results'!$1:$1048576,ROW(),FALSE)</f>
        <v>0</v>
      </c>
      <c r="AD4156" s="580">
        <f t="shared" si="356"/>
        <v>5</v>
      </c>
      <c r="AE4156" s="580">
        <f t="shared" si="357"/>
        <v>2.5</v>
      </c>
      <c r="AF4156" s="580">
        <f t="shared" si="358"/>
        <v>2.5</v>
      </c>
      <c r="AG4156" s="580">
        <f t="shared" si="359"/>
        <v>0</v>
      </c>
      <c r="AH4156" s="580">
        <f t="shared" si="360"/>
        <v>0</v>
      </c>
    </row>
    <row r="4157" spans="28:34">
      <c r="AB4157" s="580">
        <f>HLOOKUP("*"&amp;'Output annual'!$AC$2&amp;'Output annual'!$AD$2&amp;"*Zone People Number Of Occupants [](Hourly)",'Eplus results'!$1:$1048576,ROW(),FALSE)</f>
        <v>0</v>
      </c>
      <c r="AC4157" s="580">
        <f>HLOOKUP("*"&amp;'Output annual'!$AC$2&amp;'Output annual'!$AD$2&amp;"*FangerPMV(Hourly)",'Eplus results'!$1:$1048576,ROW(),FALSE)</f>
        <v>0</v>
      </c>
      <c r="AD4157" s="580">
        <f t="shared" si="356"/>
        <v>5</v>
      </c>
      <c r="AE4157" s="580">
        <f t="shared" si="357"/>
        <v>2.5</v>
      </c>
      <c r="AF4157" s="580">
        <f t="shared" si="358"/>
        <v>2.5</v>
      </c>
      <c r="AG4157" s="580">
        <f t="shared" si="359"/>
        <v>0</v>
      </c>
      <c r="AH4157" s="580">
        <f t="shared" si="360"/>
        <v>0</v>
      </c>
    </row>
    <row r="4158" spans="28:34">
      <c r="AB4158" s="580">
        <f>HLOOKUP("*"&amp;'Output annual'!$AC$2&amp;'Output annual'!$AD$2&amp;"*Zone People Number Of Occupants [](Hourly)",'Eplus results'!$1:$1048576,ROW(),FALSE)</f>
        <v>0</v>
      </c>
      <c r="AC4158" s="580">
        <f>HLOOKUP("*"&amp;'Output annual'!$AC$2&amp;'Output annual'!$AD$2&amp;"*FangerPMV(Hourly)",'Eplus results'!$1:$1048576,ROW(),FALSE)</f>
        <v>0</v>
      </c>
      <c r="AD4158" s="580">
        <f t="shared" si="356"/>
        <v>5</v>
      </c>
      <c r="AE4158" s="580">
        <f t="shared" si="357"/>
        <v>2.5</v>
      </c>
      <c r="AF4158" s="580">
        <f t="shared" si="358"/>
        <v>2.5</v>
      </c>
      <c r="AG4158" s="580">
        <f t="shared" si="359"/>
        <v>0</v>
      </c>
      <c r="AH4158" s="580">
        <f t="shared" si="360"/>
        <v>0</v>
      </c>
    </row>
    <row r="4159" spans="28:34">
      <c r="AB4159" s="580">
        <f>HLOOKUP("*"&amp;'Output annual'!$AC$2&amp;'Output annual'!$AD$2&amp;"*Zone People Number Of Occupants [](Hourly)",'Eplus results'!$1:$1048576,ROW(),FALSE)</f>
        <v>0</v>
      </c>
      <c r="AC4159" s="580">
        <f>HLOOKUP("*"&amp;'Output annual'!$AC$2&amp;'Output annual'!$AD$2&amp;"*FangerPMV(Hourly)",'Eplus results'!$1:$1048576,ROW(),FALSE)</f>
        <v>0</v>
      </c>
      <c r="AD4159" s="580">
        <f t="shared" si="356"/>
        <v>5</v>
      </c>
      <c r="AE4159" s="580">
        <f t="shared" si="357"/>
        <v>2.5</v>
      </c>
      <c r="AF4159" s="580">
        <f t="shared" si="358"/>
        <v>2.5</v>
      </c>
      <c r="AG4159" s="580">
        <f t="shared" si="359"/>
        <v>0</v>
      </c>
      <c r="AH4159" s="580">
        <f t="shared" si="360"/>
        <v>0</v>
      </c>
    </row>
    <row r="4160" spans="28:34">
      <c r="AB4160" s="580">
        <f>HLOOKUP("*"&amp;'Output annual'!$AC$2&amp;'Output annual'!$AD$2&amp;"*Zone People Number Of Occupants [](Hourly)",'Eplus results'!$1:$1048576,ROW(),FALSE)</f>
        <v>0</v>
      </c>
      <c r="AC4160" s="580">
        <f>HLOOKUP("*"&amp;'Output annual'!$AC$2&amp;'Output annual'!$AD$2&amp;"*FangerPMV(Hourly)",'Eplus results'!$1:$1048576,ROW(),FALSE)</f>
        <v>0</v>
      </c>
      <c r="AD4160" s="580">
        <f t="shared" si="356"/>
        <v>5</v>
      </c>
      <c r="AE4160" s="580">
        <f t="shared" si="357"/>
        <v>2.5</v>
      </c>
      <c r="AF4160" s="580">
        <f t="shared" si="358"/>
        <v>2.5</v>
      </c>
      <c r="AG4160" s="580">
        <f t="shared" si="359"/>
        <v>0</v>
      </c>
      <c r="AH4160" s="580">
        <f t="shared" si="360"/>
        <v>0</v>
      </c>
    </row>
    <row r="4161" spans="28:34">
      <c r="AB4161" s="580">
        <f>HLOOKUP("*"&amp;'Output annual'!$AC$2&amp;'Output annual'!$AD$2&amp;"*Zone People Number Of Occupants [](Hourly)",'Eplus results'!$1:$1048576,ROW(),FALSE)</f>
        <v>0</v>
      </c>
      <c r="AC4161" s="580">
        <f>HLOOKUP("*"&amp;'Output annual'!$AC$2&amp;'Output annual'!$AD$2&amp;"*FangerPMV(Hourly)",'Eplus results'!$1:$1048576,ROW(),FALSE)</f>
        <v>0</v>
      </c>
      <c r="AD4161" s="580">
        <f t="shared" si="356"/>
        <v>5</v>
      </c>
      <c r="AE4161" s="580">
        <f t="shared" si="357"/>
        <v>2.5</v>
      </c>
      <c r="AF4161" s="580">
        <f t="shared" si="358"/>
        <v>2.5</v>
      </c>
      <c r="AG4161" s="580">
        <f t="shared" si="359"/>
        <v>0</v>
      </c>
      <c r="AH4161" s="580">
        <f t="shared" si="360"/>
        <v>0</v>
      </c>
    </row>
    <row r="4162" spans="28:34">
      <c r="AB4162" s="580">
        <f>HLOOKUP("*"&amp;'Output annual'!$AC$2&amp;'Output annual'!$AD$2&amp;"*Zone People Number Of Occupants [](Hourly)",'Eplus results'!$1:$1048576,ROW(),FALSE)</f>
        <v>0</v>
      </c>
      <c r="AC4162" s="580">
        <f>HLOOKUP("*"&amp;'Output annual'!$AC$2&amp;'Output annual'!$AD$2&amp;"*FangerPMV(Hourly)",'Eplus results'!$1:$1048576,ROW(),FALSE)</f>
        <v>0</v>
      </c>
      <c r="AD4162" s="580">
        <f t="shared" si="356"/>
        <v>5</v>
      </c>
      <c r="AE4162" s="580">
        <f t="shared" si="357"/>
        <v>2.5</v>
      </c>
      <c r="AF4162" s="580">
        <f t="shared" si="358"/>
        <v>2.5</v>
      </c>
      <c r="AG4162" s="580">
        <f t="shared" si="359"/>
        <v>0</v>
      </c>
      <c r="AH4162" s="580">
        <f t="shared" si="360"/>
        <v>0</v>
      </c>
    </row>
    <row r="4163" spans="28:34">
      <c r="AB4163" s="580">
        <f>HLOOKUP("*"&amp;'Output annual'!$AC$2&amp;'Output annual'!$AD$2&amp;"*Zone People Number Of Occupants [](Hourly)",'Eplus results'!$1:$1048576,ROW(),FALSE)</f>
        <v>0</v>
      </c>
      <c r="AC4163" s="580">
        <f>HLOOKUP("*"&amp;'Output annual'!$AC$2&amp;'Output annual'!$AD$2&amp;"*FangerPMV(Hourly)",'Eplus results'!$1:$1048576,ROW(),FALSE)</f>
        <v>0</v>
      </c>
      <c r="AD4163" s="580">
        <f t="shared" ref="AD4163:AD4226" si="361">100-95*EXP(-0.03353*AC4163^4-0.2179*AC4163^2)</f>
        <v>5</v>
      </c>
      <c r="AE4163" s="580">
        <f t="shared" ref="AE4163:AE4226" si="362">AD4163*(1/(1+EXP(-6.3*$AC4163)))</f>
        <v>2.5</v>
      </c>
      <c r="AF4163" s="580">
        <f t="shared" ref="AF4163:AF4226" si="363">(AD4163-AE4163)</f>
        <v>2.5</v>
      </c>
      <c r="AG4163" s="580">
        <f t="shared" ref="AG4163:AG4226" si="364">AE4163*AB4163</f>
        <v>0</v>
      </c>
      <c r="AH4163" s="580">
        <f t="shared" ref="AH4163:AH4226" si="365">AF4163*AB4163</f>
        <v>0</v>
      </c>
    </row>
    <row r="4164" spans="28:34">
      <c r="AB4164" s="580">
        <f>HLOOKUP("*"&amp;'Output annual'!$AC$2&amp;'Output annual'!$AD$2&amp;"*Zone People Number Of Occupants [](Hourly)",'Eplus results'!$1:$1048576,ROW(),FALSE)</f>
        <v>0</v>
      </c>
      <c r="AC4164" s="580">
        <f>HLOOKUP("*"&amp;'Output annual'!$AC$2&amp;'Output annual'!$AD$2&amp;"*FangerPMV(Hourly)",'Eplus results'!$1:$1048576,ROW(),FALSE)</f>
        <v>0</v>
      </c>
      <c r="AD4164" s="580">
        <f t="shared" si="361"/>
        <v>5</v>
      </c>
      <c r="AE4164" s="580">
        <f t="shared" si="362"/>
        <v>2.5</v>
      </c>
      <c r="AF4164" s="580">
        <f t="shared" si="363"/>
        <v>2.5</v>
      </c>
      <c r="AG4164" s="580">
        <f t="shared" si="364"/>
        <v>0</v>
      </c>
      <c r="AH4164" s="580">
        <f t="shared" si="365"/>
        <v>0</v>
      </c>
    </row>
    <row r="4165" spans="28:34">
      <c r="AB4165" s="580">
        <f>HLOOKUP("*"&amp;'Output annual'!$AC$2&amp;'Output annual'!$AD$2&amp;"*Zone People Number Of Occupants [](Hourly)",'Eplus results'!$1:$1048576,ROW(),FALSE)</f>
        <v>0</v>
      </c>
      <c r="AC4165" s="580">
        <f>HLOOKUP("*"&amp;'Output annual'!$AC$2&amp;'Output annual'!$AD$2&amp;"*FangerPMV(Hourly)",'Eplus results'!$1:$1048576,ROW(),FALSE)</f>
        <v>0</v>
      </c>
      <c r="AD4165" s="580">
        <f t="shared" si="361"/>
        <v>5</v>
      </c>
      <c r="AE4165" s="580">
        <f t="shared" si="362"/>
        <v>2.5</v>
      </c>
      <c r="AF4165" s="580">
        <f t="shared" si="363"/>
        <v>2.5</v>
      </c>
      <c r="AG4165" s="580">
        <f t="shared" si="364"/>
        <v>0</v>
      </c>
      <c r="AH4165" s="580">
        <f t="shared" si="365"/>
        <v>0</v>
      </c>
    </row>
    <row r="4166" spans="28:34">
      <c r="AB4166" s="580">
        <f>HLOOKUP("*"&amp;'Output annual'!$AC$2&amp;'Output annual'!$AD$2&amp;"*Zone People Number Of Occupants [](Hourly)",'Eplus results'!$1:$1048576,ROW(),FALSE)</f>
        <v>0</v>
      </c>
      <c r="AC4166" s="580">
        <f>HLOOKUP("*"&amp;'Output annual'!$AC$2&amp;'Output annual'!$AD$2&amp;"*FangerPMV(Hourly)",'Eplus results'!$1:$1048576,ROW(),FALSE)</f>
        <v>0</v>
      </c>
      <c r="AD4166" s="580">
        <f t="shared" si="361"/>
        <v>5</v>
      </c>
      <c r="AE4166" s="580">
        <f t="shared" si="362"/>
        <v>2.5</v>
      </c>
      <c r="AF4166" s="580">
        <f t="shared" si="363"/>
        <v>2.5</v>
      </c>
      <c r="AG4166" s="580">
        <f t="shared" si="364"/>
        <v>0</v>
      </c>
      <c r="AH4166" s="580">
        <f t="shared" si="365"/>
        <v>0</v>
      </c>
    </row>
    <row r="4167" spans="28:34">
      <c r="AB4167" s="580">
        <f>HLOOKUP("*"&amp;'Output annual'!$AC$2&amp;'Output annual'!$AD$2&amp;"*Zone People Number Of Occupants [](Hourly)",'Eplus results'!$1:$1048576,ROW(),FALSE)</f>
        <v>0</v>
      </c>
      <c r="AC4167" s="580">
        <f>HLOOKUP("*"&amp;'Output annual'!$AC$2&amp;'Output annual'!$AD$2&amp;"*FangerPMV(Hourly)",'Eplus results'!$1:$1048576,ROW(),FALSE)</f>
        <v>0</v>
      </c>
      <c r="AD4167" s="580">
        <f t="shared" si="361"/>
        <v>5</v>
      </c>
      <c r="AE4167" s="580">
        <f t="shared" si="362"/>
        <v>2.5</v>
      </c>
      <c r="AF4167" s="580">
        <f t="shared" si="363"/>
        <v>2.5</v>
      </c>
      <c r="AG4167" s="580">
        <f t="shared" si="364"/>
        <v>0</v>
      </c>
      <c r="AH4167" s="580">
        <f t="shared" si="365"/>
        <v>0</v>
      </c>
    </row>
    <row r="4168" spans="28:34">
      <c r="AB4168" s="580">
        <f>HLOOKUP("*"&amp;'Output annual'!$AC$2&amp;'Output annual'!$AD$2&amp;"*Zone People Number Of Occupants [](Hourly)",'Eplus results'!$1:$1048576,ROW(),FALSE)</f>
        <v>0</v>
      </c>
      <c r="AC4168" s="580">
        <f>HLOOKUP("*"&amp;'Output annual'!$AC$2&amp;'Output annual'!$AD$2&amp;"*FangerPMV(Hourly)",'Eplus results'!$1:$1048576,ROW(),FALSE)</f>
        <v>0</v>
      </c>
      <c r="AD4168" s="580">
        <f t="shared" si="361"/>
        <v>5</v>
      </c>
      <c r="AE4168" s="580">
        <f t="shared" si="362"/>
        <v>2.5</v>
      </c>
      <c r="AF4168" s="580">
        <f t="shared" si="363"/>
        <v>2.5</v>
      </c>
      <c r="AG4168" s="580">
        <f t="shared" si="364"/>
        <v>0</v>
      </c>
      <c r="AH4168" s="580">
        <f t="shared" si="365"/>
        <v>0</v>
      </c>
    </row>
    <row r="4169" spans="28:34">
      <c r="AB4169" s="580">
        <f>HLOOKUP("*"&amp;'Output annual'!$AC$2&amp;'Output annual'!$AD$2&amp;"*Zone People Number Of Occupants [](Hourly)",'Eplus results'!$1:$1048576,ROW(),FALSE)</f>
        <v>0</v>
      </c>
      <c r="AC4169" s="580">
        <f>HLOOKUP("*"&amp;'Output annual'!$AC$2&amp;'Output annual'!$AD$2&amp;"*FangerPMV(Hourly)",'Eplus results'!$1:$1048576,ROW(),FALSE)</f>
        <v>0</v>
      </c>
      <c r="AD4169" s="580">
        <f t="shared" si="361"/>
        <v>5</v>
      </c>
      <c r="AE4169" s="580">
        <f t="shared" si="362"/>
        <v>2.5</v>
      </c>
      <c r="AF4169" s="580">
        <f t="shared" si="363"/>
        <v>2.5</v>
      </c>
      <c r="AG4169" s="580">
        <f t="shared" si="364"/>
        <v>0</v>
      </c>
      <c r="AH4169" s="580">
        <f t="shared" si="365"/>
        <v>0</v>
      </c>
    </row>
    <row r="4170" spans="28:34">
      <c r="AB4170" s="580">
        <f>HLOOKUP("*"&amp;'Output annual'!$AC$2&amp;'Output annual'!$AD$2&amp;"*Zone People Number Of Occupants [](Hourly)",'Eplus results'!$1:$1048576,ROW(),FALSE)</f>
        <v>0</v>
      </c>
      <c r="AC4170" s="580">
        <f>HLOOKUP("*"&amp;'Output annual'!$AC$2&amp;'Output annual'!$AD$2&amp;"*FangerPMV(Hourly)",'Eplus results'!$1:$1048576,ROW(),FALSE)</f>
        <v>0</v>
      </c>
      <c r="AD4170" s="580">
        <f t="shared" si="361"/>
        <v>5</v>
      </c>
      <c r="AE4170" s="580">
        <f t="shared" si="362"/>
        <v>2.5</v>
      </c>
      <c r="AF4170" s="580">
        <f t="shared" si="363"/>
        <v>2.5</v>
      </c>
      <c r="AG4170" s="580">
        <f t="shared" si="364"/>
        <v>0</v>
      </c>
      <c r="AH4170" s="580">
        <f t="shared" si="365"/>
        <v>0</v>
      </c>
    </row>
    <row r="4171" spans="28:34">
      <c r="AB4171" s="580">
        <f>HLOOKUP("*"&amp;'Output annual'!$AC$2&amp;'Output annual'!$AD$2&amp;"*Zone People Number Of Occupants [](Hourly)",'Eplus results'!$1:$1048576,ROW(),FALSE)</f>
        <v>0</v>
      </c>
      <c r="AC4171" s="580">
        <f>HLOOKUP("*"&amp;'Output annual'!$AC$2&amp;'Output annual'!$AD$2&amp;"*FangerPMV(Hourly)",'Eplus results'!$1:$1048576,ROW(),FALSE)</f>
        <v>0</v>
      </c>
      <c r="AD4171" s="580">
        <f t="shared" si="361"/>
        <v>5</v>
      </c>
      <c r="AE4171" s="580">
        <f t="shared" si="362"/>
        <v>2.5</v>
      </c>
      <c r="AF4171" s="580">
        <f t="shared" si="363"/>
        <v>2.5</v>
      </c>
      <c r="AG4171" s="580">
        <f t="shared" si="364"/>
        <v>0</v>
      </c>
      <c r="AH4171" s="580">
        <f t="shared" si="365"/>
        <v>0</v>
      </c>
    </row>
    <row r="4172" spans="28:34">
      <c r="AB4172" s="580">
        <f>HLOOKUP("*"&amp;'Output annual'!$AC$2&amp;'Output annual'!$AD$2&amp;"*Zone People Number Of Occupants [](Hourly)",'Eplus results'!$1:$1048576,ROW(),FALSE)</f>
        <v>0</v>
      </c>
      <c r="AC4172" s="580">
        <f>HLOOKUP("*"&amp;'Output annual'!$AC$2&amp;'Output annual'!$AD$2&amp;"*FangerPMV(Hourly)",'Eplus results'!$1:$1048576,ROW(),FALSE)</f>
        <v>0</v>
      </c>
      <c r="AD4172" s="580">
        <f t="shared" si="361"/>
        <v>5</v>
      </c>
      <c r="AE4172" s="580">
        <f t="shared" si="362"/>
        <v>2.5</v>
      </c>
      <c r="AF4172" s="580">
        <f t="shared" si="363"/>
        <v>2.5</v>
      </c>
      <c r="AG4172" s="580">
        <f t="shared" si="364"/>
        <v>0</v>
      </c>
      <c r="AH4172" s="580">
        <f t="shared" si="365"/>
        <v>0</v>
      </c>
    </row>
    <row r="4173" spans="28:34">
      <c r="AB4173" s="580">
        <f>HLOOKUP("*"&amp;'Output annual'!$AC$2&amp;'Output annual'!$AD$2&amp;"*Zone People Number Of Occupants [](Hourly)",'Eplus results'!$1:$1048576,ROW(),FALSE)</f>
        <v>0</v>
      </c>
      <c r="AC4173" s="580">
        <f>HLOOKUP("*"&amp;'Output annual'!$AC$2&amp;'Output annual'!$AD$2&amp;"*FangerPMV(Hourly)",'Eplus results'!$1:$1048576,ROW(),FALSE)</f>
        <v>0</v>
      </c>
      <c r="AD4173" s="580">
        <f t="shared" si="361"/>
        <v>5</v>
      </c>
      <c r="AE4173" s="580">
        <f t="shared" si="362"/>
        <v>2.5</v>
      </c>
      <c r="AF4173" s="580">
        <f t="shared" si="363"/>
        <v>2.5</v>
      </c>
      <c r="AG4173" s="580">
        <f t="shared" si="364"/>
        <v>0</v>
      </c>
      <c r="AH4173" s="580">
        <f t="shared" si="365"/>
        <v>0</v>
      </c>
    </row>
    <row r="4174" spans="28:34">
      <c r="AB4174" s="580">
        <f>HLOOKUP("*"&amp;'Output annual'!$AC$2&amp;'Output annual'!$AD$2&amp;"*Zone People Number Of Occupants [](Hourly)",'Eplus results'!$1:$1048576,ROW(),FALSE)</f>
        <v>0</v>
      </c>
      <c r="AC4174" s="580">
        <f>HLOOKUP("*"&amp;'Output annual'!$AC$2&amp;'Output annual'!$AD$2&amp;"*FangerPMV(Hourly)",'Eplus results'!$1:$1048576,ROW(),FALSE)</f>
        <v>0</v>
      </c>
      <c r="AD4174" s="580">
        <f t="shared" si="361"/>
        <v>5</v>
      </c>
      <c r="AE4174" s="580">
        <f t="shared" si="362"/>
        <v>2.5</v>
      </c>
      <c r="AF4174" s="580">
        <f t="shared" si="363"/>
        <v>2.5</v>
      </c>
      <c r="AG4174" s="580">
        <f t="shared" si="364"/>
        <v>0</v>
      </c>
      <c r="AH4174" s="580">
        <f t="shared" si="365"/>
        <v>0</v>
      </c>
    </row>
    <row r="4175" spans="28:34">
      <c r="AB4175" s="580">
        <f>HLOOKUP("*"&amp;'Output annual'!$AC$2&amp;'Output annual'!$AD$2&amp;"*Zone People Number Of Occupants [](Hourly)",'Eplus results'!$1:$1048576,ROW(),FALSE)</f>
        <v>0</v>
      </c>
      <c r="AC4175" s="580">
        <f>HLOOKUP("*"&amp;'Output annual'!$AC$2&amp;'Output annual'!$AD$2&amp;"*FangerPMV(Hourly)",'Eplus results'!$1:$1048576,ROW(),FALSE)</f>
        <v>0</v>
      </c>
      <c r="AD4175" s="580">
        <f t="shared" si="361"/>
        <v>5</v>
      </c>
      <c r="AE4175" s="580">
        <f t="shared" si="362"/>
        <v>2.5</v>
      </c>
      <c r="AF4175" s="580">
        <f t="shared" si="363"/>
        <v>2.5</v>
      </c>
      <c r="AG4175" s="580">
        <f t="shared" si="364"/>
        <v>0</v>
      </c>
      <c r="AH4175" s="580">
        <f t="shared" si="365"/>
        <v>0</v>
      </c>
    </row>
    <row r="4176" spans="28:34">
      <c r="AB4176" s="580">
        <f>HLOOKUP("*"&amp;'Output annual'!$AC$2&amp;'Output annual'!$AD$2&amp;"*Zone People Number Of Occupants [](Hourly)",'Eplus results'!$1:$1048576,ROW(),FALSE)</f>
        <v>0</v>
      </c>
      <c r="AC4176" s="580">
        <f>HLOOKUP("*"&amp;'Output annual'!$AC$2&amp;'Output annual'!$AD$2&amp;"*FangerPMV(Hourly)",'Eplus results'!$1:$1048576,ROW(),FALSE)</f>
        <v>0</v>
      </c>
      <c r="AD4176" s="580">
        <f t="shared" si="361"/>
        <v>5</v>
      </c>
      <c r="AE4176" s="580">
        <f t="shared" si="362"/>
        <v>2.5</v>
      </c>
      <c r="AF4176" s="580">
        <f t="shared" si="363"/>
        <v>2.5</v>
      </c>
      <c r="AG4176" s="580">
        <f t="shared" si="364"/>
        <v>0</v>
      </c>
      <c r="AH4176" s="580">
        <f t="shared" si="365"/>
        <v>0</v>
      </c>
    </row>
    <row r="4177" spans="28:34">
      <c r="AB4177" s="580">
        <f>HLOOKUP("*"&amp;'Output annual'!$AC$2&amp;'Output annual'!$AD$2&amp;"*Zone People Number Of Occupants [](Hourly)",'Eplus results'!$1:$1048576,ROW(),FALSE)</f>
        <v>0</v>
      </c>
      <c r="AC4177" s="580">
        <f>HLOOKUP("*"&amp;'Output annual'!$AC$2&amp;'Output annual'!$AD$2&amp;"*FangerPMV(Hourly)",'Eplus results'!$1:$1048576,ROW(),FALSE)</f>
        <v>0</v>
      </c>
      <c r="AD4177" s="580">
        <f t="shared" si="361"/>
        <v>5</v>
      </c>
      <c r="AE4177" s="580">
        <f t="shared" si="362"/>
        <v>2.5</v>
      </c>
      <c r="AF4177" s="580">
        <f t="shared" si="363"/>
        <v>2.5</v>
      </c>
      <c r="AG4177" s="580">
        <f t="shared" si="364"/>
        <v>0</v>
      </c>
      <c r="AH4177" s="580">
        <f t="shared" si="365"/>
        <v>0</v>
      </c>
    </row>
    <row r="4178" spans="28:34">
      <c r="AB4178" s="580">
        <f>HLOOKUP("*"&amp;'Output annual'!$AC$2&amp;'Output annual'!$AD$2&amp;"*Zone People Number Of Occupants [](Hourly)",'Eplus results'!$1:$1048576,ROW(),FALSE)</f>
        <v>0</v>
      </c>
      <c r="AC4178" s="580">
        <f>HLOOKUP("*"&amp;'Output annual'!$AC$2&amp;'Output annual'!$AD$2&amp;"*FangerPMV(Hourly)",'Eplus results'!$1:$1048576,ROW(),FALSE)</f>
        <v>0</v>
      </c>
      <c r="AD4178" s="580">
        <f t="shared" si="361"/>
        <v>5</v>
      </c>
      <c r="AE4178" s="580">
        <f t="shared" si="362"/>
        <v>2.5</v>
      </c>
      <c r="AF4178" s="580">
        <f t="shared" si="363"/>
        <v>2.5</v>
      </c>
      <c r="AG4178" s="580">
        <f t="shared" si="364"/>
        <v>0</v>
      </c>
      <c r="AH4178" s="580">
        <f t="shared" si="365"/>
        <v>0</v>
      </c>
    </row>
    <row r="4179" spans="28:34">
      <c r="AB4179" s="580">
        <f>HLOOKUP("*"&amp;'Output annual'!$AC$2&amp;'Output annual'!$AD$2&amp;"*Zone People Number Of Occupants [](Hourly)",'Eplus results'!$1:$1048576,ROW(),FALSE)</f>
        <v>0</v>
      </c>
      <c r="AC4179" s="580">
        <f>HLOOKUP("*"&amp;'Output annual'!$AC$2&amp;'Output annual'!$AD$2&amp;"*FangerPMV(Hourly)",'Eplus results'!$1:$1048576,ROW(),FALSE)</f>
        <v>0</v>
      </c>
      <c r="AD4179" s="580">
        <f t="shared" si="361"/>
        <v>5</v>
      </c>
      <c r="AE4179" s="580">
        <f t="shared" si="362"/>
        <v>2.5</v>
      </c>
      <c r="AF4179" s="580">
        <f t="shared" si="363"/>
        <v>2.5</v>
      </c>
      <c r="AG4179" s="580">
        <f t="shared" si="364"/>
        <v>0</v>
      </c>
      <c r="AH4179" s="580">
        <f t="shared" si="365"/>
        <v>0</v>
      </c>
    </row>
    <row r="4180" spans="28:34">
      <c r="AB4180" s="580">
        <f>HLOOKUP("*"&amp;'Output annual'!$AC$2&amp;'Output annual'!$AD$2&amp;"*Zone People Number Of Occupants [](Hourly)",'Eplus results'!$1:$1048576,ROW(),FALSE)</f>
        <v>0</v>
      </c>
      <c r="AC4180" s="580">
        <f>HLOOKUP("*"&amp;'Output annual'!$AC$2&amp;'Output annual'!$AD$2&amp;"*FangerPMV(Hourly)",'Eplus results'!$1:$1048576,ROW(),FALSE)</f>
        <v>0</v>
      </c>
      <c r="AD4180" s="580">
        <f t="shared" si="361"/>
        <v>5</v>
      </c>
      <c r="AE4180" s="580">
        <f t="shared" si="362"/>
        <v>2.5</v>
      </c>
      <c r="AF4180" s="580">
        <f t="shared" si="363"/>
        <v>2.5</v>
      </c>
      <c r="AG4180" s="580">
        <f t="shared" si="364"/>
        <v>0</v>
      </c>
      <c r="AH4180" s="580">
        <f t="shared" si="365"/>
        <v>0</v>
      </c>
    </row>
    <row r="4181" spans="28:34">
      <c r="AB4181" s="580">
        <f>HLOOKUP("*"&amp;'Output annual'!$AC$2&amp;'Output annual'!$AD$2&amp;"*Zone People Number Of Occupants [](Hourly)",'Eplus results'!$1:$1048576,ROW(),FALSE)</f>
        <v>0</v>
      </c>
      <c r="AC4181" s="580">
        <f>HLOOKUP("*"&amp;'Output annual'!$AC$2&amp;'Output annual'!$AD$2&amp;"*FangerPMV(Hourly)",'Eplus results'!$1:$1048576,ROW(),FALSE)</f>
        <v>0</v>
      </c>
      <c r="AD4181" s="580">
        <f t="shared" si="361"/>
        <v>5</v>
      </c>
      <c r="AE4181" s="580">
        <f t="shared" si="362"/>
        <v>2.5</v>
      </c>
      <c r="AF4181" s="580">
        <f t="shared" si="363"/>
        <v>2.5</v>
      </c>
      <c r="AG4181" s="580">
        <f t="shared" si="364"/>
        <v>0</v>
      </c>
      <c r="AH4181" s="580">
        <f t="shared" si="365"/>
        <v>0</v>
      </c>
    </row>
    <row r="4182" spans="28:34">
      <c r="AB4182" s="580">
        <f>HLOOKUP("*"&amp;'Output annual'!$AC$2&amp;'Output annual'!$AD$2&amp;"*Zone People Number Of Occupants [](Hourly)",'Eplus results'!$1:$1048576,ROW(),FALSE)</f>
        <v>0</v>
      </c>
      <c r="AC4182" s="580">
        <f>HLOOKUP("*"&amp;'Output annual'!$AC$2&amp;'Output annual'!$AD$2&amp;"*FangerPMV(Hourly)",'Eplus results'!$1:$1048576,ROW(),FALSE)</f>
        <v>0</v>
      </c>
      <c r="AD4182" s="580">
        <f t="shared" si="361"/>
        <v>5</v>
      </c>
      <c r="AE4182" s="580">
        <f t="shared" si="362"/>
        <v>2.5</v>
      </c>
      <c r="AF4182" s="580">
        <f t="shared" si="363"/>
        <v>2.5</v>
      </c>
      <c r="AG4182" s="580">
        <f t="shared" si="364"/>
        <v>0</v>
      </c>
      <c r="AH4182" s="580">
        <f t="shared" si="365"/>
        <v>0</v>
      </c>
    </row>
    <row r="4183" spans="28:34">
      <c r="AB4183" s="580">
        <f>HLOOKUP("*"&amp;'Output annual'!$AC$2&amp;'Output annual'!$AD$2&amp;"*Zone People Number Of Occupants [](Hourly)",'Eplus results'!$1:$1048576,ROW(),FALSE)</f>
        <v>0</v>
      </c>
      <c r="AC4183" s="580">
        <f>HLOOKUP("*"&amp;'Output annual'!$AC$2&amp;'Output annual'!$AD$2&amp;"*FangerPMV(Hourly)",'Eplus results'!$1:$1048576,ROW(),FALSE)</f>
        <v>0</v>
      </c>
      <c r="AD4183" s="580">
        <f t="shared" si="361"/>
        <v>5</v>
      </c>
      <c r="AE4183" s="580">
        <f t="shared" si="362"/>
        <v>2.5</v>
      </c>
      <c r="AF4183" s="580">
        <f t="shared" si="363"/>
        <v>2.5</v>
      </c>
      <c r="AG4183" s="580">
        <f t="shared" si="364"/>
        <v>0</v>
      </c>
      <c r="AH4183" s="580">
        <f t="shared" si="365"/>
        <v>0</v>
      </c>
    </row>
    <row r="4184" spans="28:34">
      <c r="AB4184" s="580">
        <f>HLOOKUP("*"&amp;'Output annual'!$AC$2&amp;'Output annual'!$AD$2&amp;"*Zone People Number Of Occupants [](Hourly)",'Eplus results'!$1:$1048576,ROW(),FALSE)</f>
        <v>0</v>
      </c>
      <c r="AC4184" s="580">
        <f>HLOOKUP("*"&amp;'Output annual'!$AC$2&amp;'Output annual'!$AD$2&amp;"*FangerPMV(Hourly)",'Eplus results'!$1:$1048576,ROW(),FALSE)</f>
        <v>0</v>
      </c>
      <c r="AD4184" s="580">
        <f t="shared" si="361"/>
        <v>5</v>
      </c>
      <c r="AE4184" s="580">
        <f t="shared" si="362"/>
        <v>2.5</v>
      </c>
      <c r="AF4184" s="580">
        <f t="shared" si="363"/>
        <v>2.5</v>
      </c>
      <c r="AG4184" s="580">
        <f t="shared" si="364"/>
        <v>0</v>
      </c>
      <c r="AH4184" s="580">
        <f t="shared" si="365"/>
        <v>0</v>
      </c>
    </row>
    <row r="4185" spans="28:34">
      <c r="AB4185" s="580">
        <f>HLOOKUP("*"&amp;'Output annual'!$AC$2&amp;'Output annual'!$AD$2&amp;"*Zone People Number Of Occupants [](Hourly)",'Eplus results'!$1:$1048576,ROW(),FALSE)</f>
        <v>0</v>
      </c>
      <c r="AC4185" s="580">
        <f>HLOOKUP("*"&amp;'Output annual'!$AC$2&amp;'Output annual'!$AD$2&amp;"*FangerPMV(Hourly)",'Eplus results'!$1:$1048576,ROW(),FALSE)</f>
        <v>0</v>
      </c>
      <c r="AD4185" s="580">
        <f t="shared" si="361"/>
        <v>5</v>
      </c>
      <c r="AE4185" s="580">
        <f t="shared" si="362"/>
        <v>2.5</v>
      </c>
      <c r="AF4185" s="580">
        <f t="shared" si="363"/>
        <v>2.5</v>
      </c>
      <c r="AG4185" s="580">
        <f t="shared" si="364"/>
        <v>0</v>
      </c>
      <c r="AH4185" s="580">
        <f t="shared" si="365"/>
        <v>0</v>
      </c>
    </row>
    <row r="4186" spans="28:34">
      <c r="AB4186" s="580">
        <f>HLOOKUP("*"&amp;'Output annual'!$AC$2&amp;'Output annual'!$AD$2&amp;"*Zone People Number Of Occupants [](Hourly)",'Eplus results'!$1:$1048576,ROW(),FALSE)</f>
        <v>0</v>
      </c>
      <c r="AC4186" s="580">
        <f>HLOOKUP("*"&amp;'Output annual'!$AC$2&amp;'Output annual'!$AD$2&amp;"*FangerPMV(Hourly)",'Eplus results'!$1:$1048576,ROW(),FALSE)</f>
        <v>0</v>
      </c>
      <c r="AD4186" s="580">
        <f t="shared" si="361"/>
        <v>5</v>
      </c>
      <c r="AE4186" s="580">
        <f t="shared" si="362"/>
        <v>2.5</v>
      </c>
      <c r="AF4186" s="580">
        <f t="shared" si="363"/>
        <v>2.5</v>
      </c>
      <c r="AG4186" s="580">
        <f t="shared" si="364"/>
        <v>0</v>
      </c>
      <c r="AH4186" s="580">
        <f t="shared" si="365"/>
        <v>0</v>
      </c>
    </row>
    <row r="4187" spans="28:34">
      <c r="AB4187" s="580">
        <f>HLOOKUP("*"&amp;'Output annual'!$AC$2&amp;'Output annual'!$AD$2&amp;"*Zone People Number Of Occupants [](Hourly)",'Eplus results'!$1:$1048576,ROW(),FALSE)</f>
        <v>0</v>
      </c>
      <c r="AC4187" s="580">
        <f>HLOOKUP("*"&amp;'Output annual'!$AC$2&amp;'Output annual'!$AD$2&amp;"*FangerPMV(Hourly)",'Eplus results'!$1:$1048576,ROW(),FALSE)</f>
        <v>0</v>
      </c>
      <c r="AD4187" s="580">
        <f t="shared" si="361"/>
        <v>5</v>
      </c>
      <c r="AE4187" s="580">
        <f t="shared" si="362"/>
        <v>2.5</v>
      </c>
      <c r="AF4187" s="580">
        <f t="shared" si="363"/>
        <v>2.5</v>
      </c>
      <c r="AG4187" s="580">
        <f t="shared" si="364"/>
        <v>0</v>
      </c>
      <c r="AH4187" s="580">
        <f t="shared" si="365"/>
        <v>0</v>
      </c>
    </row>
    <row r="4188" spans="28:34">
      <c r="AB4188" s="580">
        <f>HLOOKUP("*"&amp;'Output annual'!$AC$2&amp;'Output annual'!$AD$2&amp;"*Zone People Number Of Occupants [](Hourly)",'Eplus results'!$1:$1048576,ROW(),FALSE)</f>
        <v>0</v>
      </c>
      <c r="AC4188" s="580">
        <f>HLOOKUP("*"&amp;'Output annual'!$AC$2&amp;'Output annual'!$AD$2&amp;"*FangerPMV(Hourly)",'Eplus results'!$1:$1048576,ROW(),FALSE)</f>
        <v>0</v>
      </c>
      <c r="AD4188" s="580">
        <f t="shared" si="361"/>
        <v>5</v>
      </c>
      <c r="AE4188" s="580">
        <f t="shared" si="362"/>
        <v>2.5</v>
      </c>
      <c r="AF4188" s="580">
        <f t="shared" si="363"/>
        <v>2.5</v>
      </c>
      <c r="AG4188" s="580">
        <f t="shared" si="364"/>
        <v>0</v>
      </c>
      <c r="AH4188" s="580">
        <f t="shared" si="365"/>
        <v>0</v>
      </c>
    </row>
    <row r="4189" spans="28:34">
      <c r="AB4189" s="580">
        <f>HLOOKUP("*"&amp;'Output annual'!$AC$2&amp;'Output annual'!$AD$2&amp;"*Zone People Number Of Occupants [](Hourly)",'Eplus results'!$1:$1048576,ROW(),FALSE)</f>
        <v>0</v>
      </c>
      <c r="AC4189" s="580">
        <f>HLOOKUP("*"&amp;'Output annual'!$AC$2&amp;'Output annual'!$AD$2&amp;"*FangerPMV(Hourly)",'Eplus results'!$1:$1048576,ROW(),FALSE)</f>
        <v>0</v>
      </c>
      <c r="AD4189" s="580">
        <f t="shared" si="361"/>
        <v>5</v>
      </c>
      <c r="AE4189" s="580">
        <f t="shared" si="362"/>
        <v>2.5</v>
      </c>
      <c r="AF4189" s="580">
        <f t="shared" si="363"/>
        <v>2.5</v>
      </c>
      <c r="AG4189" s="580">
        <f t="shared" si="364"/>
        <v>0</v>
      </c>
      <c r="AH4189" s="580">
        <f t="shared" si="365"/>
        <v>0</v>
      </c>
    </row>
    <row r="4190" spans="28:34">
      <c r="AB4190" s="580">
        <f>HLOOKUP("*"&amp;'Output annual'!$AC$2&amp;'Output annual'!$AD$2&amp;"*Zone People Number Of Occupants [](Hourly)",'Eplus results'!$1:$1048576,ROW(),FALSE)</f>
        <v>0</v>
      </c>
      <c r="AC4190" s="580">
        <f>HLOOKUP("*"&amp;'Output annual'!$AC$2&amp;'Output annual'!$AD$2&amp;"*FangerPMV(Hourly)",'Eplus results'!$1:$1048576,ROW(),FALSE)</f>
        <v>0</v>
      </c>
      <c r="AD4190" s="580">
        <f t="shared" si="361"/>
        <v>5</v>
      </c>
      <c r="AE4190" s="580">
        <f t="shared" si="362"/>
        <v>2.5</v>
      </c>
      <c r="AF4190" s="580">
        <f t="shared" si="363"/>
        <v>2.5</v>
      </c>
      <c r="AG4190" s="580">
        <f t="shared" si="364"/>
        <v>0</v>
      </c>
      <c r="AH4190" s="580">
        <f t="shared" si="365"/>
        <v>0</v>
      </c>
    </row>
    <row r="4191" spans="28:34">
      <c r="AB4191" s="580">
        <f>HLOOKUP("*"&amp;'Output annual'!$AC$2&amp;'Output annual'!$AD$2&amp;"*Zone People Number Of Occupants [](Hourly)",'Eplus results'!$1:$1048576,ROW(),FALSE)</f>
        <v>0</v>
      </c>
      <c r="AC4191" s="580">
        <f>HLOOKUP("*"&amp;'Output annual'!$AC$2&amp;'Output annual'!$AD$2&amp;"*FangerPMV(Hourly)",'Eplus results'!$1:$1048576,ROW(),FALSE)</f>
        <v>0</v>
      </c>
      <c r="AD4191" s="580">
        <f t="shared" si="361"/>
        <v>5</v>
      </c>
      <c r="AE4191" s="580">
        <f t="shared" si="362"/>
        <v>2.5</v>
      </c>
      <c r="AF4191" s="580">
        <f t="shared" si="363"/>
        <v>2.5</v>
      </c>
      <c r="AG4191" s="580">
        <f t="shared" si="364"/>
        <v>0</v>
      </c>
      <c r="AH4191" s="580">
        <f t="shared" si="365"/>
        <v>0</v>
      </c>
    </row>
    <row r="4192" spans="28:34">
      <c r="AB4192" s="580">
        <f>HLOOKUP("*"&amp;'Output annual'!$AC$2&amp;'Output annual'!$AD$2&amp;"*Zone People Number Of Occupants [](Hourly)",'Eplus results'!$1:$1048576,ROW(),FALSE)</f>
        <v>0</v>
      </c>
      <c r="AC4192" s="580">
        <f>HLOOKUP("*"&amp;'Output annual'!$AC$2&amp;'Output annual'!$AD$2&amp;"*FangerPMV(Hourly)",'Eplus results'!$1:$1048576,ROW(),FALSE)</f>
        <v>0</v>
      </c>
      <c r="AD4192" s="580">
        <f t="shared" si="361"/>
        <v>5</v>
      </c>
      <c r="AE4192" s="580">
        <f t="shared" si="362"/>
        <v>2.5</v>
      </c>
      <c r="AF4192" s="580">
        <f t="shared" si="363"/>
        <v>2.5</v>
      </c>
      <c r="AG4192" s="580">
        <f t="shared" si="364"/>
        <v>0</v>
      </c>
      <c r="AH4192" s="580">
        <f t="shared" si="365"/>
        <v>0</v>
      </c>
    </row>
    <row r="4193" spans="28:34">
      <c r="AB4193" s="580">
        <f>HLOOKUP("*"&amp;'Output annual'!$AC$2&amp;'Output annual'!$AD$2&amp;"*Zone People Number Of Occupants [](Hourly)",'Eplus results'!$1:$1048576,ROW(),FALSE)</f>
        <v>0</v>
      </c>
      <c r="AC4193" s="580">
        <f>HLOOKUP("*"&amp;'Output annual'!$AC$2&amp;'Output annual'!$AD$2&amp;"*FangerPMV(Hourly)",'Eplus results'!$1:$1048576,ROW(),FALSE)</f>
        <v>0</v>
      </c>
      <c r="AD4193" s="580">
        <f t="shared" si="361"/>
        <v>5</v>
      </c>
      <c r="AE4193" s="580">
        <f t="shared" si="362"/>
        <v>2.5</v>
      </c>
      <c r="AF4193" s="580">
        <f t="shared" si="363"/>
        <v>2.5</v>
      </c>
      <c r="AG4193" s="580">
        <f t="shared" si="364"/>
        <v>0</v>
      </c>
      <c r="AH4193" s="580">
        <f t="shared" si="365"/>
        <v>0</v>
      </c>
    </row>
    <row r="4194" spans="28:34">
      <c r="AB4194" s="580">
        <f>HLOOKUP("*"&amp;'Output annual'!$AC$2&amp;'Output annual'!$AD$2&amp;"*Zone People Number Of Occupants [](Hourly)",'Eplus results'!$1:$1048576,ROW(),FALSE)</f>
        <v>0</v>
      </c>
      <c r="AC4194" s="580">
        <f>HLOOKUP("*"&amp;'Output annual'!$AC$2&amp;'Output annual'!$AD$2&amp;"*FangerPMV(Hourly)",'Eplus results'!$1:$1048576,ROW(),FALSE)</f>
        <v>0</v>
      </c>
      <c r="AD4194" s="580">
        <f t="shared" si="361"/>
        <v>5</v>
      </c>
      <c r="AE4194" s="580">
        <f t="shared" si="362"/>
        <v>2.5</v>
      </c>
      <c r="AF4194" s="580">
        <f t="shared" si="363"/>
        <v>2.5</v>
      </c>
      <c r="AG4194" s="580">
        <f t="shared" si="364"/>
        <v>0</v>
      </c>
      <c r="AH4194" s="580">
        <f t="shared" si="365"/>
        <v>0</v>
      </c>
    </row>
    <row r="4195" spans="28:34">
      <c r="AB4195" s="580">
        <f>HLOOKUP("*"&amp;'Output annual'!$AC$2&amp;'Output annual'!$AD$2&amp;"*Zone People Number Of Occupants [](Hourly)",'Eplus results'!$1:$1048576,ROW(),FALSE)</f>
        <v>0</v>
      </c>
      <c r="AC4195" s="580">
        <f>HLOOKUP("*"&amp;'Output annual'!$AC$2&amp;'Output annual'!$AD$2&amp;"*FangerPMV(Hourly)",'Eplus results'!$1:$1048576,ROW(),FALSE)</f>
        <v>0</v>
      </c>
      <c r="AD4195" s="580">
        <f t="shared" si="361"/>
        <v>5</v>
      </c>
      <c r="AE4195" s="580">
        <f t="shared" si="362"/>
        <v>2.5</v>
      </c>
      <c r="AF4195" s="580">
        <f t="shared" si="363"/>
        <v>2.5</v>
      </c>
      <c r="AG4195" s="580">
        <f t="shared" si="364"/>
        <v>0</v>
      </c>
      <c r="AH4195" s="580">
        <f t="shared" si="365"/>
        <v>0</v>
      </c>
    </row>
    <row r="4196" spans="28:34">
      <c r="AB4196" s="580">
        <f>HLOOKUP("*"&amp;'Output annual'!$AC$2&amp;'Output annual'!$AD$2&amp;"*Zone People Number Of Occupants [](Hourly)",'Eplus results'!$1:$1048576,ROW(),FALSE)</f>
        <v>0</v>
      </c>
      <c r="AC4196" s="580">
        <f>HLOOKUP("*"&amp;'Output annual'!$AC$2&amp;'Output annual'!$AD$2&amp;"*FangerPMV(Hourly)",'Eplus results'!$1:$1048576,ROW(),FALSE)</f>
        <v>0</v>
      </c>
      <c r="AD4196" s="580">
        <f t="shared" si="361"/>
        <v>5</v>
      </c>
      <c r="AE4196" s="580">
        <f t="shared" si="362"/>
        <v>2.5</v>
      </c>
      <c r="AF4196" s="580">
        <f t="shared" si="363"/>
        <v>2.5</v>
      </c>
      <c r="AG4196" s="580">
        <f t="shared" si="364"/>
        <v>0</v>
      </c>
      <c r="AH4196" s="580">
        <f t="shared" si="365"/>
        <v>0</v>
      </c>
    </row>
    <row r="4197" spans="28:34">
      <c r="AB4197" s="580">
        <f>HLOOKUP("*"&amp;'Output annual'!$AC$2&amp;'Output annual'!$AD$2&amp;"*Zone People Number Of Occupants [](Hourly)",'Eplus results'!$1:$1048576,ROW(),FALSE)</f>
        <v>0</v>
      </c>
      <c r="AC4197" s="580">
        <f>HLOOKUP("*"&amp;'Output annual'!$AC$2&amp;'Output annual'!$AD$2&amp;"*FangerPMV(Hourly)",'Eplus results'!$1:$1048576,ROW(),FALSE)</f>
        <v>0</v>
      </c>
      <c r="AD4197" s="580">
        <f t="shared" si="361"/>
        <v>5</v>
      </c>
      <c r="AE4197" s="580">
        <f t="shared" si="362"/>
        <v>2.5</v>
      </c>
      <c r="AF4197" s="580">
        <f t="shared" si="363"/>
        <v>2.5</v>
      </c>
      <c r="AG4197" s="580">
        <f t="shared" si="364"/>
        <v>0</v>
      </c>
      <c r="AH4197" s="580">
        <f t="shared" si="365"/>
        <v>0</v>
      </c>
    </row>
    <row r="4198" spans="28:34">
      <c r="AB4198" s="580">
        <f>HLOOKUP("*"&amp;'Output annual'!$AC$2&amp;'Output annual'!$AD$2&amp;"*Zone People Number Of Occupants [](Hourly)",'Eplus results'!$1:$1048576,ROW(),FALSE)</f>
        <v>0</v>
      </c>
      <c r="AC4198" s="580">
        <f>HLOOKUP("*"&amp;'Output annual'!$AC$2&amp;'Output annual'!$AD$2&amp;"*FangerPMV(Hourly)",'Eplus results'!$1:$1048576,ROW(),FALSE)</f>
        <v>0</v>
      </c>
      <c r="AD4198" s="580">
        <f t="shared" si="361"/>
        <v>5</v>
      </c>
      <c r="AE4198" s="580">
        <f t="shared" si="362"/>
        <v>2.5</v>
      </c>
      <c r="AF4198" s="580">
        <f t="shared" si="363"/>
        <v>2.5</v>
      </c>
      <c r="AG4198" s="580">
        <f t="shared" si="364"/>
        <v>0</v>
      </c>
      <c r="AH4198" s="580">
        <f t="shared" si="365"/>
        <v>0</v>
      </c>
    </row>
    <row r="4199" spans="28:34">
      <c r="AB4199" s="580">
        <f>HLOOKUP("*"&amp;'Output annual'!$AC$2&amp;'Output annual'!$AD$2&amp;"*Zone People Number Of Occupants [](Hourly)",'Eplus results'!$1:$1048576,ROW(),FALSE)</f>
        <v>0</v>
      </c>
      <c r="AC4199" s="580">
        <f>HLOOKUP("*"&amp;'Output annual'!$AC$2&amp;'Output annual'!$AD$2&amp;"*FangerPMV(Hourly)",'Eplus results'!$1:$1048576,ROW(),FALSE)</f>
        <v>0</v>
      </c>
      <c r="AD4199" s="580">
        <f t="shared" si="361"/>
        <v>5</v>
      </c>
      <c r="AE4199" s="580">
        <f t="shared" si="362"/>
        <v>2.5</v>
      </c>
      <c r="AF4199" s="580">
        <f t="shared" si="363"/>
        <v>2.5</v>
      </c>
      <c r="AG4199" s="580">
        <f t="shared" si="364"/>
        <v>0</v>
      </c>
      <c r="AH4199" s="580">
        <f t="shared" si="365"/>
        <v>0</v>
      </c>
    </row>
    <row r="4200" spans="28:34">
      <c r="AB4200" s="580">
        <f>HLOOKUP("*"&amp;'Output annual'!$AC$2&amp;'Output annual'!$AD$2&amp;"*Zone People Number Of Occupants [](Hourly)",'Eplus results'!$1:$1048576,ROW(),FALSE)</f>
        <v>0</v>
      </c>
      <c r="AC4200" s="580">
        <f>HLOOKUP("*"&amp;'Output annual'!$AC$2&amp;'Output annual'!$AD$2&amp;"*FangerPMV(Hourly)",'Eplus results'!$1:$1048576,ROW(),FALSE)</f>
        <v>0</v>
      </c>
      <c r="AD4200" s="580">
        <f t="shared" si="361"/>
        <v>5</v>
      </c>
      <c r="AE4200" s="580">
        <f t="shared" si="362"/>
        <v>2.5</v>
      </c>
      <c r="AF4200" s="580">
        <f t="shared" si="363"/>
        <v>2.5</v>
      </c>
      <c r="AG4200" s="580">
        <f t="shared" si="364"/>
        <v>0</v>
      </c>
      <c r="AH4200" s="580">
        <f t="shared" si="365"/>
        <v>0</v>
      </c>
    </row>
    <row r="4201" spans="28:34">
      <c r="AB4201" s="580">
        <f>HLOOKUP("*"&amp;'Output annual'!$AC$2&amp;'Output annual'!$AD$2&amp;"*Zone People Number Of Occupants [](Hourly)",'Eplus results'!$1:$1048576,ROW(),FALSE)</f>
        <v>0</v>
      </c>
      <c r="AC4201" s="580">
        <f>HLOOKUP("*"&amp;'Output annual'!$AC$2&amp;'Output annual'!$AD$2&amp;"*FangerPMV(Hourly)",'Eplus results'!$1:$1048576,ROW(),FALSE)</f>
        <v>0</v>
      </c>
      <c r="AD4201" s="580">
        <f t="shared" si="361"/>
        <v>5</v>
      </c>
      <c r="AE4201" s="580">
        <f t="shared" si="362"/>
        <v>2.5</v>
      </c>
      <c r="AF4201" s="580">
        <f t="shared" si="363"/>
        <v>2.5</v>
      </c>
      <c r="AG4201" s="580">
        <f t="shared" si="364"/>
        <v>0</v>
      </c>
      <c r="AH4201" s="580">
        <f t="shared" si="365"/>
        <v>0</v>
      </c>
    </row>
    <row r="4202" spans="28:34">
      <c r="AB4202" s="580">
        <f>HLOOKUP("*"&amp;'Output annual'!$AC$2&amp;'Output annual'!$AD$2&amp;"*Zone People Number Of Occupants [](Hourly)",'Eplus results'!$1:$1048576,ROW(),FALSE)</f>
        <v>0</v>
      </c>
      <c r="AC4202" s="580">
        <f>HLOOKUP("*"&amp;'Output annual'!$AC$2&amp;'Output annual'!$AD$2&amp;"*FangerPMV(Hourly)",'Eplus results'!$1:$1048576,ROW(),FALSE)</f>
        <v>0</v>
      </c>
      <c r="AD4202" s="580">
        <f t="shared" si="361"/>
        <v>5</v>
      </c>
      <c r="AE4202" s="580">
        <f t="shared" si="362"/>
        <v>2.5</v>
      </c>
      <c r="AF4202" s="580">
        <f t="shared" si="363"/>
        <v>2.5</v>
      </c>
      <c r="AG4202" s="580">
        <f t="shared" si="364"/>
        <v>0</v>
      </c>
      <c r="AH4202" s="580">
        <f t="shared" si="365"/>
        <v>0</v>
      </c>
    </row>
    <row r="4203" spans="28:34">
      <c r="AB4203" s="580">
        <f>HLOOKUP("*"&amp;'Output annual'!$AC$2&amp;'Output annual'!$AD$2&amp;"*Zone People Number Of Occupants [](Hourly)",'Eplus results'!$1:$1048576,ROW(),FALSE)</f>
        <v>0</v>
      </c>
      <c r="AC4203" s="580">
        <f>HLOOKUP("*"&amp;'Output annual'!$AC$2&amp;'Output annual'!$AD$2&amp;"*FangerPMV(Hourly)",'Eplus results'!$1:$1048576,ROW(),FALSE)</f>
        <v>0</v>
      </c>
      <c r="AD4203" s="580">
        <f t="shared" si="361"/>
        <v>5</v>
      </c>
      <c r="AE4203" s="580">
        <f t="shared" si="362"/>
        <v>2.5</v>
      </c>
      <c r="AF4203" s="580">
        <f t="shared" si="363"/>
        <v>2.5</v>
      </c>
      <c r="AG4203" s="580">
        <f t="shared" si="364"/>
        <v>0</v>
      </c>
      <c r="AH4203" s="580">
        <f t="shared" si="365"/>
        <v>0</v>
      </c>
    </row>
    <row r="4204" spans="28:34">
      <c r="AB4204" s="580">
        <f>HLOOKUP("*"&amp;'Output annual'!$AC$2&amp;'Output annual'!$AD$2&amp;"*Zone People Number Of Occupants [](Hourly)",'Eplus results'!$1:$1048576,ROW(),FALSE)</f>
        <v>0</v>
      </c>
      <c r="AC4204" s="580">
        <f>HLOOKUP("*"&amp;'Output annual'!$AC$2&amp;'Output annual'!$AD$2&amp;"*FangerPMV(Hourly)",'Eplus results'!$1:$1048576,ROW(),FALSE)</f>
        <v>0</v>
      </c>
      <c r="AD4204" s="580">
        <f t="shared" si="361"/>
        <v>5</v>
      </c>
      <c r="AE4204" s="580">
        <f t="shared" si="362"/>
        <v>2.5</v>
      </c>
      <c r="AF4204" s="580">
        <f t="shared" si="363"/>
        <v>2.5</v>
      </c>
      <c r="AG4204" s="580">
        <f t="shared" si="364"/>
        <v>0</v>
      </c>
      <c r="AH4204" s="580">
        <f t="shared" si="365"/>
        <v>0</v>
      </c>
    </row>
    <row r="4205" spans="28:34">
      <c r="AB4205" s="580">
        <f>HLOOKUP("*"&amp;'Output annual'!$AC$2&amp;'Output annual'!$AD$2&amp;"*Zone People Number Of Occupants [](Hourly)",'Eplus results'!$1:$1048576,ROW(),FALSE)</f>
        <v>0</v>
      </c>
      <c r="AC4205" s="580">
        <f>HLOOKUP("*"&amp;'Output annual'!$AC$2&amp;'Output annual'!$AD$2&amp;"*FangerPMV(Hourly)",'Eplus results'!$1:$1048576,ROW(),FALSE)</f>
        <v>0</v>
      </c>
      <c r="AD4205" s="580">
        <f t="shared" si="361"/>
        <v>5</v>
      </c>
      <c r="AE4205" s="580">
        <f t="shared" si="362"/>
        <v>2.5</v>
      </c>
      <c r="AF4205" s="580">
        <f t="shared" si="363"/>
        <v>2.5</v>
      </c>
      <c r="AG4205" s="580">
        <f t="shared" si="364"/>
        <v>0</v>
      </c>
      <c r="AH4205" s="580">
        <f t="shared" si="365"/>
        <v>0</v>
      </c>
    </row>
    <row r="4206" spans="28:34">
      <c r="AB4206" s="580">
        <f>HLOOKUP("*"&amp;'Output annual'!$AC$2&amp;'Output annual'!$AD$2&amp;"*Zone People Number Of Occupants [](Hourly)",'Eplus results'!$1:$1048576,ROW(),FALSE)</f>
        <v>0</v>
      </c>
      <c r="AC4206" s="580">
        <f>HLOOKUP("*"&amp;'Output annual'!$AC$2&amp;'Output annual'!$AD$2&amp;"*FangerPMV(Hourly)",'Eplus results'!$1:$1048576,ROW(),FALSE)</f>
        <v>0</v>
      </c>
      <c r="AD4206" s="580">
        <f t="shared" si="361"/>
        <v>5</v>
      </c>
      <c r="AE4206" s="580">
        <f t="shared" si="362"/>
        <v>2.5</v>
      </c>
      <c r="AF4206" s="580">
        <f t="shared" si="363"/>
        <v>2.5</v>
      </c>
      <c r="AG4206" s="580">
        <f t="shared" si="364"/>
        <v>0</v>
      </c>
      <c r="AH4206" s="580">
        <f t="shared" si="365"/>
        <v>0</v>
      </c>
    </row>
    <row r="4207" spans="28:34">
      <c r="AB4207" s="580">
        <f>HLOOKUP("*"&amp;'Output annual'!$AC$2&amp;'Output annual'!$AD$2&amp;"*Zone People Number Of Occupants [](Hourly)",'Eplus results'!$1:$1048576,ROW(),FALSE)</f>
        <v>0</v>
      </c>
      <c r="AC4207" s="580">
        <f>HLOOKUP("*"&amp;'Output annual'!$AC$2&amp;'Output annual'!$AD$2&amp;"*FangerPMV(Hourly)",'Eplus results'!$1:$1048576,ROW(),FALSE)</f>
        <v>0</v>
      </c>
      <c r="AD4207" s="580">
        <f t="shared" si="361"/>
        <v>5</v>
      </c>
      <c r="AE4207" s="580">
        <f t="shared" si="362"/>
        <v>2.5</v>
      </c>
      <c r="AF4207" s="580">
        <f t="shared" si="363"/>
        <v>2.5</v>
      </c>
      <c r="AG4207" s="580">
        <f t="shared" si="364"/>
        <v>0</v>
      </c>
      <c r="AH4207" s="580">
        <f t="shared" si="365"/>
        <v>0</v>
      </c>
    </row>
    <row r="4208" spans="28:34">
      <c r="AB4208" s="580">
        <f>HLOOKUP("*"&amp;'Output annual'!$AC$2&amp;'Output annual'!$AD$2&amp;"*Zone People Number Of Occupants [](Hourly)",'Eplus results'!$1:$1048576,ROW(),FALSE)</f>
        <v>0</v>
      </c>
      <c r="AC4208" s="580">
        <f>HLOOKUP("*"&amp;'Output annual'!$AC$2&amp;'Output annual'!$AD$2&amp;"*FangerPMV(Hourly)",'Eplus results'!$1:$1048576,ROW(),FALSE)</f>
        <v>0</v>
      </c>
      <c r="AD4208" s="580">
        <f t="shared" si="361"/>
        <v>5</v>
      </c>
      <c r="AE4208" s="580">
        <f t="shared" si="362"/>
        <v>2.5</v>
      </c>
      <c r="AF4208" s="580">
        <f t="shared" si="363"/>
        <v>2.5</v>
      </c>
      <c r="AG4208" s="580">
        <f t="shared" si="364"/>
        <v>0</v>
      </c>
      <c r="AH4208" s="580">
        <f t="shared" si="365"/>
        <v>0</v>
      </c>
    </row>
    <row r="4209" spans="28:34">
      <c r="AB4209" s="580">
        <f>HLOOKUP("*"&amp;'Output annual'!$AC$2&amp;'Output annual'!$AD$2&amp;"*Zone People Number Of Occupants [](Hourly)",'Eplus results'!$1:$1048576,ROW(),FALSE)</f>
        <v>0</v>
      </c>
      <c r="AC4209" s="580">
        <f>HLOOKUP("*"&amp;'Output annual'!$AC$2&amp;'Output annual'!$AD$2&amp;"*FangerPMV(Hourly)",'Eplus results'!$1:$1048576,ROW(),FALSE)</f>
        <v>0</v>
      </c>
      <c r="AD4209" s="580">
        <f t="shared" si="361"/>
        <v>5</v>
      </c>
      <c r="AE4209" s="580">
        <f t="shared" si="362"/>
        <v>2.5</v>
      </c>
      <c r="AF4209" s="580">
        <f t="shared" si="363"/>
        <v>2.5</v>
      </c>
      <c r="AG4209" s="580">
        <f t="shared" si="364"/>
        <v>0</v>
      </c>
      <c r="AH4209" s="580">
        <f t="shared" si="365"/>
        <v>0</v>
      </c>
    </row>
    <row r="4210" spans="28:34">
      <c r="AB4210" s="580">
        <f>HLOOKUP("*"&amp;'Output annual'!$AC$2&amp;'Output annual'!$AD$2&amp;"*Zone People Number Of Occupants [](Hourly)",'Eplus results'!$1:$1048576,ROW(),FALSE)</f>
        <v>0</v>
      </c>
      <c r="AC4210" s="580">
        <f>HLOOKUP("*"&amp;'Output annual'!$AC$2&amp;'Output annual'!$AD$2&amp;"*FangerPMV(Hourly)",'Eplus results'!$1:$1048576,ROW(),FALSE)</f>
        <v>0</v>
      </c>
      <c r="AD4210" s="580">
        <f t="shared" si="361"/>
        <v>5</v>
      </c>
      <c r="AE4210" s="580">
        <f t="shared" si="362"/>
        <v>2.5</v>
      </c>
      <c r="AF4210" s="580">
        <f t="shared" si="363"/>
        <v>2.5</v>
      </c>
      <c r="AG4210" s="580">
        <f t="shared" si="364"/>
        <v>0</v>
      </c>
      <c r="AH4210" s="580">
        <f t="shared" si="365"/>
        <v>0</v>
      </c>
    </row>
    <row r="4211" spans="28:34">
      <c r="AB4211" s="580">
        <f>HLOOKUP("*"&amp;'Output annual'!$AC$2&amp;'Output annual'!$AD$2&amp;"*Zone People Number Of Occupants [](Hourly)",'Eplus results'!$1:$1048576,ROW(),FALSE)</f>
        <v>0</v>
      </c>
      <c r="AC4211" s="580">
        <f>HLOOKUP("*"&amp;'Output annual'!$AC$2&amp;'Output annual'!$AD$2&amp;"*FangerPMV(Hourly)",'Eplus results'!$1:$1048576,ROW(),FALSE)</f>
        <v>0</v>
      </c>
      <c r="AD4211" s="580">
        <f t="shared" si="361"/>
        <v>5</v>
      </c>
      <c r="AE4211" s="580">
        <f t="shared" si="362"/>
        <v>2.5</v>
      </c>
      <c r="AF4211" s="580">
        <f t="shared" si="363"/>
        <v>2.5</v>
      </c>
      <c r="AG4211" s="580">
        <f t="shared" si="364"/>
        <v>0</v>
      </c>
      <c r="AH4211" s="580">
        <f t="shared" si="365"/>
        <v>0</v>
      </c>
    </row>
    <row r="4212" spans="28:34">
      <c r="AB4212" s="580">
        <f>HLOOKUP("*"&amp;'Output annual'!$AC$2&amp;'Output annual'!$AD$2&amp;"*Zone People Number Of Occupants [](Hourly)",'Eplus results'!$1:$1048576,ROW(),FALSE)</f>
        <v>0</v>
      </c>
      <c r="AC4212" s="580">
        <f>HLOOKUP("*"&amp;'Output annual'!$AC$2&amp;'Output annual'!$AD$2&amp;"*FangerPMV(Hourly)",'Eplus results'!$1:$1048576,ROW(),FALSE)</f>
        <v>0</v>
      </c>
      <c r="AD4212" s="580">
        <f t="shared" si="361"/>
        <v>5</v>
      </c>
      <c r="AE4212" s="580">
        <f t="shared" si="362"/>
        <v>2.5</v>
      </c>
      <c r="AF4212" s="580">
        <f t="shared" si="363"/>
        <v>2.5</v>
      </c>
      <c r="AG4212" s="580">
        <f t="shared" si="364"/>
        <v>0</v>
      </c>
      <c r="AH4212" s="580">
        <f t="shared" si="365"/>
        <v>0</v>
      </c>
    </row>
    <row r="4213" spans="28:34">
      <c r="AB4213" s="580">
        <f>HLOOKUP("*"&amp;'Output annual'!$AC$2&amp;'Output annual'!$AD$2&amp;"*Zone People Number Of Occupants [](Hourly)",'Eplus results'!$1:$1048576,ROW(),FALSE)</f>
        <v>0</v>
      </c>
      <c r="AC4213" s="580">
        <f>HLOOKUP("*"&amp;'Output annual'!$AC$2&amp;'Output annual'!$AD$2&amp;"*FangerPMV(Hourly)",'Eplus results'!$1:$1048576,ROW(),FALSE)</f>
        <v>0</v>
      </c>
      <c r="AD4213" s="580">
        <f t="shared" si="361"/>
        <v>5</v>
      </c>
      <c r="AE4213" s="580">
        <f t="shared" si="362"/>
        <v>2.5</v>
      </c>
      <c r="AF4213" s="580">
        <f t="shared" si="363"/>
        <v>2.5</v>
      </c>
      <c r="AG4213" s="580">
        <f t="shared" si="364"/>
        <v>0</v>
      </c>
      <c r="AH4213" s="580">
        <f t="shared" si="365"/>
        <v>0</v>
      </c>
    </row>
    <row r="4214" spans="28:34">
      <c r="AB4214" s="580">
        <f>HLOOKUP("*"&amp;'Output annual'!$AC$2&amp;'Output annual'!$AD$2&amp;"*Zone People Number Of Occupants [](Hourly)",'Eplus results'!$1:$1048576,ROW(),FALSE)</f>
        <v>0</v>
      </c>
      <c r="AC4214" s="580">
        <f>HLOOKUP("*"&amp;'Output annual'!$AC$2&amp;'Output annual'!$AD$2&amp;"*FangerPMV(Hourly)",'Eplus results'!$1:$1048576,ROW(),FALSE)</f>
        <v>0</v>
      </c>
      <c r="AD4214" s="580">
        <f t="shared" si="361"/>
        <v>5</v>
      </c>
      <c r="AE4214" s="580">
        <f t="shared" si="362"/>
        <v>2.5</v>
      </c>
      <c r="AF4214" s="580">
        <f t="shared" si="363"/>
        <v>2.5</v>
      </c>
      <c r="AG4214" s="580">
        <f t="shared" si="364"/>
        <v>0</v>
      </c>
      <c r="AH4214" s="580">
        <f t="shared" si="365"/>
        <v>0</v>
      </c>
    </row>
    <row r="4215" spans="28:34">
      <c r="AB4215" s="580">
        <f>HLOOKUP("*"&amp;'Output annual'!$AC$2&amp;'Output annual'!$AD$2&amp;"*Zone People Number Of Occupants [](Hourly)",'Eplus results'!$1:$1048576,ROW(),FALSE)</f>
        <v>0</v>
      </c>
      <c r="AC4215" s="580">
        <f>HLOOKUP("*"&amp;'Output annual'!$AC$2&amp;'Output annual'!$AD$2&amp;"*FangerPMV(Hourly)",'Eplus results'!$1:$1048576,ROW(),FALSE)</f>
        <v>0</v>
      </c>
      <c r="AD4215" s="580">
        <f t="shared" si="361"/>
        <v>5</v>
      </c>
      <c r="AE4215" s="580">
        <f t="shared" si="362"/>
        <v>2.5</v>
      </c>
      <c r="AF4215" s="580">
        <f t="shared" si="363"/>
        <v>2.5</v>
      </c>
      <c r="AG4215" s="580">
        <f t="shared" si="364"/>
        <v>0</v>
      </c>
      <c r="AH4215" s="580">
        <f t="shared" si="365"/>
        <v>0</v>
      </c>
    </row>
    <row r="4216" spans="28:34">
      <c r="AB4216" s="580">
        <f>HLOOKUP("*"&amp;'Output annual'!$AC$2&amp;'Output annual'!$AD$2&amp;"*Zone People Number Of Occupants [](Hourly)",'Eplus results'!$1:$1048576,ROW(),FALSE)</f>
        <v>0</v>
      </c>
      <c r="AC4216" s="580">
        <f>HLOOKUP("*"&amp;'Output annual'!$AC$2&amp;'Output annual'!$AD$2&amp;"*FangerPMV(Hourly)",'Eplus results'!$1:$1048576,ROW(),FALSE)</f>
        <v>0</v>
      </c>
      <c r="AD4216" s="580">
        <f t="shared" si="361"/>
        <v>5</v>
      </c>
      <c r="AE4216" s="580">
        <f t="shared" si="362"/>
        <v>2.5</v>
      </c>
      <c r="AF4216" s="580">
        <f t="shared" si="363"/>
        <v>2.5</v>
      </c>
      <c r="AG4216" s="580">
        <f t="shared" si="364"/>
        <v>0</v>
      </c>
      <c r="AH4216" s="580">
        <f t="shared" si="365"/>
        <v>0</v>
      </c>
    </row>
    <row r="4217" spans="28:34">
      <c r="AB4217" s="580">
        <f>HLOOKUP("*"&amp;'Output annual'!$AC$2&amp;'Output annual'!$AD$2&amp;"*Zone People Number Of Occupants [](Hourly)",'Eplus results'!$1:$1048576,ROW(),FALSE)</f>
        <v>0</v>
      </c>
      <c r="AC4217" s="580">
        <f>HLOOKUP("*"&amp;'Output annual'!$AC$2&amp;'Output annual'!$AD$2&amp;"*FangerPMV(Hourly)",'Eplus results'!$1:$1048576,ROW(),FALSE)</f>
        <v>0</v>
      </c>
      <c r="AD4217" s="580">
        <f t="shared" si="361"/>
        <v>5</v>
      </c>
      <c r="AE4217" s="580">
        <f t="shared" si="362"/>
        <v>2.5</v>
      </c>
      <c r="AF4217" s="580">
        <f t="shared" si="363"/>
        <v>2.5</v>
      </c>
      <c r="AG4217" s="580">
        <f t="shared" si="364"/>
        <v>0</v>
      </c>
      <c r="AH4217" s="580">
        <f t="shared" si="365"/>
        <v>0</v>
      </c>
    </row>
    <row r="4218" spans="28:34">
      <c r="AB4218" s="580">
        <f>HLOOKUP("*"&amp;'Output annual'!$AC$2&amp;'Output annual'!$AD$2&amp;"*Zone People Number Of Occupants [](Hourly)",'Eplus results'!$1:$1048576,ROW(),FALSE)</f>
        <v>0</v>
      </c>
      <c r="AC4218" s="580">
        <f>HLOOKUP("*"&amp;'Output annual'!$AC$2&amp;'Output annual'!$AD$2&amp;"*FangerPMV(Hourly)",'Eplus results'!$1:$1048576,ROW(),FALSE)</f>
        <v>0</v>
      </c>
      <c r="AD4218" s="580">
        <f t="shared" si="361"/>
        <v>5</v>
      </c>
      <c r="AE4218" s="580">
        <f t="shared" si="362"/>
        <v>2.5</v>
      </c>
      <c r="AF4218" s="580">
        <f t="shared" si="363"/>
        <v>2.5</v>
      </c>
      <c r="AG4218" s="580">
        <f t="shared" si="364"/>
        <v>0</v>
      </c>
      <c r="AH4218" s="580">
        <f t="shared" si="365"/>
        <v>0</v>
      </c>
    </row>
    <row r="4219" spans="28:34">
      <c r="AB4219" s="580">
        <f>HLOOKUP("*"&amp;'Output annual'!$AC$2&amp;'Output annual'!$AD$2&amp;"*Zone People Number Of Occupants [](Hourly)",'Eplus results'!$1:$1048576,ROW(),FALSE)</f>
        <v>0</v>
      </c>
      <c r="AC4219" s="580">
        <f>HLOOKUP("*"&amp;'Output annual'!$AC$2&amp;'Output annual'!$AD$2&amp;"*FangerPMV(Hourly)",'Eplus results'!$1:$1048576,ROW(),FALSE)</f>
        <v>0</v>
      </c>
      <c r="AD4219" s="580">
        <f t="shared" si="361"/>
        <v>5</v>
      </c>
      <c r="AE4219" s="580">
        <f t="shared" si="362"/>
        <v>2.5</v>
      </c>
      <c r="AF4219" s="580">
        <f t="shared" si="363"/>
        <v>2.5</v>
      </c>
      <c r="AG4219" s="580">
        <f t="shared" si="364"/>
        <v>0</v>
      </c>
      <c r="AH4219" s="580">
        <f t="shared" si="365"/>
        <v>0</v>
      </c>
    </row>
    <row r="4220" spans="28:34">
      <c r="AB4220" s="580">
        <f>HLOOKUP("*"&amp;'Output annual'!$AC$2&amp;'Output annual'!$AD$2&amp;"*Zone People Number Of Occupants [](Hourly)",'Eplus results'!$1:$1048576,ROW(),FALSE)</f>
        <v>0</v>
      </c>
      <c r="AC4220" s="580">
        <f>HLOOKUP("*"&amp;'Output annual'!$AC$2&amp;'Output annual'!$AD$2&amp;"*FangerPMV(Hourly)",'Eplus results'!$1:$1048576,ROW(),FALSE)</f>
        <v>0</v>
      </c>
      <c r="AD4220" s="580">
        <f t="shared" si="361"/>
        <v>5</v>
      </c>
      <c r="AE4220" s="580">
        <f t="shared" si="362"/>
        <v>2.5</v>
      </c>
      <c r="AF4220" s="580">
        <f t="shared" si="363"/>
        <v>2.5</v>
      </c>
      <c r="AG4220" s="580">
        <f t="shared" si="364"/>
        <v>0</v>
      </c>
      <c r="AH4220" s="580">
        <f t="shared" si="365"/>
        <v>0</v>
      </c>
    </row>
    <row r="4221" spans="28:34">
      <c r="AB4221" s="580">
        <f>HLOOKUP("*"&amp;'Output annual'!$AC$2&amp;'Output annual'!$AD$2&amp;"*Zone People Number Of Occupants [](Hourly)",'Eplus results'!$1:$1048576,ROW(),FALSE)</f>
        <v>0</v>
      </c>
      <c r="AC4221" s="580">
        <f>HLOOKUP("*"&amp;'Output annual'!$AC$2&amp;'Output annual'!$AD$2&amp;"*FangerPMV(Hourly)",'Eplus results'!$1:$1048576,ROW(),FALSE)</f>
        <v>0</v>
      </c>
      <c r="AD4221" s="580">
        <f t="shared" si="361"/>
        <v>5</v>
      </c>
      <c r="AE4221" s="580">
        <f t="shared" si="362"/>
        <v>2.5</v>
      </c>
      <c r="AF4221" s="580">
        <f t="shared" si="363"/>
        <v>2.5</v>
      </c>
      <c r="AG4221" s="580">
        <f t="shared" si="364"/>
        <v>0</v>
      </c>
      <c r="AH4221" s="580">
        <f t="shared" si="365"/>
        <v>0</v>
      </c>
    </row>
    <row r="4222" spans="28:34">
      <c r="AB4222" s="580">
        <f>HLOOKUP("*"&amp;'Output annual'!$AC$2&amp;'Output annual'!$AD$2&amp;"*Zone People Number Of Occupants [](Hourly)",'Eplus results'!$1:$1048576,ROW(),FALSE)</f>
        <v>0</v>
      </c>
      <c r="AC4222" s="580">
        <f>HLOOKUP("*"&amp;'Output annual'!$AC$2&amp;'Output annual'!$AD$2&amp;"*FangerPMV(Hourly)",'Eplus results'!$1:$1048576,ROW(),FALSE)</f>
        <v>0</v>
      </c>
      <c r="AD4222" s="580">
        <f t="shared" si="361"/>
        <v>5</v>
      </c>
      <c r="AE4222" s="580">
        <f t="shared" si="362"/>
        <v>2.5</v>
      </c>
      <c r="AF4222" s="580">
        <f t="shared" si="363"/>
        <v>2.5</v>
      </c>
      <c r="AG4222" s="580">
        <f t="shared" si="364"/>
        <v>0</v>
      </c>
      <c r="AH4222" s="580">
        <f t="shared" si="365"/>
        <v>0</v>
      </c>
    </row>
    <row r="4223" spans="28:34">
      <c r="AB4223" s="580">
        <f>HLOOKUP("*"&amp;'Output annual'!$AC$2&amp;'Output annual'!$AD$2&amp;"*Zone People Number Of Occupants [](Hourly)",'Eplus results'!$1:$1048576,ROW(),FALSE)</f>
        <v>0</v>
      </c>
      <c r="AC4223" s="580">
        <f>HLOOKUP("*"&amp;'Output annual'!$AC$2&amp;'Output annual'!$AD$2&amp;"*FangerPMV(Hourly)",'Eplus results'!$1:$1048576,ROW(),FALSE)</f>
        <v>0</v>
      </c>
      <c r="AD4223" s="580">
        <f t="shared" si="361"/>
        <v>5</v>
      </c>
      <c r="AE4223" s="580">
        <f t="shared" si="362"/>
        <v>2.5</v>
      </c>
      <c r="AF4223" s="580">
        <f t="shared" si="363"/>
        <v>2.5</v>
      </c>
      <c r="AG4223" s="580">
        <f t="shared" si="364"/>
        <v>0</v>
      </c>
      <c r="AH4223" s="580">
        <f t="shared" si="365"/>
        <v>0</v>
      </c>
    </row>
    <row r="4224" spans="28:34">
      <c r="AB4224" s="580">
        <f>HLOOKUP("*"&amp;'Output annual'!$AC$2&amp;'Output annual'!$AD$2&amp;"*Zone People Number Of Occupants [](Hourly)",'Eplus results'!$1:$1048576,ROW(),FALSE)</f>
        <v>0</v>
      </c>
      <c r="AC4224" s="580">
        <f>HLOOKUP("*"&amp;'Output annual'!$AC$2&amp;'Output annual'!$AD$2&amp;"*FangerPMV(Hourly)",'Eplus results'!$1:$1048576,ROW(),FALSE)</f>
        <v>0</v>
      </c>
      <c r="AD4224" s="580">
        <f t="shared" si="361"/>
        <v>5</v>
      </c>
      <c r="AE4224" s="580">
        <f t="shared" si="362"/>
        <v>2.5</v>
      </c>
      <c r="AF4224" s="580">
        <f t="shared" si="363"/>
        <v>2.5</v>
      </c>
      <c r="AG4224" s="580">
        <f t="shared" si="364"/>
        <v>0</v>
      </c>
      <c r="AH4224" s="580">
        <f t="shared" si="365"/>
        <v>0</v>
      </c>
    </row>
    <row r="4225" spans="28:34">
      <c r="AB4225" s="580">
        <f>HLOOKUP("*"&amp;'Output annual'!$AC$2&amp;'Output annual'!$AD$2&amp;"*Zone People Number Of Occupants [](Hourly)",'Eplus results'!$1:$1048576,ROW(),FALSE)</f>
        <v>0</v>
      </c>
      <c r="AC4225" s="580">
        <f>HLOOKUP("*"&amp;'Output annual'!$AC$2&amp;'Output annual'!$AD$2&amp;"*FangerPMV(Hourly)",'Eplus results'!$1:$1048576,ROW(),FALSE)</f>
        <v>0</v>
      </c>
      <c r="AD4225" s="580">
        <f t="shared" si="361"/>
        <v>5</v>
      </c>
      <c r="AE4225" s="580">
        <f t="shared" si="362"/>
        <v>2.5</v>
      </c>
      <c r="AF4225" s="580">
        <f t="shared" si="363"/>
        <v>2.5</v>
      </c>
      <c r="AG4225" s="580">
        <f t="shared" si="364"/>
        <v>0</v>
      </c>
      <c r="AH4225" s="580">
        <f t="shared" si="365"/>
        <v>0</v>
      </c>
    </row>
    <row r="4226" spans="28:34">
      <c r="AB4226" s="580">
        <f>HLOOKUP("*"&amp;'Output annual'!$AC$2&amp;'Output annual'!$AD$2&amp;"*Zone People Number Of Occupants [](Hourly)",'Eplus results'!$1:$1048576,ROW(),FALSE)</f>
        <v>0</v>
      </c>
      <c r="AC4226" s="580">
        <f>HLOOKUP("*"&amp;'Output annual'!$AC$2&amp;'Output annual'!$AD$2&amp;"*FangerPMV(Hourly)",'Eplus results'!$1:$1048576,ROW(),FALSE)</f>
        <v>0</v>
      </c>
      <c r="AD4226" s="580">
        <f t="shared" si="361"/>
        <v>5</v>
      </c>
      <c r="AE4226" s="580">
        <f t="shared" si="362"/>
        <v>2.5</v>
      </c>
      <c r="AF4226" s="580">
        <f t="shared" si="363"/>
        <v>2.5</v>
      </c>
      <c r="AG4226" s="580">
        <f t="shared" si="364"/>
        <v>0</v>
      </c>
      <c r="AH4226" s="580">
        <f t="shared" si="365"/>
        <v>0</v>
      </c>
    </row>
    <row r="4227" spans="28:34">
      <c r="AB4227" s="580">
        <f>HLOOKUP("*"&amp;'Output annual'!$AC$2&amp;'Output annual'!$AD$2&amp;"*Zone People Number Of Occupants [](Hourly)",'Eplus results'!$1:$1048576,ROW(),FALSE)</f>
        <v>0</v>
      </c>
      <c r="AC4227" s="580">
        <f>HLOOKUP("*"&amp;'Output annual'!$AC$2&amp;'Output annual'!$AD$2&amp;"*FangerPMV(Hourly)",'Eplus results'!$1:$1048576,ROW(),FALSE)</f>
        <v>0</v>
      </c>
      <c r="AD4227" s="580">
        <f t="shared" ref="AD4227:AD4290" si="366">100-95*EXP(-0.03353*AC4227^4-0.2179*AC4227^2)</f>
        <v>5</v>
      </c>
      <c r="AE4227" s="580">
        <f t="shared" ref="AE4227:AE4290" si="367">AD4227*(1/(1+EXP(-6.3*$AC4227)))</f>
        <v>2.5</v>
      </c>
      <c r="AF4227" s="580">
        <f t="shared" ref="AF4227:AF4290" si="368">(AD4227-AE4227)</f>
        <v>2.5</v>
      </c>
      <c r="AG4227" s="580">
        <f t="shared" ref="AG4227:AG4290" si="369">AE4227*AB4227</f>
        <v>0</v>
      </c>
      <c r="AH4227" s="580">
        <f t="shared" ref="AH4227:AH4290" si="370">AF4227*AB4227</f>
        <v>0</v>
      </c>
    </row>
    <row r="4228" spans="28:34">
      <c r="AB4228" s="580">
        <f>HLOOKUP("*"&amp;'Output annual'!$AC$2&amp;'Output annual'!$AD$2&amp;"*Zone People Number Of Occupants [](Hourly)",'Eplus results'!$1:$1048576,ROW(),FALSE)</f>
        <v>0</v>
      </c>
      <c r="AC4228" s="580">
        <f>HLOOKUP("*"&amp;'Output annual'!$AC$2&amp;'Output annual'!$AD$2&amp;"*FangerPMV(Hourly)",'Eplus results'!$1:$1048576,ROW(),FALSE)</f>
        <v>0</v>
      </c>
      <c r="AD4228" s="580">
        <f t="shared" si="366"/>
        <v>5</v>
      </c>
      <c r="AE4228" s="580">
        <f t="shared" si="367"/>
        <v>2.5</v>
      </c>
      <c r="AF4228" s="580">
        <f t="shared" si="368"/>
        <v>2.5</v>
      </c>
      <c r="AG4228" s="580">
        <f t="shared" si="369"/>
        <v>0</v>
      </c>
      <c r="AH4228" s="580">
        <f t="shared" si="370"/>
        <v>0</v>
      </c>
    </row>
    <row r="4229" spans="28:34">
      <c r="AB4229" s="580">
        <f>HLOOKUP("*"&amp;'Output annual'!$AC$2&amp;'Output annual'!$AD$2&amp;"*Zone People Number Of Occupants [](Hourly)",'Eplus results'!$1:$1048576,ROW(),FALSE)</f>
        <v>0</v>
      </c>
      <c r="AC4229" s="580">
        <f>HLOOKUP("*"&amp;'Output annual'!$AC$2&amp;'Output annual'!$AD$2&amp;"*FangerPMV(Hourly)",'Eplus results'!$1:$1048576,ROW(),FALSE)</f>
        <v>0</v>
      </c>
      <c r="AD4229" s="580">
        <f t="shared" si="366"/>
        <v>5</v>
      </c>
      <c r="AE4229" s="580">
        <f t="shared" si="367"/>
        <v>2.5</v>
      </c>
      <c r="AF4229" s="580">
        <f t="shared" si="368"/>
        <v>2.5</v>
      </c>
      <c r="AG4229" s="580">
        <f t="shared" si="369"/>
        <v>0</v>
      </c>
      <c r="AH4229" s="580">
        <f t="shared" si="370"/>
        <v>0</v>
      </c>
    </row>
    <row r="4230" spans="28:34">
      <c r="AB4230" s="580">
        <f>HLOOKUP("*"&amp;'Output annual'!$AC$2&amp;'Output annual'!$AD$2&amp;"*Zone People Number Of Occupants [](Hourly)",'Eplus results'!$1:$1048576,ROW(),FALSE)</f>
        <v>0</v>
      </c>
      <c r="AC4230" s="580">
        <f>HLOOKUP("*"&amp;'Output annual'!$AC$2&amp;'Output annual'!$AD$2&amp;"*FangerPMV(Hourly)",'Eplus results'!$1:$1048576,ROW(),FALSE)</f>
        <v>0</v>
      </c>
      <c r="AD4230" s="580">
        <f t="shared" si="366"/>
        <v>5</v>
      </c>
      <c r="AE4230" s="580">
        <f t="shared" si="367"/>
        <v>2.5</v>
      </c>
      <c r="AF4230" s="580">
        <f t="shared" si="368"/>
        <v>2.5</v>
      </c>
      <c r="AG4230" s="580">
        <f t="shared" si="369"/>
        <v>0</v>
      </c>
      <c r="AH4230" s="580">
        <f t="shared" si="370"/>
        <v>0</v>
      </c>
    </row>
    <row r="4231" spans="28:34">
      <c r="AB4231" s="580">
        <f>HLOOKUP("*"&amp;'Output annual'!$AC$2&amp;'Output annual'!$AD$2&amp;"*Zone People Number Of Occupants [](Hourly)",'Eplus results'!$1:$1048576,ROW(),FALSE)</f>
        <v>0</v>
      </c>
      <c r="AC4231" s="580">
        <f>HLOOKUP("*"&amp;'Output annual'!$AC$2&amp;'Output annual'!$AD$2&amp;"*FangerPMV(Hourly)",'Eplus results'!$1:$1048576,ROW(),FALSE)</f>
        <v>0</v>
      </c>
      <c r="AD4231" s="580">
        <f t="shared" si="366"/>
        <v>5</v>
      </c>
      <c r="AE4231" s="580">
        <f t="shared" si="367"/>
        <v>2.5</v>
      </c>
      <c r="AF4231" s="580">
        <f t="shared" si="368"/>
        <v>2.5</v>
      </c>
      <c r="AG4231" s="580">
        <f t="shared" si="369"/>
        <v>0</v>
      </c>
      <c r="AH4231" s="580">
        <f t="shared" si="370"/>
        <v>0</v>
      </c>
    </row>
    <row r="4232" spans="28:34">
      <c r="AB4232" s="580">
        <f>HLOOKUP("*"&amp;'Output annual'!$AC$2&amp;'Output annual'!$AD$2&amp;"*Zone People Number Of Occupants [](Hourly)",'Eplus results'!$1:$1048576,ROW(),FALSE)</f>
        <v>0</v>
      </c>
      <c r="AC4232" s="580">
        <f>HLOOKUP("*"&amp;'Output annual'!$AC$2&amp;'Output annual'!$AD$2&amp;"*FangerPMV(Hourly)",'Eplus results'!$1:$1048576,ROW(),FALSE)</f>
        <v>0</v>
      </c>
      <c r="AD4232" s="580">
        <f t="shared" si="366"/>
        <v>5</v>
      </c>
      <c r="AE4232" s="580">
        <f t="shared" si="367"/>
        <v>2.5</v>
      </c>
      <c r="AF4232" s="580">
        <f t="shared" si="368"/>
        <v>2.5</v>
      </c>
      <c r="AG4232" s="580">
        <f t="shared" si="369"/>
        <v>0</v>
      </c>
      <c r="AH4232" s="580">
        <f t="shared" si="370"/>
        <v>0</v>
      </c>
    </row>
    <row r="4233" spans="28:34">
      <c r="AB4233" s="580">
        <f>HLOOKUP("*"&amp;'Output annual'!$AC$2&amp;'Output annual'!$AD$2&amp;"*Zone People Number Of Occupants [](Hourly)",'Eplus results'!$1:$1048576,ROW(),FALSE)</f>
        <v>0</v>
      </c>
      <c r="AC4233" s="580">
        <f>HLOOKUP("*"&amp;'Output annual'!$AC$2&amp;'Output annual'!$AD$2&amp;"*FangerPMV(Hourly)",'Eplus results'!$1:$1048576,ROW(),FALSE)</f>
        <v>0</v>
      </c>
      <c r="AD4233" s="580">
        <f t="shared" si="366"/>
        <v>5</v>
      </c>
      <c r="AE4233" s="580">
        <f t="shared" si="367"/>
        <v>2.5</v>
      </c>
      <c r="AF4233" s="580">
        <f t="shared" si="368"/>
        <v>2.5</v>
      </c>
      <c r="AG4233" s="580">
        <f t="shared" si="369"/>
        <v>0</v>
      </c>
      <c r="AH4233" s="580">
        <f t="shared" si="370"/>
        <v>0</v>
      </c>
    </row>
    <row r="4234" spans="28:34">
      <c r="AB4234" s="580">
        <f>HLOOKUP("*"&amp;'Output annual'!$AC$2&amp;'Output annual'!$AD$2&amp;"*Zone People Number Of Occupants [](Hourly)",'Eplus results'!$1:$1048576,ROW(),FALSE)</f>
        <v>0</v>
      </c>
      <c r="AC4234" s="580">
        <f>HLOOKUP("*"&amp;'Output annual'!$AC$2&amp;'Output annual'!$AD$2&amp;"*FangerPMV(Hourly)",'Eplus results'!$1:$1048576,ROW(),FALSE)</f>
        <v>0</v>
      </c>
      <c r="AD4234" s="580">
        <f t="shared" si="366"/>
        <v>5</v>
      </c>
      <c r="AE4234" s="580">
        <f t="shared" si="367"/>
        <v>2.5</v>
      </c>
      <c r="AF4234" s="580">
        <f t="shared" si="368"/>
        <v>2.5</v>
      </c>
      <c r="AG4234" s="580">
        <f t="shared" si="369"/>
        <v>0</v>
      </c>
      <c r="AH4234" s="580">
        <f t="shared" si="370"/>
        <v>0</v>
      </c>
    </row>
    <row r="4235" spans="28:34">
      <c r="AB4235" s="580">
        <f>HLOOKUP("*"&amp;'Output annual'!$AC$2&amp;'Output annual'!$AD$2&amp;"*Zone People Number Of Occupants [](Hourly)",'Eplus results'!$1:$1048576,ROW(),FALSE)</f>
        <v>0</v>
      </c>
      <c r="AC4235" s="580">
        <f>HLOOKUP("*"&amp;'Output annual'!$AC$2&amp;'Output annual'!$AD$2&amp;"*FangerPMV(Hourly)",'Eplus results'!$1:$1048576,ROW(),FALSE)</f>
        <v>0</v>
      </c>
      <c r="AD4235" s="580">
        <f t="shared" si="366"/>
        <v>5</v>
      </c>
      <c r="AE4235" s="580">
        <f t="shared" si="367"/>
        <v>2.5</v>
      </c>
      <c r="AF4235" s="580">
        <f t="shared" si="368"/>
        <v>2.5</v>
      </c>
      <c r="AG4235" s="580">
        <f t="shared" si="369"/>
        <v>0</v>
      </c>
      <c r="AH4235" s="580">
        <f t="shared" si="370"/>
        <v>0</v>
      </c>
    </row>
    <row r="4236" spans="28:34">
      <c r="AB4236" s="580">
        <f>HLOOKUP("*"&amp;'Output annual'!$AC$2&amp;'Output annual'!$AD$2&amp;"*Zone People Number Of Occupants [](Hourly)",'Eplus results'!$1:$1048576,ROW(),FALSE)</f>
        <v>0</v>
      </c>
      <c r="AC4236" s="580">
        <f>HLOOKUP("*"&amp;'Output annual'!$AC$2&amp;'Output annual'!$AD$2&amp;"*FangerPMV(Hourly)",'Eplus results'!$1:$1048576,ROW(),FALSE)</f>
        <v>0</v>
      </c>
      <c r="AD4236" s="580">
        <f t="shared" si="366"/>
        <v>5</v>
      </c>
      <c r="AE4236" s="580">
        <f t="shared" si="367"/>
        <v>2.5</v>
      </c>
      <c r="AF4236" s="580">
        <f t="shared" si="368"/>
        <v>2.5</v>
      </c>
      <c r="AG4236" s="580">
        <f t="shared" si="369"/>
        <v>0</v>
      </c>
      <c r="AH4236" s="580">
        <f t="shared" si="370"/>
        <v>0</v>
      </c>
    </row>
    <row r="4237" spans="28:34">
      <c r="AB4237" s="580">
        <f>HLOOKUP("*"&amp;'Output annual'!$AC$2&amp;'Output annual'!$AD$2&amp;"*Zone People Number Of Occupants [](Hourly)",'Eplus results'!$1:$1048576,ROW(),FALSE)</f>
        <v>0</v>
      </c>
      <c r="AC4237" s="580">
        <f>HLOOKUP("*"&amp;'Output annual'!$AC$2&amp;'Output annual'!$AD$2&amp;"*FangerPMV(Hourly)",'Eplus results'!$1:$1048576,ROW(),FALSE)</f>
        <v>0</v>
      </c>
      <c r="AD4237" s="580">
        <f t="shared" si="366"/>
        <v>5</v>
      </c>
      <c r="AE4237" s="580">
        <f t="shared" si="367"/>
        <v>2.5</v>
      </c>
      <c r="AF4237" s="580">
        <f t="shared" si="368"/>
        <v>2.5</v>
      </c>
      <c r="AG4237" s="580">
        <f t="shared" si="369"/>
        <v>0</v>
      </c>
      <c r="AH4237" s="580">
        <f t="shared" si="370"/>
        <v>0</v>
      </c>
    </row>
    <row r="4238" spans="28:34">
      <c r="AB4238" s="580">
        <f>HLOOKUP("*"&amp;'Output annual'!$AC$2&amp;'Output annual'!$AD$2&amp;"*Zone People Number Of Occupants [](Hourly)",'Eplus results'!$1:$1048576,ROW(),FALSE)</f>
        <v>0</v>
      </c>
      <c r="AC4238" s="580">
        <f>HLOOKUP("*"&amp;'Output annual'!$AC$2&amp;'Output annual'!$AD$2&amp;"*FangerPMV(Hourly)",'Eplus results'!$1:$1048576,ROW(),FALSE)</f>
        <v>0</v>
      </c>
      <c r="AD4238" s="580">
        <f t="shared" si="366"/>
        <v>5</v>
      </c>
      <c r="AE4238" s="580">
        <f t="shared" si="367"/>
        <v>2.5</v>
      </c>
      <c r="AF4238" s="580">
        <f t="shared" si="368"/>
        <v>2.5</v>
      </c>
      <c r="AG4238" s="580">
        <f t="shared" si="369"/>
        <v>0</v>
      </c>
      <c r="AH4238" s="580">
        <f t="shared" si="370"/>
        <v>0</v>
      </c>
    </row>
    <row r="4239" spans="28:34">
      <c r="AB4239" s="580">
        <f>HLOOKUP("*"&amp;'Output annual'!$AC$2&amp;'Output annual'!$AD$2&amp;"*Zone People Number Of Occupants [](Hourly)",'Eplus results'!$1:$1048576,ROW(),FALSE)</f>
        <v>0</v>
      </c>
      <c r="AC4239" s="580">
        <f>HLOOKUP("*"&amp;'Output annual'!$AC$2&amp;'Output annual'!$AD$2&amp;"*FangerPMV(Hourly)",'Eplus results'!$1:$1048576,ROW(),FALSE)</f>
        <v>0</v>
      </c>
      <c r="AD4239" s="580">
        <f t="shared" si="366"/>
        <v>5</v>
      </c>
      <c r="AE4239" s="580">
        <f t="shared" si="367"/>
        <v>2.5</v>
      </c>
      <c r="AF4239" s="580">
        <f t="shared" si="368"/>
        <v>2.5</v>
      </c>
      <c r="AG4239" s="580">
        <f t="shared" si="369"/>
        <v>0</v>
      </c>
      <c r="AH4239" s="580">
        <f t="shared" si="370"/>
        <v>0</v>
      </c>
    </row>
    <row r="4240" spans="28:34">
      <c r="AB4240" s="580">
        <f>HLOOKUP("*"&amp;'Output annual'!$AC$2&amp;'Output annual'!$AD$2&amp;"*Zone People Number Of Occupants [](Hourly)",'Eplus results'!$1:$1048576,ROW(),FALSE)</f>
        <v>0</v>
      </c>
      <c r="AC4240" s="580">
        <f>HLOOKUP("*"&amp;'Output annual'!$AC$2&amp;'Output annual'!$AD$2&amp;"*FangerPMV(Hourly)",'Eplus results'!$1:$1048576,ROW(),FALSE)</f>
        <v>0</v>
      </c>
      <c r="AD4240" s="580">
        <f t="shared" si="366"/>
        <v>5</v>
      </c>
      <c r="AE4240" s="580">
        <f t="shared" si="367"/>
        <v>2.5</v>
      </c>
      <c r="AF4240" s="580">
        <f t="shared" si="368"/>
        <v>2.5</v>
      </c>
      <c r="AG4240" s="580">
        <f t="shared" si="369"/>
        <v>0</v>
      </c>
      <c r="AH4240" s="580">
        <f t="shared" si="370"/>
        <v>0</v>
      </c>
    </row>
    <row r="4241" spans="28:34">
      <c r="AB4241" s="580">
        <f>HLOOKUP("*"&amp;'Output annual'!$AC$2&amp;'Output annual'!$AD$2&amp;"*Zone People Number Of Occupants [](Hourly)",'Eplus results'!$1:$1048576,ROW(),FALSE)</f>
        <v>0</v>
      </c>
      <c r="AC4241" s="580">
        <f>HLOOKUP("*"&amp;'Output annual'!$AC$2&amp;'Output annual'!$AD$2&amp;"*FangerPMV(Hourly)",'Eplus results'!$1:$1048576,ROW(),FALSE)</f>
        <v>0</v>
      </c>
      <c r="AD4241" s="580">
        <f t="shared" si="366"/>
        <v>5</v>
      </c>
      <c r="AE4241" s="580">
        <f t="shared" si="367"/>
        <v>2.5</v>
      </c>
      <c r="AF4241" s="580">
        <f t="shared" si="368"/>
        <v>2.5</v>
      </c>
      <c r="AG4241" s="580">
        <f t="shared" si="369"/>
        <v>0</v>
      </c>
      <c r="AH4241" s="580">
        <f t="shared" si="370"/>
        <v>0</v>
      </c>
    </row>
    <row r="4242" spans="28:34">
      <c r="AB4242" s="580">
        <f>HLOOKUP("*"&amp;'Output annual'!$AC$2&amp;'Output annual'!$AD$2&amp;"*Zone People Number Of Occupants [](Hourly)",'Eplus results'!$1:$1048576,ROW(),FALSE)</f>
        <v>0</v>
      </c>
      <c r="AC4242" s="580">
        <f>HLOOKUP("*"&amp;'Output annual'!$AC$2&amp;'Output annual'!$AD$2&amp;"*FangerPMV(Hourly)",'Eplus results'!$1:$1048576,ROW(),FALSE)</f>
        <v>0</v>
      </c>
      <c r="AD4242" s="580">
        <f t="shared" si="366"/>
        <v>5</v>
      </c>
      <c r="AE4242" s="580">
        <f t="shared" si="367"/>
        <v>2.5</v>
      </c>
      <c r="AF4242" s="580">
        <f t="shared" si="368"/>
        <v>2.5</v>
      </c>
      <c r="AG4242" s="580">
        <f t="shared" si="369"/>
        <v>0</v>
      </c>
      <c r="AH4242" s="580">
        <f t="shared" si="370"/>
        <v>0</v>
      </c>
    </row>
    <row r="4243" spans="28:34">
      <c r="AB4243" s="580">
        <f>HLOOKUP("*"&amp;'Output annual'!$AC$2&amp;'Output annual'!$AD$2&amp;"*Zone People Number Of Occupants [](Hourly)",'Eplus results'!$1:$1048576,ROW(),FALSE)</f>
        <v>0</v>
      </c>
      <c r="AC4243" s="580">
        <f>HLOOKUP("*"&amp;'Output annual'!$AC$2&amp;'Output annual'!$AD$2&amp;"*FangerPMV(Hourly)",'Eplus results'!$1:$1048576,ROW(),FALSE)</f>
        <v>0</v>
      </c>
      <c r="AD4243" s="580">
        <f t="shared" si="366"/>
        <v>5</v>
      </c>
      <c r="AE4243" s="580">
        <f t="shared" si="367"/>
        <v>2.5</v>
      </c>
      <c r="AF4243" s="580">
        <f t="shared" si="368"/>
        <v>2.5</v>
      </c>
      <c r="AG4243" s="580">
        <f t="shared" si="369"/>
        <v>0</v>
      </c>
      <c r="AH4243" s="580">
        <f t="shared" si="370"/>
        <v>0</v>
      </c>
    </row>
    <row r="4244" spans="28:34">
      <c r="AB4244" s="580">
        <f>HLOOKUP("*"&amp;'Output annual'!$AC$2&amp;'Output annual'!$AD$2&amp;"*Zone People Number Of Occupants [](Hourly)",'Eplus results'!$1:$1048576,ROW(),FALSE)</f>
        <v>0</v>
      </c>
      <c r="AC4244" s="580">
        <f>HLOOKUP("*"&amp;'Output annual'!$AC$2&amp;'Output annual'!$AD$2&amp;"*FangerPMV(Hourly)",'Eplus results'!$1:$1048576,ROW(),FALSE)</f>
        <v>0</v>
      </c>
      <c r="AD4244" s="580">
        <f t="shared" si="366"/>
        <v>5</v>
      </c>
      <c r="AE4244" s="580">
        <f t="shared" si="367"/>
        <v>2.5</v>
      </c>
      <c r="AF4244" s="580">
        <f t="shared" si="368"/>
        <v>2.5</v>
      </c>
      <c r="AG4244" s="580">
        <f t="shared" si="369"/>
        <v>0</v>
      </c>
      <c r="AH4244" s="580">
        <f t="shared" si="370"/>
        <v>0</v>
      </c>
    </row>
    <row r="4245" spans="28:34">
      <c r="AB4245" s="580">
        <f>HLOOKUP("*"&amp;'Output annual'!$AC$2&amp;'Output annual'!$AD$2&amp;"*Zone People Number Of Occupants [](Hourly)",'Eplus results'!$1:$1048576,ROW(),FALSE)</f>
        <v>0</v>
      </c>
      <c r="AC4245" s="580">
        <f>HLOOKUP("*"&amp;'Output annual'!$AC$2&amp;'Output annual'!$AD$2&amp;"*FangerPMV(Hourly)",'Eplus results'!$1:$1048576,ROW(),FALSE)</f>
        <v>0</v>
      </c>
      <c r="AD4245" s="580">
        <f t="shared" si="366"/>
        <v>5</v>
      </c>
      <c r="AE4245" s="580">
        <f t="shared" si="367"/>
        <v>2.5</v>
      </c>
      <c r="AF4245" s="580">
        <f t="shared" si="368"/>
        <v>2.5</v>
      </c>
      <c r="AG4245" s="580">
        <f t="shared" si="369"/>
        <v>0</v>
      </c>
      <c r="AH4245" s="580">
        <f t="shared" si="370"/>
        <v>0</v>
      </c>
    </row>
    <row r="4246" spans="28:34">
      <c r="AB4246" s="580">
        <f>HLOOKUP("*"&amp;'Output annual'!$AC$2&amp;'Output annual'!$AD$2&amp;"*Zone People Number Of Occupants [](Hourly)",'Eplus results'!$1:$1048576,ROW(),FALSE)</f>
        <v>0</v>
      </c>
      <c r="AC4246" s="580">
        <f>HLOOKUP("*"&amp;'Output annual'!$AC$2&amp;'Output annual'!$AD$2&amp;"*FangerPMV(Hourly)",'Eplus results'!$1:$1048576,ROW(),FALSE)</f>
        <v>0</v>
      </c>
      <c r="AD4246" s="580">
        <f t="shared" si="366"/>
        <v>5</v>
      </c>
      <c r="AE4246" s="580">
        <f t="shared" si="367"/>
        <v>2.5</v>
      </c>
      <c r="AF4246" s="580">
        <f t="shared" si="368"/>
        <v>2.5</v>
      </c>
      <c r="AG4246" s="580">
        <f t="shared" si="369"/>
        <v>0</v>
      </c>
      <c r="AH4246" s="580">
        <f t="shared" si="370"/>
        <v>0</v>
      </c>
    </row>
    <row r="4247" spans="28:34">
      <c r="AB4247" s="580">
        <f>HLOOKUP("*"&amp;'Output annual'!$AC$2&amp;'Output annual'!$AD$2&amp;"*Zone People Number Of Occupants [](Hourly)",'Eplus results'!$1:$1048576,ROW(),FALSE)</f>
        <v>0</v>
      </c>
      <c r="AC4247" s="580">
        <f>HLOOKUP("*"&amp;'Output annual'!$AC$2&amp;'Output annual'!$AD$2&amp;"*FangerPMV(Hourly)",'Eplus results'!$1:$1048576,ROW(),FALSE)</f>
        <v>0</v>
      </c>
      <c r="AD4247" s="580">
        <f t="shared" si="366"/>
        <v>5</v>
      </c>
      <c r="AE4247" s="580">
        <f t="shared" si="367"/>
        <v>2.5</v>
      </c>
      <c r="AF4247" s="580">
        <f t="shared" si="368"/>
        <v>2.5</v>
      </c>
      <c r="AG4247" s="580">
        <f t="shared" si="369"/>
        <v>0</v>
      </c>
      <c r="AH4247" s="580">
        <f t="shared" si="370"/>
        <v>0</v>
      </c>
    </row>
    <row r="4248" spans="28:34">
      <c r="AB4248" s="580">
        <f>HLOOKUP("*"&amp;'Output annual'!$AC$2&amp;'Output annual'!$AD$2&amp;"*Zone People Number Of Occupants [](Hourly)",'Eplus results'!$1:$1048576,ROW(),FALSE)</f>
        <v>0</v>
      </c>
      <c r="AC4248" s="580">
        <f>HLOOKUP("*"&amp;'Output annual'!$AC$2&amp;'Output annual'!$AD$2&amp;"*FangerPMV(Hourly)",'Eplus results'!$1:$1048576,ROW(),FALSE)</f>
        <v>0</v>
      </c>
      <c r="AD4248" s="580">
        <f t="shared" si="366"/>
        <v>5</v>
      </c>
      <c r="AE4248" s="580">
        <f t="shared" si="367"/>
        <v>2.5</v>
      </c>
      <c r="AF4248" s="580">
        <f t="shared" si="368"/>
        <v>2.5</v>
      </c>
      <c r="AG4248" s="580">
        <f t="shared" si="369"/>
        <v>0</v>
      </c>
      <c r="AH4248" s="580">
        <f t="shared" si="370"/>
        <v>0</v>
      </c>
    </row>
    <row r="4249" spans="28:34">
      <c r="AB4249" s="580">
        <f>HLOOKUP("*"&amp;'Output annual'!$AC$2&amp;'Output annual'!$AD$2&amp;"*Zone People Number Of Occupants [](Hourly)",'Eplus results'!$1:$1048576,ROW(),FALSE)</f>
        <v>0</v>
      </c>
      <c r="AC4249" s="580">
        <f>HLOOKUP("*"&amp;'Output annual'!$AC$2&amp;'Output annual'!$AD$2&amp;"*FangerPMV(Hourly)",'Eplus results'!$1:$1048576,ROW(),FALSE)</f>
        <v>0</v>
      </c>
      <c r="AD4249" s="580">
        <f t="shared" si="366"/>
        <v>5</v>
      </c>
      <c r="AE4249" s="580">
        <f t="shared" si="367"/>
        <v>2.5</v>
      </c>
      <c r="AF4249" s="580">
        <f t="shared" si="368"/>
        <v>2.5</v>
      </c>
      <c r="AG4249" s="580">
        <f t="shared" si="369"/>
        <v>0</v>
      </c>
      <c r="AH4249" s="580">
        <f t="shared" si="370"/>
        <v>0</v>
      </c>
    </row>
    <row r="4250" spans="28:34">
      <c r="AB4250" s="580">
        <f>HLOOKUP("*"&amp;'Output annual'!$AC$2&amp;'Output annual'!$AD$2&amp;"*Zone People Number Of Occupants [](Hourly)",'Eplus results'!$1:$1048576,ROW(),FALSE)</f>
        <v>0</v>
      </c>
      <c r="AC4250" s="580">
        <f>HLOOKUP("*"&amp;'Output annual'!$AC$2&amp;'Output annual'!$AD$2&amp;"*FangerPMV(Hourly)",'Eplus results'!$1:$1048576,ROW(),FALSE)</f>
        <v>0</v>
      </c>
      <c r="AD4250" s="580">
        <f t="shared" si="366"/>
        <v>5</v>
      </c>
      <c r="AE4250" s="580">
        <f t="shared" si="367"/>
        <v>2.5</v>
      </c>
      <c r="AF4250" s="580">
        <f t="shared" si="368"/>
        <v>2.5</v>
      </c>
      <c r="AG4250" s="580">
        <f t="shared" si="369"/>
        <v>0</v>
      </c>
      <c r="AH4250" s="580">
        <f t="shared" si="370"/>
        <v>0</v>
      </c>
    </row>
    <row r="4251" spans="28:34">
      <c r="AB4251" s="580">
        <f>HLOOKUP("*"&amp;'Output annual'!$AC$2&amp;'Output annual'!$AD$2&amp;"*Zone People Number Of Occupants [](Hourly)",'Eplus results'!$1:$1048576,ROW(),FALSE)</f>
        <v>0</v>
      </c>
      <c r="AC4251" s="580">
        <f>HLOOKUP("*"&amp;'Output annual'!$AC$2&amp;'Output annual'!$AD$2&amp;"*FangerPMV(Hourly)",'Eplus results'!$1:$1048576,ROW(),FALSE)</f>
        <v>0</v>
      </c>
      <c r="AD4251" s="580">
        <f t="shared" si="366"/>
        <v>5</v>
      </c>
      <c r="AE4251" s="580">
        <f t="shared" si="367"/>
        <v>2.5</v>
      </c>
      <c r="AF4251" s="580">
        <f t="shared" si="368"/>
        <v>2.5</v>
      </c>
      <c r="AG4251" s="580">
        <f t="shared" si="369"/>
        <v>0</v>
      </c>
      <c r="AH4251" s="580">
        <f t="shared" si="370"/>
        <v>0</v>
      </c>
    </row>
    <row r="4252" spans="28:34">
      <c r="AB4252" s="580">
        <f>HLOOKUP("*"&amp;'Output annual'!$AC$2&amp;'Output annual'!$AD$2&amp;"*Zone People Number Of Occupants [](Hourly)",'Eplus results'!$1:$1048576,ROW(),FALSE)</f>
        <v>0</v>
      </c>
      <c r="AC4252" s="580">
        <f>HLOOKUP("*"&amp;'Output annual'!$AC$2&amp;'Output annual'!$AD$2&amp;"*FangerPMV(Hourly)",'Eplus results'!$1:$1048576,ROW(),FALSE)</f>
        <v>0</v>
      </c>
      <c r="AD4252" s="580">
        <f t="shared" si="366"/>
        <v>5</v>
      </c>
      <c r="AE4252" s="580">
        <f t="shared" si="367"/>
        <v>2.5</v>
      </c>
      <c r="AF4252" s="580">
        <f t="shared" si="368"/>
        <v>2.5</v>
      </c>
      <c r="AG4252" s="580">
        <f t="shared" si="369"/>
        <v>0</v>
      </c>
      <c r="AH4252" s="580">
        <f t="shared" si="370"/>
        <v>0</v>
      </c>
    </row>
    <row r="4253" spans="28:34">
      <c r="AB4253" s="580">
        <f>HLOOKUP("*"&amp;'Output annual'!$AC$2&amp;'Output annual'!$AD$2&amp;"*Zone People Number Of Occupants [](Hourly)",'Eplus results'!$1:$1048576,ROW(),FALSE)</f>
        <v>0</v>
      </c>
      <c r="AC4253" s="580">
        <f>HLOOKUP("*"&amp;'Output annual'!$AC$2&amp;'Output annual'!$AD$2&amp;"*FangerPMV(Hourly)",'Eplus results'!$1:$1048576,ROW(),FALSE)</f>
        <v>0</v>
      </c>
      <c r="AD4253" s="580">
        <f t="shared" si="366"/>
        <v>5</v>
      </c>
      <c r="AE4253" s="580">
        <f t="shared" si="367"/>
        <v>2.5</v>
      </c>
      <c r="AF4253" s="580">
        <f t="shared" si="368"/>
        <v>2.5</v>
      </c>
      <c r="AG4253" s="580">
        <f t="shared" si="369"/>
        <v>0</v>
      </c>
      <c r="AH4253" s="580">
        <f t="shared" si="370"/>
        <v>0</v>
      </c>
    </row>
    <row r="4254" spans="28:34">
      <c r="AB4254" s="580">
        <f>HLOOKUP("*"&amp;'Output annual'!$AC$2&amp;'Output annual'!$AD$2&amp;"*Zone People Number Of Occupants [](Hourly)",'Eplus results'!$1:$1048576,ROW(),FALSE)</f>
        <v>0</v>
      </c>
      <c r="AC4254" s="580">
        <f>HLOOKUP("*"&amp;'Output annual'!$AC$2&amp;'Output annual'!$AD$2&amp;"*FangerPMV(Hourly)",'Eplus results'!$1:$1048576,ROW(),FALSE)</f>
        <v>0</v>
      </c>
      <c r="AD4254" s="580">
        <f t="shared" si="366"/>
        <v>5</v>
      </c>
      <c r="AE4254" s="580">
        <f t="shared" si="367"/>
        <v>2.5</v>
      </c>
      <c r="AF4254" s="580">
        <f t="shared" si="368"/>
        <v>2.5</v>
      </c>
      <c r="AG4254" s="580">
        <f t="shared" si="369"/>
        <v>0</v>
      </c>
      <c r="AH4254" s="580">
        <f t="shared" si="370"/>
        <v>0</v>
      </c>
    </row>
    <row r="4255" spans="28:34">
      <c r="AB4255" s="580">
        <f>HLOOKUP("*"&amp;'Output annual'!$AC$2&amp;'Output annual'!$AD$2&amp;"*Zone People Number Of Occupants [](Hourly)",'Eplus results'!$1:$1048576,ROW(),FALSE)</f>
        <v>0</v>
      </c>
      <c r="AC4255" s="580">
        <f>HLOOKUP("*"&amp;'Output annual'!$AC$2&amp;'Output annual'!$AD$2&amp;"*FangerPMV(Hourly)",'Eplus results'!$1:$1048576,ROW(),FALSE)</f>
        <v>0</v>
      </c>
      <c r="AD4255" s="580">
        <f t="shared" si="366"/>
        <v>5</v>
      </c>
      <c r="AE4255" s="580">
        <f t="shared" si="367"/>
        <v>2.5</v>
      </c>
      <c r="AF4255" s="580">
        <f t="shared" si="368"/>
        <v>2.5</v>
      </c>
      <c r="AG4255" s="580">
        <f t="shared" si="369"/>
        <v>0</v>
      </c>
      <c r="AH4255" s="580">
        <f t="shared" si="370"/>
        <v>0</v>
      </c>
    </row>
    <row r="4256" spans="28:34">
      <c r="AB4256" s="580">
        <f>HLOOKUP("*"&amp;'Output annual'!$AC$2&amp;'Output annual'!$AD$2&amp;"*Zone People Number Of Occupants [](Hourly)",'Eplus results'!$1:$1048576,ROW(),FALSE)</f>
        <v>0</v>
      </c>
      <c r="AC4256" s="580">
        <f>HLOOKUP("*"&amp;'Output annual'!$AC$2&amp;'Output annual'!$AD$2&amp;"*FangerPMV(Hourly)",'Eplus results'!$1:$1048576,ROW(),FALSE)</f>
        <v>0</v>
      </c>
      <c r="AD4256" s="580">
        <f t="shared" si="366"/>
        <v>5</v>
      </c>
      <c r="AE4256" s="580">
        <f t="shared" si="367"/>
        <v>2.5</v>
      </c>
      <c r="AF4256" s="580">
        <f t="shared" si="368"/>
        <v>2.5</v>
      </c>
      <c r="AG4256" s="580">
        <f t="shared" si="369"/>
        <v>0</v>
      </c>
      <c r="AH4256" s="580">
        <f t="shared" si="370"/>
        <v>0</v>
      </c>
    </row>
    <row r="4257" spans="28:34">
      <c r="AB4257" s="580">
        <f>HLOOKUP("*"&amp;'Output annual'!$AC$2&amp;'Output annual'!$AD$2&amp;"*Zone People Number Of Occupants [](Hourly)",'Eplus results'!$1:$1048576,ROW(),FALSE)</f>
        <v>0</v>
      </c>
      <c r="AC4257" s="580">
        <f>HLOOKUP("*"&amp;'Output annual'!$AC$2&amp;'Output annual'!$AD$2&amp;"*FangerPMV(Hourly)",'Eplus results'!$1:$1048576,ROW(),FALSE)</f>
        <v>0</v>
      </c>
      <c r="AD4257" s="580">
        <f t="shared" si="366"/>
        <v>5</v>
      </c>
      <c r="AE4257" s="580">
        <f t="shared" si="367"/>
        <v>2.5</v>
      </c>
      <c r="AF4257" s="580">
        <f t="shared" si="368"/>
        <v>2.5</v>
      </c>
      <c r="AG4257" s="580">
        <f t="shared" si="369"/>
        <v>0</v>
      </c>
      <c r="AH4257" s="580">
        <f t="shared" si="370"/>
        <v>0</v>
      </c>
    </row>
    <row r="4258" spans="28:34">
      <c r="AB4258" s="580">
        <f>HLOOKUP("*"&amp;'Output annual'!$AC$2&amp;'Output annual'!$AD$2&amp;"*Zone People Number Of Occupants [](Hourly)",'Eplus results'!$1:$1048576,ROW(),FALSE)</f>
        <v>0</v>
      </c>
      <c r="AC4258" s="580">
        <f>HLOOKUP("*"&amp;'Output annual'!$AC$2&amp;'Output annual'!$AD$2&amp;"*FangerPMV(Hourly)",'Eplus results'!$1:$1048576,ROW(),FALSE)</f>
        <v>0</v>
      </c>
      <c r="AD4258" s="580">
        <f t="shared" si="366"/>
        <v>5</v>
      </c>
      <c r="AE4258" s="580">
        <f t="shared" si="367"/>
        <v>2.5</v>
      </c>
      <c r="AF4258" s="580">
        <f t="shared" si="368"/>
        <v>2.5</v>
      </c>
      <c r="AG4258" s="580">
        <f t="shared" si="369"/>
        <v>0</v>
      </c>
      <c r="AH4258" s="580">
        <f t="shared" si="370"/>
        <v>0</v>
      </c>
    </row>
    <row r="4259" spans="28:34">
      <c r="AB4259" s="580">
        <f>HLOOKUP("*"&amp;'Output annual'!$AC$2&amp;'Output annual'!$AD$2&amp;"*Zone People Number Of Occupants [](Hourly)",'Eplus results'!$1:$1048576,ROW(),FALSE)</f>
        <v>0</v>
      </c>
      <c r="AC4259" s="580">
        <f>HLOOKUP("*"&amp;'Output annual'!$AC$2&amp;'Output annual'!$AD$2&amp;"*FangerPMV(Hourly)",'Eplus results'!$1:$1048576,ROW(),FALSE)</f>
        <v>0</v>
      </c>
      <c r="AD4259" s="580">
        <f t="shared" si="366"/>
        <v>5</v>
      </c>
      <c r="AE4259" s="580">
        <f t="shared" si="367"/>
        <v>2.5</v>
      </c>
      <c r="AF4259" s="580">
        <f t="shared" si="368"/>
        <v>2.5</v>
      </c>
      <c r="AG4259" s="580">
        <f t="shared" si="369"/>
        <v>0</v>
      </c>
      <c r="AH4259" s="580">
        <f t="shared" si="370"/>
        <v>0</v>
      </c>
    </row>
    <row r="4260" spans="28:34">
      <c r="AB4260" s="580">
        <f>HLOOKUP("*"&amp;'Output annual'!$AC$2&amp;'Output annual'!$AD$2&amp;"*Zone People Number Of Occupants [](Hourly)",'Eplus results'!$1:$1048576,ROW(),FALSE)</f>
        <v>0</v>
      </c>
      <c r="AC4260" s="580">
        <f>HLOOKUP("*"&amp;'Output annual'!$AC$2&amp;'Output annual'!$AD$2&amp;"*FangerPMV(Hourly)",'Eplus results'!$1:$1048576,ROW(),FALSE)</f>
        <v>0</v>
      </c>
      <c r="AD4260" s="580">
        <f t="shared" si="366"/>
        <v>5</v>
      </c>
      <c r="AE4260" s="580">
        <f t="shared" si="367"/>
        <v>2.5</v>
      </c>
      <c r="AF4260" s="580">
        <f t="shared" si="368"/>
        <v>2.5</v>
      </c>
      <c r="AG4260" s="580">
        <f t="shared" si="369"/>
        <v>0</v>
      </c>
      <c r="AH4260" s="580">
        <f t="shared" si="370"/>
        <v>0</v>
      </c>
    </row>
    <row r="4261" spans="28:34">
      <c r="AB4261" s="580">
        <f>HLOOKUP("*"&amp;'Output annual'!$AC$2&amp;'Output annual'!$AD$2&amp;"*Zone People Number Of Occupants [](Hourly)",'Eplus results'!$1:$1048576,ROW(),FALSE)</f>
        <v>0</v>
      </c>
      <c r="AC4261" s="580">
        <f>HLOOKUP("*"&amp;'Output annual'!$AC$2&amp;'Output annual'!$AD$2&amp;"*FangerPMV(Hourly)",'Eplus results'!$1:$1048576,ROW(),FALSE)</f>
        <v>0</v>
      </c>
      <c r="AD4261" s="580">
        <f t="shared" si="366"/>
        <v>5</v>
      </c>
      <c r="AE4261" s="580">
        <f t="shared" si="367"/>
        <v>2.5</v>
      </c>
      <c r="AF4261" s="580">
        <f t="shared" si="368"/>
        <v>2.5</v>
      </c>
      <c r="AG4261" s="580">
        <f t="shared" si="369"/>
        <v>0</v>
      </c>
      <c r="AH4261" s="580">
        <f t="shared" si="370"/>
        <v>0</v>
      </c>
    </row>
    <row r="4262" spans="28:34">
      <c r="AB4262" s="580">
        <f>HLOOKUP("*"&amp;'Output annual'!$AC$2&amp;'Output annual'!$AD$2&amp;"*Zone People Number Of Occupants [](Hourly)",'Eplus results'!$1:$1048576,ROW(),FALSE)</f>
        <v>0</v>
      </c>
      <c r="AC4262" s="580">
        <f>HLOOKUP("*"&amp;'Output annual'!$AC$2&amp;'Output annual'!$AD$2&amp;"*FangerPMV(Hourly)",'Eplus results'!$1:$1048576,ROW(),FALSE)</f>
        <v>0</v>
      </c>
      <c r="AD4262" s="580">
        <f t="shared" si="366"/>
        <v>5</v>
      </c>
      <c r="AE4262" s="580">
        <f t="shared" si="367"/>
        <v>2.5</v>
      </c>
      <c r="AF4262" s="580">
        <f t="shared" si="368"/>
        <v>2.5</v>
      </c>
      <c r="AG4262" s="580">
        <f t="shared" si="369"/>
        <v>0</v>
      </c>
      <c r="AH4262" s="580">
        <f t="shared" si="370"/>
        <v>0</v>
      </c>
    </row>
    <row r="4263" spans="28:34">
      <c r="AB4263" s="580">
        <f>HLOOKUP("*"&amp;'Output annual'!$AC$2&amp;'Output annual'!$AD$2&amp;"*Zone People Number Of Occupants [](Hourly)",'Eplus results'!$1:$1048576,ROW(),FALSE)</f>
        <v>0</v>
      </c>
      <c r="AC4263" s="580">
        <f>HLOOKUP("*"&amp;'Output annual'!$AC$2&amp;'Output annual'!$AD$2&amp;"*FangerPMV(Hourly)",'Eplus results'!$1:$1048576,ROW(),FALSE)</f>
        <v>0</v>
      </c>
      <c r="AD4263" s="580">
        <f t="shared" si="366"/>
        <v>5</v>
      </c>
      <c r="AE4263" s="580">
        <f t="shared" si="367"/>
        <v>2.5</v>
      </c>
      <c r="AF4263" s="580">
        <f t="shared" si="368"/>
        <v>2.5</v>
      </c>
      <c r="AG4263" s="580">
        <f t="shared" si="369"/>
        <v>0</v>
      </c>
      <c r="AH4263" s="580">
        <f t="shared" si="370"/>
        <v>0</v>
      </c>
    </row>
    <row r="4264" spans="28:34">
      <c r="AB4264" s="580">
        <f>HLOOKUP("*"&amp;'Output annual'!$AC$2&amp;'Output annual'!$AD$2&amp;"*Zone People Number Of Occupants [](Hourly)",'Eplus results'!$1:$1048576,ROW(),FALSE)</f>
        <v>0</v>
      </c>
      <c r="AC4264" s="580">
        <f>HLOOKUP("*"&amp;'Output annual'!$AC$2&amp;'Output annual'!$AD$2&amp;"*FangerPMV(Hourly)",'Eplus results'!$1:$1048576,ROW(),FALSE)</f>
        <v>0</v>
      </c>
      <c r="AD4264" s="580">
        <f t="shared" si="366"/>
        <v>5</v>
      </c>
      <c r="AE4264" s="580">
        <f t="shared" si="367"/>
        <v>2.5</v>
      </c>
      <c r="AF4264" s="580">
        <f t="shared" si="368"/>
        <v>2.5</v>
      </c>
      <c r="AG4264" s="580">
        <f t="shared" si="369"/>
        <v>0</v>
      </c>
      <c r="AH4264" s="580">
        <f t="shared" si="370"/>
        <v>0</v>
      </c>
    </row>
    <row r="4265" spans="28:34">
      <c r="AB4265" s="580">
        <f>HLOOKUP("*"&amp;'Output annual'!$AC$2&amp;'Output annual'!$AD$2&amp;"*Zone People Number Of Occupants [](Hourly)",'Eplus results'!$1:$1048576,ROW(),FALSE)</f>
        <v>0</v>
      </c>
      <c r="AC4265" s="580">
        <f>HLOOKUP("*"&amp;'Output annual'!$AC$2&amp;'Output annual'!$AD$2&amp;"*FangerPMV(Hourly)",'Eplus results'!$1:$1048576,ROW(),FALSE)</f>
        <v>0</v>
      </c>
      <c r="AD4265" s="580">
        <f t="shared" si="366"/>
        <v>5</v>
      </c>
      <c r="AE4265" s="580">
        <f t="shared" si="367"/>
        <v>2.5</v>
      </c>
      <c r="AF4265" s="580">
        <f t="shared" si="368"/>
        <v>2.5</v>
      </c>
      <c r="AG4265" s="580">
        <f t="shared" si="369"/>
        <v>0</v>
      </c>
      <c r="AH4265" s="580">
        <f t="shared" si="370"/>
        <v>0</v>
      </c>
    </row>
    <row r="4266" spans="28:34">
      <c r="AB4266" s="580">
        <f>HLOOKUP("*"&amp;'Output annual'!$AC$2&amp;'Output annual'!$AD$2&amp;"*Zone People Number Of Occupants [](Hourly)",'Eplus results'!$1:$1048576,ROW(),FALSE)</f>
        <v>0</v>
      </c>
      <c r="AC4266" s="580">
        <f>HLOOKUP("*"&amp;'Output annual'!$AC$2&amp;'Output annual'!$AD$2&amp;"*FangerPMV(Hourly)",'Eplus results'!$1:$1048576,ROW(),FALSE)</f>
        <v>0</v>
      </c>
      <c r="AD4266" s="580">
        <f t="shared" si="366"/>
        <v>5</v>
      </c>
      <c r="AE4266" s="580">
        <f t="shared" si="367"/>
        <v>2.5</v>
      </c>
      <c r="AF4266" s="580">
        <f t="shared" si="368"/>
        <v>2.5</v>
      </c>
      <c r="AG4266" s="580">
        <f t="shared" si="369"/>
        <v>0</v>
      </c>
      <c r="AH4266" s="580">
        <f t="shared" si="370"/>
        <v>0</v>
      </c>
    </row>
    <row r="4267" spans="28:34">
      <c r="AB4267" s="580">
        <f>HLOOKUP("*"&amp;'Output annual'!$AC$2&amp;'Output annual'!$AD$2&amp;"*Zone People Number Of Occupants [](Hourly)",'Eplus results'!$1:$1048576,ROW(),FALSE)</f>
        <v>0</v>
      </c>
      <c r="AC4267" s="580">
        <f>HLOOKUP("*"&amp;'Output annual'!$AC$2&amp;'Output annual'!$AD$2&amp;"*FangerPMV(Hourly)",'Eplus results'!$1:$1048576,ROW(),FALSE)</f>
        <v>0</v>
      </c>
      <c r="AD4267" s="580">
        <f t="shared" si="366"/>
        <v>5</v>
      </c>
      <c r="AE4267" s="580">
        <f t="shared" si="367"/>
        <v>2.5</v>
      </c>
      <c r="AF4267" s="580">
        <f t="shared" si="368"/>
        <v>2.5</v>
      </c>
      <c r="AG4267" s="580">
        <f t="shared" si="369"/>
        <v>0</v>
      </c>
      <c r="AH4267" s="580">
        <f t="shared" si="370"/>
        <v>0</v>
      </c>
    </row>
    <row r="4268" spans="28:34">
      <c r="AB4268" s="580">
        <f>HLOOKUP("*"&amp;'Output annual'!$AC$2&amp;'Output annual'!$AD$2&amp;"*Zone People Number Of Occupants [](Hourly)",'Eplus results'!$1:$1048576,ROW(),FALSE)</f>
        <v>0</v>
      </c>
      <c r="AC4268" s="580">
        <f>HLOOKUP("*"&amp;'Output annual'!$AC$2&amp;'Output annual'!$AD$2&amp;"*FangerPMV(Hourly)",'Eplus results'!$1:$1048576,ROW(),FALSE)</f>
        <v>0</v>
      </c>
      <c r="AD4268" s="580">
        <f t="shared" si="366"/>
        <v>5</v>
      </c>
      <c r="AE4268" s="580">
        <f t="shared" si="367"/>
        <v>2.5</v>
      </c>
      <c r="AF4268" s="580">
        <f t="shared" si="368"/>
        <v>2.5</v>
      </c>
      <c r="AG4268" s="580">
        <f t="shared" si="369"/>
        <v>0</v>
      </c>
      <c r="AH4268" s="580">
        <f t="shared" si="370"/>
        <v>0</v>
      </c>
    </row>
    <row r="4269" spans="28:34">
      <c r="AB4269" s="580">
        <f>HLOOKUP("*"&amp;'Output annual'!$AC$2&amp;'Output annual'!$AD$2&amp;"*Zone People Number Of Occupants [](Hourly)",'Eplus results'!$1:$1048576,ROW(),FALSE)</f>
        <v>0</v>
      </c>
      <c r="AC4269" s="580">
        <f>HLOOKUP("*"&amp;'Output annual'!$AC$2&amp;'Output annual'!$AD$2&amp;"*FangerPMV(Hourly)",'Eplus results'!$1:$1048576,ROW(),FALSE)</f>
        <v>0</v>
      </c>
      <c r="AD4269" s="580">
        <f t="shared" si="366"/>
        <v>5</v>
      </c>
      <c r="AE4269" s="580">
        <f t="shared" si="367"/>
        <v>2.5</v>
      </c>
      <c r="AF4269" s="580">
        <f t="shared" si="368"/>
        <v>2.5</v>
      </c>
      <c r="AG4269" s="580">
        <f t="shared" si="369"/>
        <v>0</v>
      </c>
      <c r="AH4269" s="580">
        <f t="shared" si="370"/>
        <v>0</v>
      </c>
    </row>
    <row r="4270" spans="28:34">
      <c r="AB4270" s="580">
        <f>HLOOKUP("*"&amp;'Output annual'!$AC$2&amp;'Output annual'!$AD$2&amp;"*Zone People Number Of Occupants [](Hourly)",'Eplus results'!$1:$1048576,ROW(),FALSE)</f>
        <v>0</v>
      </c>
      <c r="AC4270" s="580">
        <f>HLOOKUP("*"&amp;'Output annual'!$AC$2&amp;'Output annual'!$AD$2&amp;"*FangerPMV(Hourly)",'Eplus results'!$1:$1048576,ROW(),FALSE)</f>
        <v>0</v>
      </c>
      <c r="AD4270" s="580">
        <f t="shared" si="366"/>
        <v>5</v>
      </c>
      <c r="AE4270" s="580">
        <f t="shared" si="367"/>
        <v>2.5</v>
      </c>
      <c r="AF4270" s="580">
        <f t="shared" si="368"/>
        <v>2.5</v>
      </c>
      <c r="AG4270" s="580">
        <f t="shared" si="369"/>
        <v>0</v>
      </c>
      <c r="AH4270" s="580">
        <f t="shared" si="370"/>
        <v>0</v>
      </c>
    </row>
    <row r="4271" spans="28:34">
      <c r="AB4271" s="580">
        <f>HLOOKUP("*"&amp;'Output annual'!$AC$2&amp;'Output annual'!$AD$2&amp;"*Zone People Number Of Occupants [](Hourly)",'Eplus results'!$1:$1048576,ROW(),FALSE)</f>
        <v>0</v>
      </c>
      <c r="AC4271" s="580">
        <f>HLOOKUP("*"&amp;'Output annual'!$AC$2&amp;'Output annual'!$AD$2&amp;"*FangerPMV(Hourly)",'Eplus results'!$1:$1048576,ROW(),FALSE)</f>
        <v>0</v>
      </c>
      <c r="AD4271" s="580">
        <f t="shared" si="366"/>
        <v>5</v>
      </c>
      <c r="AE4271" s="580">
        <f t="shared" si="367"/>
        <v>2.5</v>
      </c>
      <c r="AF4271" s="580">
        <f t="shared" si="368"/>
        <v>2.5</v>
      </c>
      <c r="AG4271" s="580">
        <f t="shared" si="369"/>
        <v>0</v>
      </c>
      <c r="AH4271" s="580">
        <f t="shared" si="370"/>
        <v>0</v>
      </c>
    </row>
    <row r="4272" spans="28:34">
      <c r="AB4272" s="580">
        <f>HLOOKUP("*"&amp;'Output annual'!$AC$2&amp;'Output annual'!$AD$2&amp;"*Zone People Number Of Occupants [](Hourly)",'Eplus results'!$1:$1048576,ROW(),FALSE)</f>
        <v>0</v>
      </c>
      <c r="AC4272" s="580">
        <f>HLOOKUP("*"&amp;'Output annual'!$AC$2&amp;'Output annual'!$AD$2&amp;"*FangerPMV(Hourly)",'Eplus results'!$1:$1048576,ROW(),FALSE)</f>
        <v>0</v>
      </c>
      <c r="AD4272" s="580">
        <f t="shared" si="366"/>
        <v>5</v>
      </c>
      <c r="AE4272" s="580">
        <f t="shared" si="367"/>
        <v>2.5</v>
      </c>
      <c r="AF4272" s="580">
        <f t="shared" si="368"/>
        <v>2.5</v>
      </c>
      <c r="AG4272" s="580">
        <f t="shared" si="369"/>
        <v>0</v>
      </c>
      <c r="AH4272" s="580">
        <f t="shared" si="370"/>
        <v>0</v>
      </c>
    </row>
    <row r="4273" spans="28:34">
      <c r="AB4273" s="580">
        <f>HLOOKUP("*"&amp;'Output annual'!$AC$2&amp;'Output annual'!$AD$2&amp;"*Zone People Number Of Occupants [](Hourly)",'Eplus results'!$1:$1048576,ROW(),FALSE)</f>
        <v>0</v>
      </c>
      <c r="AC4273" s="580">
        <f>HLOOKUP("*"&amp;'Output annual'!$AC$2&amp;'Output annual'!$AD$2&amp;"*FangerPMV(Hourly)",'Eplus results'!$1:$1048576,ROW(),FALSE)</f>
        <v>0</v>
      </c>
      <c r="AD4273" s="580">
        <f t="shared" si="366"/>
        <v>5</v>
      </c>
      <c r="AE4273" s="580">
        <f t="shared" si="367"/>
        <v>2.5</v>
      </c>
      <c r="AF4273" s="580">
        <f t="shared" si="368"/>
        <v>2.5</v>
      </c>
      <c r="AG4273" s="580">
        <f t="shared" si="369"/>
        <v>0</v>
      </c>
      <c r="AH4273" s="580">
        <f t="shared" si="370"/>
        <v>0</v>
      </c>
    </row>
    <row r="4274" spans="28:34">
      <c r="AB4274" s="580">
        <f>HLOOKUP("*"&amp;'Output annual'!$AC$2&amp;'Output annual'!$AD$2&amp;"*Zone People Number Of Occupants [](Hourly)",'Eplus results'!$1:$1048576,ROW(),FALSE)</f>
        <v>0</v>
      </c>
      <c r="AC4274" s="580">
        <f>HLOOKUP("*"&amp;'Output annual'!$AC$2&amp;'Output annual'!$AD$2&amp;"*FangerPMV(Hourly)",'Eplus results'!$1:$1048576,ROW(),FALSE)</f>
        <v>0</v>
      </c>
      <c r="AD4274" s="580">
        <f t="shared" si="366"/>
        <v>5</v>
      </c>
      <c r="AE4274" s="580">
        <f t="shared" si="367"/>
        <v>2.5</v>
      </c>
      <c r="AF4274" s="580">
        <f t="shared" si="368"/>
        <v>2.5</v>
      </c>
      <c r="AG4274" s="580">
        <f t="shared" si="369"/>
        <v>0</v>
      </c>
      <c r="AH4274" s="580">
        <f t="shared" si="370"/>
        <v>0</v>
      </c>
    </row>
    <row r="4275" spans="28:34">
      <c r="AB4275" s="580">
        <f>HLOOKUP("*"&amp;'Output annual'!$AC$2&amp;'Output annual'!$AD$2&amp;"*Zone People Number Of Occupants [](Hourly)",'Eplus results'!$1:$1048576,ROW(),FALSE)</f>
        <v>0</v>
      </c>
      <c r="AC4275" s="580">
        <f>HLOOKUP("*"&amp;'Output annual'!$AC$2&amp;'Output annual'!$AD$2&amp;"*FangerPMV(Hourly)",'Eplus results'!$1:$1048576,ROW(),FALSE)</f>
        <v>0</v>
      </c>
      <c r="AD4275" s="580">
        <f t="shared" si="366"/>
        <v>5</v>
      </c>
      <c r="AE4275" s="580">
        <f t="shared" si="367"/>
        <v>2.5</v>
      </c>
      <c r="AF4275" s="580">
        <f t="shared" si="368"/>
        <v>2.5</v>
      </c>
      <c r="AG4275" s="580">
        <f t="shared" si="369"/>
        <v>0</v>
      </c>
      <c r="AH4275" s="580">
        <f t="shared" si="370"/>
        <v>0</v>
      </c>
    </row>
    <row r="4276" spans="28:34">
      <c r="AB4276" s="580">
        <f>HLOOKUP("*"&amp;'Output annual'!$AC$2&amp;'Output annual'!$AD$2&amp;"*Zone People Number Of Occupants [](Hourly)",'Eplus results'!$1:$1048576,ROW(),FALSE)</f>
        <v>0</v>
      </c>
      <c r="AC4276" s="580">
        <f>HLOOKUP("*"&amp;'Output annual'!$AC$2&amp;'Output annual'!$AD$2&amp;"*FangerPMV(Hourly)",'Eplus results'!$1:$1048576,ROW(),FALSE)</f>
        <v>0</v>
      </c>
      <c r="AD4276" s="580">
        <f t="shared" si="366"/>
        <v>5</v>
      </c>
      <c r="AE4276" s="580">
        <f t="shared" si="367"/>
        <v>2.5</v>
      </c>
      <c r="AF4276" s="580">
        <f t="shared" si="368"/>
        <v>2.5</v>
      </c>
      <c r="AG4276" s="580">
        <f t="shared" si="369"/>
        <v>0</v>
      </c>
      <c r="AH4276" s="580">
        <f t="shared" si="370"/>
        <v>0</v>
      </c>
    </row>
    <row r="4277" spans="28:34">
      <c r="AB4277" s="580">
        <f>HLOOKUP("*"&amp;'Output annual'!$AC$2&amp;'Output annual'!$AD$2&amp;"*Zone People Number Of Occupants [](Hourly)",'Eplus results'!$1:$1048576,ROW(),FALSE)</f>
        <v>0</v>
      </c>
      <c r="AC4277" s="580">
        <f>HLOOKUP("*"&amp;'Output annual'!$AC$2&amp;'Output annual'!$AD$2&amp;"*FangerPMV(Hourly)",'Eplus results'!$1:$1048576,ROW(),FALSE)</f>
        <v>0</v>
      </c>
      <c r="AD4277" s="580">
        <f t="shared" si="366"/>
        <v>5</v>
      </c>
      <c r="AE4277" s="580">
        <f t="shared" si="367"/>
        <v>2.5</v>
      </c>
      <c r="AF4277" s="580">
        <f t="shared" si="368"/>
        <v>2.5</v>
      </c>
      <c r="AG4277" s="580">
        <f t="shared" si="369"/>
        <v>0</v>
      </c>
      <c r="AH4277" s="580">
        <f t="shared" si="370"/>
        <v>0</v>
      </c>
    </row>
    <row r="4278" spans="28:34">
      <c r="AB4278" s="580">
        <f>HLOOKUP("*"&amp;'Output annual'!$AC$2&amp;'Output annual'!$AD$2&amp;"*Zone People Number Of Occupants [](Hourly)",'Eplus results'!$1:$1048576,ROW(),FALSE)</f>
        <v>0</v>
      </c>
      <c r="AC4278" s="580">
        <f>HLOOKUP("*"&amp;'Output annual'!$AC$2&amp;'Output annual'!$AD$2&amp;"*FangerPMV(Hourly)",'Eplus results'!$1:$1048576,ROW(),FALSE)</f>
        <v>0</v>
      </c>
      <c r="AD4278" s="580">
        <f t="shared" si="366"/>
        <v>5</v>
      </c>
      <c r="AE4278" s="580">
        <f t="shared" si="367"/>
        <v>2.5</v>
      </c>
      <c r="AF4278" s="580">
        <f t="shared" si="368"/>
        <v>2.5</v>
      </c>
      <c r="AG4278" s="580">
        <f t="shared" si="369"/>
        <v>0</v>
      </c>
      <c r="AH4278" s="580">
        <f t="shared" si="370"/>
        <v>0</v>
      </c>
    </row>
    <row r="4279" spans="28:34">
      <c r="AB4279" s="580">
        <f>HLOOKUP("*"&amp;'Output annual'!$AC$2&amp;'Output annual'!$AD$2&amp;"*Zone People Number Of Occupants [](Hourly)",'Eplus results'!$1:$1048576,ROW(),FALSE)</f>
        <v>0</v>
      </c>
      <c r="AC4279" s="580">
        <f>HLOOKUP("*"&amp;'Output annual'!$AC$2&amp;'Output annual'!$AD$2&amp;"*FangerPMV(Hourly)",'Eplus results'!$1:$1048576,ROW(),FALSE)</f>
        <v>0</v>
      </c>
      <c r="AD4279" s="580">
        <f t="shared" si="366"/>
        <v>5</v>
      </c>
      <c r="AE4279" s="580">
        <f t="shared" si="367"/>
        <v>2.5</v>
      </c>
      <c r="AF4279" s="580">
        <f t="shared" si="368"/>
        <v>2.5</v>
      </c>
      <c r="AG4279" s="580">
        <f t="shared" si="369"/>
        <v>0</v>
      </c>
      <c r="AH4279" s="580">
        <f t="shared" si="370"/>
        <v>0</v>
      </c>
    </row>
    <row r="4280" spans="28:34">
      <c r="AB4280" s="580">
        <f>HLOOKUP("*"&amp;'Output annual'!$AC$2&amp;'Output annual'!$AD$2&amp;"*Zone People Number Of Occupants [](Hourly)",'Eplus results'!$1:$1048576,ROW(),FALSE)</f>
        <v>0</v>
      </c>
      <c r="AC4280" s="580">
        <f>HLOOKUP("*"&amp;'Output annual'!$AC$2&amp;'Output annual'!$AD$2&amp;"*FangerPMV(Hourly)",'Eplus results'!$1:$1048576,ROW(),FALSE)</f>
        <v>0</v>
      </c>
      <c r="AD4280" s="580">
        <f t="shared" si="366"/>
        <v>5</v>
      </c>
      <c r="AE4280" s="580">
        <f t="shared" si="367"/>
        <v>2.5</v>
      </c>
      <c r="AF4280" s="580">
        <f t="shared" si="368"/>
        <v>2.5</v>
      </c>
      <c r="AG4280" s="580">
        <f t="shared" si="369"/>
        <v>0</v>
      </c>
      <c r="AH4280" s="580">
        <f t="shared" si="370"/>
        <v>0</v>
      </c>
    </row>
    <row r="4281" spans="28:34">
      <c r="AB4281" s="580">
        <f>HLOOKUP("*"&amp;'Output annual'!$AC$2&amp;'Output annual'!$AD$2&amp;"*Zone People Number Of Occupants [](Hourly)",'Eplus results'!$1:$1048576,ROW(),FALSE)</f>
        <v>0</v>
      </c>
      <c r="AC4281" s="580">
        <f>HLOOKUP("*"&amp;'Output annual'!$AC$2&amp;'Output annual'!$AD$2&amp;"*FangerPMV(Hourly)",'Eplus results'!$1:$1048576,ROW(),FALSE)</f>
        <v>0</v>
      </c>
      <c r="AD4281" s="580">
        <f t="shared" si="366"/>
        <v>5</v>
      </c>
      <c r="AE4281" s="580">
        <f t="shared" si="367"/>
        <v>2.5</v>
      </c>
      <c r="AF4281" s="580">
        <f t="shared" si="368"/>
        <v>2.5</v>
      </c>
      <c r="AG4281" s="580">
        <f t="shared" si="369"/>
        <v>0</v>
      </c>
      <c r="AH4281" s="580">
        <f t="shared" si="370"/>
        <v>0</v>
      </c>
    </row>
    <row r="4282" spans="28:34">
      <c r="AB4282" s="580">
        <f>HLOOKUP("*"&amp;'Output annual'!$AC$2&amp;'Output annual'!$AD$2&amp;"*Zone People Number Of Occupants [](Hourly)",'Eplus results'!$1:$1048576,ROW(),FALSE)</f>
        <v>0</v>
      </c>
      <c r="AC4282" s="580">
        <f>HLOOKUP("*"&amp;'Output annual'!$AC$2&amp;'Output annual'!$AD$2&amp;"*FangerPMV(Hourly)",'Eplus results'!$1:$1048576,ROW(),FALSE)</f>
        <v>0</v>
      </c>
      <c r="AD4282" s="580">
        <f t="shared" si="366"/>
        <v>5</v>
      </c>
      <c r="AE4282" s="580">
        <f t="shared" si="367"/>
        <v>2.5</v>
      </c>
      <c r="AF4282" s="580">
        <f t="shared" si="368"/>
        <v>2.5</v>
      </c>
      <c r="AG4282" s="580">
        <f t="shared" si="369"/>
        <v>0</v>
      </c>
      <c r="AH4282" s="580">
        <f t="shared" si="370"/>
        <v>0</v>
      </c>
    </row>
    <row r="4283" spans="28:34">
      <c r="AB4283" s="580">
        <f>HLOOKUP("*"&amp;'Output annual'!$AC$2&amp;'Output annual'!$AD$2&amp;"*Zone People Number Of Occupants [](Hourly)",'Eplus results'!$1:$1048576,ROW(),FALSE)</f>
        <v>0</v>
      </c>
      <c r="AC4283" s="580">
        <f>HLOOKUP("*"&amp;'Output annual'!$AC$2&amp;'Output annual'!$AD$2&amp;"*FangerPMV(Hourly)",'Eplus results'!$1:$1048576,ROW(),FALSE)</f>
        <v>0</v>
      </c>
      <c r="AD4283" s="580">
        <f t="shared" si="366"/>
        <v>5</v>
      </c>
      <c r="AE4283" s="580">
        <f t="shared" si="367"/>
        <v>2.5</v>
      </c>
      <c r="AF4283" s="580">
        <f t="shared" si="368"/>
        <v>2.5</v>
      </c>
      <c r="AG4283" s="580">
        <f t="shared" si="369"/>
        <v>0</v>
      </c>
      <c r="AH4283" s="580">
        <f t="shared" si="370"/>
        <v>0</v>
      </c>
    </row>
    <row r="4284" spans="28:34">
      <c r="AB4284" s="580">
        <f>HLOOKUP("*"&amp;'Output annual'!$AC$2&amp;'Output annual'!$AD$2&amp;"*Zone People Number Of Occupants [](Hourly)",'Eplus results'!$1:$1048576,ROW(),FALSE)</f>
        <v>0</v>
      </c>
      <c r="AC4284" s="580">
        <f>HLOOKUP("*"&amp;'Output annual'!$AC$2&amp;'Output annual'!$AD$2&amp;"*FangerPMV(Hourly)",'Eplus results'!$1:$1048576,ROW(),FALSE)</f>
        <v>0</v>
      </c>
      <c r="AD4284" s="580">
        <f t="shared" si="366"/>
        <v>5</v>
      </c>
      <c r="AE4284" s="580">
        <f t="shared" si="367"/>
        <v>2.5</v>
      </c>
      <c r="AF4284" s="580">
        <f t="shared" si="368"/>
        <v>2.5</v>
      </c>
      <c r="AG4284" s="580">
        <f t="shared" si="369"/>
        <v>0</v>
      </c>
      <c r="AH4284" s="580">
        <f t="shared" si="370"/>
        <v>0</v>
      </c>
    </row>
    <row r="4285" spans="28:34">
      <c r="AB4285" s="580">
        <f>HLOOKUP("*"&amp;'Output annual'!$AC$2&amp;'Output annual'!$AD$2&amp;"*Zone People Number Of Occupants [](Hourly)",'Eplus results'!$1:$1048576,ROW(),FALSE)</f>
        <v>0</v>
      </c>
      <c r="AC4285" s="580">
        <f>HLOOKUP("*"&amp;'Output annual'!$AC$2&amp;'Output annual'!$AD$2&amp;"*FangerPMV(Hourly)",'Eplus results'!$1:$1048576,ROW(),FALSE)</f>
        <v>0</v>
      </c>
      <c r="AD4285" s="580">
        <f t="shared" si="366"/>
        <v>5</v>
      </c>
      <c r="AE4285" s="580">
        <f t="shared" si="367"/>
        <v>2.5</v>
      </c>
      <c r="AF4285" s="580">
        <f t="shared" si="368"/>
        <v>2.5</v>
      </c>
      <c r="AG4285" s="580">
        <f t="shared" si="369"/>
        <v>0</v>
      </c>
      <c r="AH4285" s="580">
        <f t="shared" si="370"/>
        <v>0</v>
      </c>
    </row>
    <row r="4286" spans="28:34">
      <c r="AB4286" s="580">
        <f>HLOOKUP("*"&amp;'Output annual'!$AC$2&amp;'Output annual'!$AD$2&amp;"*Zone People Number Of Occupants [](Hourly)",'Eplus results'!$1:$1048576,ROW(),FALSE)</f>
        <v>0</v>
      </c>
      <c r="AC4286" s="580">
        <f>HLOOKUP("*"&amp;'Output annual'!$AC$2&amp;'Output annual'!$AD$2&amp;"*FangerPMV(Hourly)",'Eplus results'!$1:$1048576,ROW(),FALSE)</f>
        <v>0</v>
      </c>
      <c r="AD4286" s="580">
        <f t="shared" si="366"/>
        <v>5</v>
      </c>
      <c r="AE4286" s="580">
        <f t="shared" si="367"/>
        <v>2.5</v>
      </c>
      <c r="AF4286" s="580">
        <f t="shared" si="368"/>
        <v>2.5</v>
      </c>
      <c r="AG4286" s="580">
        <f t="shared" si="369"/>
        <v>0</v>
      </c>
      <c r="AH4286" s="580">
        <f t="shared" si="370"/>
        <v>0</v>
      </c>
    </row>
    <row r="4287" spans="28:34">
      <c r="AB4287" s="580">
        <f>HLOOKUP("*"&amp;'Output annual'!$AC$2&amp;'Output annual'!$AD$2&amp;"*Zone People Number Of Occupants [](Hourly)",'Eplus results'!$1:$1048576,ROW(),FALSE)</f>
        <v>0</v>
      </c>
      <c r="AC4287" s="580">
        <f>HLOOKUP("*"&amp;'Output annual'!$AC$2&amp;'Output annual'!$AD$2&amp;"*FangerPMV(Hourly)",'Eplus results'!$1:$1048576,ROW(),FALSE)</f>
        <v>0</v>
      </c>
      <c r="AD4287" s="580">
        <f t="shared" si="366"/>
        <v>5</v>
      </c>
      <c r="AE4287" s="580">
        <f t="shared" si="367"/>
        <v>2.5</v>
      </c>
      <c r="AF4287" s="580">
        <f t="shared" si="368"/>
        <v>2.5</v>
      </c>
      <c r="AG4287" s="580">
        <f t="shared" si="369"/>
        <v>0</v>
      </c>
      <c r="AH4287" s="580">
        <f t="shared" si="370"/>
        <v>0</v>
      </c>
    </row>
    <row r="4288" spans="28:34">
      <c r="AB4288" s="580">
        <f>HLOOKUP("*"&amp;'Output annual'!$AC$2&amp;'Output annual'!$AD$2&amp;"*Zone People Number Of Occupants [](Hourly)",'Eplus results'!$1:$1048576,ROW(),FALSE)</f>
        <v>0</v>
      </c>
      <c r="AC4288" s="580">
        <f>HLOOKUP("*"&amp;'Output annual'!$AC$2&amp;'Output annual'!$AD$2&amp;"*FangerPMV(Hourly)",'Eplus results'!$1:$1048576,ROW(),FALSE)</f>
        <v>0</v>
      </c>
      <c r="AD4288" s="580">
        <f t="shared" si="366"/>
        <v>5</v>
      </c>
      <c r="AE4288" s="580">
        <f t="shared" si="367"/>
        <v>2.5</v>
      </c>
      <c r="AF4288" s="580">
        <f t="shared" si="368"/>
        <v>2.5</v>
      </c>
      <c r="AG4288" s="580">
        <f t="shared" si="369"/>
        <v>0</v>
      </c>
      <c r="AH4288" s="580">
        <f t="shared" si="370"/>
        <v>0</v>
      </c>
    </row>
    <row r="4289" spans="28:34">
      <c r="AB4289" s="580">
        <f>HLOOKUP("*"&amp;'Output annual'!$AC$2&amp;'Output annual'!$AD$2&amp;"*Zone People Number Of Occupants [](Hourly)",'Eplus results'!$1:$1048576,ROW(),FALSE)</f>
        <v>0</v>
      </c>
      <c r="AC4289" s="580">
        <f>HLOOKUP("*"&amp;'Output annual'!$AC$2&amp;'Output annual'!$AD$2&amp;"*FangerPMV(Hourly)",'Eplus results'!$1:$1048576,ROW(),FALSE)</f>
        <v>0</v>
      </c>
      <c r="AD4289" s="580">
        <f t="shared" si="366"/>
        <v>5</v>
      </c>
      <c r="AE4289" s="580">
        <f t="shared" si="367"/>
        <v>2.5</v>
      </c>
      <c r="AF4289" s="580">
        <f t="shared" si="368"/>
        <v>2.5</v>
      </c>
      <c r="AG4289" s="580">
        <f t="shared" si="369"/>
        <v>0</v>
      </c>
      <c r="AH4289" s="580">
        <f t="shared" si="370"/>
        <v>0</v>
      </c>
    </row>
    <row r="4290" spans="28:34">
      <c r="AB4290" s="580">
        <f>HLOOKUP("*"&amp;'Output annual'!$AC$2&amp;'Output annual'!$AD$2&amp;"*Zone People Number Of Occupants [](Hourly)",'Eplus results'!$1:$1048576,ROW(),FALSE)</f>
        <v>0</v>
      </c>
      <c r="AC4290" s="580">
        <f>HLOOKUP("*"&amp;'Output annual'!$AC$2&amp;'Output annual'!$AD$2&amp;"*FangerPMV(Hourly)",'Eplus results'!$1:$1048576,ROW(),FALSE)</f>
        <v>0</v>
      </c>
      <c r="AD4290" s="580">
        <f t="shared" si="366"/>
        <v>5</v>
      </c>
      <c r="AE4290" s="580">
        <f t="shared" si="367"/>
        <v>2.5</v>
      </c>
      <c r="AF4290" s="580">
        <f t="shared" si="368"/>
        <v>2.5</v>
      </c>
      <c r="AG4290" s="580">
        <f t="shared" si="369"/>
        <v>0</v>
      </c>
      <c r="AH4290" s="580">
        <f t="shared" si="370"/>
        <v>0</v>
      </c>
    </row>
    <row r="4291" spans="28:34">
      <c r="AB4291" s="580">
        <f>HLOOKUP("*"&amp;'Output annual'!$AC$2&amp;'Output annual'!$AD$2&amp;"*Zone People Number Of Occupants [](Hourly)",'Eplus results'!$1:$1048576,ROW(),FALSE)</f>
        <v>0</v>
      </c>
      <c r="AC4291" s="580">
        <f>HLOOKUP("*"&amp;'Output annual'!$AC$2&amp;'Output annual'!$AD$2&amp;"*FangerPMV(Hourly)",'Eplus results'!$1:$1048576,ROW(),FALSE)</f>
        <v>0</v>
      </c>
      <c r="AD4291" s="580">
        <f t="shared" ref="AD4291:AD4354" si="371">100-95*EXP(-0.03353*AC4291^4-0.2179*AC4291^2)</f>
        <v>5</v>
      </c>
      <c r="AE4291" s="580">
        <f t="shared" ref="AE4291:AE4354" si="372">AD4291*(1/(1+EXP(-6.3*$AC4291)))</f>
        <v>2.5</v>
      </c>
      <c r="AF4291" s="580">
        <f t="shared" ref="AF4291:AF4354" si="373">(AD4291-AE4291)</f>
        <v>2.5</v>
      </c>
      <c r="AG4291" s="580">
        <f t="shared" ref="AG4291:AG4354" si="374">AE4291*AB4291</f>
        <v>0</v>
      </c>
      <c r="AH4291" s="580">
        <f t="shared" ref="AH4291:AH4354" si="375">AF4291*AB4291</f>
        <v>0</v>
      </c>
    </row>
    <row r="4292" spans="28:34">
      <c r="AB4292" s="580">
        <f>HLOOKUP("*"&amp;'Output annual'!$AC$2&amp;'Output annual'!$AD$2&amp;"*Zone People Number Of Occupants [](Hourly)",'Eplus results'!$1:$1048576,ROW(),FALSE)</f>
        <v>0</v>
      </c>
      <c r="AC4292" s="580">
        <f>HLOOKUP("*"&amp;'Output annual'!$AC$2&amp;'Output annual'!$AD$2&amp;"*FangerPMV(Hourly)",'Eplus results'!$1:$1048576,ROW(),FALSE)</f>
        <v>0</v>
      </c>
      <c r="AD4292" s="580">
        <f t="shared" si="371"/>
        <v>5</v>
      </c>
      <c r="AE4292" s="580">
        <f t="shared" si="372"/>
        <v>2.5</v>
      </c>
      <c r="AF4292" s="580">
        <f t="shared" si="373"/>
        <v>2.5</v>
      </c>
      <c r="AG4292" s="580">
        <f t="shared" si="374"/>
        <v>0</v>
      </c>
      <c r="AH4292" s="580">
        <f t="shared" si="375"/>
        <v>0</v>
      </c>
    </row>
    <row r="4293" spans="28:34">
      <c r="AB4293" s="580">
        <f>HLOOKUP("*"&amp;'Output annual'!$AC$2&amp;'Output annual'!$AD$2&amp;"*Zone People Number Of Occupants [](Hourly)",'Eplus results'!$1:$1048576,ROW(),FALSE)</f>
        <v>0</v>
      </c>
      <c r="AC4293" s="580">
        <f>HLOOKUP("*"&amp;'Output annual'!$AC$2&amp;'Output annual'!$AD$2&amp;"*FangerPMV(Hourly)",'Eplus results'!$1:$1048576,ROW(),FALSE)</f>
        <v>0</v>
      </c>
      <c r="AD4293" s="580">
        <f t="shared" si="371"/>
        <v>5</v>
      </c>
      <c r="AE4293" s="580">
        <f t="shared" si="372"/>
        <v>2.5</v>
      </c>
      <c r="AF4293" s="580">
        <f t="shared" si="373"/>
        <v>2.5</v>
      </c>
      <c r="AG4293" s="580">
        <f t="shared" si="374"/>
        <v>0</v>
      </c>
      <c r="AH4293" s="580">
        <f t="shared" si="375"/>
        <v>0</v>
      </c>
    </row>
    <row r="4294" spans="28:34">
      <c r="AB4294" s="580">
        <f>HLOOKUP("*"&amp;'Output annual'!$AC$2&amp;'Output annual'!$AD$2&amp;"*Zone People Number Of Occupants [](Hourly)",'Eplus results'!$1:$1048576,ROW(),FALSE)</f>
        <v>0</v>
      </c>
      <c r="AC4294" s="580">
        <f>HLOOKUP("*"&amp;'Output annual'!$AC$2&amp;'Output annual'!$AD$2&amp;"*FangerPMV(Hourly)",'Eplus results'!$1:$1048576,ROW(),FALSE)</f>
        <v>0</v>
      </c>
      <c r="AD4294" s="580">
        <f t="shared" si="371"/>
        <v>5</v>
      </c>
      <c r="AE4294" s="580">
        <f t="shared" si="372"/>
        <v>2.5</v>
      </c>
      <c r="AF4294" s="580">
        <f t="shared" si="373"/>
        <v>2.5</v>
      </c>
      <c r="AG4294" s="580">
        <f t="shared" si="374"/>
        <v>0</v>
      </c>
      <c r="AH4294" s="580">
        <f t="shared" si="375"/>
        <v>0</v>
      </c>
    </row>
    <row r="4295" spans="28:34">
      <c r="AB4295" s="580">
        <f>HLOOKUP("*"&amp;'Output annual'!$AC$2&amp;'Output annual'!$AD$2&amp;"*Zone People Number Of Occupants [](Hourly)",'Eplus results'!$1:$1048576,ROW(),FALSE)</f>
        <v>0</v>
      </c>
      <c r="AC4295" s="580">
        <f>HLOOKUP("*"&amp;'Output annual'!$AC$2&amp;'Output annual'!$AD$2&amp;"*FangerPMV(Hourly)",'Eplus results'!$1:$1048576,ROW(),FALSE)</f>
        <v>0</v>
      </c>
      <c r="AD4295" s="580">
        <f t="shared" si="371"/>
        <v>5</v>
      </c>
      <c r="AE4295" s="580">
        <f t="shared" si="372"/>
        <v>2.5</v>
      </c>
      <c r="AF4295" s="580">
        <f t="shared" si="373"/>
        <v>2.5</v>
      </c>
      <c r="AG4295" s="580">
        <f t="shared" si="374"/>
        <v>0</v>
      </c>
      <c r="AH4295" s="580">
        <f t="shared" si="375"/>
        <v>0</v>
      </c>
    </row>
    <row r="4296" spans="28:34">
      <c r="AB4296" s="580">
        <f>HLOOKUP("*"&amp;'Output annual'!$AC$2&amp;'Output annual'!$AD$2&amp;"*Zone People Number Of Occupants [](Hourly)",'Eplus results'!$1:$1048576,ROW(),FALSE)</f>
        <v>0</v>
      </c>
      <c r="AC4296" s="580">
        <f>HLOOKUP("*"&amp;'Output annual'!$AC$2&amp;'Output annual'!$AD$2&amp;"*FangerPMV(Hourly)",'Eplus results'!$1:$1048576,ROW(),FALSE)</f>
        <v>0</v>
      </c>
      <c r="AD4296" s="580">
        <f t="shared" si="371"/>
        <v>5</v>
      </c>
      <c r="AE4296" s="580">
        <f t="shared" si="372"/>
        <v>2.5</v>
      </c>
      <c r="AF4296" s="580">
        <f t="shared" si="373"/>
        <v>2.5</v>
      </c>
      <c r="AG4296" s="580">
        <f t="shared" si="374"/>
        <v>0</v>
      </c>
      <c r="AH4296" s="580">
        <f t="shared" si="375"/>
        <v>0</v>
      </c>
    </row>
    <row r="4297" spans="28:34">
      <c r="AB4297" s="580">
        <f>HLOOKUP("*"&amp;'Output annual'!$AC$2&amp;'Output annual'!$AD$2&amp;"*Zone People Number Of Occupants [](Hourly)",'Eplus results'!$1:$1048576,ROW(),FALSE)</f>
        <v>0</v>
      </c>
      <c r="AC4297" s="580">
        <f>HLOOKUP("*"&amp;'Output annual'!$AC$2&amp;'Output annual'!$AD$2&amp;"*FangerPMV(Hourly)",'Eplus results'!$1:$1048576,ROW(),FALSE)</f>
        <v>0</v>
      </c>
      <c r="AD4297" s="580">
        <f t="shared" si="371"/>
        <v>5</v>
      </c>
      <c r="AE4297" s="580">
        <f t="shared" si="372"/>
        <v>2.5</v>
      </c>
      <c r="AF4297" s="580">
        <f t="shared" si="373"/>
        <v>2.5</v>
      </c>
      <c r="AG4297" s="580">
        <f t="shared" si="374"/>
        <v>0</v>
      </c>
      <c r="AH4297" s="580">
        <f t="shared" si="375"/>
        <v>0</v>
      </c>
    </row>
    <row r="4298" spans="28:34">
      <c r="AB4298" s="580">
        <f>HLOOKUP("*"&amp;'Output annual'!$AC$2&amp;'Output annual'!$AD$2&amp;"*Zone People Number Of Occupants [](Hourly)",'Eplus results'!$1:$1048576,ROW(),FALSE)</f>
        <v>0</v>
      </c>
      <c r="AC4298" s="580">
        <f>HLOOKUP("*"&amp;'Output annual'!$AC$2&amp;'Output annual'!$AD$2&amp;"*FangerPMV(Hourly)",'Eplus results'!$1:$1048576,ROW(),FALSE)</f>
        <v>0</v>
      </c>
      <c r="AD4298" s="580">
        <f t="shared" si="371"/>
        <v>5</v>
      </c>
      <c r="AE4298" s="580">
        <f t="shared" si="372"/>
        <v>2.5</v>
      </c>
      <c r="AF4298" s="580">
        <f t="shared" si="373"/>
        <v>2.5</v>
      </c>
      <c r="AG4298" s="580">
        <f t="shared" si="374"/>
        <v>0</v>
      </c>
      <c r="AH4298" s="580">
        <f t="shared" si="375"/>
        <v>0</v>
      </c>
    </row>
    <row r="4299" spans="28:34">
      <c r="AB4299" s="580">
        <f>HLOOKUP("*"&amp;'Output annual'!$AC$2&amp;'Output annual'!$AD$2&amp;"*Zone People Number Of Occupants [](Hourly)",'Eplus results'!$1:$1048576,ROW(),FALSE)</f>
        <v>0</v>
      </c>
      <c r="AC4299" s="580">
        <f>HLOOKUP("*"&amp;'Output annual'!$AC$2&amp;'Output annual'!$AD$2&amp;"*FangerPMV(Hourly)",'Eplus results'!$1:$1048576,ROW(),FALSE)</f>
        <v>0</v>
      </c>
      <c r="AD4299" s="580">
        <f t="shared" si="371"/>
        <v>5</v>
      </c>
      <c r="AE4299" s="580">
        <f t="shared" si="372"/>
        <v>2.5</v>
      </c>
      <c r="AF4299" s="580">
        <f t="shared" si="373"/>
        <v>2.5</v>
      </c>
      <c r="AG4299" s="580">
        <f t="shared" si="374"/>
        <v>0</v>
      </c>
      <c r="AH4299" s="580">
        <f t="shared" si="375"/>
        <v>0</v>
      </c>
    </row>
    <row r="4300" spans="28:34">
      <c r="AB4300" s="580">
        <f>HLOOKUP("*"&amp;'Output annual'!$AC$2&amp;'Output annual'!$AD$2&amp;"*Zone People Number Of Occupants [](Hourly)",'Eplus results'!$1:$1048576,ROW(),FALSE)</f>
        <v>0</v>
      </c>
      <c r="AC4300" s="580">
        <f>HLOOKUP("*"&amp;'Output annual'!$AC$2&amp;'Output annual'!$AD$2&amp;"*FangerPMV(Hourly)",'Eplus results'!$1:$1048576,ROW(),FALSE)</f>
        <v>0</v>
      </c>
      <c r="AD4300" s="580">
        <f t="shared" si="371"/>
        <v>5</v>
      </c>
      <c r="AE4300" s="580">
        <f t="shared" si="372"/>
        <v>2.5</v>
      </c>
      <c r="AF4300" s="580">
        <f t="shared" si="373"/>
        <v>2.5</v>
      </c>
      <c r="AG4300" s="580">
        <f t="shared" si="374"/>
        <v>0</v>
      </c>
      <c r="AH4300" s="580">
        <f t="shared" si="375"/>
        <v>0</v>
      </c>
    </row>
    <row r="4301" spans="28:34">
      <c r="AB4301" s="580">
        <f>HLOOKUP("*"&amp;'Output annual'!$AC$2&amp;'Output annual'!$AD$2&amp;"*Zone People Number Of Occupants [](Hourly)",'Eplus results'!$1:$1048576,ROW(),FALSE)</f>
        <v>0</v>
      </c>
      <c r="AC4301" s="580">
        <f>HLOOKUP("*"&amp;'Output annual'!$AC$2&amp;'Output annual'!$AD$2&amp;"*FangerPMV(Hourly)",'Eplus results'!$1:$1048576,ROW(),FALSE)</f>
        <v>0</v>
      </c>
      <c r="AD4301" s="580">
        <f t="shared" si="371"/>
        <v>5</v>
      </c>
      <c r="AE4301" s="580">
        <f t="shared" si="372"/>
        <v>2.5</v>
      </c>
      <c r="AF4301" s="580">
        <f t="shared" si="373"/>
        <v>2.5</v>
      </c>
      <c r="AG4301" s="580">
        <f t="shared" si="374"/>
        <v>0</v>
      </c>
      <c r="AH4301" s="580">
        <f t="shared" si="375"/>
        <v>0</v>
      </c>
    </row>
    <row r="4302" spans="28:34">
      <c r="AB4302" s="580">
        <f>HLOOKUP("*"&amp;'Output annual'!$AC$2&amp;'Output annual'!$AD$2&amp;"*Zone People Number Of Occupants [](Hourly)",'Eplus results'!$1:$1048576,ROW(),FALSE)</f>
        <v>0</v>
      </c>
      <c r="AC4302" s="580">
        <f>HLOOKUP("*"&amp;'Output annual'!$AC$2&amp;'Output annual'!$AD$2&amp;"*FangerPMV(Hourly)",'Eplus results'!$1:$1048576,ROW(),FALSE)</f>
        <v>0</v>
      </c>
      <c r="AD4302" s="580">
        <f t="shared" si="371"/>
        <v>5</v>
      </c>
      <c r="AE4302" s="580">
        <f t="shared" si="372"/>
        <v>2.5</v>
      </c>
      <c r="AF4302" s="580">
        <f t="shared" si="373"/>
        <v>2.5</v>
      </c>
      <c r="AG4302" s="580">
        <f t="shared" si="374"/>
        <v>0</v>
      </c>
      <c r="AH4302" s="580">
        <f t="shared" si="375"/>
        <v>0</v>
      </c>
    </row>
    <row r="4303" spans="28:34">
      <c r="AB4303" s="580">
        <f>HLOOKUP("*"&amp;'Output annual'!$AC$2&amp;'Output annual'!$AD$2&amp;"*Zone People Number Of Occupants [](Hourly)",'Eplus results'!$1:$1048576,ROW(),FALSE)</f>
        <v>0</v>
      </c>
      <c r="AC4303" s="580">
        <f>HLOOKUP("*"&amp;'Output annual'!$AC$2&amp;'Output annual'!$AD$2&amp;"*FangerPMV(Hourly)",'Eplus results'!$1:$1048576,ROW(),FALSE)</f>
        <v>0</v>
      </c>
      <c r="AD4303" s="580">
        <f t="shared" si="371"/>
        <v>5</v>
      </c>
      <c r="AE4303" s="580">
        <f t="shared" si="372"/>
        <v>2.5</v>
      </c>
      <c r="AF4303" s="580">
        <f t="shared" si="373"/>
        <v>2.5</v>
      </c>
      <c r="AG4303" s="580">
        <f t="shared" si="374"/>
        <v>0</v>
      </c>
      <c r="AH4303" s="580">
        <f t="shared" si="375"/>
        <v>0</v>
      </c>
    </row>
    <row r="4304" spans="28:34">
      <c r="AB4304" s="580">
        <f>HLOOKUP("*"&amp;'Output annual'!$AC$2&amp;'Output annual'!$AD$2&amp;"*Zone People Number Of Occupants [](Hourly)",'Eplus results'!$1:$1048576,ROW(),FALSE)</f>
        <v>0</v>
      </c>
      <c r="AC4304" s="580">
        <f>HLOOKUP("*"&amp;'Output annual'!$AC$2&amp;'Output annual'!$AD$2&amp;"*FangerPMV(Hourly)",'Eplus results'!$1:$1048576,ROW(),FALSE)</f>
        <v>0</v>
      </c>
      <c r="AD4304" s="580">
        <f t="shared" si="371"/>
        <v>5</v>
      </c>
      <c r="AE4304" s="580">
        <f t="shared" si="372"/>
        <v>2.5</v>
      </c>
      <c r="AF4304" s="580">
        <f t="shared" si="373"/>
        <v>2.5</v>
      </c>
      <c r="AG4304" s="580">
        <f t="shared" si="374"/>
        <v>0</v>
      </c>
      <c r="AH4304" s="580">
        <f t="shared" si="375"/>
        <v>0</v>
      </c>
    </row>
    <row r="4305" spans="28:34">
      <c r="AB4305" s="580">
        <f>HLOOKUP("*"&amp;'Output annual'!$AC$2&amp;'Output annual'!$AD$2&amp;"*Zone People Number Of Occupants [](Hourly)",'Eplus results'!$1:$1048576,ROW(),FALSE)</f>
        <v>0</v>
      </c>
      <c r="AC4305" s="580">
        <f>HLOOKUP("*"&amp;'Output annual'!$AC$2&amp;'Output annual'!$AD$2&amp;"*FangerPMV(Hourly)",'Eplus results'!$1:$1048576,ROW(),FALSE)</f>
        <v>0</v>
      </c>
      <c r="AD4305" s="580">
        <f t="shared" si="371"/>
        <v>5</v>
      </c>
      <c r="AE4305" s="580">
        <f t="shared" si="372"/>
        <v>2.5</v>
      </c>
      <c r="AF4305" s="580">
        <f t="shared" si="373"/>
        <v>2.5</v>
      </c>
      <c r="AG4305" s="580">
        <f t="shared" si="374"/>
        <v>0</v>
      </c>
      <c r="AH4305" s="580">
        <f t="shared" si="375"/>
        <v>0</v>
      </c>
    </row>
    <row r="4306" spans="28:34">
      <c r="AB4306" s="580">
        <f>HLOOKUP("*"&amp;'Output annual'!$AC$2&amp;'Output annual'!$AD$2&amp;"*Zone People Number Of Occupants [](Hourly)",'Eplus results'!$1:$1048576,ROW(),FALSE)</f>
        <v>0</v>
      </c>
      <c r="AC4306" s="580">
        <f>HLOOKUP("*"&amp;'Output annual'!$AC$2&amp;'Output annual'!$AD$2&amp;"*FangerPMV(Hourly)",'Eplus results'!$1:$1048576,ROW(),FALSE)</f>
        <v>0</v>
      </c>
      <c r="AD4306" s="580">
        <f t="shared" si="371"/>
        <v>5</v>
      </c>
      <c r="AE4306" s="580">
        <f t="shared" si="372"/>
        <v>2.5</v>
      </c>
      <c r="AF4306" s="580">
        <f t="shared" si="373"/>
        <v>2.5</v>
      </c>
      <c r="AG4306" s="580">
        <f t="shared" si="374"/>
        <v>0</v>
      </c>
      <c r="AH4306" s="580">
        <f t="shared" si="375"/>
        <v>0</v>
      </c>
    </row>
    <row r="4307" spans="28:34">
      <c r="AB4307" s="580">
        <f>HLOOKUP("*"&amp;'Output annual'!$AC$2&amp;'Output annual'!$AD$2&amp;"*Zone People Number Of Occupants [](Hourly)",'Eplus results'!$1:$1048576,ROW(),FALSE)</f>
        <v>0</v>
      </c>
      <c r="AC4307" s="580">
        <f>HLOOKUP("*"&amp;'Output annual'!$AC$2&amp;'Output annual'!$AD$2&amp;"*FangerPMV(Hourly)",'Eplus results'!$1:$1048576,ROW(),FALSE)</f>
        <v>0</v>
      </c>
      <c r="AD4307" s="580">
        <f t="shared" si="371"/>
        <v>5</v>
      </c>
      <c r="AE4307" s="580">
        <f t="shared" si="372"/>
        <v>2.5</v>
      </c>
      <c r="AF4307" s="580">
        <f t="shared" si="373"/>
        <v>2.5</v>
      </c>
      <c r="AG4307" s="580">
        <f t="shared" si="374"/>
        <v>0</v>
      </c>
      <c r="AH4307" s="580">
        <f t="shared" si="375"/>
        <v>0</v>
      </c>
    </row>
    <row r="4308" spans="28:34">
      <c r="AB4308" s="580">
        <f>HLOOKUP("*"&amp;'Output annual'!$AC$2&amp;'Output annual'!$AD$2&amp;"*Zone People Number Of Occupants [](Hourly)",'Eplus results'!$1:$1048576,ROW(),FALSE)</f>
        <v>0</v>
      </c>
      <c r="AC4308" s="580">
        <f>HLOOKUP("*"&amp;'Output annual'!$AC$2&amp;'Output annual'!$AD$2&amp;"*FangerPMV(Hourly)",'Eplus results'!$1:$1048576,ROW(),FALSE)</f>
        <v>0</v>
      </c>
      <c r="AD4308" s="580">
        <f t="shared" si="371"/>
        <v>5</v>
      </c>
      <c r="AE4308" s="580">
        <f t="shared" si="372"/>
        <v>2.5</v>
      </c>
      <c r="AF4308" s="580">
        <f t="shared" si="373"/>
        <v>2.5</v>
      </c>
      <c r="AG4308" s="580">
        <f t="shared" si="374"/>
        <v>0</v>
      </c>
      <c r="AH4308" s="580">
        <f t="shared" si="375"/>
        <v>0</v>
      </c>
    </row>
    <row r="4309" spans="28:34">
      <c r="AB4309" s="580">
        <f>HLOOKUP("*"&amp;'Output annual'!$AC$2&amp;'Output annual'!$AD$2&amp;"*Zone People Number Of Occupants [](Hourly)",'Eplus results'!$1:$1048576,ROW(),FALSE)</f>
        <v>0</v>
      </c>
      <c r="AC4309" s="580">
        <f>HLOOKUP("*"&amp;'Output annual'!$AC$2&amp;'Output annual'!$AD$2&amp;"*FangerPMV(Hourly)",'Eplus results'!$1:$1048576,ROW(),FALSE)</f>
        <v>0</v>
      </c>
      <c r="AD4309" s="580">
        <f t="shared" si="371"/>
        <v>5</v>
      </c>
      <c r="AE4309" s="580">
        <f t="shared" si="372"/>
        <v>2.5</v>
      </c>
      <c r="AF4309" s="580">
        <f t="shared" si="373"/>
        <v>2.5</v>
      </c>
      <c r="AG4309" s="580">
        <f t="shared" si="374"/>
        <v>0</v>
      </c>
      <c r="AH4309" s="580">
        <f t="shared" si="375"/>
        <v>0</v>
      </c>
    </row>
    <row r="4310" spans="28:34">
      <c r="AB4310" s="580">
        <f>HLOOKUP("*"&amp;'Output annual'!$AC$2&amp;'Output annual'!$AD$2&amp;"*Zone People Number Of Occupants [](Hourly)",'Eplus results'!$1:$1048576,ROW(),FALSE)</f>
        <v>0</v>
      </c>
      <c r="AC4310" s="580">
        <f>HLOOKUP("*"&amp;'Output annual'!$AC$2&amp;'Output annual'!$AD$2&amp;"*FangerPMV(Hourly)",'Eplus results'!$1:$1048576,ROW(),FALSE)</f>
        <v>0</v>
      </c>
      <c r="AD4310" s="580">
        <f t="shared" si="371"/>
        <v>5</v>
      </c>
      <c r="AE4310" s="580">
        <f t="shared" si="372"/>
        <v>2.5</v>
      </c>
      <c r="AF4310" s="580">
        <f t="shared" si="373"/>
        <v>2.5</v>
      </c>
      <c r="AG4310" s="580">
        <f t="shared" si="374"/>
        <v>0</v>
      </c>
      <c r="AH4310" s="580">
        <f t="shared" si="375"/>
        <v>0</v>
      </c>
    </row>
    <row r="4311" spans="28:34">
      <c r="AB4311" s="580">
        <f>HLOOKUP("*"&amp;'Output annual'!$AC$2&amp;'Output annual'!$AD$2&amp;"*Zone People Number Of Occupants [](Hourly)",'Eplus results'!$1:$1048576,ROW(),FALSE)</f>
        <v>0</v>
      </c>
      <c r="AC4311" s="580">
        <f>HLOOKUP("*"&amp;'Output annual'!$AC$2&amp;'Output annual'!$AD$2&amp;"*FangerPMV(Hourly)",'Eplus results'!$1:$1048576,ROW(),FALSE)</f>
        <v>0</v>
      </c>
      <c r="AD4311" s="580">
        <f t="shared" si="371"/>
        <v>5</v>
      </c>
      <c r="AE4311" s="580">
        <f t="shared" si="372"/>
        <v>2.5</v>
      </c>
      <c r="AF4311" s="580">
        <f t="shared" si="373"/>
        <v>2.5</v>
      </c>
      <c r="AG4311" s="580">
        <f t="shared" si="374"/>
        <v>0</v>
      </c>
      <c r="AH4311" s="580">
        <f t="shared" si="375"/>
        <v>0</v>
      </c>
    </row>
    <row r="4312" spans="28:34">
      <c r="AB4312" s="580">
        <f>HLOOKUP("*"&amp;'Output annual'!$AC$2&amp;'Output annual'!$AD$2&amp;"*Zone People Number Of Occupants [](Hourly)",'Eplus results'!$1:$1048576,ROW(),FALSE)</f>
        <v>0</v>
      </c>
      <c r="AC4312" s="580">
        <f>HLOOKUP("*"&amp;'Output annual'!$AC$2&amp;'Output annual'!$AD$2&amp;"*FangerPMV(Hourly)",'Eplus results'!$1:$1048576,ROW(),FALSE)</f>
        <v>0</v>
      </c>
      <c r="AD4312" s="580">
        <f t="shared" si="371"/>
        <v>5</v>
      </c>
      <c r="AE4312" s="580">
        <f t="shared" si="372"/>
        <v>2.5</v>
      </c>
      <c r="AF4312" s="580">
        <f t="shared" si="373"/>
        <v>2.5</v>
      </c>
      <c r="AG4312" s="580">
        <f t="shared" si="374"/>
        <v>0</v>
      </c>
      <c r="AH4312" s="580">
        <f t="shared" si="375"/>
        <v>0</v>
      </c>
    </row>
    <row r="4313" spans="28:34">
      <c r="AB4313" s="580">
        <f>HLOOKUP("*"&amp;'Output annual'!$AC$2&amp;'Output annual'!$AD$2&amp;"*Zone People Number Of Occupants [](Hourly)",'Eplus results'!$1:$1048576,ROW(),FALSE)</f>
        <v>0</v>
      </c>
      <c r="AC4313" s="580">
        <f>HLOOKUP("*"&amp;'Output annual'!$AC$2&amp;'Output annual'!$AD$2&amp;"*FangerPMV(Hourly)",'Eplus results'!$1:$1048576,ROW(),FALSE)</f>
        <v>0</v>
      </c>
      <c r="AD4313" s="580">
        <f t="shared" si="371"/>
        <v>5</v>
      </c>
      <c r="AE4313" s="580">
        <f t="shared" si="372"/>
        <v>2.5</v>
      </c>
      <c r="AF4313" s="580">
        <f t="shared" si="373"/>
        <v>2.5</v>
      </c>
      <c r="AG4313" s="580">
        <f t="shared" si="374"/>
        <v>0</v>
      </c>
      <c r="AH4313" s="580">
        <f t="shared" si="375"/>
        <v>0</v>
      </c>
    </row>
    <row r="4314" spans="28:34">
      <c r="AB4314" s="580">
        <f>HLOOKUP("*"&amp;'Output annual'!$AC$2&amp;'Output annual'!$AD$2&amp;"*Zone People Number Of Occupants [](Hourly)",'Eplus results'!$1:$1048576,ROW(),FALSE)</f>
        <v>0</v>
      </c>
      <c r="AC4314" s="580">
        <f>HLOOKUP("*"&amp;'Output annual'!$AC$2&amp;'Output annual'!$AD$2&amp;"*FangerPMV(Hourly)",'Eplus results'!$1:$1048576,ROW(),FALSE)</f>
        <v>0</v>
      </c>
      <c r="AD4314" s="580">
        <f t="shared" si="371"/>
        <v>5</v>
      </c>
      <c r="AE4314" s="580">
        <f t="shared" si="372"/>
        <v>2.5</v>
      </c>
      <c r="AF4314" s="580">
        <f t="shared" si="373"/>
        <v>2.5</v>
      </c>
      <c r="AG4314" s="580">
        <f t="shared" si="374"/>
        <v>0</v>
      </c>
      <c r="AH4314" s="580">
        <f t="shared" si="375"/>
        <v>0</v>
      </c>
    </row>
    <row r="4315" spans="28:34">
      <c r="AB4315" s="580">
        <f>HLOOKUP("*"&amp;'Output annual'!$AC$2&amp;'Output annual'!$AD$2&amp;"*Zone People Number Of Occupants [](Hourly)",'Eplus results'!$1:$1048576,ROW(),FALSE)</f>
        <v>0</v>
      </c>
      <c r="AC4315" s="580">
        <f>HLOOKUP("*"&amp;'Output annual'!$AC$2&amp;'Output annual'!$AD$2&amp;"*FangerPMV(Hourly)",'Eplus results'!$1:$1048576,ROW(),FALSE)</f>
        <v>0</v>
      </c>
      <c r="AD4315" s="580">
        <f t="shared" si="371"/>
        <v>5</v>
      </c>
      <c r="AE4315" s="580">
        <f t="shared" si="372"/>
        <v>2.5</v>
      </c>
      <c r="AF4315" s="580">
        <f t="shared" si="373"/>
        <v>2.5</v>
      </c>
      <c r="AG4315" s="580">
        <f t="shared" si="374"/>
        <v>0</v>
      </c>
      <c r="AH4315" s="580">
        <f t="shared" si="375"/>
        <v>0</v>
      </c>
    </row>
    <row r="4316" spans="28:34">
      <c r="AB4316" s="580">
        <f>HLOOKUP("*"&amp;'Output annual'!$AC$2&amp;'Output annual'!$AD$2&amp;"*Zone People Number Of Occupants [](Hourly)",'Eplus results'!$1:$1048576,ROW(),FALSE)</f>
        <v>0</v>
      </c>
      <c r="AC4316" s="580">
        <f>HLOOKUP("*"&amp;'Output annual'!$AC$2&amp;'Output annual'!$AD$2&amp;"*FangerPMV(Hourly)",'Eplus results'!$1:$1048576,ROW(),FALSE)</f>
        <v>0</v>
      </c>
      <c r="AD4316" s="580">
        <f t="shared" si="371"/>
        <v>5</v>
      </c>
      <c r="AE4316" s="580">
        <f t="shared" si="372"/>
        <v>2.5</v>
      </c>
      <c r="AF4316" s="580">
        <f t="shared" si="373"/>
        <v>2.5</v>
      </c>
      <c r="AG4316" s="580">
        <f t="shared" si="374"/>
        <v>0</v>
      </c>
      <c r="AH4316" s="580">
        <f t="shared" si="375"/>
        <v>0</v>
      </c>
    </row>
    <row r="4317" spans="28:34">
      <c r="AB4317" s="580">
        <f>HLOOKUP("*"&amp;'Output annual'!$AC$2&amp;'Output annual'!$AD$2&amp;"*Zone People Number Of Occupants [](Hourly)",'Eplus results'!$1:$1048576,ROW(),FALSE)</f>
        <v>0</v>
      </c>
      <c r="AC4317" s="580">
        <f>HLOOKUP("*"&amp;'Output annual'!$AC$2&amp;'Output annual'!$AD$2&amp;"*FangerPMV(Hourly)",'Eplus results'!$1:$1048576,ROW(),FALSE)</f>
        <v>0</v>
      </c>
      <c r="AD4317" s="580">
        <f t="shared" si="371"/>
        <v>5</v>
      </c>
      <c r="AE4317" s="580">
        <f t="shared" si="372"/>
        <v>2.5</v>
      </c>
      <c r="AF4317" s="580">
        <f t="shared" si="373"/>
        <v>2.5</v>
      </c>
      <c r="AG4317" s="580">
        <f t="shared" si="374"/>
        <v>0</v>
      </c>
      <c r="AH4317" s="580">
        <f t="shared" si="375"/>
        <v>0</v>
      </c>
    </row>
    <row r="4318" spans="28:34">
      <c r="AB4318" s="580">
        <f>HLOOKUP("*"&amp;'Output annual'!$AC$2&amp;'Output annual'!$AD$2&amp;"*Zone People Number Of Occupants [](Hourly)",'Eplus results'!$1:$1048576,ROW(),FALSE)</f>
        <v>0</v>
      </c>
      <c r="AC4318" s="580">
        <f>HLOOKUP("*"&amp;'Output annual'!$AC$2&amp;'Output annual'!$AD$2&amp;"*FangerPMV(Hourly)",'Eplus results'!$1:$1048576,ROW(),FALSE)</f>
        <v>0</v>
      </c>
      <c r="AD4318" s="580">
        <f t="shared" si="371"/>
        <v>5</v>
      </c>
      <c r="AE4318" s="580">
        <f t="shared" si="372"/>
        <v>2.5</v>
      </c>
      <c r="AF4318" s="580">
        <f t="shared" si="373"/>
        <v>2.5</v>
      </c>
      <c r="AG4318" s="580">
        <f t="shared" si="374"/>
        <v>0</v>
      </c>
      <c r="AH4318" s="580">
        <f t="shared" si="375"/>
        <v>0</v>
      </c>
    </row>
    <row r="4319" spans="28:34">
      <c r="AB4319" s="580">
        <f>HLOOKUP("*"&amp;'Output annual'!$AC$2&amp;'Output annual'!$AD$2&amp;"*Zone People Number Of Occupants [](Hourly)",'Eplus results'!$1:$1048576,ROW(),FALSE)</f>
        <v>0</v>
      </c>
      <c r="AC4319" s="580">
        <f>HLOOKUP("*"&amp;'Output annual'!$AC$2&amp;'Output annual'!$AD$2&amp;"*FangerPMV(Hourly)",'Eplus results'!$1:$1048576,ROW(),FALSE)</f>
        <v>0</v>
      </c>
      <c r="AD4319" s="580">
        <f t="shared" si="371"/>
        <v>5</v>
      </c>
      <c r="AE4319" s="580">
        <f t="shared" si="372"/>
        <v>2.5</v>
      </c>
      <c r="AF4319" s="580">
        <f t="shared" si="373"/>
        <v>2.5</v>
      </c>
      <c r="AG4319" s="580">
        <f t="shared" si="374"/>
        <v>0</v>
      </c>
      <c r="AH4319" s="580">
        <f t="shared" si="375"/>
        <v>0</v>
      </c>
    </row>
    <row r="4320" spans="28:34">
      <c r="AB4320" s="580">
        <f>HLOOKUP("*"&amp;'Output annual'!$AC$2&amp;'Output annual'!$AD$2&amp;"*Zone People Number Of Occupants [](Hourly)",'Eplus results'!$1:$1048576,ROW(),FALSE)</f>
        <v>0</v>
      </c>
      <c r="AC4320" s="580">
        <f>HLOOKUP("*"&amp;'Output annual'!$AC$2&amp;'Output annual'!$AD$2&amp;"*FangerPMV(Hourly)",'Eplus results'!$1:$1048576,ROW(),FALSE)</f>
        <v>0</v>
      </c>
      <c r="AD4320" s="580">
        <f t="shared" si="371"/>
        <v>5</v>
      </c>
      <c r="AE4320" s="580">
        <f t="shared" si="372"/>
        <v>2.5</v>
      </c>
      <c r="AF4320" s="580">
        <f t="shared" si="373"/>
        <v>2.5</v>
      </c>
      <c r="AG4320" s="580">
        <f t="shared" si="374"/>
        <v>0</v>
      </c>
      <c r="AH4320" s="580">
        <f t="shared" si="375"/>
        <v>0</v>
      </c>
    </row>
    <row r="4321" spans="28:34">
      <c r="AB4321" s="580">
        <f>HLOOKUP("*"&amp;'Output annual'!$AC$2&amp;'Output annual'!$AD$2&amp;"*Zone People Number Of Occupants [](Hourly)",'Eplus results'!$1:$1048576,ROW(),FALSE)</f>
        <v>0</v>
      </c>
      <c r="AC4321" s="580">
        <f>HLOOKUP("*"&amp;'Output annual'!$AC$2&amp;'Output annual'!$AD$2&amp;"*FangerPMV(Hourly)",'Eplus results'!$1:$1048576,ROW(),FALSE)</f>
        <v>0</v>
      </c>
      <c r="AD4321" s="580">
        <f t="shared" si="371"/>
        <v>5</v>
      </c>
      <c r="AE4321" s="580">
        <f t="shared" si="372"/>
        <v>2.5</v>
      </c>
      <c r="AF4321" s="580">
        <f t="shared" si="373"/>
        <v>2.5</v>
      </c>
      <c r="AG4321" s="580">
        <f t="shared" si="374"/>
        <v>0</v>
      </c>
      <c r="AH4321" s="580">
        <f t="shared" si="375"/>
        <v>0</v>
      </c>
    </row>
    <row r="4322" spans="28:34">
      <c r="AB4322" s="580">
        <f>HLOOKUP("*"&amp;'Output annual'!$AC$2&amp;'Output annual'!$AD$2&amp;"*Zone People Number Of Occupants [](Hourly)",'Eplus results'!$1:$1048576,ROW(),FALSE)</f>
        <v>0</v>
      </c>
      <c r="AC4322" s="580">
        <f>HLOOKUP("*"&amp;'Output annual'!$AC$2&amp;'Output annual'!$AD$2&amp;"*FangerPMV(Hourly)",'Eplus results'!$1:$1048576,ROW(),FALSE)</f>
        <v>0</v>
      </c>
      <c r="AD4322" s="580">
        <f t="shared" si="371"/>
        <v>5</v>
      </c>
      <c r="AE4322" s="580">
        <f t="shared" si="372"/>
        <v>2.5</v>
      </c>
      <c r="AF4322" s="580">
        <f t="shared" si="373"/>
        <v>2.5</v>
      </c>
      <c r="AG4322" s="580">
        <f t="shared" si="374"/>
        <v>0</v>
      </c>
      <c r="AH4322" s="580">
        <f t="shared" si="375"/>
        <v>0</v>
      </c>
    </row>
    <row r="4323" spans="28:34">
      <c r="AB4323" s="580">
        <f>HLOOKUP("*"&amp;'Output annual'!$AC$2&amp;'Output annual'!$AD$2&amp;"*Zone People Number Of Occupants [](Hourly)",'Eplus results'!$1:$1048576,ROW(),FALSE)</f>
        <v>0</v>
      </c>
      <c r="AC4323" s="580">
        <f>HLOOKUP("*"&amp;'Output annual'!$AC$2&amp;'Output annual'!$AD$2&amp;"*FangerPMV(Hourly)",'Eplus results'!$1:$1048576,ROW(),FALSE)</f>
        <v>0</v>
      </c>
      <c r="AD4323" s="580">
        <f t="shared" si="371"/>
        <v>5</v>
      </c>
      <c r="AE4323" s="580">
        <f t="shared" si="372"/>
        <v>2.5</v>
      </c>
      <c r="AF4323" s="580">
        <f t="shared" si="373"/>
        <v>2.5</v>
      </c>
      <c r="AG4323" s="580">
        <f t="shared" si="374"/>
        <v>0</v>
      </c>
      <c r="AH4323" s="580">
        <f t="shared" si="375"/>
        <v>0</v>
      </c>
    </row>
    <row r="4324" spans="28:34">
      <c r="AB4324" s="580">
        <f>HLOOKUP("*"&amp;'Output annual'!$AC$2&amp;'Output annual'!$AD$2&amp;"*Zone People Number Of Occupants [](Hourly)",'Eplus results'!$1:$1048576,ROW(),FALSE)</f>
        <v>0</v>
      </c>
      <c r="AC4324" s="580">
        <f>HLOOKUP("*"&amp;'Output annual'!$AC$2&amp;'Output annual'!$AD$2&amp;"*FangerPMV(Hourly)",'Eplus results'!$1:$1048576,ROW(),FALSE)</f>
        <v>0</v>
      </c>
      <c r="AD4324" s="580">
        <f t="shared" si="371"/>
        <v>5</v>
      </c>
      <c r="AE4324" s="580">
        <f t="shared" si="372"/>
        <v>2.5</v>
      </c>
      <c r="AF4324" s="580">
        <f t="shared" si="373"/>
        <v>2.5</v>
      </c>
      <c r="AG4324" s="580">
        <f t="shared" si="374"/>
        <v>0</v>
      </c>
      <c r="AH4324" s="580">
        <f t="shared" si="375"/>
        <v>0</v>
      </c>
    </row>
    <row r="4325" spans="28:34">
      <c r="AB4325" s="580">
        <f>HLOOKUP("*"&amp;'Output annual'!$AC$2&amp;'Output annual'!$AD$2&amp;"*Zone People Number Of Occupants [](Hourly)",'Eplus results'!$1:$1048576,ROW(),FALSE)</f>
        <v>0</v>
      </c>
      <c r="AC4325" s="580">
        <f>HLOOKUP("*"&amp;'Output annual'!$AC$2&amp;'Output annual'!$AD$2&amp;"*FangerPMV(Hourly)",'Eplus results'!$1:$1048576,ROW(),FALSE)</f>
        <v>0</v>
      </c>
      <c r="AD4325" s="580">
        <f t="shared" si="371"/>
        <v>5</v>
      </c>
      <c r="AE4325" s="580">
        <f t="shared" si="372"/>
        <v>2.5</v>
      </c>
      <c r="AF4325" s="580">
        <f t="shared" si="373"/>
        <v>2.5</v>
      </c>
      <c r="AG4325" s="580">
        <f t="shared" si="374"/>
        <v>0</v>
      </c>
      <c r="AH4325" s="580">
        <f t="shared" si="375"/>
        <v>0</v>
      </c>
    </row>
    <row r="4326" spans="28:34">
      <c r="AB4326" s="580">
        <f>HLOOKUP("*"&amp;'Output annual'!$AC$2&amp;'Output annual'!$AD$2&amp;"*Zone People Number Of Occupants [](Hourly)",'Eplus results'!$1:$1048576,ROW(),FALSE)</f>
        <v>0</v>
      </c>
      <c r="AC4326" s="580">
        <f>HLOOKUP("*"&amp;'Output annual'!$AC$2&amp;'Output annual'!$AD$2&amp;"*FangerPMV(Hourly)",'Eplus results'!$1:$1048576,ROW(),FALSE)</f>
        <v>0</v>
      </c>
      <c r="AD4326" s="580">
        <f t="shared" si="371"/>
        <v>5</v>
      </c>
      <c r="AE4326" s="580">
        <f t="shared" si="372"/>
        <v>2.5</v>
      </c>
      <c r="AF4326" s="580">
        <f t="shared" si="373"/>
        <v>2.5</v>
      </c>
      <c r="AG4326" s="580">
        <f t="shared" si="374"/>
        <v>0</v>
      </c>
      <c r="AH4326" s="580">
        <f t="shared" si="375"/>
        <v>0</v>
      </c>
    </row>
    <row r="4327" spans="28:34">
      <c r="AB4327" s="580">
        <f>HLOOKUP("*"&amp;'Output annual'!$AC$2&amp;'Output annual'!$AD$2&amp;"*Zone People Number Of Occupants [](Hourly)",'Eplus results'!$1:$1048576,ROW(),FALSE)</f>
        <v>0</v>
      </c>
      <c r="AC4327" s="580">
        <f>HLOOKUP("*"&amp;'Output annual'!$AC$2&amp;'Output annual'!$AD$2&amp;"*FangerPMV(Hourly)",'Eplus results'!$1:$1048576,ROW(),FALSE)</f>
        <v>0</v>
      </c>
      <c r="AD4327" s="580">
        <f t="shared" si="371"/>
        <v>5</v>
      </c>
      <c r="AE4327" s="580">
        <f t="shared" si="372"/>
        <v>2.5</v>
      </c>
      <c r="AF4327" s="580">
        <f t="shared" si="373"/>
        <v>2.5</v>
      </c>
      <c r="AG4327" s="580">
        <f t="shared" si="374"/>
        <v>0</v>
      </c>
      <c r="AH4327" s="580">
        <f t="shared" si="375"/>
        <v>0</v>
      </c>
    </row>
    <row r="4328" spans="28:34">
      <c r="AB4328" s="580">
        <f>HLOOKUP("*"&amp;'Output annual'!$AC$2&amp;'Output annual'!$AD$2&amp;"*Zone People Number Of Occupants [](Hourly)",'Eplus results'!$1:$1048576,ROW(),FALSE)</f>
        <v>0</v>
      </c>
      <c r="AC4328" s="580">
        <f>HLOOKUP("*"&amp;'Output annual'!$AC$2&amp;'Output annual'!$AD$2&amp;"*FangerPMV(Hourly)",'Eplus results'!$1:$1048576,ROW(),FALSE)</f>
        <v>0</v>
      </c>
      <c r="AD4328" s="580">
        <f t="shared" si="371"/>
        <v>5</v>
      </c>
      <c r="AE4328" s="580">
        <f t="shared" si="372"/>
        <v>2.5</v>
      </c>
      <c r="AF4328" s="580">
        <f t="shared" si="373"/>
        <v>2.5</v>
      </c>
      <c r="AG4328" s="580">
        <f t="shared" si="374"/>
        <v>0</v>
      </c>
      <c r="AH4328" s="580">
        <f t="shared" si="375"/>
        <v>0</v>
      </c>
    </row>
    <row r="4329" spans="28:34">
      <c r="AB4329" s="580">
        <f>HLOOKUP("*"&amp;'Output annual'!$AC$2&amp;'Output annual'!$AD$2&amp;"*Zone People Number Of Occupants [](Hourly)",'Eplus results'!$1:$1048576,ROW(),FALSE)</f>
        <v>0</v>
      </c>
      <c r="AC4329" s="580">
        <f>HLOOKUP("*"&amp;'Output annual'!$AC$2&amp;'Output annual'!$AD$2&amp;"*FangerPMV(Hourly)",'Eplus results'!$1:$1048576,ROW(),FALSE)</f>
        <v>0</v>
      </c>
      <c r="AD4329" s="580">
        <f t="shared" si="371"/>
        <v>5</v>
      </c>
      <c r="AE4329" s="580">
        <f t="shared" si="372"/>
        <v>2.5</v>
      </c>
      <c r="AF4329" s="580">
        <f t="shared" si="373"/>
        <v>2.5</v>
      </c>
      <c r="AG4329" s="580">
        <f t="shared" si="374"/>
        <v>0</v>
      </c>
      <c r="AH4329" s="580">
        <f t="shared" si="375"/>
        <v>0</v>
      </c>
    </row>
    <row r="4330" spans="28:34">
      <c r="AB4330" s="580">
        <f>HLOOKUP("*"&amp;'Output annual'!$AC$2&amp;'Output annual'!$AD$2&amp;"*Zone People Number Of Occupants [](Hourly)",'Eplus results'!$1:$1048576,ROW(),FALSE)</f>
        <v>0</v>
      </c>
      <c r="AC4330" s="580">
        <f>HLOOKUP("*"&amp;'Output annual'!$AC$2&amp;'Output annual'!$AD$2&amp;"*FangerPMV(Hourly)",'Eplus results'!$1:$1048576,ROW(),FALSE)</f>
        <v>0</v>
      </c>
      <c r="AD4330" s="580">
        <f t="shared" si="371"/>
        <v>5</v>
      </c>
      <c r="AE4330" s="580">
        <f t="shared" si="372"/>
        <v>2.5</v>
      </c>
      <c r="AF4330" s="580">
        <f t="shared" si="373"/>
        <v>2.5</v>
      </c>
      <c r="AG4330" s="580">
        <f t="shared" si="374"/>
        <v>0</v>
      </c>
      <c r="AH4330" s="580">
        <f t="shared" si="375"/>
        <v>0</v>
      </c>
    </row>
    <row r="4331" spans="28:34">
      <c r="AB4331" s="580">
        <f>HLOOKUP("*"&amp;'Output annual'!$AC$2&amp;'Output annual'!$AD$2&amp;"*Zone People Number Of Occupants [](Hourly)",'Eplus results'!$1:$1048576,ROW(),FALSE)</f>
        <v>0</v>
      </c>
      <c r="AC4331" s="580">
        <f>HLOOKUP("*"&amp;'Output annual'!$AC$2&amp;'Output annual'!$AD$2&amp;"*FangerPMV(Hourly)",'Eplus results'!$1:$1048576,ROW(),FALSE)</f>
        <v>0</v>
      </c>
      <c r="AD4331" s="580">
        <f t="shared" si="371"/>
        <v>5</v>
      </c>
      <c r="AE4331" s="580">
        <f t="shared" si="372"/>
        <v>2.5</v>
      </c>
      <c r="AF4331" s="580">
        <f t="shared" si="373"/>
        <v>2.5</v>
      </c>
      <c r="AG4331" s="580">
        <f t="shared" si="374"/>
        <v>0</v>
      </c>
      <c r="AH4331" s="580">
        <f t="shared" si="375"/>
        <v>0</v>
      </c>
    </row>
    <row r="4332" spans="28:34">
      <c r="AB4332" s="580">
        <f>HLOOKUP("*"&amp;'Output annual'!$AC$2&amp;'Output annual'!$AD$2&amp;"*Zone People Number Of Occupants [](Hourly)",'Eplus results'!$1:$1048576,ROW(),FALSE)</f>
        <v>0</v>
      </c>
      <c r="AC4332" s="580">
        <f>HLOOKUP("*"&amp;'Output annual'!$AC$2&amp;'Output annual'!$AD$2&amp;"*FangerPMV(Hourly)",'Eplus results'!$1:$1048576,ROW(),FALSE)</f>
        <v>0</v>
      </c>
      <c r="AD4332" s="580">
        <f t="shared" si="371"/>
        <v>5</v>
      </c>
      <c r="AE4332" s="580">
        <f t="shared" si="372"/>
        <v>2.5</v>
      </c>
      <c r="AF4332" s="580">
        <f t="shared" si="373"/>
        <v>2.5</v>
      </c>
      <c r="AG4332" s="580">
        <f t="shared" si="374"/>
        <v>0</v>
      </c>
      <c r="AH4332" s="580">
        <f t="shared" si="375"/>
        <v>0</v>
      </c>
    </row>
    <row r="4333" spans="28:34">
      <c r="AB4333" s="580">
        <f>HLOOKUP("*"&amp;'Output annual'!$AC$2&amp;'Output annual'!$AD$2&amp;"*Zone People Number Of Occupants [](Hourly)",'Eplus results'!$1:$1048576,ROW(),FALSE)</f>
        <v>0</v>
      </c>
      <c r="AC4333" s="580">
        <f>HLOOKUP("*"&amp;'Output annual'!$AC$2&amp;'Output annual'!$AD$2&amp;"*FangerPMV(Hourly)",'Eplus results'!$1:$1048576,ROW(),FALSE)</f>
        <v>0</v>
      </c>
      <c r="AD4333" s="580">
        <f t="shared" si="371"/>
        <v>5</v>
      </c>
      <c r="AE4333" s="580">
        <f t="shared" si="372"/>
        <v>2.5</v>
      </c>
      <c r="AF4333" s="580">
        <f t="shared" si="373"/>
        <v>2.5</v>
      </c>
      <c r="AG4333" s="580">
        <f t="shared" si="374"/>
        <v>0</v>
      </c>
      <c r="AH4333" s="580">
        <f t="shared" si="375"/>
        <v>0</v>
      </c>
    </row>
    <row r="4334" spans="28:34">
      <c r="AB4334" s="580">
        <f>HLOOKUP("*"&amp;'Output annual'!$AC$2&amp;'Output annual'!$AD$2&amp;"*Zone People Number Of Occupants [](Hourly)",'Eplus results'!$1:$1048576,ROW(),FALSE)</f>
        <v>0</v>
      </c>
      <c r="AC4334" s="580">
        <f>HLOOKUP("*"&amp;'Output annual'!$AC$2&amp;'Output annual'!$AD$2&amp;"*FangerPMV(Hourly)",'Eplus results'!$1:$1048576,ROW(),FALSE)</f>
        <v>0</v>
      </c>
      <c r="AD4334" s="580">
        <f t="shared" si="371"/>
        <v>5</v>
      </c>
      <c r="AE4334" s="580">
        <f t="shared" si="372"/>
        <v>2.5</v>
      </c>
      <c r="AF4334" s="580">
        <f t="shared" si="373"/>
        <v>2.5</v>
      </c>
      <c r="AG4334" s="580">
        <f t="shared" si="374"/>
        <v>0</v>
      </c>
      <c r="AH4334" s="580">
        <f t="shared" si="375"/>
        <v>0</v>
      </c>
    </row>
    <row r="4335" spans="28:34">
      <c r="AB4335" s="580">
        <f>HLOOKUP("*"&amp;'Output annual'!$AC$2&amp;'Output annual'!$AD$2&amp;"*Zone People Number Of Occupants [](Hourly)",'Eplus results'!$1:$1048576,ROW(),FALSE)</f>
        <v>0</v>
      </c>
      <c r="AC4335" s="580">
        <f>HLOOKUP("*"&amp;'Output annual'!$AC$2&amp;'Output annual'!$AD$2&amp;"*FangerPMV(Hourly)",'Eplus results'!$1:$1048576,ROW(),FALSE)</f>
        <v>0</v>
      </c>
      <c r="AD4335" s="580">
        <f t="shared" si="371"/>
        <v>5</v>
      </c>
      <c r="AE4335" s="580">
        <f t="shared" si="372"/>
        <v>2.5</v>
      </c>
      <c r="AF4335" s="580">
        <f t="shared" si="373"/>
        <v>2.5</v>
      </c>
      <c r="AG4335" s="580">
        <f t="shared" si="374"/>
        <v>0</v>
      </c>
      <c r="AH4335" s="580">
        <f t="shared" si="375"/>
        <v>0</v>
      </c>
    </row>
    <row r="4336" spans="28:34">
      <c r="AB4336" s="580">
        <f>HLOOKUP("*"&amp;'Output annual'!$AC$2&amp;'Output annual'!$AD$2&amp;"*Zone People Number Of Occupants [](Hourly)",'Eplus results'!$1:$1048576,ROW(),FALSE)</f>
        <v>0</v>
      </c>
      <c r="AC4336" s="580">
        <f>HLOOKUP("*"&amp;'Output annual'!$AC$2&amp;'Output annual'!$AD$2&amp;"*FangerPMV(Hourly)",'Eplus results'!$1:$1048576,ROW(),FALSE)</f>
        <v>0</v>
      </c>
      <c r="AD4336" s="580">
        <f t="shared" si="371"/>
        <v>5</v>
      </c>
      <c r="AE4336" s="580">
        <f t="shared" si="372"/>
        <v>2.5</v>
      </c>
      <c r="AF4336" s="580">
        <f t="shared" si="373"/>
        <v>2.5</v>
      </c>
      <c r="AG4336" s="580">
        <f t="shared" si="374"/>
        <v>0</v>
      </c>
      <c r="AH4336" s="580">
        <f t="shared" si="375"/>
        <v>0</v>
      </c>
    </row>
    <row r="4337" spans="28:34">
      <c r="AB4337" s="580">
        <f>HLOOKUP("*"&amp;'Output annual'!$AC$2&amp;'Output annual'!$AD$2&amp;"*Zone People Number Of Occupants [](Hourly)",'Eplus results'!$1:$1048576,ROW(),FALSE)</f>
        <v>0</v>
      </c>
      <c r="AC4337" s="580">
        <f>HLOOKUP("*"&amp;'Output annual'!$AC$2&amp;'Output annual'!$AD$2&amp;"*FangerPMV(Hourly)",'Eplus results'!$1:$1048576,ROW(),FALSE)</f>
        <v>0</v>
      </c>
      <c r="AD4337" s="580">
        <f t="shared" si="371"/>
        <v>5</v>
      </c>
      <c r="AE4337" s="580">
        <f t="shared" si="372"/>
        <v>2.5</v>
      </c>
      <c r="AF4337" s="580">
        <f t="shared" si="373"/>
        <v>2.5</v>
      </c>
      <c r="AG4337" s="580">
        <f t="shared" si="374"/>
        <v>0</v>
      </c>
      <c r="AH4337" s="580">
        <f t="shared" si="375"/>
        <v>0</v>
      </c>
    </row>
    <row r="4338" spans="28:34">
      <c r="AB4338" s="580">
        <f>HLOOKUP("*"&amp;'Output annual'!$AC$2&amp;'Output annual'!$AD$2&amp;"*Zone People Number Of Occupants [](Hourly)",'Eplus results'!$1:$1048576,ROW(),FALSE)</f>
        <v>0</v>
      </c>
      <c r="AC4338" s="580">
        <f>HLOOKUP("*"&amp;'Output annual'!$AC$2&amp;'Output annual'!$AD$2&amp;"*FangerPMV(Hourly)",'Eplus results'!$1:$1048576,ROW(),FALSE)</f>
        <v>0</v>
      </c>
      <c r="AD4338" s="580">
        <f t="shared" si="371"/>
        <v>5</v>
      </c>
      <c r="AE4338" s="580">
        <f t="shared" si="372"/>
        <v>2.5</v>
      </c>
      <c r="AF4338" s="580">
        <f t="shared" si="373"/>
        <v>2.5</v>
      </c>
      <c r="AG4338" s="580">
        <f t="shared" si="374"/>
        <v>0</v>
      </c>
      <c r="AH4338" s="580">
        <f t="shared" si="375"/>
        <v>0</v>
      </c>
    </row>
    <row r="4339" spans="28:34">
      <c r="AB4339" s="580">
        <f>HLOOKUP("*"&amp;'Output annual'!$AC$2&amp;'Output annual'!$AD$2&amp;"*Zone People Number Of Occupants [](Hourly)",'Eplus results'!$1:$1048576,ROW(),FALSE)</f>
        <v>0</v>
      </c>
      <c r="AC4339" s="580">
        <f>HLOOKUP("*"&amp;'Output annual'!$AC$2&amp;'Output annual'!$AD$2&amp;"*FangerPMV(Hourly)",'Eplus results'!$1:$1048576,ROW(),FALSE)</f>
        <v>0</v>
      </c>
      <c r="AD4339" s="580">
        <f t="shared" si="371"/>
        <v>5</v>
      </c>
      <c r="AE4339" s="580">
        <f t="shared" si="372"/>
        <v>2.5</v>
      </c>
      <c r="AF4339" s="580">
        <f t="shared" si="373"/>
        <v>2.5</v>
      </c>
      <c r="AG4339" s="580">
        <f t="shared" si="374"/>
        <v>0</v>
      </c>
      <c r="AH4339" s="580">
        <f t="shared" si="375"/>
        <v>0</v>
      </c>
    </row>
    <row r="4340" spans="28:34">
      <c r="AB4340" s="580">
        <f>HLOOKUP("*"&amp;'Output annual'!$AC$2&amp;'Output annual'!$AD$2&amp;"*Zone People Number Of Occupants [](Hourly)",'Eplus results'!$1:$1048576,ROW(),FALSE)</f>
        <v>0</v>
      </c>
      <c r="AC4340" s="580">
        <f>HLOOKUP("*"&amp;'Output annual'!$AC$2&amp;'Output annual'!$AD$2&amp;"*FangerPMV(Hourly)",'Eplus results'!$1:$1048576,ROW(),FALSE)</f>
        <v>0</v>
      </c>
      <c r="AD4340" s="580">
        <f t="shared" si="371"/>
        <v>5</v>
      </c>
      <c r="AE4340" s="580">
        <f t="shared" si="372"/>
        <v>2.5</v>
      </c>
      <c r="AF4340" s="580">
        <f t="shared" si="373"/>
        <v>2.5</v>
      </c>
      <c r="AG4340" s="580">
        <f t="shared" si="374"/>
        <v>0</v>
      </c>
      <c r="AH4340" s="580">
        <f t="shared" si="375"/>
        <v>0</v>
      </c>
    </row>
    <row r="4341" spans="28:34">
      <c r="AB4341" s="580">
        <f>HLOOKUP("*"&amp;'Output annual'!$AC$2&amp;'Output annual'!$AD$2&amp;"*Zone People Number Of Occupants [](Hourly)",'Eplus results'!$1:$1048576,ROW(),FALSE)</f>
        <v>0</v>
      </c>
      <c r="AC4341" s="580">
        <f>HLOOKUP("*"&amp;'Output annual'!$AC$2&amp;'Output annual'!$AD$2&amp;"*FangerPMV(Hourly)",'Eplus results'!$1:$1048576,ROW(),FALSE)</f>
        <v>0</v>
      </c>
      <c r="AD4341" s="580">
        <f t="shared" si="371"/>
        <v>5</v>
      </c>
      <c r="AE4341" s="580">
        <f t="shared" si="372"/>
        <v>2.5</v>
      </c>
      <c r="AF4341" s="580">
        <f t="shared" si="373"/>
        <v>2.5</v>
      </c>
      <c r="AG4341" s="580">
        <f t="shared" si="374"/>
        <v>0</v>
      </c>
      <c r="AH4341" s="580">
        <f t="shared" si="375"/>
        <v>0</v>
      </c>
    </row>
    <row r="4342" spans="28:34">
      <c r="AB4342" s="580">
        <f>HLOOKUP("*"&amp;'Output annual'!$AC$2&amp;'Output annual'!$AD$2&amp;"*Zone People Number Of Occupants [](Hourly)",'Eplus results'!$1:$1048576,ROW(),FALSE)</f>
        <v>0</v>
      </c>
      <c r="AC4342" s="580">
        <f>HLOOKUP("*"&amp;'Output annual'!$AC$2&amp;'Output annual'!$AD$2&amp;"*FangerPMV(Hourly)",'Eplus results'!$1:$1048576,ROW(),FALSE)</f>
        <v>0</v>
      </c>
      <c r="AD4342" s="580">
        <f t="shared" si="371"/>
        <v>5</v>
      </c>
      <c r="AE4342" s="580">
        <f t="shared" si="372"/>
        <v>2.5</v>
      </c>
      <c r="AF4342" s="580">
        <f t="shared" si="373"/>
        <v>2.5</v>
      </c>
      <c r="AG4342" s="580">
        <f t="shared" si="374"/>
        <v>0</v>
      </c>
      <c r="AH4342" s="580">
        <f t="shared" si="375"/>
        <v>0</v>
      </c>
    </row>
    <row r="4343" spans="28:34">
      <c r="AB4343" s="580">
        <f>HLOOKUP("*"&amp;'Output annual'!$AC$2&amp;'Output annual'!$AD$2&amp;"*Zone People Number Of Occupants [](Hourly)",'Eplus results'!$1:$1048576,ROW(),FALSE)</f>
        <v>0</v>
      </c>
      <c r="AC4343" s="580">
        <f>HLOOKUP("*"&amp;'Output annual'!$AC$2&amp;'Output annual'!$AD$2&amp;"*FangerPMV(Hourly)",'Eplus results'!$1:$1048576,ROW(),FALSE)</f>
        <v>0</v>
      </c>
      <c r="AD4343" s="580">
        <f t="shared" si="371"/>
        <v>5</v>
      </c>
      <c r="AE4343" s="580">
        <f t="shared" si="372"/>
        <v>2.5</v>
      </c>
      <c r="AF4343" s="580">
        <f t="shared" si="373"/>
        <v>2.5</v>
      </c>
      <c r="AG4343" s="580">
        <f t="shared" si="374"/>
        <v>0</v>
      </c>
      <c r="AH4343" s="580">
        <f t="shared" si="375"/>
        <v>0</v>
      </c>
    </row>
    <row r="4344" spans="28:34">
      <c r="AB4344" s="580">
        <f>HLOOKUP("*"&amp;'Output annual'!$AC$2&amp;'Output annual'!$AD$2&amp;"*Zone People Number Of Occupants [](Hourly)",'Eplus results'!$1:$1048576,ROW(),FALSE)</f>
        <v>0</v>
      </c>
      <c r="AC4344" s="580">
        <f>HLOOKUP("*"&amp;'Output annual'!$AC$2&amp;'Output annual'!$AD$2&amp;"*FangerPMV(Hourly)",'Eplus results'!$1:$1048576,ROW(),FALSE)</f>
        <v>0</v>
      </c>
      <c r="AD4344" s="580">
        <f t="shared" si="371"/>
        <v>5</v>
      </c>
      <c r="AE4344" s="580">
        <f t="shared" si="372"/>
        <v>2.5</v>
      </c>
      <c r="AF4344" s="580">
        <f t="shared" si="373"/>
        <v>2.5</v>
      </c>
      <c r="AG4344" s="580">
        <f t="shared" si="374"/>
        <v>0</v>
      </c>
      <c r="AH4344" s="580">
        <f t="shared" si="375"/>
        <v>0</v>
      </c>
    </row>
    <row r="4345" spans="28:34">
      <c r="AB4345" s="580">
        <f>HLOOKUP("*"&amp;'Output annual'!$AC$2&amp;'Output annual'!$AD$2&amp;"*Zone People Number Of Occupants [](Hourly)",'Eplus results'!$1:$1048576,ROW(),FALSE)</f>
        <v>0</v>
      </c>
      <c r="AC4345" s="580">
        <f>HLOOKUP("*"&amp;'Output annual'!$AC$2&amp;'Output annual'!$AD$2&amp;"*FangerPMV(Hourly)",'Eplus results'!$1:$1048576,ROW(),FALSE)</f>
        <v>0</v>
      </c>
      <c r="AD4345" s="580">
        <f t="shared" si="371"/>
        <v>5</v>
      </c>
      <c r="AE4345" s="580">
        <f t="shared" si="372"/>
        <v>2.5</v>
      </c>
      <c r="AF4345" s="580">
        <f t="shared" si="373"/>
        <v>2.5</v>
      </c>
      <c r="AG4345" s="580">
        <f t="shared" si="374"/>
        <v>0</v>
      </c>
      <c r="AH4345" s="580">
        <f t="shared" si="375"/>
        <v>0</v>
      </c>
    </row>
    <row r="4346" spans="28:34">
      <c r="AB4346" s="580">
        <f>HLOOKUP("*"&amp;'Output annual'!$AC$2&amp;'Output annual'!$AD$2&amp;"*Zone People Number Of Occupants [](Hourly)",'Eplus results'!$1:$1048576,ROW(),FALSE)</f>
        <v>0</v>
      </c>
      <c r="AC4346" s="580">
        <f>HLOOKUP("*"&amp;'Output annual'!$AC$2&amp;'Output annual'!$AD$2&amp;"*FangerPMV(Hourly)",'Eplus results'!$1:$1048576,ROW(),FALSE)</f>
        <v>0</v>
      </c>
      <c r="AD4346" s="580">
        <f t="shared" si="371"/>
        <v>5</v>
      </c>
      <c r="AE4346" s="580">
        <f t="shared" si="372"/>
        <v>2.5</v>
      </c>
      <c r="AF4346" s="580">
        <f t="shared" si="373"/>
        <v>2.5</v>
      </c>
      <c r="AG4346" s="580">
        <f t="shared" si="374"/>
        <v>0</v>
      </c>
      <c r="AH4346" s="580">
        <f t="shared" si="375"/>
        <v>0</v>
      </c>
    </row>
    <row r="4347" spans="28:34">
      <c r="AB4347" s="580">
        <f>HLOOKUP("*"&amp;'Output annual'!$AC$2&amp;'Output annual'!$AD$2&amp;"*Zone People Number Of Occupants [](Hourly)",'Eplus results'!$1:$1048576,ROW(),FALSE)</f>
        <v>0</v>
      </c>
      <c r="AC4347" s="580">
        <f>HLOOKUP("*"&amp;'Output annual'!$AC$2&amp;'Output annual'!$AD$2&amp;"*FangerPMV(Hourly)",'Eplus results'!$1:$1048576,ROW(),FALSE)</f>
        <v>0</v>
      </c>
      <c r="AD4347" s="580">
        <f t="shared" si="371"/>
        <v>5</v>
      </c>
      <c r="AE4347" s="580">
        <f t="shared" si="372"/>
        <v>2.5</v>
      </c>
      <c r="AF4347" s="580">
        <f t="shared" si="373"/>
        <v>2.5</v>
      </c>
      <c r="AG4347" s="580">
        <f t="shared" si="374"/>
        <v>0</v>
      </c>
      <c r="AH4347" s="580">
        <f t="shared" si="375"/>
        <v>0</v>
      </c>
    </row>
    <row r="4348" spans="28:34">
      <c r="AB4348" s="580">
        <f>HLOOKUP("*"&amp;'Output annual'!$AC$2&amp;'Output annual'!$AD$2&amp;"*Zone People Number Of Occupants [](Hourly)",'Eplus results'!$1:$1048576,ROW(),FALSE)</f>
        <v>0</v>
      </c>
      <c r="AC4348" s="580">
        <f>HLOOKUP("*"&amp;'Output annual'!$AC$2&amp;'Output annual'!$AD$2&amp;"*FangerPMV(Hourly)",'Eplus results'!$1:$1048576,ROW(),FALSE)</f>
        <v>0</v>
      </c>
      <c r="AD4348" s="580">
        <f t="shared" si="371"/>
        <v>5</v>
      </c>
      <c r="AE4348" s="580">
        <f t="shared" si="372"/>
        <v>2.5</v>
      </c>
      <c r="AF4348" s="580">
        <f t="shared" si="373"/>
        <v>2.5</v>
      </c>
      <c r="AG4348" s="580">
        <f t="shared" si="374"/>
        <v>0</v>
      </c>
      <c r="AH4348" s="580">
        <f t="shared" si="375"/>
        <v>0</v>
      </c>
    </row>
    <row r="4349" spans="28:34">
      <c r="AB4349" s="580">
        <f>HLOOKUP("*"&amp;'Output annual'!$AC$2&amp;'Output annual'!$AD$2&amp;"*Zone People Number Of Occupants [](Hourly)",'Eplus results'!$1:$1048576,ROW(),FALSE)</f>
        <v>0</v>
      </c>
      <c r="AC4349" s="580">
        <f>HLOOKUP("*"&amp;'Output annual'!$AC$2&amp;'Output annual'!$AD$2&amp;"*FangerPMV(Hourly)",'Eplus results'!$1:$1048576,ROW(),FALSE)</f>
        <v>0</v>
      </c>
      <c r="AD4349" s="580">
        <f t="shared" si="371"/>
        <v>5</v>
      </c>
      <c r="AE4349" s="580">
        <f t="shared" si="372"/>
        <v>2.5</v>
      </c>
      <c r="AF4349" s="580">
        <f t="shared" si="373"/>
        <v>2.5</v>
      </c>
      <c r="AG4349" s="580">
        <f t="shared" si="374"/>
        <v>0</v>
      </c>
      <c r="AH4349" s="580">
        <f t="shared" si="375"/>
        <v>0</v>
      </c>
    </row>
    <row r="4350" spans="28:34">
      <c r="AB4350" s="580">
        <f>HLOOKUP("*"&amp;'Output annual'!$AC$2&amp;'Output annual'!$AD$2&amp;"*Zone People Number Of Occupants [](Hourly)",'Eplus results'!$1:$1048576,ROW(),FALSE)</f>
        <v>0</v>
      </c>
      <c r="AC4350" s="580">
        <f>HLOOKUP("*"&amp;'Output annual'!$AC$2&amp;'Output annual'!$AD$2&amp;"*FangerPMV(Hourly)",'Eplus results'!$1:$1048576,ROW(),FALSE)</f>
        <v>0</v>
      </c>
      <c r="AD4350" s="580">
        <f t="shared" si="371"/>
        <v>5</v>
      </c>
      <c r="AE4350" s="580">
        <f t="shared" si="372"/>
        <v>2.5</v>
      </c>
      <c r="AF4350" s="580">
        <f t="shared" si="373"/>
        <v>2.5</v>
      </c>
      <c r="AG4350" s="580">
        <f t="shared" si="374"/>
        <v>0</v>
      </c>
      <c r="AH4350" s="580">
        <f t="shared" si="375"/>
        <v>0</v>
      </c>
    </row>
    <row r="4351" spans="28:34">
      <c r="AB4351" s="580">
        <f>HLOOKUP("*"&amp;'Output annual'!$AC$2&amp;'Output annual'!$AD$2&amp;"*Zone People Number Of Occupants [](Hourly)",'Eplus results'!$1:$1048576,ROW(),FALSE)</f>
        <v>0</v>
      </c>
      <c r="AC4351" s="580">
        <f>HLOOKUP("*"&amp;'Output annual'!$AC$2&amp;'Output annual'!$AD$2&amp;"*FangerPMV(Hourly)",'Eplus results'!$1:$1048576,ROW(),FALSE)</f>
        <v>0</v>
      </c>
      <c r="AD4351" s="580">
        <f t="shared" si="371"/>
        <v>5</v>
      </c>
      <c r="AE4351" s="580">
        <f t="shared" si="372"/>
        <v>2.5</v>
      </c>
      <c r="AF4351" s="580">
        <f t="shared" si="373"/>
        <v>2.5</v>
      </c>
      <c r="AG4351" s="580">
        <f t="shared" si="374"/>
        <v>0</v>
      </c>
      <c r="AH4351" s="580">
        <f t="shared" si="375"/>
        <v>0</v>
      </c>
    </row>
    <row r="4352" spans="28:34">
      <c r="AB4352" s="580">
        <f>HLOOKUP("*"&amp;'Output annual'!$AC$2&amp;'Output annual'!$AD$2&amp;"*Zone People Number Of Occupants [](Hourly)",'Eplus results'!$1:$1048576,ROW(),FALSE)</f>
        <v>0</v>
      </c>
      <c r="AC4352" s="580">
        <f>HLOOKUP("*"&amp;'Output annual'!$AC$2&amp;'Output annual'!$AD$2&amp;"*FangerPMV(Hourly)",'Eplus results'!$1:$1048576,ROW(),FALSE)</f>
        <v>0</v>
      </c>
      <c r="AD4352" s="580">
        <f t="shared" si="371"/>
        <v>5</v>
      </c>
      <c r="AE4352" s="580">
        <f t="shared" si="372"/>
        <v>2.5</v>
      </c>
      <c r="AF4352" s="580">
        <f t="shared" si="373"/>
        <v>2.5</v>
      </c>
      <c r="AG4352" s="580">
        <f t="shared" si="374"/>
        <v>0</v>
      </c>
      <c r="AH4352" s="580">
        <f t="shared" si="375"/>
        <v>0</v>
      </c>
    </row>
    <row r="4353" spans="28:34">
      <c r="AB4353" s="580">
        <f>HLOOKUP("*"&amp;'Output annual'!$AC$2&amp;'Output annual'!$AD$2&amp;"*Zone People Number Of Occupants [](Hourly)",'Eplus results'!$1:$1048576,ROW(),FALSE)</f>
        <v>0</v>
      </c>
      <c r="AC4353" s="580">
        <f>HLOOKUP("*"&amp;'Output annual'!$AC$2&amp;'Output annual'!$AD$2&amp;"*FangerPMV(Hourly)",'Eplus results'!$1:$1048576,ROW(),FALSE)</f>
        <v>0</v>
      </c>
      <c r="AD4353" s="580">
        <f t="shared" si="371"/>
        <v>5</v>
      </c>
      <c r="AE4353" s="580">
        <f t="shared" si="372"/>
        <v>2.5</v>
      </c>
      <c r="AF4353" s="580">
        <f t="shared" si="373"/>
        <v>2.5</v>
      </c>
      <c r="AG4353" s="580">
        <f t="shared" si="374"/>
        <v>0</v>
      </c>
      <c r="AH4353" s="580">
        <f t="shared" si="375"/>
        <v>0</v>
      </c>
    </row>
    <row r="4354" spans="28:34">
      <c r="AB4354" s="580">
        <f>HLOOKUP("*"&amp;'Output annual'!$AC$2&amp;'Output annual'!$AD$2&amp;"*Zone People Number Of Occupants [](Hourly)",'Eplus results'!$1:$1048576,ROW(),FALSE)</f>
        <v>0</v>
      </c>
      <c r="AC4354" s="580">
        <f>HLOOKUP("*"&amp;'Output annual'!$AC$2&amp;'Output annual'!$AD$2&amp;"*FangerPMV(Hourly)",'Eplus results'!$1:$1048576,ROW(),FALSE)</f>
        <v>0</v>
      </c>
      <c r="AD4354" s="580">
        <f t="shared" si="371"/>
        <v>5</v>
      </c>
      <c r="AE4354" s="580">
        <f t="shared" si="372"/>
        <v>2.5</v>
      </c>
      <c r="AF4354" s="580">
        <f t="shared" si="373"/>
        <v>2.5</v>
      </c>
      <c r="AG4354" s="580">
        <f t="shared" si="374"/>
        <v>0</v>
      </c>
      <c r="AH4354" s="580">
        <f t="shared" si="375"/>
        <v>0</v>
      </c>
    </row>
    <row r="4355" spans="28:34">
      <c r="AB4355" s="580">
        <f>HLOOKUP("*"&amp;'Output annual'!$AC$2&amp;'Output annual'!$AD$2&amp;"*Zone People Number Of Occupants [](Hourly)",'Eplus results'!$1:$1048576,ROW(),FALSE)</f>
        <v>0</v>
      </c>
      <c r="AC4355" s="580">
        <f>HLOOKUP("*"&amp;'Output annual'!$AC$2&amp;'Output annual'!$AD$2&amp;"*FangerPMV(Hourly)",'Eplus results'!$1:$1048576,ROW(),FALSE)</f>
        <v>0</v>
      </c>
      <c r="AD4355" s="580">
        <f t="shared" ref="AD4355:AD4418" si="376">100-95*EXP(-0.03353*AC4355^4-0.2179*AC4355^2)</f>
        <v>5</v>
      </c>
      <c r="AE4355" s="580">
        <f t="shared" ref="AE4355:AE4418" si="377">AD4355*(1/(1+EXP(-6.3*$AC4355)))</f>
        <v>2.5</v>
      </c>
      <c r="AF4355" s="580">
        <f t="shared" ref="AF4355:AF4418" si="378">(AD4355-AE4355)</f>
        <v>2.5</v>
      </c>
      <c r="AG4355" s="580">
        <f t="shared" ref="AG4355:AG4418" si="379">AE4355*AB4355</f>
        <v>0</v>
      </c>
      <c r="AH4355" s="580">
        <f t="shared" ref="AH4355:AH4418" si="380">AF4355*AB4355</f>
        <v>0</v>
      </c>
    </row>
    <row r="4356" spans="28:34">
      <c r="AB4356" s="580">
        <f>HLOOKUP("*"&amp;'Output annual'!$AC$2&amp;'Output annual'!$AD$2&amp;"*Zone People Number Of Occupants [](Hourly)",'Eplus results'!$1:$1048576,ROW(),FALSE)</f>
        <v>0</v>
      </c>
      <c r="AC4356" s="580">
        <f>HLOOKUP("*"&amp;'Output annual'!$AC$2&amp;'Output annual'!$AD$2&amp;"*FangerPMV(Hourly)",'Eplus results'!$1:$1048576,ROW(),FALSE)</f>
        <v>0</v>
      </c>
      <c r="AD4356" s="580">
        <f t="shared" si="376"/>
        <v>5</v>
      </c>
      <c r="AE4356" s="580">
        <f t="shared" si="377"/>
        <v>2.5</v>
      </c>
      <c r="AF4356" s="580">
        <f t="shared" si="378"/>
        <v>2.5</v>
      </c>
      <c r="AG4356" s="580">
        <f t="shared" si="379"/>
        <v>0</v>
      </c>
      <c r="AH4356" s="580">
        <f t="shared" si="380"/>
        <v>0</v>
      </c>
    </row>
    <row r="4357" spans="28:34">
      <c r="AB4357" s="580">
        <f>HLOOKUP("*"&amp;'Output annual'!$AC$2&amp;'Output annual'!$AD$2&amp;"*Zone People Number Of Occupants [](Hourly)",'Eplus results'!$1:$1048576,ROW(),FALSE)</f>
        <v>0</v>
      </c>
      <c r="AC4357" s="580">
        <f>HLOOKUP("*"&amp;'Output annual'!$AC$2&amp;'Output annual'!$AD$2&amp;"*FangerPMV(Hourly)",'Eplus results'!$1:$1048576,ROW(),FALSE)</f>
        <v>0</v>
      </c>
      <c r="AD4357" s="580">
        <f t="shared" si="376"/>
        <v>5</v>
      </c>
      <c r="AE4357" s="580">
        <f t="shared" si="377"/>
        <v>2.5</v>
      </c>
      <c r="AF4357" s="580">
        <f t="shared" si="378"/>
        <v>2.5</v>
      </c>
      <c r="AG4357" s="580">
        <f t="shared" si="379"/>
        <v>0</v>
      </c>
      <c r="AH4357" s="580">
        <f t="shared" si="380"/>
        <v>0</v>
      </c>
    </row>
    <row r="4358" spans="28:34">
      <c r="AB4358" s="580">
        <f>HLOOKUP("*"&amp;'Output annual'!$AC$2&amp;'Output annual'!$AD$2&amp;"*Zone People Number Of Occupants [](Hourly)",'Eplus results'!$1:$1048576,ROW(),FALSE)</f>
        <v>0</v>
      </c>
      <c r="AC4358" s="580">
        <f>HLOOKUP("*"&amp;'Output annual'!$AC$2&amp;'Output annual'!$AD$2&amp;"*FangerPMV(Hourly)",'Eplus results'!$1:$1048576,ROW(),FALSE)</f>
        <v>0</v>
      </c>
      <c r="AD4358" s="580">
        <f t="shared" si="376"/>
        <v>5</v>
      </c>
      <c r="AE4358" s="580">
        <f t="shared" si="377"/>
        <v>2.5</v>
      </c>
      <c r="AF4358" s="580">
        <f t="shared" si="378"/>
        <v>2.5</v>
      </c>
      <c r="AG4358" s="580">
        <f t="shared" si="379"/>
        <v>0</v>
      </c>
      <c r="AH4358" s="580">
        <f t="shared" si="380"/>
        <v>0</v>
      </c>
    </row>
    <row r="4359" spans="28:34">
      <c r="AB4359" s="580">
        <f>HLOOKUP("*"&amp;'Output annual'!$AC$2&amp;'Output annual'!$AD$2&amp;"*Zone People Number Of Occupants [](Hourly)",'Eplus results'!$1:$1048576,ROW(),FALSE)</f>
        <v>0</v>
      </c>
      <c r="AC4359" s="580">
        <f>HLOOKUP("*"&amp;'Output annual'!$AC$2&amp;'Output annual'!$AD$2&amp;"*FangerPMV(Hourly)",'Eplus results'!$1:$1048576,ROW(),FALSE)</f>
        <v>0</v>
      </c>
      <c r="AD4359" s="580">
        <f t="shared" si="376"/>
        <v>5</v>
      </c>
      <c r="AE4359" s="580">
        <f t="shared" si="377"/>
        <v>2.5</v>
      </c>
      <c r="AF4359" s="580">
        <f t="shared" si="378"/>
        <v>2.5</v>
      </c>
      <c r="AG4359" s="580">
        <f t="shared" si="379"/>
        <v>0</v>
      </c>
      <c r="AH4359" s="580">
        <f t="shared" si="380"/>
        <v>0</v>
      </c>
    </row>
    <row r="4360" spans="28:34">
      <c r="AB4360" s="580">
        <f>HLOOKUP("*"&amp;'Output annual'!$AC$2&amp;'Output annual'!$AD$2&amp;"*Zone People Number Of Occupants [](Hourly)",'Eplus results'!$1:$1048576,ROW(),FALSE)</f>
        <v>0</v>
      </c>
      <c r="AC4360" s="580">
        <f>HLOOKUP("*"&amp;'Output annual'!$AC$2&amp;'Output annual'!$AD$2&amp;"*FangerPMV(Hourly)",'Eplus results'!$1:$1048576,ROW(),FALSE)</f>
        <v>0</v>
      </c>
      <c r="AD4360" s="580">
        <f t="shared" si="376"/>
        <v>5</v>
      </c>
      <c r="AE4360" s="580">
        <f t="shared" si="377"/>
        <v>2.5</v>
      </c>
      <c r="AF4360" s="580">
        <f t="shared" si="378"/>
        <v>2.5</v>
      </c>
      <c r="AG4360" s="580">
        <f t="shared" si="379"/>
        <v>0</v>
      </c>
      <c r="AH4360" s="580">
        <f t="shared" si="380"/>
        <v>0</v>
      </c>
    </row>
    <row r="4361" spans="28:34">
      <c r="AB4361" s="580">
        <f>HLOOKUP("*"&amp;'Output annual'!$AC$2&amp;'Output annual'!$AD$2&amp;"*Zone People Number Of Occupants [](Hourly)",'Eplus results'!$1:$1048576,ROW(),FALSE)</f>
        <v>0</v>
      </c>
      <c r="AC4361" s="580">
        <f>HLOOKUP("*"&amp;'Output annual'!$AC$2&amp;'Output annual'!$AD$2&amp;"*FangerPMV(Hourly)",'Eplus results'!$1:$1048576,ROW(),FALSE)</f>
        <v>0</v>
      </c>
      <c r="AD4361" s="580">
        <f t="shared" si="376"/>
        <v>5</v>
      </c>
      <c r="AE4361" s="580">
        <f t="shared" si="377"/>
        <v>2.5</v>
      </c>
      <c r="AF4361" s="580">
        <f t="shared" si="378"/>
        <v>2.5</v>
      </c>
      <c r="AG4361" s="580">
        <f t="shared" si="379"/>
        <v>0</v>
      </c>
      <c r="AH4361" s="580">
        <f t="shared" si="380"/>
        <v>0</v>
      </c>
    </row>
    <row r="4362" spans="28:34">
      <c r="AB4362" s="580">
        <f>HLOOKUP("*"&amp;'Output annual'!$AC$2&amp;'Output annual'!$AD$2&amp;"*Zone People Number Of Occupants [](Hourly)",'Eplus results'!$1:$1048576,ROW(),FALSE)</f>
        <v>0</v>
      </c>
      <c r="AC4362" s="580">
        <f>HLOOKUP("*"&amp;'Output annual'!$AC$2&amp;'Output annual'!$AD$2&amp;"*FangerPMV(Hourly)",'Eplus results'!$1:$1048576,ROW(),FALSE)</f>
        <v>0</v>
      </c>
      <c r="AD4362" s="580">
        <f t="shared" si="376"/>
        <v>5</v>
      </c>
      <c r="AE4362" s="580">
        <f t="shared" si="377"/>
        <v>2.5</v>
      </c>
      <c r="AF4362" s="580">
        <f t="shared" si="378"/>
        <v>2.5</v>
      </c>
      <c r="AG4362" s="580">
        <f t="shared" si="379"/>
        <v>0</v>
      </c>
      <c r="AH4362" s="580">
        <f t="shared" si="380"/>
        <v>0</v>
      </c>
    </row>
    <row r="4363" spans="28:34">
      <c r="AB4363" s="580">
        <f>HLOOKUP("*"&amp;'Output annual'!$AC$2&amp;'Output annual'!$AD$2&amp;"*Zone People Number Of Occupants [](Hourly)",'Eplus results'!$1:$1048576,ROW(),FALSE)</f>
        <v>0</v>
      </c>
      <c r="AC4363" s="580">
        <f>HLOOKUP("*"&amp;'Output annual'!$AC$2&amp;'Output annual'!$AD$2&amp;"*FangerPMV(Hourly)",'Eplus results'!$1:$1048576,ROW(),FALSE)</f>
        <v>0</v>
      </c>
      <c r="AD4363" s="580">
        <f t="shared" si="376"/>
        <v>5</v>
      </c>
      <c r="AE4363" s="580">
        <f t="shared" si="377"/>
        <v>2.5</v>
      </c>
      <c r="AF4363" s="580">
        <f t="shared" si="378"/>
        <v>2.5</v>
      </c>
      <c r="AG4363" s="580">
        <f t="shared" si="379"/>
        <v>0</v>
      </c>
      <c r="AH4363" s="580">
        <f t="shared" si="380"/>
        <v>0</v>
      </c>
    </row>
    <row r="4364" spans="28:34">
      <c r="AB4364" s="580">
        <f>HLOOKUP("*"&amp;'Output annual'!$AC$2&amp;'Output annual'!$AD$2&amp;"*Zone People Number Of Occupants [](Hourly)",'Eplus results'!$1:$1048576,ROW(),FALSE)</f>
        <v>0</v>
      </c>
      <c r="AC4364" s="580">
        <f>HLOOKUP("*"&amp;'Output annual'!$AC$2&amp;'Output annual'!$AD$2&amp;"*FangerPMV(Hourly)",'Eplus results'!$1:$1048576,ROW(),FALSE)</f>
        <v>0</v>
      </c>
      <c r="AD4364" s="580">
        <f t="shared" si="376"/>
        <v>5</v>
      </c>
      <c r="AE4364" s="580">
        <f t="shared" si="377"/>
        <v>2.5</v>
      </c>
      <c r="AF4364" s="580">
        <f t="shared" si="378"/>
        <v>2.5</v>
      </c>
      <c r="AG4364" s="580">
        <f t="shared" si="379"/>
        <v>0</v>
      </c>
      <c r="AH4364" s="580">
        <f t="shared" si="380"/>
        <v>0</v>
      </c>
    </row>
    <row r="4365" spans="28:34">
      <c r="AB4365" s="580">
        <f>HLOOKUP("*"&amp;'Output annual'!$AC$2&amp;'Output annual'!$AD$2&amp;"*Zone People Number Of Occupants [](Hourly)",'Eplus results'!$1:$1048576,ROW(),FALSE)</f>
        <v>0</v>
      </c>
      <c r="AC4365" s="580">
        <f>HLOOKUP("*"&amp;'Output annual'!$AC$2&amp;'Output annual'!$AD$2&amp;"*FangerPMV(Hourly)",'Eplus results'!$1:$1048576,ROW(),FALSE)</f>
        <v>0</v>
      </c>
      <c r="AD4365" s="580">
        <f t="shared" si="376"/>
        <v>5</v>
      </c>
      <c r="AE4365" s="580">
        <f t="shared" si="377"/>
        <v>2.5</v>
      </c>
      <c r="AF4365" s="580">
        <f t="shared" si="378"/>
        <v>2.5</v>
      </c>
      <c r="AG4365" s="580">
        <f t="shared" si="379"/>
        <v>0</v>
      </c>
      <c r="AH4365" s="580">
        <f t="shared" si="380"/>
        <v>0</v>
      </c>
    </row>
    <row r="4366" spans="28:34">
      <c r="AB4366" s="580">
        <f>HLOOKUP("*"&amp;'Output annual'!$AC$2&amp;'Output annual'!$AD$2&amp;"*Zone People Number Of Occupants [](Hourly)",'Eplus results'!$1:$1048576,ROW(),FALSE)</f>
        <v>0</v>
      </c>
      <c r="AC4366" s="580">
        <f>HLOOKUP("*"&amp;'Output annual'!$AC$2&amp;'Output annual'!$AD$2&amp;"*FangerPMV(Hourly)",'Eplus results'!$1:$1048576,ROW(),FALSE)</f>
        <v>0</v>
      </c>
      <c r="AD4366" s="580">
        <f t="shared" si="376"/>
        <v>5</v>
      </c>
      <c r="AE4366" s="580">
        <f t="shared" si="377"/>
        <v>2.5</v>
      </c>
      <c r="AF4366" s="580">
        <f t="shared" si="378"/>
        <v>2.5</v>
      </c>
      <c r="AG4366" s="580">
        <f t="shared" si="379"/>
        <v>0</v>
      </c>
      <c r="AH4366" s="580">
        <f t="shared" si="380"/>
        <v>0</v>
      </c>
    </row>
    <row r="4367" spans="28:34">
      <c r="AB4367" s="580">
        <f>HLOOKUP("*"&amp;'Output annual'!$AC$2&amp;'Output annual'!$AD$2&amp;"*Zone People Number Of Occupants [](Hourly)",'Eplus results'!$1:$1048576,ROW(),FALSE)</f>
        <v>0</v>
      </c>
      <c r="AC4367" s="580">
        <f>HLOOKUP("*"&amp;'Output annual'!$AC$2&amp;'Output annual'!$AD$2&amp;"*FangerPMV(Hourly)",'Eplus results'!$1:$1048576,ROW(),FALSE)</f>
        <v>0</v>
      </c>
      <c r="AD4367" s="580">
        <f t="shared" si="376"/>
        <v>5</v>
      </c>
      <c r="AE4367" s="580">
        <f t="shared" si="377"/>
        <v>2.5</v>
      </c>
      <c r="AF4367" s="580">
        <f t="shared" si="378"/>
        <v>2.5</v>
      </c>
      <c r="AG4367" s="580">
        <f t="shared" si="379"/>
        <v>0</v>
      </c>
      <c r="AH4367" s="580">
        <f t="shared" si="380"/>
        <v>0</v>
      </c>
    </row>
    <row r="4368" spans="28:34">
      <c r="AB4368" s="580">
        <f>HLOOKUP("*"&amp;'Output annual'!$AC$2&amp;'Output annual'!$AD$2&amp;"*Zone People Number Of Occupants [](Hourly)",'Eplus results'!$1:$1048576,ROW(),FALSE)</f>
        <v>0</v>
      </c>
      <c r="AC4368" s="580">
        <f>HLOOKUP("*"&amp;'Output annual'!$AC$2&amp;'Output annual'!$AD$2&amp;"*FangerPMV(Hourly)",'Eplus results'!$1:$1048576,ROW(),FALSE)</f>
        <v>0</v>
      </c>
      <c r="AD4368" s="580">
        <f t="shared" si="376"/>
        <v>5</v>
      </c>
      <c r="AE4368" s="580">
        <f t="shared" si="377"/>
        <v>2.5</v>
      </c>
      <c r="AF4368" s="580">
        <f t="shared" si="378"/>
        <v>2.5</v>
      </c>
      <c r="AG4368" s="580">
        <f t="shared" si="379"/>
        <v>0</v>
      </c>
      <c r="AH4368" s="580">
        <f t="shared" si="380"/>
        <v>0</v>
      </c>
    </row>
    <row r="4369" spans="28:34">
      <c r="AB4369" s="580">
        <f>HLOOKUP("*"&amp;'Output annual'!$AC$2&amp;'Output annual'!$AD$2&amp;"*Zone People Number Of Occupants [](Hourly)",'Eplus results'!$1:$1048576,ROW(),FALSE)</f>
        <v>0</v>
      </c>
      <c r="AC4369" s="580">
        <f>HLOOKUP("*"&amp;'Output annual'!$AC$2&amp;'Output annual'!$AD$2&amp;"*FangerPMV(Hourly)",'Eplus results'!$1:$1048576,ROW(),FALSE)</f>
        <v>0</v>
      </c>
      <c r="AD4369" s="580">
        <f t="shared" si="376"/>
        <v>5</v>
      </c>
      <c r="AE4369" s="580">
        <f t="shared" si="377"/>
        <v>2.5</v>
      </c>
      <c r="AF4369" s="580">
        <f t="shared" si="378"/>
        <v>2.5</v>
      </c>
      <c r="AG4369" s="580">
        <f t="shared" si="379"/>
        <v>0</v>
      </c>
      <c r="AH4369" s="580">
        <f t="shared" si="380"/>
        <v>0</v>
      </c>
    </row>
    <row r="4370" spans="28:34">
      <c r="AB4370" s="580">
        <f>HLOOKUP("*"&amp;'Output annual'!$AC$2&amp;'Output annual'!$AD$2&amp;"*Zone People Number Of Occupants [](Hourly)",'Eplus results'!$1:$1048576,ROW(),FALSE)</f>
        <v>0</v>
      </c>
      <c r="AC4370" s="580">
        <f>HLOOKUP("*"&amp;'Output annual'!$AC$2&amp;'Output annual'!$AD$2&amp;"*FangerPMV(Hourly)",'Eplus results'!$1:$1048576,ROW(),FALSE)</f>
        <v>0</v>
      </c>
      <c r="AD4370" s="580">
        <f t="shared" si="376"/>
        <v>5</v>
      </c>
      <c r="AE4370" s="580">
        <f t="shared" si="377"/>
        <v>2.5</v>
      </c>
      <c r="AF4370" s="580">
        <f t="shared" si="378"/>
        <v>2.5</v>
      </c>
      <c r="AG4370" s="580">
        <f t="shared" si="379"/>
        <v>0</v>
      </c>
      <c r="AH4370" s="580">
        <f t="shared" si="380"/>
        <v>0</v>
      </c>
    </row>
    <row r="4371" spans="28:34">
      <c r="AB4371" s="580">
        <f>HLOOKUP("*"&amp;'Output annual'!$AC$2&amp;'Output annual'!$AD$2&amp;"*Zone People Number Of Occupants [](Hourly)",'Eplus results'!$1:$1048576,ROW(),FALSE)</f>
        <v>0</v>
      </c>
      <c r="AC4371" s="580">
        <f>HLOOKUP("*"&amp;'Output annual'!$AC$2&amp;'Output annual'!$AD$2&amp;"*FangerPMV(Hourly)",'Eplus results'!$1:$1048576,ROW(),FALSE)</f>
        <v>0</v>
      </c>
      <c r="AD4371" s="580">
        <f t="shared" si="376"/>
        <v>5</v>
      </c>
      <c r="AE4371" s="580">
        <f t="shared" si="377"/>
        <v>2.5</v>
      </c>
      <c r="AF4371" s="580">
        <f t="shared" si="378"/>
        <v>2.5</v>
      </c>
      <c r="AG4371" s="580">
        <f t="shared" si="379"/>
        <v>0</v>
      </c>
      <c r="AH4371" s="580">
        <f t="shared" si="380"/>
        <v>0</v>
      </c>
    </row>
    <row r="4372" spans="28:34">
      <c r="AB4372" s="580">
        <f>HLOOKUP("*"&amp;'Output annual'!$AC$2&amp;'Output annual'!$AD$2&amp;"*Zone People Number Of Occupants [](Hourly)",'Eplus results'!$1:$1048576,ROW(),FALSE)</f>
        <v>0</v>
      </c>
      <c r="AC4372" s="580">
        <f>HLOOKUP("*"&amp;'Output annual'!$AC$2&amp;'Output annual'!$AD$2&amp;"*FangerPMV(Hourly)",'Eplus results'!$1:$1048576,ROW(),FALSE)</f>
        <v>0</v>
      </c>
      <c r="AD4372" s="580">
        <f t="shared" si="376"/>
        <v>5</v>
      </c>
      <c r="AE4372" s="580">
        <f t="shared" si="377"/>
        <v>2.5</v>
      </c>
      <c r="AF4372" s="580">
        <f t="shared" si="378"/>
        <v>2.5</v>
      </c>
      <c r="AG4372" s="580">
        <f t="shared" si="379"/>
        <v>0</v>
      </c>
      <c r="AH4372" s="580">
        <f t="shared" si="380"/>
        <v>0</v>
      </c>
    </row>
    <row r="4373" spans="28:34">
      <c r="AB4373" s="580">
        <f>HLOOKUP("*"&amp;'Output annual'!$AC$2&amp;'Output annual'!$AD$2&amp;"*Zone People Number Of Occupants [](Hourly)",'Eplus results'!$1:$1048576,ROW(),FALSE)</f>
        <v>0</v>
      </c>
      <c r="AC4373" s="580">
        <f>HLOOKUP("*"&amp;'Output annual'!$AC$2&amp;'Output annual'!$AD$2&amp;"*FangerPMV(Hourly)",'Eplus results'!$1:$1048576,ROW(),FALSE)</f>
        <v>0</v>
      </c>
      <c r="AD4373" s="580">
        <f t="shared" si="376"/>
        <v>5</v>
      </c>
      <c r="AE4373" s="580">
        <f t="shared" si="377"/>
        <v>2.5</v>
      </c>
      <c r="AF4373" s="580">
        <f t="shared" si="378"/>
        <v>2.5</v>
      </c>
      <c r="AG4373" s="580">
        <f t="shared" si="379"/>
        <v>0</v>
      </c>
      <c r="AH4373" s="580">
        <f t="shared" si="380"/>
        <v>0</v>
      </c>
    </row>
    <row r="4374" spans="28:34">
      <c r="AB4374" s="580">
        <f>HLOOKUP("*"&amp;'Output annual'!$AC$2&amp;'Output annual'!$AD$2&amp;"*Zone People Number Of Occupants [](Hourly)",'Eplus results'!$1:$1048576,ROW(),FALSE)</f>
        <v>0</v>
      </c>
      <c r="AC4374" s="580">
        <f>HLOOKUP("*"&amp;'Output annual'!$AC$2&amp;'Output annual'!$AD$2&amp;"*FangerPMV(Hourly)",'Eplus results'!$1:$1048576,ROW(),FALSE)</f>
        <v>0</v>
      </c>
      <c r="AD4374" s="580">
        <f t="shared" si="376"/>
        <v>5</v>
      </c>
      <c r="AE4374" s="580">
        <f t="shared" si="377"/>
        <v>2.5</v>
      </c>
      <c r="AF4374" s="580">
        <f t="shared" si="378"/>
        <v>2.5</v>
      </c>
      <c r="AG4374" s="580">
        <f t="shared" si="379"/>
        <v>0</v>
      </c>
      <c r="AH4374" s="580">
        <f t="shared" si="380"/>
        <v>0</v>
      </c>
    </row>
    <row r="4375" spans="28:34">
      <c r="AB4375" s="580">
        <f>HLOOKUP("*"&amp;'Output annual'!$AC$2&amp;'Output annual'!$AD$2&amp;"*Zone People Number Of Occupants [](Hourly)",'Eplus results'!$1:$1048576,ROW(),FALSE)</f>
        <v>0</v>
      </c>
      <c r="AC4375" s="580">
        <f>HLOOKUP("*"&amp;'Output annual'!$AC$2&amp;'Output annual'!$AD$2&amp;"*FangerPMV(Hourly)",'Eplus results'!$1:$1048576,ROW(),FALSE)</f>
        <v>0</v>
      </c>
      <c r="AD4375" s="580">
        <f t="shared" si="376"/>
        <v>5</v>
      </c>
      <c r="AE4375" s="580">
        <f t="shared" si="377"/>
        <v>2.5</v>
      </c>
      <c r="AF4375" s="580">
        <f t="shared" si="378"/>
        <v>2.5</v>
      </c>
      <c r="AG4375" s="580">
        <f t="shared" si="379"/>
        <v>0</v>
      </c>
      <c r="AH4375" s="580">
        <f t="shared" si="380"/>
        <v>0</v>
      </c>
    </row>
    <row r="4376" spans="28:34">
      <c r="AB4376" s="580">
        <f>HLOOKUP("*"&amp;'Output annual'!$AC$2&amp;'Output annual'!$AD$2&amp;"*Zone People Number Of Occupants [](Hourly)",'Eplus results'!$1:$1048576,ROW(),FALSE)</f>
        <v>0</v>
      </c>
      <c r="AC4376" s="580">
        <f>HLOOKUP("*"&amp;'Output annual'!$AC$2&amp;'Output annual'!$AD$2&amp;"*FangerPMV(Hourly)",'Eplus results'!$1:$1048576,ROW(),FALSE)</f>
        <v>0</v>
      </c>
      <c r="AD4376" s="580">
        <f t="shared" si="376"/>
        <v>5</v>
      </c>
      <c r="AE4376" s="580">
        <f t="shared" si="377"/>
        <v>2.5</v>
      </c>
      <c r="AF4376" s="580">
        <f t="shared" si="378"/>
        <v>2.5</v>
      </c>
      <c r="AG4376" s="580">
        <f t="shared" si="379"/>
        <v>0</v>
      </c>
      <c r="AH4376" s="580">
        <f t="shared" si="380"/>
        <v>0</v>
      </c>
    </row>
    <row r="4377" spans="28:34">
      <c r="AB4377" s="580">
        <f>HLOOKUP("*"&amp;'Output annual'!$AC$2&amp;'Output annual'!$AD$2&amp;"*Zone People Number Of Occupants [](Hourly)",'Eplus results'!$1:$1048576,ROW(),FALSE)</f>
        <v>0</v>
      </c>
      <c r="AC4377" s="580">
        <f>HLOOKUP("*"&amp;'Output annual'!$AC$2&amp;'Output annual'!$AD$2&amp;"*FangerPMV(Hourly)",'Eplus results'!$1:$1048576,ROW(),FALSE)</f>
        <v>0</v>
      </c>
      <c r="AD4377" s="580">
        <f t="shared" si="376"/>
        <v>5</v>
      </c>
      <c r="AE4377" s="580">
        <f t="shared" si="377"/>
        <v>2.5</v>
      </c>
      <c r="AF4377" s="580">
        <f t="shared" si="378"/>
        <v>2.5</v>
      </c>
      <c r="AG4377" s="580">
        <f t="shared" si="379"/>
        <v>0</v>
      </c>
      <c r="AH4377" s="580">
        <f t="shared" si="380"/>
        <v>0</v>
      </c>
    </row>
    <row r="4378" spans="28:34">
      <c r="AB4378" s="580">
        <f>HLOOKUP("*"&amp;'Output annual'!$AC$2&amp;'Output annual'!$AD$2&amp;"*Zone People Number Of Occupants [](Hourly)",'Eplus results'!$1:$1048576,ROW(),FALSE)</f>
        <v>0</v>
      </c>
      <c r="AC4378" s="580">
        <f>HLOOKUP("*"&amp;'Output annual'!$AC$2&amp;'Output annual'!$AD$2&amp;"*FangerPMV(Hourly)",'Eplus results'!$1:$1048576,ROW(),FALSE)</f>
        <v>0</v>
      </c>
      <c r="AD4378" s="580">
        <f t="shared" si="376"/>
        <v>5</v>
      </c>
      <c r="AE4378" s="580">
        <f t="shared" si="377"/>
        <v>2.5</v>
      </c>
      <c r="AF4378" s="580">
        <f t="shared" si="378"/>
        <v>2.5</v>
      </c>
      <c r="AG4378" s="580">
        <f t="shared" si="379"/>
        <v>0</v>
      </c>
      <c r="AH4378" s="580">
        <f t="shared" si="380"/>
        <v>0</v>
      </c>
    </row>
    <row r="4379" spans="28:34">
      <c r="AB4379" s="580">
        <f>HLOOKUP("*"&amp;'Output annual'!$AC$2&amp;'Output annual'!$AD$2&amp;"*Zone People Number Of Occupants [](Hourly)",'Eplus results'!$1:$1048576,ROW(),FALSE)</f>
        <v>0</v>
      </c>
      <c r="AC4379" s="580">
        <f>HLOOKUP("*"&amp;'Output annual'!$AC$2&amp;'Output annual'!$AD$2&amp;"*FangerPMV(Hourly)",'Eplus results'!$1:$1048576,ROW(),FALSE)</f>
        <v>0</v>
      </c>
      <c r="AD4379" s="580">
        <f t="shared" si="376"/>
        <v>5</v>
      </c>
      <c r="AE4379" s="580">
        <f t="shared" si="377"/>
        <v>2.5</v>
      </c>
      <c r="AF4379" s="580">
        <f t="shared" si="378"/>
        <v>2.5</v>
      </c>
      <c r="AG4379" s="580">
        <f t="shared" si="379"/>
        <v>0</v>
      </c>
      <c r="AH4379" s="580">
        <f t="shared" si="380"/>
        <v>0</v>
      </c>
    </row>
    <row r="4380" spans="28:34">
      <c r="AB4380" s="580">
        <f>HLOOKUP("*"&amp;'Output annual'!$AC$2&amp;'Output annual'!$AD$2&amp;"*Zone People Number Of Occupants [](Hourly)",'Eplus results'!$1:$1048576,ROW(),FALSE)</f>
        <v>0</v>
      </c>
      <c r="AC4380" s="580">
        <f>HLOOKUP("*"&amp;'Output annual'!$AC$2&amp;'Output annual'!$AD$2&amp;"*FangerPMV(Hourly)",'Eplus results'!$1:$1048576,ROW(),FALSE)</f>
        <v>0</v>
      </c>
      <c r="AD4380" s="580">
        <f t="shared" si="376"/>
        <v>5</v>
      </c>
      <c r="AE4380" s="580">
        <f t="shared" si="377"/>
        <v>2.5</v>
      </c>
      <c r="AF4380" s="580">
        <f t="shared" si="378"/>
        <v>2.5</v>
      </c>
      <c r="AG4380" s="580">
        <f t="shared" si="379"/>
        <v>0</v>
      </c>
      <c r="AH4380" s="580">
        <f t="shared" si="380"/>
        <v>0</v>
      </c>
    </row>
    <row r="4381" spans="28:34">
      <c r="AB4381" s="580">
        <f>HLOOKUP("*"&amp;'Output annual'!$AC$2&amp;'Output annual'!$AD$2&amp;"*Zone People Number Of Occupants [](Hourly)",'Eplus results'!$1:$1048576,ROW(),FALSE)</f>
        <v>0</v>
      </c>
      <c r="AC4381" s="580">
        <f>HLOOKUP("*"&amp;'Output annual'!$AC$2&amp;'Output annual'!$AD$2&amp;"*FangerPMV(Hourly)",'Eplus results'!$1:$1048576,ROW(),FALSE)</f>
        <v>0</v>
      </c>
      <c r="AD4381" s="580">
        <f t="shared" si="376"/>
        <v>5</v>
      </c>
      <c r="AE4381" s="580">
        <f t="shared" si="377"/>
        <v>2.5</v>
      </c>
      <c r="AF4381" s="580">
        <f t="shared" si="378"/>
        <v>2.5</v>
      </c>
      <c r="AG4381" s="580">
        <f t="shared" si="379"/>
        <v>0</v>
      </c>
      <c r="AH4381" s="580">
        <f t="shared" si="380"/>
        <v>0</v>
      </c>
    </row>
    <row r="4382" spans="28:34">
      <c r="AB4382" s="580">
        <f>HLOOKUP("*"&amp;'Output annual'!$AC$2&amp;'Output annual'!$AD$2&amp;"*Zone People Number Of Occupants [](Hourly)",'Eplus results'!$1:$1048576,ROW(),FALSE)</f>
        <v>0</v>
      </c>
      <c r="AC4382" s="580">
        <f>HLOOKUP("*"&amp;'Output annual'!$AC$2&amp;'Output annual'!$AD$2&amp;"*FangerPMV(Hourly)",'Eplus results'!$1:$1048576,ROW(),FALSE)</f>
        <v>0</v>
      </c>
      <c r="AD4382" s="580">
        <f t="shared" si="376"/>
        <v>5</v>
      </c>
      <c r="AE4382" s="580">
        <f t="shared" si="377"/>
        <v>2.5</v>
      </c>
      <c r="AF4382" s="580">
        <f t="shared" si="378"/>
        <v>2.5</v>
      </c>
      <c r="AG4382" s="580">
        <f t="shared" si="379"/>
        <v>0</v>
      </c>
      <c r="AH4382" s="580">
        <f t="shared" si="380"/>
        <v>0</v>
      </c>
    </row>
    <row r="4383" spans="28:34">
      <c r="AB4383" s="580">
        <f>HLOOKUP("*"&amp;'Output annual'!$AC$2&amp;'Output annual'!$AD$2&amp;"*Zone People Number Of Occupants [](Hourly)",'Eplus results'!$1:$1048576,ROW(),FALSE)</f>
        <v>0</v>
      </c>
      <c r="AC4383" s="580">
        <f>HLOOKUP("*"&amp;'Output annual'!$AC$2&amp;'Output annual'!$AD$2&amp;"*FangerPMV(Hourly)",'Eplus results'!$1:$1048576,ROW(),FALSE)</f>
        <v>0</v>
      </c>
      <c r="AD4383" s="580">
        <f t="shared" si="376"/>
        <v>5</v>
      </c>
      <c r="AE4383" s="580">
        <f t="shared" si="377"/>
        <v>2.5</v>
      </c>
      <c r="AF4383" s="580">
        <f t="shared" si="378"/>
        <v>2.5</v>
      </c>
      <c r="AG4383" s="580">
        <f t="shared" si="379"/>
        <v>0</v>
      </c>
      <c r="AH4383" s="580">
        <f t="shared" si="380"/>
        <v>0</v>
      </c>
    </row>
    <row r="4384" spans="28:34">
      <c r="AB4384" s="580">
        <f>HLOOKUP("*"&amp;'Output annual'!$AC$2&amp;'Output annual'!$AD$2&amp;"*Zone People Number Of Occupants [](Hourly)",'Eplus results'!$1:$1048576,ROW(),FALSE)</f>
        <v>0</v>
      </c>
      <c r="AC4384" s="580">
        <f>HLOOKUP("*"&amp;'Output annual'!$AC$2&amp;'Output annual'!$AD$2&amp;"*FangerPMV(Hourly)",'Eplus results'!$1:$1048576,ROW(),FALSE)</f>
        <v>0</v>
      </c>
      <c r="AD4384" s="580">
        <f t="shared" si="376"/>
        <v>5</v>
      </c>
      <c r="AE4384" s="580">
        <f t="shared" si="377"/>
        <v>2.5</v>
      </c>
      <c r="AF4384" s="580">
        <f t="shared" si="378"/>
        <v>2.5</v>
      </c>
      <c r="AG4384" s="580">
        <f t="shared" si="379"/>
        <v>0</v>
      </c>
      <c r="AH4384" s="580">
        <f t="shared" si="380"/>
        <v>0</v>
      </c>
    </row>
    <row r="4385" spans="28:34">
      <c r="AB4385" s="580">
        <f>HLOOKUP("*"&amp;'Output annual'!$AC$2&amp;'Output annual'!$AD$2&amp;"*Zone People Number Of Occupants [](Hourly)",'Eplus results'!$1:$1048576,ROW(),FALSE)</f>
        <v>0</v>
      </c>
      <c r="AC4385" s="580">
        <f>HLOOKUP("*"&amp;'Output annual'!$AC$2&amp;'Output annual'!$AD$2&amp;"*FangerPMV(Hourly)",'Eplus results'!$1:$1048576,ROW(),FALSE)</f>
        <v>0</v>
      </c>
      <c r="AD4385" s="580">
        <f t="shared" si="376"/>
        <v>5</v>
      </c>
      <c r="AE4385" s="580">
        <f t="shared" si="377"/>
        <v>2.5</v>
      </c>
      <c r="AF4385" s="580">
        <f t="shared" si="378"/>
        <v>2.5</v>
      </c>
      <c r="AG4385" s="580">
        <f t="shared" si="379"/>
        <v>0</v>
      </c>
      <c r="AH4385" s="580">
        <f t="shared" si="380"/>
        <v>0</v>
      </c>
    </row>
    <row r="4386" spans="28:34">
      <c r="AB4386" s="580">
        <f>HLOOKUP("*"&amp;'Output annual'!$AC$2&amp;'Output annual'!$AD$2&amp;"*Zone People Number Of Occupants [](Hourly)",'Eplus results'!$1:$1048576,ROW(),FALSE)</f>
        <v>0</v>
      </c>
      <c r="AC4386" s="580">
        <f>HLOOKUP("*"&amp;'Output annual'!$AC$2&amp;'Output annual'!$AD$2&amp;"*FangerPMV(Hourly)",'Eplus results'!$1:$1048576,ROW(),FALSE)</f>
        <v>0</v>
      </c>
      <c r="AD4386" s="580">
        <f t="shared" si="376"/>
        <v>5</v>
      </c>
      <c r="AE4386" s="580">
        <f t="shared" si="377"/>
        <v>2.5</v>
      </c>
      <c r="AF4386" s="580">
        <f t="shared" si="378"/>
        <v>2.5</v>
      </c>
      <c r="AG4386" s="580">
        <f t="shared" si="379"/>
        <v>0</v>
      </c>
      <c r="AH4386" s="580">
        <f t="shared" si="380"/>
        <v>0</v>
      </c>
    </row>
    <row r="4387" spans="28:34">
      <c r="AB4387" s="580">
        <f>HLOOKUP("*"&amp;'Output annual'!$AC$2&amp;'Output annual'!$AD$2&amp;"*Zone People Number Of Occupants [](Hourly)",'Eplus results'!$1:$1048576,ROW(),FALSE)</f>
        <v>0</v>
      </c>
      <c r="AC4387" s="580">
        <f>HLOOKUP("*"&amp;'Output annual'!$AC$2&amp;'Output annual'!$AD$2&amp;"*FangerPMV(Hourly)",'Eplus results'!$1:$1048576,ROW(),FALSE)</f>
        <v>0</v>
      </c>
      <c r="AD4387" s="580">
        <f t="shared" si="376"/>
        <v>5</v>
      </c>
      <c r="AE4387" s="580">
        <f t="shared" si="377"/>
        <v>2.5</v>
      </c>
      <c r="AF4387" s="580">
        <f t="shared" si="378"/>
        <v>2.5</v>
      </c>
      <c r="AG4387" s="580">
        <f t="shared" si="379"/>
        <v>0</v>
      </c>
      <c r="AH4387" s="580">
        <f t="shared" si="380"/>
        <v>0</v>
      </c>
    </row>
    <row r="4388" spans="28:34">
      <c r="AB4388" s="580">
        <f>HLOOKUP("*"&amp;'Output annual'!$AC$2&amp;'Output annual'!$AD$2&amp;"*Zone People Number Of Occupants [](Hourly)",'Eplus results'!$1:$1048576,ROW(),FALSE)</f>
        <v>0</v>
      </c>
      <c r="AC4388" s="580">
        <f>HLOOKUP("*"&amp;'Output annual'!$AC$2&amp;'Output annual'!$AD$2&amp;"*FangerPMV(Hourly)",'Eplus results'!$1:$1048576,ROW(),FALSE)</f>
        <v>0</v>
      </c>
      <c r="AD4388" s="580">
        <f t="shared" si="376"/>
        <v>5</v>
      </c>
      <c r="AE4388" s="580">
        <f t="shared" si="377"/>
        <v>2.5</v>
      </c>
      <c r="AF4388" s="580">
        <f t="shared" si="378"/>
        <v>2.5</v>
      </c>
      <c r="AG4388" s="580">
        <f t="shared" si="379"/>
        <v>0</v>
      </c>
      <c r="AH4388" s="580">
        <f t="shared" si="380"/>
        <v>0</v>
      </c>
    </row>
    <row r="4389" spans="28:34">
      <c r="AB4389" s="580">
        <f>HLOOKUP("*"&amp;'Output annual'!$AC$2&amp;'Output annual'!$AD$2&amp;"*Zone People Number Of Occupants [](Hourly)",'Eplus results'!$1:$1048576,ROW(),FALSE)</f>
        <v>0</v>
      </c>
      <c r="AC4389" s="580">
        <f>HLOOKUP("*"&amp;'Output annual'!$AC$2&amp;'Output annual'!$AD$2&amp;"*FangerPMV(Hourly)",'Eplus results'!$1:$1048576,ROW(),FALSE)</f>
        <v>0</v>
      </c>
      <c r="AD4389" s="580">
        <f t="shared" si="376"/>
        <v>5</v>
      </c>
      <c r="AE4389" s="580">
        <f t="shared" si="377"/>
        <v>2.5</v>
      </c>
      <c r="AF4389" s="580">
        <f t="shared" si="378"/>
        <v>2.5</v>
      </c>
      <c r="AG4389" s="580">
        <f t="shared" si="379"/>
        <v>0</v>
      </c>
      <c r="AH4389" s="580">
        <f t="shared" si="380"/>
        <v>0</v>
      </c>
    </row>
    <row r="4390" spans="28:34">
      <c r="AB4390" s="580">
        <f>HLOOKUP("*"&amp;'Output annual'!$AC$2&amp;'Output annual'!$AD$2&amp;"*Zone People Number Of Occupants [](Hourly)",'Eplus results'!$1:$1048576,ROW(),FALSE)</f>
        <v>0</v>
      </c>
      <c r="AC4390" s="580">
        <f>HLOOKUP("*"&amp;'Output annual'!$AC$2&amp;'Output annual'!$AD$2&amp;"*FangerPMV(Hourly)",'Eplus results'!$1:$1048576,ROW(),FALSE)</f>
        <v>0</v>
      </c>
      <c r="AD4390" s="580">
        <f t="shared" si="376"/>
        <v>5</v>
      </c>
      <c r="AE4390" s="580">
        <f t="shared" si="377"/>
        <v>2.5</v>
      </c>
      <c r="AF4390" s="580">
        <f t="shared" si="378"/>
        <v>2.5</v>
      </c>
      <c r="AG4390" s="580">
        <f t="shared" si="379"/>
        <v>0</v>
      </c>
      <c r="AH4390" s="580">
        <f t="shared" si="380"/>
        <v>0</v>
      </c>
    </row>
    <row r="4391" spans="28:34">
      <c r="AB4391" s="580">
        <f>HLOOKUP("*"&amp;'Output annual'!$AC$2&amp;'Output annual'!$AD$2&amp;"*Zone People Number Of Occupants [](Hourly)",'Eplus results'!$1:$1048576,ROW(),FALSE)</f>
        <v>0</v>
      </c>
      <c r="AC4391" s="580">
        <f>HLOOKUP("*"&amp;'Output annual'!$AC$2&amp;'Output annual'!$AD$2&amp;"*FangerPMV(Hourly)",'Eplus results'!$1:$1048576,ROW(),FALSE)</f>
        <v>0</v>
      </c>
      <c r="AD4391" s="580">
        <f t="shared" si="376"/>
        <v>5</v>
      </c>
      <c r="AE4391" s="580">
        <f t="shared" si="377"/>
        <v>2.5</v>
      </c>
      <c r="AF4391" s="580">
        <f t="shared" si="378"/>
        <v>2.5</v>
      </c>
      <c r="AG4391" s="580">
        <f t="shared" si="379"/>
        <v>0</v>
      </c>
      <c r="AH4391" s="580">
        <f t="shared" si="380"/>
        <v>0</v>
      </c>
    </row>
    <row r="4392" spans="28:34">
      <c r="AB4392" s="580">
        <f>HLOOKUP("*"&amp;'Output annual'!$AC$2&amp;'Output annual'!$AD$2&amp;"*Zone People Number Of Occupants [](Hourly)",'Eplus results'!$1:$1048576,ROW(),FALSE)</f>
        <v>0</v>
      </c>
      <c r="AC4392" s="580">
        <f>HLOOKUP("*"&amp;'Output annual'!$AC$2&amp;'Output annual'!$AD$2&amp;"*FangerPMV(Hourly)",'Eplus results'!$1:$1048576,ROW(),FALSE)</f>
        <v>0</v>
      </c>
      <c r="AD4392" s="580">
        <f t="shared" si="376"/>
        <v>5</v>
      </c>
      <c r="AE4392" s="580">
        <f t="shared" si="377"/>
        <v>2.5</v>
      </c>
      <c r="AF4392" s="580">
        <f t="shared" si="378"/>
        <v>2.5</v>
      </c>
      <c r="AG4392" s="580">
        <f t="shared" si="379"/>
        <v>0</v>
      </c>
      <c r="AH4392" s="580">
        <f t="shared" si="380"/>
        <v>0</v>
      </c>
    </row>
    <row r="4393" spans="28:34">
      <c r="AB4393" s="580">
        <f>HLOOKUP("*"&amp;'Output annual'!$AC$2&amp;'Output annual'!$AD$2&amp;"*Zone People Number Of Occupants [](Hourly)",'Eplus results'!$1:$1048576,ROW(),FALSE)</f>
        <v>0</v>
      </c>
      <c r="AC4393" s="580">
        <f>HLOOKUP("*"&amp;'Output annual'!$AC$2&amp;'Output annual'!$AD$2&amp;"*FangerPMV(Hourly)",'Eplus results'!$1:$1048576,ROW(),FALSE)</f>
        <v>0</v>
      </c>
      <c r="AD4393" s="580">
        <f t="shared" si="376"/>
        <v>5</v>
      </c>
      <c r="AE4393" s="580">
        <f t="shared" si="377"/>
        <v>2.5</v>
      </c>
      <c r="AF4393" s="580">
        <f t="shared" si="378"/>
        <v>2.5</v>
      </c>
      <c r="AG4393" s="580">
        <f t="shared" si="379"/>
        <v>0</v>
      </c>
      <c r="AH4393" s="580">
        <f t="shared" si="380"/>
        <v>0</v>
      </c>
    </row>
    <row r="4394" spans="28:34">
      <c r="AB4394" s="580">
        <f>HLOOKUP("*"&amp;'Output annual'!$AC$2&amp;'Output annual'!$AD$2&amp;"*Zone People Number Of Occupants [](Hourly)",'Eplus results'!$1:$1048576,ROW(),FALSE)</f>
        <v>0</v>
      </c>
      <c r="AC4394" s="580">
        <f>HLOOKUP("*"&amp;'Output annual'!$AC$2&amp;'Output annual'!$AD$2&amp;"*FangerPMV(Hourly)",'Eplus results'!$1:$1048576,ROW(),FALSE)</f>
        <v>0</v>
      </c>
      <c r="AD4394" s="580">
        <f t="shared" si="376"/>
        <v>5</v>
      </c>
      <c r="AE4394" s="580">
        <f t="shared" si="377"/>
        <v>2.5</v>
      </c>
      <c r="AF4394" s="580">
        <f t="shared" si="378"/>
        <v>2.5</v>
      </c>
      <c r="AG4394" s="580">
        <f t="shared" si="379"/>
        <v>0</v>
      </c>
      <c r="AH4394" s="580">
        <f t="shared" si="380"/>
        <v>0</v>
      </c>
    </row>
    <row r="4395" spans="28:34">
      <c r="AB4395" s="580">
        <f>HLOOKUP("*"&amp;'Output annual'!$AC$2&amp;'Output annual'!$AD$2&amp;"*Zone People Number Of Occupants [](Hourly)",'Eplus results'!$1:$1048576,ROW(),FALSE)</f>
        <v>0</v>
      </c>
      <c r="AC4395" s="580">
        <f>HLOOKUP("*"&amp;'Output annual'!$AC$2&amp;'Output annual'!$AD$2&amp;"*FangerPMV(Hourly)",'Eplus results'!$1:$1048576,ROW(),FALSE)</f>
        <v>0</v>
      </c>
      <c r="AD4395" s="580">
        <f t="shared" si="376"/>
        <v>5</v>
      </c>
      <c r="AE4395" s="580">
        <f t="shared" si="377"/>
        <v>2.5</v>
      </c>
      <c r="AF4395" s="580">
        <f t="shared" si="378"/>
        <v>2.5</v>
      </c>
      <c r="AG4395" s="580">
        <f t="shared" si="379"/>
        <v>0</v>
      </c>
      <c r="AH4395" s="580">
        <f t="shared" si="380"/>
        <v>0</v>
      </c>
    </row>
    <row r="4396" spans="28:34">
      <c r="AB4396" s="580">
        <f>HLOOKUP("*"&amp;'Output annual'!$AC$2&amp;'Output annual'!$AD$2&amp;"*Zone People Number Of Occupants [](Hourly)",'Eplus results'!$1:$1048576,ROW(),FALSE)</f>
        <v>0</v>
      </c>
      <c r="AC4396" s="580">
        <f>HLOOKUP("*"&amp;'Output annual'!$AC$2&amp;'Output annual'!$AD$2&amp;"*FangerPMV(Hourly)",'Eplus results'!$1:$1048576,ROW(),FALSE)</f>
        <v>0</v>
      </c>
      <c r="AD4396" s="580">
        <f t="shared" si="376"/>
        <v>5</v>
      </c>
      <c r="AE4396" s="580">
        <f t="shared" si="377"/>
        <v>2.5</v>
      </c>
      <c r="AF4396" s="580">
        <f t="shared" si="378"/>
        <v>2.5</v>
      </c>
      <c r="AG4396" s="580">
        <f t="shared" si="379"/>
        <v>0</v>
      </c>
      <c r="AH4396" s="580">
        <f t="shared" si="380"/>
        <v>0</v>
      </c>
    </row>
    <row r="4397" spans="28:34">
      <c r="AB4397" s="580">
        <f>HLOOKUP("*"&amp;'Output annual'!$AC$2&amp;'Output annual'!$AD$2&amp;"*Zone People Number Of Occupants [](Hourly)",'Eplus results'!$1:$1048576,ROW(),FALSE)</f>
        <v>0</v>
      </c>
      <c r="AC4397" s="580">
        <f>HLOOKUP("*"&amp;'Output annual'!$AC$2&amp;'Output annual'!$AD$2&amp;"*FangerPMV(Hourly)",'Eplus results'!$1:$1048576,ROW(),FALSE)</f>
        <v>0</v>
      </c>
      <c r="AD4397" s="580">
        <f t="shared" si="376"/>
        <v>5</v>
      </c>
      <c r="AE4397" s="580">
        <f t="shared" si="377"/>
        <v>2.5</v>
      </c>
      <c r="AF4397" s="580">
        <f t="shared" si="378"/>
        <v>2.5</v>
      </c>
      <c r="AG4397" s="580">
        <f t="shared" si="379"/>
        <v>0</v>
      </c>
      <c r="AH4397" s="580">
        <f t="shared" si="380"/>
        <v>0</v>
      </c>
    </row>
    <row r="4398" spans="28:34">
      <c r="AB4398" s="580">
        <f>HLOOKUP("*"&amp;'Output annual'!$AC$2&amp;'Output annual'!$AD$2&amp;"*Zone People Number Of Occupants [](Hourly)",'Eplus results'!$1:$1048576,ROW(),FALSE)</f>
        <v>0</v>
      </c>
      <c r="AC4398" s="580">
        <f>HLOOKUP("*"&amp;'Output annual'!$AC$2&amp;'Output annual'!$AD$2&amp;"*FangerPMV(Hourly)",'Eplus results'!$1:$1048576,ROW(),FALSE)</f>
        <v>0</v>
      </c>
      <c r="AD4398" s="580">
        <f t="shared" si="376"/>
        <v>5</v>
      </c>
      <c r="AE4398" s="580">
        <f t="shared" si="377"/>
        <v>2.5</v>
      </c>
      <c r="AF4398" s="580">
        <f t="shared" si="378"/>
        <v>2.5</v>
      </c>
      <c r="AG4398" s="580">
        <f t="shared" si="379"/>
        <v>0</v>
      </c>
      <c r="AH4398" s="580">
        <f t="shared" si="380"/>
        <v>0</v>
      </c>
    </row>
    <row r="4399" spans="28:34">
      <c r="AB4399" s="580">
        <f>HLOOKUP("*"&amp;'Output annual'!$AC$2&amp;'Output annual'!$AD$2&amp;"*Zone People Number Of Occupants [](Hourly)",'Eplus results'!$1:$1048576,ROW(),FALSE)</f>
        <v>0</v>
      </c>
      <c r="AC4399" s="580">
        <f>HLOOKUP("*"&amp;'Output annual'!$AC$2&amp;'Output annual'!$AD$2&amp;"*FangerPMV(Hourly)",'Eplus results'!$1:$1048576,ROW(),FALSE)</f>
        <v>0</v>
      </c>
      <c r="AD4399" s="580">
        <f t="shared" si="376"/>
        <v>5</v>
      </c>
      <c r="AE4399" s="580">
        <f t="shared" si="377"/>
        <v>2.5</v>
      </c>
      <c r="AF4399" s="580">
        <f t="shared" si="378"/>
        <v>2.5</v>
      </c>
      <c r="AG4399" s="580">
        <f t="shared" si="379"/>
        <v>0</v>
      </c>
      <c r="AH4399" s="580">
        <f t="shared" si="380"/>
        <v>0</v>
      </c>
    </row>
    <row r="4400" spans="28:34">
      <c r="AB4400" s="580">
        <f>HLOOKUP("*"&amp;'Output annual'!$AC$2&amp;'Output annual'!$AD$2&amp;"*Zone People Number Of Occupants [](Hourly)",'Eplus results'!$1:$1048576,ROW(),FALSE)</f>
        <v>0</v>
      </c>
      <c r="AC4400" s="580">
        <f>HLOOKUP("*"&amp;'Output annual'!$AC$2&amp;'Output annual'!$AD$2&amp;"*FangerPMV(Hourly)",'Eplus results'!$1:$1048576,ROW(),FALSE)</f>
        <v>0</v>
      </c>
      <c r="AD4400" s="580">
        <f t="shared" si="376"/>
        <v>5</v>
      </c>
      <c r="AE4400" s="580">
        <f t="shared" si="377"/>
        <v>2.5</v>
      </c>
      <c r="AF4400" s="580">
        <f t="shared" si="378"/>
        <v>2.5</v>
      </c>
      <c r="AG4400" s="580">
        <f t="shared" si="379"/>
        <v>0</v>
      </c>
      <c r="AH4400" s="580">
        <f t="shared" si="380"/>
        <v>0</v>
      </c>
    </row>
    <row r="4401" spans="28:34">
      <c r="AB4401" s="580">
        <f>HLOOKUP("*"&amp;'Output annual'!$AC$2&amp;'Output annual'!$AD$2&amp;"*Zone People Number Of Occupants [](Hourly)",'Eplus results'!$1:$1048576,ROW(),FALSE)</f>
        <v>0</v>
      </c>
      <c r="AC4401" s="580">
        <f>HLOOKUP("*"&amp;'Output annual'!$AC$2&amp;'Output annual'!$AD$2&amp;"*FangerPMV(Hourly)",'Eplus results'!$1:$1048576,ROW(),FALSE)</f>
        <v>0</v>
      </c>
      <c r="AD4401" s="580">
        <f t="shared" si="376"/>
        <v>5</v>
      </c>
      <c r="AE4401" s="580">
        <f t="shared" si="377"/>
        <v>2.5</v>
      </c>
      <c r="AF4401" s="580">
        <f t="shared" si="378"/>
        <v>2.5</v>
      </c>
      <c r="AG4401" s="580">
        <f t="shared" si="379"/>
        <v>0</v>
      </c>
      <c r="AH4401" s="580">
        <f t="shared" si="380"/>
        <v>0</v>
      </c>
    </row>
    <row r="4402" spans="28:34">
      <c r="AB4402" s="580">
        <f>HLOOKUP("*"&amp;'Output annual'!$AC$2&amp;'Output annual'!$AD$2&amp;"*Zone People Number Of Occupants [](Hourly)",'Eplus results'!$1:$1048576,ROW(),FALSE)</f>
        <v>0</v>
      </c>
      <c r="AC4402" s="580">
        <f>HLOOKUP("*"&amp;'Output annual'!$AC$2&amp;'Output annual'!$AD$2&amp;"*FangerPMV(Hourly)",'Eplus results'!$1:$1048576,ROW(),FALSE)</f>
        <v>0</v>
      </c>
      <c r="AD4402" s="580">
        <f t="shared" si="376"/>
        <v>5</v>
      </c>
      <c r="AE4402" s="580">
        <f t="shared" si="377"/>
        <v>2.5</v>
      </c>
      <c r="AF4402" s="580">
        <f t="shared" si="378"/>
        <v>2.5</v>
      </c>
      <c r="AG4402" s="580">
        <f t="shared" si="379"/>
        <v>0</v>
      </c>
      <c r="AH4402" s="580">
        <f t="shared" si="380"/>
        <v>0</v>
      </c>
    </row>
    <row r="4403" spans="28:34">
      <c r="AB4403" s="580">
        <f>HLOOKUP("*"&amp;'Output annual'!$AC$2&amp;'Output annual'!$AD$2&amp;"*Zone People Number Of Occupants [](Hourly)",'Eplus results'!$1:$1048576,ROW(),FALSE)</f>
        <v>0</v>
      </c>
      <c r="AC4403" s="580">
        <f>HLOOKUP("*"&amp;'Output annual'!$AC$2&amp;'Output annual'!$AD$2&amp;"*FangerPMV(Hourly)",'Eplus results'!$1:$1048576,ROW(),FALSE)</f>
        <v>0</v>
      </c>
      <c r="AD4403" s="580">
        <f t="shared" si="376"/>
        <v>5</v>
      </c>
      <c r="AE4403" s="580">
        <f t="shared" si="377"/>
        <v>2.5</v>
      </c>
      <c r="AF4403" s="580">
        <f t="shared" si="378"/>
        <v>2.5</v>
      </c>
      <c r="AG4403" s="580">
        <f t="shared" si="379"/>
        <v>0</v>
      </c>
      <c r="AH4403" s="580">
        <f t="shared" si="380"/>
        <v>0</v>
      </c>
    </row>
    <row r="4404" spans="28:34">
      <c r="AB4404" s="580">
        <f>HLOOKUP("*"&amp;'Output annual'!$AC$2&amp;'Output annual'!$AD$2&amp;"*Zone People Number Of Occupants [](Hourly)",'Eplus results'!$1:$1048576,ROW(),FALSE)</f>
        <v>0</v>
      </c>
      <c r="AC4404" s="580">
        <f>HLOOKUP("*"&amp;'Output annual'!$AC$2&amp;'Output annual'!$AD$2&amp;"*FangerPMV(Hourly)",'Eplus results'!$1:$1048576,ROW(),FALSE)</f>
        <v>0</v>
      </c>
      <c r="AD4404" s="580">
        <f t="shared" si="376"/>
        <v>5</v>
      </c>
      <c r="AE4404" s="580">
        <f t="shared" si="377"/>
        <v>2.5</v>
      </c>
      <c r="AF4404" s="580">
        <f t="shared" si="378"/>
        <v>2.5</v>
      </c>
      <c r="AG4404" s="580">
        <f t="shared" si="379"/>
        <v>0</v>
      </c>
      <c r="AH4404" s="580">
        <f t="shared" si="380"/>
        <v>0</v>
      </c>
    </row>
    <row r="4405" spans="28:34">
      <c r="AB4405" s="580">
        <f>HLOOKUP("*"&amp;'Output annual'!$AC$2&amp;'Output annual'!$AD$2&amp;"*Zone People Number Of Occupants [](Hourly)",'Eplus results'!$1:$1048576,ROW(),FALSE)</f>
        <v>0</v>
      </c>
      <c r="AC4405" s="580">
        <f>HLOOKUP("*"&amp;'Output annual'!$AC$2&amp;'Output annual'!$AD$2&amp;"*FangerPMV(Hourly)",'Eplus results'!$1:$1048576,ROW(),FALSE)</f>
        <v>0</v>
      </c>
      <c r="AD4405" s="580">
        <f t="shared" si="376"/>
        <v>5</v>
      </c>
      <c r="AE4405" s="580">
        <f t="shared" si="377"/>
        <v>2.5</v>
      </c>
      <c r="AF4405" s="580">
        <f t="shared" si="378"/>
        <v>2.5</v>
      </c>
      <c r="AG4405" s="580">
        <f t="shared" si="379"/>
        <v>0</v>
      </c>
      <c r="AH4405" s="580">
        <f t="shared" si="380"/>
        <v>0</v>
      </c>
    </row>
    <row r="4406" spans="28:34">
      <c r="AB4406" s="580">
        <f>HLOOKUP("*"&amp;'Output annual'!$AC$2&amp;'Output annual'!$AD$2&amp;"*Zone People Number Of Occupants [](Hourly)",'Eplus results'!$1:$1048576,ROW(),FALSE)</f>
        <v>0</v>
      </c>
      <c r="AC4406" s="580">
        <f>HLOOKUP("*"&amp;'Output annual'!$AC$2&amp;'Output annual'!$AD$2&amp;"*FangerPMV(Hourly)",'Eplus results'!$1:$1048576,ROW(),FALSE)</f>
        <v>0</v>
      </c>
      <c r="AD4406" s="580">
        <f t="shared" si="376"/>
        <v>5</v>
      </c>
      <c r="AE4406" s="580">
        <f t="shared" si="377"/>
        <v>2.5</v>
      </c>
      <c r="AF4406" s="580">
        <f t="shared" si="378"/>
        <v>2.5</v>
      </c>
      <c r="AG4406" s="580">
        <f t="shared" si="379"/>
        <v>0</v>
      </c>
      <c r="AH4406" s="580">
        <f t="shared" si="380"/>
        <v>0</v>
      </c>
    </row>
    <row r="4407" spans="28:34">
      <c r="AB4407" s="580">
        <f>HLOOKUP("*"&amp;'Output annual'!$AC$2&amp;'Output annual'!$AD$2&amp;"*Zone People Number Of Occupants [](Hourly)",'Eplus results'!$1:$1048576,ROW(),FALSE)</f>
        <v>0</v>
      </c>
      <c r="AC4407" s="580">
        <f>HLOOKUP("*"&amp;'Output annual'!$AC$2&amp;'Output annual'!$AD$2&amp;"*FangerPMV(Hourly)",'Eplus results'!$1:$1048576,ROW(),FALSE)</f>
        <v>0</v>
      </c>
      <c r="AD4407" s="580">
        <f t="shared" si="376"/>
        <v>5</v>
      </c>
      <c r="AE4407" s="580">
        <f t="shared" si="377"/>
        <v>2.5</v>
      </c>
      <c r="AF4407" s="580">
        <f t="shared" si="378"/>
        <v>2.5</v>
      </c>
      <c r="AG4407" s="580">
        <f t="shared" si="379"/>
        <v>0</v>
      </c>
      <c r="AH4407" s="580">
        <f t="shared" si="380"/>
        <v>0</v>
      </c>
    </row>
    <row r="4408" spans="28:34">
      <c r="AB4408" s="580">
        <f>HLOOKUP("*"&amp;'Output annual'!$AC$2&amp;'Output annual'!$AD$2&amp;"*Zone People Number Of Occupants [](Hourly)",'Eplus results'!$1:$1048576,ROW(),FALSE)</f>
        <v>0</v>
      </c>
      <c r="AC4408" s="580">
        <f>HLOOKUP("*"&amp;'Output annual'!$AC$2&amp;'Output annual'!$AD$2&amp;"*FangerPMV(Hourly)",'Eplus results'!$1:$1048576,ROW(),FALSE)</f>
        <v>0</v>
      </c>
      <c r="AD4408" s="580">
        <f t="shared" si="376"/>
        <v>5</v>
      </c>
      <c r="AE4408" s="580">
        <f t="shared" si="377"/>
        <v>2.5</v>
      </c>
      <c r="AF4408" s="580">
        <f t="shared" si="378"/>
        <v>2.5</v>
      </c>
      <c r="AG4408" s="580">
        <f t="shared" si="379"/>
        <v>0</v>
      </c>
      <c r="AH4408" s="580">
        <f t="shared" si="380"/>
        <v>0</v>
      </c>
    </row>
    <row r="4409" spans="28:34">
      <c r="AB4409" s="580">
        <f>HLOOKUP("*"&amp;'Output annual'!$AC$2&amp;'Output annual'!$AD$2&amp;"*Zone People Number Of Occupants [](Hourly)",'Eplus results'!$1:$1048576,ROW(),FALSE)</f>
        <v>0</v>
      </c>
      <c r="AC4409" s="580">
        <f>HLOOKUP("*"&amp;'Output annual'!$AC$2&amp;'Output annual'!$AD$2&amp;"*FangerPMV(Hourly)",'Eplus results'!$1:$1048576,ROW(),FALSE)</f>
        <v>0</v>
      </c>
      <c r="AD4409" s="580">
        <f t="shared" si="376"/>
        <v>5</v>
      </c>
      <c r="AE4409" s="580">
        <f t="shared" si="377"/>
        <v>2.5</v>
      </c>
      <c r="AF4409" s="580">
        <f t="shared" si="378"/>
        <v>2.5</v>
      </c>
      <c r="AG4409" s="580">
        <f t="shared" si="379"/>
        <v>0</v>
      </c>
      <c r="AH4409" s="580">
        <f t="shared" si="380"/>
        <v>0</v>
      </c>
    </row>
    <row r="4410" spans="28:34">
      <c r="AB4410" s="580">
        <f>HLOOKUP("*"&amp;'Output annual'!$AC$2&amp;'Output annual'!$AD$2&amp;"*Zone People Number Of Occupants [](Hourly)",'Eplus results'!$1:$1048576,ROW(),FALSE)</f>
        <v>0</v>
      </c>
      <c r="AC4410" s="580">
        <f>HLOOKUP("*"&amp;'Output annual'!$AC$2&amp;'Output annual'!$AD$2&amp;"*FangerPMV(Hourly)",'Eplus results'!$1:$1048576,ROW(),FALSE)</f>
        <v>0</v>
      </c>
      <c r="AD4410" s="580">
        <f t="shared" si="376"/>
        <v>5</v>
      </c>
      <c r="AE4410" s="580">
        <f t="shared" si="377"/>
        <v>2.5</v>
      </c>
      <c r="AF4410" s="580">
        <f t="shared" si="378"/>
        <v>2.5</v>
      </c>
      <c r="AG4410" s="580">
        <f t="shared" si="379"/>
        <v>0</v>
      </c>
      <c r="AH4410" s="580">
        <f t="shared" si="380"/>
        <v>0</v>
      </c>
    </row>
    <row r="4411" spans="28:34">
      <c r="AB4411" s="580">
        <f>HLOOKUP("*"&amp;'Output annual'!$AC$2&amp;'Output annual'!$AD$2&amp;"*Zone People Number Of Occupants [](Hourly)",'Eplus results'!$1:$1048576,ROW(),FALSE)</f>
        <v>0</v>
      </c>
      <c r="AC4411" s="580">
        <f>HLOOKUP("*"&amp;'Output annual'!$AC$2&amp;'Output annual'!$AD$2&amp;"*FangerPMV(Hourly)",'Eplus results'!$1:$1048576,ROW(),FALSE)</f>
        <v>0</v>
      </c>
      <c r="AD4411" s="580">
        <f t="shared" si="376"/>
        <v>5</v>
      </c>
      <c r="AE4411" s="580">
        <f t="shared" si="377"/>
        <v>2.5</v>
      </c>
      <c r="AF4411" s="580">
        <f t="shared" si="378"/>
        <v>2.5</v>
      </c>
      <c r="AG4411" s="580">
        <f t="shared" si="379"/>
        <v>0</v>
      </c>
      <c r="AH4411" s="580">
        <f t="shared" si="380"/>
        <v>0</v>
      </c>
    </row>
    <row r="4412" spans="28:34">
      <c r="AB4412" s="580">
        <f>HLOOKUP("*"&amp;'Output annual'!$AC$2&amp;'Output annual'!$AD$2&amp;"*Zone People Number Of Occupants [](Hourly)",'Eplus results'!$1:$1048576,ROW(),FALSE)</f>
        <v>0</v>
      </c>
      <c r="AC4412" s="580">
        <f>HLOOKUP("*"&amp;'Output annual'!$AC$2&amp;'Output annual'!$AD$2&amp;"*FangerPMV(Hourly)",'Eplus results'!$1:$1048576,ROW(),FALSE)</f>
        <v>0</v>
      </c>
      <c r="AD4412" s="580">
        <f t="shared" si="376"/>
        <v>5</v>
      </c>
      <c r="AE4412" s="580">
        <f t="shared" si="377"/>
        <v>2.5</v>
      </c>
      <c r="AF4412" s="580">
        <f t="shared" si="378"/>
        <v>2.5</v>
      </c>
      <c r="AG4412" s="580">
        <f t="shared" si="379"/>
        <v>0</v>
      </c>
      <c r="AH4412" s="580">
        <f t="shared" si="380"/>
        <v>0</v>
      </c>
    </row>
    <row r="4413" spans="28:34">
      <c r="AB4413" s="580">
        <f>HLOOKUP("*"&amp;'Output annual'!$AC$2&amp;'Output annual'!$AD$2&amp;"*Zone People Number Of Occupants [](Hourly)",'Eplus results'!$1:$1048576,ROW(),FALSE)</f>
        <v>0</v>
      </c>
      <c r="AC4413" s="580">
        <f>HLOOKUP("*"&amp;'Output annual'!$AC$2&amp;'Output annual'!$AD$2&amp;"*FangerPMV(Hourly)",'Eplus results'!$1:$1048576,ROW(),FALSE)</f>
        <v>0</v>
      </c>
      <c r="AD4413" s="580">
        <f t="shared" si="376"/>
        <v>5</v>
      </c>
      <c r="AE4413" s="580">
        <f t="shared" si="377"/>
        <v>2.5</v>
      </c>
      <c r="AF4413" s="580">
        <f t="shared" si="378"/>
        <v>2.5</v>
      </c>
      <c r="AG4413" s="580">
        <f t="shared" si="379"/>
        <v>0</v>
      </c>
      <c r="AH4413" s="580">
        <f t="shared" si="380"/>
        <v>0</v>
      </c>
    </row>
    <row r="4414" spans="28:34">
      <c r="AB4414" s="580">
        <f>HLOOKUP("*"&amp;'Output annual'!$AC$2&amp;'Output annual'!$AD$2&amp;"*Zone People Number Of Occupants [](Hourly)",'Eplus results'!$1:$1048576,ROW(),FALSE)</f>
        <v>0</v>
      </c>
      <c r="AC4414" s="580">
        <f>HLOOKUP("*"&amp;'Output annual'!$AC$2&amp;'Output annual'!$AD$2&amp;"*FangerPMV(Hourly)",'Eplus results'!$1:$1048576,ROW(),FALSE)</f>
        <v>0</v>
      </c>
      <c r="AD4414" s="580">
        <f t="shared" si="376"/>
        <v>5</v>
      </c>
      <c r="AE4414" s="580">
        <f t="shared" si="377"/>
        <v>2.5</v>
      </c>
      <c r="AF4414" s="580">
        <f t="shared" si="378"/>
        <v>2.5</v>
      </c>
      <c r="AG4414" s="580">
        <f t="shared" si="379"/>
        <v>0</v>
      </c>
      <c r="AH4414" s="580">
        <f t="shared" si="380"/>
        <v>0</v>
      </c>
    </row>
    <row r="4415" spans="28:34">
      <c r="AB4415" s="580">
        <f>HLOOKUP("*"&amp;'Output annual'!$AC$2&amp;'Output annual'!$AD$2&amp;"*Zone People Number Of Occupants [](Hourly)",'Eplus results'!$1:$1048576,ROW(),FALSE)</f>
        <v>0</v>
      </c>
      <c r="AC4415" s="580">
        <f>HLOOKUP("*"&amp;'Output annual'!$AC$2&amp;'Output annual'!$AD$2&amp;"*FangerPMV(Hourly)",'Eplus results'!$1:$1048576,ROW(),FALSE)</f>
        <v>0</v>
      </c>
      <c r="AD4415" s="580">
        <f t="shared" si="376"/>
        <v>5</v>
      </c>
      <c r="AE4415" s="580">
        <f t="shared" si="377"/>
        <v>2.5</v>
      </c>
      <c r="AF4415" s="580">
        <f t="shared" si="378"/>
        <v>2.5</v>
      </c>
      <c r="AG4415" s="580">
        <f t="shared" si="379"/>
        <v>0</v>
      </c>
      <c r="AH4415" s="580">
        <f t="shared" si="380"/>
        <v>0</v>
      </c>
    </row>
    <row r="4416" spans="28:34">
      <c r="AB4416" s="580">
        <f>HLOOKUP("*"&amp;'Output annual'!$AC$2&amp;'Output annual'!$AD$2&amp;"*Zone People Number Of Occupants [](Hourly)",'Eplus results'!$1:$1048576,ROW(),FALSE)</f>
        <v>0</v>
      </c>
      <c r="AC4416" s="580">
        <f>HLOOKUP("*"&amp;'Output annual'!$AC$2&amp;'Output annual'!$AD$2&amp;"*FangerPMV(Hourly)",'Eplus results'!$1:$1048576,ROW(),FALSE)</f>
        <v>0</v>
      </c>
      <c r="AD4416" s="580">
        <f t="shared" si="376"/>
        <v>5</v>
      </c>
      <c r="AE4416" s="580">
        <f t="shared" si="377"/>
        <v>2.5</v>
      </c>
      <c r="AF4416" s="580">
        <f t="shared" si="378"/>
        <v>2.5</v>
      </c>
      <c r="AG4416" s="580">
        <f t="shared" si="379"/>
        <v>0</v>
      </c>
      <c r="AH4416" s="580">
        <f t="shared" si="380"/>
        <v>0</v>
      </c>
    </row>
    <row r="4417" spans="28:34">
      <c r="AB4417" s="580">
        <f>HLOOKUP("*"&amp;'Output annual'!$AC$2&amp;'Output annual'!$AD$2&amp;"*Zone People Number Of Occupants [](Hourly)",'Eplus results'!$1:$1048576,ROW(),FALSE)</f>
        <v>0</v>
      </c>
      <c r="AC4417" s="580">
        <f>HLOOKUP("*"&amp;'Output annual'!$AC$2&amp;'Output annual'!$AD$2&amp;"*FangerPMV(Hourly)",'Eplus results'!$1:$1048576,ROW(),FALSE)</f>
        <v>0</v>
      </c>
      <c r="AD4417" s="580">
        <f t="shared" si="376"/>
        <v>5</v>
      </c>
      <c r="AE4417" s="580">
        <f t="shared" si="377"/>
        <v>2.5</v>
      </c>
      <c r="AF4417" s="580">
        <f t="shared" si="378"/>
        <v>2.5</v>
      </c>
      <c r="AG4417" s="580">
        <f t="shared" si="379"/>
        <v>0</v>
      </c>
      <c r="AH4417" s="580">
        <f t="shared" si="380"/>
        <v>0</v>
      </c>
    </row>
    <row r="4418" spans="28:34">
      <c r="AB4418" s="580">
        <f>HLOOKUP("*"&amp;'Output annual'!$AC$2&amp;'Output annual'!$AD$2&amp;"*Zone People Number Of Occupants [](Hourly)",'Eplus results'!$1:$1048576,ROW(),FALSE)</f>
        <v>0</v>
      </c>
      <c r="AC4418" s="580">
        <f>HLOOKUP("*"&amp;'Output annual'!$AC$2&amp;'Output annual'!$AD$2&amp;"*FangerPMV(Hourly)",'Eplus results'!$1:$1048576,ROW(),FALSE)</f>
        <v>0</v>
      </c>
      <c r="AD4418" s="580">
        <f t="shared" si="376"/>
        <v>5</v>
      </c>
      <c r="AE4418" s="580">
        <f t="shared" si="377"/>
        <v>2.5</v>
      </c>
      <c r="AF4418" s="580">
        <f t="shared" si="378"/>
        <v>2.5</v>
      </c>
      <c r="AG4418" s="580">
        <f t="shared" si="379"/>
        <v>0</v>
      </c>
      <c r="AH4418" s="580">
        <f t="shared" si="380"/>
        <v>0</v>
      </c>
    </row>
    <row r="4419" spans="28:34">
      <c r="AB4419" s="580">
        <f>HLOOKUP("*"&amp;'Output annual'!$AC$2&amp;'Output annual'!$AD$2&amp;"*Zone People Number Of Occupants [](Hourly)",'Eplus results'!$1:$1048576,ROW(),FALSE)</f>
        <v>0</v>
      </c>
      <c r="AC4419" s="580">
        <f>HLOOKUP("*"&amp;'Output annual'!$AC$2&amp;'Output annual'!$AD$2&amp;"*FangerPMV(Hourly)",'Eplus results'!$1:$1048576,ROW(),FALSE)</f>
        <v>0</v>
      </c>
      <c r="AD4419" s="580">
        <f t="shared" ref="AD4419:AD4482" si="381">100-95*EXP(-0.03353*AC4419^4-0.2179*AC4419^2)</f>
        <v>5</v>
      </c>
      <c r="AE4419" s="580">
        <f t="shared" ref="AE4419:AE4482" si="382">AD4419*(1/(1+EXP(-6.3*$AC4419)))</f>
        <v>2.5</v>
      </c>
      <c r="AF4419" s="580">
        <f t="shared" ref="AF4419:AF4482" si="383">(AD4419-AE4419)</f>
        <v>2.5</v>
      </c>
      <c r="AG4419" s="580">
        <f t="shared" ref="AG4419:AG4482" si="384">AE4419*AB4419</f>
        <v>0</v>
      </c>
      <c r="AH4419" s="580">
        <f t="shared" ref="AH4419:AH4482" si="385">AF4419*AB4419</f>
        <v>0</v>
      </c>
    </row>
    <row r="4420" spans="28:34">
      <c r="AB4420" s="580">
        <f>HLOOKUP("*"&amp;'Output annual'!$AC$2&amp;'Output annual'!$AD$2&amp;"*Zone People Number Of Occupants [](Hourly)",'Eplus results'!$1:$1048576,ROW(),FALSE)</f>
        <v>0</v>
      </c>
      <c r="AC4420" s="580">
        <f>HLOOKUP("*"&amp;'Output annual'!$AC$2&amp;'Output annual'!$AD$2&amp;"*FangerPMV(Hourly)",'Eplus results'!$1:$1048576,ROW(),FALSE)</f>
        <v>0</v>
      </c>
      <c r="AD4420" s="580">
        <f t="shared" si="381"/>
        <v>5</v>
      </c>
      <c r="AE4420" s="580">
        <f t="shared" si="382"/>
        <v>2.5</v>
      </c>
      <c r="AF4420" s="580">
        <f t="shared" si="383"/>
        <v>2.5</v>
      </c>
      <c r="AG4420" s="580">
        <f t="shared" si="384"/>
        <v>0</v>
      </c>
      <c r="AH4420" s="580">
        <f t="shared" si="385"/>
        <v>0</v>
      </c>
    </row>
    <row r="4421" spans="28:34">
      <c r="AB4421" s="580">
        <f>HLOOKUP("*"&amp;'Output annual'!$AC$2&amp;'Output annual'!$AD$2&amp;"*Zone People Number Of Occupants [](Hourly)",'Eplus results'!$1:$1048576,ROW(),FALSE)</f>
        <v>0</v>
      </c>
      <c r="AC4421" s="580">
        <f>HLOOKUP("*"&amp;'Output annual'!$AC$2&amp;'Output annual'!$AD$2&amp;"*FangerPMV(Hourly)",'Eplus results'!$1:$1048576,ROW(),FALSE)</f>
        <v>0</v>
      </c>
      <c r="AD4421" s="580">
        <f t="shared" si="381"/>
        <v>5</v>
      </c>
      <c r="AE4421" s="580">
        <f t="shared" si="382"/>
        <v>2.5</v>
      </c>
      <c r="AF4421" s="580">
        <f t="shared" si="383"/>
        <v>2.5</v>
      </c>
      <c r="AG4421" s="580">
        <f t="shared" si="384"/>
        <v>0</v>
      </c>
      <c r="AH4421" s="580">
        <f t="shared" si="385"/>
        <v>0</v>
      </c>
    </row>
    <row r="4422" spans="28:34">
      <c r="AB4422" s="580">
        <f>HLOOKUP("*"&amp;'Output annual'!$AC$2&amp;'Output annual'!$AD$2&amp;"*Zone People Number Of Occupants [](Hourly)",'Eplus results'!$1:$1048576,ROW(),FALSE)</f>
        <v>0</v>
      </c>
      <c r="AC4422" s="580">
        <f>HLOOKUP("*"&amp;'Output annual'!$AC$2&amp;'Output annual'!$AD$2&amp;"*FangerPMV(Hourly)",'Eplus results'!$1:$1048576,ROW(),FALSE)</f>
        <v>0</v>
      </c>
      <c r="AD4422" s="580">
        <f t="shared" si="381"/>
        <v>5</v>
      </c>
      <c r="AE4422" s="580">
        <f t="shared" si="382"/>
        <v>2.5</v>
      </c>
      <c r="AF4422" s="580">
        <f t="shared" si="383"/>
        <v>2.5</v>
      </c>
      <c r="AG4422" s="580">
        <f t="shared" si="384"/>
        <v>0</v>
      </c>
      <c r="AH4422" s="580">
        <f t="shared" si="385"/>
        <v>0</v>
      </c>
    </row>
    <row r="4423" spans="28:34">
      <c r="AB4423" s="580">
        <f>HLOOKUP("*"&amp;'Output annual'!$AC$2&amp;'Output annual'!$AD$2&amp;"*Zone People Number Of Occupants [](Hourly)",'Eplus results'!$1:$1048576,ROW(),FALSE)</f>
        <v>0</v>
      </c>
      <c r="AC4423" s="580">
        <f>HLOOKUP("*"&amp;'Output annual'!$AC$2&amp;'Output annual'!$AD$2&amp;"*FangerPMV(Hourly)",'Eplus results'!$1:$1048576,ROW(),FALSE)</f>
        <v>0</v>
      </c>
      <c r="AD4423" s="580">
        <f t="shared" si="381"/>
        <v>5</v>
      </c>
      <c r="AE4423" s="580">
        <f t="shared" si="382"/>
        <v>2.5</v>
      </c>
      <c r="AF4423" s="580">
        <f t="shared" si="383"/>
        <v>2.5</v>
      </c>
      <c r="AG4423" s="580">
        <f t="shared" si="384"/>
        <v>0</v>
      </c>
      <c r="AH4423" s="580">
        <f t="shared" si="385"/>
        <v>0</v>
      </c>
    </row>
    <row r="4424" spans="28:34">
      <c r="AB4424" s="580">
        <f>HLOOKUP("*"&amp;'Output annual'!$AC$2&amp;'Output annual'!$AD$2&amp;"*Zone People Number Of Occupants [](Hourly)",'Eplus results'!$1:$1048576,ROW(),FALSE)</f>
        <v>0</v>
      </c>
      <c r="AC4424" s="580">
        <f>HLOOKUP("*"&amp;'Output annual'!$AC$2&amp;'Output annual'!$AD$2&amp;"*FangerPMV(Hourly)",'Eplus results'!$1:$1048576,ROW(),FALSE)</f>
        <v>0</v>
      </c>
      <c r="AD4424" s="580">
        <f t="shared" si="381"/>
        <v>5</v>
      </c>
      <c r="AE4424" s="580">
        <f t="shared" si="382"/>
        <v>2.5</v>
      </c>
      <c r="AF4424" s="580">
        <f t="shared" si="383"/>
        <v>2.5</v>
      </c>
      <c r="AG4424" s="580">
        <f t="shared" si="384"/>
        <v>0</v>
      </c>
      <c r="AH4424" s="580">
        <f t="shared" si="385"/>
        <v>0</v>
      </c>
    </row>
    <row r="4425" spans="28:34">
      <c r="AB4425" s="580">
        <f>HLOOKUP("*"&amp;'Output annual'!$AC$2&amp;'Output annual'!$AD$2&amp;"*Zone People Number Of Occupants [](Hourly)",'Eplus results'!$1:$1048576,ROW(),FALSE)</f>
        <v>0</v>
      </c>
      <c r="AC4425" s="580">
        <f>HLOOKUP("*"&amp;'Output annual'!$AC$2&amp;'Output annual'!$AD$2&amp;"*FangerPMV(Hourly)",'Eplus results'!$1:$1048576,ROW(),FALSE)</f>
        <v>0</v>
      </c>
      <c r="AD4425" s="580">
        <f t="shared" si="381"/>
        <v>5</v>
      </c>
      <c r="AE4425" s="580">
        <f t="shared" si="382"/>
        <v>2.5</v>
      </c>
      <c r="AF4425" s="580">
        <f t="shared" si="383"/>
        <v>2.5</v>
      </c>
      <c r="AG4425" s="580">
        <f t="shared" si="384"/>
        <v>0</v>
      </c>
      <c r="AH4425" s="580">
        <f t="shared" si="385"/>
        <v>0</v>
      </c>
    </row>
    <row r="4426" spans="28:34">
      <c r="AB4426" s="580">
        <f>HLOOKUP("*"&amp;'Output annual'!$AC$2&amp;'Output annual'!$AD$2&amp;"*Zone People Number Of Occupants [](Hourly)",'Eplus results'!$1:$1048576,ROW(),FALSE)</f>
        <v>0</v>
      </c>
      <c r="AC4426" s="580">
        <f>HLOOKUP("*"&amp;'Output annual'!$AC$2&amp;'Output annual'!$AD$2&amp;"*FangerPMV(Hourly)",'Eplus results'!$1:$1048576,ROW(),FALSE)</f>
        <v>0</v>
      </c>
      <c r="AD4426" s="580">
        <f t="shared" si="381"/>
        <v>5</v>
      </c>
      <c r="AE4426" s="580">
        <f t="shared" si="382"/>
        <v>2.5</v>
      </c>
      <c r="AF4426" s="580">
        <f t="shared" si="383"/>
        <v>2.5</v>
      </c>
      <c r="AG4426" s="580">
        <f t="shared" si="384"/>
        <v>0</v>
      </c>
      <c r="AH4426" s="580">
        <f t="shared" si="385"/>
        <v>0</v>
      </c>
    </row>
    <row r="4427" spans="28:34">
      <c r="AB4427" s="580">
        <f>HLOOKUP("*"&amp;'Output annual'!$AC$2&amp;'Output annual'!$AD$2&amp;"*Zone People Number Of Occupants [](Hourly)",'Eplus results'!$1:$1048576,ROW(),FALSE)</f>
        <v>0</v>
      </c>
      <c r="AC4427" s="580">
        <f>HLOOKUP("*"&amp;'Output annual'!$AC$2&amp;'Output annual'!$AD$2&amp;"*FangerPMV(Hourly)",'Eplus results'!$1:$1048576,ROW(),FALSE)</f>
        <v>0</v>
      </c>
      <c r="AD4427" s="580">
        <f t="shared" si="381"/>
        <v>5</v>
      </c>
      <c r="AE4427" s="580">
        <f t="shared" si="382"/>
        <v>2.5</v>
      </c>
      <c r="AF4427" s="580">
        <f t="shared" si="383"/>
        <v>2.5</v>
      </c>
      <c r="AG4427" s="580">
        <f t="shared" si="384"/>
        <v>0</v>
      </c>
      <c r="AH4427" s="580">
        <f t="shared" si="385"/>
        <v>0</v>
      </c>
    </row>
    <row r="4428" spans="28:34">
      <c r="AB4428" s="580">
        <f>HLOOKUP("*"&amp;'Output annual'!$AC$2&amp;'Output annual'!$AD$2&amp;"*Zone People Number Of Occupants [](Hourly)",'Eplus results'!$1:$1048576,ROW(),FALSE)</f>
        <v>0</v>
      </c>
      <c r="AC4428" s="580">
        <f>HLOOKUP("*"&amp;'Output annual'!$AC$2&amp;'Output annual'!$AD$2&amp;"*FangerPMV(Hourly)",'Eplus results'!$1:$1048576,ROW(),FALSE)</f>
        <v>0</v>
      </c>
      <c r="AD4428" s="580">
        <f t="shared" si="381"/>
        <v>5</v>
      </c>
      <c r="AE4428" s="580">
        <f t="shared" si="382"/>
        <v>2.5</v>
      </c>
      <c r="AF4428" s="580">
        <f t="shared" si="383"/>
        <v>2.5</v>
      </c>
      <c r="AG4428" s="580">
        <f t="shared" si="384"/>
        <v>0</v>
      </c>
      <c r="AH4428" s="580">
        <f t="shared" si="385"/>
        <v>0</v>
      </c>
    </row>
    <row r="4429" spans="28:34">
      <c r="AB4429" s="580">
        <f>HLOOKUP("*"&amp;'Output annual'!$AC$2&amp;'Output annual'!$AD$2&amp;"*Zone People Number Of Occupants [](Hourly)",'Eplus results'!$1:$1048576,ROW(),FALSE)</f>
        <v>0</v>
      </c>
      <c r="AC4429" s="580">
        <f>HLOOKUP("*"&amp;'Output annual'!$AC$2&amp;'Output annual'!$AD$2&amp;"*FangerPMV(Hourly)",'Eplus results'!$1:$1048576,ROW(),FALSE)</f>
        <v>0</v>
      </c>
      <c r="AD4429" s="580">
        <f t="shared" si="381"/>
        <v>5</v>
      </c>
      <c r="AE4429" s="580">
        <f t="shared" si="382"/>
        <v>2.5</v>
      </c>
      <c r="AF4429" s="580">
        <f t="shared" si="383"/>
        <v>2.5</v>
      </c>
      <c r="AG4429" s="580">
        <f t="shared" si="384"/>
        <v>0</v>
      </c>
      <c r="AH4429" s="580">
        <f t="shared" si="385"/>
        <v>0</v>
      </c>
    </row>
    <row r="4430" spans="28:34">
      <c r="AB4430" s="580">
        <f>HLOOKUP("*"&amp;'Output annual'!$AC$2&amp;'Output annual'!$AD$2&amp;"*Zone People Number Of Occupants [](Hourly)",'Eplus results'!$1:$1048576,ROW(),FALSE)</f>
        <v>0</v>
      </c>
      <c r="AC4430" s="580">
        <f>HLOOKUP("*"&amp;'Output annual'!$AC$2&amp;'Output annual'!$AD$2&amp;"*FangerPMV(Hourly)",'Eplus results'!$1:$1048576,ROW(),FALSE)</f>
        <v>0</v>
      </c>
      <c r="AD4430" s="580">
        <f t="shared" si="381"/>
        <v>5</v>
      </c>
      <c r="AE4430" s="580">
        <f t="shared" si="382"/>
        <v>2.5</v>
      </c>
      <c r="AF4430" s="580">
        <f t="shared" si="383"/>
        <v>2.5</v>
      </c>
      <c r="AG4430" s="580">
        <f t="shared" si="384"/>
        <v>0</v>
      </c>
      <c r="AH4430" s="580">
        <f t="shared" si="385"/>
        <v>0</v>
      </c>
    </row>
    <row r="4431" spans="28:34">
      <c r="AB4431" s="580">
        <f>HLOOKUP("*"&amp;'Output annual'!$AC$2&amp;'Output annual'!$AD$2&amp;"*Zone People Number Of Occupants [](Hourly)",'Eplus results'!$1:$1048576,ROW(),FALSE)</f>
        <v>0</v>
      </c>
      <c r="AC4431" s="580">
        <f>HLOOKUP("*"&amp;'Output annual'!$AC$2&amp;'Output annual'!$AD$2&amp;"*FangerPMV(Hourly)",'Eplus results'!$1:$1048576,ROW(),FALSE)</f>
        <v>0</v>
      </c>
      <c r="AD4431" s="580">
        <f t="shared" si="381"/>
        <v>5</v>
      </c>
      <c r="AE4431" s="580">
        <f t="shared" si="382"/>
        <v>2.5</v>
      </c>
      <c r="AF4431" s="580">
        <f t="shared" si="383"/>
        <v>2.5</v>
      </c>
      <c r="AG4431" s="580">
        <f t="shared" si="384"/>
        <v>0</v>
      </c>
      <c r="AH4431" s="580">
        <f t="shared" si="385"/>
        <v>0</v>
      </c>
    </row>
    <row r="4432" spans="28:34">
      <c r="AB4432" s="580">
        <f>HLOOKUP("*"&amp;'Output annual'!$AC$2&amp;'Output annual'!$AD$2&amp;"*Zone People Number Of Occupants [](Hourly)",'Eplus results'!$1:$1048576,ROW(),FALSE)</f>
        <v>0</v>
      </c>
      <c r="AC4432" s="580">
        <f>HLOOKUP("*"&amp;'Output annual'!$AC$2&amp;'Output annual'!$AD$2&amp;"*FangerPMV(Hourly)",'Eplus results'!$1:$1048576,ROW(),FALSE)</f>
        <v>0</v>
      </c>
      <c r="AD4432" s="580">
        <f t="shared" si="381"/>
        <v>5</v>
      </c>
      <c r="AE4432" s="580">
        <f t="shared" si="382"/>
        <v>2.5</v>
      </c>
      <c r="AF4432" s="580">
        <f t="shared" si="383"/>
        <v>2.5</v>
      </c>
      <c r="AG4432" s="580">
        <f t="shared" si="384"/>
        <v>0</v>
      </c>
      <c r="AH4432" s="580">
        <f t="shared" si="385"/>
        <v>0</v>
      </c>
    </row>
    <row r="4433" spans="28:34">
      <c r="AB4433" s="580">
        <f>HLOOKUP("*"&amp;'Output annual'!$AC$2&amp;'Output annual'!$AD$2&amp;"*Zone People Number Of Occupants [](Hourly)",'Eplus results'!$1:$1048576,ROW(),FALSE)</f>
        <v>0</v>
      </c>
      <c r="AC4433" s="580">
        <f>HLOOKUP("*"&amp;'Output annual'!$AC$2&amp;'Output annual'!$AD$2&amp;"*FangerPMV(Hourly)",'Eplus results'!$1:$1048576,ROW(),FALSE)</f>
        <v>0</v>
      </c>
      <c r="AD4433" s="580">
        <f t="shared" si="381"/>
        <v>5</v>
      </c>
      <c r="AE4433" s="580">
        <f t="shared" si="382"/>
        <v>2.5</v>
      </c>
      <c r="AF4433" s="580">
        <f t="shared" si="383"/>
        <v>2.5</v>
      </c>
      <c r="AG4433" s="580">
        <f t="shared" si="384"/>
        <v>0</v>
      </c>
      <c r="AH4433" s="580">
        <f t="shared" si="385"/>
        <v>0</v>
      </c>
    </row>
    <row r="4434" spans="28:34">
      <c r="AB4434" s="580">
        <f>HLOOKUP("*"&amp;'Output annual'!$AC$2&amp;'Output annual'!$AD$2&amp;"*Zone People Number Of Occupants [](Hourly)",'Eplus results'!$1:$1048576,ROW(),FALSE)</f>
        <v>0</v>
      </c>
      <c r="AC4434" s="580">
        <f>HLOOKUP("*"&amp;'Output annual'!$AC$2&amp;'Output annual'!$AD$2&amp;"*FangerPMV(Hourly)",'Eplus results'!$1:$1048576,ROW(),FALSE)</f>
        <v>0</v>
      </c>
      <c r="AD4434" s="580">
        <f t="shared" si="381"/>
        <v>5</v>
      </c>
      <c r="AE4434" s="580">
        <f t="shared" si="382"/>
        <v>2.5</v>
      </c>
      <c r="AF4434" s="580">
        <f t="shared" si="383"/>
        <v>2.5</v>
      </c>
      <c r="AG4434" s="580">
        <f t="shared" si="384"/>
        <v>0</v>
      </c>
      <c r="AH4434" s="580">
        <f t="shared" si="385"/>
        <v>0</v>
      </c>
    </row>
    <row r="4435" spans="28:34">
      <c r="AB4435" s="580">
        <f>HLOOKUP("*"&amp;'Output annual'!$AC$2&amp;'Output annual'!$AD$2&amp;"*Zone People Number Of Occupants [](Hourly)",'Eplus results'!$1:$1048576,ROW(),FALSE)</f>
        <v>0</v>
      </c>
      <c r="AC4435" s="580">
        <f>HLOOKUP("*"&amp;'Output annual'!$AC$2&amp;'Output annual'!$AD$2&amp;"*FangerPMV(Hourly)",'Eplus results'!$1:$1048576,ROW(),FALSE)</f>
        <v>0</v>
      </c>
      <c r="AD4435" s="580">
        <f t="shared" si="381"/>
        <v>5</v>
      </c>
      <c r="AE4435" s="580">
        <f t="shared" si="382"/>
        <v>2.5</v>
      </c>
      <c r="AF4435" s="580">
        <f t="shared" si="383"/>
        <v>2.5</v>
      </c>
      <c r="AG4435" s="580">
        <f t="shared" si="384"/>
        <v>0</v>
      </c>
      <c r="AH4435" s="580">
        <f t="shared" si="385"/>
        <v>0</v>
      </c>
    </row>
    <row r="4436" spans="28:34">
      <c r="AB4436" s="580">
        <f>HLOOKUP("*"&amp;'Output annual'!$AC$2&amp;'Output annual'!$AD$2&amp;"*Zone People Number Of Occupants [](Hourly)",'Eplus results'!$1:$1048576,ROW(),FALSE)</f>
        <v>0</v>
      </c>
      <c r="AC4436" s="580">
        <f>HLOOKUP("*"&amp;'Output annual'!$AC$2&amp;'Output annual'!$AD$2&amp;"*FangerPMV(Hourly)",'Eplus results'!$1:$1048576,ROW(),FALSE)</f>
        <v>0</v>
      </c>
      <c r="AD4436" s="580">
        <f t="shared" si="381"/>
        <v>5</v>
      </c>
      <c r="AE4436" s="580">
        <f t="shared" si="382"/>
        <v>2.5</v>
      </c>
      <c r="AF4436" s="580">
        <f t="shared" si="383"/>
        <v>2.5</v>
      </c>
      <c r="AG4436" s="580">
        <f t="shared" si="384"/>
        <v>0</v>
      </c>
      <c r="AH4436" s="580">
        <f t="shared" si="385"/>
        <v>0</v>
      </c>
    </row>
    <row r="4437" spans="28:34">
      <c r="AB4437" s="580">
        <f>HLOOKUP("*"&amp;'Output annual'!$AC$2&amp;'Output annual'!$AD$2&amp;"*Zone People Number Of Occupants [](Hourly)",'Eplus results'!$1:$1048576,ROW(),FALSE)</f>
        <v>0</v>
      </c>
      <c r="AC4437" s="580">
        <f>HLOOKUP("*"&amp;'Output annual'!$AC$2&amp;'Output annual'!$AD$2&amp;"*FangerPMV(Hourly)",'Eplus results'!$1:$1048576,ROW(),FALSE)</f>
        <v>0</v>
      </c>
      <c r="AD4437" s="580">
        <f t="shared" si="381"/>
        <v>5</v>
      </c>
      <c r="AE4437" s="580">
        <f t="shared" si="382"/>
        <v>2.5</v>
      </c>
      <c r="AF4437" s="580">
        <f t="shared" si="383"/>
        <v>2.5</v>
      </c>
      <c r="AG4437" s="580">
        <f t="shared" si="384"/>
        <v>0</v>
      </c>
      <c r="AH4437" s="580">
        <f t="shared" si="385"/>
        <v>0</v>
      </c>
    </row>
    <row r="4438" spans="28:34">
      <c r="AB4438" s="580">
        <f>HLOOKUP("*"&amp;'Output annual'!$AC$2&amp;'Output annual'!$AD$2&amp;"*Zone People Number Of Occupants [](Hourly)",'Eplus results'!$1:$1048576,ROW(),FALSE)</f>
        <v>0</v>
      </c>
      <c r="AC4438" s="580">
        <f>HLOOKUP("*"&amp;'Output annual'!$AC$2&amp;'Output annual'!$AD$2&amp;"*FangerPMV(Hourly)",'Eplus results'!$1:$1048576,ROW(),FALSE)</f>
        <v>0</v>
      </c>
      <c r="AD4438" s="580">
        <f t="shared" si="381"/>
        <v>5</v>
      </c>
      <c r="AE4438" s="580">
        <f t="shared" si="382"/>
        <v>2.5</v>
      </c>
      <c r="AF4438" s="580">
        <f t="shared" si="383"/>
        <v>2.5</v>
      </c>
      <c r="AG4438" s="580">
        <f t="shared" si="384"/>
        <v>0</v>
      </c>
      <c r="AH4438" s="580">
        <f t="shared" si="385"/>
        <v>0</v>
      </c>
    </row>
    <row r="4439" spans="28:34">
      <c r="AB4439" s="580">
        <f>HLOOKUP("*"&amp;'Output annual'!$AC$2&amp;'Output annual'!$AD$2&amp;"*Zone People Number Of Occupants [](Hourly)",'Eplus results'!$1:$1048576,ROW(),FALSE)</f>
        <v>0</v>
      </c>
      <c r="AC4439" s="580">
        <f>HLOOKUP("*"&amp;'Output annual'!$AC$2&amp;'Output annual'!$AD$2&amp;"*FangerPMV(Hourly)",'Eplus results'!$1:$1048576,ROW(),FALSE)</f>
        <v>0</v>
      </c>
      <c r="AD4439" s="580">
        <f t="shared" si="381"/>
        <v>5</v>
      </c>
      <c r="AE4439" s="580">
        <f t="shared" si="382"/>
        <v>2.5</v>
      </c>
      <c r="AF4439" s="580">
        <f t="shared" si="383"/>
        <v>2.5</v>
      </c>
      <c r="AG4439" s="580">
        <f t="shared" si="384"/>
        <v>0</v>
      </c>
      <c r="AH4439" s="580">
        <f t="shared" si="385"/>
        <v>0</v>
      </c>
    </row>
    <row r="4440" spans="28:34">
      <c r="AB4440" s="580">
        <f>HLOOKUP("*"&amp;'Output annual'!$AC$2&amp;'Output annual'!$AD$2&amp;"*Zone People Number Of Occupants [](Hourly)",'Eplus results'!$1:$1048576,ROW(),FALSE)</f>
        <v>0</v>
      </c>
      <c r="AC4440" s="580">
        <f>HLOOKUP("*"&amp;'Output annual'!$AC$2&amp;'Output annual'!$AD$2&amp;"*FangerPMV(Hourly)",'Eplus results'!$1:$1048576,ROW(),FALSE)</f>
        <v>0</v>
      </c>
      <c r="AD4440" s="580">
        <f t="shared" si="381"/>
        <v>5</v>
      </c>
      <c r="AE4440" s="580">
        <f t="shared" si="382"/>
        <v>2.5</v>
      </c>
      <c r="AF4440" s="580">
        <f t="shared" si="383"/>
        <v>2.5</v>
      </c>
      <c r="AG4440" s="580">
        <f t="shared" si="384"/>
        <v>0</v>
      </c>
      <c r="AH4440" s="580">
        <f t="shared" si="385"/>
        <v>0</v>
      </c>
    </row>
    <row r="4441" spans="28:34">
      <c r="AB4441" s="580">
        <f>HLOOKUP("*"&amp;'Output annual'!$AC$2&amp;'Output annual'!$AD$2&amp;"*Zone People Number Of Occupants [](Hourly)",'Eplus results'!$1:$1048576,ROW(),FALSE)</f>
        <v>0</v>
      </c>
      <c r="AC4441" s="580">
        <f>HLOOKUP("*"&amp;'Output annual'!$AC$2&amp;'Output annual'!$AD$2&amp;"*FangerPMV(Hourly)",'Eplus results'!$1:$1048576,ROW(),FALSE)</f>
        <v>0</v>
      </c>
      <c r="AD4441" s="580">
        <f t="shared" si="381"/>
        <v>5</v>
      </c>
      <c r="AE4441" s="580">
        <f t="shared" si="382"/>
        <v>2.5</v>
      </c>
      <c r="AF4441" s="580">
        <f t="shared" si="383"/>
        <v>2.5</v>
      </c>
      <c r="AG4441" s="580">
        <f t="shared" si="384"/>
        <v>0</v>
      </c>
      <c r="AH4441" s="580">
        <f t="shared" si="385"/>
        <v>0</v>
      </c>
    </row>
    <row r="4442" spans="28:34">
      <c r="AB4442" s="580">
        <f>HLOOKUP("*"&amp;'Output annual'!$AC$2&amp;'Output annual'!$AD$2&amp;"*Zone People Number Of Occupants [](Hourly)",'Eplus results'!$1:$1048576,ROW(),FALSE)</f>
        <v>0</v>
      </c>
      <c r="AC4442" s="580">
        <f>HLOOKUP("*"&amp;'Output annual'!$AC$2&amp;'Output annual'!$AD$2&amp;"*FangerPMV(Hourly)",'Eplus results'!$1:$1048576,ROW(),FALSE)</f>
        <v>0</v>
      </c>
      <c r="AD4442" s="580">
        <f t="shared" si="381"/>
        <v>5</v>
      </c>
      <c r="AE4442" s="580">
        <f t="shared" si="382"/>
        <v>2.5</v>
      </c>
      <c r="AF4442" s="580">
        <f t="shared" si="383"/>
        <v>2.5</v>
      </c>
      <c r="AG4442" s="580">
        <f t="shared" si="384"/>
        <v>0</v>
      </c>
      <c r="AH4442" s="580">
        <f t="shared" si="385"/>
        <v>0</v>
      </c>
    </row>
    <row r="4443" spans="28:34">
      <c r="AB4443" s="580">
        <f>HLOOKUP("*"&amp;'Output annual'!$AC$2&amp;'Output annual'!$AD$2&amp;"*Zone People Number Of Occupants [](Hourly)",'Eplus results'!$1:$1048576,ROW(),FALSE)</f>
        <v>0</v>
      </c>
      <c r="AC4443" s="580">
        <f>HLOOKUP("*"&amp;'Output annual'!$AC$2&amp;'Output annual'!$AD$2&amp;"*FangerPMV(Hourly)",'Eplus results'!$1:$1048576,ROW(),FALSE)</f>
        <v>0</v>
      </c>
      <c r="AD4443" s="580">
        <f t="shared" si="381"/>
        <v>5</v>
      </c>
      <c r="AE4443" s="580">
        <f t="shared" si="382"/>
        <v>2.5</v>
      </c>
      <c r="AF4443" s="580">
        <f t="shared" si="383"/>
        <v>2.5</v>
      </c>
      <c r="AG4443" s="580">
        <f t="shared" si="384"/>
        <v>0</v>
      </c>
      <c r="AH4443" s="580">
        <f t="shared" si="385"/>
        <v>0</v>
      </c>
    </row>
    <row r="4444" spans="28:34">
      <c r="AB4444" s="580">
        <f>HLOOKUP("*"&amp;'Output annual'!$AC$2&amp;'Output annual'!$AD$2&amp;"*Zone People Number Of Occupants [](Hourly)",'Eplus results'!$1:$1048576,ROW(),FALSE)</f>
        <v>0</v>
      </c>
      <c r="AC4444" s="580">
        <f>HLOOKUP("*"&amp;'Output annual'!$AC$2&amp;'Output annual'!$AD$2&amp;"*FangerPMV(Hourly)",'Eplus results'!$1:$1048576,ROW(),FALSE)</f>
        <v>0</v>
      </c>
      <c r="AD4444" s="580">
        <f t="shared" si="381"/>
        <v>5</v>
      </c>
      <c r="AE4444" s="580">
        <f t="shared" si="382"/>
        <v>2.5</v>
      </c>
      <c r="AF4444" s="580">
        <f t="shared" si="383"/>
        <v>2.5</v>
      </c>
      <c r="AG4444" s="580">
        <f t="shared" si="384"/>
        <v>0</v>
      </c>
      <c r="AH4444" s="580">
        <f t="shared" si="385"/>
        <v>0</v>
      </c>
    </row>
    <row r="4445" spans="28:34">
      <c r="AB4445" s="580">
        <f>HLOOKUP("*"&amp;'Output annual'!$AC$2&amp;'Output annual'!$AD$2&amp;"*Zone People Number Of Occupants [](Hourly)",'Eplus results'!$1:$1048576,ROW(),FALSE)</f>
        <v>0</v>
      </c>
      <c r="AC4445" s="580">
        <f>HLOOKUP("*"&amp;'Output annual'!$AC$2&amp;'Output annual'!$AD$2&amp;"*FangerPMV(Hourly)",'Eplus results'!$1:$1048576,ROW(),FALSE)</f>
        <v>0</v>
      </c>
      <c r="AD4445" s="580">
        <f t="shared" si="381"/>
        <v>5</v>
      </c>
      <c r="AE4445" s="580">
        <f t="shared" si="382"/>
        <v>2.5</v>
      </c>
      <c r="AF4445" s="580">
        <f t="shared" si="383"/>
        <v>2.5</v>
      </c>
      <c r="AG4445" s="580">
        <f t="shared" si="384"/>
        <v>0</v>
      </c>
      <c r="AH4445" s="580">
        <f t="shared" si="385"/>
        <v>0</v>
      </c>
    </row>
    <row r="4446" spans="28:34">
      <c r="AB4446" s="580">
        <f>HLOOKUP("*"&amp;'Output annual'!$AC$2&amp;'Output annual'!$AD$2&amp;"*Zone People Number Of Occupants [](Hourly)",'Eplus results'!$1:$1048576,ROW(),FALSE)</f>
        <v>0</v>
      </c>
      <c r="AC4446" s="580">
        <f>HLOOKUP("*"&amp;'Output annual'!$AC$2&amp;'Output annual'!$AD$2&amp;"*FangerPMV(Hourly)",'Eplus results'!$1:$1048576,ROW(),FALSE)</f>
        <v>0</v>
      </c>
      <c r="AD4446" s="580">
        <f t="shared" si="381"/>
        <v>5</v>
      </c>
      <c r="AE4446" s="580">
        <f t="shared" si="382"/>
        <v>2.5</v>
      </c>
      <c r="AF4446" s="580">
        <f t="shared" si="383"/>
        <v>2.5</v>
      </c>
      <c r="AG4446" s="580">
        <f t="shared" si="384"/>
        <v>0</v>
      </c>
      <c r="AH4446" s="580">
        <f t="shared" si="385"/>
        <v>0</v>
      </c>
    </row>
    <row r="4447" spans="28:34">
      <c r="AB4447" s="580">
        <f>HLOOKUP("*"&amp;'Output annual'!$AC$2&amp;'Output annual'!$AD$2&amp;"*Zone People Number Of Occupants [](Hourly)",'Eplus results'!$1:$1048576,ROW(),FALSE)</f>
        <v>0</v>
      </c>
      <c r="AC4447" s="580">
        <f>HLOOKUP("*"&amp;'Output annual'!$AC$2&amp;'Output annual'!$AD$2&amp;"*FangerPMV(Hourly)",'Eplus results'!$1:$1048576,ROW(),FALSE)</f>
        <v>0</v>
      </c>
      <c r="AD4447" s="580">
        <f t="shared" si="381"/>
        <v>5</v>
      </c>
      <c r="AE4447" s="580">
        <f t="shared" si="382"/>
        <v>2.5</v>
      </c>
      <c r="AF4447" s="580">
        <f t="shared" si="383"/>
        <v>2.5</v>
      </c>
      <c r="AG4447" s="580">
        <f t="shared" si="384"/>
        <v>0</v>
      </c>
      <c r="AH4447" s="580">
        <f t="shared" si="385"/>
        <v>0</v>
      </c>
    </row>
    <row r="4448" spans="28:34">
      <c r="AB4448" s="580">
        <f>HLOOKUP("*"&amp;'Output annual'!$AC$2&amp;'Output annual'!$AD$2&amp;"*Zone People Number Of Occupants [](Hourly)",'Eplus results'!$1:$1048576,ROW(),FALSE)</f>
        <v>0</v>
      </c>
      <c r="AC4448" s="580">
        <f>HLOOKUP("*"&amp;'Output annual'!$AC$2&amp;'Output annual'!$AD$2&amp;"*FangerPMV(Hourly)",'Eplus results'!$1:$1048576,ROW(),FALSE)</f>
        <v>0</v>
      </c>
      <c r="AD4448" s="580">
        <f t="shared" si="381"/>
        <v>5</v>
      </c>
      <c r="AE4448" s="580">
        <f t="shared" si="382"/>
        <v>2.5</v>
      </c>
      <c r="AF4448" s="580">
        <f t="shared" si="383"/>
        <v>2.5</v>
      </c>
      <c r="AG4448" s="580">
        <f t="shared" si="384"/>
        <v>0</v>
      </c>
      <c r="AH4448" s="580">
        <f t="shared" si="385"/>
        <v>0</v>
      </c>
    </row>
    <row r="4449" spans="28:34">
      <c r="AB4449" s="580">
        <f>HLOOKUP("*"&amp;'Output annual'!$AC$2&amp;'Output annual'!$AD$2&amp;"*Zone People Number Of Occupants [](Hourly)",'Eplus results'!$1:$1048576,ROW(),FALSE)</f>
        <v>0</v>
      </c>
      <c r="AC4449" s="580">
        <f>HLOOKUP("*"&amp;'Output annual'!$AC$2&amp;'Output annual'!$AD$2&amp;"*FangerPMV(Hourly)",'Eplus results'!$1:$1048576,ROW(),FALSE)</f>
        <v>0</v>
      </c>
      <c r="AD4449" s="580">
        <f t="shared" si="381"/>
        <v>5</v>
      </c>
      <c r="AE4449" s="580">
        <f t="shared" si="382"/>
        <v>2.5</v>
      </c>
      <c r="AF4449" s="580">
        <f t="shared" si="383"/>
        <v>2.5</v>
      </c>
      <c r="AG4449" s="580">
        <f t="shared" si="384"/>
        <v>0</v>
      </c>
      <c r="AH4449" s="580">
        <f t="shared" si="385"/>
        <v>0</v>
      </c>
    </row>
    <row r="4450" spans="28:34">
      <c r="AB4450" s="580">
        <f>HLOOKUP("*"&amp;'Output annual'!$AC$2&amp;'Output annual'!$AD$2&amp;"*Zone People Number Of Occupants [](Hourly)",'Eplus results'!$1:$1048576,ROW(),FALSE)</f>
        <v>0</v>
      </c>
      <c r="AC4450" s="580">
        <f>HLOOKUP("*"&amp;'Output annual'!$AC$2&amp;'Output annual'!$AD$2&amp;"*FangerPMV(Hourly)",'Eplus results'!$1:$1048576,ROW(),FALSE)</f>
        <v>0</v>
      </c>
      <c r="AD4450" s="580">
        <f t="shared" si="381"/>
        <v>5</v>
      </c>
      <c r="AE4450" s="580">
        <f t="shared" si="382"/>
        <v>2.5</v>
      </c>
      <c r="AF4450" s="580">
        <f t="shared" si="383"/>
        <v>2.5</v>
      </c>
      <c r="AG4450" s="580">
        <f t="shared" si="384"/>
        <v>0</v>
      </c>
      <c r="AH4450" s="580">
        <f t="shared" si="385"/>
        <v>0</v>
      </c>
    </row>
    <row r="4451" spans="28:34">
      <c r="AB4451" s="580">
        <f>HLOOKUP("*"&amp;'Output annual'!$AC$2&amp;'Output annual'!$AD$2&amp;"*Zone People Number Of Occupants [](Hourly)",'Eplus results'!$1:$1048576,ROW(),FALSE)</f>
        <v>0</v>
      </c>
      <c r="AC4451" s="580">
        <f>HLOOKUP("*"&amp;'Output annual'!$AC$2&amp;'Output annual'!$AD$2&amp;"*FangerPMV(Hourly)",'Eplus results'!$1:$1048576,ROW(),FALSE)</f>
        <v>0</v>
      </c>
      <c r="AD4451" s="580">
        <f t="shared" si="381"/>
        <v>5</v>
      </c>
      <c r="AE4451" s="580">
        <f t="shared" si="382"/>
        <v>2.5</v>
      </c>
      <c r="AF4451" s="580">
        <f t="shared" si="383"/>
        <v>2.5</v>
      </c>
      <c r="AG4451" s="580">
        <f t="shared" si="384"/>
        <v>0</v>
      </c>
      <c r="AH4451" s="580">
        <f t="shared" si="385"/>
        <v>0</v>
      </c>
    </row>
    <row r="4452" spans="28:34">
      <c r="AB4452" s="580">
        <f>HLOOKUP("*"&amp;'Output annual'!$AC$2&amp;'Output annual'!$AD$2&amp;"*Zone People Number Of Occupants [](Hourly)",'Eplus results'!$1:$1048576,ROW(),FALSE)</f>
        <v>0</v>
      </c>
      <c r="AC4452" s="580">
        <f>HLOOKUP("*"&amp;'Output annual'!$AC$2&amp;'Output annual'!$AD$2&amp;"*FangerPMV(Hourly)",'Eplus results'!$1:$1048576,ROW(),FALSE)</f>
        <v>0</v>
      </c>
      <c r="AD4452" s="580">
        <f t="shared" si="381"/>
        <v>5</v>
      </c>
      <c r="AE4452" s="580">
        <f t="shared" si="382"/>
        <v>2.5</v>
      </c>
      <c r="AF4452" s="580">
        <f t="shared" si="383"/>
        <v>2.5</v>
      </c>
      <c r="AG4452" s="580">
        <f t="shared" si="384"/>
        <v>0</v>
      </c>
      <c r="AH4452" s="580">
        <f t="shared" si="385"/>
        <v>0</v>
      </c>
    </row>
    <row r="4453" spans="28:34">
      <c r="AB4453" s="580">
        <f>HLOOKUP("*"&amp;'Output annual'!$AC$2&amp;'Output annual'!$AD$2&amp;"*Zone People Number Of Occupants [](Hourly)",'Eplus results'!$1:$1048576,ROW(),FALSE)</f>
        <v>0</v>
      </c>
      <c r="AC4453" s="580">
        <f>HLOOKUP("*"&amp;'Output annual'!$AC$2&amp;'Output annual'!$AD$2&amp;"*FangerPMV(Hourly)",'Eplus results'!$1:$1048576,ROW(),FALSE)</f>
        <v>0</v>
      </c>
      <c r="AD4453" s="580">
        <f t="shared" si="381"/>
        <v>5</v>
      </c>
      <c r="AE4453" s="580">
        <f t="shared" si="382"/>
        <v>2.5</v>
      </c>
      <c r="AF4453" s="580">
        <f t="shared" si="383"/>
        <v>2.5</v>
      </c>
      <c r="AG4453" s="580">
        <f t="shared" si="384"/>
        <v>0</v>
      </c>
      <c r="AH4453" s="580">
        <f t="shared" si="385"/>
        <v>0</v>
      </c>
    </row>
    <row r="4454" spans="28:34">
      <c r="AB4454" s="580">
        <f>HLOOKUP("*"&amp;'Output annual'!$AC$2&amp;'Output annual'!$AD$2&amp;"*Zone People Number Of Occupants [](Hourly)",'Eplus results'!$1:$1048576,ROW(),FALSE)</f>
        <v>0</v>
      </c>
      <c r="AC4454" s="580">
        <f>HLOOKUP("*"&amp;'Output annual'!$AC$2&amp;'Output annual'!$AD$2&amp;"*FangerPMV(Hourly)",'Eplus results'!$1:$1048576,ROW(),FALSE)</f>
        <v>0</v>
      </c>
      <c r="AD4454" s="580">
        <f t="shared" si="381"/>
        <v>5</v>
      </c>
      <c r="AE4454" s="580">
        <f t="shared" si="382"/>
        <v>2.5</v>
      </c>
      <c r="AF4454" s="580">
        <f t="shared" si="383"/>
        <v>2.5</v>
      </c>
      <c r="AG4454" s="580">
        <f t="shared" si="384"/>
        <v>0</v>
      </c>
      <c r="AH4454" s="580">
        <f t="shared" si="385"/>
        <v>0</v>
      </c>
    </row>
    <row r="4455" spans="28:34">
      <c r="AB4455" s="580">
        <f>HLOOKUP("*"&amp;'Output annual'!$AC$2&amp;'Output annual'!$AD$2&amp;"*Zone People Number Of Occupants [](Hourly)",'Eplus results'!$1:$1048576,ROW(),FALSE)</f>
        <v>0</v>
      </c>
      <c r="AC4455" s="580">
        <f>HLOOKUP("*"&amp;'Output annual'!$AC$2&amp;'Output annual'!$AD$2&amp;"*FangerPMV(Hourly)",'Eplus results'!$1:$1048576,ROW(),FALSE)</f>
        <v>0</v>
      </c>
      <c r="AD4455" s="580">
        <f t="shared" si="381"/>
        <v>5</v>
      </c>
      <c r="AE4455" s="580">
        <f t="shared" si="382"/>
        <v>2.5</v>
      </c>
      <c r="AF4455" s="580">
        <f t="shared" si="383"/>
        <v>2.5</v>
      </c>
      <c r="AG4455" s="580">
        <f t="shared" si="384"/>
        <v>0</v>
      </c>
      <c r="AH4455" s="580">
        <f t="shared" si="385"/>
        <v>0</v>
      </c>
    </row>
    <row r="4456" spans="28:34">
      <c r="AB4456" s="580">
        <f>HLOOKUP("*"&amp;'Output annual'!$AC$2&amp;'Output annual'!$AD$2&amp;"*Zone People Number Of Occupants [](Hourly)",'Eplus results'!$1:$1048576,ROW(),FALSE)</f>
        <v>0</v>
      </c>
      <c r="AC4456" s="580">
        <f>HLOOKUP("*"&amp;'Output annual'!$AC$2&amp;'Output annual'!$AD$2&amp;"*FangerPMV(Hourly)",'Eplus results'!$1:$1048576,ROW(),FALSE)</f>
        <v>0</v>
      </c>
      <c r="AD4456" s="580">
        <f t="shared" si="381"/>
        <v>5</v>
      </c>
      <c r="AE4456" s="580">
        <f t="shared" si="382"/>
        <v>2.5</v>
      </c>
      <c r="AF4456" s="580">
        <f t="shared" si="383"/>
        <v>2.5</v>
      </c>
      <c r="AG4456" s="580">
        <f t="shared" si="384"/>
        <v>0</v>
      </c>
      <c r="AH4456" s="580">
        <f t="shared" si="385"/>
        <v>0</v>
      </c>
    </row>
    <row r="4457" spans="28:34">
      <c r="AB4457" s="580">
        <f>HLOOKUP("*"&amp;'Output annual'!$AC$2&amp;'Output annual'!$AD$2&amp;"*Zone People Number Of Occupants [](Hourly)",'Eplus results'!$1:$1048576,ROW(),FALSE)</f>
        <v>0</v>
      </c>
      <c r="AC4457" s="580">
        <f>HLOOKUP("*"&amp;'Output annual'!$AC$2&amp;'Output annual'!$AD$2&amp;"*FangerPMV(Hourly)",'Eplus results'!$1:$1048576,ROW(),FALSE)</f>
        <v>0</v>
      </c>
      <c r="AD4457" s="580">
        <f t="shared" si="381"/>
        <v>5</v>
      </c>
      <c r="AE4457" s="580">
        <f t="shared" si="382"/>
        <v>2.5</v>
      </c>
      <c r="AF4457" s="580">
        <f t="shared" si="383"/>
        <v>2.5</v>
      </c>
      <c r="AG4457" s="580">
        <f t="shared" si="384"/>
        <v>0</v>
      </c>
      <c r="AH4457" s="580">
        <f t="shared" si="385"/>
        <v>0</v>
      </c>
    </row>
    <row r="4458" spans="28:34">
      <c r="AB4458" s="580">
        <f>HLOOKUP("*"&amp;'Output annual'!$AC$2&amp;'Output annual'!$AD$2&amp;"*Zone People Number Of Occupants [](Hourly)",'Eplus results'!$1:$1048576,ROW(),FALSE)</f>
        <v>0</v>
      </c>
      <c r="AC4458" s="580">
        <f>HLOOKUP("*"&amp;'Output annual'!$AC$2&amp;'Output annual'!$AD$2&amp;"*FangerPMV(Hourly)",'Eplus results'!$1:$1048576,ROW(),FALSE)</f>
        <v>0</v>
      </c>
      <c r="AD4458" s="580">
        <f t="shared" si="381"/>
        <v>5</v>
      </c>
      <c r="AE4458" s="580">
        <f t="shared" si="382"/>
        <v>2.5</v>
      </c>
      <c r="AF4458" s="580">
        <f t="shared" si="383"/>
        <v>2.5</v>
      </c>
      <c r="AG4458" s="580">
        <f t="shared" si="384"/>
        <v>0</v>
      </c>
      <c r="AH4458" s="580">
        <f t="shared" si="385"/>
        <v>0</v>
      </c>
    </row>
    <row r="4459" spans="28:34">
      <c r="AB4459" s="580">
        <f>HLOOKUP("*"&amp;'Output annual'!$AC$2&amp;'Output annual'!$AD$2&amp;"*Zone People Number Of Occupants [](Hourly)",'Eplus results'!$1:$1048576,ROW(),FALSE)</f>
        <v>0</v>
      </c>
      <c r="AC4459" s="580">
        <f>HLOOKUP("*"&amp;'Output annual'!$AC$2&amp;'Output annual'!$AD$2&amp;"*FangerPMV(Hourly)",'Eplus results'!$1:$1048576,ROW(),FALSE)</f>
        <v>0</v>
      </c>
      <c r="AD4459" s="580">
        <f t="shared" si="381"/>
        <v>5</v>
      </c>
      <c r="AE4459" s="580">
        <f t="shared" si="382"/>
        <v>2.5</v>
      </c>
      <c r="AF4459" s="580">
        <f t="shared" si="383"/>
        <v>2.5</v>
      </c>
      <c r="AG4459" s="580">
        <f t="shared" si="384"/>
        <v>0</v>
      </c>
      <c r="AH4459" s="580">
        <f t="shared" si="385"/>
        <v>0</v>
      </c>
    </row>
    <row r="4460" spans="28:34">
      <c r="AB4460" s="580">
        <f>HLOOKUP("*"&amp;'Output annual'!$AC$2&amp;'Output annual'!$AD$2&amp;"*Zone People Number Of Occupants [](Hourly)",'Eplus results'!$1:$1048576,ROW(),FALSE)</f>
        <v>0</v>
      </c>
      <c r="AC4460" s="580">
        <f>HLOOKUP("*"&amp;'Output annual'!$AC$2&amp;'Output annual'!$AD$2&amp;"*FangerPMV(Hourly)",'Eplus results'!$1:$1048576,ROW(),FALSE)</f>
        <v>0</v>
      </c>
      <c r="AD4460" s="580">
        <f t="shared" si="381"/>
        <v>5</v>
      </c>
      <c r="AE4460" s="580">
        <f t="shared" si="382"/>
        <v>2.5</v>
      </c>
      <c r="AF4460" s="580">
        <f t="shared" si="383"/>
        <v>2.5</v>
      </c>
      <c r="AG4460" s="580">
        <f t="shared" si="384"/>
        <v>0</v>
      </c>
      <c r="AH4460" s="580">
        <f t="shared" si="385"/>
        <v>0</v>
      </c>
    </row>
    <row r="4461" spans="28:34">
      <c r="AB4461" s="580">
        <f>HLOOKUP("*"&amp;'Output annual'!$AC$2&amp;'Output annual'!$AD$2&amp;"*Zone People Number Of Occupants [](Hourly)",'Eplus results'!$1:$1048576,ROW(),FALSE)</f>
        <v>0</v>
      </c>
      <c r="AC4461" s="580">
        <f>HLOOKUP("*"&amp;'Output annual'!$AC$2&amp;'Output annual'!$AD$2&amp;"*FangerPMV(Hourly)",'Eplus results'!$1:$1048576,ROW(),FALSE)</f>
        <v>0</v>
      </c>
      <c r="AD4461" s="580">
        <f t="shared" si="381"/>
        <v>5</v>
      </c>
      <c r="AE4461" s="580">
        <f t="shared" si="382"/>
        <v>2.5</v>
      </c>
      <c r="AF4461" s="580">
        <f t="shared" si="383"/>
        <v>2.5</v>
      </c>
      <c r="AG4461" s="580">
        <f t="shared" si="384"/>
        <v>0</v>
      </c>
      <c r="AH4461" s="580">
        <f t="shared" si="385"/>
        <v>0</v>
      </c>
    </row>
    <row r="4462" spans="28:34">
      <c r="AB4462" s="580">
        <f>HLOOKUP("*"&amp;'Output annual'!$AC$2&amp;'Output annual'!$AD$2&amp;"*Zone People Number Of Occupants [](Hourly)",'Eplus results'!$1:$1048576,ROW(),FALSE)</f>
        <v>0</v>
      </c>
      <c r="AC4462" s="580">
        <f>HLOOKUP("*"&amp;'Output annual'!$AC$2&amp;'Output annual'!$AD$2&amp;"*FangerPMV(Hourly)",'Eplus results'!$1:$1048576,ROW(),FALSE)</f>
        <v>0</v>
      </c>
      <c r="AD4462" s="580">
        <f t="shared" si="381"/>
        <v>5</v>
      </c>
      <c r="AE4462" s="580">
        <f t="shared" si="382"/>
        <v>2.5</v>
      </c>
      <c r="AF4462" s="580">
        <f t="shared" si="383"/>
        <v>2.5</v>
      </c>
      <c r="AG4462" s="580">
        <f t="shared" si="384"/>
        <v>0</v>
      </c>
      <c r="AH4462" s="580">
        <f t="shared" si="385"/>
        <v>0</v>
      </c>
    </row>
    <row r="4463" spans="28:34">
      <c r="AB4463" s="580">
        <f>HLOOKUP("*"&amp;'Output annual'!$AC$2&amp;'Output annual'!$AD$2&amp;"*Zone People Number Of Occupants [](Hourly)",'Eplus results'!$1:$1048576,ROW(),FALSE)</f>
        <v>0</v>
      </c>
      <c r="AC4463" s="580">
        <f>HLOOKUP("*"&amp;'Output annual'!$AC$2&amp;'Output annual'!$AD$2&amp;"*FangerPMV(Hourly)",'Eplus results'!$1:$1048576,ROW(),FALSE)</f>
        <v>0</v>
      </c>
      <c r="AD4463" s="580">
        <f t="shared" si="381"/>
        <v>5</v>
      </c>
      <c r="AE4463" s="580">
        <f t="shared" si="382"/>
        <v>2.5</v>
      </c>
      <c r="AF4463" s="580">
        <f t="shared" si="383"/>
        <v>2.5</v>
      </c>
      <c r="AG4463" s="580">
        <f t="shared" si="384"/>
        <v>0</v>
      </c>
      <c r="AH4463" s="580">
        <f t="shared" si="385"/>
        <v>0</v>
      </c>
    </row>
    <row r="4464" spans="28:34">
      <c r="AB4464" s="580">
        <f>HLOOKUP("*"&amp;'Output annual'!$AC$2&amp;'Output annual'!$AD$2&amp;"*Zone People Number Of Occupants [](Hourly)",'Eplus results'!$1:$1048576,ROW(),FALSE)</f>
        <v>0</v>
      </c>
      <c r="AC4464" s="580">
        <f>HLOOKUP("*"&amp;'Output annual'!$AC$2&amp;'Output annual'!$AD$2&amp;"*FangerPMV(Hourly)",'Eplus results'!$1:$1048576,ROW(),FALSE)</f>
        <v>0</v>
      </c>
      <c r="AD4464" s="580">
        <f t="shared" si="381"/>
        <v>5</v>
      </c>
      <c r="AE4464" s="580">
        <f t="shared" si="382"/>
        <v>2.5</v>
      </c>
      <c r="AF4464" s="580">
        <f t="shared" si="383"/>
        <v>2.5</v>
      </c>
      <c r="AG4464" s="580">
        <f t="shared" si="384"/>
        <v>0</v>
      </c>
      <c r="AH4464" s="580">
        <f t="shared" si="385"/>
        <v>0</v>
      </c>
    </row>
    <row r="4465" spans="28:34">
      <c r="AB4465" s="580">
        <f>HLOOKUP("*"&amp;'Output annual'!$AC$2&amp;'Output annual'!$AD$2&amp;"*Zone People Number Of Occupants [](Hourly)",'Eplus results'!$1:$1048576,ROW(),FALSE)</f>
        <v>0</v>
      </c>
      <c r="AC4465" s="580">
        <f>HLOOKUP("*"&amp;'Output annual'!$AC$2&amp;'Output annual'!$AD$2&amp;"*FangerPMV(Hourly)",'Eplus results'!$1:$1048576,ROW(),FALSE)</f>
        <v>0</v>
      </c>
      <c r="AD4465" s="580">
        <f t="shared" si="381"/>
        <v>5</v>
      </c>
      <c r="AE4465" s="580">
        <f t="shared" si="382"/>
        <v>2.5</v>
      </c>
      <c r="AF4465" s="580">
        <f t="shared" si="383"/>
        <v>2.5</v>
      </c>
      <c r="AG4465" s="580">
        <f t="shared" si="384"/>
        <v>0</v>
      </c>
      <c r="AH4465" s="580">
        <f t="shared" si="385"/>
        <v>0</v>
      </c>
    </row>
    <row r="4466" spans="28:34">
      <c r="AB4466" s="580">
        <f>HLOOKUP("*"&amp;'Output annual'!$AC$2&amp;'Output annual'!$AD$2&amp;"*Zone People Number Of Occupants [](Hourly)",'Eplus results'!$1:$1048576,ROW(),FALSE)</f>
        <v>0</v>
      </c>
      <c r="AC4466" s="580">
        <f>HLOOKUP("*"&amp;'Output annual'!$AC$2&amp;'Output annual'!$AD$2&amp;"*FangerPMV(Hourly)",'Eplus results'!$1:$1048576,ROW(),FALSE)</f>
        <v>0</v>
      </c>
      <c r="AD4466" s="580">
        <f t="shared" si="381"/>
        <v>5</v>
      </c>
      <c r="AE4466" s="580">
        <f t="shared" si="382"/>
        <v>2.5</v>
      </c>
      <c r="AF4466" s="580">
        <f t="shared" si="383"/>
        <v>2.5</v>
      </c>
      <c r="AG4466" s="580">
        <f t="shared" si="384"/>
        <v>0</v>
      </c>
      <c r="AH4466" s="580">
        <f t="shared" si="385"/>
        <v>0</v>
      </c>
    </row>
    <row r="4467" spans="28:34">
      <c r="AB4467" s="580">
        <f>HLOOKUP("*"&amp;'Output annual'!$AC$2&amp;'Output annual'!$AD$2&amp;"*Zone People Number Of Occupants [](Hourly)",'Eplus results'!$1:$1048576,ROW(),FALSE)</f>
        <v>0</v>
      </c>
      <c r="AC4467" s="580">
        <f>HLOOKUP("*"&amp;'Output annual'!$AC$2&amp;'Output annual'!$AD$2&amp;"*FangerPMV(Hourly)",'Eplus results'!$1:$1048576,ROW(),FALSE)</f>
        <v>0</v>
      </c>
      <c r="AD4467" s="580">
        <f t="shared" si="381"/>
        <v>5</v>
      </c>
      <c r="AE4467" s="580">
        <f t="shared" si="382"/>
        <v>2.5</v>
      </c>
      <c r="AF4467" s="580">
        <f t="shared" si="383"/>
        <v>2.5</v>
      </c>
      <c r="AG4467" s="580">
        <f t="shared" si="384"/>
        <v>0</v>
      </c>
      <c r="AH4467" s="580">
        <f t="shared" si="385"/>
        <v>0</v>
      </c>
    </row>
    <row r="4468" spans="28:34">
      <c r="AB4468" s="580">
        <f>HLOOKUP("*"&amp;'Output annual'!$AC$2&amp;'Output annual'!$AD$2&amp;"*Zone People Number Of Occupants [](Hourly)",'Eplus results'!$1:$1048576,ROW(),FALSE)</f>
        <v>0</v>
      </c>
      <c r="AC4468" s="580">
        <f>HLOOKUP("*"&amp;'Output annual'!$AC$2&amp;'Output annual'!$AD$2&amp;"*FangerPMV(Hourly)",'Eplus results'!$1:$1048576,ROW(),FALSE)</f>
        <v>0</v>
      </c>
      <c r="AD4468" s="580">
        <f t="shared" si="381"/>
        <v>5</v>
      </c>
      <c r="AE4468" s="580">
        <f t="shared" si="382"/>
        <v>2.5</v>
      </c>
      <c r="AF4468" s="580">
        <f t="shared" si="383"/>
        <v>2.5</v>
      </c>
      <c r="AG4468" s="580">
        <f t="shared" si="384"/>
        <v>0</v>
      </c>
      <c r="AH4468" s="580">
        <f t="shared" si="385"/>
        <v>0</v>
      </c>
    </row>
    <row r="4469" spans="28:34">
      <c r="AB4469" s="580">
        <f>HLOOKUP("*"&amp;'Output annual'!$AC$2&amp;'Output annual'!$AD$2&amp;"*Zone People Number Of Occupants [](Hourly)",'Eplus results'!$1:$1048576,ROW(),FALSE)</f>
        <v>0</v>
      </c>
      <c r="AC4469" s="580">
        <f>HLOOKUP("*"&amp;'Output annual'!$AC$2&amp;'Output annual'!$AD$2&amp;"*FangerPMV(Hourly)",'Eplus results'!$1:$1048576,ROW(),FALSE)</f>
        <v>0</v>
      </c>
      <c r="AD4469" s="580">
        <f t="shared" si="381"/>
        <v>5</v>
      </c>
      <c r="AE4469" s="580">
        <f t="shared" si="382"/>
        <v>2.5</v>
      </c>
      <c r="AF4469" s="580">
        <f t="shared" si="383"/>
        <v>2.5</v>
      </c>
      <c r="AG4469" s="580">
        <f t="shared" si="384"/>
        <v>0</v>
      </c>
      <c r="AH4469" s="580">
        <f t="shared" si="385"/>
        <v>0</v>
      </c>
    </row>
    <row r="4470" spans="28:34">
      <c r="AB4470" s="580">
        <f>HLOOKUP("*"&amp;'Output annual'!$AC$2&amp;'Output annual'!$AD$2&amp;"*Zone People Number Of Occupants [](Hourly)",'Eplus results'!$1:$1048576,ROW(),FALSE)</f>
        <v>0</v>
      </c>
      <c r="AC4470" s="580">
        <f>HLOOKUP("*"&amp;'Output annual'!$AC$2&amp;'Output annual'!$AD$2&amp;"*FangerPMV(Hourly)",'Eplus results'!$1:$1048576,ROW(),FALSE)</f>
        <v>0</v>
      </c>
      <c r="AD4470" s="580">
        <f t="shared" si="381"/>
        <v>5</v>
      </c>
      <c r="AE4470" s="580">
        <f t="shared" si="382"/>
        <v>2.5</v>
      </c>
      <c r="AF4470" s="580">
        <f t="shared" si="383"/>
        <v>2.5</v>
      </c>
      <c r="AG4470" s="580">
        <f t="shared" si="384"/>
        <v>0</v>
      </c>
      <c r="AH4470" s="580">
        <f t="shared" si="385"/>
        <v>0</v>
      </c>
    </row>
    <row r="4471" spans="28:34">
      <c r="AB4471" s="580">
        <f>HLOOKUP("*"&amp;'Output annual'!$AC$2&amp;'Output annual'!$AD$2&amp;"*Zone People Number Of Occupants [](Hourly)",'Eplus results'!$1:$1048576,ROW(),FALSE)</f>
        <v>0</v>
      </c>
      <c r="AC4471" s="580">
        <f>HLOOKUP("*"&amp;'Output annual'!$AC$2&amp;'Output annual'!$AD$2&amp;"*FangerPMV(Hourly)",'Eplus results'!$1:$1048576,ROW(),FALSE)</f>
        <v>0</v>
      </c>
      <c r="AD4471" s="580">
        <f t="shared" si="381"/>
        <v>5</v>
      </c>
      <c r="AE4471" s="580">
        <f t="shared" si="382"/>
        <v>2.5</v>
      </c>
      <c r="AF4471" s="580">
        <f t="shared" si="383"/>
        <v>2.5</v>
      </c>
      <c r="AG4471" s="580">
        <f t="shared" si="384"/>
        <v>0</v>
      </c>
      <c r="AH4471" s="580">
        <f t="shared" si="385"/>
        <v>0</v>
      </c>
    </row>
    <row r="4472" spans="28:34">
      <c r="AB4472" s="580">
        <f>HLOOKUP("*"&amp;'Output annual'!$AC$2&amp;'Output annual'!$AD$2&amp;"*Zone People Number Of Occupants [](Hourly)",'Eplus results'!$1:$1048576,ROW(),FALSE)</f>
        <v>0</v>
      </c>
      <c r="AC4472" s="580">
        <f>HLOOKUP("*"&amp;'Output annual'!$AC$2&amp;'Output annual'!$AD$2&amp;"*FangerPMV(Hourly)",'Eplus results'!$1:$1048576,ROW(),FALSE)</f>
        <v>0</v>
      </c>
      <c r="AD4472" s="580">
        <f t="shared" si="381"/>
        <v>5</v>
      </c>
      <c r="AE4472" s="580">
        <f t="shared" si="382"/>
        <v>2.5</v>
      </c>
      <c r="AF4472" s="580">
        <f t="shared" si="383"/>
        <v>2.5</v>
      </c>
      <c r="AG4472" s="580">
        <f t="shared" si="384"/>
        <v>0</v>
      </c>
      <c r="AH4472" s="580">
        <f t="shared" si="385"/>
        <v>0</v>
      </c>
    </row>
    <row r="4473" spans="28:34">
      <c r="AB4473" s="580">
        <f>HLOOKUP("*"&amp;'Output annual'!$AC$2&amp;'Output annual'!$AD$2&amp;"*Zone People Number Of Occupants [](Hourly)",'Eplus results'!$1:$1048576,ROW(),FALSE)</f>
        <v>0</v>
      </c>
      <c r="AC4473" s="580">
        <f>HLOOKUP("*"&amp;'Output annual'!$AC$2&amp;'Output annual'!$AD$2&amp;"*FangerPMV(Hourly)",'Eplus results'!$1:$1048576,ROW(),FALSE)</f>
        <v>0</v>
      </c>
      <c r="AD4473" s="580">
        <f t="shared" si="381"/>
        <v>5</v>
      </c>
      <c r="AE4473" s="580">
        <f t="shared" si="382"/>
        <v>2.5</v>
      </c>
      <c r="AF4473" s="580">
        <f t="shared" si="383"/>
        <v>2.5</v>
      </c>
      <c r="AG4473" s="580">
        <f t="shared" si="384"/>
        <v>0</v>
      </c>
      <c r="AH4473" s="580">
        <f t="shared" si="385"/>
        <v>0</v>
      </c>
    </row>
    <row r="4474" spans="28:34">
      <c r="AB4474" s="580">
        <f>HLOOKUP("*"&amp;'Output annual'!$AC$2&amp;'Output annual'!$AD$2&amp;"*Zone People Number Of Occupants [](Hourly)",'Eplus results'!$1:$1048576,ROW(),FALSE)</f>
        <v>0</v>
      </c>
      <c r="AC4474" s="580">
        <f>HLOOKUP("*"&amp;'Output annual'!$AC$2&amp;'Output annual'!$AD$2&amp;"*FangerPMV(Hourly)",'Eplus results'!$1:$1048576,ROW(),FALSE)</f>
        <v>0</v>
      </c>
      <c r="AD4474" s="580">
        <f t="shared" si="381"/>
        <v>5</v>
      </c>
      <c r="AE4474" s="580">
        <f t="shared" si="382"/>
        <v>2.5</v>
      </c>
      <c r="AF4474" s="580">
        <f t="shared" si="383"/>
        <v>2.5</v>
      </c>
      <c r="AG4474" s="580">
        <f t="shared" si="384"/>
        <v>0</v>
      </c>
      <c r="AH4474" s="580">
        <f t="shared" si="385"/>
        <v>0</v>
      </c>
    </row>
    <row r="4475" spans="28:34">
      <c r="AB4475" s="580">
        <f>HLOOKUP("*"&amp;'Output annual'!$AC$2&amp;'Output annual'!$AD$2&amp;"*Zone People Number Of Occupants [](Hourly)",'Eplus results'!$1:$1048576,ROW(),FALSE)</f>
        <v>0</v>
      </c>
      <c r="AC4475" s="580">
        <f>HLOOKUP("*"&amp;'Output annual'!$AC$2&amp;'Output annual'!$AD$2&amp;"*FangerPMV(Hourly)",'Eplus results'!$1:$1048576,ROW(),FALSE)</f>
        <v>0</v>
      </c>
      <c r="AD4475" s="580">
        <f t="shared" si="381"/>
        <v>5</v>
      </c>
      <c r="AE4475" s="580">
        <f t="shared" si="382"/>
        <v>2.5</v>
      </c>
      <c r="AF4475" s="580">
        <f t="shared" si="383"/>
        <v>2.5</v>
      </c>
      <c r="AG4475" s="580">
        <f t="shared" si="384"/>
        <v>0</v>
      </c>
      <c r="AH4475" s="580">
        <f t="shared" si="385"/>
        <v>0</v>
      </c>
    </row>
    <row r="4476" spans="28:34">
      <c r="AB4476" s="580">
        <f>HLOOKUP("*"&amp;'Output annual'!$AC$2&amp;'Output annual'!$AD$2&amp;"*Zone People Number Of Occupants [](Hourly)",'Eplus results'!$1:$1048576,ROW(),FALSE)</f>
        <v>0</v>
      </c>
      <c r="AC4476" s="580">
        <f>HLOOKUP("*"&amp;'Output annual'!$AC$2&amp;'Output annual'!$AD$2&amp;"*FangerPMV(Hourly)",'Eplus results'!$1:$1048576,ROW(),FALSE)</f>
        <v>0</v>
      </c>
      <c r="AD4476" s="580">
        <f t="shared" si="381"/>
        <v>5</v>
      </c>
      <c r="AE4476" s="580">
        <f t="shared" si="382"/>
        <v>2.5</v>
      </c>
      <c r="AF4476" s="580">
        <f t="shared" si="383"/>
        <v>2.5</v>
      </c>
      <c r="AG4476" s="580">
        <f t="shared" si="384"/>
        <v>0</v>
      </c>
      <c r="AH4476" s="580">
        <f t="shared" si="385"/>
        <v>0</v>
      </c>
    </row>
    <row r="4477" spans="28:34">
      <c r="AB4477" s="580">
        <f>HLOOKUP("*"&amp;'Output annual'!$AC$2&amp;'Output annual'!$AD$2&amp;"*Zone People Number Of Occupants [](Hourly)",'Eplus results'!$1:$1048576,ROW(),FALSE)</f>
        <v>0</v>
      </c>
      <c r="AC4477" s="580">
        <f>HLOOKUP("*"&amp;'Output annual'!$AC$2&amp;'Output annual'!$AD$2&amp;"*FangerPMV(Hourly)",'Eplus results'!$1:$1048576,ROW(),FALSE)</f>
        <v>0</v>
      </c>
      <c r="AD4477" s="580">
        <f t="shared" si="381"/>
        <v>5</v>
      </c>
      <c r="AE4477" s="580">
        <f t="shared" si="382"/>
        <v>2.5</v>
      </c>
      <c r="AF4477" s="580">
        <f t="shared" si="383"/>
        <v>2.5</v>
      </c>
      <c r="AG4477" s="580">
        <f t="shared" si="384"/>
        <v>0</v>
      </c>
      <c r="AH4477" s="580">
        <f t="shared" si="385"/>
        <v>0</v>
      </c>
    </row>
    <row r="4478" spans="28:34">
      <c r="AB4478" s="580">
        <f>HLOOKUP("*"&amp;'Output annual'!$AC$2&amp;'Output annual'!$AD$2&amp;"*Zone People Number Of Occupants [](Hourly)",'Eplus results'!$1:$1048576,ROW(),FALSE)</f>
        <v>0</v>
      </c>
      <c r="AC4478" s="580">
        <f>HLOOKUP("*"&amp;'Output annual'!$AC$2&amp;'Output annual'!$AD$2&amp;"*FangerPMV(Hourly)",'Eplus results'!$1:$1048576,ROW(),FALSE)</f>
        <v>0</v>
      </c>
      <c r="AD4478" s="580">
        <f t="shared" si="381"/>
        <v>5</v>
      </c>
      <c r="AE4478" s="580">
        <f t="shared" si="382"/>
        <v>2.5</v>
      </c>
      <c r="AF4478" s="580">
        <f t="shared" si="383"/>
        <v>2.5</v>
      </c>
      <c r="AG4478" s="580">
        <f t="shared" si="384"/>
        <v>0</v>
      </c>
      <c r="AH4478" s="580">
        <f t="shared" si="385"/>
        <v>0</v>
      </c>
    </row>
    <row r="4479" spans="28:34">
      <c r="AB4479" s="580">
        <f>HLOOKUP("*"&amp;'Output annual'!$AC$2&amp;'Output annual'!$AD$2&amp;"*Zone People Number Of Occupants [](Hourly)",'Eplus results'!$1:$1048576,ROW(),FALSE)</f>
        <v>0</v>
      </c>
      <c r="AC4479" s="580">
        <f>HLOOKUP("*"&amp;'Output annual'!$AC$2&amp;'Output annual'!$AD$2&amp;"*FangerPMV(Hourly)",'Eplus results'!$1:$1048576,ROW(),FALSE)</f>
        <v>0</v>
      </c>
      <c r="AD4479" s="580">
        <f t="shared" si="381"/>
        <v>5</v>
      </c>
      <c r="AE4479" s="580">
        <f t="shared" si="382"/>
        <v>2.5</v>
      </c>
      <c r="AF4479" s="580">
        <f t="shared" si="383"/>
        <v>2.5</v>
      </c>
      <c r="AG4479" s="580">
        <f t="shared" si="384"/>
        <v>0</v>
      </c>
      <c r="AH4479" s="580">
        <f t="shared" si="385"/>
        <v>0</v>
      </c>
    </row>
    <row r="4480" spans="28:34">
      <c r="AB4480" s="580">
        <f>HLOOKUP("*"&amp;'Output annual'!$AC$2&amp;'Output annual'!$AD$2&amp;"*Zone People Number Of Occupants [](Hourly)",'Eplus results'!$1:$1048576,ROW(),FALSE)</f>
        <v>0</v>
      </c>
      <c r="AC4480" s="580">
        <f>HLOOKUP("*"&amp;'Output annual'!$AC$2&amp;'Output annual'!$AD$2&amp;"*FangerPMV(Hourly)",'Eplus results'!$1:$1048576,ROW(),FALSE)</f>
        <v>0</v>
      </c>
      <c r="AD4480" s="580">
        <f t="shared" si="381"/>
        <v>5</v>
      </c>
      <c r="AE4480" s="580">
        <f t="shared" si="382"/>
        <v>2.5</v>
      </c>
      <c r="AF4480" s="580">
        <f t="shared" si="383"/>
        <v>2.5</v>
      </c>
      <c r="AG4480" s="580">
        <f t="shared" si="384"/>
        <v>0</v>
      </c>
      <c r="AH4480" s="580">
        <f t="shared" si="385"/>
        <v>0</v>
      </c>
    </row>
    <row r="4481" spans="28:34">
      <c r="AB4481" s="580">
        <f>HLOOKUP("*"&amp;'Output annual'!$AC$2&amp;'Output annual'!$AD$2&amp;"*Zone People Number Of Occupants [](Hourly)",'Eplus results'!$1:$1048576,ROW(),FALSE)</f>
        <v>0</v>
      </c>
      <c r="AC4481" s="580">
        <f>HLOOKUP("*"&amp;'Output annual'!$AC$2&amp;'Output annual'!$AD$2&amp;"*FangerPMV(Hourly)",'Eplus results'!$1:$1048576,ROW(),FALSE)</f>
        <v>0</v>
      </c>
      <c r="AD4481" s="580">
        <f t="shared" si="381"/>
        <v>5</v>
      </c>
      <c r="AE4481" s="580">
        <f t="shared" si="382"/>
        <v>2.5</v>
      </c>
      <c r="AF4481" s="580">
        <f t="shared" si="383"/>
        <v>2.5</v>
      </c>
      <c r="AG4481" s="580">
        <f t="shared" si="384"/>
        <v>0</v>
      </c>
      <c r="AH4481" s="580">
        <f t="shared" si="385"/>
        <v>0</v>
      </c>
    </row>
    <row r="4482" spans="28:34">
      <c r="AB4482" s="580">
        <f>HLOOKUP("*"&amp;'Output annual'!$AC$2&amp;'Output annual'!$AD$2&amp;"*Zone People Number Of Occupants [](Hourly)",'Eplus results'!$1:$1048576,ROW(),FALSE)</f>
        <v>0</v>
      </c>
      <c r="AC4482" s="580">
        <f>HLOOKUP("*"&amp;'Output annual'!$AC$2&amp;'Output annual'!$AD$2&amp;"*FangerPMV(Hourly)",'Eplus results'!$1:$1048576,ROW(),FALSE)</f>
        <v>0</v>
      </c>
      <c r="AD4482" s="580">
        <f t="shared" si="381"/>
        <v>5</v>
      </c>
      <c r="AE4482" s="580">
        <f t="shared" si="382"/>
        <v>2.5</v>
      </c>
      <c r="AF4482" s="580">
        <f t="shared" si="383"/>
        <v>2.5</v>
      </c>
      <c r="AG4482" s="580">
        <f t="shared" si="384"/>
        <v>0</v>
      </c>
      <c r="AH4482" s="580">
        <f t="shared" si="385"/>
        <v>0</v>
      </c>
    </row>
    <row r="4483" spans="28:34">
      <c r="AB4483" s="580">
        <f>HLOOKUP("*"&amp;'Output annual'!$AC$2&amp;'Output annual'!$AD$2&amp;"*Zone People Number Of Occupants [](Hourly)",'Eplus results'!$1:$1048576,ROW(),FALSE)</f>
        <v>0</v>
      </c>
      <c r="AC4483" s="580">
        <f>HLOOKUP("*"&amp;'Output annual'!$AC$2&amp;'Output annual'!$AD$2&amp;"*FangerPMV(Hourly)",'Eplus results'!$1:$1048576,ROW(),FALSE)</f>
        <v>0</v>
      </c>
      <c r="AD4483" s="580">
        <f t="shared" ref="AD4483:AD4546" si="386">100-95*EXP(-0.03353*AC4483^4-0.2179*AC4483^2)</f>
        <v>5</v>
      </c>
      <c r="AE4483" s="580">
        <f t="shared" ref="AE4483:AE4546" si="387">AD4483*(1/(1+EXP(-6.3*$AC4483)))</f>
        <v>2.5</v>
      </c>
      <c r="AF4483" s="580">
        <f t="shared" ref="AF4483:AF4546" si="388">(AD4483-AE4483)</f>
        <v>2.5</v>
      </c>
      <c r="AG4483" s="580">
        <f t="shared" ref="AG4483:AG4546" si="389">AE4483*AB4483</f>
        <v>0</v>
      </c>
      <c r="AH4483" s="580">
        <f t="shared" ref="AH4483:AH4546" si="390">AF4483*AB4483</f>
        <v>0</v>
      </c>
    </row>
    <row r="4484" spans="28:34">
      <c r="AB4484" s="580">
        <f>HLOOKUP("*"&amp;'Output annual'!$AC$2&amp;'Output annual'!$AD$2&amp;"*Zone People Number Of Occupants [](Hourly)",'Eplus results'!$1:$1048576,ROW(),FALSE)</f>
        <v>0</v>
      </c>
      <c r="AC4484" s="580">
        <f>HLOOKUP("*"&amp;'Output annual'!$AC$2&amp;'Output annual'!$AD$2&amp;"*FangerPMV(Hourly)",'Eplus results'!$1:$1048576,ROW(),FALSE)</f>
        <v>0</v>
      </c>
      <c r="AD4484" s="580">
        <f t="shared" si="386"/>
        <v>5</v>
      </c>
      <c r="AE4484" s="580">
        <f t="shared" si="387"/>
        <v>2.5</v>
      </c>
      <c r="AF4484" s="580">
        <f t="shared" si="388"/>
        <v>2.5</v>
      </c>
      <c r="AG4484" s="580">
        <f t="shared" si="389"/>
        <v>0</v>
      </c>
      <c r="AH4484" s="580">
        <f t="shared" si="390"/>
        <v>0</v>
      </c>
    </row>
    <row r="4485" spans="28:34">
      <c r="AB4485" s="580">
        <f>HLOOKUP("*"&amp;'Output annual'!$AC$2&amp;'Output annual'!$AD$2&amp;"*Zone People Number Of Occupants [](Hourly)",'Eplus results'!$1:$1048576,ROW(),FALSE)</f>
        <v>0</v>
      </c>
      <c r="AC4485" s="580">
        <f>HLOOKUP("*"&amp;'Output annual'!$AC$2&amp;'Output annual'!$AD$2&amp;"*FangerPMV(Hourly)",'Eplus results'!$1:$1048576,ROW(),FALSE)</f>
        <v>0</v>
      </c>
      <c r="AD4485" s="580">
        <f t="shared" si="386"/>
        <v>5</v>
      </c>
      <c r="AE4485" s="580">
        <f t="shared" si="387"/>
        <v>2.5</v>
      </c>
      <c r="AF4485" s="580">
        <f t="shared" si="388"/>
        <v>2.5</v>
      </c>
      <c r="AG4485" s="580">
        <f t="shared" si="389"/>
        <v>0</v>
      </c>
      <c r="AH4485" s="580">
        <f t="shared" si="390"/>
        <v>0</v>
      </c>
    </row>
    <row r="4486" spans="28:34">
      <c r="AB4486" s="580">
        <f>HLOOKUP("*"&amp;'Output annual'!$AC$2&amp;'Output annual'!$AD$2&amp;"*Zone People Number Of Occupants [](Hourly)",'Eplus results'!$1:$1048576,ROW(),FALSE)</f>
        <v>0</v>
      </c>
      <c r="AC4486" s="580">
        <f>HLOOKUP("*"&amp;'Output annual'!$AC$2&amp;'Output annual'!$AD$2&amp;"*FangerPMV(Hourly)",'Eplus results'!$1:$1048576,ROW(),FALSE)</f>
        <v>0</v>
      </c>
      <c r="AD4486" s="580">
        <f t="shared" si="386"/>
        <v>5</v>
      </c>
      <c r="AE4486" s="580">
        <f t="shared" si="387"/>
        <v>2.5</v>
      </c>
      <c r="AF4486" s="580">
        <f t="shared" si="388"/>
        <v>2.5</v>
      </c>
      <c r="AG4486" s="580">
        <f t="shared" si="389"/>
        <v>0</v>
      </c>
      <c r="AH4486" s="580">
        <f t="shared" si="390"/>
        <v>0</v>
      </c>
    </row>
    <row r="4487" spans="28:34">
      <c r="AB4487" s="580">
        <f>HLOOKUP("*"&amp;'Output annual'!$AC$2&amp;'Output annual'!$AD$2&amp;"*Zone People Number Of Occupants [](Hourly)",'Eplus results'!$1:$1048576,ROW(),FALSE)</f>
        <v>0</v>
      </c>
      <c r="AC4487" s="580">
        <f>HLOOKUP("*"&amp;'Output annual'!$AC$2&amp;'Output annual'!$AD$2&amp;"*FangerPMV(Hourly)",'Eplus results'!$1:$1048576,ROW(),FALSE)</f>
        <v>0</v>
      </c>
      <c r="AD4487" s="580">
        <f t="shared" si="386"/>
        <v>5</v>
      </c>
      <c r="AE4487" s="580">
        <f t="shared" si="387"/>
        <v>2.5</v>
      </c>
      <c r="AF4487" s="580">
        <f t="shared" si="388"/>
        <v>2.5</v>
      </c>
      <c r="AG4487" s="580">
        <f t="shared" si="389"/>
        <v>0</v>
      </c>
      <c r="AH4487" s="580">
        <f t="shared" si="390"/>
        <v>0</v>
      </c>
    </row>
    <row r="4488" spans="28:34">
      <c r="AB4488" s="580">
        <f>HLOOKUP("*"&amp;'Output annual'!$AC$2&amp;'Output annual'!$AD$2&amp;"*Zone People Number Of Occupants [](Hourly)",'Eplus results'!$1:$1048576,ROW(),FALSE)</f>
        <v>0</v>
      </c>
      <c r="AC4488" s="580">
        <f>HLOOKUP("*"&amp;'Output annual'!$AC$2&amp;'Output annual'!$AD$2&amp;"*FangerPMV(Hourly)",'Eplus results'!$1:$1048576,ROW(),FALSE)</f>
        <v>0</v>
      </c>
      <c r="AD4488" s="580">
        <f t="shared" si="386"/>
        <v>5</v>
      </c>
      <c r="AE4488" s="580">
        <f t="shared" si="387"/>
        <v>2.5</v>
      </c>
      <c r="AF4488" s="580">
        <f t="shared" si="388"/>
        <v>2.5</v>
      </c>
      <c r="AG4488" s="580">
        <f t="shared" si="389"/>
        <v>0</v>
      </c>
      <c r="AH4488" s="580">
        <f t="shared" si="390"/>
        <v>0</v>
      </c>
    </row>
    <row r="4489" spans="28:34">
      <c r="AB4489" s="580">
        <f>HLOOKUP("*"&amp;'Output annual'!$AC$2&amp;'Output annual'!$AD$2&amp;"*Zone People Number Of Occupants [](Hourly)",'Eplus results'!$1:$1048576,ROW(),FALSE)</f>
        <v>0</v>
      </c>
      <c r="AC4489" s="580">
        <f>HLOOKUP("*"&amp;'Output annual'!$AC$2&amp;'Output annual'!$AD$2&amp;"*FangerPMV(Hourly)",'Eplus results'!$1:$1048576,ROW(),FALSE)</f>
        <v>0</v>
      </c>
      <c r="AD4489" s="580">
        <f t="shared" si="386"/>
        <v>5</v>
      </c>
      <c r="AE4489" s="580">
        <f t="shared" si="387"/>
        <v>2.5</v>
      </c>
      <c r="AF4489" s="580">
        <f t="shared" si="388"/>
        <v>2.5</v>
      </c>
      <c r="AG4489" s="580">
        <f t="shared" si="389"/>
        <v>0</v>
      </c>
      <c r="AH4489" s="580">
        <f t="shared" si="390"/>
        <v>0</v>
      </c>
    </row>
    <row r="4490" spans="28:34">
      <c r="AB4490" s="580">
        <f>HLOOKUP("*"&amp;'Output annual'!$AC$2&amp;'Output annual'!$AD$2&amp;"*Zone People Number Of Occupants [](Hourly)",'Eplus results'!$1:$1048576,ROW(),FALSE)</f>
        <v>0</v>
      </c>
      <c r="AC4490" s="580">
        <f>HLOOKUP("*"&amp;'Output annual'!$AC$2&amp;'Output annual'!$AD$2&amp;"*FangerPMV(Hourly)",'Eplus results'!$1:$1048576,ROW(),FALSE)</f>
        <v>0</v>
      </c>
      <c r="AD4490" s="580">
        <f t="shared" si="386"/>
        <v>5</v>
      </c>
      <c r="AE4490" s="580">
        <f t="shared" si="387"/>
        <v>2.5</v>
      </c>
      <c r="AF4490" s="580">
        <f t="shared" si="388"/>
        <v>2.5</v>
      </c>
      <c r="AG4490" s="580">
        <f t="shared" si="389"/>
        <v>0</v>
      </c>
      <c r="AH4490" s="580">
        <f t="shared" si="390"/>
        <v>0</v>
      </c>
    </row>
    <row r="4491" spans="28:34">
      <c r="AB4491" s="580">
        <f>HLOOKUP("*"&amp;'Output annual'!$AC$2&amp;'Output annual'!$AD$2&amp;"*Zone People Number Of Occupants [](Hourly)",'Eplus results'!$1:$1048576,ROW(),FALSE)</f>
        <v>0</v>
      </c>
      <c r="AC4491" s="580">
        <f>HLOOKUP("*"&amp;'Output annual'!$AC$2&amp;'Output annual'!$AD$2&amp;"*FangerPMV(Hourly)",'Eplus results'!$1:$1048576,ROW(),FALSE)</f>
        <v>0</v>
      </c>
      <c r="AD4491" s="580">
        <f t="shared" si="386"/>
        <v>5</v>
      </c>
      <c r="AE4491" s="580">
        <f t="shared" si="387"/>
        <v>2.5</v>
      </c>
      <c r="AF4491" s="580">
        <f t="shared" si="388"/>
        <v>2.5</v>
      </c>
      <c r="AG4491" s="580">
        <f t="shared" si="389"/>
        <v>0</v>
      </c>
      <c r="AH4491" s="580">
        <f t="shared" si="390"/>
        <v>0</v>
      </c>
    </row>
    <row r="4492" spans="28:34">
      <c r="AB4492" s="580">
        <f>HLOOKUP("*"&amp;'Output annual'!$AC$2&amp;'Output annual'!$AD$2&amp;"*Zone People Number Of Occupants [](Hourly)",'Eplus results'!$1:$1048576,ROW(),FALSE)</f>
        <v>0</v>
      </c>
      <c r="AC4492" s="580">
        <f>HLOOKUP("*"&amp;'Output annual'!$AC$2&amp;'Output annual'!$AD$2&amp;"*FangerPMV(Hourly)",'Eplus results'!$1:$1048576,ROW(),FALSE)</f>
        <v>0</v>
      </c>
      <c r="AD4492" s="580">
        <f t="shared" si="386"/>
        <v>5</v>
      </c>
      <c r="AE4492" s="580">
        <f t="shared" si="387"/>
        <v>2.5</v>
      </c>
      <c r="AF4492" s="580">
        <f t="shared" si="388"/>
        <v>2.5</v>
      </c>
      <c r="AG4492" s="580">
        <f t="shared" si="389"/>
        <v>0</v>
      </c>
      <c r="AH4492" s="580">
        <f t="shared" si="390"/>
        <v>0</v>
      </c>
    </row>
    <row r="4493" spans="28:34">
      <c r="AB4493" s="580">
        <f>HLOOKUP("*"&amp;'Output annual'!$AC$2&amp;'Output annual'!$AD$2&amp;"*Zone People Number Of Occupants [](Hourly)",'Eplus results'!$1:$1048576,ROW(),FALSE)</f>
        <v>0</v>
      </c>
      <c r="AC4493" s="580">
        <f>HLOOKUP("*"&amp;'Output annual'!$AC$2&amp;'Output annual'!$AD$2&amp;"*FangerPMV(Hourly)",'Eplus results'!$1:$1048576,ROW(),FALSE)</f>
        <v>0</v>
      </c>
      <c r="AD4493" s="580">
        <f t="shared" si="386"/>
        <v>5</v>
      </c>
      <c r="AE4493" s="580">
        <f t="shared" si="387"/>
        <v>2.5</v>
      </c>
      <c r="AF4493" s="580">
        <f t="shared" si="388"/>
        <v>2.5</v>
      </c>
      <c r="AG4493" s="580">
        <f t="shared" si="389"/>
        <v>0</v>
      </c>
      <c r="AH4493" s="580">
        <f t="shared" si="390"/>
        <v>0</v>
      </c>
    </row>
    <row r="4494" spans="28:34">
      <c r="AB4494" s="580">
        <f>HLOOKUP("*"&amp;'Output annual'!$AC$2&amp;'Output annual'!$AD$2&amp;"*Zone People Number Of Occupants [](Hourly)",'Eplus results'!$1:$1048576,ROW(),FALSE)</f>
        <v>0</v>
      </c>
      <c r="AC4494" s="580">
        <f>HLOOKUP("*"&amp;'Output annual'!$AC$2&amp;'Output annual'!$AD$2&amp;"*FangerPMV(Hourly)",'Eplus results'!$1:$1048576,ROW(),FALSE)</f>
        <v>0</v>
      </c>
      <c r="AD4494" s="580">
        <f t="shared" si="386"/>
        <v>5</v>
      </c>
      <c r="AE4494" s="580">
        <f t="shared" si="387"/>
        <v>2.5</v>
      </c>
      <c r="AF4494" s="580">
        <f t="shared" si="388"/>
        <v>2.5</v>
      </c>
      <c r="AG4494" s="580">
        <f t="shared" si="389"/>
        <v>0</v>
      </c>
      <c r="AH4494" s="580">
        <f t="shared" si="390"/>
        <v>0</v>
      </c>
    </row>
    <row r="4495" spans="28:34">
      <c r="AB4495" s="580">
        <f>HLOOKUP("*"&amp;'Output annual'!$AC$2&amp;'Output annual'!$AD$2&amp;"*Zone People Number Of Occupants [](Hourly)",'Eplus results'!$1:$1048576,ROW(),FALSE)</f>
        <v>0</v>
      </c>
      <c r="AC4495" s="580">
        <f>HLOOKUP("*"&amp;'Output annual'!$AC$2&amp;'Output annual'!$AD$2&amp;"*FangerPMV(Hourly)",'Eplus results'!$1:$1048576,ROW(),FALSE)</f>
        <v>0</v>
      </c>
      <c r="AD4495" s="580">
        <f t="shared" si="386"/>
        <v>5</v>
      </c>
      <c r="AE4495" s="580">
        <f t="shared" si="387"/>
        <v>2.5</v>
      </c>
      <c r="AF4495" s="580">
        <f t="shared" si="388"/>
        <v>2.5</v>
      </c>
      <c r="AG4495" s="580">
        <f t="shared" si="389"/>
        <v>0</v>
      </c>
      <c r="AH4495" s="580">
        <f t="shared" si="390"/>
        <v>0</v>
      </c>
    </row>
    <row r="4496" spans="28:34">
      <c r="AB4496" s="580">
        <f>HLOOKUP("*"&amp;'Output annual'!$AC$2&amp;'Output annual'!$AD$2&amp;"*Zone People Number Of Occupants [](Hourly)",'Eplus results'!$1:$1048576,ROW(),FALSE)</f>
        <v>0</v>
      </c>
      <c r="AC4496" s="580">
        <f>HLOOKUP("*"&amp;'Output annual'!$AC$2&amp;'Output annual'!$AD$2&amp;"*FangerPMV(Hourly)",'Eplus results'!$1:$1048576,ROW(),FALSE)</f>
        <v>0</v>
      </c>
      <c r="AD4496" s="580">
        <f t="shared" si="386"/>
        <v>5</v>
      </c>
      <c r="AE4496" s="580">
        <f t="shared" si="387"/>
        <v>2.5</v>
      </c>
      <c r="AF4496" s="580">
        <f t="shared" si="388"/>
        <v>2.5</v>
      </c>
      <c r="AG4496" s="580">
        <f t="shared" si="389"/>
        <v>0</v>
      </c>
      <c r="AH4496" s="580">
        <f t="shared" si="390"/>
        <v>0</v>
      </c>
    </row>
    <row r="4497" spans="28:34">
      <c r="AB4497" s="580">
        <f>HLOOKUP("*"&amp;'Output annual'!$AC$2&amp;'Output annual'!$AD$2&amp;"*Zone People Number Of Occupants [](Hourly)",'Eplus results'!$1:$1048576,ROW(),FALSE)</f>
        <v>0</v>
      </c>
      <c r="AC4497" s="580">
        <f>HLOOKUP("*"&amp;'Output annual'!$AC$2&amp;'Output annual'!$AD$2&amp;"*FangerPMV(Hourly)",'Eplus results'!$1:$1048576,ROW(),FALSE)</f>
        <v>0</v>
      </c>
      <c r="AD4497" s="580">
        <f t="shared" si="386"/>
        <v>5</v>
      </c>
      <c r="AE4497" s="580">
        <f t="shared" si="387"/>
        <v>2.5</v>
      </c>
      <c r="AF4497" s="580">
        <f t="shared" si="388"/>
        <v>2.5</v>
      </c>
      <c r="AG4497" s="580">
        <f t="shared" si="389"/>
        <v>0</v>
      </c>
      <c r="AH4497" s="580">
        <f t="shared" si="390"/>
        <v>0</v>
      </c>
    </row>
    <row r="4498" spans="28:34">
      <c r="AB4498" s="580">
        <f>HLOOKUP("*"&amp;'Output annual'!$AC$2&amp;'Output annual'!$AD$2&amp;"*Zone People Number Of Occupants [](Hourly)",'Eplus results'!$1:$1048576,ROW(),FALSE)</f>
        <v>0</v>
      </c>
      <c r="AC4498" s="580">
        <f>HLOOKUP("*"&amp;'Output annual'!$AC$2&amp;'Output annual'!$AD$2&amp;"*FangerPMV(Hourly)",'Eplus results'!$1:$1048576,ROW(),FALSE)</f>
        <v>0</v>
      </c>
      <c r="AD4498" s="580">
        <f t="shared" si="386"/>
        <v>5</v>
      </c>
      <c r="AE4498" s="580">
        <f t="shared" si="387"/>
        <v>2.5</v>
      </c>
      <c r="AF4498" s="580">
        <f t="shared" si="388"/>
        <v>2.5</v>
      </c>
      <c r="AG4498" s="580">
        <f t="shared" si="389"/>
        <v>0</v>
      </c>
      <c r="AH4498" s="580">
        <f t="shared" si="390"/>
        <v>0</v>
      </c>
    </row>
    <row r="4499" spans="28:34">
      <c r="AB4499" s="580">
        <f>HLOOKUP("*"&amp;'Output annual'!$AC$2&amp;'Output annual'!$AD$2&amp;"*Zone People Number Of Occupants [](Hourly)",'Eplus results'!$1:$1048576,ROW(),FALSE)</f>
        <v>0</v>
      </c>
      <c r="AC4499" s="580">
        <f>HLOOKUP("*"&amp;'Output annual'!$AC$2&amp;'Output annual'!$AD$2&amp;"*FangerPMV(Hourly)",'Eplus results'!$1:$1048576,ROW(),FALSE)</f>
        <v>0</v>
      </c>
      <c r="AD4499" s="580">
        <f t="shared" si="386"/>
        <v>5</v>
      </c>
      <c r="AE4499" s="580">
        <f t="shared" si="387"/>
        <v>2.5</v>
      </c>
      <c r="AF4499" s="580">
        <f t="shared" si="388"/>
        <v>2.5</v>
      </c>
      <c r="AG4499" s="580">
        <f t="shared" si="389"/>
        <v>0</v>
      </c>
      <c r="AH4499" s="580">
        <f t="shared" si="390"/>
        <v>0</v>
      </c>
    </row>
    <row r="4500" spans="28:34">
      <c r="AB4500" s="580">
        <f>HLOOKUP("*"&amp;'Output annual'!$AC$2&amp;'Output annual'!$AD$2&amp;"*Zone People Number Of Occupants [](Hourly)",'Eplus results'!$1:$1048576,ROW(),FALSE)</f>
        <v>0</v>
      </c>
      <c r="AC4500" s="580">
        <f>HLOOKUP("*"&amp;'Output annual'!$AC$2&amp;'Output annual'!$AD$2&amp;"*FangerPMV(Hourly)",'Eplus results'!$1:$1048576,ROW(),FALSE)</f>
        <v>0</v>
      </c>
      <c r="AD4500" s="580">
        <f t="shared" si="386"/>
        <v>5</v>
      </c>
      <c r="AE4500" s="580">
        <f t="shared" si="387"/>
        <v>2.5</v>
      </c>
      <c r="AF4500" s="580">
        <f t="shared" si="388"/>
        <v>2.5</v>
      </c>
      <c r="AG4500" s="580">
        <f t="shared" si="389"/>
        <v>0</v>
      </c>
      <c r="AH4500" s="580">
        <f t="shared" si="390"/>
        <v>0</v>
      </c>
    </row>
    <row r="4501" spans="28:34">
      <c r="AB4501" s="580">
        <f>HLOOKUP("*"&amp;'Output annual'!$AC$2&amp;'Output annual'!$AD$2&amp;"*Zone People Number Of Occupants [](Hourly)",'Eplus results'!$1:$1048576,ROW(),FALSE)</f>
        <v>0</v>
      </c>
      <c r="AC4501" s="580">
        <f>HLOOKUP("*"&amp;'Output annual'!$AC$2&amp;'Output annual'!$AD$2&amp;"*FangerPMV(Hourly)",'Eplus results'!$1:$1048576,ROW(),FALSE)</f>
        <v>0</v>
      </c>
      <c r="AD4501" s="580">
        <f t="shared" si="386"/>
        <v>5</v>
      </c>
      <c r="AE4501" s="580">
        <f t="shared" si="387"/>
        <v>2.5</v>
      </c>
      <c r="AF4501" s="580">
        <f t="shared" si="388"/>
        <v>2.5</v>
      </c>
      <c r="AG4501" s="580">
        <f t="shared" si="389"/>
        <v>0</v>
      </c>
      <c r="AH4501" s="580">
        <f t="shared" si="390"/>
        <v>0</v>
      </c>
    </row>
    <row r="4502" spans="28:34">
      <c r="AB4502" s="580">
        <f>HLOOKUP("*"&amp;'Output annual'!$AC$2&amp;'Output annual'!$AD$2&amp;"*Zone People Number Of Occupants [](Hourly)",'Eplus results'!$1:$1048576,ROW(),FALSE)</f>
        <v>0</v>
      </c>
      <c r="AC4502" s="580">
        <f>HLOOKUP("*"&amp;'Output annual'!$AC$2&amp;'Output annual'!$AD$2&amp;"*FangerPMV(Hourly)",'Eplus results'!$1:$1048576,ROW(),FALSE)</f>
        <v>0</v>
      </c>
      <c r="AD4502" s="580">
        <f t="shared" si="386"/>
        <v>5</v>
      </c>
      <c r="AE4502" s="580">
        <f t="shared" si="387"/>
        <v>2.5</v>
      </c>
      <c r="AF4502" s="580">
        <f t="shared" si="388"/>
        <v>2.5</v>
      </c>
      <c r="AG4502" s="580">
        <f t="shared" si="389"/>
        <v>0</v>
      </c>
      <c r="AH4502" s="580">
        <f t="shared" si="390"/>
        <v>0</v>
      </c>
    </row>
    <row r="4503" spans="28:34">
      <c r="AB4503" s="580">
        <f>HLOOKUP("*"&amp;'Output annual'!$AC$2&amp;'Output annual'!$AD$2&amp;"*Zone People Number Of Occupants [](Hourly)",'Eplus results'!$1:$1048576,ROW(),FALSE)</f>
        <v>0</v>
      </c>
      <c r="AC4503" s="580">
        <f>HLOOKUP("*"&amp;'Output annual'!$AC$2&amp;'Output annual'!$AD$2&amp;"*FangerPMV(Hourly)",'Eplus results'!$1:$1048576,ROW(),FALSE)</f>
        <v>0</v>
      </c>
      <c r="AD4503" s="580">
        <f t="shared" si="386"/>
        <v>5</v>
      </c>
      <c r="AE4503" s="580">
        <f t="shared" si="387"/>
        <v>2.5</v>
      </c>
      <c r="AF4503" s="580">
        <f t="shared" si="388"/>
        <v>2.5</v>
      </c>
      <c r="AG4503" s="580">
        <f t="shared" si="389"/>
        <v>0</v>
      </c>
      <c r="AH4503" s="580">
        <f t="shared" si="390"/>
        <v>0</v>
      </c>
    </row>
    <row r="4504" spans="28:34">
      <c r="AB4504" s="580">
        <f>HLOOKUP("*"&amp;'Output annual'!$AC$2&amp;'Output annual'!$AD$2&amp;"*Zone People Number Of Occupants [](Hourly)",'Eplus results'!$1:$1048576,ROW(),FALSE)</f>
        <v>0</v>
      </c>
      <c r="AC4504" s="580">
        <f>HLOOKUP("*"&amp;'Output annual'!$AC$2&amp;'Output annual'!$AD$2&amp;"*FangerPMV(Hourly)",'Eplus results'!$1:$1048576,ROW(),FALSE)</f>
        <v>0</v>
      </c>
      <c r="AD4504" s="580">
        <f t="shared" si="386"/>
        <v>5</v>
      </c>
      <c r="AE4504" s="580">
        <f t="shared" si="387"/>
        <v>2.5</v>
      </c>
      <c r="AF4504" s="580">
        <f t="shared" si="388"/>
        <v>2.5</v>
      </c>
      <c r="AG4504" s="580">
        <f t="shared" si="389"/>
        <v>0</v>
      </c>
      <c r="AH4504" s="580">
        <f t="shared" si="390"/>
        <v>0</v>
      </c>
    </row>
    <row r="4505" spans="28:34">
      <c r="AB4505" s="580">
        <f>HLOOKUP("*"&amp;'Output annual'!$AC$2&amp;'Output annual'!$AD$2&amp;"*Zone People Number Of Occupants [](Hourly)",'Eplus results'!$1:$1048576,ROW(),FALSE)</f>
        <v>0</v>
      </c>
      <c r="AC4505" s="580">
        <f>HLOOKUP("*"&amp;'Output annual'!$AC$2&amp;'Output annual'!$AD$2&amp;"*FangerPMV(Hourly)",'Eplus results'!$1:$1048576,ROW(),FALSE)</f>
        <v>0</v>
      </c>
      <c r="AD4505" s="580">
        <f t="shared" si="386"/>
        <v>5</v>
      </c>
      <c r="AE4505" s="580">
        <f t="shared" si="387"/>
        <v>2.5</v>
      </c>
      <c r="AF4505" s="580">
        <f t="shared" si="388"/>
        <v>2.5</v>
      </c>
      <c r="AG4505" s="580">
        <f t="shared" si="389"/>
        <v>0</v>
      </c>
      <c r="AH4505" s="580">
        <f t="shared" si="390"/>
        <v>0</v>
      </c>
    </row>
    <row r="4506" spans="28:34">
      <c r="AB4506" s="580">
        <f>HLOOKUP("*"&amp;'Output annual'!$AC$2&amp;'Output annual'!$AD$2&amp;"*Zone People Number Of Occupants [](Hourly)",'Eplus results'!$1:$1048576,ROW(),FALSE)</f>
        <v>0</v>
      </c>
      <c r="AC4506" s="580">
        <f>HLOOKUP("*"&amp;'Output annual'!$AC$2&amp;'Output annual'!$AD$2&amp;"*FangerPMV(Hourly)",'Eplus results'!$1:$1048576,ROW(),FALSE)</f>
        <v>0</v>
      </c>
      <c r="AD4506" s="580">
        <f t="shared" si="386"/>
        <v>5</v>
      </c>
      <c r="AE4506" s="580">
        <f t="shared" si="387"/>
        <v>2.5</v>
      </c>
      <c r="AF4506" s="580">
        <f t="shared" si="388"/>
        <v>2.5</v>
      </c>
      <c r="AG4506" s="580">
        <f t="shared" si="389"/>
        <v>0</v>
      </c>
      <c r="AH4506" s="580">
        <f t="shared" si="390"/>
        <v>0</v>
      </c>
    </row>
    <row r="4507" spans="28:34">
      <c r="AB4507" s="580">
        <f>HLOOKUP("*"&amp;'Output annual'!$AC$2&amp;'Output annual'!$AD$2&amp;"*Zone People Number Of Occupants [](Hourly)",'Eplus results'!$1:$1048576,ROW(),FALSE)</f>
        <v>0</v>
      </c>
      <c r="AC4507" s="580">
        <f>HLOOKUP("*"&amp;'Output annual'!$AC$2&amp;'Output annual'!$AD$2&amp;"*FangerPMV(Hourly)",'Eplus results'!$1:$1048576,ROW(),FALSE)</f>
        <v>0</v>
      </c>
      <c r="AD4507" s="580">
        <f t="shared" si="386"/>
        <v>5</v>
      </c>
      <c r="AE4507" s="580">
        <f t="shared" si="387"/>
        <v>2.5</v>
      </c>
      <c r="AF4507" s="580">
        <f t="shared" si="388"/>
        <v>2.5</v>
      </c>
      <c r="AG4507" s="580">
        <f t="shared" si="389"/>
        <v>0</v>
      </c>
      <c r="AH4507" s="580">
        <f t="shared" si="390"/>
        <v>0</v>
      </c>
    </row>
    <row r="4508" spans="28:34">
      <c r="AB4508" s="580">
        <f>HLOOKUP("*"&amp;'Output annual'!$AC$2&amp;'Output annual'!$AD$2&amp;"*Zone People Number Of Occupants [](Hourly)",'Eplus results'!$1:$1048576,ROW(),FALSE)</f>
        <v>0</v>
      </c>
      <c r="AC4508" s="580">
        <f>HLOOKUP("*"&amp;'Output annual'!$AC$2&amp;'Output annual'!$AD$2&amp;"*FangerPMV(Hourly)",'Eplus results'!$1:$1048576,ROW(),FALSE)</f>
        <v>0</v>
      </c>
      <c r="AD4508" s="580">
        <f t="shared" si="386"/>
        <v>5</v>
      </c>
      <c r="AE4508" s="580">
        <f t="shared" si="387"/>
        <v>2.5</v>
      </c>
      <c r="AF4508" s="580">
        <f t="shared" si="388"/>
        <v>2.5</v>
      </c>
      <c r="AG4508" s="580">
        <f t="shared" si="389"/>
        <v>0</v>
      </c>
      <c r="AH4508" s="580">
        <f t="shared" si="390"/>
        <v>0</v>
      </c>
    </row>
    <row r="4509" spans="28:34">
      <c r="AB4509" s="580">
        <f>HLOOKUP("*"&amp;'Output annual'!$AC$2&amp;'Output annual'!$AD$2&amp;"*Zone People Number Of Occupants [](Hourly)",'Eplus results'!$1:$1048576,ROW(),FALSE)</f>
        <v>0</v>
      </c>
      <c r="AC4509" s="580">
        <f>HLOOKUP("*"&amp;'Output annual'!$AC$2&amp;'Output annual'!$AD$2&amp;"*FangerPMV(Hourly)",'Eplus results'!$1:$1048576,ROW(),FALSE)</f>
        <v>0</v>
      </c>
      <c r="AD4509" s="580">
        <f t="shared" si="386"/>
        <v>5</v>
      </c>
      <c r="AE4509" s="580">
        <f t="shared" si="387"/>
        <v>2.5</v>
      </c>
      <c r="AF4509" s="580">
        <f t="shared" si="388"/>
        <v>2.5</v>
      </c>
      <c r="AG4509" s="580">
        <f t="shared" si="389"/>
        <v>0</v>
      </c>
      <c r="AH4509" s="580">
        <f t="shared" si="390"/>
        <v>0</v>
      </c>
    </row>
    <row r="4510" spans="28:34">
      <c r="AB4510" s="580">
        <f>HLOOKUP("*"&amp;'Output annual'!$AC$2&amp;'Output annual'!$AD$2&amp;"*Zone People Number Of Occupants [](Hourly)",'Eplus results'!$1:$1048576,ROW(),FALSE)</f>
        <v>0</v>
      </c>
      <c r="AC4510" s="580">
        <f>HLOOKUP("*"&amp;'Output annual'!$AC$2&amp;'Output annual'!$AD$2&amp;"*FangerPMV(Hourly)",'Eplus results'!$1:$1048576,ROW(),FALSE)</f>
        <v>0</v>
      </c>
      <c r="AD4510" s="580">
        <f t="shared" si="386"/>
        <v>5</v>
      </c>
      <c r="AE4510" s="580">
        <f t="shared" si="387"/>
        <v>2.5</v>
      </c>
      <c r="AF4510" s="580">
        <f t="shared" si="388"/>
        <v>2.5</v>
      </c>
      <c r="AG4510" s="580">
        <f t="shared" si="389"/>
        <v>0</v>
      </c>
      <c r="AH4510" s="580">
        <f t="shared" si="390"/>
        <v>0</v>
      </c>
    </row>
    <row r="4511" spans="28:34">
      <c r="AB4511" s="580">
        <f>HLOOKUP("*"&amp;'Output annual'!$AC$2&amp;'Output annual'!$AD$2&amp;"*Zone People Number Of Occupants [](Hourly)",'Eplus results'!$1:$1048576,ROW(),FALSE)</f>
        <v>0</v>
      </c>
      <c r="AC4511" s="580">
        <f>HLOOKUP("*"&amp;'Output annual'!$AC$2&amp;'Output annual'!$AD$2&amp;"*FangerPMV(Hourly)",'Eplus results'!$1:$1048576,ROW(),FALSE)</f>
        <v>0</v>
      </c>
      <c r="AD4511" s="580">
        <f t="shared" si="386"/>
        <v>5</v>
      </c>
      <c r="AE4511" s="580">
        <f t="shared" si="387"/>
        <v>2.5</v>
      </c>
      <c r="AF4511" s="580">
        <f t="shared" si="388"/>
        <v>2.5</v>
      </c>
      <c r="AG4511" s="580">
        <f t="shared" si="389"/>
        <v>0</v>
      </c>
      <c r="AH4511" s="580">
        <f t="shared" si="390"/>
        <v>0</v>
      </c>
    </row>
    <row r="4512" spans="28:34">
      <c r="AB4512" s="580">
        <f>HLOOKUP("*"&amp;'Output annual'!$AC$2&amp;'Output annual'!$AD$2&amp;"*Zone People Number Of Occupants [](Hourly)",'Eplus results'!$1:$1048576,ROW(),FALSE)</f>
        <v>0</v>
      </c>
      <c r="AC4512" s="580">
        <f>HLOOKUP("*"&amp;'Output annual'!$AC$2&amp;'Output annual'!$AD$2&amp;"*FangerPMV(Hourly)",'Eplus results'!$1:$1048576,ROW(),FALSE)</f>
        <v>0</v>
      </c>
      <c r="AD4512" s="580">
        <f t="shared" si="386"/>
        <v>5</v>
      </c>
      <c r="AE4512" s="580">
        <f t="shared" si="387"/>
        <v>2.5</v>
      </c>
      <c r="AF4512" s="580">
        <f t="shared" si="388"/>
        <v>2.5</v>
      </c>
      <c r="AG4512" s="580">
        <f t="shared" si="389"/>
        <v>0</v>
      </c>
      <c r="AH4512" s="580">
        <f t="shared" si="390"/>
        <v>0</v>
      </c>
    </row>
    <row r="4513" spans="28:34">
      <c r="AB4513" s="580">
        <f>HLOOKUP("*"&amp;'Output annual'!$AC$2&amp;'Output annual'!$AD$2&amp;"*Zone People Number Of Occupants [](Hourly)",'Eplus results'!$1:$1048576,ROW(),FALSE)</f>
        <v>0</v>
      </c>
      <c r="AC4513" s="580">
        <f>HLOOKUP("*"&amp;'Output annual'!$AC$2&amp;'Output annual'!$AD$2&amp;"*FangerPMV(Hourly)",'Eplus results'!$1:$1048576,ROW(),FALSE)</f>
        <v>0</v>
      </c>
      <c r="AD4513" s="580">
        <f t="shared" si="386"/>
        <v>5</v>
      </c>
      <c r="AE4513" s="580">
        <f t="shared" si="387"/>
        <v>2.5</v>
      </c>
      <c r="AF4513" s="580">
        <f t="shared" si="388"/>
        <v>2.5</v>
      </c>
      <c r="AG4513" s="580">
        <f t="shared" si="389"/>
        <v>0</v>
      </c>
      <c r="AH4513" s="580">
        <f t="shared" si="390"/>
        <v>0</v>
      </c>
    </row>
    <row r="4514" spans="28:34">
      <c r="AB4514" s="580">
        <f>HLOOKUP("*"&amp;'Output annual'!$AC$2&amp;'Output annual'!$AD$2&amp;"*Zone People Number Of Occupants [](Hourly)",'Eplus results'!$1:$1048576,ROW(),FALSE)</f>
        <v>0</v>
      </c>
      <c r="AC4514" s="580">
        <f>HLOOKUP("*"&amp;'Output annual'!$AC$2&amp;'Output annual'!$AD$2&amp;"*FangerPMV(Hourly)",'Eplus results'!$1:$1048576,ROW(),FALSE)</f>
        <v>0</v>
      </c>
      <c r="AD4514" s="580">
        <f t="shared" si="386"/>
        <v>5</v>
      </c>
      <c r="AE4514" s="580">
        <f t="shared" si="387"/>
        <v>2.5</v>
      </c>
      <c r="AF4514" s="580">
        <f t="shared" si="388"/>
        <v>2.5</v>
      </c>
      <c r="AG4514" s="580">
        <f t="shared" si="389"/>
        <v>0</v>
      </c>
      <c r="AH4514" s="580">
        <f t="shared" si="390"/>
        <v>0</v>
      </c>
    </row>
    <row r="4515" spans="28:34">
      <c r="AB4515" s="580">
        <f>HLOOKUP("*"&amp;'Output annual'!$AC$2&amp;'Output annual'!$AD$2&amp;"*Zone People Number Of Occupants [](Hourly)",'Eplus results'!$1:$1048576,ROW(),FALSE)</f>
        <v>0</v>
      </c>
      <c r="AC4515" s="580">
        <f>HLOOKUP("*"&amp;'Output annual'!$AC$2&amp;'Output annual'!$AD$2&amp;"*FangerPMV(Hourly)",'Eplus results'!$1:$1048576,ROW(),FALSE)</f>
        <v>0</v>
      </c>
      <c r="AD4515" s="580">
        <f t="shared" si="386"/>
        <v>5</v>
      </c>
      <c r="AE4515" s="580">
        <f t="shared" si="387"/>
        <v>2.5</v>
      </c>
      <c r="AF4515" s="580">
        <f t="shared" si="388"/>
        <v>2.5</v>
      </c>
      <c r="AG4515" s="580">
        <f t="shared" si="389"/>
        <v>0</v>
      </c>
      <c r="AH4515" s="580">
        <f t="shared" si="390"/>
        <v>0</v>
      </c>
    </row>
    <row r="4516" spans="28:34">
      <c r="AB4516" s="580">
        <f>HLOOKUP("*"&amp;'Output annual'!$AC$2&amp;'Output annual'!$AD$2&amp;"*Zone People Number Of Occupants [](Hourly)",'Eplus results'!$1:$1048576,ROW(),FALSE)</f>
        <v>0</v>
      </c>
      <c r="AC4516" s="580">
        <f>HLOOKUP("*"&amp;'Output annual'!$AC$2&amp;'Output annual'!$AD$2&amp;"*FangerPMV(Hourly)",'Eplus results'!$1:$1048576,ROW(),FALSE)</f>
        <v>0</v>
      </c>
      <c r="AD4516" s="580">
        <f t="shared" si="386"/>
        <v>5</v>
      </c>
      <c r="AE4516" s="580">
        <f t="shared" si="387"/>
        <v>2.5</v>
      </c>
      <c r="AF4516" s="580">
        <f t="shared" si="388"/>
        <v>2.5</v>
      </c>
      <c r="AG4516" s="580">
        <f t="shared" si="389"/>
        <v>0</v>
      </c>
      <c r="AH4516" s="580">
        <f t="shared" si="390"/>
        <v>0</v>
      </c>
    </row>
    <row r="4517" spans="28:34">
      <c r="AB4517" s="580">
        <f>HLOOKUP("*"&amp;'Output annual'!$AC$2&amp;'Output annual'!$AD$2&amp;"*Zone People Number Of Occupants [](Hourly)",'Eplus results'!$1:$1048576,ROW(),FALSE)</f>
        <v>0</v>
      </c>
      <c r="AC4517" s="580">
        <f>HLOOKUP("*"&amp;'Output annual'!$AC$2&amp;'Output annual'!$AD$2&amp;"*FangerPMV(Hourly)",'Eplus results'!$1:$1048576,ROW(),FALSE)</f>
        <v>0</v>
      </c>
      <c r="AD4517" s="580">
        <f t="shared" si="386"/>
        <v>5</v>
      </c>
      <c r="AE4517" s="580">
        <f t="shared" si="387"/>
        <v>2.5</v>
      </c>
      <c r="AF4517" s="580">
        <f t="shared" si="388"/>
        <v>2.5</v>
      </c>
      <c r="AG4517" s="580">
        <f t="shared" si="389"/>
        <v>0</v>
      </c>
      <c r="AH4517" s="580">
        <f t="shared" si="390"/>
        <v>0</v>
      </c>
    </row>
    <row r="4518" spans="28:34">
      <c r="AB4518" s="580">
        <f>HLOOKUP("*"&amp;'Output annual'!$AC$2&amp;'Output annual'!$AD$2&amp;"*Zone People Number Of Occupants [](Hourly)",'Eplus results'!$1:$1048576,ROW(),FALSE)</f>
        <v>0</v>
      </c>
      <c r="AC4518" s="580">
        <f>HLOOKUP("*"&amp;'Output annual'!$AC$2&amp;'Output annual'!$AD$2&amp;"*FangerPMV(Hourly)",'Eplus results'!$1:$1048576,ROW(),FALSE)</f>
        <v>0</v>
      </c>
      <c r="AD4518" s="580">
        <f t="shared" si="386"/>
        <v>5</v>
      </c>
      <c r="AE4518" s="580">
        <f t="shared" si="387"/>
        <v>2.5</v>
      </c>
      <c r="AF4518" s="580">
        <f t="shared" si="388"/>
        <v>2.5</v>
      </c>
      <c r="AG4518" s="580">
        <f t="shared" si="389"/>
        <v>0</v>
      </c>
      <c r="AH4518" s="580">
        <f t="shared" si="390"/>
        <v>0</v>
      </c>
    </row>
    <row r="4519" spans="28:34">
      <c r="AB4519" s="580">
        <f>HLOOKUP("*"&amp;'Output annual'!$AC$2&amp;'Output annual'!$AD$2&amp;"*Zone People Number Of Occupants [](Hourly)",'Eplus results'!$1:$1048576,ROW(),FALSE)</f>
        <v>0</v>
      </c>
      <c r="AC4519" s="580">
        <f>HLOOKUP("*"&amp;'Output annual'!$AC$2&amp;'Output annual'!$AD$2&amp;"*FangerPMV(Hourly)",'Eplus results'!$1:$1048576,ROW(),FALSE)</f>
        <v>0</v>
      </c>
      <c r="AD4519" s="580">
        <f t="shared" si="386"/>
        <v>5</v>
      </c>
      <c r="AE4519" s="580">
        <f t="shared" si="387"/>
        <v>2.5</v>
      </c>
      <c r="AF4519" s="580">
        <f t="shared" si="388"/>
        <v>2.5</v>
      </c>
      <c r="AG4519" s="580">
        <f t="shared" si="389"/>
        <v>0</v>
      </c>
      <c r="AH4519" s="580">
        <f t="shared" si="390"/>
        <v>0</v>
      </c>
    </row>
    <row r="4520" spans="28:34">
      <c r="AB4520" s="580">
        <f>HLOOKUP("*"&amp;'Output annual'!$AC$2&amp;'Output annual'!$AD$2&amp;"*Zone People Number Of Occupants [](Hourly)",'Eplus results'!$1:$1048576,ROW(),FALSE)</f>
        <v>0</v>
      </c>
      <c r="AC4520" s="580">
        <f>HLOOKUP("*"&amp;'Output annual'!$AC$2&amp;'Output annual'!$AD$2&amp;"*FangerPMV(Hourly)",'Eplus results'!$1:$1048576,ROW(),FALSE)</f>
        <v>0</v>
      </c>
      <c r="AD4520" s="580">
        <f t="shared" si="386"/>
        <v>5</v>
      </c>
      <c r="AE4520" s="580">
        <f t="shared" si="387"/>
        <v>2.5</v>
      </c>
      <c r="AF4520" s="580">
        <f t="shared" si="388"/>
        <v>2.5</v>
      </c>
      <c r="AG4520" s="580">
        <f t="shared" si="389"/>
        <v>0</v>
      </c>
      <c r="AH4520" s="580">
        <f t="shared" si="390"/>
        <v>0</v>
      </c>
    </row>
    <row r="4521" spans="28:34">
      <c r="AB4521" s="580">
        <f>HLOOKUP("*"&amp;'Output annual'!$AC$2&amp;'Output annual'!$AD$2&amp;"*Zone People Number Of Occupants [](Hourly)",'Eplus results'!$1:$1048576,ROW(),FALSE)</f>
        <v>0</v>
      </c>
      <c r="AC4521" s="580">
        <f>HLOOKUP("*"&amp;'Output annual'!$AC$2&amp;'Output annual'!$AD$2&amp;"*FangerPMV(Hourly)",'Eplus results'!$1:$1048576,ROW(),FALSE)</f>
        <v>0</v>
      </c>
      <c r="AD4521" s="580">
        <f t="shared" si="386"/>
        <v>5</v>
      </c>
      <c r="AE4521" s="580">
        <f t="shared" si="387"/>
        <v>2.5</v>
      </c>
      <c r="AF4521" s="580">
        <f t="shared" si="388"/>
        <v>2.5</v>
      </c>
      <c r="AG4521" s="580">
        <f t="shared" si="389"/>
        <v>0</v>
      </c>
      <c r="AH4521" s="580">
        <f t="shared" si="390"/>
        <v>0</v>
      </c>
    </row>
    <row r="4522" spans="28:34">
      <c r="AB4522" s="580">
        <f>HLOOKUP("*"&amp;'Output annual'!$AC$2&amp;'Output annual'!$AD$2&amp;"*Zone People Number Of Occupants [](Hourly)",'Eplus results'!$1:$1048576,ROW(),FALSE)</f>
        <v>0</v>
      </c>
      <c r="AC4522" s="580">
        <f>HLOOKUP("*"&amp;'Output annual'!$AC$2&amp;'Output annual'!$AD$2&amp;"*FangerPMV(Hourly)",'Eplus results'!$1:$1048576,ROW(),FALSE)</f>
        <v>0</v>
      </c>
      <c r="AD4522" s="580">
        <f t="shared" si="386"/>
        <v>5</v>
      </c>
      <c r="AE4522" s="580">
        <f t="shared" si="387"/>
        <v>2.5</v>
      </c>
      <c r="AF4522" s="580">
        <f t="shared" si="388"/>
        <v>2.5</v>
      </c>
      <c r="AG4522" s="580">
        <f t="shared" si="389"/>
        <v>0</v>
      </c>
      <c r="AH4522" s="580">
        <f t="shared" si="390"/>
        <v>0</v>
      </c>
    </row>
    <row r="4523" spans="28:34">
      <c r="AB4523" s="580">
        <f>HLOOKUP("*"&amp;'Output annual'!$AC$2&amp;'Output annual'!$AD$2&amp;"*Zone People Number Of Occupants [](Hourly)",'Eplus results'!$1:$1048576,ROW(),FALSE)</f>
        <v>0</v>
      </c>
      <c r="AC4523" s="580">
        <f>HLOOKUP("*"&amp;'Output annual'!$AC$2&amp;'Output annual'!$AD$2&amp;"*FangerPMV(Hourly)",'Eplus results'!$1:$1048576,ROW(),FALSE)</f>
        <v>0</v>
      </c>
      <c r="AD4523" s="580">
        <f t="shared" si="386"/>
        <v>5</v>
      </c>
      <c r="AE4523" s="580">
        <f t="shared" si="387"/>
        <v>2.5</v>
      </c>
      <c r="AF4523" s="580">
        <f t="shared" si="388"/>
        <v>2.5</v>
      </c>
      <c r="AG4523" s="580">
        <f t="shared" si="389"/>
        <v>0</v>
      </c>
      <c r="AH4523" s="580">
        <f t="shared" si="390"/>
        <v>0</v>
      </c>
    </row>
    <row r="4524" spans="28:34">
      <c r="AB4524" s="580">
        <f>HLOOKUP("*"&amp;'Output annual'!$AC$2&amp;'Output annual'!$AD$2&amp;"*Zone People Number Of Occupants [](Hourly)",'Eplus results'!$1:$1048576,ROW(),FALSE)</f>
        <v>0</v>
      </c>
      <c r="AC4524" s="580">
        <f>HLOOKUP("*"&amp;'Output annual'!$AC$2&amp;'Output annual'!$AD$2&amp;"*FangerPMV(Hourly)",'Eplus results'!$1:$1048576,ROW(),FALSE)</f>
        <v>0</v>
      </c>
      <c r="AD4524" s="580">
        <f t="shared" si="386"/>
        <v>5</v>
      </c>
      <c r="AE4524" s="580">
        <f t="shared" si="387"/>
        <v>2.5</v>
      </c>
      <c r="AF4524" s="580">
        <f t="shared" si="388"/>
        <v>2.5</v>
      </c>
      <c r="AG4524" s="580">
        <f t="shared" si="389"/>
        <v>0</v>
      </c>
      <c r="AH4524" s="580">
        <f t="shared" si="390"/>
        <v>0</v>
      </c>
    </row>
    <row r="4525" spans="28:34">
      <c r="AB4525" s="580">
        <f>HLOOKUP("*"&amp;'Output annual'!$AC$2&amp;'Output annual'!$AD$2&amp;"*Zone People Number Of Occupants [](Hourly)",'Eplus results'!$1:$1048576,ROW(),FALSE)</f>
        <v>0</v>
      </c>
      <c r="AC4525" s="580">
        <f>HLOOKUP("*"&amp;'Output annual'!$AC$2&amp;'Output annual'!$AD$2&amp;"*FangerPMV(Hourly)",'Eplus results'!$1:$1048576,ROW(),FALSE)</f>
        <v>0</v>
      </c>
      <c r="AD4525" s="580">
        <f t="shared" si="386"/>
        <v>5</v>
      </c>
      <c r="AE4525" s="580">
        <f t="shared" si="387"/>
        <v>2.5</v>
      </c>
      <c r="AF4525" s="580">
        <f t="shared" si="388"/>
        <v>2.5</v>
      </c>
      <c r="AG4525" s="580">
        <f t="shared" si="389"/>
        <v>0</v>
      </c>
      <c r="AH4525" s="580">
        <f t="shared" si="390"/>
        <v>0</v>
      </c>
    </row>
    <row r="4526" spans="28:34">
      <c r="AB4526" s="580">
        <f>HLOOKUP("*"&amp;'Output annual'!$AC$2&amp;'Output annual'!$AD$2&amp;"*Zone People Number Of Occupants [](Hourly)",'Eplus results'!$1:$1048576,ROW(),FALSE)</f>
        <v>0</v>
      </c>
      <c r="AC4526" s="580">
        <f>HLOOKUP("*"&amp;'Output annual'!$AC$2&amp;'Output annual'!$AD$2&amp;"*FangerPMV(Hourly)",'Eplus results'!$1:$1048576,ROW(),FALSE)</f>
        <v>0</v>
      </c>
      <c r="AD4526" s="580">
        <f t="shared" si="386"/>
        <v>5</v>
      </c>
      <c r="AE4526" s="580">
        <f t="shared" si="387"/>
        <v>2.5</v>
      </c>
      <c r="AF4526" s="580">
        <f t="shared" si="388"/>
        <v>2.5</v>
      </c>
      <c r="AG4526" s="580">
        <f t="shared" si="389"/>
        <v>0</v>
      </c>
      <c r="AH4526" s="580">
        <f t="shared" si="390"/>
        <v>0</v>
      </c>
    </row>
    <row r="4527" spans="28:34">
      <c r="AB4527" s="580">
        <f>HLOOKUP("*"&amp;'Output annual'!$AC$2&amp;'Output annual'!$AD$2&amp;"*Zone People Number Of Occupants [](Hourly)",'Eplus results'!$1:$1048576,ROW(),FALSE)</f>
        <v>0</v>
      </c>
      <c r="AC4527" s="580">
        <f>HLOOKUP("*"&amp;'Output annual'!$AC$2&amp;'Output annual'!$AD$2&amp;"*FangerPMV(Hourly)",'Eplus results'!$1:$1048576,ROW(),FALSE)</f>
        <v>0</v>
      </c>
      <c r="AD4527" s="580">
        <f t="shared" si="386"/>
        <v>5</v>
      </c>
      <c r="AE4527" s="580">
        <f t="shared" si="387"/>
        <v>2.5</v>
      </c>
      <c r="AF4527" s="580">
        <f t="shared" si="388"/>
        <v>2.5</v>
      </c>
      <c r="AG4527" s="580">
        <f t="shared" si="389"/>
        <v>0</v>
      </c>
      <c r="AH4527" s="580">
        <f t="shared" si="390"/>
        <v>0</v>
      </c>
    </row>
    <row r="4528" spans="28:34">
      <c r="AB4528" s="580">
        <f>HLOOKUP("*"&amp;'Output annual'!$AC$2&amp;'Output annual'!$AD$2&amp;"*Zone People Number Of Occupants [](Hourly)",'Eplus results'!$1:$1048576,ROW(),FALSE)</f>
        <v>0</v>
      </c>
      <c r="AC4528" s="580">
        <f>HLOOKUP("*"&amp;'Output annual'!$AC$2&amp;'Output annual'!$AD$2&amp;"*FangerPMV(Hourly)",'Eplus results'!$1:$1048576,ROW(),FALSE)</f>
        <v>0</v>
      </c>
      <c r="AD4528" s="580">
        <f t="shared" si="386"/>
        <v>5</v>
      </c>
      <c r="AE4528" s="580">
        <f t="shared" si="387"/>
        <v>2.5</v>
      </c>
      <c r="AF4528" s="580">
        <f t="shared" si="388"/>
        <v>2.5</v>
      </c>
      <c r="AG4528" s="580">
        <f t="shared" si="389"/>
        <v>0</v>
      </c>
      <c r="AH4528" s="580">
        <f t="shared" si="390"/>
        <v>0</v>
      </c>
    </row>
    <row r="4529" spans="28:34">
      <c r="AB4529" s="580">
        <f>HLOOKUP("*"&amp;'Output annual'!$AC$2&amp;'Output annual'!$AD$2&amp;"*Zone People Number Of Occupants [](Hourly)",'Eplus results'!$1:$1048576,ROW(),FALSE)</f>
        <v>0</v>
      </c>
      <c r="AC4529" s="580">
        <f>HLOOKUP("*"&amp;'Output annual'!$AC$2&amp;'Output annual'!$AD$2&amp;"*FangerPMV(Hourly)",'Eplus results'!$1:$1048576,ROW(),FALSE)</f>
        <v>0</v>
      </c>
      <c r="AD4529" s="580">
        <f t="shared" si="386"/>
        <v>5</v>
      </c>
      <c r="AE4529" s="580">
        <f t="shared" si="387"/>
        <v>2.5</v>
      </c>
      <c r="AF4529" s="580">
        <f t="shared" si="388"/>
        <v>2.5</v>
      </c>
      <c r="AG4529" s="580">
        <f t="shared" si="389"/>
        <v>0</v>
      </c>
      <c r="AH4529" s="580">
        <f t="shared" si="390"/>
        <v>0</v>
      </c>
    </row>
    <row r="4530" spans="28:34">
      <c r="AB4530" s="580">
        <f>HLOOKUP("*"&amp;'Output annual'!$AC$2&amp;'Output annual'!$AD$2&amp;"*Zone People Number Of Occupants [](Hourly)",'Eplus results'!$1:$1048576,ROW(),FALSE)</f>
        <v>0</v>
      </c>
      <c r="AC4530" s="580">
        <f>HLOOKUP("*"&amp;'Output annual'!$AC$2&amp;'Output annual'!$AD$2&amp;"*FangerPMV(Hourly)",'Eplus results'!$1:$1048576,ROW(),FALSE)</f>
        <v>0</v>
      </c>
      <c r="AD4530" s="580">
        <f t="shared" si="386"/>
        <v>5</v>
      </c>
      <c r="AE4530" s="580">
        <f t="shared" si="387"/>
        <v>2.5</v>
      </c>
      <c r="AF4530" s="580">
        <f t="shared" si="388"/>
        <v>2.5</v>
      </c>
      <c r="AG4530" s="580">
        <f t="shared" si="389"/>
        <v>0</v>
      </c>
      <c r="AH4530" s="580">
        <f t="shared" si="390"/>
        <v>0</v>
      </c>
    </row>
    <row r="4531" spans="28:34">
      <c r="AB4531" s="580">
        <f>HLOOKUP("*"&amp;'Output annual'!$AC$2&amp;'Output annual'!$AD$2&amp;"*Zone People Number Of Occupants [](Hourly)",'Eplus results'!$1:$1048576,ROW(),FALSE)</f>
        <v>0</v>
      </c>
      <c r="AC4531" s="580">
        <f>HLOOKUP("*"&amp;'Output annual'!$AC$2&amp;'Output annual'!$AD$2&amp;"*FangerPMV(Hourly)",'Eplus results'!$1:$1048576,ROW(),FALSE)</f>
        <v>0</v>
      </c>
      <c r="AD4531" s="580">
        <f t="shared" si="386"/>
        <v>5</v>
      </c>
      <c r="AE4531" s="580">
        <f t="shared" si="387"/>
        <v>2.5</v>
      </c>
      <c r="AF4531" s="580">
        <f t="shared" si="388"/>
        <v>2.5</v>
      </c>
      <c r="AG4531" s="580">
        <f t="shared" si="389"/>
        <v>0</v>
      </c>
      <c r="AH4531" s="580">
        <f t="shared" si="390"/>
        <v>0</v>
      </c>
    </row>
    <row r="4532" spans="28:34">
      <c r="AB4532" s="580">
        <f>HLOOKUP("*"&amp;'Output annual'!$AC$2&amp;'Output annual'!$AD$2&amp;"*Zone People Number Of Occupants [](Hourly)",'Eplus results'!$1:$1048576,ROW(),FALSE)</f>
        <v>0</v>
      </c>
      <c r="AC4532" s="580">
        <f>HLOOKUP("*"&amp;'Output annual'!$AC$2&amp;'Output annual'!$AD$2&amp;"*FangerPMV(Hourly)",'Eplus results'!$1:$1048576,ROW(),FALSE)</f>
        <v>0</v>
      </c>
      <c r="AD4532" s="580">
        <f t="shared" si="386"/>
        <v>5</v>
      </c>
      <c r="AE4532" s="580">
        <f t="shared" si="387"/>
        <v>2.5</v>
      </c>
      <c r="AF4532" s="580">
        <f t="shared" si="388"/>
        <v>2.5</v>
      </c>
      <c r="AG4532" s="580">
        <f t="shared" si="389"/>
        <v>0</v>
      </c>
      <c r="AH4532" s="580">
        <f t="shared" si="390"/>
        <v>0</v>
      </c>
    </row>
    <row r="4533" spans="28:34">
      <c r="AB4533" s="580">
        <f>HLOOKUP("*"&amp;'Output annual'!$AC$2&amp;'Output annual'!$AD$2&amp;"*Zone People Number Of Occupants [](Hourly)",'Eplus results'!$1:$1048576,ROW(),FALSE)</f>
        <v>0</v>
      </c>
      <c r="AC4533" s="580">
        <f>HLOOKUP("*"&amp;'Output annual'!$AC$2&amp;'Output annual'!$AD$2&amp;"*FangerPMV(Hourly)",'Eplus results'!$1:$1048576,ROW(),FALSE)</f>
        <v>0</v>
      </c>
      <c r="AD4533" s="580">
        <f t="shared" si="386"/>
        <v>5</v>
      </c>
      <c r="AE4533" s="580">
        <f t="shared" si="387"/>
        <v>2.5</v>
      </c>
      <c r="AF4533" s="580">
        <f t="shared" si="388"/>
        <v>2.5</v>
      </c>
      <c r="AG4533" s="580">
        <f t="shared" si="389"/>
        <v>0</v>
      </c>
      <c r="AH4533" s="580">
        <f t="shared" si="390"/>
        <v>0</v>
      </c>
    </row>
    <row r="4534" spans="28:34">
      <c r="AB4534" s="580">
        <f>HLOOKUP("*"&amp;'Output annual'!$AC$2&amp;'Output annual'!$AD$2&amp;"*Zone People Number Of Occupants [](Hourly)",'Eplus results'!$1:$1048576,ROW(),FALSE)</f>
        <v>0</v>
      </c>
      <c r="AC4534" s="580">
        <f>HLOOKUP("*"&amp;'Output annual'!$AC$2&amp;'Output annual'!$AD$2&amp;"*FangerPMV(Hourly)",'Eplus results'!$1:$1048576,ROW(),FALSE)</f>
        <v>0</v>
      </c>
      <c r="AD4534" s="580">
        <f t="shared" si="386"/>
        <v>5</v>
      </c>
      <c r="AE4534" s="580">
        <f t="shared" si="387"/>
        <v>2.5</v>
      </c>
      <c r="AF4534" s="580">
        <f t="shared" si="388"/>
        <v>2.5</v>
      </c>
      <c r="AG4534" s="580">
        <f t="shared" si="389"/>
        <v>0</v>
      </c>
      <c r="AH4534" s="580">
        <f t="shared" si="390"/>
        <v>0</v>
      </c>
    </row>
    <row r="4535" spans="28:34">
      <c r="AB4535" s="580">
        <f>HLOOKUP("*"&amp;'Output annual'!$AC$2&amp;'Output annual'!$AD$2&amp;"*Zone People Number Of Occupants [](Hourly)",'Eplus results'!$1:$1048576,ROW(),FALSE)</f>
        <v>0</v>
      </c>
      <c r="AC4535" s="580">
        <f>HLOOKUP("*"&amp;'Output annual'!$AC$2&amp;'Output annual'!$AD$2&amp;"*FangerPMV(Hourly)",'Eplus results'!$1:$1048576,ROW(),FALSE)</f>
        <v>0</v>
      </c>
      <c r="AD4535" s="580">
        <f t="shared" si="386"/>
        <v>5</v>
      </c>
      <c r="AE4535" s="580">
        <f t="shared" si="387"/>
        <v>2.5</v>
      </c>
      <c r="AF4535" s="580">
        <f t="shared" si="388"/>
        <v>2.5</v>
      </c>
      <c r="AG4535" s="580">
        <f t="shared" si="389"/>
        <v>0</v>
      </c>
      <c r="AH4535" s="580">
        <f t="shared" si="390"/>
        <v>0</v>
      </c>
    </row>
    <row r="4536" spans="28:34">
      <c r="AB4536" s="580">
        <f>HLOOKUP("*"&amp;'Output annual'!$AC$2&amp;'Output annual'!$AD$2&amp;"*Zone People Number Of Occupants [](Hourly)",'Eplus results'!$1:$1048576,ROW(),FALSE)</f>
        <v>0</v>
      </c>
      <c r="AC4536" s="580">
        <f>HLOOKUP("*"&amp;'Output annual'!$AC$2&amp;'Output annual'!$AD$2&amp;"*FangerPMV(Hourly)",'Eplus results'!$1:$1048576,ROW(),FALSE)</f>
        <v>0</v>
      </c>
      <c r="AD4536" s="580">
        <f t="shared" si="386"/>
        <v>5</v>
      </c>
      <c r="AE4536" s="580">
        <f t="shared" si="387"/>
        <v>2.5</v>
      </c>
      <c r="AF4536" s="580">
        <f t="shared" si="388"/>
        <v>2.5</v>
      </c>
      <c r="AG4536" s="580">
        <f t="shared" si="389"/>
        <v>0</v>
      </c>
      <c r="AH4536" s="580">
        <f t="shared" si="390"/>
        <v>0</v>
      </c>
    </row>
    <row r="4537" spans="28:34">
      <c r="AB4537" s="580">
        <f>HLOOKUP("*"&amp;'Output annual'!$AC$2&amp;'Output annual'!$AD$2&amp;"*Zone People Number Of Occupants [](Hourly)",'Eplus results'!$1:$1048576,ROW(),FALSE)</f>
        <v>0</v>
      </c>
      <c r="AC4537" s="580">
        <f>HLOOKUP("*"&amp;'Output annual'!$AC$2&amp;'Output annual'!$AD$2&amp;"*FangerPMV(Hourly)",'Eplus results'!$1:$1048576,ROW(),FALSE)</f>
        <v>0</v>
      </c>
      <c r="AD4537" s="580">
        <f t="shared" si="386"/>
        <v>5</v>
      </c>
      <c r="AE4537" s="580">
        <f t="shared" si="387"/>
        <v>2.5</v>
      </c>
      <c r="AF4537" s="580">
        <f t="shared" si="388"/>
        <v>2.5</v>
      </c>
      <c r="AG4537" s="580">
        <f t="shared" si="389"/>
        <v>0</v>
      </c>
      <c r="AH4537" s="580">
        <f t="shared" si="390"/>
        <v>0</v>
      </c>
    </row>
    <row r="4538" spans="28:34">
      <c r="AB4538" s="580">
        <f>HLOOKUP("*"&amp;'Output annual'!$AC$2&amp;'Output annual'!$AD$2&amp;"*Zone People Number Of Occupants [](Hourly)",'Eplus results'!$1:$1048576,ROW(),FALSE)</f>
        <v>0</v>
      </c>
      <c r="AC4538" s="580">
        <f>HLOOKUP("*"&amp;'Output annual'!$AC$2&amp;'Output annual'!$AD$2&amp;"*FangerPMV(Hourly)",'Eplus results'!$1:$1048576,ROW(),FALSE)</f>
        <v>0</v>
      </c>
      <c r="AD4538" s="580">
        <f t="shared" si="386"/>
        <v>5</v>
      </c>
      <c r="AE4538" s="580">
        <f t="shared" si="387"/>
        <v>2.5</v>
      </c>
      <c r="AF4538" s="580">
        <f t="shared" si="388"/>
        <v>2.5</v>
      </c>
      <c r="AG4538" s="580">
        <f t="shared" si="389"/>
        <v>0</v>
      </c>
      <c r="AH4538" s="580">
        <f t="shared" si="390"/>
        <v>0</v>
      </c>
    </row>
    <row r="4539" spans="28:34">
      <c r="AB4539" s="580">
        <f>HLOOKUP("*"&amp;'Output annual'!$AC$2&amp;'Output annual'!$AD$2&amp;"*Zone People Number Of Occupants [](Hourly)",'Eplus results'!$1:$1048576,ROW(),FALSE)</f>
        <v>0</v>
      </c>
      <c r="AC4539" s="580">
        <f>HLOOKUP("*"&amp;'Output annual'!$AC$2&amp;'Output annual'!$AD$2&amp;"*FangerPMV(Hourly)",'Eplus results'!$1:$1048576,ROW(),FALSE)</f>
        <v>0</v>
      </c>
      <c r="AD4539" s="580">
        <f t="shared" si="386"/>
        <v>5</v>
      </c>
      <c r="AE4539" s="580">
        <f t="shared" si="387"/>
        <v>2.5</v>
      </c>
      <c r="AF4539" s="580">
        <f t="shared" si="388"/>
        <v>2.5</v>
      </c>
      <c r="AG4539" s="580">
        <f t="shared" si="389"/>
        <v>0</v>
      </c>
      <c r="AH4539" s="580">
        <f t="shared" si="390"/>
        <v>0</v>
      </c>
    </row>
    <row r="4540" spans="28:34">
      <c r="AB4540" s="580">
        <f>HLOOKUP("*"&amp;'Output annual'!$AC$2&amp;'Output annual'!$AD$2&amp;"*Zone People Number Of Occupants [](Hourly)",'Eplus results'!$1:$1048576,ROW(),FALSE)</f>
        <v>0</v>
      </c>
      <c r="AC4540" s="580">
        <f>HLOOKUP("*"&amp;'Output annual'!$AC$2&amp;'Output annual'!$AD$2&amp;"*FangerPMV(Hourly)",'Eplus results'!$1:$1048576,ROW(),FALSE)</f>
        <v>0</v>
      </c>
      <c r="AD4540" s="580">
        <f t="shared" si="386"/>
        <v>5</v>
      </c>
      <c r="AE4540" s="580">
        <f t="shared" si="387"/>
        <v>2.5</v>
      </c>
      <c r="AF4540" s="580">
        <f t="shared" si="388"/>
        <v>2.5</v>
      </c>
      <c r="AG4540" s="580">
        <f t="shared" si="389"/>
        <v>0</v>
      </c>
      <c r="AH4540" s="580">
        <f t="shared" si="390"/>
        <v>0</v>
      </c>
    </row>
    <row r="4541" spans="28:34">
      <c r="AB4541" s="580">
        <f>HLOOKUP("*"&amp;'Output annual'!$AC$2&amp;'Output annual'!$AD$2&amp;"*Zone People Number Of Occupants [](Hourly)",'Eplus results'!$1:$1048576,ROW(),FALSE)</f>
        <v>0</v>
      </c>
      <c r="AC4541" s="580">
        <f>HLOOKUP("*"&amp;'Output annual'!$AC$2&amp;'Output annual'!$AD$2&amp;"*FangerPMV(Hourly)",'Eplus results'!$1:$1048576,ROW(),FALSE)</f>
        <v>0</v>
      </c>
      <c r="AD4541" s="580">
        <f t="shared" si="386"/>
        <v>5</v>
      </c>
      <c r="AE4541" s="580">
        <f t="shared" si="387"/>
        <v>2.5</v>
      </c>
      <c r="AF4541" s="580">
        <f t="shared" si="388"/>
        <v>2.5</v>
      </c>
      <c r="AG4541" s="580">
        <f t="shared" si="389"/>
        <v>0</v>
      </c>
      <c r="AH4541" s="580">
        <f t="shared" si="390"/>
        <v>0</v>
      </c>
    </row>
    <row r="4542" spans="28:34">
      <c r="AB4542" s="580">
        <f>HLOOKUP("*"&amp;'Output annual'!$AC$2&amp;'Output annual'!$AD$2&amp;"*Zone People Number Of Occupants [](Hourly)",'Eplus results'!$1:$1048576,ROW(),FALSE)</f>
        <v>0</v>
      </c>
      <c r="AC4542" s="580">
        <f>HLOOKUP("*"&amp;'Output annual'!$AC$2&amp;'Output annual'!$AD$2&amp;"*FangerPMV(Hourly)",'Eplus results'!$1:$1048576,ROW(),FALSE)</f>
        <v>0</v>
      </c>
      <c r="AD4542" s="580">
        <f t="shared" si="386"/>
        <v>5</v>
      </c>
      <c r="AE4542" s="580">
        <f t="shared" si="387"/>
        <v>2.5</v>
      </c>
      <c r="AF4542" s="580">
        <f t="shared" si="388"/>
        <v>2.5</v>
      </c>
      <c r="AG4542" s="580">
        <f t="shared" si="389"/>
        <v>0</v>
      </c>
      <c r="AH4542" s="580">
        <f t="shared" si="390"/>
        <v>0</v>
      </c>
    </row>
    <row r="4543" spans="28:34">
      <c r="AB4543" s="580">
        <f>HLOOKUP("*"&amp;'Output annual'!$AC$2&amp;'Output annual'!$AD$2&amp;"*Zone People Number Of Occupants [](Hourly)",'Eplus results'!$1:$1048576,ROW(),FALSE)</f>
        <v>0</v>
      </c>
      <c r="AC4543" s="580">
        <f>HLOOKUP("*"&amp;'Output annual'!$AC$2&amp;'Output annual'!$AD$2&amp;"*FangerPMV(Hourly)",'Eplus results'!$1:$1048576,ROW(),FALSE)</f>
        <v>0</v>
      </c>
      <c r="AD4543" s="580">
        <f t="shared" si="386"/>
        <v>5</v>
      </c>
      <c r="AE4543" s="580">
        <f t="shared" si="387"/>
        <v>2.5</v>
      </c>
      <c r="AF4543" s="580">
        <f t="shared" si="388"/>
        <v>2.5</v>
      </c>
      <c r="AG4543" s="580">
        <f t="shared" si="389"/>
        <v>0</v>
      </c>
      <c r="AH4543" s="580">
        <f t="shared" si="390"/>
        <v>0</v>
      </c>
    </row>
    <row r="4544" spans="28:34">
      <c r="AB4544" s="580">
        <f>HLOOKUP("*"&amp;'Output annual'!$AC$2&amp;'Output annual'!$AD$2&amp;"*Zone People Number Of Occupants [](Hourly)",'Eplus results'!$1:$1048576,ROW(),FALSE)</f>
        <v>0</v>
      </c>
      <c r="AC4544" s="580">
        <f>HLOOKUP("*"&amp;'Output annual'!$AC$2&amp;'Output annual'!$AD$2&amp;"*FangerPMV(Hourly)",'Eplus results'!$1:$1048576,ROW(),FALSE)</f>
        <v>0</v>
      </c>
      <c r="AD4544" s="580">
        <f t="shared" si="386"/>
        <v>5</v>
      </c>
      <c r="AE4544" s="580">
        <f t="shared" si="387"/>
        <v>2.5</v>
      </c>
      <c r="AF4544" s="580">
        <f t="shared" si="388"/>
        <v>2.5</v>
      </c>
      <c r="AG4544" s="580">
        <f t="shared" si="389"/>
        <v>0</v>
      </c>
      <c r="AH4544" s="580">
        <f t="shared" si="390"/>
        <v>0</v>
      </c>
    </row>
    <row r="4545" spans="28:34">
      <c r="AB4545" s="580">
        <f>HLOOKUP("*"&amp;'Output annual'!$AC$2&amp;'Output annual'!$AD$2&amp;"*Zone People Number Of Occupants [](Hourly)",'Eplus results'!$1:$1048576,ROW(),FALSE)</f>
        <v>0</v>
      </c>
      <c r="AC4545" s="580">
        <f>HLOOKUP("*"&amp;'Output annual'!$AC$2&amp;'Output annual'!$AD$2&amp;"*FangerPMV(Hourly)",'Eplus results'!$1:$1048576,ROW(),FALSE)</f>
        <v>0</v>
      </c>
      <c r="AD4545" s="580">
        <f t="shared" si="386"/>
        <v>5</v>
      </c>
      <c r="AE4545" s="580">
        <f t="shared" si="387"/>
        <v>2.5</v>
      </c>
      <c r="AF4545" s="580">
        <f t="shared" si="388"/>
        <v>2.5</v>
      </c>
      <c r="AG4545" s="580">
        <f t="shared" si="389"/>
        <v>0</v>
      </c>
      <c r="AH4545" s="580">
        <f t="shared" si="390"/>
        <v>0</v>
      </c>
    </row>
    <row r="4546" spans="28:34">
      <c r="AB4546" s="580">
        <f>HLOOKUP("*"&amp;'Output annual'!$AC$2&amp;'Output annual'!$AD$2&amp;"*Zone People Number Of Occupants [](Hourly)",'Eplus results'!$1:$1048576,ROW(),FALSE)</f>
        <v>0</v>
      </c>
      <c r="AC4546" s="580">
        <f>HLOOKUP("*"&amp;'Output annual'!$AC$2&amp;'Output annual'!$AD$2&amp;"*FangerPMV(Hourly)",'Eplus results'!$1:$1048576,ROW(),FALSE)</f>
        <v>0</v>
      </c>
      <c r="AD4546" s="580">
        <f t="shared" si="386"/>
        <v>5</v>
      </c>
      <c r="AE4546" s="580">
        <f t="shared" si="387"/>
        <v>2.5</v>
      </c>
      <c r="AF4546" s="580">
        <f t="shared" si="388"/>
        <v>2.5</v>
      </c>
      <c r="AG4546" s="580">
        <f t="shared" si="389"/>
        <v>0</v>
      </c>
      <c r="AH4546" s="580">
        <f t="shared" si="390"/>
        <v>0</v>
      </c>
    </row>
    <row r="4547" spans="28:34">
      <c r="AB4547" s="580">
        <f>HLOOKUP("*"&amp;'Output annual'!$AC$2&amp;'Output annual'!$AD$2&amp;"*Zone People Number Of Occupants [](Hourly)",'Eplus results'!$1:$1048576,ROW(),FALSE)</f>
        <v>0</v>
      </c>
      <c r="AC4547" s="580">
        <f>HLOOKUP("*"&amp;'Output annual'!$AC$2&amp;'Output annual'!$AD$2&amp;"*FangerPMV(Hourly)",'Eplus results'!$1:$1048576,ROW(),FALSE)</f>
        <v>0</v>
      </c>
      <c r="AD4547" s="580">
        <f t="shared" ref="AD4547:AD4610" si="391">100-95*EXP(-0.03353*AC4547^4-0.2179*AC4547^2)</f>
        <v>5</v>
      </c>
      <c r="AE4547" s="580">
        <f t="shared" ref="AE4547:AE4610" si="392">AD4547*(1/(1+EXP(-6.3*$AC4547)))</f>
        <v>2.5</v>
      </c>
      <c r="AF4547" s="580">
        <f t="shared" ref="AF4547:AF4610" si="393">(AD4547-AE4547)</f>
        <v>2.5</v>
      </c>
      <c r="AG4547" s="580">
        <f t="shared" ref="AG4547:AG4610" si="394">AE4547*AB4547</f>
        <v>0</v>
      </c>
      <c r="AH4547" s="580">
        <f t="shared" ref="AH4547:AH4610" si="395">AF4547*AB4547</f>
        <v>0</v>
      </c>
    </row>
    <row r="4548" spans="28:34">
      <c r="AB4548" s="580">
        <f>HLOOKUP("*"&amp;'Output annual'!$AC$2&amp;'Output annual'!$AD$2&amp;"*Zone People Number Of Occupants [](Hourly)",'Eplus results'!$1:$1048576,ROW(),FALSE)</f>
        <v>0</v>
      </c>
      <c r="AC4548" s="580">
        <f>HLOOKUP("*"&amp;'Output annual'!$AC$2&amp;'Output annual'!$AD$2&amp;"*FangerPMV(Hourly)",'Eplus results'!$1:$1048576,ROW(),FALSE)</f>
        <v>0</v>
      </c>
      <c r="AD4548" s="580">
        <f t="shared" si="391"/>
        <v>5</v>
      </c>
      <c r="AE4548" s="580">
        <f t="shared" si="392"/>
        <v>2.5</v>
      </c>
      <c r="AF4548" s="580">
        <f t="shared" si="393"/>
        <v>2.5</v>
      </c>
      <c r="AG4548" s="580">
        <f t="shared" si="394"/>
        <v>0</v>
      </c>
      <c r="AH4548" s="580">
        <f t="shared" si="395"/>
        <v>0</v>
      </c>
    </row>
    <row r="4549" spans="28:34">
      <c r="AB4549" s="580">
        <f>HLOOKUP("*"&amp;'Output annual'!$AC$2&amp;'Output annual'!$AD$2&amp;"*Zone People Number Of Occupants [](Hourly)",'Eplus results'!$1:$1048576,ROW(),FALSE)</f>
        <v>0</v>
      </c>
      <c r="AC4549" s="580">
        <f>HLOOKUP("*"&amp;'Output annual'!$AC$2&amp;'Output annual'!$AD$2&amp;"*FangerPMV(Hourly)",'Eplus results'!$1:$1048576,ROW(),FALSE)</f>
        <v>0</v>
      </c>
      <c r="AD4549" s="580">
        <f t="shared" si="391"/>
        <v>5</v>
      </c>
      <c r="AE4549" s="580">
        <f t="shared" si="392"/>
        <v>2.5</v>
      </c>
      <c r="AF4549" s="580">
        <f t="shared" si="393"/>
        <v>2.5</v>
      </c>
      <c r="AG4549" s="580">
        <f t="shared" si="394"/>
        <v>0</v>
      </c>
      <c r="AH4549" s="580">
        <f t="shared" si="395"/>
        <v>0</v>
      </c>
    </row>
    <row r="4550" spans="28:34">
      <c r="AB4550" s="580">
        <f>HLOOKUP("*"&amp;'Output annual'!$AC$2&amp;'Output annual'!$AD$2&amp;"*Zone People Number Of Occupants [](Hourly)",'Eplus results'!$1:$1048576,ROW(),FALSE)</f>
        <v>0</v>
      </c>
      <c r="AC4550" s="580">
        <f>HLOOKUP("*"&amp;'Output annual'!$AC$2&amp;'Output annual'!$AD$2&amp;"*FangerPMV(Hourly)",'Eplus results'!$1:$1048576,ROW(),FALSE)</f>
        <v>0</v>
      </c>
      <c r="AD4550" s="580">
        <f t="shared" si="391"/>
        <v>5</v>
      </c>
      <c r="AE4550" s="580">
        <f t="shared" si="392"/>
        <v>2.5</v>
      </c>
      <c r="AF4550" s="580">
        <f t="shared" si="393"/>
        <v>2.5</v>
      </c>
      <c r="AG4550" s="580">
        <f t="shared" si="394"/>
        <v>0</v>
      </c>
      <c r="AH4550" s="580">
        <f t="shared" si="395"/>
        <v>0</v>
      </c>
    </row>
    <row r="4551" spans="28:34">
      <c r="AB4551" s="580">
        <f>HLOOKUP("*"&amp;'Output annual'!$AC$2&amp;'Output annual'!$AD$2&amp;"*Zone People Number Of Occupants [](Hourly)",'Eplus results'!$1:$1048576,ROW(),FALSE)</f>
        <v>0</v>
      </c>
      <c r="AC4551" s="580">
        <f>HLOOKUP("*"&amp;'Output annual'!$AC$2&amp;'Output annual'!$AD$2&amp;"*FangerPMV(Hourly)",'Eplus results'!$1:$1048576,ROW(),FALSE)</f>
        <v>0</v>
      </c>
      <c r="AD4551" s="580">
        <f t="shared" si="391"/>
        <v>5</v>
      </c>
      <c r="AE4551" s="580">
        <f t="shared" si="392"/>
        <v>2.5</v>
      </c>
      <c r="AF4551" s="580">
        <f t="shared" si="393"/>
        <v>2.5</v>
      </c>
      <c r="AG4551" s="580">
        <f t="shared" si="394"/>
        <v>0</v>
      </c>
      <c r="AH4551" s="580">
        <f t="shared" si="395"/>
        <v>0</v>
      </c>
    </row>
    <row r="4552" spans="28:34">
      <c r="AB4552" s="580">
        <f>HLOOKUP("*"&amp;'Output annual'!$AC$2&amp;'Output annual'!$AD$2&amp;"*Zone People Number Of Occupants [](Hourly)",'Eplus results'!$1:$1048576,ROW(),FALSE)</f>
        <v>0</v>
      </c>
      <c r="AC4552" s="580">
        <f>HLOOKUP("*"&amp;'Output annual'!$AC$2&amp;'Output annual'!$AD$2&amp;"*FangerPMV(Hourly)",'Eplus results'!$1:$1048576,ROW(),FALSE)</f>
        <v>0</v>
      </c>
      <c r="AD4552" s="580">
        <f t="shared" si="391"/>
        <v>5</v>
      </c>
      <c r="AE4552" s="580">
        <f t="shared" si="392"/>
        <v>2.5</v>
      </c>
      <c r="AF4552" s="580">
        <f t="shared" si="393"/>
        <v>2.5</v>
      </c>
      <c r="AG4552" s="580">
        <f t="shared" si="394"/>
        <v>0</v>
      </c>
      <c r="AH4552" s="580">
        <f t="shared" si="395"/>
        <v>0</v>
      </c>
    </row>
    <row r="4553" spans="28:34">
      <c r="AB4553" s="580">
        <f>HLOOKUP("*"&amp;'Output annual'!$AC$2&amp;'Output annual'!$AD$2&amp;"*Zone People Number Of Occupants [](Hourly)",'Eplus results'!$1:$1048576,ROW(),FALSE)</f>
        <v>0</v>
      </c>
      <c r="AC4553" s="580">
        <f>HLOOKUP("*"&amp;'Output annual'!$AC$2&amp;'Output annual'!$AD$2&amp;"*FangerPMV(Hourly)",'Eplus results'!$1:$1048576,ROW(),FALSE)</f>
        <v>0</v>
      </c>
      <c r="AD4553" s="580">
        <f t="shared" si="391"/>
        <v>5</v>
      </c>
      <c r="AE4553" s="580">
        <f t="shared" si="392"/>
        <v>2.5</v>
      </c>
      <c r="AF4553" s="580">
        <f t="shared" si="393"/>
        <v>2.5</v>
      </c>
      <c r="AG4553" s="580">
        <f t="shared" si="394"/>
        <v>0</v>
      </c>
      <c r="AH4553" s="580">
        <f t="shared" si="395"/>
        <v>0</v>
      </c>
    </row>
    <row r="4554" spans="28:34">
      <c r="AB4554" s="580">
        <f>HLOOKUP("*"&amp;'Output annual'!$AC$2&amp;'Output annual'!$AD$2&amp;"*Zone People Number Of Occupants [](Hourly)",'Eplus results'!$1:$1048576,ROW(),FALSE)</f>
        <v>0</v>
      </c>
      <c r="AC4554" s="580">
        <f>HLOOKUP("*"&amp;'Output annual'!$AC$2&amp;'Output annual'!$AD$2&amp;"*FangerPMV(Hourly)",'Eplus results'!$1:$1048576,ROW(),FALSE)</f>
        <v>0</v>
      </c>
      <c r="AD4554" s="580">
        <f t="shared" si="391"/>
        <v>5</v>
      </c>
      <c r="AE4554" s="580">
        <f t="shared" si="392"/>
        <v>2.5</v>
      </c>
      <c r="AF4554" s="580">
        <f t="shared" si="393"/>
        <v>2.5</v>
      </c>
      <c r="AG4554" s="580">
        <f t="shared" si="394"/>
        <v>0</v>
      </c>
      <c r="AH4554" s="580">
        <f t="shared" si="395"/>
        <v>0</v>
      </c>
    </row>
    <row r="4555" spans="28:34">
      <c r="AB4555" s="580">
        <f>HLOOKUP("*"&amp;'Output annual'!$AC$2&amp;'Output annual'!$AD$2&amp;"*Zone People Number Of Occupants [](Hourly)",'Eplus results'!$1:$1048576,ROW(),FALSE)</f>
        <v>0</v>
      </c>
      <c r="AC4555" s="580">
        <f>HLOOKUP("*"&amp;'Output annual'!$AC$2&amp;'Output annual'!$AD$2&amp;"*FangerPMV(Hourly)",'Eplus results'!$1:$1048576,ROW(),FALSE)</f>
        <v>0</v>
      </c>
      <c r="AD4555" s="580">
        <f t="shared" si="391"/>
        <v>5</v>
      </c>
      <c r="AE4555" s="580">
        <f t="shared" si="392"/>
        <v>2.5</v>
      </c>
      <c r="AF4555" s="580">
        <f t="shared" si="393"/>
        <v>2.5</v>
      </c>
      <c r="AG4555" s="580">
        <f t="shared" si="394"/>
        <v>0</v>
      </c>
      <c r="AH4555" s="580">
        <f t="shared" si="395"/>
        <v>0</v>
      </c>
    </row>
    <row r="4556" spans="28:34">
      <c r="AB4556" s="580">
        <f>HLOOKUP("*"&amp;'Output annual'!$AC$2&amp;'Output annual'!$AD$2&amp;"*Zone People Number Of Occupants [](Hourly)",'Eplus results'!$1:$1048576,ROW(),FALSE)</f>
        <v>0</v>
      </c>
      <c r="AC4556" s="580">
        <f>HLOOKUP("*"&amp;'Output annual'!$AC$2&amp;'Output annual'!$AD$2&amp;"*FangerPMV(Hourly)",'Eplus results'!$1:$1048576,ROW(),FALSE)</f>
        <v>0</v>
      </c>
      <c r="AD4556" s="580">
        <f t="shared" si="391"/>
        <v>5</v>
      </c>
      <c r="AE4556" s="580">
        <f t="shared" si="392"/>
        <v>2.5</v>
      </c>
      <c r="AF4556" s="580">
        <f t="shared" si="393"/>
        <v>2.5</v>
      </c>
      <c r="AG4556" s="580">
        <f t="shared" si="394"/>
        <v>0</v>
      </c>
      <c r="AH4556" s="580">
        <f t="shared" si="395"/>
        <v>0</v>
      </c>
    </row>
    <row r="4557" spans="28:34">
      <c r="AB4557" s="580">
        <f>HLOOKUP("*"&amp;'Output annual'!$AC$2&amp;'Output annual'!$AD$2&amp;"*Zone People Number Of Occupants [](Hourly)",'Eplus results'!$1:$1048576,ROW(),FALSE)</f>
        <v>0</v>
      </c>
      <c r="AC4557" s="580">
        <f>HLOOKUP("*"&amp;'Output annual'!$AC$2&amp;'Output annual'!$AD$2&amp;"*FangerPMV(Hourly)",'Eplus results'!$1:$1048576,ROW(),FALSE)</f>
        <v>0</v>
      </c>
      <c r="AD4557" s="580">
        <f t="shared" si="391"/>
        <v>5</v>
      </c>
      <c r="AE4557" s="580">
        <f t="shared" si="392"/>
        <v>2.5</v>
      </c>
      <c r="AF4557" s="580">
        <f t="shared" si="393"/>
        <v>2.5</v>
      </c>
      <c r="AG4557" s="580">
        <f t="shared" si="394"/>
        <v>0</v>
      </c>
      <c r="AH4557" s="580">
        <f t="shared" si="395"/>
        <v>0</v>
      </c>
    </row>
    <row r="4558" spans="28:34">
      <c r="AB4558" s="580">
        <f>HLOOKUP("*"&amp;'Output annual'!$AC$2&amp;'Output annual'!$AD$2&amp;"*Zone People Number Of Occupants [](Hourly)",'Eplus results'!$1:$1048576,ROW(),FALSE)</f>
        <v>0</v>
      </c>
      <c r="AC4558" s="580">
        <f>HLOOKUP("*"&amp;'Output annual'!$AC$2&amp;'Output annual'!$AD$2&amp;"*FangerPMV(Hourly)",'Eplus results'!$1:$1048576,ROW(),FALSE)</f>
        <v>0</v>
      </c>
      <c r="AD4558" s="580">
        <f t="shared" si="391"/>
        <v>5</v>
      </c>
      <c r="AE4558" s="580">
        <f t="shared" si="392"/>
        <v>2.5</v>
      </c>
      <c r="AF4558" s="580">
        <f t="shared" si="393"/>
        <v>2.5</v>
      </c>
      <c r="AG4558" s="580">
        <f t="shared" si="394"/>
        <v>0</v>
      </c>
      <c r="AH4558" s="580">
        <f t="shared" si="395"/>
        <v>0</v>
      </c>
    </row>
    <row r="4559" spans="28:34">
      <c r="AB4559" s="580">
        <f>HLOOKUP("*"&amp;'Output annual'!$AC$2&amp;'Output annual'!$AD$2&amp;"*Zone People Number Of Occupants [](Hourly)",'Eplus results'!$1:$1048576,ROW(),FALSE)</f>
        <v>0</v>
      </c>
      <c r="AC4559" s="580">
        <f>HLOOKUP("*"&amp;'Output annual'!$AC$2&amp;'Output annual'!$AD$2&amp;"*FangerPMV(Hourly)",'Eplus results'!$1:$1048576,ROW(),FALSE)</f>
        <v>0</v>
      </c>
      <c r="AD4559" s="580">
        <f t="shared" si="391"/>
        <v>5</v>
      </c>
      <c r="AE4559" s="580">
        <f t="shared" si="392"/>
        <v>2.5</v>
      </c>
      <c r="AF4559" s="580">
        <f t="shared" si="393"/>
        <v>2.5</v>
      </c>
      <c r="AG4559" s="580">
        <f t="shared" si="394"/>
        <v>0</v>
      </c>
      <c r="AH4559" s="580">
        <f t="shared" si="395"/>
        <v>0</v>
      </c>
    </row>
    <row r="4560" spans="28:34">
      <c r="AB4560" s="580">
        <f>HLOOKUP("*"&amp;'Output annual'!$AC$2&amp;'Output annual'!$AD$2&amp;"*Zone People Number Of Occupants [](Hourly)",'Eplus results'!$1:$1048576,ROW(),FALSE)</f>
        <v>0</v>
      </c>
      <c r="AC4560" s="580">
        <f>HLOOKUP("*"&amp;'Output annual'!$AC$2&amp;'Output annual'!$AD$2&amp;"*FangerPMV(Hourly)",'Eplus results'!$1:$1048576,ROW(),FALSE)</f>
        <v>0</v>
      </c>
      <c r="AD4560" s="580">
        <f t="shared" si="391"/>
        <v>5</v>
      </c>
      <c r="AE4560" s="580">
        <f t="shared" si="392"/>
        <v>2.5</v>
      </c>
      <c r="AF4560" s="580">
        <f t="shared" si="393"/>
        <v>2.5</v>
      </c>
      <c r="AG4560" s="580">
        <f t="shared" si="394"/>
        <v>0</v>
      </c>
      <c r="AH4560" s="580">
        <f t="shared" si="395"/>
        <v>0</v>
      </c>
    </row>
    <row r="4561" spans="28:34">
      <c r="AB4561" s="580">
        <f>HLOOKUP("*"&amp;'Output annual'!$AC$2&amp;'Output annual'!$AD$2&amp;"*Zone People Number Of Occupants [](Hourly)",'Eplus results'!$1:$1048576,ROW(),FALSE)</f>
        <v>0</v>
      </c>
      <c r="AC4561" s="580">
        <f>HLOOKUP("*"&amp;'Output annual'!$AC$2&amp;'Output annual'!$AD$2&amp;"*FangerPMV(Hourly)",'Eplus results'!$1:$1048576,ROW(),FALSE)</f>
        <v>0</v>
      </c>
      <c r="AD4561" s="580">
        <f t="shared" si="391"/>
        <v>5</v>
      </c>
      <c r="AE4561" s="580">
        <f t="shared" si="392"/>
        <v>2.5</v>
      </c>
      <c r="AF4561" s="580">
        <f t="shared" si="393"/>
        <v>2.5</v>
      </c>
      <c r="AG4561" s="580">
        <f t="shared" si="394"/>
        <v>0</v>
      </c>
      <c r="AH4561" s="580">
        <f t="shared" si="395"/>
        <v>0</v>
      </c>
    </row>
    <row r="4562" spans="28:34">
      <c r="AB4562" s="580">
        <f>HLOOKUP("*"&amp;'Output annual'!$AC$2&amp;'Output annual'!$AD$2&amp;"*Zone People Number Of Occupants [](Hourly)",'Eplus results'!$1:$1048576,ROW(),FALSE)</f>
        <v>0</v>
      </c>
      <c r="AC4562" s="580">
        <f>HLOOKUP("*"&amp;'Output annual'!$AC$2&amp;'Output annual'!$AD$2&amp;"*FangerPMV(Hourly)",'Eplus results'!$1:$1048576,ROW(),FALSE)</f>
        <v>0</v>
      </c>
      <c r="AD4562" s="580">
        <f t="shared" si="391"/>
        <v>5</v>
      </c>
      <c r="AE4562" s="580">
        <f t="shared" si="392"/>
        <v>2.5</v>
      </c>
      <c r="AF4562" s="580">
        <f t="shared" si="393"/>
        <v>2.5</v>
      </c>
      <c r="AG4562" s="580">
        <f t="shared" si="394"/>
        <v>0</v>
      </c>
      <c r="AH4562" s="580">
        <f t="shared" si="395"/>
        <v>0</v>
      </c>
    </row>
    <row r="4563" spans="28:34">
      <c r="AB4563" s="580">
        <f>HLOOKUP("*"&amp;'Output annual'!$AC$2&amp;'Output annual'!$AD$2&amp;"*Zone People Number Of Occupants [](Hourly)",'Eplus results'!$1:$1048576,ROW(),FALSE)</f>
        <v>0</v>
      </c>
      <c r="AC4563" s="580">
        <f>HLOOKUP("*"&amp;'Output annual'!$AC$2&amp;'Output annual'!$AD$2&amp;"*FangerPMV(Hourly)",'Eplus results'!$1:$1048576,ROW(),FALSE)</f>
        <v>0</v>
      </c>
      <c r="AD4563" s="580">
        <f t="shared" si="391"/>
        <v>5</v>
      </c>
      <c r="AE4563" s="580">
        <f t="shared" si="392"/>
        <v>2.5</v>
      </c>
      <c r="AF4563" s="580">
        <f t="shared" si="393"/>
        <v>2.5</v>
      </c>
      <c r="AG4563" s="580">
        <f t="shared" si="394"/>
        <v>0</v>
      </c>
      <c r="AH4563" s="580">
        <f t="shared" si="395"/>
        <v>0</v>
      </c>
    </row>
    <row r="4564" spans="28:34">
      <c r="AB4564" s="580">
        <f>HLOOKUP("*"&amp;'Output annual'!$AC$2&amp;'Output annual'!$AD$2&amp;"*Zone People Number Of Occupants [](Hourly)",'Eplus results'!$1:$1048576,ROW(),FALSE)</f>
        <v>0</v>
      </c>
      <c r="AC4564" s="580">
        <f>HLOOKUP("*"&amp;'Output annual'!$AC$2&amp;'Output annual'!$AD$2&amp;"*FangerPMV(Hourly)",'Eplus results'!$1:$1048576,ROW(),FALSE)</f>
        <v>0</v>
      </c>
      <c r="AD4564" s="580">
        <f t="shared" si="391"/>
        <v>5</v>
      </c>
      <c r="AE4564" s="580">
        <f t="shared" si="392"/>
        <v>2.5</v>
      </c>
      <c r="AF4564" s="580">
        <f t="shared" si="393"/>
        <v>2.5</v>
      </c>
      <c r="AG4564" s="580">
        <f t="shared" si="394"/>
        <v>0</v>
      </c>
      <c r="AH4564" s="580">
        <f t="shared" si="395"/>
        <v>0</v>
      </c>
    </row>
    <row r="4565" spans="28:34">
      <c r="AB4565" s="580">
        <f>HLOOKUP("*"&amp;'Output annual'!$AC$2&amp;'Output annual'!$AD$2&amp;"*Zone People Number Of Occupants [](Hourly)",'Eplus results'!$1:$1048576,ROW(),FALSE)</f>
        <v>0</v>
      </c>
      <c r="AC4565" s="580">
        <f>HLOOKUP("*"&amp;'Output annual'!$AC$2&amp;'Output annual'!$AD$2&amp;"*FangerPMV(Hourly)",'Eplus results'!$1:$1048576,ROW(),FALSE)</f>
        <v>0</v>
      </c>
      <c r="AD4565" s="580">
        <f t="shared" si="391"/>
        <v>5</v>
      </c>
      <c r="AE4565" s="580">
        <f t="shared" si="392"/>
        <v>2.5</v>
      </c>
      <c r="AF4565" s="580">
        <f t="shared" si="393"/>
        <v>2.5</v>
      </c>
      <c r="AG4565" s="580">
        <f t="shared" si="394"/>
        <v>0</v>
      </c>
      <c r="AH4565" s="580">
        <f t="shared" si="395"/>
        <v>0</v>
      </c>
    </row>
    <row r="4566" spans="28:34">
      <c r="AB4566" s="580">
        <f>HLOOKUP("*"&amp;'Output annual'!$AC$2&amp;'Output annual'!$AD$2&amp;"*Zone People Number Of Occupants [](Hourly)",'Eplus results'!$1:$1048576,ROW(),FALSE)</f>
        <v>0</v>
      </c>
      <c r="AC4566" s="580">
        <f>HLOOKUP("*"&amp;'Output annual'!$AC$2&amp;'Output annual'!$AD$2&amp;"*FangerPMV(Hourly)",'Eplus results'!$1:$1048576,ROW(),FALSE)</f>
        <v>0</v>
      </c>
      <c r="AD4566" s="580">
        <f t="shared" si="391"/>
        <v>5</v>
      </c>
      <c r="AE4566" s="580">
        <f t="shared" si="392"/>
        <v>2.5</v>
      </c>
      <c r="AF4566" s="580">
        <f t="shared" si="393"/>
        <v>2.5</v>
      </c>
      <c r="AG4566" s="580">
        <f t="shared" si="394"/>
        <v>0</v>
      </c>
      <c r="AH4566" s="580">
        <f t="shared" si="395"/>
        <v>0</v>
      </c>
    </row>
    <row r="4567" spans="28:34">
      <c r="AB4567" s="580">
        <f>HLOOKUP("*"&amp;'Output annual'!$AC$2&amp;'Output annual'!$AD$2&amp;"*Zone People Number Of Occupants [](Hourly)",'Eplus results'!$1:$1048576,ROW(),FALSE)</f>
        <v>0</v>
      </c>
      <c r="AC4567" s="580">
        <f>HLOOKUP("*"&amp;'Output annual'!$AC$2&amp;'Output annual'!$AD$2&amp;"*FangerPMV(Hourly)",'Eplus results'!$1:$1048576,ROW(),FALSE)</f>
        <v>0</v>
      </c>
      <c r="AD4567" s="580">
        <f t="shared" si="391"/>
        <v>5</v>
      </c>
      <c r="AE4567" s="580">
        <f t="shared" si="392"/>
        <v>2.5</v>
      </c>
      <c r="AF4567" s="580">
        <f t="shared" si="393"/>
        <v>2.5</v>
      </c>
      <c r="AG4567" s="580">
        <f t="shared" si="394"/>
        <v>0</v>
      </c>
      <c r="AH4567" s="580">
        <f t="shared" si="395"/>
        <v>0</v>
      </c>
    </row>
    <row r="4568" spans="28:34">
      <c r="AB4568" s="580">
        <f>HLOOKUP("*"&amp;'Output annual'!$AC$2&amp;'Output annual'!$AD$2&amp;"*Zone People Number Of Occupants [](Hourly)",'Eplus results'!$1:$1048576,ROW(),FALSE)</f>
        <v>0</v>
      </c>
      <c r="AC4568" s="580">
        <f>HLOOKUP("*"&amp;'Output annual'!$AC$2&amp;'Output annual'!$AD$2&amp;"*FangerPMV(Hourly)",'Eplus results'!$1:$1048576,ROW(),FALSE)</f>
        <v>0</v>
      </c>
      <c r="AD4568" s="580">
        <f t="shared" si="391"/>
        <v>5</v>
      </c>
      <c r="AE4568" s="580">
        <f t="shared" si="392"/>
        <v>2.5</v>
      </c>
      <c r="AF4568" s="580">
        <f t="shared" si="393"/>
        <v>2.5</v>
      </c>
      <c r="AG4568" s="580">
        <f t="shared" si="394"/>
        <v>0</v>
      </c>
      <c r="AH4568" s="580">
        <f t="shared" si="395"/>
        <v>0</v>
      </c>
    </row>
    <row r="4569" spans="28:34">
      <c r="AB4569" s="580">
        <f>HLOOKUP("*"&amp;'Output annual'!$AC$2&amp;'Output annual'!$AD$2&amp;"*Zone People Number Of Occupants [](Hourly)",'Eplus results'!$1:$1048576,ROW(),FALSE)</f>
        <v>0</v>
      </c>
      <c r="AC4569" s="580">
        <f>HLOOKUP("*"&amp;'Output annual'!$AC$2&amp;'Output annual'!$AD$2&amp;"*FangerPMV(Hourly)",'Eplus results'!$1:$1048576,ROW(),FALSE)</f>
        <v>0</v>
      </c>
      <c r="AD4569" s="580">
        <f t="shared" si="391"/>
        <v>5</v>
      </c>
      <c r="AE4569" s="580">
        <f t="shared" si="392"/>
        <v>2.5</v>
      </c>
      <c r="AF4569" s="580">
        <f t="shared" si="393"/>
        <v>2.5</v>
      </c>
      <c r="AG4569" s="580">
        <f t="shared" si="394"/>
        <v>0</v>
      </c>
      <c r="AH4569" s="580">
        <f t="shared" si="395"/>
        <v>0</v>
      </c>
    </row>
    <row r="4570" spans="28:34">
      <c r="AB4570" s="580">
        <f>HLOOKUP("*"&amp;'Output annual'!$AC$2&amp;'Output annual'!$AD$2&amp;"*Zone People Number Of Occupants [](Hourly)",'Eplus results'!$1:$1048576,ROW(),FALSE)</f>
        <v>0</v>
      </c>
      <c r="AC4570" s="580">
        <f>HLOOKUP("*"&amp;'Output annual'!$AC$2&amp;'Output annual'!$AD$2&amp;"*FangerPMV(Hourly)",'Eplus results'!$1:$1048576,ROW(),FALSE)</f>
        <v>0</v>
      </c>
      <c r="AD4570" s="580">
        <f t="shared" si="391"/>
        <v>5</v>
      </c>
      <c r="AE4570" s="580">
        <f t="shared" si="392"/>
        <v>2.5</v>
      </c>
      <c r="AF4570" s="580">
        <f t="shared" si="393"/>
        <v>2.5</v>
      </c>
      <c r="AG4570" s="580">
        <f t="shared" si="394"/>
        <v>0</v>
      </c>
      <c r="AH4570" s="580">
        <f t="shared" si="395"/>
        <v>0</v>
      </c>
    </row>
    <row r="4571" spans="28:34">
      <c r="AB4571" s="580">
        <f>HLOOKUP("*"&amp;'Output annual'!$AC$2&amp;'Output annual'!$AD$2&amp;"*Zone People Number Of Occupants [](Hourly)",'Eplus results'!$1:$1048576,ROW(),FALSE)</f>
        <v>0</v>
      </c>
      <c r="AC4571" s="580">
        <f>HLOOKUP("*"&amp;'Output annual'!$AC$2&amp;'Output annual'!$AD$2&amp;"*FangerPMV(Hourly)",'Eplus results'!$1:$1048576,ROW(),FALSE)</f>
        <v>0</v>
      </c>
      <c r="AD4571" s="580">
        <f t="shared" si="391"/>
        <v>5</v>
      </c>
      <c r="AE4571" s="580">
        <f t="shared" si="392"/>
        <v>2.5</v>
      </c>
      <c r="AF4571" s="580">
        <f t="shared" si="393"/>
        <v>2.5</v>
      </c>
      <c r="AG4571" s="580">
        <f t="shared" si="394"/>
        <v>0</v>
      </c>
      <c r="AH4571" s="580">
        <f t="shared" si="395"/>
        <v>0</v>
      </c>
    </row>
    <row r="4572" spans="28:34">
      <c r="AB4572" s="580">
        <f>HLOOKUP("*"&amp;'Output annual'!$AC$2&amp;'Output annual'!$AD$2&amp;"*Zone People Number Of Occupants [](Hourly)",'Eplus results'!$1:$1048576,ROW(),FALSE)</f>
        <v>0</v>
      </c>
      <c r="AC4572" s="580">
        <f>HLOOKUP("*"&amp;'Output annual'!$AC$2&amp;'Output annual'!$AD$2&amp;"*FangerPMV(Hourly)",'Eplus results'!$1:$1048576,ROW(),FALSE)</f>
        <v>0</v>
      </c>
      <c r="AD4572" s="580">
        <f t="shared" si="391"/>
        <v>5</v>
      </c>
      <c r="AE4572" s="580">
        <f t="shared" si="392"/>
        <v>2.5</v>
      </c>
      <c r="AF4572" s="580">
        <f t="shared" si="393"/>
        <v>2.5</v>
      </c>
      <c r="AG4572" s="580">
        <f t="shared" si="394"/>
        <v>0</v>
      </c>
      <c r="AH4572" s="580">
        <f t="shared" si="395"/>
        <v>0</v>
      </c>
    </row>
    <row r="4573" spans="28:34">
      <c r="AB4573" s="580">
        <f>HLOOKUP("*"&amp;'Output annual'!$AC$2&amp;'Output annual'!$AD$2&amp;"*Zone People Number Of Occupants [](Hourly)",'Eplus results'!$1:$1048576,ROW(),FALSE)</f>
        <v>0</v>
      </c>
      <c r="AC4573" s="580">
        <f>HLOOKUP("*"&amp;'Output annual'!$AC$2&amp;'Output annual'!$AD$2&amp;"*FangerPMV(Hourly)",'Eplus results'!$1:$1048576,ROW(),FALSE)</f>
        <v>0</v>
      </c>
      <c r="AD4573" s="580">
        <f t="shared" si="391"/>
        <v>5</v>
      </c>
      <c r="AE4573" s="580">
        <f t="shared" si="392"/>
        <v>2.5</v>
      </c>
      <c r="AF4573" s="580">
        <f t="shared" si="393"/>
        <v>2.5</v>
      </c>
      <c r="AG4573" s="580">
        <f t="shared" si="394"/>
        <v>0</v>
      </c>
      <c r="AH4573" s="580">
        <f t="shared" si="395"/>
        <v>0</v>
      </c>
    </row>
    <row r="4574" spans="28:34">
      <c r="AB4574" s="580">
        <f>HLOOKUP("*"&amp;'Output annual'!$AC$2&amp;'Output annual'!$AD$2&amp;"*Zone People Number Of Occupants [](Hourly)",'Eplus results'!$1:$1048576,ROW(),FALSE)</f>
        <v>0</v>
      </c>
      <c r="AC4574" s="580">
        <f>HLOOKUP("*"&amp;'Output annual'!$AC$2&amp;'Output annual'!$AD$2&amp;"*FangerPMV(Hourly)",'Eplus results'!$1:$1048576,ROW(),FALSE)</f>
        <v>0</v>
      </c>
      <c r="AD4574" s="580">
        <f t="shared" si="391"/>
        <v>5</v>
      </c>
      <c r="AE4574" s="580">
        <f t="shared" si="392"/>
        <v>2.5</v>
      </c>
      <c r="AF4574" s="580">
        <f t="shared" si="393"/>
        <v>2.5</v>
      </c>
      <c r="AG4574" s="580">
        <f t="shared" si="394"/>
        <v>0</v>
      </c>
      <c r="AH4574" s="580">
        <f t="shared" si="395"/>
        <v>0</v>
      </c>
    </row>
    <row r="4575" spans="28:34">
      <c r="AB4575" s="580">
        <f>HLOOKUP("*"&amp;'Output annual'!$AC$2&amp;'Output annual'!$AD$2&amp;"*Zone People Number Of Occupants [](Hourly)",'Eplus results'!$1:$1048576,ROW(),FALSE)</f>
        <v>0</v>
      </c>
      <c r="AC4575" s="580">
        <f>HLOOKUP("*"&amp;'Output annual'!$AC$2&amp;'Output annual'!$AD$2&amp;"*FangerPMV(Hourly)",'Eplus results'!$1:$1048576,ROW(),FALSE)</f>
        <v>0</v>
      </c>
      <c r="AD4575" s="580">
        <f t="shared" si="391"/>
        <v>5</v>
      </c>
      <c r="AE4575" s="580">
        <f t="shared" si="392"/>
        <v>2.5</v>
      </c>
      <c r="AF4575" s="580">
        <f t="shared" si="393"/>
        <v>2.5</v>
      </c>
      <c r="AG4575" s="580">
        <f t="shared" si="394"/>
        <v>0</v>
      </c>
      <c r="AH4575" s="580">
        <f t="shared" si="395"/>
        <v>0</v>
      </c>
    </row>
    <row r="4576" spans="28:34">
      <c r="AB4576" s="580">
        <f>HLOOKUP("*"&amp;'Output annual'!$AC$2&amp;'Output annual'!$AD$2&amp;"*Zone People Number Of Occupants [](Hourly)",'Eplus results'!$1:$1048576,ROW(),FALSE)</f>
        <v>0</v>
      </c>
      <c r="AC4576" s="580">
        <f>HLOOKUP("*"&amp;'Output annual'!$AC$2&amp;'Output annual'!$AD$2&amp;"*FangerPMV(Hourly)",'Eplus results'!$1:$1048576,ROW(),FALSE)</f>
        <v>0</v>
      </c>
      <c r="AD4576" s="580">
        <f t="shared" si="391"/>
        <v>5</v>
      </c>
      <c r="AE4576" s="580">
        <f t="shared" si="392"/>
        <v>2.5</v>
      </c>
      <c r="AF4576" s="580">
        <f t="shared" si="393"/>
        <v>2.5</v>
      </c>
      <c r="AG4576" s="580">
        <f t="shared" si="394"/>
        <v>0</v>
      </c>
      <c r="AH4576" s="580">
        <f t="shared" si="395"/>
        <v>0</v>
      </c>
    </row>
    <row r="4577" spans="28:34">
      <c r="AB4577" s="580">
        <f>HLOOKUP("*"&amp;'Output annual'!$AC$2&amp;'Output annual'!$AD$2&amp;"*Zone People Number Of Occupants [](Hourly)",'Eplus results'!$1:$1048576,ROW(),FALSE)</f>
        <v>0</v>
      </c>
      <c r="AC4577" s="580">
        <f>HLOOKUP("*"&amp;'Output annual'!$AC$2&amp;'Output annual'!$AD$2&amp;"*FangerPMV(Hourly)",'Eplus results'!$1:$1048576,ROW(),FALSE)</f>
        <v>0</v>
      </c>
      <c r="AD4577" s="580">
        <f t="shared" si="391"/>
        <v>5</v>
      </c>
      <c r="AE4577" s="580">
        <f t="shared" si="392"/>
        <v>2.5</v>
      </c>
      <c r="AF4577" s="580">
        <f t="shared" si="393"/>
        <v>2.5</v>
      </c>
      <c r="AG4577" s="580">
        <f t="shared" si="394"/>
        <v>0</v>
      </c>
      <c r="AH4577" s="580">
        <f t="shared" si="395"/>
        <v>0</v>
      </c>
    </row>
    <row r="4578" spans="28:34">
      <c r="AB4578" s="580">
        <f>HLOOKUP("*"&amp;'Output annual'!$AC$2&amp;'Output annual'!$AD$2&amp;"*Zone People Number Of Occupants [](Hourly)",'Eplus results'!$1:$1048576,ROW(),FALSE)</f>
        <v>0</v>
      </c>
      <c r="AC4578" s="580">
        <f>HLOOKUP("*"&amp;'Output annual'!$AC$2&amp;'Output annual'!$AD$2&amp;"*FangerPMV(Hourly)",'Eplus results'!$1:$1048576,ROW(),FALSE)</f>
        <v>0</v>
      </c>
      <c r="AD4578" s="580">
        <f t="shared" si="391"/>
        <v>5</v>
      </c>
      <c r="AE4578" s="580">
        <f t="shared" si="392"/>
        <v>2.5</v>
      </c>
      <c r="AF4578" s="580">
        <f t="shared" si="393"/>
        <v>2.5</v>
      </c>
      <c r="AG4578" s="580">
        <f t="shared" si="394"/>
        <v>0</v>
      </c>
      <c r="AH4578" s="580">
        <f t="shared" si="395"/>
        <v>0</v>
      </c>
    </row>
    <row r="4579" spans="28:34">
      <c r="AB4579" s="580">
        <f>HLOOKUP("*"&amp;'Output annual'!$AC$2&amp;'Output annual'!$AD$2&amp;"*Zone People Number Of Occupants [](Hourly)",'Eplus results'!$1:$1048576,ROW(),FALSE)</f>
        <v>0</v>
      </c>
      <c r="AC4579" s="580">
        <f>HLOOKUP("*"&amp;'Output annual'!$AC$2&amp;'Output annual'!$AD$2&amp;"*FangerPMV(Hourly)",'Eplus results'!$1:$1048576,ROW(),FALSE)</f>
        <v>0</v>
      </c>
      <c r="AD4579" s="580">
        <f t="shared" si="391"/>
        <v>5</v>
      </c>
      <c r="AE4579" s="580">
        <f t="shared" si="392"/>
        <v>2.5</v>
      </c>
      <c r="AF4579" s="580">
        <f t="shared" si="393"/>
        <v>2.5</v>
      </c>
      <c r="AG4579" s="580">
        <f t="shared" si="394"/>
        <v>0</v>
      </c>
      <c r="AH4579" s="580">
        <f t="shared" si="395"/>
        <v>0</v>
      </c>
    </row>
    <row r="4580" spans="28:34">
      <c r="AB4580" s="580">
        <f>HLOOKUP("*"&amp;'Output annual'!$AC$2&amp;'Output annual'!$AD$2&amp;"*Zone People Number Of Occupants [](Hourly)",'Eplus results'!$1:$1048576,ROW(),FALSE)</f>
        <v>0</v>
      </c>
      <c r="AC4580" s="580">
        <f>HLOOKUP("*"&amp;'Output annual'!$AC$2&amp;'Output annual'!$AD$2&amp;"*FangerPMV(Hourly)",'Eplus results'!$1:$1048576,ROW(),FALSE)</f>
        <v>0</v>
      </c>
      <c r="AD4580" s="580">
        <f t="shared" si="391"/>
        <v>5</v>
      </c>
      <c r="AE4580" s="580">
        <f t="shared" si="392"/>
        <v>2.5</v>
      </c>
      <c r="AF4580" s="580">
        <f t="shared" si="393"/>
        <v>2.5</v>
      </c>
      <c r="AG4580" s="580">
        <f t="shared" si="394"/>
        <v>0</v>
      </c>
      <c r="AH4580" s="580">
        <f t="shared" si="395"/>
        <v>0</v>
      </c>
    </row>
    <row r="4581" spans="28:34">
      <c r="AB4581" s="580">
        <f>HLOOKUP("*"&amp;'Output annual'!$AC$2&amp;'Output annual'!$AD$2&amp;"*Zone People Number Of Occupants [](Hourly)",'Eplus results'!$1:$1048576,ROW(),FALSE)</f>
        <v>0</v>
      </c>
      <c r="AC4581" s="580">
        <f>HLOOKUP("*"&amp;'Output annual'!$AC$2&amp;'Output annual'!$AD$2&amp;"*FangerPMV(Hourly)",'Eplus results'!$1:$1048576,ROW(),FALSE)</f>
        <v>0</v>
      </c>
      <c r="AD4581" s="580">
        <f t="shared" si="391"/>
        <v>5</v>
      </c>
      <c r="AE4581" s="580">
        <f t="shared" si="392"/>
        <v>2.5</v>
      </c>
      <c r="AF4581" s="580">
        <f t="shared" si="393"/>
        <v>2.5</v>
      </c>
      <c r="AG4581" s="580">
        <f t="shared" si="394"/>
        <v>0</v>
      </c>
      <c r="AH4581" s="580">
        <f t="shared" si="395"/>
        <v>0</v>
      </c>
    </row>
    <row r="4582" spans="28:34">
      <c r="AB4582" s="580">
        <f>HLOOKUP("*"&amp;'Output annual'!$AC$2&amp;'Output annual'!$AD$2&amp;"*Zone People Number Of Occupants [](Hourly)",'Eplus results'!$1:$1048576,ROW(),FALSE)</f>
        <v>0</v>
      </c>
      <c r="AC4582" s="580">
        <f>HLOOKUP("*"&amp;'Output annual'!$AC$2&amp;'Output annual'!$AD$2&amp;"*FangerPMV(Hourly)",'Eplus results'!$1:$1048576,ROW(),FALSE)</f>
        <v>0</v>
      </c>
      <c r="AD4582" s="580">
        <f t="shared" si="391"/>
        <v>5</v>
      </c>
      <c r="AE4582" s="580">
        <f t="shared" si="392"/>
        <v>2.5</v>
      </c>
      <c r="AF4582" s="580">
        <f t="shared" si="393"/>
        <v>2.5</v>
      </c>
      <c r="AG4582" s="580">
        <f t="shared" si="394"/>
        <v>0</v>
      </c>
      <c r="AH4582" s="580">
        <f t="shared" si="395"/>
        <v>0</v>
      </c>
    </row>
    <row r="4583" spans="28:34">
      <c r="AB4583" s="580">
        <f>HLOOKUP("*"&amp;'Output annual'!$AC$2&amp;'Output annual'!$AD$2&amp;"*Zone People Number Of Occupants [](Hourly)",'Eplus results'!$1:$1048576,ROW(),FALSE)</f>
        <v>0</v>
      </c>
      <c r="AC4583" s="580">
        <f>HLOOKUP("*"&amp;'Output annual'!$AC$2&amp;'Output annual'!$AD$2&amp;"*FangerPMV(Hourly)",'Eplus results'!$1:$1048576,ROW(),FALSE)</f>
        <v>0</v>
      </c>
      <c r="AD4583" s="580">
        <f t="shared" si="391"/>
        <v>5</v>
      </c>
      <c r="AE4583" s="580">
        <f t="shared" si="392"/>
        <v>2.5</v>
      </c>
      <c r="AF4583" s="580">
        <f t="shared" si="393"/>
        <v>2.5</v>
      </c>
      <c r="AG4583" s="580">
        <f t="shared" si="394"/>
        <v>0</v>
      </c>
      <c r="AH4583" s="580">
        <f t="shared" si="395"/>
        <v>0</v>
      </c>
    </row>
    <row r="4584" spans="28:34">
      <c r="AB4584" s="580">
        <f>HLOOKUP("*"&amp;'Output annual'!$AC$2&amp;'Output annual'!$AD$2&amp;"*Zone People Number Of Occupants [](Hourly)",'Eplus results'!$1:$1048576,ROW(),FALSE)</f>
        <v>0</v>
      </c>
      <c r="AC4584" s="580">
        <f>HLOOKUP("*"&amp;'Output annual'!$AC$2&amp;'Output annual'!$AD$2&amp;"*FangerPMV(Hourly)",'Eplus results'!$1:$1048576,ROW(),FALSE)</f>
        <v>0</v>
      </c>
      <c r="AD4584" s="580">
        <f t="shared" si="391"/>
        <v>5</v>
      </c>
      <c r="AE4584" s="580">
        <f t="shared" si="392"/>
        <v>2.5</v>
      </c>
      <c r="AF4584" s="580">
        <f t="shared" si="393"/>
        <v>2.5</v>
      </c>
      <c r="AG4584" s="580">
        <f t="shared" si="394"/>
        <v>0</v>
      </c>
      <c r="AH4584" s="580">
        <f t="shared" si="395"/>
        <v>0</v>
      </c>
    </row>
    <row r="4585" spans="28:34">
      <c r="AB4585" s="580">
        <f>HLOOKUP("*"&amp;'Output annual'!$AC$2&amp;'Output annual'!$AD$2&amp;"*Zone People Number Of Occupants [](Hourly)",'Eplus results'!$1:$1048576,ROW(),FALSE)</f>
        <v>0</v>
      </c>
      <c r="AC4585" s="580">
        <f>HLOOKUP("*"&amp;'Output annual'!$AC$2&amp;'Output annual'!$AD$2&amp;"*FangerPMV(Hourly)",'Eplus results'!$1:$1048576,ROW(),FALSE)</f>
        <v>0</v>
      </c>
      <c r="AD4585" s="580">
        <f t="shared" si="391"/>
        <v>5</v>
      </c>
      <c r="AE4585" s="580">
        <f t="shared" si="392"/>
        <v>2.5</v>
      </c>
      <c r="AF4585" s="580">
        <f t="shared" si="393"/>
        <v>2.5</v>
      </c>
      <c r="AG4585" s="580">
        <f t="shared" si="394"/>
        <v>0</v>
      </c>
      <c r="AH4585" s="580">
        <f t="shared" si="395"/>
        <v>0</v>
      </c>
    </row>
    <row r="4586" spans="28:34">
      <c r="AB4586" s="580">
        <f>HLOOKUP("*"&amp;'Output annual'!$AC$2&amp;'Output annual'!$AD$2&amp;"*Zone People Number Of Occupants [](Hourly)",'Eplus results'!$1:$1048576,ROW(),FALSE)</f>
        <v>0</v>
      </c>
      <c r="AC4586" s="580">
        <f>HLOOKUP("*"&amp;'Output annual'!$AC$2&amp;'Output annual'!$AD$2&amp;"*FangerPMV(Hourly)",'Eplus results'!$1:$1048576,ROW(),FALSE)</f>
        <v>0</v>
      </c>
      <c r="AD4586" s="580">
        <f t="shared" si="391"/>
        <v>5</v>
      </c>
      <c r="AE4586" s="580">
        <f t="shared" si="392"/>
        <v>2.5</v>
      </c>
      <c r="AF4586" s="580">
        <f t="shared" si="393"/>
        <v>2.5</v>
      </c>
      <c r="AG4586" s="580">
        <f t="shared" si="394"/>
        <v>0</v>
      </c>
      <c r="AH4586" s="580">
        <f t="shared" si="395"/>
        <v>0</v>
      </c>
    </row>
    <row r="4587" spans="28:34">
      <c r="AB4587" s="580">
        <f>HLOOKUP("*"&amp;'Output annual'!$AC$2&amp;'Output annual'!$AD$2&amp;"*Zone People Number Of Occupants [](Hourly)",'Eplus results'!$1:$1048576,ROW(),FALSE)</f>
        <v>0</v>
      </c>
      <c r="AC4587" s="580">
        <f>HLOOKUP("*"&amp;'Output annual'!$AC$2&amp;'Output annual'!$AD$2&amp;"*FangerPMV(Hourly)",'Eplus results'!$1:$1048576,ROW(),FALSE)</f>
        <v>0</v>
      </c>
      <c r="AD4587" s="580">
        <f t="shared" si="391"/>
        <v>5</v>
      </c>
      <c r="AE4587" s="580">
        <f t="shared" si="392"/>
        <v>2.5</v>
      </c>
      <c r="AF4587" s="580">
        <f t="shared" si="393"/>
        <v>2.5</v>
      </c>
      <c r="AG4587" s="580">
        <f t="shared" si="394"/>
        <v>0</v>
      </c>
      <c r="AH4587" s="580">
        <f t="shared" si="395"/>
        <v>0</v>
      </c>
    </row>
    <row r="4588" spans="28:34">
      <c r="AB4588" s="580">
        <f>HLOOKUP("*"&amp;'Output annual'!$AC$2&amp;'Output annual'!$AD$2&amp;"*Zone People Number Of Occupants [](Hourly)",'Eplus results'!$1:$1048576,ROW(),FALSE)</f>
        <v>0</v>
      </c>
      <c r="AC4588" s="580">
        <f>HLOOKUP("*"&amp;'Output annual'!$AC$2&amp;'Output annual'!$AD$2&amp;"*FangerPMV(Hourly)",'Eplus results'!$1:$1048576,ROW(),FALSE)</f>
        <v>0</v>
      </c>
      <c r="AD4588" s="580">
        <f t="shared" si="391"/>
        <v>5</v>
      </c>
      <c r="AE4588" s="580">
        <f t="shared" si="392"/>
        <v>2.5</v>
      </c>
      <c r="AF4588" s="580">
        <f t="shared" si="393"/>
        <v>2.5</v>
      </c>
      <c r="AG4588" s="580">
        <f t="shared" si="394"/>
        <v>0</v>
      </c>
      <c r="AH4588" s="580">
        <f t="shared" si="395"/>
        <v>0</v>
      </c>
    </row>
    <row r="4589" spans="28:34">
      <c r="AB4589" s="580">
        <f>HLOOKUP("*"&amp;'Output annual'!$AC$2&amp;'Output annual'!$AD$2&amp;"*Zone People Number Of Occupants [](Hourly)",'Eplus results'!$1:$1048576,ROW(),FALSE)</f>
        <v>0</v>
      </c>
      <c r="AC4589" s="580">
        <f>HLOOKUP("*"&amp;'Output annual'!$AC$2&amp;'Output annual'!$AD$2&amp;"*FangerPMV(Hourly)",'Eplus results'!$1:$1048576,ROW(),FALSE)</f>
        <v>0</v>
      </c>
      <c r="AD4589" s="580">
        <f t="shared" si="391"/>
        <v>5</v>
      </c>
      <c r="AE4589" s="580">
        <f t="shared" si="392"/>
        <v>2.5</v>
      </c>
      <c r="AF4589" s="580">
        <f t="shared" si="393"/>
        <v>2.5</v>
      </c>
      <c r="AG4589" s="580">
        <f t="shared" si="394"/>
        <v>0</v>
      </c>
      <c r="AH4589" s="580">
        <f t="shared" si="395"/>
        <v>0</v>
      </c>
    </row>
    <row r="4590" spans="28:34">
      <c r="AB4590" s="580">
        <f>HLOOKUP("*"&amp;'Output annual'!$AC$2&amp;'Output annual'!$AD$2&amp;"*Zone People Number Of Occupants [](Hourly)",'Eplus results'!$1:$1048576,ROW(),FALSE)</f>
        <v>0</v>
      </c>
      <c r="AC4590" s="580">
        <f>HLOOKUP("*"&amp;'Output annual'!$AC$2&amp;'Output annual'!$AD$2&amp;"*FangerPMV(Hourly)",'Eplus results'!$1:$1048576,ROW(),FALSE)</f>
        <v>0</v>
      </c>
      <c r="AD4590" s="580">
        <f t="shared" si="391"/>
        <v>5</v>
      </c>
      <c r="AE4590" s="580">
        <f t="shared" si="392"/>
        <v>2.5</v>
      </c>
      <c r="AF4590" s="580">
        <f t="shared" si="393"/>
        <v>2.5</v>
      </c>
      <c r="AG4590" s="580">
        <f t="shared" si="394"/>
        <v>0</v>
      </c>
      <c r="AH4590" s="580">
        <f t="shared" si="395"/>
        <v>0</v>
      </c>
    </row>
    <row r="4591" spans="28:34">
      <c r="AB4591" s="580">
        <f>HLOOKUP("*"&amp;'Output annual'!$AC$2&amp;'Output annual'!$AD$2&amp;"*Zone People Number Of Occupants [](Hourly)",'Eplus results'!$1:$1048576,ROW(),FALSE)</f>
        <v>0</v>
      </c>
      <c r="AC4591" s="580">
        <f>HLOOKUP("*"&amp;'Output annual'!$AC$2&amp;'Output annual'!$AD$2&amp;"*FangerPMV(Hourly)",'Eplus results'!$1:$1048576,ROW(),FALSE)</f>
        <v>0</v>
      </c>
      <c r="AD4591" s="580">
        <f t="shared" si="391"/>
        <v>5</v>
      </c>
      <c r="AE4591" s="580">
        <f t="shared" si="392"/>
        <v>2.5</v>
      </c>
      <c r="AF4591" s="580">
        <f t="shared" si="393"/>
        <v>2.5</v>
      </c>
      <c r="AG4591" s="580">
        <f t="shared" si="394"/>
        <v>0</v>
      </c>
      <c r="AH4591" s="580">
        <f t="shared" si="395"/>
        <v>0</v>
      </c>
    </row>
    <row r="4592" spans="28:34">
      <c r="AB4592" s="580">
        <f>HLOOKUP("*"&amp;'Output annual'!$AC$2&amp;'Output annual'!$AD$2&amp;"*Zone People Number Of Occupants [](Hourly)",'Eplus results'!$1:$1048576,ROW(),FALSE)</f>
        <v>0</v>
      </c>
      <c r="AC4592" s="580">
        <f>HLOOKUP("*"&amp;'Output annual'!$AC$2&amp;'Output annual'!$AD$2&amp;"*FangerPMV(Hourly)",'Eplus results'!$1:$1048576,ROW(),FALSE)</f>
        <v>0</v>
      </c>
      <c r="AD4592" s="580">
        <f t="shared" si="391"/>
        <v>5</v>
      </c>
      <c r="AE4592" s="580">
        <f t="shared" si="392"/>
        <v>2.5</v>
      </c>
      <c r="AF4592" s="580">
        <f t="shared" si="393"/>
        <v>2.5</v>
      </c>
      <c r="AG4592" s="580">
        <f t="shared" si="394"/>
        <v>0</v>
      </c>
      <c r="AH4592" s="580">
        <f t="shared" si="395"/>
        <v>0</v>
      </c>
    </row>
    <row r="4593" spans="28:34">
      <c r="AB4593" s="580">
        <f>HLOOKUP("*"&amp;'Output annual'!$AC$2&amp;'Output annual'!$AD$2&amp;"*Zone People Number Of Occupants [](Hourly)",'Eplus results'!$1:$1048576,ROW(),FALSE)</f>
        <v>0</v>
      </c>
      <c r="AC4593" s="580">
        <f>HLOOKUP("*"&amp;'Output annual'!$AC$2&amp;'Output annual'!$AD$2&amp;"*FangerPMV(Hourly)",'Eplus results'!$1:$1048576,ROW(),FALSE)</f>
        <v>0</v>
      </c>
      <c r="AD4593" s="580">
        <f t="shared" si="391"/>
        <v>5</v>
      </c>
      <c r="AE4593" s="580">
        <f t="shared" si="392"/>
        <v>2.5</v>
      </c>
      <c r="AF4593" s="580">
        <f t="shared" si="393"/>
        <v>2.5</v>
      </c>
      <c r="AG4593" s="580">
        <f t="shared" si="394"/>
        <v>0</v>
      </c>
      <c r="AH4593" s="580">
        <f t="shared" si="395"/>
        <v>0</v>
      </c>
    </row>
    <row r="4594" spans="28:34">
      <c r="AB4594" s="580">
        <f>HLOOKUP("*"&amp;'Output annual'!$AC$2&amp;'Output annual'!$AD$2&amp;"*Zone People Number Of Occupants [](Hourly)",'Eplus results'!$1:$1048576,ROW(),FALSE)</f>
        <v>0</v>
      </c>
      <c r="AC4594" s="580">
        <f>HLOOKUP("*"&amp;'Output annual'!$AC$2&amp;'Output annual'!$AD$2&amp;"*FangerPMV(Hourly)",'Eplus results'!$1:$1048576,ROW(),FALSE)</f>
        <v>0</v>
      </c>
      <c r="AD4594" s="580">
        <f t="shared" si="391"/>
        <v>5</v>
      </c>
      <c r="AE4594" s="580">
        <f t="shared" si="392"/>
        <v>2.5</v>
      </c>
      <c r="AF4594" s="580">
        <f t="shared" si="393"/>
        <v>2.5</v>
      </c>
      <c r="AG4594" s="580">
        <f t="shared" si="394"/>
        <v>0</v>
      </c>
      <c r="AH4594" s="580">
        <f t="shared" si="395"/>
        <v>0</v>
      </c>
    </row>
    <row r="4595" spans="28:34">
      <c r="AB4595" s="580">
        <f>HLOOKUP("*"&amp;'Output annual'!$AC$2&amp;'Output annual'!$AD$2&amp;"*Zone People Number Of Occupants [](Hourly)",'Eplus results'!$1:$1048576,ROW(),FALSE)</f>
        <v>0</v>
      </c>
      <c r="AC4595" s="580">
        <f>HLOOKUP("*"&amp;'Output annual'!$AC$2&amp;'Output annual'!$AD$2&amp;"*FangerPMV(Hourly)",'Eplus results'!$1:$1048576,ROW(),FALSE)</f>
        <v>0</v>
      </c>
      <c r="AD4595" s="580">
        <f t="shared" si="391"/>
        <v>5</v>
      </c>
      <c r="AE4595" s="580">
        <f t="shared" si="392"/>
        <v>2.5</v>
      </c>
      <c r="AF4595" s="580">
        <f t="shared" si="393"/>
        <v>2.5</v>
      </c>
      <c r="AG4595" s="580">
        <f t="shared" si="394"/>
        <v>0</v>
      </c>
      <c r="AH4595" s="580">
        <f t="shared" si="395"/>
        <v>0</v>
      </c>
    </row>
    <row r="4596" spans="28:34">
      <c r="AB4596" s="580">
        <f>HLOOKUP("*"&amp;'Output annual'!$AC$2&amp;'Output annual'!$AD$2&amp;"*Zone People Number Of Occupants [](Hourly)",'Eplus results'!$1:$1048576,ROW(),FALSE)</f>
        <v>0</v>
      </c>
      <c r="AC4596" s="580">
        <f>HLOOKUP("*"&amp;'Output annual'!$AC$2&amp;'Output annual'!$AD$2&amp;"*FangerPMV(Hourly)",'Eplus results'!$1:$1048576,ROW(),FALSE)</f>
        <v>0</v>
      </c>
      <c r="AD4596" s="580">
        <f t="shared" si="391"/>
        <v>5</v>
      </c>
      <c r="AE4596" s="580">
        <f t="shared" si="392"/>
        <v>2.5</v>
      </c>
      <c r="AF4596" s="580">
        <f t="shared" si="393"/>
        <v>2.5</v>
      </c>
      <c r="AG4596" s="580">
        <f t="shared" si="394"/>
        <v>0</v>
      </c>
      <c r="AH4596" s="580">
        <f t="shared" si="395"/>
        <v>0</v>
      </c>
    </row>
    <row r="4597" spans="28:34">
      <c r="AB4597" s="580">
        <f>HLOOKUP("*"&amp;'Output annual'!$AC$2&amp;'Output annual'!$AD$2&amp;"*Zone People Number Of Occupants [](Hourly)",'Eplus results'!$1:$1048576,ROW(),FALSE)</f>
        <v>0</v>
      </c>
      <c r="AC4597" s="580">
        <f>HLOOKUP("*"&amp;'Output annual'!$AC$2&amp;'Output annual'!$AD$2&amp;"*FangerPMV(Hourly)",'Eplus results'!$1:$1048576,ROW(),FALSE)</f>
        <v>0</v>
      </c>
      <c r="AD4597" s="580">
        <f t="shared" si="391"/>
        <v>5</v>
      </c>
      <c r="AE4597" s="580">
        <f t="shared" si="392"/>
        <v>2.5</v>
      </c>
      <c r="AF4597" s="580">
        <f t="shared" si="393"/>
        <v>2.5</v>
      </c>
      <c r="AG4597" s="580">
        <f t="shared" si="394"/>
        <v>0</v>
      </c>
      <c r="AH4597" s="580">
        <f t="shared" si="395"/>
        <v>0</v>
      </c>
    </row>
    <row r="4598" spans="28:34">
      <c r="AB4598" s="580">
        <f>HLOOKUP("*"&amp;'Output annual'!$AC$2&amp;'Output annual'!$AD$2&amp;"*Zone People Number Of Occupants [](Hourly)",'Eplus results'!$1:$1048576,ROW(),FALSE)</f>
        <v>0</v>
      </c>
      <c r="AC4598" s="580">
        <f>HLOOKUP("*"&amp;'Output annual'!$AC$2&amp;'Output annual'!$AD$2&amp;"*FangerPMV(Hourly)",'Eplus results'!$1:$1048576,ROW(),FALSE)</f>
        <v>0</v>
      </c>
      <c r="AD4598" s="580">
        <f t="shared" si="391"/>
        <v>5</v>
      </c>
      <c r="AE4598" s="580">
        <f t="shared" si="392"/>
        <v>2.5</v>
      </c>
      <c r="AF4598" s="580">
        <f t="shared" si="393"/>
        <v>2.5</v>
      </c>
      <c r="AG4598" s="580">
        <f t="shared" si="394"/>
        <v>0</v>
      </c>
      <c r="AH4598" s="580">
        <f t="shared" si="395"/>
        <v>0</v>
      </c>
    </row>
    <row r="4599" spans="28:34">
      <c r="AB4599" s="580">
        <f>HLOOKUP("*"&amp;'Output annual'!$AC$2&amp;'Output annual'!$AD$2&amp;"*Zone People Number Of Occupants [](Hourly)",'Eplus results'!$1:$1048576,ROW(),FALSE)</f>
        <v>0</v>
      </c>
      <c r="AC4599" s="580">
        <f>HLOOKUP("*"&amp;'Output annual'!$AC$2&amp;'Output annual'!$AD$2&amp;"*FangerPMV(Hourly)",'Eplus results'!$1:$1048576,ROW(),FALSE)</f>
        <v>0</v>
      </c>
      <c r="AD4599" s="580">
        <f t="shared" si="391"/>
        <v>5</v>
      </c>
      <c r="AE4599" s="580">
        <f t="shared" si="392"/>
        <v>2.5</v>
      </c>
      <c r="AF4599" s="580">
        <f t="shared" si="393"/>
        <v>2.5</v>
      </c>
      <c r="AG4599" s="580">
        <f t="shared" si="394"/>
        <v>0</v>
      </c>
      <c r="AH4599" s="580">
        <f t="shared" si="395"/>
        <v>0</v>
      </c>
    </row>
    <row r="4600" spans="28:34">
      <c r="AB4600" s="580">
        <f>HLOOKUP("*"&amp;'Output annual'!$AC$2&amp;'Output annual'!$AD$2&amp;"*Zone People Number Of Occupants [](Hourly)",'Eplus results'!$1:$1048576,ROW(),FALSE)</f>
        <v>0</v>
      </c>
      <c r="AC4600" s="580">
        <f>HLOOKUP("*"&amp;'Output annual'!$AC$2&amp;'Output annual'!$AD$2&amp;"*FangerPMV(Hourly)",'Eplus results'!$1:$1048576,ROW(),FALSE)</f>
        <v>0</v>
      </c>
      <c r="AD4600" s="580">
        <f t="shared" si="391"/>
        <v>5</v>
      </c>
      <c r="AE4600" s="580">
        <f t="shared" si="392"/>
        <v>2.5</v>
      </c>
      <c r="AF4600" s="580">
        <f t="shared" si="393"/>
        <v>2.5</v>
      </c>
      <c r="AG4600" s="580">
        <f t="shared" si="394"/>
        <v>0</v>
      </c>
      <c r="AH4600" s="580">
        <f t="shared" si="395"/>
        <v>0</v>
      </c>
    </row>
    <row r="4601" spans="28:34">
      <c r="AB4601" s="580">
        <f>HLOOKUP("*"&amp;'Output annual'!$AC$2&amp;'Output annual'!$AD$2&amp;"*Zone People Number Of Occupants [](Hourly)",'Eplus results'!$1:$1048576,ROW(),FALSE)</f>
        <v>0</v>
      </c>
      <c r="AC4601" s="580">
        <f>HLOOKUP("*"&amp;'Output annual'!$AC$2&amp;'Output annual'!$AD$2&amp;"*FangerPMV(Hourly)",'Eplus results'!$1:$1048576,ROW(),FALSE)</f>
        <v>0</v>
      </c>
      <c r="AD4601" s="580">
        <f t="shared" si="391"/>
        <v>5</v>
      </c>
      <c r="AE4601" s="580">
        <f t="shared" si="392"/>
        <v>2.5</v>
      </c>
      <c r="AF4601" s="580">
        <f t="shared" si="393"/>
        <v>2.5</v>
      </c>
      <c r="AG4601" s="580">
        <f t="shared" si="394"/>
        <v>0</v>
      </c>
      <c r="AH4601" s="580">
        <f t="shared" si="395"/>
        <v>0</v>
      </c>
    </row>
    <row r="4602" spans="28:34">
      <c r="AB4602" s="580">
        <f>HLOOKUP("*"&amp;'Output annual'!$AC$2&amp;'Output annual'!$AD$2&amp;"*Zone People Number Of Occupants [](Hourly)",'Eplus results'!$1:$1048576,ROW(),FALSE)</f>
        <v>0</v>
      </c>
      <c r="AC4602" s="580">
        <f>HLOOKUP("*"&amp;'Output annual'!$AC$2&amp;'Output annual'!$AD$2&amp;"*FangerPMV(Hourly)",'Eplus results'!$1:$1048576,ROW(),FALSE)</f>
        <v>0</v>
      </c>
      <c r="AD4602" s="580">
        <f t="shared" si="391"/>
        <v>5</v>
      </c>
      <c r="AE4602" s="580">
        <f t="shared" si="392"/>
        <v>2.5</v>
      </c>
      <c r="AF4602" s="580">
        <f t="shared" si="393"/>
        <v>2.5</v>
      </c>
      <c r="AG4602" s="580">
        <f t="shared" si="394"/>
        <v>0</v>
      </c>
      <c r="AH4602" s="580">
        <f t="shared" si="395"/>
        <v>0</v>
      </c>
    </row>
    <row r="4603" spans="28:34">
      <c r="AB4603" s="580">
        <f>HLOOKUP("*"&amp;'Output annual'!$AC$2&amp;'Output annual'!$AD$2&amp;"*Zone People Number Of Occupants [](Hourly)",'Eplus results'!$1:$1048576,ROW(),FALSE)</f>
        <v>0</v>
      </c>
      <c r="AC4603" s="580">
        <f>HLOOKUP("*"&amp;'Output annual'!$AC$2&amp;'Output annual'!$AD$2&amp;"*FangerPMV(Hourly)",'Eplus results'!$1:$1048576,ROW(),FALSE)</f>
        <v>0</v>
      </c>
      <c r="AD4603" s="580">
        <f t="shared" si="391"/>
        <v>5</v>
      </c>
      <c r="AE4603" s="580">
        <f t="shared" si="392"/>
        <v>2.5</v>
      </c>
      <c r="AF4603" s="580">
        <f t="shared" si="393"/>
        <v>2.5</v>
      </c>
      <c r="AG4603" s="580">
        <f t="shared" si="394"/>
        <v>0</v>
      </c>
      <c r="AH4603" s="580">
        <f t="shared" si="395"/>
        <v>0</v>
      </c>
    </row>
    <row r="4604" spans="28:34">
      <c r="AB4604" s="580">
        <f>HLOOKUP("*"&amp;'Output annual'!$AC$2&amp;'Output annual'!$AD$2&amp;"*Zone People Number Of Occupants [](Hourly)",'Eplus results'!$1:$1048576,ROW(),FALSE)</f>
        <v>0</v>
      </c>
      <c r="AC4604" s="580">
        <f>HLOOKUP("*"&amp;'Output annual'!$AC$2&amp;'Output annual'!$AD$2&amp;"*FangerPMV(Hourly)",'Eplus results'!$1:$1048576,ROW(),FALSE)</f>
        <v>0</v>
      </c>
      <c r="AD4604" s="580">
        <f t="shared" si="391"/>
        <v>5</v>
      </c>
      <c r="AE4604" s="580">
        <f t="shared" si="392"/>
        <v>2.5</v>
      </c>
      <c r="AF4604" s="580">
        <f t="shared" si="393"/>
        <v>2.5</v>
      </c>
      <c r="AG4604" s="580">
        <f t="shared" si="394"/>
        <v>0</v>
      </c>
      <c r="AH4604" s="580">
        <f t="shared" si="395"/>
        <v>0</v>
      </c>
    </row>
    <row r="4605" spans="28:34">
      <c r="AB4605" s="580">
        <f>HLOOKUP("*"&amp;'Output annual'!$AC$2&amp;'Output annual'!$AD$2&amp;"*Zone People Number Of Occupants [](Hourly)",'Eplus results'!$1:$1048576,ROW(),FALSE)</f>
        <v>0</v>
      </c>
      <c r="AC4605" s="580">
        <f>HLOOKUP("*"&amp;'Output annual'!$AC$2&amp;'Output annual'!$AD$2&amp;"*FangerPMV(Hourly)",'Eplus results'!$1:$1048576,ROW(),FALSE)</f>
        <v>0</v>
      </c>
      <c r="AD4605" s="580">
        <f t="shared" si="391"/>
        <v>5</v>
      </c>
      <c r="AE4605" s="580">
        <f t="shared" si="392"/>
        <v>2.5</v>
      </c>
      <c r="AF4605" s="580">
        <f t="shared" si="393"/>
        <v>2.5</v>
      </c>
      <c r="AG4605" s="580">
        <f t="shared" si="394"/>
        <v>0</v>
      </c>
      <c r="AH4605" s="580">
        <f t="shared" si="395"/>
        <v>0</v>
      </c>
    </row>
    <row r="4606" spans="28:34">
      <c r="AB4606" s="580">
        <f>HLOOKUP("*"&amp;'Output annual'!$AC$2&amp;'Output annual'!$AD$2&amp;"*Zone People Number Of Occupants [](Hourly)",'Eplus results'!$1:$1048576,ROW(),FALSE)</f>
        <v>0</v>
      </c>
      <c r="AC4606" s="580">
        <f>HLOOKUP("*"&amp;'Output annual'!$AC$2&amp;'Output annual'!$AD$2&amp;"*FangerPMV(Hourly)",'Eplus results'!$1:$1048576,ROW(),FALSE)</f>
        <v>0</v>
      </c>
      <c r="AD4606" s="580">
        <f t="shared" si="391"/>
        <v>5</v>
      </c>
      <c r="AE4606" s="580">
        <f t="shared" si="392"/>
        <v>2.5</v>
      </c>
      <c r="AF4606" s="580">
        <f t="shared" si="393"/>
        <v>2.5</v>
      </c>
      <c r="AG4606" s="580">
        <f t="shared" si="394"/>
        <v>0</v>
      </c>
      <c r="AH4606" s="580">
        <f t="shared" si="395"/>
        <v>0</v>
      </c>
    </row>
    <row r="4607" spans="28:34">
      <c r="AB4607" s="580">
        <f>HLOOKUP("*"&amp;'Output annual'!$AC$2&amp;'Output annual'!$AD$2&amp;"*Zone People Number Of Occupants [](Hourly)",'Eplus results'!$1:$1048576,ROW(),FALSE)</f>
        <v>0</v>
      </c>
      <c r="AC4607" s="580">
        <f>HLOOKUP("*"&amp;'Output annual'!$AC$2&amp;'Output annual'!$AD$2&amp;"*FangerPMV(Hourly)",'Eplus results'!$1:$1048576,ROW(),FALSE)</f>
        <v>0</v>
      </c>
      <c r="AD4607" s="580">
        <f t="shared" si="391"/>
        <v>5</v>
      </c>
      <c r="AE4607" s="580">
        <f t="shared" si="392"/>
        <v>2.5</v>
      </c>
      <c r="AF4607" s="580">
        <f t="shared" si="393"/>
        <v>2.5</v>
      </c>
      <c r="AG4607" s="580">
        <f t="shared" si="394"/>
        <v>0</v>
      </c>
      <c r="AH4607" s="580">
        <f t="shared" si="395"/>
        <v>0</v>
      </c>
    </row>
    <row r="4608" spans="28:34">
      <c r="AB4608" s="580">
        <f>HLOOKUP("*"&amp;'Output annual'!$AC$2&amp;'Output annual'!$AD$2&amp;"*Zone People Number Of Occupants [](Hourly)",'Eplus results'!$1:$1048576,ROW(),FALSE)</f>
        <v>0</v>
      </c>
      <c r="AC4608" s="580">
        <f>HLOOKUP("*"&amp;'Output annual'!$AC$2&amp;'Output annual'!$AD$2&amp;"*FangerPMV(Hourly)",'Eplus results'!$1:$1048576,ROW(),FALSE)</f>
        <v>0</v>
      </c>
      <c r="AD4608" s="580">
        <f t="shared" si="391"/>
        <v>5</v>
      </c>
      <c r="AE4608" s="580">
        <f t="shared" si="392"/>
        <v>2.5</v>
      </c>
      <c r="AF4608" s="580">
        <f t="shared" si="393"/>
        <v>2.5</v>
      </c>
      <c r="AG4608" s="580">
        <f t="shared" si="394"/>
        <v>0</v>
      </c>
      <c r="AH4608" s="580">
        <f t="shared" si="395"/>
        <v>0</v>
      </c>
    </row>
    <row r="4609" spans="28:34">
      <c r="AB4609" s="580">
        <f>HLOOKUP("*"&amp;'Output annual'!$AC$2&amp;'Output annual'!$AD$2&amp;"*Zone People Number Of Occupants [](Hourly)",'Eplus results'!$1:$1048576,ROW(),FALSE)</f>
        <v>0</v>
      </c>
      <c r="AC4609" s="580">
        <f>HLOOKUP("*"&amp;'Output annual'!$AC$2&amp;'Output annual'!$AD$2&amp;"*FangerPMV(Hourly)",'Eplus results'!$1:$1048576,ROW(),FALSE)</f>
        <v>0</v>
      </c>
      <c r="AD4609" s="580">
        <f t="shared" si="391"/>
        <v>5</v>
      </c>
      <c r="AE4609" s="580">
        <f t="shared" si="392"/>
        <v>2.5</v>
      </c>
      <c r="AF4609" s="580">
        <f t="shared" si="393"/>
        <v>2.5</v>
      </c>
      <c r="AG4609" s="580">
        <f t="shared" si="394"/>
        <v>0</v>
      </c>
      <c r="AH4609" s="580">
        <f t="shared" si="395"/>
        <v>0</v>
      </c>
    </row>
    <row r="4610" spans="28:34">
      <c r="AB4610" s="580">
        <f>HLOOKUP("*"&amp;'Output annual'!$AC$2&amp;'Output annual'!$AD$2&amp;"*Zone People Number Of Occupants [](Hourly)",'Eplus results'!$1:$1048576,ROW(),FALSE)</f>
        <v>0</v>
      </c>
      <c r="AC4610" s="580">
        <f>HLOOKUP("*"&amp;'Output annual'!$AC$2&amp;'Output annual'!$AD$2&amp;"*FangerPMV(Hourly)",'Eplus results'!$1:$1048576,ROW(),FALSE)</f>
        <v>0</v>
      </c>
      <c r="AD4610" s="580">
        <f t="shared" si="391"/>
        <v>5</v>
      </c>
      <c r="AE4610" s="580">
        <f t="shared" si="392"/>
        <v>2.5</v>
      </c>
      <c r="AF4610" s="580">
        <f t="shared" si="393"/>
        <v>2.5</v>
      </c>
      <c r="AG4610" s="580">
        <f t="shared" si="394"/>
        <v>0</v>
      </c>
      <c r="AH4610" s="580">
        <f t="shared" si="395"/>
        <v>0</v>
      </c>
    </row>
    <row r="4611" spans="28:34">
      <c r="AB4611" s="580">
        <f>HLOOKUP("*"&amp;'Output annual'!$AC$2&amp;'Output annual'!$AD$2&amp;"*Zone People Number Of Occupants [](Hourly)",'Eplus results'!$1:$1048576,ROW(),FALSE)</f>
        <v>0</v>
      </c>
      <c r="AC4611" s="580">
        <f>HLOOKUP("*"&amp;'Output annual'!$AC$2&amp;'Output annual'!$AD$2&amp;"*FangerPMV(Hourly)",'Eplus results'!$1:$1048576,ROW(),FALSE)</f>
        <v>0</v>
      </c>
      <c r="AD4611" s="580">
        <f t="shared" ref="AD4611:AD4674" si="396">100-95*EXP(-0.03353*AC4611^4-0.2179*AC4611^2)</f>
        <v>5</v>
      </c>
      <c r="AE4611" s="580">
        <f t="shared" ref="AE4611:AE4674" si="397">AD4611*(1/(1+EXP(-6.3*$AC4611)))</f>
        <v>2.5</v>
      </c>
      <c r="AF4611" s="580">
        <f t="shared" ref="AF4611:AF4674" si="398">(AD4611-AE4611)</f>
        <v>2.5</v>
      </c>
      <c r="AG4611" s="580">
        <f t="shared" ref="AG4611:AG4674" si="399">AE4611*AB4611</f>
        <v>0</v>
      </c>
      <c r="AH4611" s="580">
        <f t="shared" ref="AH4611:AH4674" si="400">AF4611*AB4611</f>
        <v>0</v>
      </c>
    </row>
    <row r="4612" spans="28:34">
      <c r="AB4612" s="580">
        <f>HLOOKUP("*"&amp;'Output annual'!$AC$2&amp;'Output annual'!$AD$2&amp;"*Zone People Number Of Occupants [](Hourly)",'Eplus results'!$1:$1048576,ROW(),FALSE)</f>
        <v>0</v>
      </c>
      <c r="AC4612" s="580">
        <f>HLOOKUP("*"&amp;'Output annual'!$AC$2&amp;'Output annual'!$AD$2&amp;"*FangerPMV(Hourly)",'Eplus results'!$1:$1048576,ROW(),FALSE)</f>
        <v>0</v>
      </c>
      <c r="AD4612" s="580">
        <f t="shared" si="396"/>
        <v>5</v>
      </c>
      <c r="AE4612" s="580">
        <f t="shared" si="397"/>
        <v>2.5</v>
      </c>
      <c r="AF4612" s="580">
        <f t="shared" si="398"/>
        <v>2.5</v>
      </c>
      <c r="AG4612" s="580">
        <f t="shared" si="399"/>
        <v>0</v>
      </c>
      <c r="AH4612" s="580">
        <f t="shared" si="400"/>
        <v>0</v>
      </c>
    </row>
    <row r="4613" spans="28:34">
      <c r="AB4613" s="580">
        <f>HLOOKUP("*"&amp;'Output annual'!$AC$2&amp;'Output annual'!$AD$2&amp;"*Zone People Number Of Occupants [](Hourly)",'Eplus results'!$1:$1048576,ROW(),FALSE)</f>
        <v>0</v>
      </c>
      <c r="AC4613" s="580">
        <f>HLOOKUP("*"&amp;'Output annual'!$AC$2&amp;'Output annual'!$AD$2&amp;"*FangerPMV(Hourly)",'Eplus results'!$1:$1048576,ROW(),FALSE)</f>
        <v>0</v>
      </c>
      <c r="AD4613" s="580">
        <f t="shared" si="396"/>
        <v>5</v>
      </c>
      <c r="AE4613" s="580">
        <f t="shared" si="397"/>
        <v>2.5</v>
      </c>
      <c r="AF4613" s="580">
        <f t="shared" si="398"/>
        <v>2.5</v>
      </c>
      <c r="AG4613" s="580">
        <f t="shared" si="399"/>
        <v>0</v>
      </c>
      <c r="AH4613" s="580">
        <f t="shared" si="400"/>
        <v>0</v>
      </c>
    </row>
    <row r="4614" spans="28:34">
      <c r="AB4614" s="580">
        <f>HLOOKUP("*"&amp;'Output annual'!$AC$2&amp;'Output annual'!$AD$2&amp;"*Zone People Number Of Occupants [](Hourly)",'Eplus results'!$1:$1048576,ROW(),FALSE)</f>
        <v>0</v>
      </c>
      <c r="AC4614" s="580">
        <f>HLOOKUP("*"&amp;'Output annual'!$AC$2&amp;'Output annual'!$AD$2&amp;"*FangerPMV(Hourly)",'Eplus results'!$1:$1048576,ROW(),FALSE)</f>
        <v>0</v>
      </c>
      <c r="AD4614" s="580">
        <f t="shared" si="396"/>
        <v>5</v>
      </c>
      <c r="AE4614" s="580">
        <f t="shared" si="397"/>
        <v>2.5</v>
      </c>
      <c r="AF4614" s="580">
        <f t="shared" si="398"/>
        <v>2.5</v>
      </c>
      <c r="AG4614" s="580">
        <f t="shared" si="399"/>
        <v>0</v>
      </c>
      <c r="AH4614" s="580">
        <f t="shared" si="400"/>
        <v>0</v>
      </c>
    </row>
    <row r="4615" spans="28:34">
      <c r="AB4615" s="580">
        <f>HLOOKUP("*"&amp;'Output annual'!$AC$2&amp;'Output annual'!$AD$2&amp;"*Zone People Number Of Occupants [](Hourly)",'Eplus results'!$1:$1048576,ROW(),FALSE)</f>
        <v>0</v>
      </c>
      <c r="AC4615" s="580">
        <f>HLOOKUP("*"&amp;'Output annual'!$AC$2&amp;'Output annual'!$AD$2&amp;"*FangerPMV(Hourly)",'Eplus results'!$1:$1048576,ROW(),FALSE)</f>
        <v>0</v>
      </c>
      <c r="AD4615" s="580">
        <f t="shared" si="396"/>
        <v>5</v>
      </c>
      <c r="AE4615" s="580">
        <f t="shared" si="397"/>
        <v>2.5</v>
      </c>
      <c r="AF4615" s="580">
        <f t="shared" si="398"/>
        <v>2.5</v>
      </c>
      <c r="AG4615" s="580">
        <f t="shared" si="399"/>
        <v>0</v>
      </c>
      <c r="AH4615" s="580">
        <f t="shared" si="400"/>
        <v>0</v>
      </c>
    </row>
    <row r="4616" spans="28:34">
      <c r="AB4616" s="580">
        <f>HLOOKUP("*"&amp;'Output annual'!$AC$2&amp;'Output annual'!$AD$2&amp;"*Zone People Number Of Occupants [](Hourly)",'Eplus results'!$1:$1048576,ROW(),FALSE)</f>
        <v>0</v>
      </c>
      <c r="AC4616" s="580">
        <f>HLOOKUP("*"&amp;'Output annual'!$AC$2&amp;'Output annual'!$AD$2&amp;"*FangerPMV(Hourly)",'Eplus results'!$1:$1048576,ROW(),FALSE)</f>
        <v>0</v>
      </c>
      <c r="AD4616" s="580">
        <f t="shared" si="396"/>
        <v>5</v>
      </c>
      <c r="AE4616" s="580">
        <f t="shared" si="397"/>
        <v>2.5</v>
      </c>
      <c r="AF4616" s="580">
        <f t="shared" si="398"/>
        <v>2.5</v>
      </c>
      <c r="AG4616" s="580">
        <f t="shared" si="399"/>
        <v>0</v>
      </c>
      <c r="AH4616" s="580">
        <f t="shared" si="400"/>
        <v>0</v>
      </c>
    </row>
    <row r="4617" spans="28:34">
      <c r="AB4617" s="580">
        <f>HLOOKUP("*"&amp;'Output annual'!$AC$2&amp;'Output annual'!$AD$2&amp;"*Zone People Number Of Occupants [](Hourly)",'Eplus results'!$1:$1048576,ROW(),FALSE)</f>
        <v>0</v>
      </c>
      <c r="AC4617" s="580">
        <f>HLOOKUP("*"&amp;'Output annual'!$AC$2&amp;'Output annual'!$AD$2&amp;"*FangerPMV(Hourly)",'Eplus results'!$1:$1048576,ROW(),FALSE)</f>
        <v>0</v>
      </c>
      <c r="AD4617" s="580">
        <f t="shared" si="396"/>
        <v>5</v>
      </c>
      <c r="AE4617" s="580">
        <f t="shared" si="397"/>
        <v>2.5</v>
      </c>
      <c r="AF4617" s="580">
        <f t="shared" si="398"/>
        <v>2.5</v>
      </c>
      <c r="AG4617" s="580">
        <f t="shared" si="399"/>
        <v>0</v>
      </c>
      <c r="AH4617" s="580">
        <f t="shared" si="400"/>
        <v>0</v>
      </c>
    </row>
    <row r="4618" spans="28:34">
      <c r="AB4618" s="580">
        <f>HLOOKUP("*"&amp;'Output annual'!$AC$2&amp;'Output annual'!$AD$2&amp;"*Zone People Number Of Occupants [](Hourly)",'Eplus results'!$1:$1048576,ROW(),FALSE)</f>
        <v>0</v>
      </c>
      <c r="AC4618" s="580">
        <f>HLOOKUP("*"&amp;'Output annual'!$AC$2&amp;'Output annual'!$AD$2&amp;"*FangerPMV(Hourly)",'Eplus results'!$1:$1048576,ROW(),FALSE)</f>
        <v>0</v>
      </c>
      <c r="AD4618" s="580">
        <f t="shared" si="396"/>
        <v>5</v>
      </c>
      <c r="AE4618" s="580">
        <f t="shared" si="397"/>
        <v>2.5</v>
      </c>
      <c r="AF4618" s="580">
        <f t="shared" si="398"/>
        <v>2.5</v>
      </c>
      <c r="AG4618" s="580">
        <f t="shared" si="399"/>
        <v>0</v>
      </c>
      <c r="AH4618" s="580">
        <f t="shared" si="400"/>
        <v>0</v>
      </c>
    </row>
    <row r="4619" spans="28:34">
      <c r="AB4619" s="580">
        <f>HLOOKUP("*"&amp;'Output annual'!$AC$2&amp;'Output annual'!$AD$2&amp;"*Zone People Number Of Occupants [](Hourly)",'Eplus results'!$1:$1048576,ROW(),FALSE)</f>
        <v>0</v>
      </c>
      <c r="AC4619" s="580">
        <f>HLOOKUP("*"&amp;'Output annual'!$AC$2&amp;'Output annual'!$AD$2&amp;"*FangerPMV(Hourly)",'Eplus results'!$1:$1048576,ROW(),FALSE)</f>
        <v>0</v>
      </c>
      <c r="AD4619" s="580">
        <f t="shared" si="396"/>
        <v>5</v>
      </c>
      <c r="AE4619" s="580">
        <f t="shared" si="397"/>
        <v>2.5</v>
      </c>
      <c r="AF4619" s="580">
        <f t="shared" si="398"/>
        <v>2.5</v>
      </c>
      <c r="AG4619" s="580">
        <f t="shared" si="399"/>
        <v>0</v>
      </c>
      <c r="AH4619" s="580">
        <f t="shared" si="400"/>
        <v>0</v>
      </c>
    </row>
    <row r="4620" spans="28:34">
      <c r="AB4620" s="580">
        <f>HLOOKUP("*"&amp;'Output annual'!$AC$2&amp;'Output annual'!$AD$2&amp;"*Zone People Number Of Occupants [](Hourly)",'Eplus results'!$1:$1048576,ROW(),FALSE)</f>
        <v>0</v>
      </c>
      <c r="AC4620" s="580">
        <f>HLOOKUP("*"&amp;'Output annual'!$AC$2&amp;'Output annual'!$AD$2&amp;"*FangerPMV(Hourly)",'Eplus results'!$1:$1048576,ROW(),FALSE)</f>
        <v>0</v>
      </c>
      <c r="AD4620" s="580">
        <f t="shared" si="396"/>
        <v>5</v>
      </c>
      <c r="AE4620" s="580">
        <f t="shared" si="397"/>
        <v>2.5</v>
      </c>
      <c r="AF4620" s="580">
        <f t="shared" si="398"/>
        <v>2.5</v>
      </c>
      <c r="AG4620" s="580">
        <f t="shared" si="399"/>
        <v>0</v>
      </c>
      <c r="AH4620" s="580">
        <f t="shared" si="400"/>
        <v>0</v>
      </c>
    </row>
    <row r="4621" spans="28:34">
      <c r="AB4621" s="580">
        <f>HLOOKUP("*"&amp;'Output annual'!$AC$2&amp;'Output annual'!$AD$2&amp;"*Zone People Number Of Occupants [](Hourly)",'Eplus results'!$1:$1048576,ROW(),FALSE)</f>
        <v>0</v>
      </c>
      <c r="AC4621" s="580">
        <f>HLOOKUP("*"&amp;'Output annual'!$AC$2&amp;'Output annual'!$AD$2&amp;"*FangerPMV(Hourly)",'Eplus results'!$1:$1048576,ROW(),FALSE)</f>
        <v>0</v>
      </c>
      <c r="AD4621" s="580">
        <f t="shared" si="396"/>
        <v>5</v>
      </c>
      <c r="AE4621" s="580">
        <f t="shared" si="397"/>
        <v>2.5</v>
      </c>
      <c r="AF4621" s="580">
        <f t="shared" si="398"/>
        <v>2.5</v>
      </c>
      <c r="AG4621" s="580">
        <f t="shared" si="399"/>
        <v>0</v>
      </c>
      <c r="AH4621" s="580">
        <f t="shared" si="400"/>
        <v>0</v>
      </c>
    </row>
    <row r="4622" spans="28:34">
      <c r="AB4622" s="580">
        <f>HLOOKUP("*"&amp;'Output annual'!$AC$2&amp;'Output annual'!$AD$2&amp;"*Zone People Number Of Occupants [](Hourly)",'Eplus results'!$1:$1048576,ROW(),FALSE)</f>
        <v>0</v>
      </c>
      <c r="AC4622" s="580">
        <f>HLOOKUP("*"&amp;'Output annual'!$AC$2&amp;'Output annual'!$AD$2&amp;"*FangerPMV(Hourly)",'Eplus results'!$1:$1048576,ROW(),FALSE)</f>
        <v>0</v>
      </c>
      <c r="AD4622" s="580">
        <f t="shared" si="396"/>
        <v>5</v>
      </c>
      <c r="AE4622" s="580">
        <f t="shared" si="397"/>
        <v>2.5</v>
      </c>
      <c r="AF4622" s="580">
        <f t="shared" si="398"/>
        <v>2.5</v>
      </c>
      <c r="AG4622" s="580">
        <f t="shared" si="399"/>
        <v>0</v>
      </c>
      <c r="AH4622" s="580">
        <f t="shared" si="400"/>
        <v>0</v>
      </c>
    </row>
    <row r="4623" spans="28:34">
      <c r="AB4623" s="580">
        <f>HLOOKUP("*"&amp;'Output annual'!$AC$2&amp;'Output annual'!$AD$2&amp;"*Zone People Number Of Occupants [](Hourly)",'Eplus results'!$1:$1048576,ROW(),FALSE)</f>
        <v>0</v>
      </c>
      <c r="AC4623" s="580">
        <f>HLOOKUP("*"&amp;'Output annual'!$AC$2&amp;'Output annual'!$AD$2&amp;"*FangerPMV(Hourly)",'Eplus results'!$1:$1048576,ROW(),FALSE)</f>
        <v>0</v>
      </c>
      <c r="AD4623" s="580">
        <f t="shared" si="396"/>
        <v>5</v>
      </c>
      <c r="AE4623" s="580">
        <f t="shared" si="397"/>
        <v>2.5</v>
      </c>
      <c r="AF4623" s="580">
        <f t="shared" si="398"/>
        <v>2.5</v>
      </c>
      <c r="AG4623" s="580">
        <f t="shared" si="399"/>
        <v>0</v>
      </c>
      <c r="AH4623" s="580">
        <f t="shared" si="400"/>
        <v>0</v>
      </c>
    </row>
    <row r="4624" spans="28:34">
      <c r="AB4624" s="580">
        <f>HLOOKUP("*"&amp;'Output annual'!$AC$2&amp;'Output annual'!$AD$2&amp;"*Zone People Number Of Occupants [](Hourly)",'Eplus results'!$1:$1048576,ROW(),FALSE)</f>
        <v>0</v>
      </c>
      <c r="AC4624" s="580">
        <f>HLOOKUP("*"&amp;'Output annual'!$AC$2&amp;'Output annual'!$AD$2&amp;"*FangerPMV(Hourly)",'Eplus results'!$1:$1048576,ROW(),FALSE)</f>
        <v>0</v>
      </c>
      <c r="AD4624" s="580">
        <f t="shared" si="396"/>
        <v>5</v>
      </c>
      <c r="AE4624" s="580">
        <f t="shared" si="397"/>
        <v>2.5</v>
      </c>
      <c r="AF4624" s="580">
        <f t="shared" si="398"/>
        <v>2.5</v>
      </c>
      <c r="AG4624" s="580">
        <f t="shared" si="399"/>
        <v>0</v>
      </c>
      <c r="AH4624" s="580">
        <f t="shared" si="400"/>
        <v>0</v>
      </c>
    </row>
    <row r="4625" spans="28:34">
      <c r="AB4625" s="580">
        <f>HLOOKUP("*"&amp;'Output annual'!$AC$2&amp;'Output annual'!$AD$2&amp;"*Zone People Number Of Occupants [](Hourly)",'Eplus results'!$1:$1048576,ROW(),FALSE)</f>
        <v>0</v>
      </c>
      <c r="AC4625" s="580">
        <f>HLOOKUP("*"&amp;'Output annual'!$AC$2&amp;'Output annual'!$AD$2&amp;"*FangerPMV(Hourly)",'Eplus results'!$1:$1048576,ROW(),FALSE)</f>
        <v>0</v>
      </c>
      <c r="AD4625" s="580">
        <f t="shared" si="396"/>
        <v>5</v>
      </c>
      <c r="AE4625" s="580">
        <f t="shared" si="397"/>
        <v>2.5</v>
      </c>
      <c r="AF4625" s="580">
        <f t="shared" si="398"/>
        <v>2.5</v>
      </c>
      <c r="AG4625" s="580">
        <f t="shared" si="399"/>
        <v>0</v>
      </c>
      <c r="AH4625" s="580">
        <f t="shared" si="400"/>
        <v>0</v>
      </c>
    </row>
    <row r="4626" spans="28:34">
      <c r="AB4626" s="580">
        <f>HLOOKUP("*"&amp;'Output annual'!$AC$2&amp;'Output annual'!$AD$2&amp;"*Zone People Number Of Occupants [](Hourly)",'Eplus results'!$1:$1048576,ROW(),FALSE)</f>
        <v>0</v>
      </c>
      <c r="AC4626" s="580">
        <f>HLOOKUP("*"&amp;'Output annual'!$AC$2&amp;'Output annual'!$AD$2&amp;"*FangerPMV(Hourly)",'Eplus results'!$1:$1048576,ROW(),FALSE)</f>
        <v>0</v>
      </c>
      <c r="AD4626" s="580">
        <f t="shared" si="396"/>
        <v>5</v>
      </c>
      <c r="AE4626" s="580">
        <f t="shared" si="397"/>
        <v>2.5</v>
      </c>
      <c r="AF4626" s="580">
        <f t="shared" si="398"/>
        <v>2.5</v>
      </c>
      <c r="AG4626" s="580">
        <f t="shared" si="399"/>
        <v>0</v>
      </c>
      <c r="AH4626" s="580">
        <f t="shared" si="400"/>
        <v>0</v>
      </c>
    </row>
    <row r="4627" spans="28:34">
      <c r="AB4627" s="580">
        <f>HLOOKUP("*"&amp;'Output annual'!$AC$2&amp;'Output annual'!$AD$2&amp;"*Zone People Number Of Occupants [](Hourly)",'Eplus results'!$1:$1048576,ROW(),FALSE)</f>
        <v>0</v>
      </c>
      <c r="AC4627" s="580">
        <f>HLOOKUP("*"&amp;'Output annual'!$AC$2&amp;'Output annual'!$AD$2&amp;"*FangerPMV(Hourly)",'Eplus results'!$1:$1048576,ROW(),FALSE)</f>
        <v>0</v>
      </c>
      <c r="AD4627" s="580">
        <f t="shared" si="396"/>
        <v>5</v>
      </c>
      <c r="AE4627" s="580">
        <f t="shared" si="397"/>
        <v>2.5</v>
      </c>
      <c r="AF4627" s="580">
        <f t="shared" si="398"/>
        <v>2.5</v>
      </c>
      <c r="AG4627" s="580">
        <f t="shared" si="399"/>
        <v>0</v>
      </c>
      <c r="AH4627" s="580">
        <f t="shared" si="400"/>
        <v>0</v>
      </c>
    </row>
    <row r="4628" spans="28:34">
      <c r="AB4628" s="580">
        <f>HLOOKUP("*"&amp;'Output annual'!$AC$2&amp;'Output annual'!$AD$2&amp;"*Zone People Number Of Occupants [](Hourly)",'Eplus results'!$1:$1048576,ROW(),FALSE)</f>
        <v>0</v>
      </c>
      <c r="AC4628" s="580">
        <f>HLOOKUP("*"&amp;'Output annual'!$AC$2&amp;'Output annual'!$AD$2&amp;"*FangerPMV(Hourly)",'Eplus results'!$1:$1048576,ROW(),FALSE)</f>
        <v>0</v>
      </c>
      <c r="AD4628" s="580">
        <f t="shared" si="396"/>
        <v>5</v>
      </c>
      <c r="AE4628" s="580">
        <f t="shared" si="397"/>
        <v>2.5</v>
      </c>
      <c r="AF4628" s="580">
        <f t="shared" si="398"/>
        <v>2.5</v>
      </c>
      <c r="AG4628" s="580">
        <f t="shared" si="399"/>
        <v>0</v>
      </c>
      <c r="AH4628" s="580">
        <f t="shared" si="400"/>
        <v>0</v>
      </c>
    </row>
    <row r="4629" spans="28:34">
      <c r="AB4629" s="580">
        <f>HLOOKUP("*"&amp;'Output annual'!$AC$2&amp;'Output annual'!$AD$2&amp;"*Zone People Number Of Occupants [](Hourly)",'Eplus results'!$1:$1048576,ROW(),FALSE)</f>
        <v>0</v>
      </c>
      <c r="AC4629" s="580">
        <f>HLOOKUP("*"&amp;'Output annual'!$AC$2&amp;'Output annual'!$AD$2&amp;"*FangerPMV(Hourly)",'Eplus results'!$1:$1048576,ROW(),FALSE)</f>
        <v>0</v>
      </c>
      <c r="AD4629" s="580">
        <f t="shared" si="396"/>
        <v>5</v>
      </c>
      <c r="AE4629" s="580">
        <f t="shared" si="397"/>
        <v>2.5</v>
      </c>
      <c r="AF4629" s="580">
        <f t="shared" si="398"/>
        <v>2.5</v>
      </c>
      <c r="AG4629" s="580">
        <f t="shared" si="399"/>
        <v>0</v>
      </c>
      <c r="AH4629" s="580">
        <f t="shared" si="400"/>
        <v>0</v>
      </c>
    </row>
    <row r="4630" spans="28:34">
      <c r="AB4630" s="580">
        <f>HLOOKUP("*"&amp;'Output annual'!$AC$2&amp;'Output annual'!$AD$2&amp;"*Zone People Number Of Occupants [](Hourly)",'Eplus results'!$1:$1048576,ROW(),FALSE)</f>
        <v>0</v>
      </c>
      <c r="AC4630" s="580">
        <f>HLOOKUP("*"&amp;'Output annual'!$AC$2&amp;'Output annual'!$AD$2&amp;"*FangerPMV(Hourly)",'Eplus results'!$1:$1048576,ROW(),FALSE)</f>
        <v>0</v>
      </c>
      <c r="AD4630" s="580">
        <f t="shared" si="396"/>
        <v>5</v>
      </c>
      <c r="AE4630" s="580">
        <f t="shared" si="397"/>
        <v>2.5</v>
      </c>
      <c r="AF4630" s="580">
        <f t="shared" si="398"/>
        <v>2.5</v>
      </c>
      <c r="AG4630" s="580">
        <f t="shared" si="399"/>
        <v>0</v>
      </c>
      <c r="AH4630" s="580">
        <f t="shared" si="400"/>
        <v>0</v>
      </c>
    </row>
    <row r="4631" spans="28:34">
      <c r="AB4631" s="580">
        <f>HLOOKUP("*"&amp;'Output annual'!$AC$2&amp;'Output annual'!$AD$2&amp;"*Zone People Number Of Occupants [](Hourly)",'Eplus results'!$1:$1048576,ROW(),FALSE)</f>
        <v>0</v>
      </c>
      <c r="AC4631" s="580">
        <f>HLOOKUP("*"&amp;'Output annual'!$AC$2&amp;'Output annual'!$AD$2&amp;"*FangerPMV(Hourly)",'Eplus results'!$1:$1048576,ROW(),FALSE)</f>
        <v>0</v>
      </c>
      <c r="AD4631" s="580">
        <f t="shared" si="396"/>
        <v>5</v>
      </c>
      <c r="AE4631" s="580">
        <f t="shared" si="397"/>
        <v>2.5</v>
      </c>
      <c r="AF4631" s="580">
        <f t="shared" si="398"/>
        <v>2.5</v>
      </c>
      <c r="AG4631" s="580">
        <f t="shared" si="399"/>
        <v>0</v>
      </c>
      <c r="AH4631" s="580">
        <f t="shared" si="400"/>
        <v>0</v>
      </c>
    </row>
    <row r="4632" spans="28:34">
      <c r="AB4632" s="580">
        <f>HLOOKUP("*"&amp;'Output annual'!$AC$2&amp;'Output annual'!$AD$2&amp;"*Zone People Number Of Occupants [](Hourly)",'Eplus results'!$1:$1048576,ROW(),FALSE)</f>
        <v>0</v>
      </c>
      <c r="AC4632" s="580">
        <f>HLOOKUP("*"&amp;'Output annual'!$AC$2&amp;'Output annual'!$AD$2&amp;"*FangerPMV(Hourly)",'Eplus results'!$1:$1048576,ROW(),FALSE)</f>
        <v>0</v>
      </c>
      <c r="AD4632" s="580">
        <f t="shared" si="396"/>
        <v>5</v>
      </c>
      <c r="AE4632" s="580">
        <f t="shared" si="397"/>
        <v>2.5</v>
      </c>
      <c r="AF4632" s="580">
        <f t="shared" si="398"/>
        <v>2.5</v>
      </c>
      <c r="AG4632" s="580">
        <f t="shared" si="399"/>
        <v>0</v>
      </c>
      <c r="AH4632" s="580">
        <f t="shared" si="400"/>
        <v>0</v>
      </c>
    </row>
    <row r="4633" spans="28:34">
      <c r="AB4633" s="580">
        <f>HLOOKUP("*"&amp;'Output annual'!$AC$2&amp;'Output annual'!$AD$2&amp;"*Zone People Number Of Occupants [](Hourly)",'Eplus results'!$1:$1048576,ROW(),FALSE)</f>
        <v>0</v>
      </c>
      <c r="AC4633" s="580">
        <f>HLOOKUP("*"&amp;'Output annual'!$AC$2&amp;'Output annual'!$AD$2&amp;"*FangerPMV(Hourly)",'Eplus results'!$1:$1048576,ROW(),FALSE)</f>
        <v>0</v>
      </c>
      <c r="AD4633" s="580">
        <f t="shared" si="396"/>
        <v>5</v>
      </c>
      <c r="AE4633" s="580">
        <f t="shared" si="397"/>
        <v>2.5</v>
      </c>
      <c r="AF4633" s="580">
        <f t="shared" si="398"/>
        <v>2.5</v>
      </c>
      <c r="AG4633" s="580">
        <f t="shared" si="399"/>
        <v>0</v>
      </c>
      <c r="AH4633" s="580">
        <f t="shared" si="400"/>
        <v>0</v>
      </c>
    </row>
    <row r="4634" spans="28:34">
      <c r="AB4634" s="580">
        <f>HLOOKUP("*"&amp;'Output annual'!$AC$2&amp;'Output annual'!$AD$2&amp;"*Zone People Number Of Occupants [](Hourly)",'Eplus results'!$1:$1048576,ROW(),FALSE)</f>
        <v>0</v>
      </c>
      <c r="AC4634" s="580">
        <f>HLOOKUP("*"&amp;'Output annual'!$AC$2&amp;'Output annual'!$AD$2&amp;"*FangerPMV(Hourly)",'Eplus results'!$1:$1048576,ROW(),FALSE)</f>
        <v>0</v>
      </c>
      <c r="AD4634" s="580">
        <f t="shared" si="396"/>
        <v>5</v>
      </c>
      <c r="AE4634" s="580">
        <f t="shared" si="397"/>
        <v>2.5</v>
      </c>
      <c r="AF4634" s="580">
        <f t="shared" si="398"/>
        <v>2.5</v>
      </c>
      <c r="AG4634" s="580">
        <f t="shared" si="399"/>
        <v>0</v>
      </c>
      <c r="AH4634" s="580">
        <f t="shared" si="400"/>
        <v>0</v>
      </c>
    </row>
    <row r="4635" spans="28:34">
      <c r="AB4635" s="580">
        <f>HLOOKUP("*"&amp;'Output annual'!$AC$2&amp;'Output annual'!$AD$2&amp;"*Zone People Number Of Occupants [](Hourly)",'Eplus results'!$1:$1048576,ROW(),FALSE)</f>
        <v>0</v>
      </c>
      <c r="AC4635" s="580">
        <f>HLOOKUP("*"&amp;'Output annual'!$AC$2&amp;'Output annual'!$AD$2&amp;"*FangerPMV(Hourly)",'Eplus results'!$1:$1048576,ROW(),FALSE)</f>
        <v>0</v>
      </c>
      <c r="AD4635" s="580">
        <f t="shared" si="396"/>
        <v>5</v>
      </c>
      <c r="AE4635" s="580">
        <f t="shared" si="397"/>
        <v>2.5</v>
      </c>
      <c r="AF4635" s="580">
        <f t="shared" si="398"/>
        <v>2.5</v>
      </c>
      <c r="AG4635" s="580">
        <f t="shared" si="399"/>
        <v>0</v>
      </c>
      <c r="AH4635" s="580">
        <f t="shared" si="400"/>
        <v>0</v>
      </c>
    </row>
    <row r="4636" spans="28:34">
      <c r="AB4636" s="580">
        <f>HLOOKUP("*"&amp;'Output annual'!$AC$2&amp;'Output annual'!$AD$2&amp;"*Zone People Number Of Occupants [](Hourly)",'Eplus results'!$1:$1048576,ROW(),FALSE)</f>
        <v>0</v>
      </c>
      <c r="AC4636" s="580">
        <f>HLOOKUP("*"&amp;'Output annual'!$AC$2&amp;'Output annual'!$AD$2&amp;"*FangerPMV(Hourly)",'Eplus results'!$1:$1048576,ROW(),FALSE)</f>
        <v>0</v>
      </c>
      <c r="AD4636" s="580">
        <f t="shared" si="396"/>
        <v>5</v>
      </c>
      <c r="AE4636" s="580">
        <f t="shared" si="397"/>
        <v>2.5</v>
      </c>
      <c r="AF4636" s="580">
        <f t="shared" si="398"/>
        <v>2.5</v>
      </c>
      <c r="AG4636" s="580">
        <f t="shared" si="399"/>
        <v>0</v>
      </c>
      <c r="AH4636" s="580">
        <f t="shared" si="400"/>
        <v>0</v>
      </c>
    </row>
    <row r="4637" spans="28:34">
      <c r="AB4637" s="580">
        <f>HLOOKUP("*"&amp;'Output annual'!$AC$2&amp;'Output annual'!$AD$2&amp;"*Zone People Number Of Occupants [](Hourly)",'Eplus results'!$1:$1048576,ROW(),FALSE)</f>
        <v>0</v>
      </c>
      <c r="AC4637" s="580">
        <f>HLOOKUP("*"&amp;'Output annual'!$AC$2&amp;'Output annual'!$AD$2&amp;"*FangerPMV(Hourly)",'Eplus results'!$1:$1048576,ROW(),FALSE)</f>
        <v>0</v>
      </c>
      <c r="AD4637" s="580">
        <f t="shared" si="396"/>
        <v>5</v>
      </c>
      <c r="AE4637" s="580">
        <f t="shared" si="397"/>
        <v>2.5</v>
      </c>
      <c r="AF4637" s="580">
        <f t="shared" si="398"/>
        <v>2.5</v>
      </c>
      <c r="AG4637" s="580">
        <f t="shared" si="399"/>
        <v>0</v>
      </c>
      <c r="AH4637" s="580">
        <f t="shared" si="400"/>
        <v>0</v>
      </c>
    </row>
    <row r="4638" spans="28:34">
      <c r="AB4638" s="580">
        <f>HLOOKUP("*"&amp;'Output annual'!$AC$2&amp;'Output annual'!$AD$2&amp;"*Zone People Number Of Occupants [](Hourly)",'Eplus results'!$1:$1048576,ROW(),FALSE)</f>
        <v>0</v>
      </c>
      <c r="AC4638" s="580">
        <f>HLOOKUP("*"&amp;'Output annual'!$AC$2&amp;'Output annual'!$AD$2&amp;"*FangerPMV(Hourly)",'Eplus results'!$1:$1048576,ROW(),FALSE)</f>
        <v>0</v>
      </c>
      <c r="AD4638" s="580">
        <f t="shared" si="396"/>
        <v>5</v>
      </c>
      <c r="AE4638" s="580">
        <f t="shared" si="397"/>
        <v>2.5</v>
      </c>
      <c r="AF4638" s="580">
        <f t="shared" si="398"/>
        <v>2.5</v>
      </c>
      <c r="AG4638" s="580">
        <f t="shared" si="399"/>
        <v>0</v>
      </c>
      <c r="AH4638" s="580">
        <f t="shared" si="400"/>
        <v>0</v>
      </c>
    </row>
    <row r="4639" spans="28:34">
      <c r="AB4639" s="580">
        <f>HLOOKUP("*"&amp;'Output annual'!$AC$2&amp;'Output annual'!$AD$2&amp;"*Zone People Number Of Occupants [](Hourly)",'Eplus results'!$1:$1048576,ROW(),FALSE)</f>
        <v>0</v>
      </c>
      <c r="AC4639" s="580">
        <f>HLOOKUP("*"&amp;'Output annual'!$AC$2&amp;'Output annual'!$AD$2&amp;"*FangerPMV(Hourly)",'Eplus results'!$1:$1048576,ROW(),FALSE)</f>
        <v>0</v>
      </c>
      <c r="AD4639" s="580">
        <f t="shared" si="396"/>
        <v>5</v>
      </c>
      <c r="AE4639" s="580">
        <f t="shared" si="397"/>
        <v>2.5</v>
      </c>
      <c r="AF4639" s="580">
        <f t="shared" si="398"/>
        <v>2.5</v>
      </c>
      <c r="AG4639" s="580">
        <f t="shared" si="399"/>
        <v>0</v>
      </c>
      <c r="AH4639" s="580">
        <f t="shared" si="400"/>
        <v>0</v>
      </c>
    </row>
    <row r="4640" spans="28:34">
      <c r="AB4640" s="580">
        <f>HLOOKUP("*"&amp;'Output annual'!$AC$2&amp;'Output annual'!$AD$2&amp;"*Zone People Number Of Occupants [](Hourly)",'Eplus results'!$1:$1048576,ROW(),FALSE)</f>
        <v>0</v>
      </c>
      <c r="AC4640" s="580">
        <f>HLOOKUP("*"&amp;'Output annual'!$AC$2&amp;'Output annual'!$AD$2&amp;"*FangerPMV(Hourly)",'Eplus results'!$1:$1048576,ROW(),FALSE)</f>
        <v>0</v>
      </c>
      <c r="AD4640" s="580">
        <f t="shared" si="396"/>
        <v>5</v>
      </c>
      <c r="AE4640" s="580">
        <f t="shared" si="397"/>
        <v>2.5</v>
      </c>
      <c r="AF4640" s="580">
        <f t="shared" si="398"/>
        <v>2.5</v>
      </c>
      <c r="AG4640" s="580">
        <f t="shared" si="399"/>
        <v>0</v>
      </c>
      <c r="AH4640" s="580">
        <f t="shared" si="400"/>
        <v>0</v>
      </c>
    </row>
    <row r="4641" spans="28:34">
      <c r="AB4641" s="580">
        <f>HLOOKUP("*"&amp;'Output annual'!$AC$2&amp;'Output annual'!$AD$2&amp;"*Zone People Number Of Occupants [](Hourly)",'Eplus results'!$1:$1048576,ROW(),FALSE)</f>
        <v>0</v>
      </c>
      <c r="AC4641" s="580">
        <f>HLOOKUP("*"&amp;'Output annual'!$AC$2&amp;'Output annual'!$AD$2&amp;"*FangerPMV(Hourly)",'Eplus results'!$1:$1048576,ROW(),FALSE)</f>
        <v>0</v>
      </c>
      <c r="AD4641" s="580">
        <f t="shared" si="396"/>
        <v>5</v>
      </c>
      <c r="AE4641" s="580">
        <f t="shared" si="397"/>
        <v>2.5</v>
      </c>
      <c r="AF4641" s="580">
        <f t="shared" si="398"/>
        <v>2.5</v>
      </c>
      <c r="AG4641" s="580">
        <f t="shared" si="399"/>
        <v>0</v>
      </c>
      <c r="AH4641" s="580">
        <f t="shared" si="400"/>
        <v>0</v>
      </c>
    </row>
    <row r="4642" spans="28:34">
      <c r="AB4642" s="580">
        <f>HLOOKUP("*"&amp;'Output annual'!$AC$2&amp;'Output annual'!$AD$2&amp;"*Zone People Number Of Occupants [](Hourly)",'Eplus results'!$1:$1048576,ROW(),FALSE)</f>
        <v>0</v>
      </c>
      <c r="AC4642" s="580">
        <f>HLOOKUP("*"&amp;'Output annual'!$AC$2&amp;'Output annual'!$AD$2&amp;"*FangerPMV(Hourly)",'Eplus results'!$1:$1048576,ROW(),FALSE)</f>
        <v>0</v>
      </c>
      <c r="AD4642" s="580">
        <f t="shared" si="396"/>
        <v>5</v>
      </c>
      <c r="AE4642" s="580">
        <f t="shared" si="397"/>
        <v>2.5</v>
      </c>
      <c r="AF4642" s="580">
        <f t="shared" si="398"/>
        <v>2.5</v>
      </c>
      <c r="AG4642" s="580">
        <f t="shared" si="399"/>
        <v>0</v>
      </c>
      <c r="AH4642" s="580">
        <f t="shared" si="400"/>
        <v>0</v>
      </c>
    </row>
    <row r="4643" spans="28:34">
      <c r="AB4643" s="580">
        <f>HLOOKUP("*"&amp;'Output annual'!$AC$2&amp;'Output annual'!$AD$2&amp;"*Zone People Number Of Occupants [](Hourly)",'Eplus results'!$1:$1048576,ROW(),FALSE)</f>
        <v>0</v>
      </c>
      <c r="AC4643" s="580">
        <f>HLOOKUP("*"&amp;'Output annual'!$AC$2&amp;'Output annual'!$AD$2&amp;"*FangerPMV(Hourly)",'Eplus results'!$1:$1048576,ROW(),FALSE)</f>
        <v>0</v>
      </c>
      <c r="AD4643" s="580">
        <f t="shared" si="396"/>
        <v>5</v>
      </c>
      <c r="AE4643" s="580">
        <f t="shared" si="397"/>
        <v>2.5</v>
      </c>
      <c r="AF4643" s="580">
        <f t="shared" si="398"/>
        <v>2.5</v>
      </c>
      <c r="AG4643" s="580">
        <f t="shared" si="399"/>
        <v>0</v>
      </c>
      <c r="AH4643" s="580">
        <f t="shared" si="400"/>
        <v>0</v>
      </c>
    </row>
    <row r="4644" spans="28:34">
      <c r="AB4644" s="580">
        <f>HLOOKUP("*"&amp;'Output annual'!$AC$2&amp;'Output annual'!$AD$2&amp;"*Zone People Number Of Occupants [](Hourly)",'Eplus results'!$1:$1048576,ROW(),FALSE)</f>
        <v>0</v>
      </c>
      <c r="AC4644" s="580">
        <f>HLOOKUP("*"&amp;'Output annual'!$AC$2&amp;'Output annual'!$AD$2&amp;"*FangerPMV(Hourly)",'Eplus results'!$1:$1048576,ROW(),FALSE)</f>
        <v>0</v>
      </c>
      <c r="AD4644" s="580">
        <f t="shared" si="396"/>
        <v>5</v>
      </c>
      <c r="AE4644" s="580">
        <f t="shared" si="397"/>
        <v>2.5</v>
      </c>
      <c r="AF4644" s="580">
        <f t="shared" si="398"/>
        <v>2.5</v>
      </c>
      <c r="AG4644" s="580">
        <f t="shared" si="399"/>
        <v>0</v>
      </c>
      <c r="AH4644" s="580">
        <f t="shared" si="400"/>
        <v>0</v>
      </c>
    </row>
    <row r="4645" spans="28:34">
      <c r="AB4645" s="580">
        <f>HLOOKUP("*"&amp;'Output annual'!$AC$2&amp;'Output annual'!$AD$2&amp;"*Zone People Number Of Occupants [](Hourly)",'Eplus results'!$1:$1048576,ROW(),FALSE)</f>
        <v>0</v>
      </c>
      <c r="AC4645" s="580">
        <f>HLOOKUP("*"&amp;'Output annual'!$AC$2&amp;'Output annual'!$AD$2&amp;"*FangerPMV(Hourly)",'Eplus results'!$1:$1048576,ROW(),FALSE)</f>
        <v>0</v>
      </c>
      <c r="AD4645" s="580">
        <f t="shared" si="396"/>
        <v>5</v>
      </c>
      <c r="AE4645" s="580">
        <f t="shared" si="397"/>
        <v>2.5</v>
      </c>
      <c r="AF4645" s="580">
        <f t="shared" si="398"/>
        <v>2.5</v>
      </c>
      <c r="AG4645" s="580">
        <f t="shared" si="399"/>
        <v>0</v>
      </c>
      <c r="AH4645" s="580">
        <f t="shared" si="400"/>
        <v>0</v>
      </c>
    </row>
    <row r="4646" spans="28:34">
      <c r="AB4646" s="580">
        <f>HLOOKUP("*"&amp;'Output annual'!$AC$2&amp;'Output annual'!$AD$2&amp;"*Zone People Number Of Occupants [](Hourly)",'Eplus results'!$1:$1048576,ROW(),FALSE)</f>
        <v>0</v>
      </c>
      <c r="AC4646" s="580">
        <f>HLOOKUP("*"&amp;'Output annual'!$AC$2&amp;'Output annual'!$AD$2&amp;"*FangerPMV(Hourly)",'Eplus results'!$1:$1048576,ROW(),FALSE)</f>
        <v>0</v>
      </c>
      <c r="AD4646" s="580">
        <f t="shared" si="396"/>
        <v>5</v>
      </c>
      <c r="AE4646" s="580">
        <f t="shared" si="397"/>
        <v>2.5</v>
      </c>
      <c r="AF4646" s="580">
        <f t="shared" si="398"/>
        <v>2.5</v>
      </c>
      <c r="AG4646" s="580">
        <f t="shared" si="399"/>
        <v>0</v>
      </c>
      <c r="AH4646" s="580">
        <f t="shared" si="400"/>
        <v>0</v>
      </c>
    </row>
    <row r="4647" spans="28:34">
      <c r="AB4647" s="580">
        <f>HLOOKUP("*"&amp;'Output annual'!$AC$2&amp;'Output annual'!$AD$2&amp;"*Zone People Number Of Occupants [](Hourly)",'Eplus results'!$1:$1048576,ROW(),FALSE)</f>
        <v>0</v>
      </c>
      <c r="AC4647" s="580">
        <f>HLOOKUP("*"&amp;'Output annual'!$AC$2&amp;'Output annual'!$AD$2&amp;"*FangerPMV(Hourly)",'Eplus results'!$1:$1048576,ROW(),FALSE)</f>
        <v>0</v>
      </c>
      <c r="AD4647" s="580">
        <f t="shared" si="396"/>
        <v>5</v>
      </c>
      <c r="AE4647" s="580">
        <f t="shared" si="397"/>
        <v>2.5</v>
      </c>
      <c r="AF4647" s="580">
        <f t="shared" si="398"/>
        <v>2.5</v>
      </c>
      <c r="AG4647" s="580">
        <f t="shared" si="399"/>
        <v>0</v>
      </c>
      <c r="AH4647" s="580">
        <f t="shared" si="400"/>
        <v>0</v>
      </c>
    </row>
    <row r="4648" spans="28:34">
      <c r="AB4648" s="580">
        <f>HLOOKUP("*"&amp;'Output annual'!$AC$2&amp;'Output annual'!$AD$2&amp;"*Zone People Number Of Occupants [](Hourly)",'Eplus results'!$1:$1048576,ROW(),FALSE)</f>
        <v>0</v>
      </c>
      <c r="AC4648" s="580">
        <f>HLOOKUP("*"&amp;'Output annual'!$AC$2&amp;'Output annual'!$AD$2&amp;"*FangerPMV(Hourly)",'Eplus results'!$1:$1048576,ROW(),FALSE)</f>
        <v>0</v>
      </c>
      <c r="AD4648" s="580">
        <f t="shared" si="396"/>
        <v>5</v>
      </c>
      <c r="AE4648" s="580">
        <f t="shared" si="397"/>
        <v>2.5</v>
      </c>
      <c r="AF4648" s="580">
        <f t="shared" si="398"/>
        <v>2.5</v>
      </c>
      <c r="AG4648" s="580">
        <f t="shared" si="399"/>
        <v>0</v>
      </c>
      <c r="AH4648" s="580">
        <f t="shared" si="400"/>
        <v>0</v>
      </c>
    </row>
    <row r="4649" spans="28:34">
      <c r="AB4649" s="580">
        <f>HLOOKUP("*"&amp;'Output annual'!$AC$2&amp;'Output annual'!$AD$2&amp;"*Zone People Number Of Occupants [](Hourly)",'Eplus results'!$1:$1048576,ROW(),FALSE)</f>
        <v>0</v>
      </c>
      <c r="AC4649" s="580">
        <f>HLOOKUP("*"&amp;'Output annual'!$AC$2&amp;'Output annual'!$AD$2&amp;"*FangerPMV(Hourly)",'Eplus results'!$1:$1048576,ROW(),FALSE)</f>
        <v>0</v>
      </c>
      <c r="AD4649" s="580">
        <f t="shared" si="396"/>
        <v>5</v>
      </c>
      <c r="AE4649" s="580">
        <f t="shared" si="397"/>
        <v>2.5</v>
      </c>
      <c r="AF4649" s="580">
        <f t="shared" si="398"/>
        <v>2.5</v>
      </c>
      <c r="AG4649" s="580">
        <f t="shared" si="399"/>
        <v>0</v>
      </c>
      <c r="AH4649" s="580">
        <f t="shared" si="400"/>
        <v>0</v>
      </c>
    </row>
    <row r="4650" spans="28:34">
      <c r="AB4650" s="580">
        <f>HLOOKUP("*"&amp;'Output annual'!$AC$2&amp;'Output annual'!$AD$2&amp;"*Zone People Number Of Occupants [](Hourly)",'Eplus results'!$1:$1048576,ROW(),FALSE)</f>
        <v>0</v>
      </c>
      <c r="AC4650" s="580">
        <f>HLOOKUP("*"&amp;'Output annual'!$AC$2&amp;'Output annual'!$AD$2&amp;"*FangerPMV(Hourly)",'Eplus results'!$1:$1048576,ROW(),FALSE)</f>
        <v>0</v>
      </c>
      <c r="AD4650" s="580">
        <f t="shared" si="396"/>
        <v>5</v>
      </c>
      <c r="AE4650" s="580">
        <f t="shared" si="397"/>
        <v>2.5</v>
      </c>
      <c r="AF4650" s="580">
        <f t="shared" si="398"/>
        <v>2.5</v>
      </c>
      <c r="AG4650" s="580">
        <f t="shared" si="399"/>
        <v>0</v>
      </c>
      <c r="AH4650" s="580">
        <f t="shared" si="400"/>
        <v>0</v>
      </c>
    </row>
    <row r="4651" spans="28:34">
      <c r="AB4651" s="580">
        <f>HLOOKUP("*"&amp;'Output annual'!$AC$2&amp;'Output annual'!$AD$2&amp;"*Zone People Number Of Occupants [](Hourly)",'Eplus results'!$1:$1048576,ROW(),FALSE)</f>
        <v>0</v>
      </c>
      <c r="AC4651" s="580">
        <f>HLOOKUP("*"&amp;'Output annual'!$AC$2&amp;'Output annual'!$AD$2&amp;"*FangerPMV(Hourly)",'Eplus results'!$1:$1048576,ROW(),FALSE)</f>
        <v>0</v>
      </c>
      <c r="AD4651" s="580">
        <f t="shared" si="396"/>
        <v>5</v>
      </c>
      <c r="AE4651" s="580">
        <f t="shared" si="397"/>
        <v>2.5</v>
      </c>
      <c r="AF4651" s="580">
        <f t="shared" si="398"/>
        <v>2.5</v>
      </c>
      <c r="AG4651" s="580">
        <f t="shared" si="399"/>
        <v>0</v>
      </c>
      <c r="AH4651" s="580">
        <f t="shared" si="400"/>
        <v>0</v>
      </c>
    </row>
    <row r="4652" spans="28:34">
      <c r="AB4652" s="580">
        <f>HLOOKUP("*"&amp;'Output annual'!$AC$2&amp;'Output annual'!$AD$2&amp;"*Zone People Number Of Occupants [](Hourly)",'Eplus results'!$1:$1048576,ROW(),FALSE)</f>
        <v>0</v>
      </c>
      <c r="AC4652" s="580">
        <f>HLOOKUP("*"&amp;'Output annual'!$AC$2&amp;'Output annual'!$AD$2&amp;"*FangerPMV(Hourly)",'Eplus results'!$1:$1048576,ROW(),FALSE)</f>
        <v>0</v>
      </c>
      <c r="AD4652" s="580">
        <f t="shared" si="396"/>
        <v>5</v>
      </c>
      <c r="AE4652" s="580">
        <f t="shared" si="397"/>
        <v>2.5</v>
      </c>
      <c r="AF4652" s="580">
        <f t="shared" si="398"/>
        <v>2.5</v>
      </c>
      <c r="AG4652" s="580">
        <f t="shared" si="399"/>
        <v>0</v>
      </c>
      <c r="AH4652" s="580">
        <f t="shared" si="400"/>
        <v>0</v>
      </c>
    </row>
    <row r="4653" spans="28:34">
      <c r="AB4653" s="580">
        <f>HLOOKUP("*"&amp;'Output annual'!$AC$2&amp;'Output annual'!$AD$2&amp;"*Zone People Number Of Occupants [](Hourly)",'Eplus results'!$1:$1048576,ROW(),FALSE)</f>
        <v>0</v>
      </c>
      <c r="AC4653" s="580">
        <f>HLOOKUP("*"&amp;'Output annual'!$AC$2&amp;'Output annual'!$AD$2&amp;"*FangerPMV(Hourly)",'Eplus results'!$1:$1048576,ROW(),FALSE)</f>
        <v>0</v>
      </c>
      <c r="AD4653" s="580">
        <f t="shared" si="396"/>
        <v>5</v>
      </c>
      <c r="AE4653" s="580">
        <f t="shared" si="397"/>
        <v>2.5</v>
      </c>
      <c r="AF4653" s="580">
        <f t="shared" si="398"/>
        <v>2.5</v>
      </c>
      <c r="AG4653" s="580">
        <f t="shared" si="399"/>
        <v>0</v>
      </c>
      <c r="AH4653" s="580">
        <f t="shared" si="400"/>
        <v>0</v>
      </c>
    </row>
    <row r="4654" spans="28:34">
      <c r="AB4654" s="580">
        <f>HLOOKUP("*"&amp;'Output annual'!$AC$2&amp;'Output annual'!$AD$2&amp;"*Zone People Number Of Occupants [](Hourly)",'Eplus results'!$1:$1048576,ROW(),FALSE)</f>
        <v>0</v>
      </c>
      <c r="AC4654" s="580">
        <f>HLOOKUP("*"&amp;'Output annual'!$AC$2&amp;'Output annual'!$AD$2&amp;"*FangerPMV(Hourly)",'Eplus results'!$1:$1048576,ROW(),FALSE)</f>
        <v>0</v>
      </c>
      <c r="AD4654" s="580">
        <f t="shared" si="396"/>
        <v>5</v>
      </c>
      <c r="AE4654" s="580">
        <f t="shared" si="397"/>
        <v>2.5</v>
      </c>
      <c r="AF4654" s="580">
        <f t="shared" si="398"/>
        <v>2.5</v>
      </c>
      <c r="AG4654" s="580">
        <f t="shared" si="399"/>
        <v>0</v>
      </c>
      <c r="AH4654" s="580">
        <f t="shared" si="400"/>
        <v>0</v>
      </c>
    </row>
    <row r="4655" spans="28:34">
      <c r="AB4655" s="580">
        <f>HLOOKUP("*"&amp;'Output annual'!$AC$2&amp;'Output annual'!$AD$2&amp;"*Zone People Number Of Occupants [](Hourly)",'Eplus results'!$1:$1048576,ROW(),FALSE)</f>
        <v>0</v>
      </c>
      <c r="AC4655" s="580">
        <f>HLOOKUP("*"&amp;'Output annual'!$AC$2&amp;'Output annual'!$AD$2&amp;"*FangerPMV(Hourly)",'Eplus results'!$1:$1048576,ROW(),FALSE)</f>
        <v>0</v>
      </c>
      <c r="AD4655" s="580">
        <f t="shared" si="396"/>
        <v>5</v>
      </c>
      <c r="AE4655" s="580">
        <f t="shared" si="397"/>
        <v>2.5</v>
      </c>
      <c r="AF4655" s="580">
        <f t="shared" si="398"/>
        <v>2.5</v>
      </c>
      <c r="AG4655" s="580">
        <f t="shared" si="399"/>
        <v>0</v>
      </c>
      <c r="AH4655" s="580">
        <f t="shared" si="400"/>
        <v>0</v>
      </c>
    </row>
    <row r="4656" spans="28:34">
      <c r="AB4656" s="580">
        <f>HLOOKUP("*"&amp;'Output annual'!$AC$2&amp;'Output annual'!$AD$2&amp;"*Zone People Number Of Occupants [](Hourly)",'Eplus results'!$1:$1048576,ROW(),FALSE)</f>
        <v>0</v>
      </c>
      <c r="AC4656" s="580">
        <f>HLOOKUP("*"&amp;'Output annual'!$AC$2&amp;'Output annual'!$AD$2&amp;"*FangerPMV(Hourly)",'Eplus results'!$1:$1048576,ROW(),FALSE)</f>
        <v>0</v>
      </c>
      <c r="AD4656" s="580">
        <f t="shared" si="396"/>
        <v>5</v>
      </c>
      <c r="AE4656" s="580">
        <f t="shared" si="397"/>
        <v>2.5</v>
      </c>
      <c r="AF4656" s="580">
        <f t="shared" si="398"/>
        <v>2.5</v>
      </c>
      <c r="AG4656" s="580">
        <f t="shared" si="399"/>
        <v>0</v>
      </c>
      <c r="AH4656" s="580">
        <f t="shared" si="400"/>
        <v>0</v>
      </c>
    </row>
    <row r="4657" spans="28:34">
      <c r="AB4657" s="580">
        <f>HLOOKUP("*"&amp;'Output annual'!$AC$2&amp;'Output annual'!$AD$2&amp;"*Zone People Number Of Occupants [](Hourly)",'Eplus results'!$1:$1048576,ROW(),FALSE)</f>
        <v>0</v>
      </c>
      <c r="AC4657" s="580">
        <f>HLOOKUP("*"&amp;'Output annual'!$AC$2&amp;'Output annual'!$AD$2&amp;"*FangerPMV(Hourly)",'Eplus results'!$1:$1048576,ROW(),FALSE)</f>
        <v>0</v>
      </c>
      <c r="AD4657" s="580">
        <f t="shared" si="396"/>
        <v>5</v>
      </c>
      <c r="AE4657" s="580">
        <f t="shared" si="397"/>
        <v>2.5</v>
      </c>
      <c r="AF4657" s="580">
        <f t="shared" si="398"/>
        <v>2.5</v>
      </c>
      <c r="AG4657" s="580">
        <f t="shared" si="399"/>
        <v>0</v>
      </c>
      <c r="AH4657" s="580">
        <f t="shared" si="400"/>
        <v>0</v>
      </c>
    </row>
    <row r="4658" spans="28:34">
      <c r="AB4658" s="580">
        <f>HLOOKUP("*"&amp;'Output annual'!$AC$2&amp;'Output annual'!$AD$2&amp;"*Zone People Number Of Occupants [](Hourly)",'Eplus results'!$1:$1048576,ROW(),FALSE)</f>
        <v>0</v>
      </c>
      <c r="AC4658" s="580">
        <f>HLOOKUP("*"&amp;'Output annual'!$AC$2&amp;'Output annual'!$AD$2&amp;"*FangerPMV(Hourly)",'Eplus results'!$1:$1048576,ROW(),FALSE)</f>
        <v>0</v>
      </c>
      <c r="AD4658" s="580">
        <f t="shared" si="396"/>
        <v>5</v>
      </c>
      <c r="AE4658" s="580">
        <f t="shared" si="397"/>
        <v>2.5</v>
      </c>
      <c r="AF4658" s="580">
        <f t="shared" si="398"/>
        <v>2.5</v>
      </c>
      <c r="AG4658" s="580">
        <f t="shared" si="399"/>
        <v>0</v>
      </c>
      <c r="AH4658" s="580">
        <f t="shared" si="400"/>
        <v>0</v>
      </c>
    </row>
    <row r="4659" spans="28:34">
      <c r="AB4659" s="580">
        <f>HLOOKUP("*"&amp;'Output annual'!$AC$2&amp;'Output annual'!$AD$2&amp;"*Zone People Number Of Occupants [](Hourly)",'Eplus results'!$1:$1048576,ROW(),FALSE)</f>
        <v>0</v>
      </c>
      <c r="AC4659" s="580">
        <f>HLOOKUP("*"&amp;'Output annual'!$AC$2&amp;'Output annual'!$AD$2&amp;"*FangerPMV(Hourly)",'Eplus results'!$1:$1048576,ROW(),FALSE)</f>
        <v>0</v>
      </c>
      <c r="AD4659" s="580">
        <f t="shared" si="396"/>
        <v>5</v>
      </c>
      <c r="AE4659" s="580">
        <f t="shared" si="397"/>
        <v>2.5</v>
      </c>
      <c r="AF4659" s="580">
        <f t="shared" si="398"/>
        <v>2.5</v>
      </c>
      <c r="AG4659" s="580">
        <f t="shared" si="399"/>
        <v>0</v>
      </c>
      <c r="AH4659" s="580">
        <f t="shared" si="400"/>
        <v>0</v>
      </c>
    </row>
    <row r="4660" spans="28:34">
      <c r="AB4660" s="580">
        <f>HLOOKUP("*"&amp;'Output annual'!$AC$2&amp;'Output annual'!$AD$2&amp;"*Zone People Number Of Occupants [](Hourly)",'Eplus results'!$1:$1048576,ROW(),FALSE)</f>
        <v>0</v>
      </c>
      <c r="AC4660" s="580">
        <f>HLOOKUP("*"&amp;'Output annual'!$AC$2&amp;'Output annual'!$AD$2&amp;"*FangerPMV(Hourly)",'Eplus results'!$1:$1048576,ROW(),FALSE)</f>
        <v>0</v>
      </c>
      <c r="AD4660" s="580">
        <f t="shared" si="396"/>
        <v>5</v>
      </c>
      <c r="AE4660" s="580">
        <f t="shared" si="397"/>
        <v>2.5</v>
      </c>
      <c r="AF4660" s="580">
        <f t="shared" si="398"/>
        <v>2.5</v>
      </c>
      <c r="AG4660" s="580">
        <f t="shared" si="399"/>
        <v>0</v>
      </c>
      <c r="AH4660" s="580">
        <f t="shared" si="400"/>
        <v>0</v>
      </c>
    </row>
    <row r="4661" spans="28:34">
      <c r="AB4661" s="580">
        <f>HLOOKUP("*"&amp;'Output annual'!$AC$2&amp;'Output annual'!$AD$2&amp;"*Zone People Number Of Occupants [](Hourly)",'Eplus results'!$1:$1048576,ROW(),FALSE)</f>
        <v>0</v>
      </c>
      <c r="AC4661" s="580">
        <f>HLOOKUP("*"&amp;'Output annual'!$AC$2&amp;'Output annual'!$AD$2&amp;"*FangerPMV(Hourly)",'Eplus results'!$1:$1048576,ROW(),FALSE)</f>
        <v>0</v>
      </c>
      <c r="AD4661" s="580">
        <f t="shared" si="396"/>
        <v>5</v>
      </c>
      <c r="AE4661" s="580">
        <f t="shared" si="397"/>
        <v>2.5</v>
      </c>
      <c r="AF4661" s="580">
        <f t="shared" si="398"/>
        <v>2.5</v>
      </c>
      <c r="AG4661" s="580">
        <f t="shared" si="399"/>
        <v>0</v>
      </c>
      <c r="AH4661" s="580">
        <f t="shared" si="400"/>
        <v>0</v>
      </c>
    </row>
    <row r="4662" spans="28:34">
      <c r="AB4662" s="580">
        <f>HLOOKUP("*"&amp;'Output annual'!$AC$2&amp;'Output annual'!$AD$2&amp;"*Zone People Number Of Occupants [](Hourly)",'Eplus results'!$1:$1048576,ROW(),FALSE)</f>
        <v>0</v>
      </c>
      <c r="AC4662" s="580">
        <f>HLOOKUP("*"&amp;'Output annual'!$AC$2&amp;'Output annual'!$AD$2&amp;"*FangerPMV(Hourly)",'Eplus results'!$1:$1048576,ROW(),FALSE)</f>
        <v>0</v>
      </c>
      <c r="AD4662" s="580">
        <f t="shared" si="396"/>
        <v>5</v>
      </c>
      <c r="AE4662" s="580">
        <f t="shared" si="397"/>
        <v>2.5</v>
      </c>
      <c r="AF4662" s="580">
        <f t="shared" si="398"/>
        <v>2.5</v>
      </c>
      <c r="AG4662" s="580">
        <f t="shared" si="399"/>
        <v>0</v>
      </c>
      <c r="AH4662" s="580">
        <f t="shared" si="400"/>
        <v>0</v>
      </c>
    </row>
    <row r="4663" spans="28:34">
      <c r="AB4663" s="580">
        <f>HLOOKUP("*"&amp;'Output annual'!$AC$2&amp;'Output annual'!$AD$2&amp;"*Zone People Number Of Occupants [](Hourly)",'Eplus results'!$1:$1048576,ROW(),FALSE)</f>
        <v>0</v>
      </c>
      <c r="AC4663" s="580">
        <f>HLOOKUP("*"&amp;'Output annual'!$AC$2&amp;'Output annual'!$AD$2&amp;"*FangerPMV(Hourly)",'Eplus results'!$1:$1048576,ROW(),FALSE)</f>
        <v>0</v>
      </c>
      <c r="AD4663" s="580">
        <f t="shared" si="396"/>
        <v>5</v>
      </c>
      <c r="AE4663" s="580">
        <f t="shared" si="397"/>
        <v>2.5</v>
      </c>
      <c r="AF4663" s="580">
        <f t="shared" si="398"/>
        <v>2.5</v>
      </c>
      <c r="AG4663" s="580">
        <f t="shared" si="399"/>
        <v>0</v>
      </c>
      <c r="AH4663" s="580">
        <f t="shared" si="400"/>
        <v>0</v>
      </c>
    </row>
    <row r="4664" spans="28:34">
      <c r="AB4664" s="580">
        <f>HLOOKUP("*"&amp;'Output annual'!$AC$2&amp;'Output annual'!$AD$2&amp;"*Zone People Number Of Occupants [](Hourly)",'Eplus results'!$1:$1048576,ROW(),FALSE)</f>
        <v>0</v>
      </c>
      <c r="AC4664" s="580">
        <f>HLOOKUP("*"&amp;'Output annual'!$AC$2&amp;'Output annual'!$AD$2&amp;"*FangerPMV(Hourly)",'Eplus results'!$1:$1048576,ROW(),FALSE)</f>
        <v>0</v>
      </c>
      <c r="AD4664" s="580">
        <f t="shared" si="396"/>
        <v>5</v>
      </c>
      <c r="AE4664" s="580">
        <f t="shared" si="397"/>
        <v>2.5</v>
      </c>
      <c r="AF4664" s="580">
        <f t="shared" si="398"/>
        <v>2.5</v>
      </c>
      <c r="AG4664" s="580">
        <f t="shared" si="399"/>
        <v>0</v>
      </c>
      <c r="AH4664" s="580">
        <f t="shared" si="400"/>
        <v>0</v>
      </c>
    </row>
    <row r="4665" spans="28:34">
      <c r="AB4665" s="580">
        <f>HLOOKUP("*"&amp;'Output annual'!$AC$2&amp;'Output annual'!$AD$2&amp;"*Zone People Number Of Occupants [](Hourly)",'Eplus results'!$1:$1048576,ROW(),FALSE)</f>
        <v>0</v>
      </c>
      <c r="AC4665" s="580">
        <f>HLOOKUP("*"&amp;'Output annual'!$AC$2&amp;'Output annual'!$AD$2&amp;"*FangerPMV(Hourly)",'Eplus results'!$1:$1048576,ROW(),FALSE)</f>
        <v>0</v>
      </c>
      <c r="AD4665" s="580">
        <f t="shared" si="396"/>
        <v>5</v>
      </c>
      <c r="AE4665" s="580">
        <f t="shared" si="397"/>
        <v>2.5</v>
      </c>
      <c r="AF4665" s="580">
        <f t="shared" si="398"/>
        <v>2.5</v>
      </c>
      <c r="AG4665" s="580">
        <f t="shared" si="399"/>
        <v>0</v>
      </c>
      <c r="AH4665" s="580">
        <f t="shared" si="400"/>
        <v>0</v>
      </c>
    </row>
    <row r="4666" spans="28:34">
      <c r="AB4666" s="580">
        <f>HLOOKUP("*"&amp;'Output annual'!$AC$2&amp;'Output annual'!$AD$2&amp;"*Zone People Number Of Occupants [](Hourly)",'Eplus results'!$1:$1048576,ROW(),FALSE)</f>
        <v>0</v>
      </c>
      <c r="AC4666" s="580">
        <f>HLOOKUP("*"&amp;'Output annual'!$AC$2&amp;'Output annual'!$AD$2&amp;"*FangerPMV(Hourly)",'Eplus results'!$1:$1048576,ROW(),FALSE)</f>
        <v>0</v>
      </c>
      <c r="AD4666" s="580">
        <f t="shared" si="396"/>
        <v>5</v>
      </c>
      <c r="AE4666" s="580">
        <f t="shared" si="397"/>
        <v>2.5</v>
      </c>
      <c r="AF4666" s="580">
        <f t="shared" si="398"/>
        <v>2.5</v>
      </c>
      <c r="AG4666" s="580">
        <f t="shared" si="399"/>
        <v>0</v>
      </c>
      <c r="AH4666" s="580">
        <f t="shared" si="400"/>
        <v>0</v>
      </c>
    </row>
    <row r="4667" spans="28:34">
      <c r="AB4667" s="580">
        <f>HLOOKUP("*"&amp;'Output annual'!$AC$2&amp;'Output annual'!$AD$2&amp;"*Zone People Number Of Occupants [](Hourly)",'Eplus results'!$1:$1048576,ROW(),FALSE)</f>
        <v>0</v>
      </c>
      <c r="AC4667" s="580">
        <f>HLOOKUP("*"&amp;'Output annual'!$AC$2&amp;'Output annual'!$AD$2&amp;"*FangerPMV(Hourly)",'Eplus results'!$1:$1048576,ROW(),FALSE)</f>
        <v>0</v>
      </c>
      <c r="AD4667" s="580">
        <f t="shared" si="396"/>
        <v>5</v>
      </c>
      <c r="AE4667" s="580">
        <f t="shared" si="397"/>
        <v>2.5</v>
      </c>
      <c r="AF4667" s="580">
        <f t="shared" si="398"/>
        <v>2.5</v>
      </c>
      <c r="AG4667" s="580">
        <f t="shared" si="399"/>
        <v>0</v>
      </c>
      <c r="AH4667" s="580">
        <f t="shared" si="400"/>
        <v>0</v>
      </c>
    </row>
    <row r="4668" spans="28:34">
      <c r="AB4668" s="580">
        <f>HLOOKUP("*"&amp;'Output annual'!$AC$2&amp;'Output annual'!$AD$2&amp;"*Zone People Number Of Occupants [](Hourly)",'Eplus results'!$1:$1048576,ROW(),FALSE)</f>
        <v>0</v>
      </c>
      <c r="AC4668" s="580">
        <f>HLOOKUP("*"&amp;'Output annual'!$AC$2&amp;'Output annual'!$AD$2&amp;"*FangerPMV(Hourly)",'Eplus results'!$1:$1048576,ROW(),FALSE)</f>
        <v>0</v>
      </c>
      <c r="AD4668" s="580">
        <f t="shared" si="396"/>
        <v>5</v>
      </c>
      <c r="AE4668" s="580">
        <f t="shared" si="397"/>
        <v>2.5</v>
      </c>
      <c r="AF4668" s="580">
        <f t="shared" si="398"/>
        <v>2.5</v>
      </c>
      <c r="AG4668" s="580">
        <f t="shared" si="399"/>
        <v>0</v>
      </c>
      <c r="AH4668" s="580">
        <f t="shared" si="400"/>
        <v>0</v>
      </c>
    </row>
    <row r="4669" spans="28:34">
      <c r="AB4669" s="580">
        <f>HLOOKUP("*"&amp;'Output annual'!$AC$2&amp;'Output annual'!$AD$2&amp;"*Zone People Number Of Occupants [](Hourly)",'Eplus results'!$1:$1048576,ROW(),FALSE)</f>
        <v>0</v>
      </c>
      <c r="AC4669" s="580">
        <f>HLOOKUP("*"&amp;'Output annual'!$AC$2&amp;'Output annual'!$AD$2&amp;"*FangerPMV(Hourly)",'Eplus results'!$1:$1048576,ROW(),FALSE)</f>
        <v>0</v>
      </c>
      <c r="AD4669" s="580">
        <f t="shared" si="396"/>
        <v>5</v>
      </c>
      <c r="AE4669" s="580">
        <f t="shared" si="397"/>
        <v>2.5</v>
      </c>
      <c r="AF4669" s="580">
        <f t="shared" si="398"/>
        <v>2.5</v>
      </c>
      <c r="AG4669" s="580">
        <f t="shared" si="399"/>
        <v>0</v>
      </c>
      <c r="AH4669" s="580">
        <f t="shared" si="400"/>
        <v>0</v>
      </c>
    </row>
    <row r="4670" spans="28:34">
      <c r="AB4670" s="580">
        <f>HLOOKUP("*"&amp;'Output annual'!$AC$2&amp;'Output annual'!$AD$2&amp;"*Zone People Number Of Occupants [](Hourly)",'Eplus results'!$1:$1048576,ROW(),FALSE)</f>
        <v>0</v>
      </c>
      <c r="AC4670" s="580">
        <f>HLOOKUP("*"&amp;'Output annual'!$AC$2&amp;'Output annual'!$AD$2&amp;"*FangerPMV(Hourly)",'Eplus results'!$1:$1048576,ROW(),FALSE)</f>
        <v>0</v>
      </c>
      <c r="AD4670" s="580">
        <f t="shared" si="396"/>
        <v>5</v>
      </c>
      <c r="AE4670" s="580">
        <f t="shared" si="397"/>
        <v>2.5</v>
      </c>
      <c r="AF4670" s="580">
        <f t="shared" si="398"/>
        <v>2.5</v>
      </c>
      <c r="AG4670" s="580">
        <f t="shared" si="399"/>
        <v>0</v>
      </c>
      <c r="AH4670" s="580">
        <f t="shared" si="400"/>
        <v>0</v>
      </c>
    </row>
    <row r="4671" spans="28:34">
      <c r="AB4671" s="580">
        <f>HLOOKUP("*"&amp;'Output annual'!$AC$2&amp;'Output annual'!$AD$2&amp;"*Zone People Number Of Occupants [](Hourly)",'Eplus results'!$1:$1048576,ROW(),FALSE)</f>
        <v>0</v>
      </c>
      <c r="AC4671" s="580">
        <f>HLOOKUP("*"&amp;'Output annual'!$AC$2&amp;'Output annual'!$AD$2&amp;"*FangerPMV(Hourly)",'Eplus results'!$1:$1048576,ROW(),FALSE)</f>
        <v>0</v>
      </c>
      <c r="AD4671" s="580">
        <f t="shared" si="396"/>
        <v>5</v>
      </c>
      <c r="AE4671" s="580">
        <f t="shared" si="397"/>
        <v>2.5</v>
      </c>
      <c r="AF4671" s="580">
        <f t="shared" si="398"/>
        <v>2.5</v>
      </c>
      <c r="AG4671" s="580">
        <f t="shared" si="399"/>
        <v>0</v>
      </c>
      <c r="AH4671" s="580">
        <f t="shared" si="400"/>
        <v>0</v>
      </c>
    </row>
    <row r="4672" spans="28:34">
      <c r="AB4672" s="580">
        <f>HLOOKUP("*"&amp;'Output annual'!$AC$2&amp;'Output annual'!$AD$2&amp;"*Zone People Number Of Occupants [](Hourly)",'Eplus results'!$1:$1048576,ROW(),FALSE)</f>
        <v>0</v>
      </c>
      <c r="AC4672" s="580">
        <f>HLOOKUP("*"&amp;'Output annual'!$AC$2&amp;'Output annual'!$AD$2&amp;"*FangerPMV(Hourly)",'Eplus results'!$1:$1048576,ROW(),FALSE)</f>
        <v>0</v>
      </c>
      <c r="AD4672" s="580">
        <f t="shared" si="396"/>
        <v>5</v>
      </c>
      <c r="AE4672" s="580">
        <f t="shared" si="397"/>
        <v>2.5</v>
      </c>
      <c r="AF4672" s="580">
        <f t="shared" si="398"/>
        <v>2.5</v>
      </c>
      <c r="AG4672" s="580">
        <f t="shared" si="399"/>
        <v>0</v>
      </c>
      <c r="AH4672" s="580">
        <f t="shared" si="400"/>
        <v>0</v>
      </c>
    </row>
    <row r="4673" spans="28:34">
      <c r="AB4673" s="580">
        <f>HLOOKUP("*"&amp;'Output annual'!$AC$2&amp;'Output annual'!$AD$2&amp;"*Zone People Number Of Occupants [](Hourly)",'Eplus results'!$1:$1048576,ROW(),FALSE)</f>
        <v>0</v>
      </c>
      <c r="AC4673" s="580">
        <f>HLOOKUP("*"&amp;'Output annual'!$AC$2&amp;'Output annual'!$AD$2&amp;"*FangerPMV(Hourly)",'Eplus results'!$1:$1048576,ROW(),FALSE)</f>
        <v>0</v>
      </c>
      <c r="AD4673" s="580">
        <f t="shared" si="396"/>
        <v>5</v>
      </c>
      <c r="AE4673" s="580">
        <f t="shared" si="397"/>
        <v>2.5</v>
      </c>
      <c r="AF4673" s="580">
        <f t="shared" si="398"/>
        <v>2.5</v>
      </c>
      <c r="AG4673" s="580">
        <f t="shared" si="399"/>
        <v>0</v>
      </c>
      <c r="AH4673" s="580">
        <f t="shared" si="400"/>
        <v>0</v>
      </c>
    </row>
    <row r="4674" spans="28:34">
      <c r="AB4674" s="580">
        <f>HLOOKUP("*"&amp;'Output annual'!$AC$2&amp;'Output annual'!$AD$2&amp;"*Zone People Number Of Occupants [](Hourly)",'Eplus results'!$1:$1048576,ROW(),FALSE)</f>
        <v>0</v>
      </c>
      <c r="AC4674" s="580">
        <f>HLOOKUP("*"&amp;'Output annual'!$AC$2&amp;'Output annual'!$AD$2&amp;"*FangerPMV(Hourly)",'Eplus results'!$1:$1048576,ROW(),FALSE)</f>
        <v>0</v>
      </c>
      <c r="AD4674" s="580">
        <f t="shared" si="396"/>
        <v>5</v>
      </c>
      <c r="AE4674" s="580">
        <f t="shared" si="397"/>
        <v>2.5</v>
      </c>
      <c r="AF4674" s="580">
        <f t="shared" si="398"/>
        <v>2.5</v>
      </c>
      <c r="AG4674" s="580">
        <f t="shared" si="399"/>
        <v>0</v>
      </c>
      <c r="AH4674" s="580">
        <f t="shared" si="400"/>
        <v>0</v>
      </c>
    </row>
    <row r="4675" spans="28:34">
      <c r="AB4675" s="580">
        <f>HLOOKUP("*"&amp;'Output annual'!$AC$2&amp;'Output annual'!$AD$2&amp;"*Zone People Number Of Occupants [](Hourly)",'Eplus results'!$1:$1048576,ROW(),FALSE)</f>
        <v>0</v>
      </c>
      <c r="AC4675" s="580">
        <f>HLOOKUP("*"&amp;'Output annual'!$AC$2&amp;'Output annual'!$AD$2&amp;"*FangerPMV(Hourly)",'Eplus results'!$1:$1048576,ROW(),FALSE)</f>
        <v>0</v>
      </c>
      <c r="AD4675" s="580">
        <f t="shared" ref="AD4675:AD4738" si="401">100-95*EXP(-0.03353*AC4675^4-0.2179*AC4675^2)</f>
        <v>5</v>
      </c>
      <c r="AE4675" s="580">
        <f t="shared" ref="AE4675:AE4738" si="402">AD4675*(1/(1+EXP(-6.3*$AC4675)))</f>
        <v>2.5</v>
      </c>
      <c r="AF4675" s="580">
        <f t="shared" ref="AF4675:AF4738" si="403">(AD4675-AE4675)</f>
        <v>2.5</v>
      </c>
      <c r="AG4675" s="580">
        <f t="shared" ref="AG4675:AG4738" si="404">AE4675*AB4675</f>
        <v>0</v>
      </c>
      <c r="AH4675" s="580">
        <f t="shared" ref="AH4675:AH4738" si="405">AF4675*AB4675</f>
        <v>0</v>
      </c>
    </row>
    <row r="4676" spans="28:34">
      <c r="AB4676" s="580">
        <f>HLOOKUP("*"&amp;'Output annual'!$AC$2&amp;'Output annual'!$AD$2&amp;"*Zone People Number Of Occupants [](Hourly)",'Eplus results'!$1:$1048576,ROW(),FALSE)</f>
        <v>0</v>
      </c>
      <c r="AC4676" s="580">
        <f>HLOOKUP("*"&amp;'Output annual'!$AC$2&amp;'Output annual'!$AD$2&amp;"*FangerPMV(Hourly)",'Eplus results'!$1:$1048576,ROW(),FALSE)</f>
        <v>0</v>
      </c>
      <c r="AD4676" s="580">
        <f t="shared" si="401"/>
        <v>5</v>
      </c>
      <c r="AE4676" s="580">
        <f t="shared" si="402"/>
        <v>2.5</v>
      </c>
      <c r="AF4676" s="580">
        <f t="shared" si="403"/>
        <v>2.5</v>
      </c>
      <c r="AG4676" s="580">
        <f t="shared" si="404"/>
        <v>0</v>
      </c>
      <c r="AH4676" s="580">
        <f t="shared" si="405"/>
        <v>0</v>
      </c>
    </row>
    <row r="4677" spans="28:34">
      <c r="AB4677" s="580">
        <f>HLOOKUP("*"&amp;'Output annual'!$AC$2&amp;'Output annual'!$AD$2&amp;"*Zone People Number Of Occupants [](Hourly)",'Eplus results'!$1:$1048576,ROW(),FALSE)</f>
        <v>0</v>
      </c>
      <c r="AC4677" s="580">
        <f>HLOOKUP("*"&amp;'Output annual'!$AC$2&amp;'Output annual'!$AD$2&amp;"*FangerPMV(Hourly)",'Eplus results'!$1:$1048576,ROW(),FALSE)</f>
        <v>0</v>
      </c>
      <c r="AD4677" s="580">
        <f t="shared" si="401"/>
        <v>5</v>
      </c>
      <c r="AE4677" s="580">
        <f t="shared" si="402"/>
        <v>2.5</v>
      </c>
      <c r="AF4677" s="580">
        <f t="shared" si="403"/>
        <v>2.5</v>
      </c>
      <c r="AG4677" s="580">
        <f t="shared" si="404"/>
        <v>0</v>
      </c>
      <c r="AH4677" s="580">
        <f t="shared" si="405"/>
        <v>0</v>
      </c>
    </row>
    <row r="4678" spans="28:34">
      <c r="AB4678" s="580">
        <f>HLOOKUP("*"&amp;'Output annual'!$AC$2&amp;'Output annual'!$AD$2&amp;"*Zone People Number Of Occupants [](Hourly)",'Eplus results'!$1:$1048576,ROW(),FALSE)</f>
        <v>0</v>
      </c>
      <c r="AC4678" s="580">
        <f>HLOOKUP("*"&amp;'Output annual'!$AC$2&amp;'Output annual'!$AD$2&amp;"*FangerPMV(Hourly)",'Eplus results'!$1:$1048576,ROW(),FALSE)</f>
        <v>0</v>
      </c>
      <c r="AD4678" s="580">
        <f t="shared" si="401"/>
        <v>5</v>
      </c>
      <c r="AE4678" s="580">
        <f t="shared" si="402"/>
        <v>2.5</v>
      </c>
      <c r="AF4678" s="580">
        <f t="shared" si="403"/>
        <v>2.5</v>
      </c>
      <c r="AG4678" s="580">
        <f t="shared" si="404"/>
        <v>0</v>
      </c>
      <c r="AH4678" s="580">
        <f t="shared" si="405"/>
        <v>0</v>
      </c>
    </row>
    <row r="4679" spans="28:34">
      <c r="AB4679" s="580">
        <f>HLOOKUP("*"&amp;'Output annual'!$AC$2&amp;'Output annual'!$AD$2&amp;"*Zone People Number Of Occupants [](Hourly)",'Eplus results'!$1:$1048576,ROW(),FALSE)</f>
        <v>0</v>
      </c>
      <c r="AC4679" s="580">
        <f>HLOOKUP("*"&amp;'Output annual'!$AC$2&amp;'Output annual'!$AD$2&amp;"*FangerPMV(Hourly)",'Eplus results'!$1:$1048576,ROW(),FALSE)</f>
        <v>0</v>
      </c>
      <c r="AD4679" s="580">
        <f t="shared" si="401"/>
        <v>5</v>
      </c>
      <c r="AE4679" s="580">
        <f t="shared" si="402"/>
        <v>2.5</v>
      </c>
      <c r="AF4679" s="580">
        <f t="shared" si="403"/>
        <v>2.5</v>
      </c>
      <c r="AG4679" s="580">
        <f t="shared" si="404"/>
        <v>0</v>
      </c>
      <c r="AH4679" s="580">
        <f t="shared" si="405"/>
        <v>0</v>
      </c>
    </row>
    <row r="4680" spans="28:34">
      <c r="AB4680" s="580">
        <f>HLOOKUP("*"&amp;'Output annual'!$AC$2&amp;'Output annual'!$AD$2&amp;"*Zone People Number Of Occupants [](Hourly)",'Eplus results'!$1:$1048576,ROW(),FALSE)</f>
        <v>0</v>
      </c>
      <c r="AC4680" s="580">
        <f>HLOOKUP("*"&amp;'Output annual'!$AC$2&amp;'Output annual'!$AD$2&amp;"*FangerPMV(Hourly)",'Eplus results'!$1:$1048576,ROW(),FALSE)</f>
        <v>0</v>
      </c>
      <c r="AD4680" s="580">
        <f t="shared" si="401"/>
        <v>5</v>
      </c>
      <c r="AE4680" s="580">
        <f t="shared" si="402"/>
        <v>2.5</v>
      </c>
      <c r="AF4680" s="580">
        <f t="shared" si="403"/>
        <v>2.5</v>
      </c>
      <c r="AG4680" s="580">
        <f t="shared" si="404"/>
        <v>0</v>
      </c>
      <c r="AH4680" s="580">
        <f t="shared" si="405"/>
        <v>0</v>
      </c>
    </row>
    <row r="4681" spans="28:34">
      <c r="AB4681" s="580">
        <f>HLOOKUP("*"&amp;'Output annual'!$AC$2&amp;'Output annual'!$AD$2&amp;"*Zone People Number Of Occupants [](Hourly)",'Eplus results'!$1:$1048576,ROW(),FALSE)</f>
        <v>0</v>
      </c>
      <c r="AC4681" s="580">
        <f>HLOOKUP("*"&amp;'Output annual'!$AC$2&amp;'Output annual'!$AD$2&amp;"*FangerPMV(Hourly)",'Eplus results'!$1:$1048576,ROW(),FALSE)</f>
        <v>0</v>
      </c>
      <c r="AD4681" s="580">
        <f t="shared" si="401"/>
        <v>5</v>
      </c>
      <c r="AE4681" s="580">
        <f t="shared" si="402"/>
        <v>2.5</v>
      </c>
      <c r="AF4681" s="580">
        <f t="shared" si="403"/>
        <v>2.5</v>
      </c>
      <c r="AG4681" s="580">
        <f t="shared" si="404"/>
        <v>0</v>
      </c>
      <c r="AH4681" s="580">
        <f t="shared" si="405"/>
        <v>0</v>
      </c>
    </row>
    <row r="4682" spans="28:34">
      <c r="AB4682" s="580">
        <f>HLOOKUP("*"&amp;'Output annual'!$AC$2&amp;'Output annual'!$AD$2&amp;"*Zone People Number Of Occupants [](Hourly)",'Eplus results'!$1:$1048576,ROW(),FALSE)</f>
        <v>0</v>
      </c>
      <c r="AC4682" s="580">
        <f>HLOOKUP("*"&amp;'Output annual'!$AC$2&amp;'Output annual'!$AD$2&amp;"*FangerPMV(Hourly)",'Eplus results'!$1:$1048576,ROW(),FALSE)</f>
        <v>0</v>
      </c>
      <c r="AD4682" s="580">
        <f t="shared" si="401"/>
        <v>5</v>
      </c>
      <c r="AE4682" s="580">
        <f t="shared" si="402"/>
        <v>2.5</v>
      </c>
      <c r="AF4682" s="580">
        <f t="shared" si="403"/>
        <v>2.5</v>
      </c>
      <c r="AG4682" s="580">
        <f t="shared" si="404"/>
        <v>0</v>
      </c>
      <c r="AH4682" s="580">
        <f t="shared" si="405"/>
        <v>0</v>
      </c>
    </row>
    <row r="4683" spans="28:34">
      <c r="AB4683" s="580">
        <f>HLOOKUP("*"&amp;'Output annual'!$AC$2&amp;'Output annual'!$AD$2&amp;"*Zone People Number Of Occupants [](Hourly)",'Eplus results'!$1:$1048576,ROW(),FALSE)</f>
        <v>0</v>
      </c>
      <c r="AC4683" s="580">
        <f>HLOOKUP("*"&amp;'Output annual'!$AC$2&amp;'Output annual'!$AD$2&amp;"*FangerPMV(Hourly)",'Eplus results'!$1:$1048576,ROW(),FALSE)</f>
        <v>0</v>
      </c>
      <c r="AD4683" s="580">
        <f t="shared" si="401"/>
        <v>5</v>
      </c>
      <c r="AE4683" s="580">
        <f t="shared" si="402"/>
        <v>2.5</v>
      </c>
      <c r="AF4683" s="580">
        <f t="shared" si="403"/>
        <v>2.5</v>
      </c>
      <c r="AG4683" s="580">
        <f t="shared" si="404"/>
        <v>0</v>
      </c>
      <c r="AH4683" s="580">
        <f t="shared" si="405"/>
        <v>0</v>
      </c>
    </row>
    <row r="4684" spans="28:34">
      <c r="AB4684" s="580">
        <f>HLOOKUP("*"&amp;'Output annual'!$AC$2&amp;'Output annual'!$AD$2&amp;"*Zone People Number Of Occupants [](Hourly)",'Eplus results'!$1:$1048576,ROW(),FALSE)</f>
        <v>0</v>
      </c>
      <c r="AC4684" s="580">
        <f>HLOOKUP("*"&amp;'Output annual'!$AC$2&amp;'Output annual'!$AD$2&amp;"*FangerPMV(Hourly)",'Eplus results'!$1:$1048576,ROW(),FALSE)</f>
        <v>0</v>
      </c>
      <c r="AD4684" s="580">
        <f t="shared" si="401"/>
        <v>5</v>
      </c>
      <c r="AE4684" s="580">
        <f t="shared" si="402"/>
        <v>2.5</v>
      </c>
      <c r="AF4684" s="580">
        <f t="shared" si="403"/>
        <v>2.5</v>
      </c>
      <c r="AG4684" s="580">
        <f t="shared" si="404"/>
        <v>0</v>
      </c>
      <c r="AH4684" s="580">
        <f t="shared" si="405"/>
        <v>0</v>
      </c>
    </row>
    <row r="4685" spans="28:34">
      <c r="AB4685" s="580">
        <f>HLOOKUP("*"&amp;'Output annual'!$AC$2&amp;'Output annual'!$AD$2&amp;"*Zone People Number Of Occupants [](Hourly)",'Eplus results'!$1:$1048576,ROW(),FALSE)</f>
        <v>0</v>
      </c>
      <c r="AC4685" s="580">
        <f>HLOOKUP("*"&amp;'Output annual'!$AC$2&amp;'Output annual'!$AD$2&amp;"*FangerPMV(Hourly)",'Eplus results'!$1:$1048576,ROW(),FALSE)</f>
        <v>0</v>
      </c>
      <c r="AD4685" s="580">
        <f t="shared" si="401"/>
        <v>5</v>
      </c>
      <c r="AE4685" s="580">
        <f t="shared" si="402"/>
        <v>2.5</v>
      </c>
      <c r="AF4685" s="580">
        <f t="shared" si="403"/>
        <v>2.5</v>
      </c>
      <c r="AG4685" s="580">
        <f t="shared" si="404"/>
        <v>0</v>
      </c>
      <c r="AH4685" s="580">
        <f t="shared" si="405"/>
        <v>0</v>
      </c>
    </row>
    <row r="4686" spans="28:34">
      <c r="AB4686" s="580">
        <f>HLOOKUP("*"&amp;'Output annual'!$AC$2&amp;'Output annual'!$AD$2&amp;"*Zone People Number Of Occupants [](Hourly)",'Eplus results'!$1:$1048576,ROW(),FALSE)</f>
        <v>0</v>
      </c>
      <c r="AC4686" s="580">
        <f>HLOOKUP("*"&amp;'Output annual'!$AC$2&amp;'Output annual'!$AD$2&amp;"*FangerPMV(Hourly)",'Eplus results'!$1:$1048576,ROW(),FALSE)</f>
        <v>0</v>
      </c>
      <c r="AD4686" s="580">
        <f t="shared" si="401"/>
        <v>5</v>
      </c>
      <c r="AE4686" s="580">
        <f t="shared" si="402"/>
        <v>2.5</v>
      </c>
      <c r="AF4686" s="580">
        <f t="shared" si="403"/>
        <v>2.5</v>
      </c>
      <c r="AG4686" s="580">
        <f t="shared" si="404"/>
        <v>0</v>
      </c>
      <c r="AH4686" s="580">
        <f t="shared" si="405"/>
        <v>0</v>
      </c>
    </row>
    <row r="4687" spans="28:34">
      <c r="AB4687" s="580">
        <f>HLOOKUP("*"&amp;'Output annual'!$AC$2&amp;'Output annual'!$AD$2&amp;"*Zone People Number Of Occupants [](Hourly)",'Eplus results'!$1:$1048576,ROW(),FALSE)</f>
        <v>0</v>
      </c>
      <c r="AC4687" s="580">
        <f>HLOOKUP("*"&amp;'Output annual'!$AC$2&amp;'Output annual'!$AD$2&amp;"*FangerPMV(Hourly)",'Eplus results'!$1:$1048576,ROW(),FALSE)</f>
        <v>0</v>
      </c>
      <c r="AD4687" s="580">
        <f t="shared" si="401"/>
        <v>5</v>
      </c>
      <c r="AE4687" s="580">
        <f t="shared" si="402"/>
        <v>2.5</v>
      </c>
      <c r="AF4687" s="580">
        <f t="shared" si="403"/>
        <v>2.5</v>
      </c>
      <c r="AG4687" s="580">
        <f t="shared" si="404"/>
        <v>0</v>
      </c>
      <c r="AH4687" s="580">
        <f t="shared" si="405"/>
        <v>0</v>
      </c>
    </row>
    <row r="4688" spans="28:34">
      <c r="AB4688" s="580">
        <f>HLOOKUP("*"&amp;'Output annual'!$AC$2&amp;'Output annual'!$AD$2&amp;"*Zone People Number Of Occupants [](Hourly)",'Eplus results'!$1:$1048576,ROW(),FALSE)</f>
        <v>0</v>
      </c>
      <c r="AC4688" s="580">
        <f>HLOOKUP("*"&amp;'Output annual'!$AC$2&amp;'Output annual'!$AD$2&amp;"*FangerPMV(Hourly)",'Eplus results'!$1:$1048576,ROW(),FALSE)</f>
        <v>0</v>
      </c>
      <c r="AD4688" s="580">
        <f t="shared" si="401"/>
        <v>5</v>
      </c>
      <c r="AE4688" s="580">
        <f t="shared" si="402"/>
        <v>2.5</v>
      </c>
      <c r="AF4688" s="580">
        <f t="shared" si="403"/>
        <v>2.5</v>
      </c>
      <c r="AG4688" s="580">
        <f t="shared" si="404"/>
        <v>0</v>
      </c>
      <c r="AH4688" s="580">
        <f t="shared" si="405"/>
        <v>0</v>
      </c>
    </row>
    <row r="4689" spans="28:34">
      <c r="AB4689" s="580">
        <f>HLOOKUP("*"&amp;'Output annual'!$AC$2&amp;'Output annual'!$AD$2&amp;"*Zone People Number Of Occupants [](Hourly)",'Eplus results'!$1:$1048576,ROW(),FALSE)</f>
        <v>0</v>
      </c>
      <c r="AC4689" s="580">
        <f>HLOOKUP("*"&amp;'Output annual'!$AC$2&amp;'Output annual'!$AD$2&amp;"*FangerPMV(Hourly)",'Eplus results'!$1:$1048576,ROW(),FALSE)</f>
        <v>0</v>
      </c>
      <c r="AD4689" s="580">
        <f t="shared" si="401"/>
        <v>5</v>
      </c>
      <c r="AE4689" s="580">
        <f t="shared" si="402"/>
        <v>2.5</v>
      </c>
      <c r="AF4689" s="580">
        <f t="shared" si="403"/>
        <v>2.5</v>
      </c>
      <c r="AG4689" s="580">
        <f t="shared" si="404"/>
        <v>0</v>
      </c>
      <c r="AH4689" s="580">
        <f t="shared" si="405"/>
        <v>0</v>
      </c>
    </row>
    <row r="4690" spans="28:34">
      <c r="AB4690" s="580">
        <f>HLOOKUP("*"&amp;'Output annual'!$AC$2&amp;'Output annual'!$AD$2&amp;"*Zone People Number Of Occupants [](Hourly)",'Eplus results'!$1:$1048576,ROW(),FALSE)</f>
        <v>0</v>
      </c>
      <c r="AC4690" s="580">
        <f>HLOOKUP("*"&amp;'Output annual'!$AC$2&amp;'Output annual'!$AD$2&amp;"*FangerPMV(Hourly)",'Eplus results'!$1:$1048576,ROW(),FALSE)</f>
        <v>0</v>
      </c>
      <c r="AD4690" s="580">
        <f t="shared" si="401"/>
        <v>5</v>
      </c>
      <c r="AE4690" s="580">
        <f t="shared" si="402"/>
        <v>2.5</v>
      </c>
      <c r="AF4690" s="580">
        <f t="shared" si="403"/>
        <v>2.5</v>
      </c>
      <c r="AG4690" s="580">
        <f t="shared" si="404"/>
        <v>0</v>
      </c>
      <c r="AH4690" s="580">
        <f t="shared" si="405"/>
        <v>0</v>
      </c>
    </row>
    <row r="4691" spans="28:34">
      <c r="AB4691" s="580">
        <f>HLOOKUP("*"&amp;'Output annual'!$AC$2&amp;'Output annual'!$AD$2&amp;"*Zone People Number Of Occupants [](Hourly)",'Eplus results'!$1:$1048576,ROW(),FALSE)</f>
        <v>0</v>
      </c>
      <c r="AC4691" s="580">
        <f>HLOOKUP("*"&amp;'Output annual'!$AC$2&amp;'Output annual'!$AD$2&amp;"*FangerPMV(Hourly)",'Eplus results'!$1:$1048576,ROW(),FALSE)</f>
        <v>0</v>
      </c>
      <c r="AD4691" s="580">
        <f t="shared" si="401"/>
        <v>5</v>
      </c>
      <c r="AE4691" s="580">
        <f t="shared" si="402"/>
        <v>2.5</v>
      </c>
      <c r="AF4691" s="580">
        <f t="shared" si="403"/>
        <v>2.5</v>
      </c>
      <c r="AG4691" s="580">
        <f t="shared" si="404"/>
        <v>0</v>
      </c>
      <c r="AH4691" s="580">
        <f t="shared" si="405"/>
        <v>0</v>
      </c>
    </row>
    <row r="4692" spans="28:34">
      <c r="AB4692" s="580">
        <f>HLOOKUP("*"&amp;'Output annual'!$AC$2&amp;'Output annual'!$AD$2&amp;"*Zone People Number Of Occupants [](Hourly)",'Eplus results'!$1:$1048576,ROW(),FALSE)</f>
        <v>0</v>
      </c>
      <c r="AC4692" s="580">
        <f>HLOOKUP("*"&amp;'Output annual'!$AC$2&amp;'Output annual'!$AD$2&amp;"*FangerPMV(Hourly)",'Eplus results'!$1:$1048576,ROW(),FALSE)</f>
        <v>0</v>
      </c>
      <c r="AD4692" s="580">
        <f t="shared" si="401"/>
        <v>5</v>
      </c>
      <c r="AE4692" s="580">
        <f t="shared" si="402"/>
        <v>2.5</v>
      </c>
      <c r="AF4692" s="580">
        <f t="shared" si="403"/>
        <v>2.5</v>
      </c>
      <c r="AG4692" s="580">
        <f t="shared" si="404"/>
        <v>0</v>
      </c>
      <c r="AH4692" s="580">
        <f t="shared" si="405"/>
        <v>0</v>
      </c>
    </row>
    <row r="4693" spans="28:34">
      <c r="AB4693" s="580">
        <f>HLOOKUP("*"&amp;'Output annual'!$AC$2&amp;'Output annual'!$AD$2&amp;"*Zone People Number Of Occupants [](Hourly)",'Eplus results'!$1:$1048576,ROW(),FALSE)</f>
        <v>0</v>
      </c>
      <c r="AC4693" s="580">
        <f>HLOOKUP("*"&amp;'Output annual'!$AC$2&amp;'Output annual'!$AD$2&amp;"*FangerPMV(Hourly)",'Eplus results'!$1:$1048576,ROW(),FALSE)</f>
        <v>0</v>
      </c>
      <c r="AD4693" s="580">
        <f t="shared" si="401"/>
        <v>5</v>
      </c>
      <c r="AE4693" s="580">
        <f t="shared" si="402"/>
        <v>2.5</v>
      </c>
      <c r="AF4693" s="580">
        <f t="shared" si="403"/>
        <v>2.5</v>
      </c>
      <c r="AG4693" s="580">
        <f t="shared" si="404"/>
        <v>0</v>
      </c>
      <c r="AH4693" s="580">
        <f t="shared" si="405"/>
        <v>0</v>
      </c>
    </row>
    <row r="4694" spans="28:34">
      <c r="AB4694" s="580">
        <f>HLOOKUP("*"&amp;'Output annual'!$AC$2&amp;'Output annual'!$AD$2&amp;"*Zone People Number Of Occupants [](Hourly)",'Eplus results'!$1:$1048576,ROW(),FALSE)</f>
        <v>0</v>
      </c>
      <c r="AC4694" s="580">
        <f>HLOOKUP("*"&amp;'Output annual'!$AC$2&amp;'Output annual'!$AD$2&amp;"*FangerPMV(Hourly)",'Eplus results'!$1:$1048576,ROW(),FALSE)</f>
        <v>0</v>
      </c>
      <c r="AD4694" s="580">
        <f t="shared" si="401"/>
        <v>5</v>
      </c>
      <c r="AE4694" s="580">
        <f t="shared" si="402"/>
        <v>2.5</v>
      </c>
      <c r="AF4694" s="580">
        <f t="shared" si="403"/>
        <v>2.5</v>
      </c>
      <c r="AG4694" s="580">
        <f t="shared" si="404"/>
        <v>0</v>
      </c>
      <c r="AH4694" s="580">
        <f t="shared" si="405"/>
        <v>0</v>
      </c>
    </row>
    <row r="4695" spans="28:34">
      <c r="AB4695" s="580">
        <f>HLOOKUP("*"&amp;'Output annual'!$AC$2&amp;'Output annual'!$AD$2&amp;"*Zone People Number Of Occupants [](Hourly)",'Eplus results'!$1:$1048576,ROW(),FALSE)</f>
        <v>0</v>
      </c>
      <c r="AC4695" s="580">
        <f>HLOOKUP("*"&amp;'Output annual'!$AC$2&amp;'Output annual'!$AD$2&amp;"*FangerPMV(Hourly)",'Eplus results'!$1:$1048576,ROW(),FALSE)</f>
        <v>0</v>
      </c>
      <c r="AD4695" s="580">
        <f t="shared" si="401"/>
        <v>5</v>
      </c>
      <c r="AE4695" s="580">
        <f t="shared" si="402"/>
        <v>2.5</v>
      </c>
      <c r="AF4695" s="580">
        <f t="shared" si="403"/>
        <v>2.5</v>
      </c>
      <c r="AG4695" s="580">
        <f t="shared" si="404"/>
        <v>0</v>
      </c>
      <c r="AH4695" s="580">
        <f t="shared" si="405"/>
        <v>0</v>
      </c>
    </row>
    <row r="4696" spans="28:34">
      <c r="AB4696" s="580">
        <f>HLOOKUP("*"&amp;'Output annual'!$AC$2&amp;'Output annual'!$AD$2&amp;"*Zone People Number Of Occupants [](Hourly)",'Eplus results'!$1:$1048576,ROW(),FALSE)</f>
        <v>0</v>
      </c>
      <c r="AC4696" s="580">
        <f>HLOOKUP("*"&amp;'Output annual'!$AC$2&amp;'Output annual'!$AD$2&amp;"*FangerPMV(Hourly)",'Eplus results'!$1:$1048576,ROW(),FALSE)</f>
        <v>0</v>
      </c>
      <c r="AD4696" s="580">
        <f t="shared" si="401"/>
        <v>5</v>
      </c>
      <c r="AE4696" s="580">
        <f t="shared" si="402"/>
        <v>2.5</v>
      </c>
      <c r="AF4696" s="580">
        <f t="shared" si="403"/>
        <v>2.5</v>
      </c>
      <c r="AG4696" s="580">
        <f t="shared" si="404"/>
        <v>0</v>
      </c>
      <c r="AH4696" s="580">
        <f t="shared" si="405"/>
        <v>0</v>
      </c>
    </row>
    <row r="4697" spans="28:34">
      <c r="AB4697" s="580">
        <f>HLOOKUP("*"&amp;'Output annual'!$AC$2&amp;'Output annual'!$AD$2&amp;"*Zone People Number Of Occupants [](Hourly)",'Eplus results'!$1:$1048576,ROW(),FALSE)</f>
        <v>0</v>
      </c>
      <c r="AC4697" s="580">
        <f>HLOOKUP("*"&amp;'Output annual'!$AC$2&amp;'Output annual'!$AD$2&amp;"*FangerPMV(Hourly)",'Eplus results'!$1:$1048576,ROW(),FALSE)</f>
        <v>0</v>
      </c>
      <c r="AD4697" s="580">
        <f t="shared" si="401"/>
        <v>5</v>
      </c>
      <c r="AE4697" s="580">
        <f t="shared" si="402"/>
        <v>2.5</v>
      </c>
      <c r="AF4697" s="580">
        <f t="shared" si="403"/>
        <v>2.5</v>
      </c>
      <c r="AG4697" s="580">
        <f t="shared" si="404"/>
        <v>0</v>
      </c>
      <c r="AH4697" s="580">
        <f t="shared" si="405"/>
        <v>0</v>
      </c>
    </row>
    <row r="4698" spans="28:34">
      <c r="AB4698" s="580">
        <f>HLOOKUP("*"&amp;'Output annual'!$AC$2&amp;'Output annual'!$AD$2&amp;"*Zone People Number Of Occupants [](Hourly)",'Eplus results'!$1:$1048576,ROW(),FALSE)</f>
        <v>0</v>
      </c>
      <c r="AC4698" s="580">
        <f>HLOOKUP("*"&amp;'Output annual'!$AC$2&amp;'Output annual'!$AD$2&amp;"*FangerPMV(Hourly)",'Eplus results'!$1:$1048576,ROW(),FALSE)</f>
        <v>0</v>
      </c>
      <c r="AD4698" s="580">
        <f t="shared" si="401"/>
        <v>5</v>
      </c>
      <c r="AE4698" s="580">
        <f t="shared" si="402"/>
        <v>2.5</v>
      </c>
      <c r="AF4698" s="580">
        <f t="shared" si="403"/>
        <v>2.5</v>
      </c>
      <c r="AG4698" s="580">
        <f t="shared" si="404"/>
        <v>0</v>
      </c>
      <c r="AH4698" s="580">
        <f t="shared" si="405"/>
        <v>0</v>
      </c>
    </row>
    <row r="4699" spans="28:34">
      <c r="AB4699" s="580">
        <f>HLOOKUP("*"&amp;'Output annual'!$AC$2&amp;'Output annual'!$AD$2&amp;"*Zone People Number Of Occupants [](Hourly)",'Eplus results'!$1:$1048576,ROW(),FALSE)</f>
        <v>0</v>
      </c>
      <c r="AC4699" s="580">
        <f>HLOOKUP("*"&amp;'Output annual'!$AC$2&amp;'Output annual'!$AD$2&amp;"*FangerPMV(Hourly)",'Eplus results'!$1:$1048576,ROW(),FALSE)</f>
        <v>0</v>
      </c>
      <c r="AD4699" s="580">
        <f t="shared" si="401"/>
        <v>5</v>
      </c>
      <c r="AE4699" s="580">
        <f t="shared" si="402"/>
        <v>2.5</v>
      </c>
      <c r="AF4699" s="580">
        <f t="shared" si="403"/>
        <v>2.5</v>
      </c>
      <c r="AG4699" s="580">
        <f t="shared" si="404"/>
        <v>0</v>
      </c>
      <c r="AH4699" s="580">
        <f t="shared" si="405"/>
        <v>0</v>
      </c>
    </row>
    <row r="4700" spans="28:34">
      <c r="AB4700" s="580">
        <f>HLOOKUP("*"&amp;'Output annual'!$AC$2&amp;'Output annual'!$AD$2&amp;"*Zone People Number Of Occupants [](Hourly)",'Eplus results'!$1:$1048576,ROW(),FALSE)</f>
        <v>0</v>
      </c>
      <c r="AC4700" s="580">
        <f>HLOOKUP("*"&amp;'Output annual'!$AC$2&amp;'Output annual'!$AD$2&amp;"*FangerPMV(Hourly)",'Eplus results'!$1:$1048576,ROW(),FALSE)</f>
        <v>0</v>
      </c>
      <c r="AD4700" s="580">
        <f t="shared" si="401"/>
        <v>5</v>
      </c>
      <c r="AE4700" s="580">
        <f t="shared" si="402"/>
        <v>2.5</v>
      </c>
      <c r="AF4700" s="580">
        <f t="shared" si="403"/>
        <v>2.5</v>
      </c>
      <c r="AG4700" s="580">
        <f t="shared" si="404"/>
        <v>0</v>
      </c>
      <c r="AH4700" s="580">
        <f t="shared" si="405"/>
        <v>0</v>
      </c>
    </row>
    <row r="4701" spans="28:34">
      <c r="AB4701" s="580">
        <f>HLOOKUP("*"&amp;'Output annual'!$AC$2&amp;'Output annual'!$AD$2&amp;"*Zone People Number Of Occupants [](Hourly)",'Eplus results'!$1:$1048576,ROW(),FALSE)</f>
        <v>0</v>
      </c>
      <c r="AC4701" s="580">
        <f>HLOOKUP("*"&amp;'Output annual'!$AC$2&amp;'Output annual'!$AD$2&amp;"*FangerPMV(Hourly)",'Eplus results'!$1:$1048576,ROW(),FALSE)</f>
        <v>0</v>
      </c>
      <c r="AD4701" s="580">
        <f t="shared" si="401"/>
        <v>5</v>
      </c>
      <c r="AE4701" s="580">
        <f t="shared" si="402"/>
        <v>2.5</v>
      </c>
      <c r="AF4701" s="580">
        <f t="shared" si="403"/>
        <v>2.5</v>
      </c>
      <c r="AG4701" s="580">
        <f t="shared" si="404"/>
        <v>0</v>
      </c>
      <c r="AH4701" s="580">
        <f t="shared" si="405"/>
        <v>0</v>
      </c>
    </row>
    <row r="4702" spans="28:34">
      <c r="AB4702" s="580">
        <f>HLOOKUP("*"&amp;'Output annual'!$AC$2&amp;'Output annual'!$AD$2&amp;"*Zone People Number Of Occupants [](Hourly)",'Eplus results'!$1:$1048576,ROW(),FALSE)</f>
        <v>0</v>
      </c>
      <c r="AC4702" s="580">
        <f>HLOOKUP("*"&amp;'Output annual'!$AC$2&amp;'Output annual'!$AD$2&amp;"*FangerPMV(Hourly)",'Eplus results'!$1:$1048576,ROW(),FALSE)</f>
        <v>0</v>
      </c>
      <c r="AD4702" s="580">
        <f t="shared" si="401"/>
        <v>5</v>
      </c>
      <c r="AE4702" s="580">
        <f t="shared" si="402"/>
        <v>2.5</v>
      </c>
      <c r="AF4702" s="580">
        <f t="shared" si="403"/>
        <v>2.5</v>
      </c>
      <c r="AG4702" s="580">
        <f t="shared" si="404"/>
        <v>0</v>
      </c>
      <c r="AH4702" s="580">
        <f t="shared" si="405"/>
        <v>0</v>
      </c>
    </row>
    <row r="4703" spans="28:34">
      <c r="AB4703" s="580">
        <f>HLOOKUP("*"&amp;'Output annual'!$AC$2&amp;'Output annual'!$AD$2&amp;"*Zone People Number Of Occupants [](Hourly)",'Eplus results'!$1:$1048576,ROW(),FALSE)</f>
        <v>0</v>
      </c>
      <c r="AC4703" s="580">
        <f>HLOOKUP("*"&amp;'Output annual'!$AC$2&amp;'Output annual'!$AD$2&amp;"*FangerPMV(Hourly)",'Eplus results'!$1:$1048576,ROW(),FALSE)</f>
        <v>0</v>
      </c>
      <c r="AD4703" s="580">
        <f t="shared" si="401"/>
        <v>5</v>
      </c>
      <c r="AE4703" s="580">
        <f t="shared" si="402"/>
        <v>2.5</v>
      </c>
      <c r="AF4703" s="580">
        <f t="shared" si="403"/>
        <v>2.5</v>
      </c>
      <c r="AG4703" s="580">
        <f t="shared" si="404"/>
        <v>0</v>
      </c>
      <c r="AH4703" s="580">
        <f t="shared" si="405"/>
        <v>0</v>
      </c>
    </row>
    <row r="4704" spans="28:34">
      <c r="AB4704" s="580">
        <f>HLOOKUP("*"&amp;'Output annual'!$AC$2&amp;'Output annual'!$AD$2&amp;"*Zone People Number Of Occupants [](Hourly)",'Eplus results'!$1:$1048576,ROW(),FALSE)</f>
        <v>0</v>
      </c>
      <c r="AC4704" s="580">
        <f>HLOOKUP("*"&amp;'Output annual'!$AC$2&amp;'Output annual'!$AD$2&amp;"*FangerPMV(Hourly)",'Eplus results'!$1:$1048576,ROW(),FALSE)</f>
        <v>0</v>
      </c>
      <c r="AD4704" s="580">
        <f t="shared" si="401"/>
        <v>5</v>
      </c>
      <c r="AE4704" s="580">
        <f t="shared" si="402"/>
        <v>2.5</v>
      </c>
      <c r="AF4704" s="580">
        <f t="shared" si="403"/>
        <v>2.5</v>
      </c>
      <c r="AG4704" s="580">
        <f t="shared" si="404"/>
        <v>0</v>
      </c>
      <c r="AH4704" s="580">
        <f t="shared" si="405"/>
        <v>0</v>
      </c>
    </row>
    <row r="4705" spans="28:34">
      <c r="AB4705" s="580">
        <f>HLOOKUP("*"&amp;'Output annual'!$AC$2&amp;'Output annual'!$AD$2&amp;"*Zone People Number Of Occupants [](Hourly)",'Eplus results'!$1:$1048576,ROW(),FALSE)</f>
        <v>0</v>
      </c>
      <c r="AC4705" s="580">
        <f>HLOOKUP("*"&amp;'Output annual'!$AC$2&amp;'Output annual'!$AD$2&amp;"*FangerPMV(Hourly)",'Eplus results'!$1:$1048576,ROW(),FALSE)</f>
        <v>0</v>
      </c>
      <c r="AD4705" s="580">
        <f t="shared" si="401"/>
        <v>5</v>
      </c>
      <c r="AE4705" s="580">
        <f t="shared" si="402"/>
        <v>2.5</v>
      </c>
      <c r="AF4705" s="580">
        <f t="shared" si="403"/>
        <v>2.5</v>
      </c>
      <c r="AG4705" s="580">
        <f t="shared" si="404"/>
        <v>0</v>
      </c>
      <c r="AH4705" s="580">
        <f t="shared" si="405"/>
        <v>0</v>
      </c>
    </row>
    <row r="4706" spans="28:34">
      <c r="AB4706" s="580">
        <f>HLOOKUP("*"&amp;'Output annual'!$AC$2&amp;'Output annual'!$AD$2&amp;"*Zone People Number Of Occupants [](Hourly)",'Eplus results'!$1:$1048576,ROW(),FALSE)</f>
        <v>0</v>
      </c>
      <c r="AC4706" s="580">
        <f>HLOOKUP("*"&amp;'Output annual'!$AC$2&amp;'Output annual'!$AD$2&amp;"*FangerPMV(Hourly)",'Eplus results'!$1:$1048576,ROW(),FALSE)</f>
        <v>0</v>
      </c>
      <c r="AD4706" s="580">
        <f t="shared" si="401"/>
        <v>5</v>
      </c>
      <c r="AE4706" s="580">
        <f t="shared" si="402"/>
        <v>2.5</v>
      </c>
      <c r="AF4706" s="580">
        <f t="shared" si="403"/>
        <v>2.5</v>
      </c>
      <c r="AG4706" s="580">
        <f t="shared" si="404"/>
        <v>0</v>
      </c>
      <c r="AH4706" s="580">
        <f t="shared" si="405"/>
        <v>0</v>
      </c>
    </row>
    <row r="4707" spans="28:34">
      <c r="AB4707" s="580">
        <f>HLOOKUP("*"&amp;'Output annual'!$AC$2&amp;'Output annual'!$AD$2&amp;"*Zone People Number Of Occupants [](Hourly)",'Eplus results'!$1:$1048576,ROW(),FALSE)</f>
        <v>0</v>
      </c>
      <c r="AC4707" s="580">
        <f>HLOOKUP("*"&amp;'Output annual'!$AC$2&amp;'Output annual'!$AD$2&amp;"*FangerPMV(Hourly)",'Eplus results'!$1:$1048576,ROW(),FALSE)</f>
        <v>0</v>
      </c>
      <c r="AD4707" s="580">
        <f t="shared" si="401"/>
        <v>5</v>
      </c>
      <c r="AE4707" s="580">
        <f t="shared" si="402"/>
        <v>2.5</v>
      </c>
      <c r="AF4707" s="580">
        <f t="shared" si="403"/>
        <v>2.5</v>
      </c>
      <c r="AG4707" s="580">
        <f t="shared" si="404"/>
        <v>0</v>
      </c>
      <c r="AH4707" s="580">
        <f t="shared" si="405"/>
        <v>0</v>
      </c>
    </row>
    <row r="4708" spans="28:34">
      <c r="AB4708" s="580">
        <f>HLOOKUP("*"&amp;'Output annual'!$AC$2&amp;'Output annual'!$AD$2&amp;"*Zone People Number Of Occupants [](Hourly)",'Eplus results'!$1:$1048576,ROW(),FALSE)</f>
        <v>0</v>
      </c>
      <c r="AC4708" s="580">
        <f>HLOOKUP("*"&amp;'Output annual'!$AC$2&amp;'Output annual'!$AD$2&amp;"*FangerPMV(Hourly)",'Eplus results'!$1:$1048576,ROW(),FALSE)</f>
        <v>0</v>
      </c>
      <c r="AD4708" s="580">
        <f t="shared" si="401"/>
        <v>5</v>
      </c>
      <c r="AE4708" s="580">
        <f t="shared" si="402"/>
        <v>2.5</v>
      </c>
      <c r="AF4708" s="580">
        <f t="shared" si="403"/>
        <v>2.5</v>
      </c>
      <c r="AG4708" s="580">
        <f t="shared" si="404"/>
        <v>0</v>
      </c>
      <c r="AH4708" s="580">
        <f t="shared" si="405"/>
        <v>0</v>
      </c>
    </row>
    <row r="4709" spans="28:34">
      <c r="AB4709" s="580">
        <f>HLOOKUP("*"&amp;'Output annual'!$AC$2&amp;'Output annual'!$AD$2&amp;"*Zone People Number Of Occupants [](Hourly)",'Eplus results'!$1:$1048576,ROW(),FALSE)</f>
        <v>0</v>
      </c>
      <c r="AC4709" s="580">
        <f>HLOOKUP("*"&amp;'Output annual'!$AC$2&amp;'Output annual'!$AD$2&amp;"*FangerPMV(Hourly)",'Eplus results'!$1:$1048576,ROW(),FALSE)</f>
        <v>0</v>
      </c>
      <c r="AD4709" s="580">
        <f t="shared" si="401"/>
        <v>5</v>
      </c>
      <c r="AE4709" s="580">
        <f t="shared" si="402"/>
        <v>2.5</v>
      </c>
      <c r="AF4709" s="580">
        <f t="shared" si="403"/>
        <v>2.5</v>
      </c>
      <c r="AG4709" s="580">
        <f t="shared" si="404"/>
        <v>0</v>
      </c>
      <c r="AH4709" s="580">
        <f t="shared" si="405"/>
        <v>0</v>
      </c>
    </row>
    <row r="4710" spans="28:34">
      <c r="AB4710" s="580">
        <f>HLOOKUP("*"&amp;'Output annual'!$AC$2&amp;'Output annual'!$AD$2&amp;"*Zone People Number Of Occupants [](Hourly)",'Eplus results'!$1:$1048576,ROW(),FALSE)</f>
        <v>0</v>
      </c>
      <c r="AC4710" s="580">
        <f>HLOOKUP("*"&amp;'Output annual'!$AC$2&amp;'Output annual'!$AD$2&amp;"*FangerPMV(Hourly)",'Eplus results'!$1:$1048576,ROW(),FALSE)</f>
        <v>0</v>
      </c>
      <c r="AD4710" s="580">
        <f t="shared" si="401"/>
        <v>5</v>
      </c>
      <c r="AE4710" s="580">
        <f t="shared" si="402"/>
        <v>2.5</v>
      </c>
      <c r="AF4710" s="580">
        <f t="shared" si="403"/>
        <v>2.5</v>
      </c>
      <c r="AG4710" s="580">
        <f t="shared" si="404"/>
        <v>0</v>
      </c>
      <c r="AH4710" s="580">
        <f t="shared" si="405"/>
        <v>0</v>
      </c>
    </row>
    <row r="4711" spans="28:34">
      <c r="AB4711" s="580">
        <f>HLOOKUP("*"&amp;'Output annual'!$AC$2&amp;'Output annual'!$AD$2&amp;"*Zone People Number Of Occupants [](Hourly)",'Eplus results'!$1:$1048576,ROW(),FALSE)</f>
        <v>0</v>
      </c>
      <c r="AC4711" s="580">
        <f>HLOOKUP("*"&amp;'Output annual'!$AC$2&amp;'Output annual'!$AD$2&amp;"*FangerPMV(Hourly)",'Eplus results'!$1:$1048576,ROW(),FALSE)</f>
        <v>0</v>
      </c>
      <c r="AD4711" s="580">
        <f t="shared" si="401"/>
        <v>5</v>
      </c>
      <c r="AE4711" s="580">
        <f t="shared" si="402"/>
        <v>2.5</v>
      </c>
      <c r="AF4711" s="580">
        <f t="shared" si="403"/>
        <v>2.5</v>
      </c>
      <c r="AG4711" s="580">
        <f t="shared" si="404"/>
        <v>0</v>
      </c>
      <c r="AH4711" s="580">
        <f t="shared" si="405"/>
        <v>0</v>
      </c>
    </row>
    <row r="4712" spans="28:34">
      <c r="AB4712" s="580">
        <f>HLOOKUP("*"&amp;'Output annual'!$AC$2&amp;'Output annual'!$AD$2&amp;"*Zone People Number Of Occupants [](Hourly)",'Eplus results'!$1:$1048576,ROW(),FALSE)</f>
        <v>0</v>
      </c>
      <c r="AC4712" s="580">
        <f>HLOOKUP("*"&amp;'Output annual'!$AC$2&amp;'Output annual'!$AD$2&amp;"*FangerPMV(Hourly)",'Eplus results'!$1:$1048576,ROW(),FALSE)</f>
        <v>0</v>
      </c>
      <c r="AD4712" s="580">
        <f t="shared" si="401"/>
        <v>5</v>
      </c>
      <c r="AE4712" s="580">
        <f t="shared" si="402"/>
        <v>2.5</v>
      </c>
      <c r="AF4712" s="580">
        <f t="shared" si="403"/>
        <v>2.5</v>
      </c>
      <c r="AG4712" s="580">
        <f t="shared" si="404"/>
        <v>0</v>
      </c>
      <c r="AH4712" s="580">
        <f t="shared" si="405"/>
        <v>0</v>
      </c>
    </row>
    <row r="4713" spans="28:34">
      <c r="AB4713" s="580">
        <f>HLOOKUP("*"&amp;'Output annual'!$AC$2&amp;'Output annual'!$AD$2&amp;"*Zone People Number Of Occupants [](Hourly)",'Eplus results'!$1:$1048576,ROW(),FALSE)</f>
        <v>0</v>
      </c>
      <c r="AC4713" s="580">
        <f>HLOOKUP("*"&amp;'Output annual'!$AC$2&amp;'Output annual'!$AD$2&amp;"*FangerPMV(Hourly)",'Eplus results'!$1:$1048576,ROW(),FALSE)</f>
        <v>0</v>
      </c>
      <c r="AD4713" s="580">
        <f t="shared" si="401"/>
        <v>5</v>
      </c>
      <c r="AE4713" s="580">
        <f t="shared" si="402"/>
        <v>2.5</v>
      </c>
      <c r="AF4713" s="580">
        <f t="shared" si="403"/>
        <v>2.5</v>
      </c>
      <c r="AG4713" s="580">
        <f t="shared" si="404"/>
        <v>0</v>
      </c>
      <c r="AH4713" s="580">
        <f t="shared" si="405"/>
        <v>0</v>
      </c>
    </row>
    <row r="4714" spans="28:34">
      <c r="AB4714" s="580">
        <f>HLOOKUP("*"&amp;'Output annual'!$AC$2&amp;'Output annual'!$AD$2&amp;"*Zone People Number Of Occupants [](Hourly)",'Eplus results'!$1:$1048576,ROW(),FALSE)</f>
        <v>0</v>
      </c>
      <c r="AC4714" s="580">
        <f>HLOOKUP("*"&amp;'Output annual'!$AC$2&amp;'Output annual'!$AD$2&amp;"*FangerPMV(Hourly)",'Eplus results'!$1:$1048576,ROW(),FALSE)</f>
        <v>0</v>
      </c>
      <c r="AD4714" s="580">
        <f t="shared" si="401"/>
        <v>5</v>
      </c>
      <c r="AE4714" s="580">
        <f t="shared" si="402"/>
        <v>2.5</v>
      </c>
      <c r="AF4714" s="580">
        <f t="shared" si="403"/>
        <v>2.5</v>
      </c>
      <c r="AG4714" s="580">
        <f t="shared" si="404"/>
        <v>0</v>
      </c>
      <c r="AH4714" s="580">
        <f t="shared" si="405"/>
        <v>0</v>
      </c>
    </row>
    <row r="4715" spans="28:34">
      <c r="AB4715" s="580">
        <f>HLOOKUP("*"&amp;'Output annual'!$AC$2&amp;'Output annual'!$AD$2&amp;"*Zone People Number Of Occupants [](Hourly)",'Eplus results'!$1:$1048576,ROW(),FALSE)</f>
        <v>0</v>
      </c>
      <c r="AC4715" s="580">
        <f>HLOOKUP("*"&amp;'Output annual'!$AC$2&amp;'Output annual'!$AD$2&amp;"*FangerPMV(Hourly)",'Eplus results'!$1:$1048576,ROW(),FALSE)</f>
        <v>0</v>
      </c>
      <c r="AD4715" s="580">
        <f t="shared" si="401"/>
        <v>5</v>
      </c>
      <c r="AE4715" s="580">
        <f t="shared" si="402"/>
        <v>2.5</v>
      </c>
      <c r="AF4715" s="580">
        <f t="shared" si="403"/>
        <v>2.5</v>
      </c>
      <c r="AG4715" s="580">
        <f t="shared" si="404"/>
        <v>0</v>
      </c>
      <c r="AH4715" s="580">
        <f t="shared" si="405"/>
        <v>0</v>
      </c>
    </row>
    <row r="4716" spans="28:34">
      <c r="AB4716" s="580">
        <f>HLOOKUP("*"&amp;'Output annual'!$AC$2&amp;'Output annual'!$AD$2&amp;"*Zone People Number Of Occupants [](Hourly)",'Eplus results'!$1:$1048576,ROW(),FALSE)</f>
        <v>0</v>
      </c>
      <c r="AC4716" s="580">
        <f>HLOOKUP("*"&amp;'Output annual'!$AC$2&amp;'Output annual'!$AD$2&amp;"*FangerPMV(Hourly)",'Eplus results'!$1:$1048576,ROW(),FALSE)</f>
        <v>0</v>
      </c>
      <c r="AD4716" s="580">
        <f t="shared" si="401"/>
        <v>5</v>
      </c>
      <c r="AE4716" s="580">
        <f t="shared" si="402"/>
        <v>2.5</v>
      </c>
      <c r="AF4716" s="580">
        <f t="shared" si="403"/>
        <v>2.5</v>
      </c>
      <c r="AG4716" s="580">
        <f t="shared" si="404"/>
        <v>0</v>
      </c>
      <c r="AH4716" s="580">
        <f t="shared" si="405"/>
        <v>0</v>
      </c>
    </row>
    <row r="4717" spans="28:34">
      <c r="AB4717" s="580">
        <f>HLOOKUP("*"&amp;'Output annual'!$AC$2&amp;'Output annual'!$AD$2&amp;"*Zone People Number Of Occupants [](Hourly)",'Eplus results'!$1:$1048576,ROW(),FALSE)</f>
        <v>0</v>
      </c>
      <c r="AC4717" s="580">
        <f>HLOOKUP("*"&amp;'Output annual'!$AC$2&amp;'Output annual'!$AD$2&amp;"*FangerPMV(Hourly)",'Eplus results'!$1:$1048576,ROW(),FALSE)</f>
        <v>0</v>
      </c>
      <c r="AD4717" s="580">
        <f t="shared" si="401"/>
        <v>5</v>
      </c>
      <c r="AE4717" s="580">
        <f t="shared" si="402"/>
        <v>2.5</v>
      </c>
      <c r="AF4717" s="580">
        <f t="shared" si="403"/>
        <v>2.5</v>
      </c>
      <c r="AG4717" s="580">
        <f t="shared" si="404"/>
        <v>0</v>
      </c>
      <c r="AH4717" s="580">
        <f t="shared" si="405"/>
        <v>0</v>
      </c>
    </row>
    <row r="4718" spans="28:34">
      <c r="AB4718" s="580">
        <f>HLOOKUP("*"&amp;'Output annual'!$AC$2&amp;'Output annual'!$AD$2&amp;"*Zone People Number Of Occupants [](Hourly)",'Eplus results'!$1:$1048576,ROW(),FALSE)</f>
        <v>0</v>
      </c>
      <c r="AC4718" s="580">
        <f>HLOOKUP("*"&amp;'Output annual'!$AC$2&amp;'Output annual'!$AD$2&amp;"*FangerPMV(Hourly)",'Eplus results'!$1:$1048576,ROW(),FALSE)</f>
        <v>0</v>
      </c>
      <c r="AD4718" s="580">
        <f t="shared" si="401"/>
        <v>5</v>
      </c>
      <c r="AE4718" s="580">
        <f t="shared" si="402"/>
        <v>2.5</v>
      </c>
      <c r="AF4718" s="580">
        <f t="shared" si="403"/>
        <v>2.5</v>
      </c>
      <c r="AG4718" s="580">
        <f t="shared" si="404"/>
        <v>0</v>
      </c>
      <c r="AH4718" s="580">
        <f t="shared" si="405"/>
        <v>0</v>
      </c>
    </row>
    <row r="4719" spans="28:34">
      <c r="AB4719" s="580">
        <f>HLOOKUP("*"&amp;'Output annual'!$AC$2&amp;'Output annual'!$AD$2&amp;"*Zone People Number Of Occupants [](Hourly)",'Eplus results'!$1:$1048576,ROW(),FALSE)</f>
        <v>0</v>
      </c>
      <c r="AC4719" s="580">
        <f>HLOOKUP("*"&amp;'Output annual'!$AC$2&amp;'Output annual'!$AD$2&amp;"*FangerPMV(Hourly)",'Eplus results'!$1:$1048576,ROW(),FALSE)</f>
        <v>0</v>
      </c>
      <c r="AD4719" s="580">
        <f t="shared" si="401"/>
        <v>5</v>
      </c>
      <c r="AE4719" s="580">
        <f t="shared" si="402"/>
        <v>2.5</v>
      </c>
      <c r="AF4719" s="580">
        <f t="shared" si="403"/>
        <v>2.5</v>
      </c>
      <c r="AG4719" s="580">
        <f t="shared" si="404"/>
        <v>0</v>
      </c>
      <c r="AH4719" s="580">
        <f t="shared" si="405"/>
        <v>0</v>
      </c>
    </row>
    <row r="4720" spans="28:34">
      <c r="AB4720" s="580">
        <f>HLOOKUP("*"&amp;'Output annual'!$AC$2&amp;'Output annual'!$AD$2&amp;"*Zone People Number Of Occupants [](Hourly)",'Eplus results'!$1:$1048576,ROW(),FALSE)</f>
        <v>0</v>
      </c>
      <c r="AC4720" s="580">
        <f>HLOOKUP("*"&amp;'Output annual'!$AC$2&amp;'Output annual'!$AD$2&amp;"*FangerPMV(Hourly)",'Eplus results'!$1:$1048576,ROW(),FALSE)</f>
        <v>0</v>
      </c>
      <c r="AD4720" s="580">
        <f t="shared" si="401"/>
        <v>5</v>
      </c>
      <c r="AE4720" s="580">
        <f t="shared" si="402"/>
        <v>2.5</v>
      </c>
      <c r="AF4720" s="580">
        <f t="shared" si="403"/>
        <v>2.5</v>
      </c>
      <c r="AG4720" s="580">
        <f t="shared" si="404"/>
        <v>0</v>
      </c>
      <c r="AH4720" s="580">
        <f t="shared" si="405"/>
        <v>0</v>
      </c>
    </row>
    <row r="4721" spans="28:34">
      <c r="AB4721" s="580">
        <f>HLOOKUP("*"&amp;'Output annual'!$AC$2&amp;'Output annual'!$AD$2&amp;"*Zone People Number Of Occupants [](Hourly)",'Eplus results'!$1:$1048576,ROW(),FALSE)</f>
        <v>0</v>
      </c>
      <c r="AC4721" s="580">
        <f>HLOOKUP("*"&amp;'Output annual'!$AC$2&amp;'Output annual'!$AD$2&amp;"*FangerPMV(Hourly)",'Eplus results'!$1:$1048576,ROW(),FALSE)</f>
        <v>0</v>
      </c>
      <c r="AD4721" s="580">
        <f t="shared" si="401"/>
        <v>5</v>
      </c>
      <c r="AE4721" s="580">
        <f t="shared" si="402"/>
        <v>2.5</v>
      </c>
      <c r="AF4721" s="580">
        <f t="shared" si="403"/>
        <v>2.5</v>
      </c>
      <c r="AG4721" s="580">
        <f t="shared" si="404"/>
        <v>0</v>
      </c>
      <c r="AH4721" s="580">
        <f t="shared" si="405"/>
        <v>0</v>
      </c>
    </row>
    <row r="4722" spans="28:34">
      <c r="AB4722" s="580">
        <f>HLOOKUP("*"&amp;'Output annual'!$AC$2&amp;'Output annual'!$AD$2&amp;"*Zone People Number Of Occupants [](Hourly)",'Eplus results'!$1:$1048576,ROW(),FALSE)</f>
        <v>0</v>
      </c>
      <c r="AC4722" s="580">
        <f>HLOOKUP("*"&amp;'Output annual'!$AC$2&amp;'Output annual'!$AD$2&amp;"*FangerPMV(Hourly)",'Eplus results'!$1:$1048576,ROW(),FALSE)</f>
        <v>0</v>
      </c>
      <c r="AD4722" s="580">
        <f t="shared" si="401"/>
        <v>5</v>
      </c>
      <c r="AE4722" s="580">
        <f t="shared" si="402"/>
        <v>2.5</v>
      </c>
      <c r="AF4722" s="580">
        <f t="shared" si="403"/>
        <v>2.5</v>
      </c>
      <c r="AG4722" s="580">
        <f t="shared" si="404"/>
        <v>0</v>
      </c>
      <c r="AH4722" s="580">
        <f t="shared" si="405"/>
        <v>0</v>
      </c>
    </row>
    <row r="4723" spans="28:34">
      <c r="AB4723" s="580">
        <f>HLOOKUP("*"&amp;'Output annual'!$AC$2&amp;'Output annual'!$AD$2&amp;"*Zone People Number Of Occupants [](Hourly)",'Eplus results'!$1:$1048576,ROW(),FALSE)</f>
        <v>0</v>
      </c>
      <c r="AC4723" s="580">
        <f>HLOOKUP("*"&amp;'Output annual'!$AC$2&amp;'Output annual'!$AD$2&amp;"*FangerPMV(Hourly)",'Eplus results'!$1:$1048576,ROW(),FALSE)</f>
        <v>0</v>
      </c>
      <c r="AD4723" s="580">
        <f t="shared" si="401"/>
        <v>5</v>
      </c>
      <c r="AE4723" s="580">
        <f t="shared" si="402"/>
        <v>2.5</v>
      </c>
      <c r="AF4723" s="580">
        <f t="shared" si="403"/>
        <v>2.5</v>
      </c>
      <c r="AG4723" s="580">
        <f t="shared" si="404"/>
        <v>0</v>
      </c>
      <c r="AH4723" s="580">
        <f t="shared" si="405"/>
        <v>0</v>
      </c>
    </row>
    <row r="4724" spans="28:34">
      <c r="AB4724" s="580">
        <f>HLOOKUP("*"&amp;'Output annual'!$AC$2&amp;'Output annual'!$AD$2&amp;"*Zone People Number Of Occupants [](Hourly)",'Eplus results'!$1:$1048576,ROW(),FALSE)</f>
        <v>0</v>
      </c>
      <c r="AC4724" s="580">
        <f>HLOOKUP("*"&amp;'Output annual'!$AC$2&amp;'Output annual'!$AD$2&amp;"*FangerPMV(Hourly)",'Eplus results'!$1:$1048576,ROW(),FALSE)</f>
        <v>0</v>
      </c>
      <c r="AD4724" s="580">
        <f t="shared" si="401"/>
        <v>5</v>
      </c>
      <c r="AE4724" s="580">
        <f t="shared" si="402"/>
        <v>2.5</v>
      </c>
      <c r="AF4724" s="580">
        <f t="shared" si="403"/>
        <v>2.5</v>
      </c>
      <c r="AG4724" s="580">
        <f t="shared" si="404"/>
        <v>0</v>
      </c>
      <c r="AH4724" s="580">
        <f t="shared" si="405"/>
        <v>0</v>
      </c>
    </row>
    <row r="4725" spans="28:34">
      <c r="AB4725" s="580">
        <f>HLOOKUP("*"&amp;'Output annual'!$AC$2&amp;'Output annual'!$AD$2&amp;"*Zone People Number Of Occupants [](Hourly)",'Eplus results'!$1:$1048576,ROW(),FALSE)</f>
        <v>0</v>
      </c>
      <c r="AC4725" s="580">
        <f>HLOOKUP("*"&amp;'Output annual'!$AC$2&amp;'Output annual'!$AD$2&amp;"*FangerPMV(Hourly)",'Eplus results'!$1:$1048576,ROW(),FALSE)</f>
        <v>0</v>
      </c>
      <c r="AD4725" s="580">
        <f t="shared" si="401"/>
        <v>5</v>
      </c>
      <c r="AE4725" s="580">
        <f t="shared" si="402"/>
        <v>2.5</v>
      </c>
      <c r="AF4725" s="580">
        <f t="shared" si="403"/>
        <v>2.5</v>
      </c>
      <c r="AG4725" s="580">
        <f t="shared" si="404"/>
        <v>0</v>
      </c>
      <c r="AH4725" s="580">
        <f t="shared" si="405"/>
        <v>0</v>
      </c>
    </row>
    <row r="4726" spans="28:34">
      <c r="AB4726" s="580">
        <f>HLOOKUP("*"&amp;'Output annual'!$AC$2&amp;'Output annual'!$AD$2&amp;"*Zone People Number Of Occupants [](Hourly)",'Eplus results'!$1:$1048576,ROW(),FALSE)</f>
        <v>0</v>
      </c>
      <c r="AC4726" s="580">
        <f>HLOOKUP("*"&amp;'Output annual'!$AC$2&amp;'Output annual'!$AD$2&amp;"*FangerPMV(Hourly)",'Eplus results'!$1:$1048576,ROW(),FALSE)</f>
        <v>0</v>
      </c>
      <c r="AD4726" s="580">
        <f t="shared" si="401"/>
        <v>5</v>
      </c>
      <c r="AE4726" s="580">
        <f t="shared" si="402"/>
        <v>2.5</v>
      </c>
      <c r="AF4726" s="580">
        <f t="shared" si="403"/>
        <v>2.5</v>
      </c>
      <c r="AG4726" s="580">
        <f t="shared" si="404"/>
        <v>0</v>
      </c>
      <c r="AH4726" s="580">
        <f t="shared" si="405"/>
        <v>0</v>
      </c>
    </row>
    <row r="4727" spans="28:34">
      <c r="AB4727" s="580">
        <f>HLOOKUP("*"&amp;'Output annual'!$AC$2&amp;'Output annual'!$AD$2&amp;"*Zone People Number Of Occupants [](Hourly)",'Eplus results'!$1:$1048576,ROW(),FALSE)</f>
        <v>0</v>
      </c>
      <c r="AC4727" s="580">
        <f>HLOOKUP("*"&amp;'Output annual'!$AC$2&amp;'Output annual'!$AD$2&amp;"*FangerPMV(Hourly)",'Eplus results'!$1:$1048576,ROW(),FALSE)</f>
        <v>0</v>
      </c>
      <c r="AD4727" s="580">
        <f t="shared" si="401"/>
        <v>5</v>
      </c>
      <c r="AE4727" s="580">
        <f t="shared" si="402"/>
        <v>2.5</v>
      </c>
      <c r="AF4727" s="580">
        <f t="shared" si="403"/>
        <v>2.5</v>
      </c>
      <c r="AG4727" s="580">
        <f t="shared" si="404"/>
        <v>0</v>
      </c>
      <c r="AH4727" s="580">
        <f t="shared" si="405"/>
        <v>0</v>
      </c>
    </row>
    <row r="4728" spans="28:34">
      <c r="AB4728" s="580">
        <f>HLOOKUP("*"&amp;'Output annual'!$AC$2&amp;'Output annual'!$AD$2&amp;"*Zone People Number Of Occupants [](Hourly)",'Eplus results'!$1:$1048576,ROW(),FALSE)</f>
        <v>0</v>
      </c>
      <c r="AC4728" s="580">
        <f>HLOOKUP("*"&amp;'Output annual'!$AC$2&amp;'Output annual'!$AD$2&amp;"*FangerPMV(Hourly)",'Eplus results'!$1:$1048576,ROW(),FALSE)</f>
        <v>0</v>
      </c>
      <c r="AD4728" s="580">
        <f t="shared" si="401"/>
        <v>5</v>
      </c>
      <c r="AE4728" s="580">
        <f t="shared" si="402"/>
        <v>2.5</v>
      </c>
      <c r="AF4728" s="580">
        <f t="shared" si="403"/>
        <v>2.5</v>
      </c>
      <c r="AG4728" s="580">
        <f t="shared" si="404"/>
        <v>0</v>
      </c>
      <c r="AH4728" s="580">
        <f t="shared" si="405"/>
        <v>0</v>
      </c>
    </row>
    <row r="4729" spans="28:34">
      <c r="AB4729" s="580">
        <f>HLOOKUP("*"&amp;'Output annual'!$AC$2&amp;'Output annual'!$AD$2&amp;"*Zone People Number Of Occupants [](Hourly)",'Eplus results'!$1:$1048576,ROW(),FALSE)</f>
        <v>0</v>
      </c>
      <c r="AC4729" s="580">
        <f>HLOOKUP("*"&amp;'Output annual'!$AC$2&amp;'Output annual'!$AD$2&amp;"*FangerPMV(Hourly)",'Eplus results'!$1:$1048576,ROW(),FALSE)</f>
        <v>0</v>
      </c>
      <c r="AD4729" s="580">
        <f t="shared" si="401"/>
        <v>5</v>
      </c>
      <c r="AE4729" s="580">
        <f t="shared" si="402"/>
        <v>2.5</v>
      </c>
      <c r="AF4729" s="580">
        <f t="shared" si="403"/>
        <v>2.5</v>
      </c>
      <c r="AG4729" s="580">
        <f t="shared" si="404"/>
        <v>0</v>
      </c>
      <c r="AH4729" s="580">
        <f t="shared" si="405"/>
        <v>0</v>
      </c>
    </row>
    <row r="4730" spans="28:34">
      <c r="AB4730" s="580">
        <f>HLOOKUP("*"&amp;'Output annual'!$AC$2&amp;'Output annual'!$AD$2&amp;"*Zone People Number Of Occupants [](Hourly)",'Eplus results'!$1:$1048576,ROW(),FALSE)</f>
        <v>0</v>
      </c>
      <c r="AC4730" s="580">
        <f>HLOOKUP("*"&amp;'Output annual'!$AC$2&amp;'Output annual'!$AD$2&amp;"*FangerPMV(Hourly)",'Eplus results'!$1:$1048576,ROW(),FALSE)</f>
        <v>0</v>
      </c>
      <c r="AD4730" s="580">
        <f t="shared" si="401"/>
        <v>5</v>
      </c>
      <c r="AE4730" s="580">
        <f t="shared" si="402"/>
        <v>2.5</v>
      </c>
      <c r="AF4730" s="580">
        <f t="shared" si="403"/>
        <v>2.5</v>
      </c>
      <c r="AG4730" s="580">
        <f t="shared" si="404"/>
        <v>0</v>
      </c>
      <c r="AH4730" s="580">
        <f t="shared" si="405"/>
        <v>0</v>
      </c>
    </row>
    <row r="4731" spans="28:34">
      <c r="AB4731" s="580">
        <f>HLOOKUP("*"&amp;'Output annual'!$AC$2&amp;'Output annual'!$AD$2&amp;"*Zone People Number Of Occupants [](Hourly)",'Eplus results'!$1:$1048576,ROW(),FALSE)</f>
        <v>0</v>
      </c>
      <c r="AC4731" s="580">
        <f>HLOOKUP("*"&amp;'Output annual'!$AC$2&amp;'Output annual'!$AD$2&amp;"*FangerPMV(Hourly)",'Eplus results'!$1:$1048576,ROW(),FALSE)</f>
        <v>0</v>
      </c>
      <c r="AD4731" s="580">
        <f t="shared" si="401"/>
        <v>5</v>
      </c>
      <c r="AE4731" s="580">
        <f t="shared" si="402"/>
        <v>2.5</v>
      </c>
      <c r="AF4731" s="580">
        <f t="shared" si="403"/>
        <v>2.5</v>
      </c>
      <c r="AG4731" s="580">
        <f t="shared" si="404"/>
        <v>0</v>
      </c>
      <c r="AH4731" s="580">
        <f t="shared" si="405"/>
        <v>0</v>
      </c>
    </row>
    <row r="4732" spans="28:34">
      <c r="AB4732" s="580">
        <f>HLOOKUP("*"&amp;'Output annual'!$AC$2&amp;'Output annual'!$AD$2&amp;"*Zone People Number Of Occupants [](Hourly)",'Eplus results'!$1:$1048576,ROW(),FALSE)</f>
        <v>0</v>
      </c>
      <c r="AC4732" s="580">
        <f>HLOOKUP("*"&amp;'Output annual'!$AC$2&amp;'Output annual'!$AD$2&amp;"*FangerPMV(Hourly)",'Eplus results'!$1:$1048576,ROW(),FALSE)</f>
        <v>0</v>
      </c>
      <c r="AD4732" s="580">
        <f t="shared" si="401"/>
        <v>5</v>
      </c>
      <c r="AE4732" s="580">
        <f t="shared" si="402"/>
        <v>2.5</v>
      </c>
      <c r="AF4732" s="580">
        <f t="shared" si="403"/>
        <v>2.5</v>
      </c>
      <c r="AG4732" s="580">
        <f t="shared" si="404"/>
        <v>0</v>
      </c>
      <c r="AH4732" s="580">
        <f t="shared" si="405"/>
        <v>0</v>
      </c>
    </row>
    <row r="4733" spans="28:34">
      <c r="AB4733" s="580">
        <f>HLOOKUP("*"&amp;'Output annual'!$AC$2&amp;'Output annual'!$AD$2&amp;"*Zone People Number Of Occupants [](Hourly)",'Eplus results'!$1:$1048576,ROW(),FALSE)</f>
        <v>0</v>
      </c>
      <c r="AC4733" s="580">
        <f>HLOOKUP("*"&amp;'Output annual'!$AC$2&amp;'Output annual'!$AD$2&amp;"*FangerPMV(Hourly)",'Eplus results'!$1:$1048576,ROW(),FALSE)</f>
        <v>0</v>
      </c>
      <c r="AD4733" s="580">
        <f t="shared" si="401"/>
        <v>5</v>
      </c>
      <c r="AE4733" s="580">
        <f t="shared" si="402"/>
        <v>2.5</v>
      </c>
      <c r="AF4733" s="580">
        <f t="shared" si="403"/>
        <v>2.5</v>
      </c>
      <c r="AG4733" s="580">
        <f t="shared" si="404"/>
        <v>0</v>
      </c>
      <c r="AH4733" s="580">
        <f t="shared" si="405"/>
        <v>0</v>
      </c>
    </row>
    <row r="4734" spans="28:34">
      <c r="AB4734" s="580">
        <f>HLOOKUP("*"&amp;'Output annual'!$AC$2&amp;'Output annual'!$AD$2&amp;"*Zone People Number Of Occupants [](Hourly)",'Eplus results'!$1:$1048576,ROW(),FALSE)</f>
        <v>0</v>
      </c>
      <c r="AC4734" s="580">
        <f>HLOOKUP("*"&amp;'Output annual'!$AC$2&amp;'Output annual'!$AD$2&amp;"*FangerPMV(Hourly)",'Eplus results'!$1:$1048576,ROW(),FALSE)</f>
        <v>0</v>
      </c>
      <c r="AD4734" s="580">
        <f t="shared" si="401"/>
        <v>5</v>
      </c>
      <c r="AE4734" s="580">
        <f t="shared" si="402"/>
        <v>2.5</v>
      </c>
      <c r="AF4734" s="580">
        <f t="shared" si="403"/>
        <v>2.5</v>
      </c>
      <c r="AG4734" s="580">
        <f t="shared" si="404"/>
        <v>0</v>
      </c>
      <c r="AH4734" s="580">
        <f t="shared" si="405"/>
        <v>0</v>
      </c>
    </row>
    <row r="4735" spans="28:34">
      <c r="AB4735" s="580">
        <f>HLOOKUP("*"&amp;'Output annual'!$AC$2&amp;'Output annual'!$AD$2&amp;"*Zone People Number Of Occupants [](Hourly)",'Eplus results'!$1:$1048576,ROW(),FALSE)</f>
        <v>0</v>
      </c>
      <c r="AC4735" s="580">
        <f>HLOOKUP("*"&amp;'Output annual'!$AC$2&amp;'Output annual'!$AD$2&amp;"*FangerPMV(Hourly)",'Eplus results'!$1:$1048576,ROW(),FALSE)</f>
        <v>0</v>
      </c>
      <c r="AD4735" s="580">
        <f t="shared" si="401"/>
        <v>5</v>
      </c>
      <c r="AE4735" s="580">
        <f t="shared" si="402"/>
        <v>2.5</v>
      </c>
      <c r="AF4735" s="580">
        <f t="shared" si="403"/>
        <v>2.5</v>
      </c>
      <c r="AG4735" s="580">
        <f t="shared" si="404"/>
        <v>0</v>
      </c>
      <c r="AH4735" s="580">
        <f t="shared" si="405"/>
        <v>0</v>
      </c>
    </row>
    <row r="4736" spans="28:34">
      <c r="AB4736" s="580">
        <f>HLOOKUP("*"&amp;'Output annual'!$AC$2&amp;'Output annual'!$AD$2&amp;"*Zone People Number Of Occupants [](Hourly)",'Eplus results'!$1:$1048576,ROW(),FALSE)</f>
        <v>0</v>
      </c>
      <c r="AC4736" s="580">
        <f>HLOOKUP("*"&amp;'Output annual'!$AC$2&amp;'Output annual'!$AD$2&amp;"*FangerPMV(Hourly)",'Eplus results'!$1:$1048576,ROW(),FALSE)</f>
        <v>0</v>
      </c>
      <c r="AD4736" s="580">
        <f t="shared" si="401"/>
        <v>5</v>
      </c>
      <c r="AE4736" s="580">
        <f t="shared" si="402"/>
        <v>2.5</v>
      </c>
      <c r="AF4736" s="580">
        <f t="shared" si="403"/>
        <v>2.5</v>
      </c>
      <c r="AG4736" s="580">
        <f t="shared" si="404"/>
        <v>0</v>
      </c>
      <c r="AH4736" s="580">
        <f t="shared" si="405"/>
        <v>0</v>
      </c>
    </row>
    <row r="4737" spans="28:34">
      <c r="AB4737" s="580">
        <f>HLOOKUP("*"&amp;'Output annual'!$AC$2&amp;'Output annual'!$AD$2&amp;"*Zone People Number Of Occupants [](Hourly)",'Eplus results'!$1:$1048576,ROW(),FALSE)</f>
        <v>0</v>
      </c>
      <c r="AC4737" s="580">
        <f>HLOOKUP("*"&amp;'Output annual'!$AC$2&amp;'Output annual'!$AD$2&amp;"*FangerPMV(Hourly)",'Eplus results'!$1:$1048576,ROW(),FALSE)</f>
        <v>0</v>
      </c>
      <c r="AD4737" s="580">
        <f t="shared" si="401"/>
        <v>5</v>
      </c>
      <c r="AE4737" s="580">
        <f t="shared" si="402"/>
        <v>2.5</v>
      </c>
      <c r="AF4737" s="580">
        <f t="shared" si="403"/>
        <v>2.5</v>
      </c>
      <c r="AG4737" s="580">
        <f t="shared" si="404"/>
        <v>0</v>
      </c>
      <c r="AH4737" s="580">
        <f t="shared" si="405"/>
        <v>0</v>
      </c>
    </row>
    <row r="4738" spans="28:34">
      <c r="AB4738" s="580">
        <f>HLOOKUP("*"&amp;'Output annual'!$AC$2&amp;'Output annual'!$AD$2&amp;"*Zone People Number Of Occupants [](Hourly)",'Eplus results'!$1:$1048576,ROW(),FALSE)</f>
        <v>0</v>
      </c>
      <c r="AC4738" s="580">
        <f>HLOOKUP("*"&amp;'Output annual'!$AC$2&amp;'Output annual'!$AD$2&amp;"*FangerPMV(Hourly)",'Eplus results'!$1:$1048576,ROW(),FALSE)</f>
        <v>0</v>
      </c>
      <c r="AD4738" s="580">
        <f t="shared" si="401"/>
        <v>5</v>
      </c>
      <c r="AE4738" s="580">
        <f t="shared" si="402"/>
        <v>2.5</v>
      </c>
      <c r="AF4738" s="580">
        <f t="shared" si="403"/>
        <v>2.5</v>
      </c>
      <c r="AG4738" s="580">
        <f t="shared" si="404"/>
        <v>0</v>
      </c>
      <c r="AH4738" s="580">
        <f t="shared" si="405"/>
        <v>0</v>
      </c>
    </row>
    <row r="4739" spans="28:34">
      <c r="AB4739" s="580">
        <f>HLOOKUP("*"&amp;'Output annual'!$AC$2&amp;'Output annual'!$AD$2&amp;"*Zone People Number Of Occupants [](Hourly)",'Eplus results'!$1:$1048576,ROW(),FALSE)</f>
        <v>0</v>
      </c>
      <c r="AC4739" s="580">
        <f>HLOOKUP("*"&amp;'Output annual'!$AC$2&amp;'Output annual'!$AD$2&amp;"*FangerPMV(Hourly)",'Eplus results'!$1:$1048576,ROW(),FALSE)</f>
        <v>0</v>
      </c>
      <c r="AD4739" s="580">
        <f t="shared" ref="AD4739:AD4802" si="406">100-95*EXP(-0.03353*AC4739^4-0.2179*AC4739^2)</f>
        <v>5</v>
      </c>
      <c r="AE4739" s="580">
        <f t="shared" ref="AE4739:AE4802" si="407">AD4739*(1/(1+EXP(-6.3*$AC4739)))</f>
        <v>2.5</v>
      </c>
      <c r="AF4739" s="580">
        <f t="shared" ref="AF4739:AF4802" si="408">(AD4739-AE4739)</f>
        <v>2.5</v>
      </c>
      <c r="AG4739" s="580">
        <f t="shared" ref="AG4739:AG4802" si="409">AE4739*AB4739</f>
        <v>0</v>
      </c>
      <c r="AH4739" s="580">
        <f t="shared" ref="AH4739:AH4802" si="410">AF4739*AB4739</f>
        <v>0</v>
      </c>
    </row>
    <row r="4740" spans="28:34">
      <c r="AB4740" s="580">
        <f>HLOOKUP("*"&amp;'Output annual'!$AC$2&amp;'Output annual'!$AD$2&amp;"*Zone People Number Of Occupants [](Hourly)",'Eplus results'!$1:$1048576,ROW(),FALSE)</f>
        <v>0</v>
      </c>
      <c r="AC4740" s="580">
        <f>HLOOKUP("*"&amp;'Output annual'!$AC$2&amp;'Output annual'!$AD$2&amp;"*FangerPMV(Hourly)",'Eplus results'!$1:$1048576,ROW(),FALSE)</f>
        <v>0</v>
      </c>
      <c r="AD4740" s="580">
        <f t="shared" si="406"/>
        <v>5</v>
      </c>
      <c r="AE4740" s="580">
        <f t="shared" si="407"/>
        <v>2.5</v>
      </c>
      <c r="AF4740" s="580">
        <f t="shared" si="408"/>
        <v>2.5</v>
      </c>
      <c r="AG4740" s="580">
        <f t="shared" si="409"/>
        <v>0</v>
      </c>
      <c r="AH4740" s="580">
        <f t="shared" si="410"/>
        <v>0</v>
      </c>
    </row>
    <row r="4741" spans="28:34">
      <c r="AB4741" s="580">
        <f>HLOOKUP("*"&amp;'Output annual'!$AC$2&amp;'Output annual'!$AD$2&amp;"*Zone People Number Of Occupants [](Hourly)",'Eplus results'!$1:$1048576,ROW(),FALSE)</f>
        <v>0</v>
      </c>
      <c r="AC4741" s="580">
        <f>HLOOKUP("*"&amp;'Output annual'!$AC$2&amp;'Output annual'!$AD$2&amp;"*FangerPMV(Hourly)",'Eplus results'!$1:$1048576,ROW(),FALSE)</f>
        <v>0</v>
      </c>
      <c r="AD4741" s="580">
        <f t="shared" si="406"/>
        <v>5</v>
      </c>
      <c r="AE4741" s="580">
        <f t="shared" si="407"/>
        <v>2.5</v>
      </c>
      <c r="AF4741" s="580">
        <f t="shared" si="408"/>
        <v>2.5</v>
      </c>
      <c r="AG4741" s="580">
        <f t="shared" si="409"/>
        <v>0</v>
      </c>
      <c r="AH4741" s="580">
        <f t="shared" si="410"/>
        <v>0</v>
      </c>
    </row>
    <row r="4742" spans="28:34">
      <c r="AB4742" s="580">
        <f>HLOOKUP("*"&amp;'Output annual'!$AC$2&amp;'Output annual'!$AD$2&amp;"*Zone People Number Of Occupants [](Hourly)",'Eplus results'!$1:$1048576,ROW(),FALSE)</f>
        <v>0</v>
      </c>
      <c r="AC4742" s="580">
        <f>HLOOKUP("*"&amp;'Output annual'!$AC$2&amp;'Output annual'!$AD$2&amp;"*FangerPMV(Hourly)",'Eplus results'!$1:$1048576,ROW(),FALSE)</f>
        <v>0</v>
      </c>
      <c r="AD4742" s="580">
        <f t="shared" si="406"/>
        <v>5</v>
      </c>
      <c r="AE4742" s="580">
        <f t="shared" si="407"/>
        <v>2.5</v>
      </c>
      <c r="AF4742" s="580">
        <f t="shared" si="408"/>
        <v>2.5</v>
      </c>
      <c r="AG4742" s="580">
        <f t="shared" si="409"/>
        <v>0</v>
      </c>
      <c r="AH4742" s="580">
        <f t="shared" si="410"/>
        <v>0</v>
      </c>
    </row>
    <row r="4743" spans="28:34">
      <c r="AB4743" s="580">
        <f>HLOOKUP("*"&amp;'Output annual'!$AC$2&amp;'Output annual'!$AD$2&amp;"*Zone People Number Of Occupants [](Hourly)",'Eplus results'!$1:$1048576,ROW(),FALSE)</f>
        <v>0</v>
      </c>
      <c r="AC4743" s="580">
        <f>HLOOKUP("*"&amp;'Output annual'!$AC$2&amp;'Output annual'!$AD$2&amp;"*FangerPMV(Hourly)",'Eplus results'!$1:$1048576,ROW(),FALSE)</f>
        <v>0</v>
      </c>
      <c r="AD4743" s="580">
        <f t="shared" si="406"/>
        <v>5</v>
      </c>
      <c r="AE4743" s="580">
        <f t="shared" si="407"/>
        <v>2.5</v>
      </c>
      <c r="AF4743" s="580">
        <f t="shared" si="408"/>
        <v>2.5</v>
      </c>
      <c r="AG4743" s="580">
        <f t="shared" si="409"/>
        <v>0</v>
      </c>
      <c r="AH4743" s="580">
        <f t="shared" si="410"/>
        <v>0</v>
      </c>
    </row>
    <row r="4744" spans="28:34">
      <c r="AB4744" s="580">
        <f>HLOOKUP("*"&amp;'Output annual'!$AC$2&amp;'Output annual'!$AD$2&amp;"*Zone People Number Of Occupants [](Hourly)",'Eplus results'!$1:$1048576,ROW(),FALSE)</f>
        <v>0</v>
      </c>
      <c r="AC4744" s="580">
        <f>HLOOKUP("*"&amp;'Output annual'!$AC$2&amp;'Output annual'!$AD$2&amp;"*FangerPMV(Hourly)",'Eplus results'!$1:$1048576,ROW(),FALSE)</f>
        <v>0</v>
      </c>
      <c r="AD4744" s="580">
        <f t="shared" si="406"/>
        <v>5</v>
      </c>
      <c r="AE4744" s="580">
        <f t="shared" si="407"/>
        <v>2.5</v>
      </c>
      <c r="AF4744" s="580">
        <f t="shared" si="408"/>
        <v>2.5</v>
      </c>
      <c r="AG4744" s="580">
        <f t="shared" si="409"/>
        <v>0</v>
      </c>
      <c r="AH4744" s="580">
        <f t="shared" si="410"/>
        <v>0</v>
      </c>
    </row>
    <row r="4745" spans="28:34">
      <c r="AB4745" s="580">
        <f>HLOOKUP("*"&amp;'Output annual'!$AC$2&amp;'Output annual'!$AD$2&amp;"*Zone People Number Of Occupants [](Hourly)",'Eplus results'!$1:$1048576,ROW(),FALSE)</f>
        <v>0</v>
      </c>
      <c r="AC4745" s="580">
        <f>HLOOKUP("*"&amp;'Output annual'!$AC$2&amp;'Output annual'!$AD$2&amp;"*FangerPMV(Hourly)",'Eplus results'!$1:$1048576,ROW(),FALSE)</f>
        <v>0</v>
      </c>
      <c r="AD4745" s="580">
        <f t="shared" si="406"/>
        <v>5</v>
      </c>
      <c r="AE4745" s="580">
        <f t="shared" si="407"/>
        <v>2.5</v>
      </c>
      <c r="AF4745" s="580">
        <f t="shared" si="408"/>
        <v>2.5</v>
      </c>
      <c r="AG4745" s="580">
        <f t="shared" si="409"/>
        <v>0</v>
      </c>
      <c r="AH4745" s="580">
        <f t="shared" si="410"/>
        <v>0</v>
      </c>
    </row>
    <row r="4746" spans="28:34">
      <c r="AB4746" s="580">
        <f>HLOOKUP("*"&amp;'Output annual'!$AC$2&amp;'Output annual'!$AD$2&amp;"*Zone People Number Of Occupants [](Hourly)",'Eplus results'!$1:$1048576,ROW(),FALSE)</f>
        <v>0</v>
      </c>
      <c r="AC4746" s="580">
        <f>HLOOKUP("*"&amp;'Output annual'!$AC$2&amp;'Output annual'!$AD$2&amp;"*FangerPMV(Hourly)",'Eplus results'!$1:$1048576,ROW(),FALSE)</f>
        <v>0</v>
      </c>
      <c r="AD4746" s="580">
        <f t="shared" si="406"/>
        <v>5</v>
      </c>
      <c r="AE4746" s="580">
        <f t="shared" si="407"/>
        <v>2.5</v>
      </c>
      <c r="AF4746" s="580">
        <f t="shared" si="408"/>
        <v>2.5</v>
      </c>
      <c r="AG4746" s="580">
        <f t="shared" si="409"/>
        <v>0</v>
      </c>
      <c r="AH4746" s="580">
        <f t="shared" si="410"/>
        <v>0</v>
      </c>
    </row>
    <row r="4747" spans="28:34">
      <c r="AB4747" s="580">
        <f>HLOOKUP("*"&amp;'Output annual'!$AC$2&amp;'Output annual'!$AD$2&amp;"*Zone People Number Of Occupants [](Hourly)",'Eplus results'!$1:$1048576,ROW(),FALSE)</f>
        <v>0</v>
      </c>
      <c r="AC4747" s="580">
        <f>HLOOKUP("*"&amp;'Output annual'!$AC$2&amp;'Output annual'!$AD$2&amp;"*FangerPMV(Hourly)",'Eplus results'!$1:$1048576,ROW(),FALSE)</f>
        <v>0</v>
      </c>
      <c r="AD4747" s="580">
        <f t="shared" si="406"/>
        <v>5</v>
      </c>
      <c r="AE4747" s="580">
        <f t="shared" si="407"/>
        <v>2.5</v>
      </c>
      <c r="AF4747" s="580">
        <f t="shared" si="408"/>
        <v>2.5</v>
      </c>
      <c r="AG4747" s="580">
        <f t="shared" si="409"/>
        <v>0</v>
      </c>
      <c r="AH4747" s="580">
        <f t="shared" si="410"/>
        <v>0</v>
      </c>
    </row>
    <row r="4748" spans="28:34">
      <c r="AB4748" s="580">
        <f>HLOOKUP("*"&amp;'Output annual'!$AC$2&amp;'Output annual'!$AD$2&amp;"*Zone People Number Of Occupants [](Hourly)",'Eplus results'!$1:$1048576,ROW(),FALSE)</f>
        <v>0</v>
      </c>
      <c r="AC4748" s="580">
        <f>HLOOKUP("*"&amp;'Output annual'!$AC$2&amp;'Output annual'!$AD$2&amp;"*FangerPMV(Hourly)",'Eplus results'!$1:$1048576,ROW(),FALSE)</f>
        <v>0</v>
      </c>
      <c r="AD4748" s="580">
        <f t="shared" si="406"/>
        <v>5</v>
      </c>
      <c r="AE4748" s="580">
        <f t="shared" si="407"/>
        <v>2.5</v>
      </c>
      <c r="AF4748" s="580">
        <f t="shared" si="408"/>
        <v>2.5</v>
      </c>
      <c r="AG4748" s="580">
        <f t="shared" si="409"/>
        <v>0</v>
      </c>
      <c r="AH4748" s="580">
        <f t="shared" si="410"/>
        <v>0</v>
      </c>
    </row>
    <row r="4749" spans="28:34">
      <c r="AB4749" s="580">
        <f>HLOOKUP("*"&amp;'Output annual'!$AC$2&amp;'Output annual'!$AD$2&amp;"*Zone People Number Of Occupants [](Hourly)",'Eplus results'!$1:$1048576,ROW(),FALSE)</f>
        <v>0</v>
      </c>
      <c r="AC4749" s="580">
        <f>HLOOKUP("*"&amp;'Output annual'!$AC$2&amp;'Output annual'!$AD$2&amp;"*FangerPMV(Hourly)",'Eplus results'!$1:$1048576,ROW(),FALSE)</f>
        <v>0</v>
      </c>
      <c r="AD4749" s="580">
        <f t="shared" si="406"/>
        <v>5</v>
      </c>
      <c r="AE4749" s="580">
        <f t="shared" si="407"/>
        <v>2.5</v>
      </c>
      <c r="AF4749" s="580">
        <f t="shared" si="408"/>
        <v>2.5</v>
      </c>
      <c r="AG4749" s="580">
        <f t="shared" si="409"/>
        <v>0</v>
      </c>
      <c r="AH4749" s="580">
        <f t="shared" si="410"/>
        <v>0</v>
      </c>
    </row>
    <row r="4750" spans="28:34">
      <c r="AB4750" s="580">
        <f>HLOOKUP("*"&amp;'Output annual'!$AC$2&amp;'Output annual'!$AD$2&amp;"*Zone People Number Of Occupants [](Hourly)",'Eplus results'!$1:$1048576,ROW(),FALSE)</f>
        <v>0</v>
      </c>
      <c r="AC4750" s="580">
        <f>HLOOKUP("*"&amp;'Output annual'!$AC$2&amp;'Output annual'!$AD$2&amp;"*FangerPMV(Hourly)",'Eplus results'!$1:$1048576,ROW(),FALSE)</f>
        <v>0</v>
      </c>
      <c r="AD4750" s="580">
        <f t="shared" si="406"/>
        <v>5</v>
      </c>
      <c r="AE4750" s="580">
        <f t="shared" si="407"/>
        <v>2.5</v>
      </c>
      <c r="AF4750" s="580">
        <f t="shared" si="408"/>
        <v>2.5</v>
      </c>
      <c r="AG4750" s="580">
        <f t="shared" si="409"/>
        <v>0</v>
      </c>
      <c r="AH4750" s="580">
        <f t="shared" si="410"/>
        <v>0</v>
      </c>
    </row>
    <row r="4751" spans="28:34">
      <c r="AB4751" s="580">
        <f>HLOOKUP("*"&amp;'Output annual'!$AC$2&amp;'Output annual'!$AD$2&amp;"*Zone People Number Of Occupants [](Hourly)",'Eplus results'!$1:$1048576,ROW(),FALSE)</f>
        <v>0</v>
      </c>
      <c r="AC4751" s="580">
        <f>HLOOKUP("*"&amp;'Output annual'!$AC$2&amp;'Output annual'!$AD$2&amp;"*FangerPMV(Hourly)",'Eplus results'!$1:$1048576,ROW(),FALSE)</f>
        <v>0</v>
      </c>
      <c r="AD4751" s="580">
        <f t="shared" si="406"/>
        <v>5</v>
      </c>
      <c r="AE4751" s="580">
        <f t="shared" si="407"/>
        <v>2.5</v>
      </c>
      <c r="AF4751" s="580">
        <f t="shared" si="408"/>
        <v>2.5</v>
      </c>
      <c r="AG4751" s="580">
        <f t="shared" si="409"/>
        <v>0</v>
      </c>
      <c r="AH4751" s="580">
        <f t="shared" si="410"/>
        <v>0</v>
      </c>
    </row>
    <row r="4752" spans="28:34">
      <c r="AB4752" s="580">
        <f>HLOOKUP("*"&amp;'Output annual'!$AC$2&amp;'Output annual'!$AD$2&amp;"*Zone People Number Of Occupants [](Hourly)",'Eplus results'!$1:$1048576,ROW(),FALSE)</f>
        <v>0</v>
      </c>
      <c r="AC4752" s="580">
        <f>HLOOKUP("*"&amp;'Output annual'!$AC$2&amp;'Output annual'!$AD$2&amp;"*FangerPMV(Hourly)",'Eplus results'!$1:$1048576,ROW(),FALSE)</f>
        <v>0</v>
      </c>
      <c r="AD4752" s="580">
        <f t="shared" si="406"/>
        <v>5</v>
      </c>
      <c r="AE4752" s="580">
        <f t="shared" si="407"/>
        <v>2.5</v>
      </c>
      <c r="AF4752" s="580">
        <f t="shared" si="408"/>
        <v>2.5</v>
      </c>
      <c r="AG4752" s="580">
        <f t="shared" si="409"/>
        <v>0</v>
      </c>
      <c r="AH4752" s="580">
        <f t="shared" si="410"/>
        <v>0</v>
      </c>
    </row>
    <row r="4753" spans="28:34">
      <c r="AB4753" s="580">
        <f>HLOOKUP("*"&amp;'Output annual'!$AC$2&amp;'Output annual'!$AD$2&amp;"*Zone People Number Of Occupants [](Hourly)",'Eplus results'!$1:$1048576,ROW(),FALSE)</f>
        <v>0</v>
      </c>
      <c r="AC4753" s="580">
        <f>HLOOKUP("*"&amp;'Output annual'!$AC$2&amp;'Output annual'!$AD$2&amp;"*FangerPMV(Hourly)",'Eplus results'!$1:$1048576,ROW(),FALSE)</f>
        <v>0</v>
      </c>
      <c r="AD4753" s="580">
        <f t="shared" si="406"/>
        <v>5</v>
      </c>
      <c r="AE4753" s="580">
        <f t="shared" si="407"/>
        <v>2.5</v>
      </c>
      <c r="AF4753" s="580">
        <f t="shared" si="408"/>
        <v>2.5</v>
      </c>
      <c r="AG4753" s="580">
        <f t="shared" si="409"/>
        <v>0</v>
      </c>
      <c r="AH4753" s="580">
        <f t="shared" si="410"/>
        <v>0</v>
      </c>
    </row>
    <row r="4754" spans="28:34">
      <c r="AB4754" s="580">
        <f>HLOOKUP("*"&amp;'Output annual'!$AC$2&amp;'Output annual'!$AD$2&amp;"*Zone People Number Of Occupants [](Hourly)",'Eplus results'!$1:$1048576,ROW(),FALSE)</f>
        <v>0</v>
      </c>
      <c r="AC4754" s="580">
        <f>HLOOKUP("*"&amp;'Output annual'!$AC$2&amp;'Output annual'!$AD$2&amp;"*FangerPMV(Hourly)",'Eplus results'!$1:$1048576,ROW(),FALSE)</f>
        <v>0</v>
      </c>
      <c r="AD4754" s="580">
        <f t="shared" si="406"/>
        <v>5</v>
      </c>
      <c r="AE4754" s="580">
        <f t="shared" si="407"/>
        <v>2.5</v>
      </c>
      <c r="AF4754" s="580">
        <f t="shared" si="408"/>
        <v>2.5</v>
      </c>
      <c r="AG4754" s="580">
        <f t="shared" si="409"/>
        <v>0</v>
      </c>
      <c r="AH4754" s="580">
        <f t="shared" si="410"/>
        <v>0</v>
      </c>
    </row>
    <row r="4755" spans="28:34">
      <c r="AB4755" s="580">
        <f>HLOOKUP("*"&amp;'Output annual'!$AC$2&amp;'Output annual'!$AD$2&amp;"*Zone People Number Of Occupants [](Hourly)",'Eplus results'!$1:$1048576,ROW(),FALSE)</f>
        <v>0</v>
      </c>
      <c r="AC4755" s="580">
        <f>HLOOKUP("*"&amp;'Output annual'!$AC$2&amp;'Output annual'!$AD$2&amp;"*FangerPMV(Hourly)",'Eplus results'!$1:$1048576,ROW(),FALSE)</f>
        <v>0</v>
      </c>
      <c r="AD4755" s="580">
        <f t="shared" si="406"/>
        <v>5</v>
      </c>
      <c r="AE4755" s="580">
        <f t="shared" si="407"/>
        <v>2.5</v>
      </c>
      <c r="AF4755" s="580">
        <f t="shared" si="408"/>
        <v>2.5</v>
      </c>
      <c r="AG4755" s="580">
        <f t="shared" si="409"/>
        <v>0</v>
      </c>
      <c r="AH4755" s="580">
        <f t="shared" si="410"/>
        <v>0</v>
      </c>
    </row>
    <row r="4756" spans="28:34">
      <c r="AB4756" s="580">
        <f>HLOOKUP("*"&amp;'Output annual'!$AC$2&amp;'Output annual'!$AD$2&amp;"*Zone People Number Of Occupants [](Hourly)",'Eplus results'!$1:$1048576,ROW(),FALSE)</f>
        <v>0</v>
      </c>
      <c r="AC4756" s="580">
        <f>HLOOKUP("*"&amp;'Output annual'!$AC$2&amp;'Output annual'!$AD$2&amp;"*FangerPMV(Hourly)",'Eplus results'!$1:$1048576,ROW(),FALSE)</f>
        <v>0</v>
      </c>
      <c r="AD4756" s="580">
        <f t="shared" si="406"/>
        <v>5</v>
      </c>
      <c r="AE4756" s="580">
        <f t="shared" si="407"/>
        <v>2.5</v>
      </c>
      <c r="AF4756" s="580">
        <f t="shared" si="408"/>
        <v>2.5</v>
      </c>
      <c r="AG4756" s="580">
        <f t="shared" si="409"/>
        <v>0</v>
      </c>
      <c r="AH4756" s="580">
        <f t="shared" si="410"/>
        <v>0</v>
      </c>
    </row>
    <row r="4757" spans="28:34">
      <c r="AB4757" s="580">
        <f>HLOOKUP("*"&amp;'Output annual'!$AC$2&amp;'Output annual'!$AD$2&amp;"*Zone People Number Of Occupants [](Hourly)",'Eplus results'!$1:$1048576,ROW(),FALSE)</f>
        <v>0</v>
      </c>
      <c r="AC4757" s="580">
        <f>HLOOKUP("*"&amp;'Output annual'!$AC$2&amp;'Output annual'!$AD$2&amp;"*FangerPMV(Hourly)",'Eplus results'!$1:$1048576,ROW(),FALSE)</f>
        <v>0</v>
      </c>
      <c r="AD4757" s="580">
        <f t="shared" si="406"/>
        <v>5</v>
      </c>
      <c r="AE4757" s="580">
        <f t="shared" si="407"/>
        <v>2.5</v>
      </c>
      <c r="AF4757" s="580">
        <f t="shared" si="408"/>
        <v>2.5</v>
      </c>
      <c r="AG4757" s="580">
        <f t="shared" si="409"/>
        <v>0</v>
      </c>
      <c r="AH4757" s="580">
        <f t="shared" si="410"/>
        <v>0</v>
      </c>
    </row>
    <row r="4758" spans="28:34">
      <c r="AB4758" s="580">
        <f>HLOOKUP("*"&amp;'Output annual'!$AC$2&amp;'Output annual'!$AD$2&amp;"*Zone People Number Of Occupants [](Hourly)",'Eplus results'!$1:$1048576,ROW(),FALSE)</f>
        <v>0</v>
      </c>
      <c r="AC4758" s="580">
        <f>HLOOKUP("*"&amp;'Output annual'!$AC$2&amp;'Output annual'!$AD$2&amp;"*FangerPMV(Hourly)",'Eplus results'!$1:$1048576,ROW(),FALSE)</f>
        <v>0</v>
      </c>
      <c r="AD4758" s="580">
        <f t="shared" si="406"/>
        <v>5</v>
      </c>
      <c r="AE4758" s="580">
        <f t="shared" si="407"/>
        <v>2.5</v>
      </c>
      <c r="AF4758" s="580">
        <f t="shared" si="408"/>
        <v>2.5</v>
      </c>
      <c r="AG4758" s="580">
        <f t="shared" si="409"/>
        <v>0</v>
      </c>
      <c r="AH4758" s="580">
        <f t="shared" si="410"/>
        <v>0</v>
      </c>
    </row>
    <row r="4759" spans="28:34">
      <c r="AB4759" s="580">
        <f>HLOOKUP("*"&amp;'Output annual'!$AC$2&amp;'Output annual'!$AD$2&amp;"*Zone People Number Of Occupants [](Hourly)",'Eplus results'!$1:$1048576,ROW(),FALSE)</f>
        <v>0</v>
      </c>
      <c r="AC4759" s="580">
        <f>HLOOKUP("*"&amp;'Output annual'!$AC$2&amp;'Output annual'!$AD$2&amp;"*FangerPMV(Hourly)",'Eplus results'!$1:$1048576,ROW(),FALSE)</f>
        <v>0</v>
      </c>
      <c r="AD4759" s="580">
        <f t="shared" si="406"/>
        <v>5</v>
      </c>
      <c r="AE4759" s="580">
        <f t="shared" si="407"/>
        <v>2.5</v>
      </c>
      <c r="AF4759" s="580">
        <f t="shared" si="408"/>
        <v>2.5</v>
      </c>
      <c r="AG4759" s="580">
        <f t="shared" si="409"/>
        <v>0</v>
      </c>
      <c r="AH4759" s="580">
        <f t="shared" si="410"/>
        <v>0</v>
      </c>
    </row>
    <row r="4760" spans="28:34">
      <c r="AB4760" s="580">
        <f>HLOOKUP("*"&amp;'Output annual'!$AC$2&amp;'Output annual'!$AD$2&amp;"*Zone People Number Of Occupants [](Hourly)",'Eplus results'!$1:$1048576,ROW(),FALSE)</f>
        <v>0</v>
      </c>
      <c r="AC4760" s="580">
        <f>HLOOKUP("*"&amp;'Output annual'!$AC$2&amp;'Output annual'!$AD$2&amp;"*FangerPMV(Hourly)",'Eplus results'!$1:$1048576,ROW(),FALSE)</f>
        <v>0</v>
      </c>
      <c r="AD4760" s="580">
        <f t="shared" si="406"/>
        <v>5</v>
      </c>
      <c r="AE4760" s="580">
        <f t="shared" si="407"/>
        <v>2.5</v>
      </c>
      <c r="AF4760" s="580">
        <f t="shared" si="408"/>
        <v>2.5</v>
      </c>
      <c r="AG4760" s="580">
        <f t="shared" si="409"/>
        <v>0</v>
      </c>
      <c r="AH4760" s="580">
        <f t="shared" si="410"/>
        <v>0</v>
      </c>
    </row>
    <row r="4761" spans="28:34">
      <c r="AB4761" s="580">
        <f>HLOOKUP("*"&amp;'Output annual'!$AC$2&amp;'Output annual'!$AD$2&amp;"*Zone People Number Of Occupants [](Hourly)",'Eplus results'!$1:$1048576,ROW(),FALSE)</f>
        <v>0</v>
      </c>
      <c r="AC4761" s="580">
        <f>HLOOKUP("*"&amp;'Output annual'!$AC$2&amp;'Output annual'!$AD$2&amp;"*FangerPMV(Hourly)",'Eplus results'!$1:$1048576,ROW(),FALSE)</f>
        <v>0</v>
      </c>
      <c r="AD4761" s="580">
        <f t="shared" si="406"/>
        <v>5</v>
      </c>
      <c r="AE4761" s="580">
        <f t="shared" si="407"/>
        <v>2.5</v>
      </c>
      <c r="AF4761" s="580">
        <f t="shared" si="408"/>
        <v>2.5</v>
      </c>
      <c r="AG4761" s="580">
        <f t="shared" si="409"/>
        <v>0</v>
      </c>
      <c r="AH4761" s="580">
        <f t="shared" si="410"/>
        <v>0</v>
      </c>
    </row>
    <row r="4762" spans="28:34">
      <c r="AB4762" s="580">
        <f>HLOOKUP("*"&amp;'Output annual'!$AC$2&amp;'Output annual'!$AD$2&amp;"*Zone People Number Of Occupants [](Hourly)",'Eplus results'!$1:$1048576,ROW(),FALSE)</f>
        <v>0</v>
      </c>
      <c r="AC4762" s="580">
        <f>HLOOKUP("*"&amp;'Output annual'!$AC$2&amp;'Output annual'!$AD$2&amp;"*FangerPMV(Hourly)",'Eplus results'!$1:$1048576,ROW(),FALSE)</f>
        <v>0</v>
      </c>
      <c r="AD4762" s="580">
        <f t="shared" si="406"/>
        <v>5</v>
      </c>
      <c r="AE4762" s="580">
        <f t="shared" si="407"/>
        <v>2.5</v>
      </c>
      <c r="AF4762" s="580">
        <f t="shared" si="408"/>
        <v>2.5</v>
      </c>
      <c r="AG4762" s="580">
        <f t="shared" si="409"/>
        <v>0</v>
      </c>
      <c r="AH4762" s="580">
        <f t="shared" si="410"/>
        <v>0</v>
      </c>
    </row>
    <row r="4763" spans="28:34">
      <c r="AB4763" s="580">
        <f>HLOOKUP("*"&amp;'Output annual'!$AC$2&amp;'Output annual'!$AD$2&amp;"*Zone People Number Of Occupants [](Hourly)",'Eplus results'!$1:$1048576,ROW(),FALSE)</f>
        <v>0</v>
      </c>
      <c r="AC4763" s="580">
        <f>HLOOKUP("*"&amp;'Output annual'!$AC$2&amp;'Output annual'!$AD$2&amp;"*FangerPMV(Hourly)",'Eplus results'!$1:$1048576,ROW(),FALSE)</f>
        <v>0</v>
      </c>
      <c r="AD4763" s="580">
        <f t="shared" si="406"/>
        <v>5</v>
      </c>
      <c r="AE4763" s="580">
        <f t="shared" si="407"/>
        <v>2.5</v>
      </c>
      <c r="AF4763" s="580">
        <f t="shared" si="408"/>
        <v>2.5</v>
      </c>
      <c r="AG4763" s="580">
        <f t="shared" si="409"/>
        <v>0</v>
      </c>
      <c r="AH4763" s="580">
        <f t="shared" si="410"/>
        <v>0</v>
      </c>
    </row>
    <row r="4764" spans="28:34">
      <c r="AB4764" s="580">
        <f>HLOOKUP("*"&amp;'Output annual'!$AC$2&amp;'Output annual'!$AD$2&amp;"*Zone People Number Of Occupants [](Hourly)",'Eplus results'!$1:$1048576,ROW(),FALSE)</f>
        <v>0</v>
      </c>
      <c r="AC4764" s="580">
        <f>HLOOKUP("*"&amp;'Output annual'!$AC$2&amp;'Output annual'!$AD$2&amp;"*FangerPMV(Hourly)",'Eplus results'!$1:$1048576,ROW(),FALSE)</f>
        <v>0</v>
      </c>
      <c r="AD4764" s="580">
        <f t="shared" si="406"/>
        <v>5</v>
      </c>
      <c r="AE4764" s="580">
        <f t="shared" si="407"/>
        <v>2.5</v>
      </c>
      <c r="AF4764" s="580">
        <f t="shared" si="408"/>
        <v>2.5</v>
      </c>
      <c r="AG4764" s="580">
        <f t="shared" si="409"/>
        <v>0</v>
      </c>
      <c r="AH4764" s="580">
        <f t="shared" si="410"/>
        <v>0</v>
      </c>
    </row>
    <row r="4765" spans="28:34">
      <c r="AB4765" s="580">
        <f>HLOOKUP("*"&amp;'Output annual'!$AC$2&amp;'Output annual'!$AD$2&amp;"*Zone People Number Of Occupants [](Hourly)",'Eplus results'!$1:$1048576,ROW(),FALSE)</f>
        <v>0</v>
      </c>
      <c r="AC4765" s="580">
        <f>HLOOKUP("*"&amp;'Output annual'!$AC$2&amp;'Output annual'!$AD$2&amp;"*FangerPMV(Hourly)",'Eplus results'!$1:$1048576,ROW(),FALSE)</f>
        <v>0</v>
      </c>
      <c r="AD4765" s="580">
        <f t="shared" si="406"/>
        <v>5</v>
      </c>
      <c r="AE4765" s="580">
        <f t="shared" si="407"/>
        <v>2.5</v>
      </c>
      <c r="AF4765" s="580">
        <f t="shared" si="408"/>
        <v>2.5</v>
      </c>
      <c r="AG4765" s="580">
        <f t="shared" si="409"/>
        <v>0</v>
      </c>
      <c r="AH4765" s="580">
        <f t="shared" si="410"/>
        <v>0</v>
      </c>
    </row>
    <row r="4766" spans="28:34">
      <c r="AB4766" s="580">
        <f>HLOOKUP("*"&amp;'Output annual'!$AC$2&amp;'Output annual'!$AD$2&amp;"*Zone People Number Of Occupants [](Hourly)",'Eplus results'!$1:$1048576,ROW(),FALSE)</f>
        <v>0</v>
      </c>
      <c r="AC4766" s="580">
        <f>HLOOKUP("*"&amp;'Output annual'!$AC$2&amp;'Output annual'!$AD$2&amp;"*FangerPMV(Hourly)",'Eplus results'!$1:$1048576,ROW(),FALSE)</f>
        <v>0</v>
      </c>
      <c r="AD4766" s="580">
        <f t="shared" si="406"/>
        <v>5</v>
      </c>
      <c r="AE4766" s="580">
        <f t="shared" si="407"/>
        <v>2.5</v>
      </c>
      <c r="AF4766" s="580">
        <f t="shared" si="408"/>
        <v>2.5</v>
      </c>
      <c r="AG4766" s="580">
        <f t="shared" si="409"/>
        <v>0</v>
      </c>
      <c r="AH4766" s="580">
        <f t="shared" si="410"/>
        <v>0</v>
      </c>
    </row>
    <row r="4767" spans="28:34">
      <c r="AB4767" s="580">
        <f>HLOOKUP("*"&amp;'Output annual'!$AC$2&amp;'Output annual'!$AD$2&amp;"*Zone People Number Of Occupants [](Hourly)",'Eplus results'!$1:$1048576,ROW(),FALSE)</f>
        <v>0</v>
      </c>
      <c r="AC4767" s="580">
        <f>HLOOKUP("*"&amp;'Output annual'!$AC$2&amp;'Output annual'!$AD$2&amp;"*FangerPMV(Hourly)",'Eplus results'!$1:$1048576,ROW(),FALSE)</f>
        <v>0</v>
      </c>
      <c r="AD4767" s="580">
        <f t="shared" si="406"/>
        <v>5</v>
      </c>
      <c r="AE4767" s="580">
        <f t="shared" si="407"/>
        <v>2.5</v>
      </c>
      <c r="AF4767" s="580">
        <f t="shared" si="408"/>
        <v>2.5</v>
      </c>
      <c r="AG4767" s="580">
        <f t="shared" si="409"/>
        <v>0</v>
      </c>
      <c r="AH4767" s="580">
        <f t="shared" si="410"/>
        <v>0</v>
      </c>
    </row>
    <row r="4768" spans="28:34">
      <c r="AB4768" s="580">
        <f>HLOOKUP("*"&amp;'Output annual'!$AC$2&amp;'Output annual'!$AD$2&amp;"*Zone People Number Of Occupants [](Hourly)",'Eplus results'!$1:$1048576,ROW(),FALSE)</f>
        <v>0</v>
      </c>
      <c r="AC4768" s="580">
        <f>HLOOKUP("*"&amp;'Output annual'!$AC$2&amp;'Output annual'!$AD$2&amp;"*FangerPMV(Hourly)",'Eplus results'!$1:$1048576,ROW(),FALSE)</f>
        <v>0</v>
      </c>
      <c r="AD4768" s="580">
        <f t="shared" si="406"/>
        <v>5</v>
      </c>
      <c r="AE4768" s="580">
        <f t="shared" si="407"/>
        <v>2.5</v>
      </c>
      <c r="AF4768" s="580">
        <f t="shared" si="408"/>
        <v>2.5</v>
      </c>
      <c r="AG4768" s="580">
        <f t="shared" si="409"/>
        <v>0</v>
      </c>
      <c r="AH4768" s="580">
        <f t="shared" si="410"/>
        <v>0</v>
      </c>
    </row>
    <row r="4769" spans="28:34">
      <c r="AB4769" s="580">
        <f>HLOOKUP("*"&amp;'Output annual'!$AC$2&amp;'Output annual'!$AD$2&amp;"*Zone People Number Of Occupants [](Hourly)",'Eplus results'!$1:$1048576,ROW(),FALSE)</f>
        <v>0</v>
      </c>
      <c r="AC4769" s="580">
        <f>HLOOKUP("*"&amp;'Output annual'!$AC$2&amp;'Output annual'!$AD$2&amp;"*FangerPMV(Hourly)",'Eplus results'!$1:$1048576,ROW(),FALSE)</f>
        <v>0</v>
      </c>
      <c r="AD4769" s="580">
        <f t="shared" si="406"/>
        <v>5</v>
      </c>
      <c r="AE4769" s="580">
        <f t="shared" si="407"/>
        <v>2.5</v>
      </c>
      <c r="AF4769" s="580">
        <f t="shared" si="408"/>
        <v>2.5</v>
      </c>
      <c r="AG4769" s="580">
        <f t="shared" si="409"/>
        <v>0</v>
      </c>
      <c r="AH4769" s="580">
        <f t="shared" si="410"/>
        <v>0</v>
      </c>
    </row>
    <row r="4770" spans="28:34">
      <c r="AB4770" s="580">
        <f>HLOOKUP("*"&amp;'Output annual'!$AC$2&amp;'Output annual'!$AD$2&amp;"*Zone People Number Of Occupants [](Hourly)",'Eplus results'!$1:$1048576,ROW(),FALSE)</f>
        <v>0</v>
      </c>
      <c r="AC4770" s="580">
        <f>HLOOKUP("*"&amp;'Output annual'!$AC$2&amp;'Output annual'!$AD$2&amp;"*FangerPMV(Hourly)",'Eplus results'!$1:$1048576,ROW(),FALSE)</f>
        <v>0</v>
      </c>
      <c r="AD4770" s="580">
        <f t="shared" si="406"/>
        <v>5</v>
      </c>
      <c r="AE4770" s="580">
        <f t="shared" si="407"/>
        <v>2.5</v>
      </c>
      <c r="AF4770" s="580">
        <f t="shared" si="408"/>
        <v>2.5</v>
      </c>
      <c r="AG4770" s="580">
        <f t="shared" si="409"/>
        <v>0</v>
      </c>
      <c r="AH4770" s="580">
        <f t="shared" si="410"/>
        <v>0</v>
      </c>
    </row>
    <row r="4771" spans="28:34">
      <c r="AB4771" s="580">
        <f>HLOOKUP("*"&amp;'Output annual'!$AC$2&amp;'Output annual'!$AD$2&amp;"*Zone People Number Of Occupants [](Hourly)",'Eplus results'!$1:$1048576,ROW(),FALSE)</f>
        <v>0</v>
      </c>
      <c r="AC4771" s="580">
        <f>HLOOKUP("*"&amp;'Output annual'!$AC$2&amp;'Output annual'!$AD$2&amp;"*FangerPMV(Hourly)",'Eplus results'!$1:$1048576,ROW(),FALSE)</f>
        <v>0</v>
      </c>
      <c r="AD4771" s="580">
        <f t="shared" si="406"/>
        <v>5</v>
      </c>
      <c r="AE4771" s="580">
        <f t="shared" si="407"/>
        <v>2.5</v>
      </c>
      <c r="AF4771" s="580">
        <f t="shared" si="408"/>
        <v>2.5</v>
      </c>
      <c r="AG4771" s="580">
        <f t="shared" si="409"/>
        <v>0</v>
      </c>
      <c r="AH4771" s="580">
        <f t="shared" si="410"/>
        <v>0</v>
      </c>
    </row>
    <row r="4772" spans="28:34">
      <c r="AB4772" s="580">
        <f>HLOOKUP("*"&amp;'Output annual'!$AC$2&amp;'Output annual'!$AD$2&amp;"*Zone People Number Of Occupants [](Hourly)",'Eplus results'!$1:$1048576,ROW(),FALSE)</f>
        <v>0</v>
      </c>
      <c r="AC4772" s="580">
        <f>HLOOKUP("*"&amp;'Output annual'!$AC$2&amp;'Output annual'!$AD$2&amp;"*FangerPMV(Hourly)",'Eplus results'!$1:$1048576,ROW(),FALSE)</f>
        <v>0</v>
      </c>
      <c r="AD4772" s="580">
        <f t="shared" si="406"/>
        <v>5</v>
      </c>
      <c r="AE4772" s="580">
        <f t="shared" si="407"/>
        <v>2.5</v>
      </c>
      <c r="AF4772" s="580">
        <f t="shared" si="408"/>
        <v>2.5</v>
      </c>
      <c r="AG4772" s="580">
        <f t="shared" si="409"/>
        <v>0</v>
      </c>
      <c r="AH4772" s="580">
        <f t="shared" si="410"/>
        <v>0</v>
      </c>
    </row>
    <row r="4773" spans="28:34">
      <c r="AB4773" s="580">
        <f>HLOOKUP("*"&amp;'Output annual'!$AC$2&amp;'Output annual'!$AD$2&amp;"*Zone People Number Of Occupants [](Hourly)",'Eplus results'!$1:$1048576,ROW(),FALSE)</f>
        <v>0</v>
      </c>
      <c r="AC4773" s="580">
        <f>HLOOKUP("*"&amp;'Output annual'!$AC$2&amp;'Output annual'!$AD$2&amp;"*FangerPMV(Hourly)",'Eplus results'!$1:$1048576,ROW(),FALSE)</f>
        <v>0</v>
      </c>
      <c r="AD4773" s="580">
        <f t="shared" si="406"/>
        <v>5</v>
      </c>
      <c r="AE4773" s="580">
        <f t="shared" si="407"/>
        <v>2.5</v>
      </c>
      <c r="AF4773" s="580">
        <f t="shared" si="408"/>
        <v>2.5</v>
      </c>
      <c r="AG4773" s="580">
        <f t="shared" si="409"/>
        <v>0</v>
      </c>
      <c r="AH4773" s="580">
        <f t="shared" si="410"/>
        <v>0</v>
      </c>
    </row>
    <row r="4774" spans="28:34">
      <c r="AB4774" s="580">
        <f>HLOOKUP("*"&amp;'Output annual'!$AC$2&amp;'Output annual'!$AD$2&amp;"*Zone People Number Of Occupants [](Hourly)",'Eplus results'!$1:$1048576,ROW(),FALSE)</f>
        <v>0</v>
      </c>
      <c r="AC4774" s="580">
        <f>HLOOKUP("*"&amp;'Output annual'!$AC$2&amp;'Output annual'!$AD$2&amp;"*FangerPMV(Hourly)",'Eplus results'!$1:$1048576,ROW(),FALSE)</f>
        <v>0</v>
      </c>
      <c r="AD4774" s="580">
        <f t="shared" si="406"/>
        <v>5</v>
      </c>
      <c r="AE4774" s="580">
        <f t="shared" si="407"/>
        <v>2.5</v>
      </c>
      <c r="AF4774" s="580">
        <f t="shared" si="408"/>
        <v>2.5</v>
      </c>
      <c r="AG4774" s="580">
        <f t="shared" si="409"/>
        <v>0</v>
      </c>
      <c r="AH4774" s="580">
        <f t="shared" si="410"/>
        <v>0</v>
      </c>
    </row>
    <row r="4775" spans="28:34">
      <c r="AB4775" s="580">
        <f>HLOOKUP("*"&amp;'Output annual'!$AC$2&amp;'Output annual'!$AD$2&amp;"*Zone People Number Of Occupants [](Hourly)",'Eplus results'!$1:$1048576,ROW(),FALSE)</f>
        <v>0</v>
      </c>
      <c r="AC4775" s="580">
        <f>HLOOKUP("*"&amp;'Output annual'!$AC$2&amp;'Output annual'!$AD$2&amp;"*FangerPMV(Hourly)",'Eplus results'!$1:$1048576,ROW(),FALSE)</f>
        <v>0</v>
      </c>
      <c r="AD4775" s="580">
        <f t="shared" si="406"/>
        <v>5</v>
      </c>
      <c r="AE4775" s="580">
        <f t="shared" si="407"/>
        <v>2.5</v>
      </c>
      <c r="AF4775" s="580">
        <f t="shared" si="408"/>
        <v>2.5</v>
      </c>
      <c r="AG4775" s="580">
        <f t="shared" si="409"/>
        <v>0</v>
      </c>
      <c r="AH4775" s="580">
        <f t="shared" si="410"/>
        <v>0</v>
      </c>
    </row>
    <row r="4776" spans="28:34">
      <c r="AB4776" s="580">
        <f>HLOOKUP("*"&amp;'Output annual'!$AC$2&amp;'Output annual'!$AD$2&amp;"*Zone People Number Of Occupants [](Hourly)",'Eplus results'!$1:$1048576,ROW(),FALSE)</f>
        <v>0</v>
      </c>
      <c r="AC4776" s="580">
        <f>HLOOKUP("*"&amp;'Output annual'!$AC$2&amp;'Output annual'!$AD$2&amp;"*FangerPMV(Hourly)",'Eplus results'!$1:$1048576,ROW(),FALSE)</f>
        <v>0</v>
      </c>
      <c r="AD4776" s="580">
        <f t="shared" si="406"/>
        <v>5</v>
      </c>
      <c r="AE4776" s="580">
        <f t="shared" si="407"/>
        <v>2.5</v>
      </c>
      <c r="AF4776" s="580">
        <f t="shared" si="408"/>
        <v>2.5</v>
      </c>
      <c r="AG4776" s="580">
        <f t="shared" si="409"/>
        <v>0</v>
      </c>
      <c r="AH4776" s="580">
        <f t="shared" si="410"/>
        <v>0</v>
      </c>
    </row>
    <row r="4777" spans="28:34">
      <c r="AB4777" s="580">
        <f>HLOOKUP("*"&amp;'Output annual'!$AC$2&amp;'Output annual'!$AD$2&amp;"*Zone People Number Of Occupants [](Hourly)",'Eplus results'!$1:$1048576,ROW(),FALSE)</f>
        <v>0</v>
      </c>
      <c r="AC4777" s="580">
        <f>HLOOKUP("*"&amp;'Output annual'!$AC$2&amp;'Output annual'!$AD$2&amp;"*FangerPMV(Hourly)",'Eplus results'!$1:$1048576,ROW(),FALSE)</f>
        <v>0</v>
      </c>
      <c r="AD4777" s="580">
        <f t="shared" si="406"/>
        <v>5</v>
      </c>
      <c r="AE4777" s="580">
        <f t="shared" si="407"/>
        <v>2.5</v>
      </c>
      <c r="AF4777" s="580">
        <f t="shared" si="408"/>
        <v>2.5</v>
      </c>
      <c r="AG4777" s="580">
        <f t="shared" si="409"/>
        <v>0</v>
      </c>
      <c r="AH4777" s="580">
        <f t="shared" si="410"/>
        <v>0</v>
      </c>
    </row>
    <row r="4778" spans="28:34">
      <c r="AB4778" s="580">
        <f>HLOOKUP("*"&amp;'Output annual'!$AC$2&amp;'Output annual'!$AD$2&amp;"*Zone People Number Of Occupants [](Hourly)",'Eplus results'!$1:$1048576,ROW(),FALSE)</f>
        <v>0</v>
      </c>
      <c r="AC4778" s="580">
        <f>HLOOKUP("*"&amp;'Output annual'!$AC$2&amp;'Output annual'!$AD$2&amp;"*FangerPMV(Hourly)",'Eplus results'!$1:$1048576,ROW(),FALSE)</f>
        <v>0</v>
      </c>
      <c r="AD4778" s="580">
        <f t="shared" si="406"/>
        <v>5</v>
      </c>
      <c r="AE4778" s="580">
        <f t="shared" si="407"/>
        <v>2.5</v>
      </c>
      <c r="AF4778" s="580">
        <f t="shared" si="408"/>
        <v>2.5</v>
      </c>
      <c r="AG4778" s="580">
        <f t="shared" si="409"/>
        <v>0</v>
      </c>
      <c r="AH4778" s="580">
        <f t="shared" si="410"/>
        <v>0</v>
      </c>
    </row>
    <row r="4779" spans="28:34">
      <c r="AB4779" s="580">
        <f>HLOOKUP("*"&amp;'Output annual'!$AC$2&amp;'Output annual'!$AD$2&amp;"*Zone People Number Of Occupants [](Hourly)",'Eplus results'!$1:$1048576,ROW(),FALSE)</f>
        <v>0</v>
      </c>
      <c r="AC4779" s="580">
        <f>HLOOKUP("*"&amp;'Output annual'!$AC$2&amp;'Output annual'!$AD$2&amp;"*FangerPMV(Hourly)",'Eplus results'!$1:$1048576,ROW(),FALSE)</f>
        <v>0</v>
      </c>
      <c r="AD4779" s="580">
        <f t="shared" si="406"/>
        <v>5</v>
      </c>
      <c r="AE4779" s="580">
        <f t="shared" si="407"/>
        <v>2.5</v>
      </c>
      <c r="AF4779" s="580">
        <f t="shared" si="408"/>
        <v>2.5</v>
      </c>
      <c r="AG4779" s="580">
        <f t="shared" si="409"/>
        <v>0</v>
      </c>
      <c r="AH4779" s="580">
        <f t="shared" si="410"/>
        <v>0</v>
      </c>
    </row>
    <row r="4780" spans="28:34">
      <c r="AB4780" s="580">
        <f>HLOOKUP("*"&amp;'Output annual'!$AC$2&amp;'Output annual'!$AD$2&amp;"*Zone People Number Of Occupants [](Hourly)",'Eplus results'!$1:$1048576,ROW(),FALSE)</f>
        <v>0</v>
      </c>
      <c r="AC4780" s="580">
        <f>HLOOKUP("*"&amp;'Output annual'!$AC$2&amp;'Output annual'!$AD$2&amp;"*FangerPMV(Hourly)",'Eplus results'!$1:$1048576,ROW(),FALSE)</f>
        <v>0</v>
      </c>
      <c r="AD4780" s="580">
        <f t="shared" si="406"/>
        <v>5</v>
      </c>
      <c r="AE4780" s="580">
        <f t="shared" si="407"/>
        <v>2.5</v>
      </c>
      <c r="AF4780" s="580">
        <f t="shared" si="408"/>
        <v>2.5</v>
      </c>
      <c r="AG4780" s="580">
        <f t="shared" si="409"/>
        <v>0</v>
      </c>
      <c r="AH4780" s="580">
        <f t="shared" si="410"/>
        <v>0</v>
      </c>
    </row>
    <row r="4781" spans="28:34">
      <c r="AB4781" s="580">
        <f>HLOOKUP("*"&amp;'Output annual'!$AC$2&amp;'Output annual'!$AD$2&amp;"*Zone People Number Of Occupants [](Hourly)",'Eplus results'!$1:$1048576,ROW(),FALSE)</f>
        <v>0</v>
      </c>
      <c r="AC4781" s="580">
        <f>HLOOKUP("*"&amp;'Output annual'!$AC$2&amp;'Output annual'!$AD$2&amp;"*FangerPMV(Hourly)",'Eplus results'!$1:$1048576,ROW(),FALSE)</f>
        <v>0</v>
      </c>
      <c r="AD4781" s="580">
        <f t="shared" si="406"/>
        <v>5</v>
      </c>
      <c r="AE4781" s="580">
        <f t="shared" si="407"/>
        <v>2.5</v>
      </c>
      <c r="AF4781" s="580">
        <f t="shared" si="408"/>
        <v>2.5</v>
      </c>
      <c r="AG4781" s="580">
        <f t="shared" si="409"/>
        <v>0</v>
      </c>
      <c r="AH4781" s="580">
        <f t="shared" si="410"/>
        <v>0</v>
      </c>
    </row>
    <row r="4782" spans="28:34">
      <c r="AB4782" s="580">
        <f>HLOOKUP("*"&amp;'Output annual'!$AC$2&amp;'Output annual'!$AD$2&amp;"*Zone People Number Of Occupants [](Hourly)",'Eplus results'!$1:$1048576,ROW(),FALSE)</f>
        <v>0</v>
      </c>
      <c r="AC4782" s="580">
        <f>HLOOKUP("*"&amp;'Output annual'!$AC$2&amp;'Output annual'!$AD$2&amp;"*FangerPMV(Hourly)",'Eplus results'!$1:$1048576,ROW(),FALSE)</f>
        <v>0</v>
      </c>
      <c r="AD4782" s="580">
        <f t="shared" si="406"/>
        <v>5</v>
      </c>
      <c r="AE4782" s="580">
        <f t="shared" si="407"/>
        <v>2.5</v>
      </c>
      <c r="AF4782" s="580">
        <f t="shared" si="408"/>
        <v>2.5</v>
      </c>
      <c r="AG4782" s="580">
        <f t="shared" si="409"/>
        <v>0</v>
      </c>
      <c r="AH4782" s="580">
        <f t="shared" si="410"/>
        <v>0</v>
      </c>
    </row>
    <row r="4783" spans="28:34">
      <c r="AB4783" s="580">
        <f>HLOOKUP("*"&amp;'Output annual'!$AC$2&amp;'Output annual'!$AD$2&amp;"*Zone People Number Of Occupants [](Hourly)",'Eplus results'!$1:$1048576,ROW(),FALSE)</f>
        <v>0</v>
      </c>
      <c r="AC4783" s="580">
        <f>HLOOKUP("*"&amp;'Output annual'!$AC$2&amp;'Output annual'!$AD$2&amp;"*FangerPMV(Hourly)",'Eplus results'!$1:$1048576,ROW(),FALSE)</f>
        <v>0</v>
      </c>
      <c r="AD4783" s="580">
        <f t="shared" si="406"/>
        <v>5</v>
      </c>
      <c r="AE4783" s="580">
        <f t="shared" si="407"/>
        <v>2.5</v>
      </c>
      <c r="AF4783" s="580">
        <f t="shared" si="408"/>
        <v>2.5</v>
      </c>
      <c r="AG4783" s="580">
        <f t="shared" si="409"/>
        <v>0</v>
      </c>
      <c r="AH4783" s="580">
        <f t="shared" si="410"/>
        <v>0</v>
      </c>
    </row>
    <row r="4784" spans="28:34">
      <c r="AB4784" s="580">
        <f>HLOOKUP("*"&amp;'Output annual'!$AC$2&amp;'Output annual'!$AD$2&amp;"*Zone People Number Of Occupants [](Hourly)",'Eplus results'!$1:$1048576,ROW(),FALSE)</f>
        <v>0</v>
      </c>
      <c r="AC4784" s="580">
        <f>HLOOKUP("*"&amp;'Output annual'!$AC$2&amp;'Output annual'!$AD$2&amp;"*FangerPMV(Hourly)",'Eplus results'!$1:$1048576,ROW(),FALSE)</f>
        <v>0</v>
      </c>
      <c r="AD4784" s="580">
        <f t="shared" si="406"/>
        <v>5</v>
      </c>
      <c r="AE4784" s="580">
        <f t="shared" si="407"/>
        <v>2.5</v>
      </c>
      <c r="AF4784" s="580">
        <f t="shared" si="408"/>
        <v>2.5</v>
      </c>
      <c r="AG4784" s="580">
        <f t="shared" si="409"/>
        <v>0</v>
      </c>
      <c r="AH4784" s="580">
        <f t="shared" si="410"/>
        <v>0</v>
      </c>
    </row>
    <row r="4785" spans="28:34">
      <c r="AB4785" s="580">
        <f>HLOOKUP("*"&amp;'Output annual'!$AC$2&amp;'Output annual'!$AD$2&amp;"*Zone People Number Of Occupants [](Hourly)",'Eplus results'!$1:$1048576,ROW(),FALSE)</f>
        <v>0</v>
      </c>
      <c r="AC4785" s="580">
        <f>HLOOKUP("*"&amp;'Output annual'!$AC$2&amp;'Output annual'!$AD$2&amp;"*FangerPMV(Hourly)",'Eplus results'!$1:$1048576,ROW(),FALSE)</f>
        <v>0</v>
      </c>
      <c r="AD4785" s="580">
        <f t="shared" si="406"/>
        <v>5</v>
      </c>
      <c r="AE4785" s="580">
        <f t="shared" si="407"/>
        <v>2.5</v>
      </c>
      <c r="AF4785" s="580">
        <f t="shared" si="408"/>
        <v>2.5</v>
      </c>
      <c r="AG4785" s="580">
        <f t="shared" si="409"/>
        <v>0</v>
      </c>
      <c r="AH4785" s="580">
        <f t="shared" si="410"/>
        <v>0</v>
      </c>
    </row>
    <row r="4786" spans="28:34">
      <c r="AB4786" s="580">
        <f>HLOOKUP("*"&amp;'Output annual'!$AC$2&amp;'Output annual'!$AD$2&amp;"*Zone People Number Of Occupants [](Hourly)",'Eplus results'!$1:$1048576,ROW(),FALSE)</f>
        <v>0</v>
      </c>
      <c r="AC4786" s="580">
        <f>HLOOKUP("*"&amp;'Output annual'!$AC$2&amp;'Output annual'!$AD$2&amp;"*FangerPMV(Hourly)",'Eplus results'!$1:$1048576,ROW(),FALSE)</f>
        <v>0</v>
      </c>
      <c r="AD4786" s="580">
        <f t="shared" si="406"/>
        <v>5</v>
      </c>
      <c r="AE4786" s="580">
        <f t="shared" si="407"/>
        <v>2.5</v>
      </c>
      <c r="AF4786" s="580">
        <f t="shared" si="408"/>
        <v>2.5</v>
      </c>
      <c r="AG4786" s="580">
        <f t="shared" si="409"/>
        <v>0</v>
      </c>
      <c r="AH4786" s="580">
        <f t="shared" si="410"/>
        <v>0</v>
      </c>
    </row>
    <row r="4787" spans="28:34">
      <c r="AB4787" s="580">
        <f>HLOOKUP("*"&amp;'Output annual'!$AC$2&amp;'Output annual'!$AD$2&amp;"*Zone People Number Of Occupants [](Hourly)",'Eplus results'!$1:$1048576,ROW(),FALSE)</f>
        <v>0</v>
      </c>
      <c r="AC4787" s="580">
        <f>HLOOKUP("*"&amp;'Output annual'!$AC$2&amp;'Output annual'!$AD$2&amp;"*FangerPMV(Hourly)",'Eplus results'!$1:$1048576,ROW(),FALSE)</f>
        <v>0</v>
      </c>
      <c r="AD4787" s="580">
        <f t="shared" si="406"/>
        <v>5</v>
      </c>
      <c r="AE4787" s="580">
        <f t="shared" si="407"/>
        <v>2.5</v>
      </c>
      <c r="AF4787" s="580">
        <f t="shared" si="408"/>
        <v>2.5</v>
      </c>
      <c r="AG4787" s="580">
        <f t="shared" si="409"/>
        <v>0</v>
      </c>
      <c r="AH4787" s="580">
        <f t="shared" si="410"/>
        <v>0</v>
      </c>
    </row>
    <row r="4788" spans="28:34">
      <c r="AB4788" s="580">
        <f>HLOOKUP("*"&amp;'Output annual'!$AC$2&amp;'Output annual'!$AD$2&amp;"*Zone People Number Of Occupants [](Hourly)",'Eplus results'!$1:$1048576,ROW(),FALSE)</f>
        <v>0</v>
      </c>
      <c r="AC4788" s="580">
        <f>HLOOKUP("*"&amp;'Output annual'!$AC$2&amp;'Output annual'!$AD$2&amp;"*FangerPMV(Hourly)",'Eplus results'!$1:$1048576,ROW(),FALSE)</f>
        <v>0</v>
      </c>
      <c r="AD4788" s="580">
        <f t="shared" si="406"/>
        <v>5</v>
      </c>
      <c r="AE4788" s="580">
        <f t="shared" si="407"/>
        <v>2.5</v>
      </c>
      <c r="AF4788" s="580">
        <f t="shared" si="408"/>
        <v>2.5</v>
      </c>
      <c r="AG4788" s="580">
        <f t="shared" si="409"/>
        <v>0</v>
      </c>
      <c r="AH4788" s="580">
        <f t="shared" si="410"/>
        <v>0</v>
      </c>
    </row>
    <row r="4789" spans="28:34">
      <c r="AB4789" s="580">
        <f>HLOOKUP("*"&amp;'Output annual'!$AC$2&amp;'Output annual'!$AD$2&amp;"*Zone People Number Of Occupants [](Hourly)",'Eplus results'!$1:$1048576,ROW(),FALSE)</f>
        <v>0</v>
      </c>
      <c r="AC4789" s="580">
        <f>HLOOKUP("*"&amp;'Output annual'!$AC$2&amp;'Output annual'!$AD$2&amp;"*FangerPMV(Hourly)",'Eplus results'!$1:$1048576,ROW(),FALSE)</f>
        <v>0</v>
      </c>
      <c r="AD4789" s="580">
        <f t="shared" si="406"/>
        <v>5</v>
      </c>
      <c r="AE4789" s="580">
        <f t="shared" si="407"/>
        <v>2.5</v>
      </c>
      <c r="AF4789" s="580">
        <f t="shared" si="408"/>
        <v>2.5</v>
      </c>
      <c r="AG4789" s="580">
        <f t="shared" si="409"/>
        <v>0</v>
      </c>
      <c r="AH4789" s="580">
        <f t="shared" si="410"/>
        <v>0</v>
      </c>
    </row>
    <row r="4790" spans="28:34">
      <c r="AB4790" s="580">
        <f>HLOOKUP("*"&amp;'Output annual'!$AC$2&amp;'Output annual'!$AD$2&amp;"*Zone People Number Of Occupants [](Hourly)",'Eplus results'!$1:$1048576,ROW(),FALSE)</f>
        <v>0</v>
      </c>
      <c r="AC4790" s="580">
        <f>HLOOKUP("*"&amp;'Output annual'!$AC$2&amp;'Output annual'!$AD$2&amp;"*FangerPMV(Hourly)",'Eplus results'!$1:$1048576,ROW(),FALSE)</f>
        <v>0</v>
      </c>
      <c r="AD4790" s="580">
        <f t="shared" si="406"/>
        <v>5</v>
      </c>
      <c r="AE4790" s="580">
        <f t="shared" si="407"/>
        <v>2.5</v>
      </c>
      <c r="AF4790" s="580">
        <f t="shared" si="408"/>
        <v>2.5</v>
      </c>
      <c r="AG4790" s="580">
        <f t="shared" si="409"/>
        <v>0</v>
      </c>
      <c r="AH4790" s="580">
        <f t="shared" si="410"/>
        <v>0</v>
      </c>
    </row>
    <row r="4791" spans="28:34">
      <c r="AB4791" s="580">
        <f>HLOOKUP("*"&amp;'Output annual'!$AC$2&amp;'Output annual'!$AD$2&amp;"*Zone People Number Of Occupants [](Hourly)",'Eplus results'!$1:$1048576,ROW(),FALSE)</f>
        <v>0</v>
      </c>
      <c r="AC4791" s="580">
        <f>HLOOKUP("*"&amp;'Output annual'!$AC$2&amp;'Output annual'!$AD$2&amp;"*FangerPMV(Hourly)",'Eplus results'!$1:$1048576,ROW(),FALSE)</f>
        <v>0</v>
      </c>
      <c r="AD4791" s="580">
        <f t="shared" si="406"/>
        <v>5</v>
      </c>
      <c r="AE4791" s="580">
        <f t="shared" si="407"/>
        <v>2.5</v>
      </c>
      <c r="AF4791" s="580">
        <f t="shared" si="408"/>
        <v>2.5</v>
      </c>
      <c r="AG4791" s="580">
        <f t="shared" si="409"/>
        <v>0</v>
      </c>
      <c r="AH4791" s="580">
        <f t="shared" si="410"/>
        <v>0</v>
      </c>
    </row>
    <row r="4792" spans="28:34">
      <c r="AB4792" s="580">
        <f>HLOOKUP("*"&amp;'Output annual'!$AC$2&amp;'Output annual'!$AD$2&amp;"*Zone People Number Of Occupants [](Hourly)",'Eplus results'!$1:$1048576,ROW(),FALSE)</f>
        <v>0</v>
      </c>
      <c r="AC4792" s="580">
        <f>HLOOKUP("*"&amp;'Output annual'!$AC$2&amp;'Output annual'!$AD$2&amp;"*FangerPMV(Hourly)",'Eplus results'!$1:$1048576,ROW(),FALSE)</f>
        <v>0</v>
      </c>
      <c r="AD4792" s="580">
        <f t="shared" si="406"/>
        <v>5</v>
      </c>
      <c r="AE4792" s="580">
        <f t="shared" si="407"/>
        <v>2.5</v>
      </c>
      <c r="AF4792" s="580">
        <f t="shared" si="408"/>
        <v>2.5</v>
      </c>
      <c r="AG4792" s="580">
        <f t="shared" si="409"/>
        <v>0</v>
      </c>
      <c r="AH4792" s="580">
        <f t="shared" si="410"/>
        <v>0</v>
      </c>
    </row>
    <row r="4793" spans="28:34">
      <c r="AB4793" s="580">
        <f>HLOOKUP("*"&amp;'Output annual'!$AC$2&amp;'Output annual'!$AD$2&amp;"*Zone People Number Of Occupants [](Hourly)",'Eplus results'!$1:$1048576,ROW(),FALSE)</f>
        <v>0</v>
      </c>
      <c r="AC4793" s="580">
        <f>HLOOKUP("*"&amp;'Output annual'!$AC$2&amp;'Output annual'!$AD$2&amp;"*FangerPMV(Hourly)",'Eplus results'!$1:$1048576,ROW(),FALSE)</f>
        <v>0</v>
      </c>
      <c r="AD4793" s="580">
        <f t="shared" si="406"/>
        <v>5</v>
      </c>
      <c r="AE4793" s="580">
        <f t="shared" si="407"/>
        <v>2.5</v>
      </c>
      <c r="AF4793" s="580">
        <f t="shared" si="408"/>
        <v>2.5</v>
      </c>
      <c r="AG4793" s="580">
        <f t="shared" si="409"/>
        <v>0</v>
      </c>
      <c r="AH4793" s="580">
        <f t="shared" si="410"/>
        <v>0</v>
      </c>
    </row>
    <row r="4794" spans="28:34">
      <c r="AB4794" s="580">
        <f>HLOOKUP("*"&amp;'Output annual'!$AC$2&amp;'Output annual'!$AD$2&amp;"*Zone People Number Of Occupants [](Hourly)",'Eplus results'!$1:$1048576,ROW(),FALSE)</f>
        <v>0</v>
      </c>
      <c r="AC4794" s="580">
        <f>HLOOKUP("*"&amp;'Output annual'!$AC$2&amp;'Output annual'!$AD$2&amp;"*FangerPMV(Hourly)",'Eplus results'!$1:$1048576,ROW(),FALSE)</f>
        <v>0</v>
      </c>
      <c r="AD4794" s="580">
        <f t="shared" si="406"/>
        <v>5</v>
      </c>
      <c r="AE4794" s="580">
        <f t="shared" si="407"/>
        <v>2.5</v>
      </c>
      <c r="AF4794" s="580">
        <f t="shared" si="408"/>
        <v>2.5</v>
      </c>
      <c r="AG4794" s="580">
        <f t="shared" si="409"/>
        <v>0</v>
      </c>
      <c r="AH4794" s="580">
        <f t="shared" si="410"/>
        <v>0</v>
      </c>
    </row>
    <row r="4795" spans="28:34">
      <c r="AB4795" s="580">
        <f>HLOOKUP("*"&amp;'Output annual'!$AC$2&amp;'Output annual'!$AD$2&amp;"*Zone People Number Of Occupants [](Hourly)",'Eplus results'!$1:$1048576,ROW(),FALSE)</f>
        <v>0</v>
      </c>
      <c r="AC4795" s="580">
        <f>HLOOKUP("*"&amp;'Output annual'!$AC$2&amp;'Output annual'!$AD$2&amp;"*FangerPMV(Hourly)",'Eplus results'!$1:$1048576,ROW(),FALSE)</f>
        <v>0</v>
      </c>
      <c r="AD4795" s="580">
        <f t="shared" si="406"/>
        <v>5</v>
      </c>
      <c r="AE4795" s="580">
        <f t="shared" si="407"/>
        <v>2.5</v>
      </c>
      <c r="AF4795" s="580">
        <f t="shared" si="408"/>
        <v>2.5</v>
      </c>
      <c r="AG4795" s="580">
        <f t="shared" si="409"/>
        <v>0</v>
      </c>
      <c r="AH4795" s="580">
        <f t="shared" si="410"/>
        <v>0</v>
      </c>
    </row>
    <row r="4796" spans="28:34">
      <c r="AB4796" s="580">
        <f>HLOOKUP("*"&amp;'Output annual'!$AC$2&amp;'Output annual'!$AD$2&amp;"*Zone People Number Of Occupants [](Hourly)",'Eplus results'!$1:$1048576,ROW(),FALSE)</f>
        <v>0</v>
      </c>
      <c r="AC4796" s="580">
        <f>HLOOKUP("*"&amp;'Output annual'!$AC$2&amp;'Output annual'!$AD$2&amp;"*FangerPMV(Hourly)",'Eplus results'!$1:$1048576,ROW(),FALSE)</f>
        <v>0</v>
      </c>
      <c r="AD4796" s="580">
        <f t="shared" si="406"/>
        <v>5</v>
      </c>
      <c r="AE4796" s="580">
        <f t="shared" si="407"/>
        <v>2.5</v>
      </c>
      <c r="AF4796" s="580">
        <f t="shared" si="408"/>
        <v>2.5</v>
      </c>
      <c r="AG4796" s="580">
        <f t="shared" si="409"/>
        <v>0</v>
      </c>
      <c r="AH4796" s="580">
        <f t="shared" si="410"/>
        <v>0</v>
      </c>
    </row>
    <row r="4797" spans="28:34">
      <c r="AB4797" s="580">
        <f>HLOOKUP("*"&amp;'Output annual'!$AC$2&amp;'Output annual'!$AD$2&amp;"*Zone People Number Of Occupants [](Hourly)",'Eplus results'!$1:$1048576,ROW(),FALSE)</f>
        <v>0</v>
      </c>
      <c r="AC4797" s="580">
        <f>HLOOKUP("*"&amp;'Output annual'!$AC$2&amp;'Output annual'!$AD$2&amp;"*FangerPMV(Hourly)",'Eplus results'!$1:$1048576,ROW(),FALSE)</f>
        <v>0</v>
      </c>
      <c r="AD4797" s="580">
        <f t="shared" si="406"/>
        <v>5</v>
      </c>
      <c r="AE4797" s="580">
        <f t="shared" si="407"/>
        <v>2.5</v>
      </c>
      <c r="AF4797" s="580">
        <f t="shared" si="408"/>
        <v>2.5</v>
      </c>
      <c r="AG4797" s="580">
        <f t="shared" si="409"/>
        <v>0</v>
      </c>
      <c r="AH4797" s="580">
        <f t="shared" si="410"/>
        <v>0</v>
      </c>
    </row>
    <row r="4798" spans="28:34">
      <c r="AB4798" s="580">
        <f>HLOOKUP("*"&amp;'Output annual'!$AC$2&amp;'Output annual'!$AD$2&amp;"*Zone People Number Of Occupants [](Hourly)",'Eplus results'!$1:$1048576,ROW(),FALSE)</f>
        <v>0</v>
      </c>
      <c r="AC4798" s="580">
        <f>HLOOKUP("*"&amp;'Output annual'!$AC$2&amp;'Output annual'!$AD$2&amp;"*FangerPMV(Hourly)",'Eplus results'!$1:$1048576,ROW(),FALSE)</f>
        <v>0</v>
      </c>
      <c r="AD4798" s="580">
        <f t="shared" si="406"/>
        <v>5</v>
      </c>
      <c r="AE4798" s="580">
        <f t="shared" si="407"/>
        <v>2.5</v>
      </c>
      <c r="AF4798" s="580">
        <f t="shared" si="408"/>
        <v>2.5</v>
      </c>
      <c r="AG4798" s="580">
        <f t="shared" si="409"/>
        <v>0</v>
      </c>
      <c r="AH4798" s="580">
        <f t="shared" si="410"/>
        <v>0</v>
      </c>
    </row>
    <row r="4799" spans="28:34">
      <c r="AB4799" s="580">
        <f>HLOOKUP("*"&amp;'Output annual'!$AC$2&amp;'Output annual'!$AD$2&amp;"*Zone People Number Of Occupants [](Hourly)",'Eplus results'!$1:$1048576,ROW(),FALSE)</f>
        <v>0</v>
      </c>
      <c r="AC4799" s="580">
        <f>HLOOKUP("*"&amp;'Output annual'!$AC$2&amp;'Output annual'!$AD$2&amp;"*FangerPMV(Hourly)",'Eplus results'!$1:$1048576,ROW(),FALSE)</f>
        <v>0</v>
      </c>
      <c r="AD4799" s="580">
        <f t="shared" si="406"/>
        <v>5</v>
      </c>
      <c r="AE4799" s="580">
        <f t="shared" si="407"/>
        <v>2.5</v>
      </c>
      <c r="AF4799" s="580">
        <f t="shared" si="408"/>
        <v>2.5</v>
      </c>
      <c r="AG4799" s="580">
        <f t="shared" si="409"/>
        <v>0</v>
      </c>
      <c r="AH4799" s="580">
        <f t="shared" si="410"/>
        <v>0</v>
      </c>
    </row>
    <row r="4800" spans="28:34">
      <c r="AB4800" s="580">
        <f>HLOOKUP("*"&amp;'Output annual'!$AC$2&amp;'Output annual'!$AD$2&amp;"*Zone People Number Of Occupants [](Hourly)",'Eplus results'!$1:$1048576,ROW(),FALSE)</f>
        <v>0</v>
      </c>
      <c r="AC4800" s="580">
        <f>HLOOKUP("*"&amp;'Output annual'!$AC$2&amp;'Output annual'!$AD$2&amp;"*FangerPMV(Hourly)",'Eplus results'!$1:$1048576,ROW(),FALSE)</f>
        <v>0</v>
      </c>
      <c r="AD4800" s="580">
        <f t="shared" si="406"/>
        <v>5</v>
      </c>
      <c r="AE4800" s="580">
        <f t="shared" si="407"/>
        <v>2.5</v>
      </c>
      <c r="AF4800" s="580">
        <f t="shared" si="408"/>
        <v>2.5</v>
      </c>
      <c r="AG4800" s="580">
        <f t="shared" si="409"/>
        <v>0</v>
      </c>
      <c r="AH4800" s="580">
        <f t="shared" si="410"/>
        <v>0</v>
      </c>
    </row>
    <row r="4801" spans="28:34">
      <c r="AB4801" s="580">
        <f>HLOOKUP("*"&amp;'Output annual'!$AC$2&amp;'Output annual'!$AD$2&amp;"*Zone People Number Of Occupants [](Hourly)",'Eplus results'!$1:$1048576,ROW(),FALSE)</f>
        <v>0</v>
      </c>
      <c r="AC4801" s="580">
        <f>HLOOKUP("*"&amp;'Output annual'!$AC$2&amp;'Output annual'!$AD$2&amp;"*FangerPMV(Hourly)",'Eplus results'!$1:$1048576,ROW(),FALSE)</f>
        <v>0</v>
      </c>
      <c r="AD4801" s="580">
        <f t="shared" si="406"/>
        <v>5</v>
      </c>
      <c r="AE4801" s="580">
        <f t="shared" si="407"/>
        <v>2.5</v>
      </c>
      <c r="AF4801" s="580">
        <f t="shared" si="408"/>
        <v>2.5</v>
      </c>
      <c r="AG4801" s="580">
        <f t="shared" si="409"/>
        <v>0</v>
      </c>
      <c r="AH4801" s="580">
        <f t="shared" si="410"/>
        <v>0</v>
      </c>
    </row>
    <row r="4802" spans="28:34">
      <c r="AB4802" s="580">
        <f>HLOOKUP("*"&amp;'Output annual'!$AC$2&amp;'Output annual'!$AD$2&amp;"*Zone People Number Of Occupants [](Hourly)",'Eplus results'!$1:$1048576,ROW(),FALSE)</f>
        <v>0</v>
      </c>
      <c r="AC4802" s="580">
        <f>HLOOKUP("*"&amp;'Output annual'!$AC$2&amp;'Output annual'!$AD$2&amp;"*FangerPMV(Hourly)",'Eplus results'!$1:$1048576,ROW(),FALSE)</f>
        <v>0</v>
      </c>
      <c r="AD4802" s="580">
        <f t="shared" si="406"/>
        <v>5</v>
      </c>
      <c r="AE4802" s="580">
        <f t="shared" si="407"/>
        <v>2.5</v>
      </c>
      <c r="AF4802" s="580">
        <f t="shared" si="408"/>
        <v>2.5</v>
      </c>
      <c r="AG4802" s="580">
        <f t="shared" si="409"/>
        <v>0</v>
      </c>
      <c r="AH4802" s="580">
        <f t="shared" si="410"/>
        <v>0</v>
      </c>
    </row>
    <row r="4803" spans="28:34">
      <c r="AB4803" s="580">
        <f>HLOOKUP("*"&amp;'Output annual'!$AC$2&amp;'Output annual'!$AD$2&amp;"*Zone People Number Of Occupants [](Hourly)",'Eplus results'!$1:$1048576,ROW(),FALSE)</f>
        <v>0</v>
      </c>
      <c r="AC4803" s="580">
        <f>HLOOKUP("*"&amp;'Output annual'!$AC$2&amp;'Output annual'!$AD$2&amp;"*FangerPMV(Hourly)",'Eplus results'!$1:$1048576,ROW(),FALSE)</f>
        <v>0</v>
      </c>
      <c r="AD4803" s="580">
        <f t="shared" ref="AD4803:AD4866" si="411">100-95*EXP(-0.03353*AC4803^4-0.2179*AC4803^2)</f>
        <v>5</v>
      </c>
      <c r="AE4803" s="580">
        <f t="shared" ref="AE4803:AE4866" si="412">AD4803*(1/(1+EXP(-6.3*$AC4803)))</f>
        <v>2.5</v>
      </c>
      <c r="AF4803" s="580">
        <f t="shared" ref="AF4803:AF4866" si="413">(AD4803-AE4803)</f>
        <v>2.5</v>
      </c>
      <c r="AG4803" s="580">
        <f t="shared" ref="AG4803:AG4866" si="414">AE4803*AB4803</f>
        <v>0</v>
      </c>
      <c r="AH4803" s="580">
        <f t="shared" ref="AH4803:AH4866" si="415">AF4803*AB4803</f>
        <v>0</v>
      </c>
    </row>
    <row r="4804" spans="28:34">
      <c r="AB4804" s="580">
        <f>HLOOKUP("*"&amp;'Output annual'!$AC$2&amp;'Output annual'!$AD$2&amp;"*Zone People Number Of Occupants [](Hourly)",'Eplus results'!$1:$1048576,ROW(),FALSE)</f>
        <v>0</v>
      </c>
      <c r="AC4804" s="580">
        <f>HLOOKUP("*"&amp;'Output annual'!$AC$2&amp;'Output annual'!$AD$2&amp;"*FangerPMV(Hourly)",'Eplus results'!$1:$1048576,ROW(),FALSE)</f>
        <v>0</v>
      </c>
      <c r="AD4804" s="580">
        <f t="shared" si="411"/>
        <v>5</v>
      </c>
      <c r="AE4804" s="580">
        <f t="shared" si="412"/>
        <v>2.5</v>
      </c>
      <c r="AF4804" s="580">
        <f t="shared" si="413"/>
        <v>2.5</v>
      </c>
      <c r="AG4804" s="580">
        <f t="shared" si="414"/>
        <v>0</v>
      </c>
      <c r="AH4804" s="580">
        <f t="shared" si="415"/>
        <v>0</v>
      </c>
    </row>
    <row r="4805" spans="28:34">
      <c r="AB4805" s="580">
        <f>HLOOKUP("*"&amp;'Output annual'!$AC$2&amp;'Output annual'!$AD$2&amp;"*Zone People Number Of Occupants [](Hourly)",'Eplus results'!$1:$1048576,ROW(),FALSE)</f>
        <v>0</v>
      </c>
      <c r="AC4805" s="580">
        <f>HLOOKUP("*"&amp;'Output annual'!$AC$2&amp;'Output annual'!$AD$2&amp;"*FangerPMV(Hourly)",'Eplus results'!$1:$1048576,ROW(),FALSE)</f>
        <v>0</v>
      </c>
      <c r="AD4805" s="580">
        <f t="shared" si="411"/>
        <v>5</v>
      </c>
      <c r="AE4805" s="580">
        <f t="shared" si="412"/>
        <v>2.5</v>
      </c>
      <c r="AF4805" s="580">
        <f t="shared" si="413"/>
        <v>2.5</v>
      </c>
      <c r="AG4805" s="580">
        <f t="shared" si="414"/>
        <v>0</v>
      </c>
      <c r="AH4805" s="580">
        <f t="shared" si="415"/>
        <v>0</v>
      </c>
    </row>
    <row r="4806" spans="28:34">
      <c r="AB4806" s="580">
        <f>HLOOKUP("*"&amp;'Output annual'!$AC$2&amp;'Output annual'!$AD$2&amp;"*Zone People Number Of Occupants [](Hourly)",'Eplus results'!$1:$1048576,ROW(),FALSE)</f>
        <v>0</v>
      </c>
      <c r="AC4806" s="580">
        <f>HLOOKUP("*"&amp;'Output annual'!$AC$2&amp;'Output annual'!$AD$2&amp;"*FangerPMV(Hourly)",'Eplus results'!$1:$1048576,ROW(),FALSE)</f>
        <v>0</v>
      </c>
      <c r="AD4806" s="580">
        <f t="shared" si="411"/>
        <v>5</v>
      </c>
      <c r="AE4806" s="580">
        <f t="shared" si="412"/>
        <v>2.5</v>
      </c>
      <c r="AF4806" s="580">
        <f t="shared" si="413"/>
        <v>2.5</v>
      </c>
      <c r="AG4806" s="580">
        <f t="shared" si="414"/>
        <v>0</v>
      </c>
      <c r="AH4806" s="580">
        <f t="shared" si="415"/>
        <v>0</v>
      </c>
    </row>
    <row r="4807" spans="28:34">
      <c r="AB4807" s="580">
        <f>HLOOKUP("*"&amp;'Output annual'!$AC$2&amp;'Output annual'!$AD$2&amp;"*Zone People Number Of Occupants [](Hourly)",'Eplus results'!$1:$1048576,ROW(),FALSE)</f>
        <v>0</v>
      </c>
      <c r="AC4807" s="580">
        <f>HLOOKUP("*"&amp;'Output annual'!$AC$2&amp;'Output annual'!$AD$2&amp;"*FangerPMV(Hourly)",'Eplus results'!$1:$1048576,ROW(),FALSE)</f>
        <v>0</v>
      </c>
      <c r="AD4807" s="580">
        <f t="shared" si="411"/>
        <v>5</v>
      </c>
      <c r="AE4807" s="580">
        <f t="shared" si="412"/>
        <v>2.5</v>
      </c>
      <c r="AF4807" s="580">
        <f t="shared" si="413"/>
        <v>2.5</v>
      </c>
      <c r="AG4807" s="580">
        <f t="shared" si="414"/>
        <v>0</v>
      </c>
      <c r="AH4807" s="580">
        <f t="shared" si="415"/>
        <v>0</v>
      </c>
    </row>
    <row r="4808" spans="28:34">
      <c r="AB4808" s="580">
        <f>HLOOKUP("*"&amp;'Output annual'!$AC$2&amp;'Output annual'!$AD$2&amp;"*Zone People Number Of Occupants [](Hourly)",'Eplus results'!$1:$1048576,ROW(),FALSE)</f>
        <v>0</v>
      </c>
      <c r="AC4808" s="580">
        <f>HLOOKUP("*"&amp;'Output annual'!$AC$2&amp;'Output annual'!$AD$2&amp;"*FangerPMV(Hourly)",'Eplus results'!$1:$1048576,ROW(),FALSE)</f>
        <v>0</v>
      </c>
      <c r="AD4808" s="580">
        <f t="shared" si="411"/>
        <v>5</v>
      </c>
      <c r="AE4808" s="580">
        <f t="shared" si="412"/>
        <v>2.5</v>
      </c>
      <c r="AF4808" s="580">
        <f t="shared" si="413"/>
        <v>2.5</v>
      </c>
      <c r="AG4808" s="580">
        <f t="shared" si="414"/>
        <v>0</v>
      </c>
      <c r="AH4808" s="580">
        <f t="shared" si="415"/>
        <v>0</v>
      </c>
    </row>
    <row r="4809" spans="28:34">
      <c r="AB4809" s="580">
        <f>HLOOKUP("*"&amp;'Output annual'!$AC$2&amp;'Output annual'!$AD$2&amp;"*Zone People Number Of Occupants [](Hourly)",'Eplus results'!$1:$1048576,ROW(),FALSE)</f>
        <v>0</v>
      </c>
      <c r="AC4809" s="580">
        <f>HLOOKUP("*"&amp;'Output annual'!$AC$2&amp;'Output annual'!$AD$2&amp;"*FangerPMV(Hourly)",'Eplus results'!$1:$1048576,ROW(),FALSE)</f>
        <v>0</v>
      </c>
      <c r="AD4809" s="580">
        <f t="shared" si="411"/>
        <v>5</v>
      </c>
      <c r="AE4809" s="580">
        <f t="shared" si="412"/>
        <v>2.5</v>
      </c>
      <c r="AF4809" s="580">
        <f t="shared" si="413"/>
        <v>2.5</v>
      </c>
      <c r="AG4809" s="580">
        <f t="shared" si="414"/>
        <v>0</v>
      </c>
      <c r="AH4809" s="580">
        <f t="shared" si="415"/>
        <v>0</v>
      </c>
    </row>
    <row r="4810" spans="28:34">
      <c r="AB4810" s="580">
        <f>HLOOKUP("*"&amp;'Output annual'!$AC$2&amp;'Output annual'!$AD$2&amp;"*Zone People Number Of Occupants [](Hourly)",'Eplus results'!$1:$1048576,ROW(),FALSE)</f>
        <v>0</v>
      </c>
      <c r="AC4810" s="580">
        <f>HLOOKUP("*"&amp;'Output annual'!$AC$2&amp;'Output annual'!$AD$2&amp;"*FangerPMV(Hourly)",'Eplus results'!$1:$1048576,ROW(),FALSE)</f>
        <v>0</v>
      </c>
      <c r="AD4810" s="580">
        <f t="shared" si="411"/>
        <v>5</v>
      </c>
      <c r="AE4810" s="580">
        <f t="shared" si="412"/>
        <v>2.5</v>
      </c>
      <c r="AF4810" s="580">
        <f t="shared" si="413"/>
        <v>2.5</v>
      </c>
      <c r="AG4810" s="580">
        <f t="shared" si="414"/>
        <v>0</v>
      </c>
      <c r="AH4810" s="580">
        <f t="shared" si="415"/>
        <v>0</v>
      </c>
    </row>
    <row r="4811" spans="28:34">
      <c r="AB4811" s="580">
        <f>HLOOKUP("*"&amp;'Output annual'!$AC$2&amp;'Output annual'!$AD$2&amp;"*Zone People Number Of Occupants [](Hourly)",'Eplus results'!$1:$1048576,ROW(),FALSE)</f>
        <v>0</v>
      </c>
      <c r="AC4811" s="580">
        <f>HLOOKUP("*"&amp;'Output annual'!$AC$2&amp;'Output annual'!$AD$2&amp;"*FangerPMV(Hourly)",'Eplus results'!$1:$1048576,ROW(),FALSE)</f>
        <v>0</v>
      </c>
      <c r="AD4811" s="580">
        <f t="shared" si="411"/>
        <v>5</v>
      </c>
      <c r="AE4811" s="580">
        <f t="shared" si="412"/>
        <v>2.5</v>
      </c>
      <c r="AF4811" s="580">
        <f t="shared" si="413"/>
        <v>2.5</v>
      </c>
      <c r="AG4811" s="580">
        <f t="shared" si="414"/>
        <v>0</v>
      </c>
      <c r="AH4811" s="580">
        <f t="shared" si="415"/>
        <v>0</v>
      </c>
    </row>
    <row r="4812" spans="28:34">
      <c r="AB4812" s="580">
        <f>HLOOKUP("*"&amp;'Output annual'!$AC$2&amp;'Output annual'!$AD$2&amp;"*Zone People Number Of Occupants [](Hourly)",'Eplus results'!$1:$1048576,ROW(),FALSE)</f>
        <v>0</v>
      </c>
      <c r="AC4812" s="580">
        <f>HLOOKUP("*"&amp;'Output annual'!$AC$2&amp;'Output annual'!$AD$2&amp;"*FangerPMV(Hourly)",'Eplus results'!$1:$1048576,ROW(),FALSE)</f>
        <v>0</v>
      </c>
      <c r="AD4812" s="580">
        <f t="shared" si="411"/>
        <v>5</v>
      </c>
      <c r="AE4812" s="580">
        <f t="shared" si="412"/>
        <v>2.5</v>
      </c>
      <c r="AF4812" s="580">
        <f t="shared" si="413"/>
        <v>2.5</v>
      </c>
      <c r="AG4812" s="580">
        <f t="shared" si="414"/>
        <v>0</v>
      </c>
      <c r="AH4812" s="580">
        <f t="shared" si="415"/>
        <v>0</v>
      </c>
    </row>
    <row r="4813" spans="28:34">
      <c r="AB4813" s="580">
        <f>HLOOKUP("*"&amp;'Output annual'!$AC$2&amp;'Output annual'!$AD$2&amp;"*Zone People Number Of Occupants [](Hourly)",'Eplus results'!$1:$1048576,ROW(),FALSE)</f>
        <v>0</v>
      </c>
      <c r="AC4813" s="580">
        <f>HLOOKUP("*"&amp;'Output annual'!$AC$2&amp;'Output annual'!$AD$2&amp;"*FangerPMV(Hourly)",'Eplus results'!$1:$1048576,ROW(),FALSE)</f>
        <v>0</v>
      </c>
      <c r="AD4813" s="580">
        <f t="shared" si="411"/>
        <v>5</v>
      </c>
      <c r="AE4813" s="580">
        <f t="shared" si="412"/>
        <v>2.5</v>
      </c>
      <c r="AF4813" s="580">
        <f t="shared" si="413"/>
        <v>2.5</v>
      </c>
      <c r="AG4813" s="580">
        <f t="shared" si="414"/>
        <v>0</v>
      </c>
      <c r="AH4813" s="580">
        <f t="shared" si="415"/>
        <v>0</v>
      </c>
    </row>
    <row r="4814" spans="28:34">
      <c r="AB4814" s="580">
        <f>HLOOKUP("*"&amp;'Output annual'!$AC$2&amp;'Output annual'!$AD$2&amp;"*Zone People Number Of Occupants [](Hourly)",'Eplus results'!$1:$1048576,ROW(),FALSE)</f>
        <v>0</v>
      </c>
      <c r="AC4814" s="580">
        <f>HLOOKUP("*"&amp;'Output annual'!$AC$2&amp;'Output annual'!$AD$2&amp;"*FangerPMV(Hourly)",'Eplus results'!$1:$1048576,ROW(),FALSE)</f>
        <v>0</v>
      </c>
      <c r="AD4814" s="580">
        <f t="shared" si="411"/>
        <v>5</v>
      </c>
      <c r="AE4814" s="580">
        <f t="shared" si="412"/>
        <v>2.5</v>
      </c>
      <c r="AF4814" s="580">
        <f t="shared" si="413"/>
        <v>2.5</v>
      </c>
      <c r="AG4814" s="580">
        <f t="shared" si="414"/>
        <v>0</v>
      </c>
      <c r="AH4814" s="580">
        <f t="shared" si="415"/>
        <v>0</v>
      </c>
    </row>
    <row r="4815" spans="28:34">
      <c r="AB4815" s="580">
        <f>HLOOKUP("*"&amp;'Output annual'!$AC$2&amp;'Output annual'!$AD$2&amp;"*Zone People Number Of Occupants [](Hourly)",'Eplus results'!$1:$1048576,ROW(),FALSE)</f>
        <v>0</v>
      </c>
      <c r="AC4815" s="580">
        <f>HLOOKUP("*"&amp;'Output annual'!$AC$2&amp;'Output annual'!$AD$2&amp;"*FangerPMV(Hourly)",'Eplus results'!$1:$1048576,ROW(),FALSE)</f>
        <v>0</v>
      </c>
      <c r="AD4815" s="580">
        <f t="shared" si="411"/>
        <v>5</v>
      </c>
      <c r="AE4815" s="580">
        <f t="shared" si="412"/>
        <v>2.5</v>
      </c>
      <c r="AF4815" s="580">
        <f t="shared" si="413"/>
        <v>2.5</v>
      </c>
      <c r="AG4815" s="580">
        <f t="shared" si="414"/>
        <v>0</v>
      </c>
      <c r="AH4815" s="580">
        <f t="shared" si="415"/>
        <v>0</v>
      </c>
    </row>
    <row r="4816" spans="28:34">
      <c r="AB4816" s="580">
        <f>HLOOKUP("*"&amp;'Output annual'!$AC$2&amp;'Output annual'!$AD$2&amp;"*Zone People Number Of Occupants [](Hourly)",'Eplus results'!$1:$1048576,ROW(),FALSE)</f>
        <v>0</v>
      </c>
      <c r="AC4816" s="580">
        <f>HLOOKUP("*"&amp;'Output annual'!$AC$2&amp;'Output annual'!$AD$2&amp;"*FangerPMV(Hourly)",'Eplus results'!$1:$1048576,ROW(),FALSE)</f>
        <v>0</v>
      </c>
      <c r="AD4816" s="580">
        <f t="shared" si="411"/>
        <v>5</v>
      </c>
      <c r="AE4816" s="580">
        <f t="shared" si="412"/>
        <v>2.5</v>
      </c>
      <c r="AF4816" s="580">
        <f t="shared" si="413"/>
        <v>2.5</v>
      </c>
      <c r="AG4816" s="580">
        <f t="shared" si="414"/>
        <v>0</v>
      </c>
      <c r="AH4816" s="580">
        <f t="shared" si="415"/>
        <v>0</v>
      </c>
    </row>
    <row r="4817" spans="28:34">
      <c r="AB4817" s="580">
        <f>HLOOKUP("*"&amp;'Output annual'!$AC$2&amp;'Output annual'!$AD$2&amp;"*Zone People Number Of Occupants [](Hourly)",'Eplus results'!$1:$1048576,ROW(),FALSE)</f>
        <v>0</v>
      </c>
      <c r="AC4817" s="580">
        <f>HLOOKUP("*"&amp;'Output annual'!$AC$2&amp;'Output annual'!$AD$2&amp;"*FangerPMV(Hourly)",'Eplus results'!$1:$1048576,ROW(),FALSE)</f>
        <v>0</v>
      </c>
      <c r="AD4817" s="580">
        <f t="shared" si="411"/>
        <v>5</v>
      </c>
      <c r="AE4817" s="580">
        <f t="shared" si="412"/>
        <v>2.5</v>
      </c>
      <c r="AF4817" s="580">
        <f t="shared" si="413"/>
        <v>2.5</v>
      </c>
      <c r="AG4817" s="580">
        <f t="shared" si="414"/>
        <v>0</v>
      </c>
      <c r="AH4817" s="580">
        <f t="shared" si="415"/>
        <v>0</v>
      </c>
    </row>
    <row r="4818" spans="28:34">
      <c r="AB4818" s="580">
        <f>HLOOKUP("*"&amp;'Output annual'!$AC$2&amp;'Output annual'!$AD$2&amp;"*Zone People Number Of Occupants [](Hourly)",'Eplus results'!$1:$1048576,ROW(),FALSE)</f>
        <v>0</v>
      </c>
      <c r="AC4818" s="580">
        <f>HLOOKUP("*"&amp;'Output annual'!$AC$2&amp;'Output annual'!$AD$2&amp;"*FangerPMV(Hourly)",'Eplus results'!$1:$1048576,ROW(),FALSE)</f>
        <v>0</v>
      </c>
      <c r="AD4818" s="580">
        <f t="shared" si="411"/>
        <v>5</v>
      </c>
      <c r="AE4818" s="580">
        <f t="shared" si="412"/>
        <v>2.5</v>
      </c>
      <c r="AF4818" s="580">
        <f t="shared" si="413"/>
        <v>2.5</v>
      </c>
      <c r="AG4818" s="580">
        <f t="shared" si="414"/>
        <v>0</v>
      </c>
      <c r="AH4818" s="580">
        <f t="shared" si="415"/>
        <v>0</v>
      </c>
    </row>
    <row r="4819" spans="28:34">
      <c r="AB4819" s="580">
        <f>HLOOKUP("*"&amp;'Output annual'!$AC$2&amp;'Output annual'!$AD$2&amp;"*Zone People Number Of Occupants [](Hourly)",'Eplus results'!$1:$1048576,ROW(),FALSE)</f>
        <v>0</v>
      </c>
      <c r="AC4819" s="580">
        <f>HLOOKUP("*"&amp;'Output annual'!$AC$2&amp;'Output annual'!$AD$2&amp;"*FangerPMV(Hourly)",'Eplus results'!$1:$1048576,ROW(),FALSE)</f>
        <v>0</v>
      </c>
      <c r="AD4819" s="580">
        <f t="shared" si="411"/>
        <v>5</v>
      </c>
      <c r="AE4819" s="580">
        <f t="shared" si="412"/>
        <v>2.5</v>
      </c>
      <c r="AF4819" s="580">
        <f t="shared" si="413"/>
        <v>2.5</v>
      </c>
      <c r="AG4819" s="580">
        <f t="shared" si="414"/>
        <v>0</v>
      </c>
      <c r="AH4819" s="580">
        <f t="shared" si="415"/>
        <v>0</v>
      </c>
    </row>
    <row r="4820" spans="28:34">
      <c r="AB4820" s="580">
        <f>HLOOKUP("*"&amp;'Output annual'!$AC$2&amp;'Output annual'!$AD$2&amp;"*Zone People Number Of Occupants [](Hourly)",'Eplus results'!$1:$1048576,ROW(),FALSE)</f>
        <v>0</v>
      </c>
      <c r="AC4820" s="580">
        <f>HLOOKUP("*"&amp;'Output annual'!$AC$2&amp;'Output annual'!$AD$2&amp;"*FangerPMV(Hourly)",'Eplus results'!$1:$1048576,ROW(),FALSE)</f>
        <v>0</v>
      </c>
      <c r="AD4820" s="580">
        <f t="shared" si="411"/>
        <v>5</v>
      </c>
      <c r="AE4820" s="580">
        <f t="shared" si="412"/>
        <v>2.5</v>
      </c>
      <c r="AF4820" s="580">
        <f t="shared" si="413"/>
        <v>2.5</v>
      </c>
      <c r="AG4820" s="580">
        <f t="shared" si="414"/>
        <v>0</v>
      </c>
      <c r="AH4820" s="580">
        <f t="shared" si="415"/>
        <v>0</v>
      </c>
    </row>
    <row r="4821" spans="28:34">
      <c r="AB4821" s="580">
        <f>HLOOKUP("*"&amp;'Output annual'!$AC$2&amp;'Output annual'!$AD$2&amp;"*Zone People Number Of Occupants [](Hourly)",'Eplus results'!$1:$1048576,ROW(),FALSE)</f>
        <v>0</v>
      </c>
      <c r="AC4821" s="580">
        <f>HLOOKUP("*"&amp;'Output annual'!$AC$2&amp;'Output annual'!$AD$2&amp;"*FangerPMV(Hourly)",'Eplus results'!$1:$1048576,ROW(),FALSE)</f>
        <v>0</v>
      </c>
      <c r="AD4821" s="580">
        <f t="shared" si="411"/>
        <v>5</v>
      </c>
      <c r="AE4821" s="580">
        <f t="shared" si="412"/>
        <v>2.5</v>
      </c>
      <c r="AF4821" s="580">
        <f t="shared" si="413"/>
        <v>2.5</v>
      </c>
      <c r="AG4821" s="580">
        <f t="shared" si="414"/>
        <v>0</v>
      </c>
      <c r="AH4821" s="580">
        <f t="shared" si="415"/>
        <v>0</v>
      </c>
    </row>
    <row r="4822" spans="28:34">
      <c r="AB4822" s="580">
        <f>HLOOKUP("*"&amp;'Output annual'!$AC$2&amp;'Output annual'!$AD$2&amp;"*Zone People Number Of Occupants [](Hourly)",'Eplus results'!$1:$1048576,ROW(),FALSE)</f>
        <v>0</v>
      </c>
      <c r="AC4822" s="580">
        <f>HLOOKUP("*"&amp;'Output annual'!$AC$2&amp;'Output annual'!$AD$2&amp;"*FangerPMV(Hourly)",'Eplus results'!$1:$1048576,ROW(),FALSE)</f>
        <v>0</v>
      </c>
      <c r="AD4822" s="580">
        <f t="shared" si="411"/>
        <v>5</v>
      </c>
      <c r="AE4822" s="580">
        <f t="shared" si="412"/>
        <v>2.5</v>
      </c>
      <c r="AF4822" s="580">
        <f t="shared" si="413"/>
        <v>2.5</v>
      </c>
      <c r="AG4822" s="580">
        <f t="shared" si="414"/>
        <v>0</v>
      </c>
      <c r="AH4822" s="580">
        <f t="shared" si="415"/>
        <v>0</v>
      </c>
    </row>
    <row r="4823" spans="28:34">
      <c r="AB4823" s="580">
        <f>HLOOKUP("*"&amp;'Output annual'!$AC$2&amp;'Output annual'!$AD$2&amp;"*Zone People Number Of Occupants [](Hourly)",'Eplus results'!$1:$1048576,ROW(),FALSE)</f>
        <v>0</v>
      </c>
      <c r="AC4823" s="580">
        <f>HLOOKUP("*"&amp;'Output annual'!$AC$2&amp;'Output annual'!$AD$2&amp;"*FangerPMV(Hourly)",'Eplus results'!$1:$1048576,ROW(),FALSE)</f>
        <v>0</v>
      </c>
      <c r="AD4823" s="580">
        <f t="shared" si="411"/>
        <v>5</v>
      </c>
      <c r="AE4823" s="580">
        <f t="shared" si="412"/>
        <v>2.5</v>
      </c>
      <c r="AF4823" s="580">
        <f t="shared" si="413"/>
        <v>2.5</v>
      </c>
      <c r="AG4823" s="580">
        <f t="shared" si="414"/>
        <v>0</v>
      </c>
      <c r="AH4823" s="580">
        <f t="shared" si="415"/>
        <v>0</v>
      </c>
    </row>
    <row r="4824" spans="28:34">
      <c r="AB4824" s="580">
        <f>HLOOKUP("*"&amp;'Output annual'!$AC$2&amp;'Output annual'!$AD$2&amp;"*Zone People Number Of Occupants [](Hourly)",'Eplus results'!$1:$1048576,ROW(),FALSE)</f>
        <v>0</v>
      </c>
      <c r="AC4824" s="580">
        <f>HLOOKUP("*"&amp;'Output annual'!$AC$2&amp;'Output annual'!$AD$2&amp;"*FangerPMV(Hourly)",'Eplus results'!$1:$1048576,ROW(),FALSE)</f>
        <v>0</v>
      </c>
      <c r="AD4824" s="580">
        <f t="shared" si="411"/>
        <v>5</v>
      </c>
      <c r="AE4824" s="580">
        <f t="shared" si="412"/>
        <v>2.5</v>
      </c>
      <c r="AF4824" s="580">
        <f t="shared" si="413"/>
        <v>2.5</v>
      </c>
      <c r="AG4824" s="580">
        <f t="shared" si="414"/>
        <v>0</v>
      </c>
      <c r="AH4824" s="580">
        <f t="shared" si="415"/>
        <v>0</v>
      </c>
    </row>
    <row r="4825" spans="28:34">
      <c r="AB4825" s="580">
        <f>HLOOKUP("*"&amp;'Output annual'!$AC$2&amp;'Output annual'!$AD$2&amp;"*Zone People Number Of Occupants [](Hourly)",'Eplus results'!$1:$1048576,ROW(),FALSE)</f>
        <v>0</v>
      </c>
      <c r="AC4825" s="580">
        <f>HLOOKUP("*"&amp;'Output annual'!$AC$2&amp;'Output annual'!$AD$2&amp;"*FangerPMV(Hourly)",'Eplus results'!$1:$1048576,ROW(),FALSE)</f>
        <v>0</v>
      </c>
      <c r="AD4825" s="580">
        <f t="shared" si="411"/>
        <v>5</v>
      </c>
      <c r="AE4825" s="580">
        <f t="shared" si="412"/>
        <v>2.5</v>
      </c>
      <c r="AF4825" s="580">
        <f t="shared" si="413"/>
        <v>2.5</v>
      </c>
      <c r="AG4825" s="580">
        <f t="shared" si="414"/>
        <v>0</v>
      </c>
      <c r="AH4825" s="580">
        <f t="shared" si="415"/>
        <v>0</v>
      </c>
    </row>
    <row r="4826" spans="28:34">
      <c r="AB4826" s="580">
        <f>HLOOKUP("*"&amp;'Output annual'!$AC$2&amp;'Output annual'!$AD$2&amp;"*Zone People Number Of Occupants [](Hourly)",'Eplus results'!$1:$1048576,ROW(),FALSE)</f>
        <v>0</v>
      </c>
      <c r="AC4826" s="580">
        <f>HLOOKUP("*"&amp;'Output annual'!$AC$2&amp;'Output annual'!$AD$2&amp;"*FangerPMV(Hourly)",'Eplus results'!$1:$1048576,ROW(),FALSE)</f>
        <v>0</v>
      </c>
      <c r="AD4826" s="580">
        <f t="shared" si="411"/>
        <v>5</v>
      </c>
      <c r="AE4826" s="580">
        <f t="shared" si="412"/>
        <v>2.5</v>
      </c>
      <c r="AF4826" s="580">
        <f t="shared" si="413"/>
        <v>2.5</v>
      </c>
      <c r="AG4826" s="580">
        <f t="shared" si="414"/>
        <v>0</v>
      </c>
      <c r="AH4826" s="580">
        <f t="shared" si="415"/>
        <v>0</v>
      </c>
    </row>
    <row r="4827" spans="28:34">
      <c r="AB4827" s="580">
        <f>HLOOKUP("*"&amp;'Output annual'!$AC$2&amp;'Output annual'!$AD$2&amp;"*Zone People Number Of Occupants [](Hourly)",'Eplus results'!$1:$1048576,ROW(),FALSE)</f>
        <v>0</v>
      </c>
      <c r="AC4827" s="580">
        <f>HLOOKUP("*"&amp;'Output annual'!$AC$2&amp;'Output annual'!$AD$2&amp;"*FangerPMV(Hourly)",'Eplus results'!$1:$1048576,ROW(),FALSE)</f>
        <v>0</v>
      </c>
      <c r="AD4827" s="580">
        <f t="shared" si="411"/>
        <v>5</v>
      </c>
      <c r="AE4827" s="580">
        <f t="shared" si="412"/>
        <v>2.5</v>
      </c>
      <c r="AF4827" s="580">
        <f t="shared" si="413"/>
        <v>2.5</v>
      </c>
      <c r="AG4827" s="580">
        <f t="shared" si="414"/>
        <v>0</v>
      </c>
      <c r="AH4827" s="580">
        <f t="shared" si="415"/>
        <v>0</v>
      </c>
    </row>
    <row r="4828" spans="28:34">
      <c r="AB4828" s="580">
        <f>HLOOKUP("*"&amp;'Output annual'!$AC$2&amp;'Output annual'!$AD$2&amp;"*Zone People Number Of Occupants [](Hourly)",'Eplus results'!$1:$1048576,ROW(),FALSE)</f>
        <v>0</v>
      </c>
      <c r="AC4828" s="580">
        <f>HLOOKUP("*"&amp;'Output annual'!$AC$2&amp;'Output annual'!$AD$2&amp;"*FangerPMV(Hourly)",'Eplus results'!$1:$1048576,ROW(),FALSE)</f>
        <v>0</v>
      </c>
      <c r="AD4828" s="580">
        <f t="shared" si="411"/>
        <v>5</v>
      </c>
      <c r="AE4828" s="580">
        <f t="shared" si="412"/>
        <v>2.5</v>
      </c>
      <c r="AF4828" s="580">
        <f t="shared" si="413"/>
        <v>2.5</v>
      </c>
      <c r="AG4828" s="580">
        <f t="shared" si="414"/>
        <v>0</v>
      </c>
      <c r="AH4828" s="580">
        <f t="shared" si="415"/>
        <v>0</v>
      </c>
    </row>
    <row r="4829" spans="28:34">
      <c r="AB4829" s="580">
        <f>HLOOKUP("*"&amp;'Output annual'!$AC$2&amp;'Output annual'!$AD$2&amp;"*Zone People Number Of Occupants [](Hourly)",'Eplus results'!$1:$1048576,ROW(),FALSE)</f>
        <v>0</v>
      </c>
      <c r="AC4829" s="580">
        <f>HLOOKUP("*"&amp;'Output annual'!$AC$2&amp;'Output annual'!$AD$2&amp;"*FangerPMV(Hourly)",'Eplus results'!$1:$1048576,ROW(),FALSE)</f>
        <v>0</v>
      </c>
      <c r="AD4829" s="580">
        <f t="shared" si="411"/>
        <v>5</v>
      </c>
      <c r="AE4829" s="580">
        <f t="shared" si="412"/>
        <v>2.5</v>
      </c>
      <c r="AF4829" s="580">
        <f t="shared" si="413"/>
        <v>2.5</v>
      </c>
      <c r="AG4829" s="580">
        <f t="shared" si="414"/>
        <v>0</v>
      </c>
      <c r="AH4829" s="580">
        <f t="shared" si="415"/>
        <v>0</v>
      </c>
    </row>
    <row r="4830" spans="28:34">
      <c r="AB4830" s="580">
        <f>HLOOKUP("*"&amp;'Output annual'!$AC$2&amp;'Output annual'!$AD$2&amp;"*Zone People Number Of Occupants [](Hourly)",'Eplus results'!$1:$1048576,ROW(),FALSE)</f>
        <v>0</v>
      </c>
      <c r="AC4830" s="580">
        <f>HLOOKUP("*"&amp;'Output annual'!$AC$2&amp;'Output annual'!$AD$2&amp;"*FangerPMV(Hourly)",'Eplus results'!$1:$1048576,ROW(),FALSE)</f>
        <v>0</v>
      </c>
      <c r="AD4830" s="580">
        <f t="shared" si="411"/>
        <v>5</v>
      </c>
      <c r="AE4830" s="580">
        <f t="shared" si="412"/>
        <v>2.5</v>
      </c>
      <c r="AF4830" s="580">
        <f t="shared" si="413"/>
        <v>2.5</v>
      </c>
      <c r="AG4830" s="580">
        <f t="shared" si="414"/>
        <v>0</v>
      </c>
      <c r="AH4830" s="580">
        <f t="shared" si="415"/>
        <v>0</v>
      </c>
    </row>
    <row r="4831" spans="28:34">
      <c r="AB4831" s="580">
        <f>HLOOKUP("*"&amp;'Output annual'!$AC$2&amp;'Output annual'!$AD$2&amp;"*Zone People Number Of Occupants [](Hourly)",'Eplus results'!$1:$1048576,ROW(),FALSE)</f>
        <v>0</v>
      </c>
      <c r="AC4831" s="580">
        <f>HLOOKUP("*"&amp;'Output annual'!$AC$2&amp;'Output annual'!$AD$2&amp;"*FangerPMV(Hourly)",'Eplus results'!$1:$1048576,ROW(),FALSE)</f>
        <v>0</v>
      </c>
      <c r="AD4831" s="580">
        <f t="shared" si="411"/>
        <v>5</v>
      </c>
      <c r="AE4831" s="580">
        <f t="shared" si="412"/>
        <v>2.5</v>
      </c>
      <c r="AF4831" s="580">
        <f t="shared" si="413"/>
        <v>2.5</v>
      </c>
      <c r="AG4831" s="580">
        <f t="shared" si="414"/>
        <v>0</v>
      </c>
      <c r="AH4831" s="580">
        <f t="shared" si="415"/>
        <v>0</v>
      </c>
    </row>
    <row r="4832" spans="28:34">
      <c r="AB4832" s="580">
        <f>HLOOKUP("*"&amp;'Output annual'!$AC$2&amp;'Output annual'!$AD$2&amp;"*Zone People Number Of Occupants [](Hourly)",'Eplus results'!$1:$1048576,ROW(),FALSE)</f>
        <v>0</v>
      </c>
      <c r="AC4832" s="580">
        <f>HLOOKUP("*"&amp;'Output annual'!$AC$2&amp;'Output annual'!$AD$2&amp;"*FangerPMV(Hourly)",'Eplus results'!$1:$1048576,ROW(),FALSE)</f>
        <v>0</v>
      </c>
      <c r="AD4832" s="580">
        <f t="shared" si="411"/>
        <v>5</v>
      </c>
      <c r="AE4832" s="580">
        <f t="shared" si="412"/>
        <v>2.5</v>
      </c>
      <c r="AF4832" s="580">
        <f t="shared" si="413"/>
        <v>2.5</v>
      </c>
      <c r="AG4832" s="580">
        <f t="shared" si="414"/>
        <v>0</v>
      </c>
      <c r="AH4832" s="580">
        <f t="shared" si="415"/>
        <v>0</v>
      </c>
    </row>
    <row r="4833" spans="28:34">
      <c r="AB4833" s="580">
        <f>HLOOKUP("*"&amp;'Output annual'!$AC$2&amp;'Output annual'!$AD$2&amp;"*Zone People Number Of Occupants [](Hourly)",'Eplus results'!$1:$1048576,ROW(),FALSE)</f>
        <v>0</v>
      </c>
      <c r="AC4833" s="580">
        <f>HLOOKUP("*"&amp;'Output annual'!$AC$2&amp;'Output annual'!$AD$2&amp;"*FangerPMV(Hourly)",'Eplus results'!$1:$1048576,ROW(),FALSE)</f>
        <v>0</v>
      </c>
      <c r="AD4833" s="580">
        <f t="shared" si="411"/>
        <v>5</v>
      </c>
      <c r="AE4833" s="580">
        <f t="shared" si="412"/>
        <v>2.5</v>
      </c>
      <c r="AF4833" s="580">
        <f t="shared" si="413"/>
        <v>2.5</v>
      </c>
      <c r="AG4833" s="580">
        <f t="shared" si="414"/>
        <v>0</v>
      </c>
      <c r="AH4833" s="580">
        <f t="shared" si="415"/>
        <v>0</v>
      </c>
    </row>
    <row r="4834" spans="28:34">
      <c r="AB4834" s="580">
        <f>HLOOKUP("*"&amp;'Output annual'!$AC$2&amp;'Output annual'!$AD$2&amp;"*Zone People Number Of Occupants [](Hourly)",'Eplus results'!$1:$1048576,ROW(),FALSE)</f>
        <v>0</v>
      </c>
      <c r="AC4834" s="580">
        <f>HLOOKUP("*"&amp;'Output annual'!$AC$2&amp;'Output annual'!$AD$2&amp;"*FangerPMV(Hourly)",'Eplus results'!$1:$1048576,ROW(),FALSE)</f>
        <v>0</v>
      </c>
      <c r="AD4834" s="580">
        <f t="shared" si="411"/>
        <v>5</v>
      </c>
      <c r="AE4834" s="580">
        <f t="shared" si="412"/>
        <v>2.5</v>
      </c>
      <c r="AF4834" s="580">
        <f t="shared" si="413"/>
        <v>2.5</v>
      </c>
      <c r="AG4834" s="580">
        <f t="shared" si="414"/>
        <v>0</v>
      </c>
      <c r="AH4834" s="580">
        <f t="shared" si="415"/>
        <v>0</v>
      </c>
    </row>
    <row r="4835" spans="28:34">
      <c r="AB4835" s="580">
        <f>HLOOKUP("*"&amp;'Output annual'!$AC$2&amp;'Output annual'!$AD$2&amp;"*Zone People Number Of Occupants [](Hourly)",'Eplus results'!$1:$1048576,ROW(),FALSE)</f>
        <v>0</v>
      </c>
      <c r="AC4835" s="580">
        <f>HLOOKUP("*"&amp;'Output annual'!$AC$2&amp;'Output annual'!$AD$2&amp;"*FangerPMV(Hourly)",'Eplus results'!$1:$1048576,ROW(),FALSE)</f>
        <v>0</v>
      </c>
      <c r="AD4835" s="580">
        <f t="shared" si="411"/>
        <v>5</v>
      </c>
      <c r="AE4835" s="580">
        <f t="shared" si="412"/>
        <v>2.5</v>
      </c>
      <c r="AF4835" s="580">
        <f t="shared" si="413"/>
        <v>2.5</v>
      </c>
      <c r="AG4835" s="580">
        <f t="shared" si="414"/>
        <v>0</v>
      </c>
      <c r="AH4835" s="580">
        <f t="shared" si="415"/>
        <v>0</v>
      </c>
    </row>
    <row r="4836" spans="28:34">
      <c r="AB4836" s="580">
        <f>HLOOKUP("*"&amp;'Output annual'!$AC$2&amp;'Output annual'!$AD$2&amp;"*Zone People Number Of Occupants [](Hourly)",'Eplus results'!$1:$1048576,ROW(),FALSE)</f>
        <v>0</v>
      </c>
      <c r="AC4836" s="580">
        <f>HLOOKUP("*"&amp;'Output annual'!$AC$2&amp;'Output annual'!$AD$2&amp;"*FangerPMV(Hourly)",'Eplus results'!$1:$1048576,ROW(),FALSE)</f>
        <v>0</v>
      </c>
      <c r="AD4836" s="580">
        <f t="shared" si="411"/>
        <v>5</v>
      </c>
      <c r="AE4836" s="580">
        <f t="shared" si="412"/>
        <v>2.5</v>
      </c>
      <c r="AF4836" s="580">
        <f t="shared" si="413"/>
        <v>2.5</v>
      </c>
      <c r="AG4836" s="580">
        <f t="shared" si="414"/>
        <v>0</v>
      </c>
      <c r="AH4836" s="580">
        <f t="shared" si="415"/>
        <v>0</v>
      </c>
    </row>
    <row r="4837" spans="28:34">
      <c r="AB4837" s="580">
        <f>HLOOKUP("*"&amp;'Output annual'!$AC$2&amp;'Output annual'!$AD$2&amp;"*Zone People Number Of Occupants [](Hourly)",'Eplus results'!$1:$1048576,ROW(),FALSE)</f>
        <v>0</v>
      </c>
      <c r="AC4837" s="580">
        <f>HLOOKUP("*"&amp;'Output annual'!$AC$2&amp;'Output annual'!$AD$2&amp;"*FangerPMV(Hourly)",'Eplus results'!$1:$1048576,ROW(),FALSE)</f>
        <v>0</v>
      </c>
      <c r="AD4837" s="580">
        <f t="shared" si="411"/>
        <v>5</v>
      </c>
      <c r="AE4837" s="580">
        <f t="shared" si="412"/>
        <v>2.5</v>
      </c>
      <c r="AF4837" s="580">
        <f t="shared" si="413"/>
        <v>2.5</v>
      </c>
      <c r="AG4837" s="580">
        <f t="shared" si="414"/>
        <v>0</v>
      </c>
      <c r="AH4837" s="580">
        <f t="shared" si="415"/>
        <v>0</v>
      </c>
    </row>
    <row r="4838" spans="28:34">
      <c r="AB4838" s="580">
        <f>HLOOKUP("*"&amp;'Output annual'!$AC$2&amp;'Output annual'!$AD$2&amp;"*Zone People Number Of Occupants [](Hourly)",'Eplus results'!$1:$1048576,ROW(),FALSE)</f>
        <v>0</v>
      </c>
      <c r="AC4838" s="580">
        <f>HLOOKUP("*"&amp;'Output annual'!$AC$2&amp;'Output annual'!$AD$2&amp;"*FangerPMV(Hourly)",'Eplus results'!$1:$1048576,ROW(),FALSE)</f>
        <v>0</v>
      </c>
      <c r="AD4838" s="580">
        <f t="shared" si="411"/>
        <v>5</v>
      </c>
      <c r="AE4838" s="580">
        <f t="shared" si="412"/>
        <v>2.5</v>
      </c>
      <c r="AF4838" s="580">
        <f t="shared" si="413"/>
        <v>2.5</v>
      </c>
      <c r="AG4838" s="580">
        <f t="shared" si="414"/>
        <v>0</v>
      </c>
      <c r="AH4838" s="580">
        <f t="shared" si="415"/>
        <v>0</v>
      </c>
    </row>
    <row r="4839" spans="28:34">
      <c r="AB4839" s="580">
        <f>HLOOKUP("*"&amp;'Output annual'!$AC$2&amp;'Output annual'!$AD$2&amp;"*Zone People Number Of Occupants [](Hourly)",'Eplus results'!$1:$1048576,ROW(),FALSE)</f>
        <v>0</v>
      </c>
      <c r="AC4839" s="580">
        <f>HLOOKUP("*"&amp;'Output annual'!$AC$2&amp;'Output annual'!$AD$2&amp;"*FangerPMV(Hourly)",'Eplus results'!$1:$1048576,ROW(),FALSE)</f>
        <v>0</v>
      </c>
      <c r="AD4839" s="580">
        <f t="shared" si="411"/>
        <v>5</v>
      </c>
      <c r="AE4839" s="580">
        <f t="shared" si="412"/>
        <v>2.5</v>
      </c>
      <c r="AF4839" s="580">
        <f t="shared" si="413"/>
        <v>2.5</v>
      </c>
      <c r="AG4839" s="580">
        <f t="shared" si="414"/>
        <v>0</v>
      </c>
      <c r="AH4839" s="580">
        <f t="shared" si="415"/>
        <v>0</v>
      </c>
    </row>
    <row r="4840" spans="28:34">
      <c r="AB4840" s="580">
        <f>HLOOKUP("*"&amp;'Output annual'!$AC$2&amp;'Output annual'!$AD$2&amp;"*Zone People Number Of Occupants [](Hourly)",'Eplus results'!$1:$1048576,ROW(),FALSE)</f>
        <v>0</v>
      </c>
      <c r="AC4840" s="580">
        <f>HLOOKUP("*"&amp;'Output annual'!$AC$2&amp;'Output annual'!$AD$2&amp;"*FangerPMV(Hourly)",'Eplus results'!$1:$1048576,ROW(),FALSE)</f>
        <v>0</v>
      </c>
      <c r="AD4840" s="580">
        <f t="shared" si="411"/>
        <v>5</v>
      </c>
      <c r="AE4840" s="580">
        <f t="shared" si="412"/>
        <v>2.5</v>
      </c>
      <c r="AF4840" s="580">
        <f t="shared" si="413"/>
        <v>2.5</v>
      </c>
      <c r="AG4840" s="580">
        <f t="shared" si="414"/>
        <v>0</v>
      </c>
      <c r="AH4840" s="580">
        <f t="shared" si="415"/>
        <v>0</v>
      </c>
    </row>
    <row r="4841" spans="28:34">
      <c r="AB4841" s="580">
        <f>HLOOKUP("*"&amp;'Output annual'!$AC$2&amp;'Output annual'!$AD$2&amp;"*Zone People Number Of Occupants [](Hourly)",'Eplus results'!$1:$1048576,ROW(),FALSE)</f>
        <v>0</v>
      </c>
      <c r="AC4841" s="580">
        <f>HLOOKUP("*"&amp;'Output annual'!$AC$2&amp;'Output annual'!$AD$2&amp;"*FangerPMV(Hourly)",'Eplus results'!$1:$1048576,ROW(),FALSE)</f>
        <v>0</v>
      </c>
      <c r="AD4841" s="580">
        <f t="shared" si="411"/>
        <v>5</v>
      </c>
      <c r="AE4841" s="580">
        <f t="shared" si="412"/>
        <v>2.5</v>
      </c>
      <c r="AF4841" s="580">
        <f t="shared" si="413"/>
        <v>2.5</v>
      </c>
      <c r="AG4841" s="580">
        <f t="shared" si="414"/>
        <v>0</v>
      </c>
      <c r="AH4841" s="580">
        <f t="shared" si="415"/>
        <v>0</v>
      </c>
    </row>
    <row r="4842" spans="28:34">
      <c r="AB4842" s="580">
        <f>HLOOKUP("*"&amp;'Output annual'!$AC$2&amp;'Output annual'!$AD$2&amp;"*Zone People Number Of Occupants [](Hourly)",'Eplus results'!$1:$1048576,ROW(),FALSE)</f>
        <v>0</v>
      </c>
      <c r="AC4842" s="580">
        <f>HLOOKUP("*"&amp;'Output annual'!$AC$2&amp;'Output annual'!$AD$2&amp;"*FangerPMV(Hourly)",'Eplus results'!$1:$1048576,ROW(),FALSE)</f>
        <v>0</v>
      </c>
      <c r="AD4842" s="580">
        <f t="shared" si="411"/>
        <v>5</v>
      </c>
      <c r="AE4842" s="580">
        <f t="shared" si="412"/>
        <v>2.5</v>
      </c>
      <c r="AF4842" s="580">
        <f t="shared" si="413"/>
        <v>2.5</v>
      </c>
      <c r="AG4842" s="580">
        <f t="shared" si="414"/>
        <v>0</v>
      </c>
      <c r="AH4842" s="580">
        <f t="shared" si="415"/>
        <v>0</v>
      </c>
    </row>
    <row r="4843" spans="28:34">
      <c r="AB4843" s="580">
        <f>HLOOKUP("*"&amp;'Output annual'!$AC$2&amp;'Output annual'!$AD$2&amp;"*Zone People Number Of Occupants [](Hourly)",'Eplus results'!$1:$1048576,ROW(),FALSE)</f>
        <v>0</v>
      </c>
      <c r="AC4843" s="580">
        <f>HLOOKUP("*"&amp;'Output annual'!$AC$2&amp;'Output annual'!$AD$2&amp;"*FangerPMV(Hourly)",'Eplus results'!$1:$1048576,ROW(),FALSE)</f>
        <v>0</v>
      </c>
      <c r="AD4843" s="580">
        <f t="shared" si="411"/>
        <v>5</v>
      </c>
      <c r="AE4843" s="580">
        <f t="shared" si="412"/>
        <v>2.5</v>
      </c>
      <c r="AF4843" s="580">
        <f t="shared" si="413"/>
        <v>2.5</v>
      </c>
      <c r="AG4843" s="580">
        <f t="shared" si="414"/>
        <v>0</v>
      </c>
      <c r="AH4843" s="580">
        <f t="shared" si="415"/>
        <v>0</v>
      </c>
    </row>
    <row r="4844" spans="28:34">
      <c r="AB4844" s="580">
        <f>HLOOKUP("*"&amp;'Output annual'!$AC$2&amp;'Output annual'!$AD$2&amp;"*Zone People Number Of Occupants [](Hourly)",'Eplus results'!$1:$1048576,ROW(),FALSE)</f>
        <v>0</v>
      </c>
      <c r="AC4844" s="580">
        <f>HLOOKUP("*"&amp;'Output annual'!$AC$2&amp;'Output annual'!$AD$2&amp;"*FangerPMV(Hourly)",'Eplus results'!$1:$1048576,ROW(),FALSE)</f>
        <v>0</v>
      </c>
      <c r="AD4844" s="580">
        <f t="shared" si="411"/>
        <v>5</v>
      </c>
      <c r="AE4844" s="580">
        <f t="shared" si="412"/>
        <v>2.5</v>
      </c>
      <c r="AF4844" s="580">
        <f t="shared" si="413"/>
        <v>2.5</v>
      </c>
      <c r="AG4844" s="580">
        <f t="shared" si="414"/>
        <v>0</v>
      </c>
      <c r="AH4844" s="580">
        <f t="shared" si="415"/>
        <v>0</v>
      </c>
    </row>
    <row r="4845" spans="28:34">
      <c r="AB4845" s="580">
        <f>HLOOKUP("*"&amp;'Output annual'!$AC$2&amp;'Output annual'!$AD$2&amp;"*Zone People Number Of Occupants [](Hourly)",'Eplus results'!$1:$1048576,ROW(),FALSE)</f>
        <v>0</v>
      </c>
      <c r="AC4845" s="580">
        <f>HLOOKUP("*"&amp;'Output annual'!$AC$2&amp;'Output annual'!$AD$2&amp;"*FangerPMV(Hourly)",'Eplus results'!$1:$1048576,ROW(),FALSE)</f>
        <v>0</v>
      </c>
      <c r="AD4845" s="580">
        <f t="shared" si="411"/>
        <v>5</v>
      </c>
      <c r="AE4845" s="580">
        <f t="shared" si="412"/>
        <v>2.5</v>
      </c>
      <c r="AF4845" s="580">
        <f t="shared" si="413"/>
        <v>2.5</v>
      </c>
      <c r="AG4845" s="580">
        <f t="shared" si="414"/>
        <v>0</v>
      </c>
      <c r="AH4845" s="580">
        <f t="shared" si="415"/>
        <v>0</v>
      </c>
    </row>
    <row r="4846" spans="28:34">
      <c r="AB4846" s="580">
        <f>HLOOKUP("*"&amp;'Output annual'!$AC$2&amp;'Output annual'!$AD$2&amp;"*Zone People Number Of Occupants [](Hourly)",'Eplus results'!$1:$1048576,ROW(),FALSE)</f>
        <v>0</v>
      </c>
      <c r="AC4846" s="580">
        <f>HLOOKUP("*"&amp;'Output annual'!$AC$2&amp;'Output annual'!$AD$2&amp;"*FangerPMV(Hourly)",'Eplus results'!$1:$1048576,ROW(),FALSE)</f>
        <v>0</v>
      </c>
      <c r="AD4846" s="580">
        <f t="shared" si="411"/>
        <v>5</v>
      </c>
      <c r="AE4846" s="580">
        <f t="shared" si="412"/>
        <v>2.5</v>
      </c>
      <c r="AF4846" s="580">
        <f t="shared" si="413"/>
        <v>2.5</v>
      </c>
      <c r="AG4846" s="580">
        <f t="shared" si="414"/>
        <v>0</v>
      </c>
      <c r="AH4846" s="580">
        <f t="shared" si="415"/>
        <v>0</v>
      </c>
    </row>
    <row r="4847" spans="28:34">
      <c r="AB4847" s="580">
        <f>HLOOKUP("*"&amp;'Output annual'!$AC$2&amp;'Output annual'!$AD$2&amp;"*Zone People Number Of Occupants [](Hourly)",'Eplus results'!$1:$1048576,ROW(),FALSE)</f>
        <v>0</v>
      </c>
      <c r="AC4847" s="580">
        <f>HLOOKUP("*"&amp;'Output annual'!$AC$2&amp;'Output annual'!$AD$2&amp;"*FangerPMV(Hourly)",'Eplus results'!$1:$1048576,ROW(),FALSE)</f>
        <v>0</v>
      </c>
      <c r="AD4847" s="580">
        <f t="shared" si="411"/>
        <v>5</v>
      </c>
      <c r="AE4847" s="580">
        <f t="shared" si="412"/>
        <v>2.5</v>
      </c>
      <c r="AF4847" s="580">
        <f t="shared" si="413"/>
        <v>2.5</v>
      </c>
      <c r="AG4847" s="580">
        <f t="shared" si="414"/>
        <v>0</v>
      </c>
      <c r="AH4847" s="580">
        <f t="shared" si="415"/>
        <v>0</v>
      </c>
    </row>
    <row r="4848" spans="28:34">
      <c r="AB4848" s="580">
        <f>HLOOKUP("*"&amp;'Output annual'!$AC$2&amp;'Output annual'!$AD$2&amp;"*Zone People Number Of Occupants [](Hourly)",'Eplus results'!$1:$1048576,ROW(),FALSE)</f>
        <v>0</v>
      </c>
      <c r="AC4848" s="580">
        <f>HLOOKUP("*"&amp;'Output annual'!$AC$2&amp;'Output annual'!$AD$2&amp;"*FangerPMV(Hourly)",'Eplus results'!$1:$1048576,ROW(),FALSE)</f>
        <v>0</v>
      </c>
      <c r="AD4848" s="580">
        <f t="shared" si="411"/>
        <v>5</v>
      </c>
      <c r="AE4848" s="580">
        <f t="shared" si="412"/>
        <v>2.5</v>
      </c>
      <c r="AF4848" s="580">
        <f t="shared" si="413"/>
        <v>2.5</v>
      </c>
      <c r="AG4848" s="580">
        <f t="shared" si="414"/>
        <v>0</v>
      </c>
      <c r="AH4848" s="580">
        <f t="shared" si="415"/>
        <v>0</v>
      </c>
    </row>
    <row r="4849" spans="28:34">
      <c r="AB4849" s="580">
        <f>HLOOKUP("*"&amp;'Output annual'!$AC$2&amp;'Output annual'!$AD$2&amp;"*Zone People Number Of Occupants [](Hourly)",'Eplus results'!$1:$1048576,ROW(),FALSE)</f>
        <v>0</v>
      </c>
      <c r="AC4849" s="580">
        <f>HLOOKUP("*"&amp;'Output annual'!$AC$2&amp;'Output annual'!$AD$2&amp;"*FangerPMV(Hourly)",'Eplus results'!$1:$1048576,ROW(),FALSE)</f>
        <v>0</v>
      </c>
      <c r="AD4849" s="580">
        <f t="shared" si="411"/>
        <v>5</v>
      </c>
      <c r="AE4849" s="580">
        <f t="shared" si="412"/>
        <v>2.5</v>
      </c>
      <c r="AF4849" s="580">
        <f t="shared" si="413"/>
        <v>2.5</v>
      </c>
      <c r="AG4849" s="580">
        <f t="shared" si="414"/>
        <v>0</v>
      </c>
      <c r="AH4849" s="580">
        <f t="shared" si="415"/>
        <v>0</v>
      </c>
    </row>
    <row r="4850" spans="28:34">
      <c r="AB4850" s="580">
        <f>HLOOKUP("*"&amp;'Output annual'!$AC$2&amp;'Output annual'!$AD$2&amp;"*Zone People Number Of Occupants [](Hourly)",'Eplus results'!$1:$1048576,ROW(),FALSE)</f>
        <v>0</v>
      </c>
      <c r="AC4850" s="580">
        <f>HLOOKUP("*"&amp;'Output annual'!$AC$2&amp;'Output annual'!$AD$2&amp;"*FangerPMV(Hourly)",'Eplus results'!$1:$1048576,ROW(),FALSE)</f>
        <v>0</v>
      </c>
      <c r="AD4850" s="580">
        <f t="shared" si="411"/>
        <v>5</v>
      </c>
      <c r="AE4850" s="580">
        <f t="shared" si="412"/>
        <v>2.5</v>
      </c>
      <c r="AF4850" s="580">
        <f t="shared" si="413"/>
        <v>2.5</v>
      </c>
      <c r="AG4850" s="580">
        <f t="shared" si="414"/>
        <v>0</v>
      </c>
      <c r="AH4850" s="580">
        <f t="shared" si="415"/>
        <v>0</v>
      </c>
    </row>
    <row r="4851" spans="28:34">
      <c r="AB4851" s="580">
        <f>HLOOKUP("*"&amp;'Output annual'!$AC$2&amp;'Output annual'!$AD$2&amp;"*Zone People Number Of Occupants [](Hourly)",'Eplus results'!$1:$1048576,ROW(),FALSE)</f>
        <v>0</v>
      </c>
      <c r="AC4851" s="580">
        <f>HLOOKUP("*"&amp;'Output annual'!$AC$2&amp;'Output annual'!$AD$2&amp;"*FangerPMV(Hourly)",'Eplus results'!$1:$1048576,ROW(),FALSE)</f>
        <v>0</v>
      </c>
      <c r="AD4851" s="580">
        <f t="shared" si="411"/>
        <v>5</v>
      </c>
      <c r="AE4851" s="580">
        <f t="shared" si="412"/>
        <v>2.5</v>
      </c>
      <c r="AF4851" s="580">
        <f t="shared" si="413"/>
        <v>2.5</v>
      </c>
      <c r="AG4851" s="580">
        <f t="shared" si="414"/>
        <v>0</v>
      </c>
      <c r="AH4851" s="580">
        <f t="shared" si="415"/>
        <v>0</v>
      </c>
    </row>
    <row r="4852" spans="28:34">
      <c r="AB4852" s="580">
        <f>HLOOKUP("*"&amp;'Output annual'!$AC$2&amp;'Output annual'!$AD$2&amp;"*Zone People Number Of Occupants [](Hourly)",'Eplus results'!$1:$1048576,ROW(),FALSE)</f>
        <v>0</v>
      </c>
      <c r="AC4852" s="580">
        <f>HLOOKUP("*"&amp;'Output annual'!$AC$2&amp;'Output annual'!$AD$2&amp;"*FangerPMV(Hourly)",'Eplus results'!$1:$1048576,ROW(),FALSE)</f>
        <v>0</v>
      </c>
      <c r="AD4852" s="580">
        <f t="shared" si="411"/>
        <v>5</v>
      </c>
      <c r="AE4852" s="580">
        <f t="shared" si="412"/>
        <v>2.5</v>
      </c>
      <c r="AF4852" s="580">
        <f t="shared" si="413"/>
        <v>2.5</v>
      </c>
      <c r="AG4852" s="580">
        <f t="shared" si="414"/>
        <v>0</v>
      </c>
      <c r="AH4852" s="580">
        <f t="shared" si="415"/>
        <v>0</v>
      </c>
    </row>
    <row r="4853" spans="28:34">
      <c r="AB4853" s="580">
        <f>HLOOKUP("*"&amp;'Output annual'!$AC$2&amp;'Output annual'!$AD$2&amp;"*Zone People Number Of Occupants [](Hourly)",'Eplus results'!$1:$1048576,ROW(),FALSE)</f>
        <v>0</v>
      </c>
      <c r="AC4853" s="580">
        <f>HLOOKUP("*"&amp;'Output annual'!$AC$2&amp;'Output annual'!$AD$2&amp;"*FangerPMV(Hourly)",'Eplus results'!$1:$1048576,ROW(),FALSE)</f>
        <v>0</v>
      </c>
      <c r="AD4853" s="580">
        <f t="shared" si="411"/>
        <v>5</v>
      </c>
      <c r="AE4853" s="580">
        <f t="shared" si="412"/>
        <v>2.5</v>
      </c>
      <c r="AF4853" s="580">
        <f t="shared" si="413"/>
        <v>2.5</v>
      </c>
      <c r="AG4853" s="580">
        <f t="shared" si="414"/>
        <v>0</v>
      </c>
      <c r="AH4853" s="580">
        <f t="shared" si="415"/>
        <v>0</v>
      </c>
    </row>
    <row r="4854" spans="28:34">
      <c r="AB4854" s="580">
        <f>HLOOKUP("*"&amp;'Output annual'!$AC$2&amp;'Output annual'!$AD$2&amp;"*Zone People Number Of Occupants [](Hourly)",'Eplus results'!$1:$1048576,ROW(),FALSE)</f>
        <v>0</v>
      </c>
      <c r="AC4854" s="580">
        <f>HLOOKUP("*"&amp;'Output annual'!$AC$2&amp;'Output annual'!$AD$2&amp;"*FangerPMV(Hourly)",'Eplus results'!$1:$1048576,ROW(),FALSE)</f>
        <v>0</v>
      </c>
      <c r="AD4854" s="580">
        <f t="shared" si="411"/>
        <v>5</v>
      </c>
      <c r="AE4854" s="580">
        <f t="shared" si="412"/>
        <v>2.5</v>
      </c>
      <c r="AF4854" s="580">
        <f t="shared" si="413"/>
        <v>2.5</v>
      </c>
      <c r="AG4854" s="580">
        <f t="shared" si="414"/>
        <v>0</v>
      </c>
      <c r="AH4854" s="580">
        <f t="shared" si="415"/>
        <v>0</v>
      </c>
    </row>
    <row r="4855" spans="28:34">
      <c r="AB4855" s="580">
        <f>HLOOKUP("*"&amp;'Output annual'!$AC$2&amp;'Output annual'!$AD$2&amp;"*Zone People Number Of Occupants [](Hourly)",'Eplus results'!$1:$1048576,ROW(),FALSE)</f>
        <v>0</v>
      </c>
      <c r="AC4855" s="580">
        <f>HLOOKUP("*"&amp;'Output annual'!$AC$2&amp;'Output annual'!$AD$2&amp;"*FangerPMV(Hourly)",'Eplus results'!$1:$1048576,ROW(),FALSE)</f>
        <v>0</v>
      </c>
      <c r="AD4855" s="580">
        <f t="shared" si="411"/>
        <v>5</v>
      </c>
      <c r="AE4855" s="580">
        <f t="shared" si="412"/>
        <v>2.5</v>
      </c>
      <c r="AF4855" s="580">
        <f t="shared" si="413"/>
        <v>2.5</v>
      </c>
      <c r="AG4855" s="580">
        <f t="shared" si="414"/>
        <v>0</v>
      </c>
      <c r="AH4855" s="580">
        <f t="shared" si="415"/>
        <v>0</v>
      </c>
    </row>
    <row r="4856" spans="28:34">
      <c r="AB4856" s="580">
        <f>HLOOKUP("*"&amp;'Output annual'!$AC$2&amp;'Output annual'!$AD$2&amp;"*Zone People Number Of Occupants [](Hourly)",'Eplus results'!$1:$1048576,ROW(),FALSE)</f>
        <v>0</v>
      </c>
      <c r="AC4856" s="580">
        <f>HLOOKUP("*"&amp;'Output annual'!$AC$2&amp;'Output annual'!$AD$2&amp;"*FangerPMV(Hourly)",'Eplus results'!$1:$1048576,ROW(),FALSE)</f>
        <v>0</v>
      </c>
      <c r="AD4856" s="580">
        <f t="shared" si="411"/>
        <v>5</v>
      </c>
      <c r="AE4856" s="580">
        <f t="shared" si="412"/>
        <v>2.5</v>
      </c>
      <c r="AF4856" s="580">
        <f t="shared" si="413"/>
        <v>2.5</v>
      </c>
      <c r="AG4856" s="580">
        <f t="shared" si="414"/>
        <v>0</v>
      </c>
      <c r="AH4856" s="580">
        <f t="shared" si="415"/>
        <v>0</v>
      </c>
    </row>
    <row r="4857" spans="28:34">
      <c r="AB4857" s="580">
        <f>HLOOKUP("*"&amp;'Output annual'!$AC$2&amp;'Output annual'!$AD$2&amp;"*Zone People Number Of Occupants [](Hourly)",'Eplus results'!$1:$1048576,ROW(),FALSE)</f>
        <v>0</v>
      </c>
      <c r="AC4857" s="580">
        <f>HLOOKUP("*"&amp;'Output annual'!$AC$2&amp;'Output annual'!$AD$2&amp;"*FangerPMV(Hourly)",'Eplus results'!$1:$1048576,ROW(),FALSE)</f>
        <v>0</v>
      </c>
      <c r="AD4857" s="580">
        <f t="shared" si="411"/>
        <v>5</v>
      </c>
      <c r="AE4857" s="580">
        <f t="shared" si="412"/>
        <v>2.5</v>
      </c>
      <c r="AF4857" s="580">
        <f t="shared" si="413"/>
        <v>2.5</v>
      </c>
      <c r="AG4857" s="580">
        <f t="shared" si="414"/>
        <v>0</v>
      </c>
      <c r="AH4857" s="580">
        <f t="shared" si="415"/>
        <v>0</v>
      </c>
    </row>
    <row r="4858" spans="28:34">
      <c r="AB4858" s="580">
        <f>HLOOKUP("*"&amp;'Output annual'!$AC$2&amp;'Output annual'!$AD$2&amp;"*Zone People Number Of Occupants [](Hourly)",'Eplus results'!$1:$1048576,ROW(),FALSE)</f>
        <v>0</v>
      </c>
      <c r="AC4858" s="580">
        <f>HLOOKUP("*"&amp;'Output annual'!$AC$2&amp;'Output annual'!$AD$2&amp;"*FangerPMV(Hourly)",'Eplus results'!$1:$1048576,ROW(),FALSE)</f>
        <v>0</v>
      </c>
      <c r="AD4858" s="580">
        <f t="shared" si="411"/>
        <v>5</v>
      </c>
      <c r="AE4858" s="580">
        <f t="shared" si="412"/>
        <v>2.5</v>
      </c>
      <c r="AF4858" s="580">
        <f t="shared" si="413"/>
        <v>2.5</v>
      </c>
      <c r="AG4858" s="580">
        <f t="shared" si="414"/>
        <v>0</v>
      </c>
      <c r="AH4858" s="580">
        <f t="shared" si="415"/>
        <v>0</v>
      </c>
    </row>
    <row r="4859" spans="28:34">
      <c r="AB4859" s="580">
        <f>HLOOKUP("*"&amp;'Output annual'!$AC$2&amp;'Output annual'!$AD$2&amp;"*Zone People Number Of Occupants [](Hourly)",'Eplus results'!$1:$1048576,ROW(),FALSE)</f>
        <v>0</v>
      </c>
      <c r="AC4859" s="580">
        <f>HLOOKUP("*"&amp;'Output annual'!$AC$2&amp;'Output annual'!$AD$2&amp;"*FangerPMV(Hourly)",'Eplus results'!$1:$1048576,ROW(),FALSE)</f>
        <v>0</v>
      </c>
      <c r="AD4859" s="580">
        <f t="shared" si="411"/>
        <v>5</v>
      </c>
      <c r="AE4859" s="580">
        <f t="shared" si="412"/>
        <v>2.5</v>
      </c>
      <c r="AF4859" s="580">
        <f t="shared" si="413"/>
        <v>2.5</v>
      </c>
      <c r="AG4859" s="580">
        <f t="shared" si="414"/>
        <v>0</v>
      </c>
      <c r="AH4859" s="580">
        <f t="shared" si="415"/>
        <v>0</v>
      </c>
    </row>
    <row r="4860" spans="28:34">
      <c r="AB4860" s="580">
        <f>HLOOKUP("*"&amp;'Output annual'!$AC$2&amp;'Output annual'!$AD$2&amp;"*Zone People Number Of Occupants [](Hourly)",'Eplus results'!$1:$1048576,ROW(),FALSE)</f>
        <v>0</v>
      </c>
      <c r="AC4860" s="580">
        <f>HLOOKUP("*"&amp;'Output annual'!$AC$2&amp;'Output annual'!$AD$2&amp;"*FangerPMV(Hourly)",'Eplus results'!$1:$1048576,ROW(),FALSE)</f>
        <v>0</v>
      </c>
      <c r="AD4860" s="580">
        <f t="shared" si="411"/>
        <v>5</v>
      </c>
      <c r="AE4860" s="580">
        <f t="shared" si="412"/>
        <v>2.5</v>
      </c>
      <c r="AF4860" s="580">
        <f t="shared" si="413"/>
        <v>2.5</v>
      </c>
      <c r="AG4860" s="580">
        <f t="shared" si="414"/>
        <v>0</v>
      </c>
      <c r="AH4860" s="580">
        <f t="shared" si="415"/>
        <v>0</v>
      </c>
    </row>
    <row r="4861" spans="28:34">
      <c r="AB4861" s="580">
        <f>HLOOKUP("*"&amp;'Output annual'!$AC$2&amp;'Output annual'!$AD$2&amp;"*Zone People Number Of Occupants [](Hourly)",'Eplus results'!$1:$1048576,ROW(),FALSE)</f>
        <v>0</v>
      </c>
      <c r="AC4861" s="580">
        <f>HLOOKUP("*"&amp;'Output annual'!$AC$2&amp;'Output annual'!$AD$2&amp;"*FangerPMV(Hourly)",'Eplus results'!$1:$1048576,ROW(),FALSE)</f>
        <v>0</v>
      </c>
      <c r="AD4861" s="580">
        <f t="shared" si="411"/>
        <v>5</v>
      </c>
      <c r="AE4861" s="580">
        <f t="shared" si="412"/>
        <v>2.5</v>
      </c>
      <c r="AF4861" s="580">
        <f t="shared" si="413"/>
        <v>2.5</v>
      </c>
      <c r="AG4861" s="580">
        <f t="shared" si="414"/>
        <v>0</v>
      </c>
      <c r="AH4861" s="580">
        <f t="shared" si="415"/>
        <v>0</v>
      </c>
    </row>
    <row r="4862" spans="28:34">
      <c r="AB4862" s="580">
        <f>HLOOKUP("*"&amp;'Output annual'!$AC$2&amp;'Output annual'!$AD$2&amp;"*Zone People Number Of Occupants [](Hourly)",'Eplus results'!$1:$1048576,ROW(),FALSE)</f>
        <v>0</v>
      </c>
      <c r="AC4862" s="580">
        <f>HLOOKUP("*"&amp;'Output annual'!$AC$2&amp;'Output annual'!$AD$2&amp;"*FangerPMV(Hourly)",'Eplus results'!$1:$1048576,ROW(),FALSE)</f>
        <v>0</v>
      </c>
      <c r="AD4862" s="580">
        <f t="shared" si="411"/>
        <v>5</v>
      </c>
      <c r="AE4862" s="580">
        <f t="shared" si="412"/>
        <v>2.5</v>
      </c>
      <c r="AF4862" s="580">
        <f t="shared" si="413"/>
        <v>2.5</v>
      </c>
      <c r="AG4862" s="580">
        <f t="shared" si="414"/>
        <v>0</v>
      </c>
      <c r="AH4862" s="580">
        <f t="shared" si="415"/>
        <v>0</v>
      </c>
    </row>
    <row r="4863" spans="28:34">
      <c r="AB4863" s="580">
        <f>HLOOKUP("*"&amp;'Output annual'!$AC$2&amp;'Output annual'!$AD$2&amp;"*Zone People Number Of Occupants [](Hourly)",'Eplus results'!$1:$1048576,ROW(),FALSE)</f>
        <v>0</v>
      </c>
      <c r="AC4863" s="580">
        <f>HLOOKUP("*"&amp;'Output annual'!$AC$2&amp;'Output annual'!$AD$2&amp;"*FangerPMV(Hourly)",'Eplus results'!$1:$1048576,ROW(),FALSE)</f>
        <v>0</v>
      </c>
      <c r="AD4863" s="580">
        <f t="shared" si="411"/>
        <v>5</v>
      </c>
      <c r="AE4863" s="580">
        <f t="shared" si="412"/>
        <v>2.5</v>
      </c>
      <c r="AF4863" s="580">
        <f t="shared" si="413"/>
        <v>2.5</v>
      </c>
      <c r="AG4863" s="580">
        <f t="shared" si="414"/>
        <v>0</v>
      </c>
      <c r="AH4863" s="580">
        <f t="shared" si="415"/>
        <v>0</v>
      </c>
    </row>
    <row r="4864" spans="28:34">
      <c r="AB4864" s="580">
        <f>HLOOKUP("*"&amp;'Output annual'!$AC$2&amp;'Output annual'!$AD$2&amp;"*Zone People Number Of Occupants [](Hourly)",'Eplus results'!$1:$1048576,ROW(),FALSE)</f>
        <v>0</v>
      </c>
      <c r="AC4864" s="580">
        <f>HLOOKUP("*"&amp;'Output annual'!$AC$2&amp;'Output annual'!$AD$2&amp;"*FangerPMV(Hourly)",'Eplus results'!$1:$1048576,ROW(),FALSE)</f>
        <v>0</v>
      </c>
      <c r="AD4864" s="580">
        <f t="shared" si="411"/>
        <v>5</v>
      </c>
      <c r="AE4864" s="580">
        <f t="shared" si="412"/>
        <v>2.5</v>
      </c>
      <c r="AF4864" s="580">
        <f t="shared" si="413"/>
        <v>2.5</v>
      </c>
      <c r="AG4864" s="580">
        <f t="shared" si="414"/>
        <v>0</v>
      </c>
      <c r="AH4864" s="580">
        <f t="shared" si="415"/>
        <v>0</v>
      </c>
    </row>
    <row r="4865" spans="28:34">
      <c r="AB4865" s="580">
        <f>HLOOKUP("*"&amp;'Output annual'!$AC$2&amp;'Output annual'!$AD$2&amp;"*Zone People Number Of Occupants [](Hourly)",'Eplus results'!$1:$1048576,ROW(),FALSE)</f>
        <v>0</v>
      </c>
      <c r="AC4865" s="580">
        <f>HLOOKUP("*"&amp;'Output annual'!$AC$2&amp;'Output annual'!$AD$2&amp;"*FangerPMV(Hourly)",'Eplus results'!$1:$1048576,ROW(),FALSE)</f>
        <v>0</v>
      </c>
      <c r="AD4865" s="580">
        <f t="shared" si="411"/>
        <v>5</v>
      </c>
      <c r="AE4865" s="580">
        <f t="shared" si="412"/>
        <v>2.5</v>
      </c>
      <c r="AF4865" s="580">
        <f t="shared" si="413"/>
        <v>2.5</v>
      </c>
      <c r="AG4865" s="580">
        <f t="shared" si="414"/>
        <v>0</v>
      </c>
      <c r="AH4865" s="580">
        <f t="shared" si="415"/>
        <v>0</v>
      </c>
    </row>
    <row r="4866" spans="28:34">
      <c r="AB4866" s="580">
        <f>HLOOKUP("*"&amp;'Output annual'!$AC$2&amp;'Output annual'!$AD$2&amp;"*Zone People Number Of Occupants [](Hourly)",'Eplus results'!$1:$1048576,ROW(),FALSE)</f>
        <v>0</v>
      </c>
      <c r="AC4866" s="580">
        <f>HLOOKUP("*"&amp;'Output annual'!$AC$2&amp;'Output annual'!$AD$2&amp;"*FangerPMV(Hourly)",'Eplus results'!$1:$1048576,ROW(),FALSE)</f>
        <v>0</v>
      </c>
      <c r="AD4866" s="580">
        <f t="shared" si="411"/>
        <v>5</v>
      </c>
      <c r="AE4866" s="580">
        <f t="shared" si="412"/>
        <v>2.5</v>
      </c>
      <c r="AF4866" s="580">
        <f t="shared" si="413"/>
        <v>2.5</v>
      </c>
      <c r="AG4866" s="580">
        <f t="shared" si="414"/>
        <v>0</v>
      </c>
      <c r="AH4866" s="580">
        <f t="shared" si="415"/>
        <v>0</v>
      </c>
    </row>
    <row r="4867" spans="28:34">
      <c r="AB4867" s="580">
        <f>HLOOKUP("*"&amp;'Output annual'!$AC$2&amp;'Output annual'!$AD$2&amp;"*Zone People Number Of Occupants [](Hourly)",'Eplus results'!$1:$1048576,ROW(),FALSE)</f>
        <v>0</v>
      </c>
      <c r="AC4867" s="580">
        <f>HLOOKUP("*"&amp;'Output annual'!$AC$2&amp;'Output annual'!$AD$2&amp;"*FangerPMV(Hourly)",'Eplus results'!$1:$1048576,ROW(),FALSE)</f>
        <v>0</v>
      </c>
      <c r="AD4867" s="580">
        <f t="shared" ref="AD4867:AD4930" si="416">100-95*EXP(-0.03353*AC4867^4-0.2179*AC4867^2)</f>
        <v>5</v>
      </c>
      <c r="AE4867" s="580">
        <f t="shared" ref="AE4867:AE4930" si="417">AD4867*(1/(1+EXP(-6.3*$AC4867)))</f>
        <v>2.5</v>
      </c>
      <c r="AF4867" s="580">
        <f t="shared" ref="AF4867:AF4930" si="418">(AD4867-AE4867)</f>
        <v>2.5</v>
      </c>
      <c r="AG4867" s="580">
        <f t="shared" ref="AG4867:AG4930" si="419">AE4867*AB4867</f>
        <v>0</v>
      </c>
      <c r="AH4867" s="580">
        <f t="shared" ref="AH4867:AH4930" si="420">AF4867*AB4867</f>
        <v>0</v>
      </c>
    </row>
    <row r="4868" spans="28:34">
      <c r="AB4868" s="580">
        <f>HLOOKUP("*"&amp;'Output annual'!$AC$2&amp;'Output annual'!$AD$2&amp;"*Zone People Number Of Occupants [](Hourly)",'Eplus results'!$1:$1048576,ROW(),FALSE)</f>
        <v>0</v>
      </c>
      <c r="AC4868" s="580">
        <f>HLOOKUP("*"&amp;'Output annual'!$AC$2&amp;'Output annual'!$AD$2&amp;"*FangerPMV(Hourly)",'Eplus results'!$1:$1048576,ROW(),FALSE)</f>
        <v>0</v>
      </c>
      <c r="AD4868" s="580">
        <f t="shared" si="416"/>
        <v>5</v>
      </c>
      <c r="AE4868" s="580">
        <f t="shared" si="417"/>
        <v>2.5</v>
      </c>
      <c r="AF4868" s="580">
        <f t="shared" si="418"/>
        <v>2.5</v>
      </c>
      <c r="AG4868" s="580">
        <f t="shared" si="419"/>
        <v>0</v>
      </c>
      <c r="AH4868" s="580">
        <f t="shared" si="420"/>
        <v>0</v>
      </c>
    </row>
    <row r="4869" spans="28:34">
      <c r="AB4869" s="580">
        <f>HLOOKUP("*"&amp;'Output annual'!$AC$2&amp;'Output annual'!$AD$2&amp;"*Zone People Number Of Occupants [](Hourly)",'Eplus results'!$1:$1048576,ROW(),FALSE)</f>
        <v>0</v>
      </c>
      <c r="AC4869" s="580">
        <f>HLOOKUP("*"&amp;'Output annual'!$AC$2&amp;'Output annual'!$AD$2&amp;"*FangerPMV(Hourly)",'Eplus results'!$1:$1048576,ROW(),FALSE)</f>
        <v>0</v>
      </c>
      <c r="AD4869" s="580">
        <f t="shared" si="416"/>
        <v>5</v>
      </c>
      <c r="AE4869" s="580">
        <f t="shared" si="417"/>
        <v>2.5</v>
      </c>
      <c r="AF4869" s="580">
        <f t="shared" si="418"/>
        <v>2.5</v>
      </c>
      <c r="AG4869" s="580">
        <f t="shared" si="419"/>
        <v>0</v>
      </c>
      <c r="AH4869" s="580">
        <f t="shared" si="420"/>
        <v>0</v>
      </c>
    </row>
    <row r="4870" spans="28:34">
      <c r="AB4870" s="580">
        <f>HLOOKUP("*"&amp;'Output annual'!$AC$2&amp;'Output annual'!$AD$2&amp;"*Zone People Number Of Occupants [](Hourly)",'Eplus results'!$1:$1048576,ROW(),FALSE)</f>
        <v>0</v>
      </c>
      <c r="AC4870" s="580">
        <f>HLOOKUP("*"&amp;'Output annual'!$AC$2&amp;'Output annual'!$AD$2&amp;"*FangerPMV(Hourly)",'Eplus results'!$1:$1048576,ROW(),FALSE)</f>
        <v>0</v>
      </c>
      <c r="AD4870" s="580">
        <f t="shared" si="416"/>
        <v>5</v>
      </c>
      <c r="AE4870" s="580">
        <f t="shared" si="417"/>
        <v>2.5</v>
      </c>
      <c r="AF4870" s="580">
        <f t="shared" si="418"/>
        <v>2.5</v>
      </c>
      <c r="AG4870" s="580">
        <f t="shared" si="419"/>
        <v>0</v>
      </c>
      <c r="AH4870" s="580">
        <f t="shared" si="420"/>
        <v>0</v>
      </c>
    </row>
    <row r="4871" spans="28:34">
      <c r="AB4871" s="580">
        <f>HLOOKUP("*"&amp;'Output annual'!$AC$2&amp;'Output annual'!$AD$2&amp;"*Zone People Number Of Occupants [](Hourly)",'Eplus results'!$1:$1048576,ROW(),FALSE)</f>
        <v>0</v>
      </c>
      <c r="AC4871" s="580">
        <f>HLOOKUP("*"&amp;'Output annual'!$AC$2&amp;'Output annual'!$AD$2&amp;"*FangerPMV(Hourly)",'Eplus results'!$1:$1048576,ROW(),FALSE)</f>
        <v>0</v>
      </c>
      <c r="AD4871" s="580">
        <f t="shared" si="416"/>
        <v>5</v>
      </c>
      <c r="AE4871" s="580">
        <f t="shared" si="417"/>
        <v>2.5</v>
      </c>
      <c r="AF4871" s="580">
        <f t="shared" si="418"/>
        <v>2.5</v>
      </c>
      <c r="AG4871" s="580">
        <f t="shared" si="419"/>
        <v>0</v>
      </c>
      <c r="AH4871" s="580">
        <f t="shared" si="420"/>
        <v>0</v>
      </c>
    </row>
    <row r="4872" spans="28:34">
      <c r="AB4872" s="580">
        <f>HLOOKUP("*"&amp;'Output annual'!$AC$2&amp;'Output annual'!$AD$2&amp;"*Zone People Number Of Occupants [](Hourly)",'Eplus results'!$1:$1048576,ROW(),FALSE)</f>
        <v>0</v>
      </c>
      <c r="AC4872" s="580">
        <f>HLOOKUP("*"&amp;'Output annual'!$AC$2&amp;'Output annual'!$AD$2&amp;"*FangerPMV(Hourly)",'Eplus results'!$1:$1048576,ROW(),FALSE)</f>
        <v>0</v>
      </c>
      <c r="AD4872" s="580">
        <f t="shared" si="416"/>
        <v>5</v>
      </c>
      <c r="AE4872" s="580">
        <f t="shared" si="417"/>
        <v>2.5</v>
      </c>
      <c r="AF4872" s="580">
        <f t="shared" si="418"/>
        <v>2.5</v>
      </c>
      <c r="AG4872" s="580">
        <f t="shared" si="419"/>
        <v>0</v>
      </c>
      <c r="AH4872" s="580">
        <f t="shared" si="420"/>
        <v>0</v>
      </c>
    </row>
    <row r="4873" spans="28:34">
      <c r="AB4873" s="580">
        <f>HLOOKUP("*"&amp;'Output annual'!$AC$2&amp;'Output annual'!$AD$2&amp;"*Zone People Number Of Occupants [](Hourly)",'Eplus results'!$1:$1048576,ROW(),FALSE)</f>
        <v>0</v>
      </c>
      <c r="AC4873" s="580">
        <f>HLOOKUP("*"&amp;'Output annual'!$AC$2&amp;'Output annual'!$AD$2&amp;"*FangerPMV(Hourly)",'Eplus results'!$1:$1048576,ROW(),FALSE)</f>
        <v>0</v>
      </c>
      <c r="AD4873" s="580">
        <f t="shared" si="416"/>
        <v>5</v>
      </c>
      <c r="AE4873" s="580">
        <f t="shared" si="417"/>
        <v>2.5</v>
      </c>
      <c r="AF4873" s="580">
        <f t="shared" si="418"/>
        <v>2.5</v>
      </c>
      <c r="AG4873" s="580">
        <f t="shared" si="419"/>
        <v>0</v>
      </c>
      <c r="AH4873" s="580">
        <f t="shared" si="420"/>
        <v>0</v>
      </c>
    </row>
    <row r="4874" spans="28:34">
      <c r="AB4874" s="580">
        <f>HLOOKUP("*"&amp;'Output annual'!$AC$2&amp;'Output annual'!$AD$2&amp;"*Zone People Number Of Occupants [](Hourly)",'Eplus results'!$1:$1048576,ROW(),FALSE)</f>
        <v>0</v>
      </c>
      <c r="AC4874" s="580">
        <f>HLOOKUP("*"&amp;'Output annual'!$AC$2&amp;'Output annual'!$AD$2&amp;"*FangerPMV(Hourly)",'Eplus results'!$1:$1048576,ROW(),FALSE)</f>
        <v>0</v>
      </c>
      <c r="AD4874" s="580">
        <f t="shared" si="416"/>
        <v>5</v>
      </c>
      <c r="AE4874" s="580">
        <f t="shared" si="417"/>
        <v>2.5</v>
      </c>
      <c r="AF4874" s="580">
        <f t="shared" si="418"/>
        <v>2.5</v>
      </c>
      <c r="AG4874" s="580">
        <f t="shared" si="419"/>
        <v>0</v>
      </c>
      <c r="AH4874" s="580">
        <f t="shared" si="420"/>
        <v>0</v>
      </c>
    </row>
    <row r="4875" spans="28:34">
      <c r="AB4875" s="580">
        <f>HLOOKUP("*"&amp;'Output annual'!$AC$2&amp;'Output annual'!$AD$2&amp;"*Zone People Number Of Occupants [](Hourly)",'Eplus results'!$1:$1048576,ROW(),FALSE)</f>
        <v>0</v>
      </c>
      <c r="AC4875" s="580">
        <f>HLOOKUP("*"&amp;'Output annual'!$AC$2&amp;'Output annual'!$AD$2&amp;"*FangerPMV(Hourly)",'Eplus results'!$1:$1048576,ROW(),FALSE)</f>
        <v>0</v>
      </c>
      <c r="AD4875" s="580">
        <f t="shared" si="416"/>
        <v>5</v>
      </c>
      <c r="AE4875" s="580">
        <f t="shared" si="417"/>
        <v>2.5</v>
      </c>
      <c r="AF4875" s="580">
        <f t="shared" si="418"/>
        <v>2.5</v>
      </c>
      <c r="AG4875" s="580">
        <f t="shared" si="419"/>
        <v>0</v>
      </c>
      <c r="AH4875" s="580">
        <f t="shared" si="420"/>
        <v>0</v>
      </c>
    </row>
    <row r="4876" spans="28:34">
      <c r="AB4876" s="580">
        <f>HLOOKUP("*"&amp;'Output annual'!$AC$2&amp;'Output annual'!$AD$2&amp;"*Zone People Number Of Occupants [](Hourly)",'Eplus results'!$1:$1048576,ROW(),FALSE)</f>
        <v>0</v>
      </c>
      <c r="AC4876" s="580">
        <f>HLOOKUP("*"&amp;'Output annual'!$AC$2&amp;'Output annual'!$AD$2&amp;"*FangerPMV(Hourly)",'Eplus results'!$1:$1048576,ROW(),FALSE)</f>
        <v>0</v>
      </c>
      <c r="AD4876" s="580">
        <f t="shared" si="416"/>
        <v>5</v>
      </c>
      <c r="AE4876" s="580">
        <f t="shared" si="417"/>
        <v>2.5</v>
      </c>
      <c r="AF4876" s="580">
        <f t="shared" si="418"/>
        <v>2.5</v>
      </c>
      <c r="AG4876" s="580">
        <f t="shared" si="419"/>
        <v>0</v>
      </c>
      <c r="AH4876" s="580">
        <f t="shared" si="420"/>
        <v>0</v>
      </c>
    </row>
    <row r="4877" spans="28:34">
      <c r="AB4877" s="580">
        <f>HLOOKUP("*"&amp;'Output annual'!$AC$2&amp;'Output annual'!$AD$2&amp;"*Zone People Number Of Occupants [](Hourly)",'Eplus results'!$1:$1048576,ROW(),FALSE)</f>
        <v>0</v>
      </c>
      <c r="AC4877" s="580">
        <f>HLOOKUP("*"&amp;'Output annual'!$AC$2&amp;'Output annual'!$AD$2&amp;"*FangerPMV(Hourly)",'Eplus results'!$1:$1048576,ROW(),FALSE)</f>
        <v>0</v>
      </c>
      <c r="AD4877" s="580">
        <f t="shared" si="416"/>
        <v>5</v>
      </c>
      <c r="AE4877" s="580">
        <f t="shared" si="417"/>
        <v>2.5</v>
      </c>
      <c r="AF4877" s="580">
        <f t="shared" si="418"/>
        <v>2.5</v>
      </c>
      <c r="AG4877" s="580">
        <f t="shared" si="419"/>
        <v>0</v>
      </c>
      <c r="AH4877" s="580">
        <f t="shared" si="420"/>
        <v>0</v>
      </c>
    </row>
    <row r="4878" spans="28:34">
      <c r="AB4878" s="580">
        <f>HLOOKUP("*"&amp;'Output annual'!$AC$2&amp;'Output annual'!$AD$2&amp;"*Zone People Number Of Occupants [](Hourly)",'Eplus results'!$1:$1048576,ROW(),FALSE)</f>
        <v>0</v>
      </c>
      <c r="AC4878" s="580">
        <f>HLOOKUP("*"&amp;'Output annual'!$AC$2&amp;'Output annual'!$AD$2&amp;"*FangerPMV(Hourly)",'Eplus results'!$1:$1048576,ROW(),FALSE)</f>
        <v>0</v>
      </c>
      <c r="AD4878" s="580">
        <f t="shared" si="416"/>
        <v>5</v>
      </c>
      <c r="AE4878" s="580">
        <f t="shared" si="417"/>
        <v>2.5</v>
      </c>
      <c r="AF4878" s="580">
        <f t="shared" si="418"/>
        <v>2.5</v>
      </c>
      <c r="AG4878" s="580">
        <f t="shared" si="419"/>
        <v>0</v>
      </c>
      <c r="AH4878" s="580">
        <f t="shared" si="420"/>
        <v>0</v>
      </c>
    </row>
    <row r="4879" spans="28:34">
      <c r="AB4879" s="580">
        <f>HLOOKUP("*"&amp;'Output annual'!$AC$2&amp;'Output annual'!$AD$2&amp;"*Zone People Number Of Occupants [](Hourly)",'Eplus results'!$1:$1048576,ROW(),FALSE)</f>
        <v>0</v>
      </c>
      <c r="AC4879" s="580">
        <f>HLOOKUP("*"&amp;'Output annual'!$AC$2&amp;'Output annual'!$AD$2&amp;"*FangerPMV(Hourly)",'Eplus results'!$1:$1048576,ROW(),FALSE)</f>
        <v>0</v>
      </c>
      <c r="AD4879" s="580">
        <f t="shared" si="416"/>
        <v>5</v>
      </c>
      <c r="AE4879" s="580">
        <f t="shared" si="417"/>
        <v>2.5</v>
      </c>
      <c r="AF4879" s="580">
        <f t="shared" si="418"/>
        <v>2.5</v>
      </c>
      <c r="AG4879" s="580">
        <f t="shared" si="419"/>
        <v>0</v>
      </c>
      <c r="AH4879" s="580">
        <f t="shared" si="420"/>
        <v>0</v>
      </c>
    </row>
    <row r="4880" spans="28:34">
      <c r="AB4880" s="580">
        <f>HLOOKUP("*"&amp;'Output annual'!$AC$2&amp;'Output annual'!$AD$2&amp;"*Zone People Number Of Occupants [](Hourly)",'Eplus results'!$1:$1048576,ROW(),FALSE)</f>
        <v>0</v>
      </c>
      <c r="AC4880" s="580">
        <f>HLOOKUP("*"&amp;'Output annual'!$AC$2&amp;'Output annual'!$AD$2&amp;"*FangerPMV(Hourly)",'Eplus results'!$1:$1048576,ROW(),FALSE)</f>
        <v>0</v>
      </c>
      <c r="AD4880" s="580">
        <f t="shared" si="416"/>
        <v>5</v>
      </c>
      <c r="AE4880" s="580">
        <f t="shared" si="417"/>
        <v>2.5</v>
      </c>
      <c r="AF4880" s="580">
        <f t="shared" si="418"/>
        <v>2.5</v>
      </c>
      <c r="AG4880" s="580">
        <f t="shared" si="419"/>
        <v>0</v>
      </c>
      <c r="AH4880" s="580">
        <f t="shared" si="420"/>
        <v>0</v>
      </c>
    </row>
    <row r="4881" spans="28:34">
      <c r="AB4881" s="580">
        <f>HLOOKUP("*"&amp;'Output annual'!$AC$2&amp;'Output annual'!$AD$2&amp;"*Zone People Number Of Occupants [](Hourly)",'Eplus results'!$1:$1048576,ROW(),FALSE)</f>
        <v>0</v>
      </c>
      <c r="AC4881" s="580">
        <f>HLOOKUP("*"&amp;'Output annual'!$AC$2&amp;'Output annual'!$AD$2&amp;"*FangerPMV(Hourly)",'Eplus results'!$1:$1048576,ROW(),FALSE)</f>
        <v>0</v>
      </c>
      <c r="AD4881" s="580">
        <f t="shared" si="416"/>
        <v>5</v>
      </c>
      <c r="AE4881" s="580">
        <f t="shared" si="417"/>
        <v>2.5</v>
      </c>
      <c r="AF4881" s="580">
        <f t="shared" si="418"/>
        <v>2.5</v>
      </c>
      <c r="AG4881" s="580">
        <f t="shared" si="419"/>
        <v>0</v>
      </c>
      <c r="AH4881" s="580">
        <f t="shared" si="420"/>
        <v>0</v>
      </c>
    </row>
    <row r="4882" spans="28:34">
      <c r="AB4882" s="580">
        <f>HLOOKUP("*"&amp;'Output annual'!$AC$2&amp;'Output annual'!$AD$2&amp;"*Zone People Number Of Occupants [](Hourly)",'Eplus results'!$1:$1048576,ROW(),FALSE)</f>
        <v>0</v>
      </c>
      <c r="AC4882" s="580">
        <f>HLOOKUP("*"&amp;'Output annual'!$AC$2&amp;'Output annual'!$AD$2&amp;"*FangerPMV(Hourly)",'Eplus results'!$1:$1048576,ROW(),FALSE)</f>
        <v>0</v>
      </c>
      <c r="AD4882" s="580">
        <f t="shared" si="416"/>
        <v>5</v>
      </c>
      <c r="AE4882" s="580">
        <f t="shared" si="417"/>
        <v>2.5</v>
      </c>
      <c r="AF4882" s="580">
        <f t="shared" si="418"/>
        <v>2.5</v>
      </c>
      <c r="AG4882" s="580">
        <f t="shared" si="419"/>
        <v>0</v>
      </c>
      <c r="AH4882" s="580">
        <f t="shared" si="420"/>
        <v>0</v>
      </c>
    </row>
    <row r="4883" spans="28:34">
      <c r="AB4883" s="580">
        <f>HLOOKUP("*"&amp;'Output annual'!$AC$2&amp;'Output annual'!$AD$2&amp;"*Zone People Number Of Occupants [](Hourly)",'Eplus results'!$1:$1048576,ROW(),FALSE)</f>
        <v>0</v>
      </c>
      <c r="AC4883" s="580">
        <f>HLOOKUP("*"&amp;'Output annual'!$AC$2&amp;'Output annual'!$AD$2&amp;"*FangerPMV(Hourly)",'Eplus results'!$1:$1048576,ROW(),FALSE)</f>
        <v>0</v>
      </c>
      <c r="AD4883" s="580">
        <f t="shared" si="416"/>
        <v>5</v>
      </c>
      <c r="AE4883" s="580">
        <f t="shared" si="417"/>
        <v>2.5</v>
      </c>
      <c r="AF4883" s="580">
        <f t="shared" si="418"/>
        <v>2.5</v>
      </c>
      <c r="AG4883" s="580">
        <f t="shared" si="419"/>
        <v>0</v>
      </c>
      <c r="AH4883" s="580">
        <f t="shared" si="420"/>
        <v>0</v>
      </c>
    </row>
    <row r="4884" spans="28:34">
      <c r="AB4884" s="580">
        <f>HLOOKUP("*"&amp;'Output annual'!$AC$2&amp;'Output annual'!$AD$2&amp;"*Zone People Number Of Occupants [](Hourly)",'Eplus results'!$1:$1048576,ROW(),FALSE)</f>
        <v>0</v>
      </c>
      <c r="AC4884" s="580">
        <f>HLOOKUP("*"&amp;'Output annual'!$AC$2&amp;'Output annual'!$AD$2&amp;"*FangerPMV(Hourly)",'Eplus results'!$1:$1048576,ROW(),FALSE)</f>
        <v>0</v>
      </c>
      <c r="AD4884" s="580">
        <f t="shared" si="416"/>
        <v>5</v>
      </c>
      <c r="AE4884" s="580">
        <f t="shared" si="417"/>
        <v>2.5</v>
      </c>
      <c r="AF4884" s="580">
        <f t="shared" si="418"/>
        <v>2.5</v>
      </c>
      <c r="AG4884" s="580">
        <f t="shared" si="419"/>
        <v>0</v>
      </c>
      <c r="AH4884" s="580">
        <f t="shared" si="420"/>
        <v>0</v>
      </c>
    </row>
    <row r="4885" spans="28:34">
      <c r="AB4885" s="580">
        <f>HLOOKUP("*"&amp;'Output annual'!$AC$2&amp;'Output annual'!$AD$2&amp;"*Zone People Number Of Occupants [](Hourly)",'Eplus results'!$1:$1048576,ROW(),FALSE)</f>
        <v>0</v>
      </c>
      <c r="AC4885" s="580">
        <f>HLOOKUP("*"&amp;'Output annual'!$AC$2&amp;'Output annual'!$AD$2&amp;"*FangerPMV(Hourly)",'Eplus results'!$1:$1048576,ROW(),FALSE)</f>
        <v>0</v>
      </c>
      <c r="AD4885" s="580">
        <f t="shared" si="416"/>
        <v>5</v>
      </c>
      <c r="AE4885" s="580">
        <f t="shared" si="417"/>
        <v>2.5</v>
      </c>
      <c r="AF4885" s="580">
        <f t="shared" si="418"/>
        <v>2.5</v>
      </c>
      <c r="AG4885" s="580">
        <f t="shared" si="419"/>
        <v>0</v>
      </c>
      <c r="AH4885" s="580">
        <f t="shared" si="420"/>
        <v>0</v>
      </c>
    </row>
    <row r="4886" spans="28:34">
      <c r="AB4886" s="580">
        <f>HLOOKUP("*"&amp;'Output annual'!$AC$2&amp;'Output annual'!$AD$2&amp;"*Zone People Number Of Occupants [](Hourly)",'Eplus results'!$1:$1048576,ROW(),FALSE)</f>
        <v>0</v>
      </c>
      <c r="AC4886" s="580">
        <f>HLOOKUP("*"&amp;'Output annual'!$AC$2&amp;'Output annual'!$AD$2&amp;"*FangerPMV(Hourly)",'Eplus results'!$1:$1048576,ROW(),FALSE)</f>
        <v>0</v>
      </c>
      <c r="AD4886" s="580">
        <f t="shared" si="416"/>
        <v>5</v>
      </c>
      <c r="AE4886" s="580">
        <f t="shared" si="417"/>
        <v>2.5</v>
      </c>
      <c r="AF4886" s="580">
        <f t="shared" si="418"/>
        <v>2.5</v>
      </c>
      <c r="AG4886" s="580">
        <f t="shared" si="419"/>
        <v>0</v>
      </c>
      <c r="AH4886" s="580">
        <f t="shared" si="420"/>
        <v>0</v>
      </c>
    </row>
    <row r="4887" spans="28:34">
      <c r="AB4887" s="580">
        <f>HLOOKUP("*"&amp;'Output annual'!$AC$2&amp;'Output annual'!$AD$2&amp;"*Zone People Number Of Occupants [](Hourly)",'Eplus results'!$1:$1048576,ROW(),FALSE)</f>
        <v>0</v>
      </c>
      <c r="AC4887" s="580">
        <f>HLOOKUP("*"&amp;'Output annual'!$AC$2&amp;'Output annual'!$AD$2&amp;"*FangerPMV(Hourly)",'Eplus results'!$1:$1048576,ROW(),FALSE)</f>
        <v>0</v>
      </c>
      <c r="AD4887" s="580">
        <f t="shared" si="416"/>
        <v>5</v>
      </c>
      <c r="AE4887" s="580">
        <f t="shared" si="417"/>
        <v>2.5</v>
      </c>
      <c r="AF4887" s="580">
        <f t="shared" si="418"/>
        <v>2.5</v>
      </c>
      <c r="AG4887" s="580">
        <f t="shared" si="419"/>
        <v>0</v>
      </c>
      <c r="AH4887" s="580">
        <f t="shared" si="420"/>
        <v>0</v>
      </c>
    </row>
    <row r="4888" spans="28:34">
      <c r="AB4888" s="580">
        <f>HLOOKUP("*"&amp;'Output annual'!$AC$2&amp;'Output annual'!$AD$2&amp;"*Zone People Number Of Occupants [](Hourly)",'Eplus results'!$1:$1048576,ROW(),FALSE)</f>
        <v>0</v>
      </c>
      <c r="AC4888" s="580">
        <f>HLOOKUP("*"&amp;'Output annual'!$AC$2&amp;'Output annual'!$AD$2&amp;"*FangerPMV(Hourly)",'Eplus results'!$1:$1048576,ROW(),FALSE)</f>
        <v>0</v>
      </c>
      <c r="AD4888" s="580">
        <f t="shared" si="416"/>
        <v>5</v>
      </c>
      <c r="AE4888" s="580">
        <f t="shared" si="417"/>
        <v>2.5</v>
      </c>
      <c r="AF4888" s="580">
        <f t="shared" si="418"/>
        <v>2.5</v>
      </c>
      <c r="AG4888" s="580">
        <f t="shared" si="419"/>
        <v>0</v>
      </c>
      <c r="AH4888" s="580">
        <f t="shared" si="420"/>
        <v>0</v>
      </c>
    </row>
    <row r="4889" spans="28:34">
      <c r="AB4889" s="580">
        <f>HLOOKUP("*"&amp;'Output annual'!$AC$2&amp;'Output annual'!$AD$2&amp;"*Zone People Number Of Occupants [](Hourly)",'Eplus results'!$1:$1048576,ROW(),FALSE)</f>
        <v>0</v>
      </c>
      <c r="AC4889" s="580">
        <f>HLOOKUP("*"&amp;'Output annual'!$AC$2&amp;'Output annual'!$AD$2&amp;"*FangerPMV(Hourly)",'Eplus results'!$1:$1048576,ROW(),FALSE)</f>
        <v>0</v>
      </c>
      <c r="AD4889" s="580">
        <f t="shared" si="416"/>
        <v>5</v>
      </c>
      <c r="AE4889" s="580">
        <f t="shared" si="417"/>
        <v>2.5</v>
      </c>
      <c r="AF4889" s="580">
        <f t="shared" si="418"/>
        <v>2.5</v>
      </c>
      <c r="AG4889" s="580">
        <f t="shared" si="419"/>
        <v>0</v>
      </c>
      <c r="AH4889" s="580">
        <f t="shared" si="420"/>
        <v>0</v>
      </c>
    </row>
    <row r="4890" spans="28:34">
      <c r="AB4890" s="580">
        <f>HLOOKUP("*"&amp;'Output annual'!$AC$2&amp;'Output annual'!$AD$2&amp;"*Zone People Number Of Occupants [](Hourly)",'Eplus results'!$1:$1048576,ROW(),FALSE)</f>
        <v>0</v>
      </c>
      <c r="AC4890" s="580">
        <f>HLOOKUP("*"&amp;'Output annual'!$AC$2&amp;'Output annual'!$AD$2&amp;"*FangerPMV(Hourly)",'Eplus results'!$1:$1048576,ROW(),FALSE)</f>
        <v>0</v>
      </c>
      <c r="AD4890" s="580">
        <f t="shared" si="416"/>
        <v>5</v>
      </c>
      <c r="AE4890" s="580">
        <f t="shared" si="417"/>
        <v>2.5</v>
      </c>
      <c r="AF4890" s="580">
        <f t="shared" si="418"/>
        <v>2.5</v>
      </c>
      <c r="AG4890" s="580">
        <f t="shared" si="419"/>
        <v>0</v>
      </c>
      <c r="AH4890" s="580">
        <f t="shared" si="420"/>
        <v>0</v>
      </c>
    </row>
    <row r="4891" spans="28:34">
      <c r="AB4891" s="580">
        <f>HLOOKUP("*"&amp;'Output annual'!$AC$2&amp;'Output annual'!$AD$2&amp;"*Zone People Number Of Occupants [](Hourly)",'Eplus results'!$1:$1048576,ROW(),FALSE)</f>
        <v>0</v>
      </c>
      <c r="AC4891" s="580">
        <f>HLOOKUP("*"&amp;'Output annual'!$AC$2&amp;'Output annual'!$AD$2&amp;"*FangerPMV(Hourly)",'Eplus results'!$1:$1048576,ROW(),FALSE)</f>
        <v>0</v>
      </c>
      <c r="AD4891" s="580">
        <f t="shared" si="416"/>
        <v>5</v>
      </c>
      <c r="AE4891" s="580">
        <f t="shared" si="417"/>
        <v>2.5</v>
      </c>
      <c r="AF4891" s="580">
        <f t="shared" si="418"/>
        <v>2.5</v>
      </c>
      <c r="AG4891" s="580">
        <f t="shared" si="419"/>
        <v>0</v>
      </c>
      <c r="AH4891" s="580">
        <f t="shared" si="420"/>
        <v>0</v>
      </c>
    </row>
    <row r="4892" spans="28:34">
      <c r="AB4892" s="580">
        <f>HLOOKUP("*"&amp;'Output annual'!$AC$2&amp;'Output annual'!$AD$2&amp;"*Zone People Number Of Occupants [](Hourly)",'Eplus results'!$1:$1048576,ROW(),FALSE)</f>
        <v>0</v>
      </c>
      <c r="AC4892" s="580">
        <f>HLOOKUP("*"&amp;'Output annual'!$AC$2&amp;'Output annual'!$AD$2&amp;"*FangerPMV(Hourly)",'Eplus results'!$1:$1048576,ROW(),FALSE)</f>
        <v>0</v>
      </c>
      <c r="AD4892" s="580">
        <f t="shared" si="416"/>
        <v>5</v>
      </c>
      <c r="AE4892" s="580">
        <f t="shared" si="417"/>
        <v>2.5</v>
      </c>
      <c r="AF4892" s="580">
        <f t="shared" si="418"/>
        <v>2.5</v>
      </c>
      <c r="AG4892" s="580">
        <f t="shared" si="419"/>
        <v>0</v>
      </c>
      <c r="AH4892" s="580">
        <f t="shared" si="420"/>
        <v>0</v>
      </c>
    </row>
    <row r="4893" spans="28:34">
      <c r="AB4893" s="580">
        <f>HLOOKUP("*"&amp;'Output annual'!$AC$2&amp;'Output annual'!$AD$2&amp;"*Zone People Number Of Occupants [](Hourly)",'Eplus results'!$1:$1048576,ROW(),FALSE)</f>
        <v>0</v>
      </c>
      <c r="AC4893" s="580">
        <f>HLOOKUP("*"&amp;'Output annual'!$AC$2&amp;'Output annual'!$AD$2&amp;"*FangerPMV(Hourly)",'Eplus results'!$1:$1048576,ROW(),FALSE)</f>
        <v>0</v>
      </c>
      <c r="AD4893" s="580">
        <f t="shared" si="416"/>
        <v>5</v>
      </c>
      <c r="AE4893" s="580">
        <f t="shared" si="417"/>
        <v>2.5</v>
      </c>
      <c r="AF4893" s="580">
        <f t="shared" si="418"/>
        <v>2.5</v>
      </c>
      <c r="AG4893" s="580">
        <f t="shared" si="419"/>
        <v>0</v>
      </c>
      <c r="AH4893" s="580">
        <f t="shared" si="420"/>
        <v>0</v>
      </c>
    </row>
    <row r="4894" spans="28:34">
      <c r="AB4894" s="580">
        <f>HLOOKUP("*"&amp;'Output annual'!$AC$2&amp;'Output annual'!$AD$2&amp;"*Zone People Number Of Occupants [](Hourly)",'Eplus results'!$1:$1048576,ROW(),FALSE)</f>
        <v>0</v>
      </c>
      <c r="AC4894" s="580">
        <f>HLOOKUP("*"&amp;'Output annual'!$AC$2&amp;'Output annual'!$AD$2&amp;"*FangerPMV(Hourly)",'Eplus results'!$1:$1048576,ROW(),FALSE)</f>
        <v>0</v>
      </c>
      <c r="AD4894" s="580">
        <f t="shared" si="416"/>
        <v>5</v>
      </c>
      <c r="AE4894" s="580">
        <f t="shared" si="417"/>
        <v>2.5</v>
      </c>
      <c r="AF4894" s="580">
        <f t="shared" si="418"/>
        <v>2.5</v>
      </c>
      <c r="AG4894" s="580">
        <f t="shared" si="419"/>
        <v>0</v>
      </c>
      <c r="AH4894" s="580">
        <f t="shared" si="420"/>
        <v>0</v>
      </c>
    </row>
    <row r="4895" spans="28:34">
      <c r="AB4895" s="580">
        <f>HLOOKUP("*"&amp;'Output annual'!$AC$2&amp;'Output annual'!$AD$2&amp;"*Zone People Number Of Occupants [](Hourly)",'Eplus results'!$1:$1048576,ROW(),FALSE)</f>
        <v>0</v>
      </c>
      <c r="AC4895" s="580">
        <f>HLOOKUP("*"&amp;'Output annual'!$AC$2&amp;'Output annual'!$AD$2&amp;"*FangerPMV(Hourly)",'Eplus results'!$1:$1048576,ROW(),FALSE)</f>
        <v>0</v>
      </c>
      <c r="AD4895" s="580">
        <f t="shared" si="416"/>
        <v>5</v>
      </c>
      <c r="AE4895" s="580">
        <f t="shared" si="417"/>
        <v>2.5</v>
      </c>
      <c r="AF4895" s="580">
        <f t="shared" si="418"/>
        <v>2.5</v>
      </c>
      <c r="AG4895" s="580">
        <f t="shared" si="419"/>
        <v>0</v>
      </c>
      <c r="AH4895" s="580">
        <f t="shared" si="420"/>
        <v>0</v>
      </c>
    </row>
    <row r="4896" spans="28:34">
      <c r="AB4896" s="580">
        <f>HLOOKUP("*"&amp;'Output annual'!$AC$2&amp;'Output annual'!$AD$2&amp;"*Zone People Number Of Occupants [](Hourly)",'Eplus results'!$1:$1048576,ROW(),FALSE)</f>
        <v>0</v>
      </c>
      <c r="AC4896" s="580">
        <f>HLOOKUP("*"&amp;'Output annual'!$AC$2&amp;'Output annual'!$AD$2&amp;"*FangerPMV(Hourly)",'Eplus results'!$1:$1048576,ROW(),FALSE)</f>
        <v>0</v>
      </c>
      <c r="AD4896" s="580">
        <f t="shared" si="416"/>
        <v>5</v>
      </c>
      <c r="AE4896" s="580">
        <f t="shared" si="417"/>
        <v>2.5</v>
      </c>
      <c r="AF4896" s="580">
        <f t="shared" si="418"/>
        <v>2.5</v>
      </c>
      <c r="AG4896" s="580">
        <f t="shared" si="419"/>
        <v>0</v>
      </c>
      <c r="AH4896" s="580">
        <f t="shared" si="420"/>
        <v>0</v>
      </c>
    </row>
    <row r="4897" spans="28:34">
      <c r="AB4897" s="580">
        <f>HLOOKUP("*"&amp;'Output annual'!$AC$2&amp;'Output annual'!$AD$2&amp;"*Zone People Number Of Occupants [](Hourly)",'Eplus results'!$1:$1048576,ROW(),FALSE)</f>
        <v>0</v>
      </c>
      <c r="AC4897" s="580">
        <f>HLOOKUP("*"&amp;'Output annual'!$AC$2&amp;'Output annual'!$AD$2&amp;"*FangerPMV(Hourly)",'Eplus results'!$1:$1048576,ROW(),FALSE)</f>
        <v>0</v>
      </c>
      <c r="AD4897" s="580">
        <f t="shared" si="416"/>
        <v>5</v>
      </c>
      <c r="AE4897" s="580">
        <f t="shared" si="417"/>
        <v>2.5</v>
      </c>
      <c r="AF4897" s="580">
        <f t="shared" si="418"/>
        <v>2.5</v>
      </c>
      <c r="AG4897" s="580">
        <f t="shared" si="419"/>
        <v>0</v>
      </c>
      <c r="AH4897" s="580">
        <f t="shared" si="420"/>
        <v>0</v>
      </c>
    </row>
    <row r="4898" spans="28:34">
      <c r="AB4898" s="580">
        <f>HLOOKUP("*"&amp;'Output annual'!$AC$2&amp;'Output annual'!$AD$2&amp;"*Zone People Number Of Occupants [](Hourly)",'Eplus results'!$1:$1048576,ROW(),FALSE)</f>
        <v>0</v>
      </c>
      <c r="AC4898" s="580">
        <f>HLOOKUP("*"&amp;'Output annual'!$AC$2&amp;'Output annual'!$AD$2&amp;"*FangerPMV(Hourly)",'Eplus results'!$1:$1048576,ROW(),FALSE)</f>
        <v>0</v>
      </c>
      <c r="AD4898" s="580">
        <f t="shared" si="416"/>
        <v>5</v>
      </c>
      <c r="AE4898" s="580">
        <f t="shared" si="417"/>
        <v>2.5</v>
      </c>
      <c r="AF4898" s="580">
        <f t="shared" si="418"/>
        <v>2.5</v>
      </c>
      <c r="AG4898" s="580">
        <f t="shared" si="419"/>
        <v>0</v>
      </c>
      <c r="AH4898" s="580">
        <f t="shared" si="420"/>
        <v>0</v>
      </c>
    </row>
    <row r="4899" spans="28:34">
      <c r="AB4899" s="580">
        <f>HLOOKUP("*"&amp;'Output annual'!$AC$2&amp;'Output annual'!$AD$2&amp;"*Zone People Number Of Occupants [](Hourly)",'Eplus results'!$1:$1048576,ROW(),FALSE)</f>
        <v>0</v>
      </c>
      <c r="AC4899" s="580">
        <f>HLOOKUP("*"&amp;'Output annual'!$AC$2&amp;'Output annual'!$AD$2&amp;"*FangerPMV(Hourly)",'Eplus results'!$1:$1048576,ROW(),FALSE)</f>
        <v>0</v>
      </c>
      <c r="AD4899" s="580">
        <f t="shared" si="416"/>
        <v>5</v>
      </c>
      <c r="AE4899" s="580">
        <f t="shared" si="417"/>
        <v>2.5</v>
      </c>
      <c r="AF4899" s="580">
        <f t="shared" si="418"/>
        <v>2.5</v>
      </c>
      <c r="AG4899" s="580">
        <f t="shared" si="419"/>
        <v>0</v>
      </c>
      <c r="AH4899" s="580">
        <f t="shared" si="420"/>
        <v>0</v>
      </c>
    </row>
    <row r="4900" spans="28:34">
      <c r="AB4900" s="580">
        <f>HLOOKUP("*"&amp;'Output annual'!$AC$2&amp;'Output annual'!$AD$2&amp;"*Zone People Number Of Occupants [](Hourly)",'Eplus results'!$1:$1048576,ROW(),FALSE)</f>
        <v>0</v>
      </c>
      <c r="AC4900" s="580">
        <f>HLOOKUP("*"&amp;'Output annual'!$AC$2&amp;'Output annual'!$AD$2&amp;"*FangerPMV(Hourly)",'Eplus results'!$1:$1048576,ROW(),FALSE)</f>
        <v>0</v>
      </c>
      <c r="AD4900" s="580">
        <f t="shared" si="416"/>
        <v>5</v>
      </c>
      <c r="AE4900" s="580">
        <f t="shared" si="417"/>
        <v>2.5</v>
      </c>
      <c r="AF4900" s="580">
        <f t="shared" si="418"/>
        <v>2.5</v>
      </c>
      <c r="AG4900" s="580">
        <f t="shared" si="419"/>
        <v>0</v>
      </c>
      <c r="AH4900" s="580">
        <f t="shared" si="420"/>
        <v>0</v>
      </c>
    </row>
    <row r="4901" spans="28:34">
      <c r="AB4901" s="580">
        <f>HLOOKUP("*"&amp;'Output annual'!$AC$2&amp;'Output annual'!$AD$2&amp;"*Zone People Number Of Occupants [](Hourly)",'Eplus results'!$1:$1048576,ROW(),FALSE)</f>
        <v>0</v>
      </c>
      <c r="AC4901" s="580">
        <f>HLOOKUP("*"&amp;'Output annual'!$AC$2&amp;'Output annual'!$AD$2&amp;"*FangerPMV(Hourly)",'Eplus results'!$1:$1048576,ROW(),FALSE)</f>
        <v>0</v>
      </c>
      <c r="AD4901" s="580">
        <f t="shared" si="416"/>
        <v>5</v>
      </c>
      <c r="AE4901" s="580">
        <f t="shared" si="417"/>
        <v>2.5</v>
      </c>
      <c r="AF4901" s="580">
        <f t="shared" si="418"/>
        <v>2.5</v>
      </c>
      <c r="AG4901" s="580">
        <f t="shared" si="419"/>
        <v>0</v>
      </c>
      <c r="AH4901" s="580">
        <f t="shared" si="420"/>
        <v>0</v>
      </c>
    </row>
    <row r="4902" spans="28:34">
      <c r="AB4902" s="580">
        <f>HLOOKUP("*"&amp;'Output annual'!$AC$2&amp;'Output annual'!$AD$2&amp;"*Zone People Number Of Occupants [](Hourly)",'Eplus results'!$1:$1048576,ROW(),FALSE)</f>
        <v>0</v>
      </c>
      <c r="AC4902" s="580">
        <f>HLOOKUP("*"&amp;'Output annual'!$AC$2&amp;'Output annual'!$AD$2&amp;"*FangerPMV(Hourly)",'Eplus results'!$1:$1048576,ROW(),FALSE)</f>
        <v>0</v>
      </c>
      <c r="AD4902" s="580">
        <f t="shared" si="416"/>
        <v>5</v>
      </c>
      <c r="AE4902" s="580">
        <f t="shared" si="417"/>
        <v>2.5</v>
      </c>
      <c r="AF4902" s="580">
        <f t="shared" si="418"/>
        <v>2.5</v>
      </c>
      <c r="AG4902" s="580">
        <f t="shared" si="419"/>
        <v>0</v>
      </c>
      <c r="AH4902" s="580">
        <f t="shared" si="420"/>
        <v>0</v>
      </c>
    </row>
    <row r="4903" spans="28:34">
      <c r="AB4903" s="580">
        <f>HLOOKUP("*"&amp;'Output annual'!$AC$2&amp;'Output annual'!$AD$2&amp;"*Zone People Number Of Occupants [](Hourly)",'Eplus results'!$1:$1048576,ROW(),FALSE)</f>
        <v>0</v>
      </c>
      <c r="AC4903" s="580">
        <f>HLOOKUP("*"&amp;'Output annual'!$AC$2&amp;'Output annual'!$AD$2&amp;"*FangerPMV(Hourly)",'Eplus results'!$1:$1048576,ROW(),FALSE)</f>
        <v>0</v>
      </c>
      <c r="AD4903" s="580">
        <f t="shared" si="416"/>
        <v>5</v>
      </c>
      <c r="AE4903" s="580">
        <f t="shared" si="417"/>
        <v>2.5</v>
      </c>
      <c r="AF4903" s="580">
        <f t="shared" si="418"/>
        <v>2.5</v>
      </c>
      <c r="AG4903" s="580">
        <f t="shared" si="419"/>
        <v>0</v>
      </c>
      <c r="AH4903" s="580">
        <f t="shared" si="420"/>
        <v>0</v>
      </c>
    </row>
    <row r="4904" spans="28:34">
      <c r="AB4904" s="580">
        <f>HLOOKUP("*"&amp;'Output annual'!$AC$2&amp;'Output annual'!$AD$2&amp;"*Zone People Number Of Occupants [](Hourly)",'Eplus results'!$1:$1048576,ROW(),FALSE)</f>
        <v>0</v>
      </c>
      <c r="AC4904" s="580">
        <f>HLOOKUP("*"&amp;'Output annual'!$AC$2&amp;'Output annual'!$AD$2&amp;"*FangerPMV(Hourly)",'Eplus results'!$1:$1048576,ROW(),FALSE)</f>
        <v>0</v>
      </c>
      <c r="AD4904" s="580">
        <f t="shared" si="416"/>
        <v>5</v>
      </c>
      <c r="AE4904" s="580">
        <f t="shared" si="417"/>
        <v>2.5</v>
      </c>
      <c r="AF4904" s="580">
        <f t="shared" si="418"/>
        <v>2.5</v>
      </c>
      <c r="AG4904" s="580">
        <f t="shared" si="419"/>
        <v>0</v>
      </c>
      <c r="AH4904" s="580">
        <f t="shared" si="420"/>
        <v>0</v>
      </c>
    </row>
    <row r="4905" spans="28:34">
      <c r="AB4905" s="580">
        <f>HLOOKUP("*"&amp;'Output annual'!$AC$2&amp;'Output annual'!$AD$2&amp;"*Zone People Number Of Occupants [](Hourly)",'Eplus results'!$1:$1048576,ROW(),FALSE)</f>
        <v>0</v>
      </c>
      <c r="AC4905" s="580">
        <f>HLOOKUP("*"&amp;'Output annual'!$AC$2&amp;'Output annual'!$AD$2&amp;"*FangerPMV(Hourly)",'Eplus results'!$1:$1048576,ROW(),FALSE)</f>
        <v>0</v>
      </c>
      <c r="AD4905" s="580">
        <f t="shared" si="416"/>
        <v>5</v>
      </c>
      <c r="AE4905" s="580">
        <f t="shared" si="417"/>
        <v>2.5</v>
      </c>
      <c r="AF4905" s="580">
        <f t="shared" si="418"/>
        <v>2.5</v>
      </c>
      <c r="AG4905" s="580">
        <f t="shared" si="419"/>
        <v>0</v>
      </c>
      <c r="AH4905" s="580">
        <f t="shared" si="420"/>
        <v>0</v>
      </c>
    </row>
    <row r="4906" spans="28:34">
      <c r="AB4906" s="580">
        <f>HLOOKUP("*"&amp;'Output annual'!$AC$2&amp;'Output annual'!$AD$2&amp;"*Zone People Number Of Occupants [](Hourly)",'Eplus results'!$1:$1048576,ROW(),FALSE)</f>
        <v>0</v>
      </c>
      <c r="AC4906" s="580">
        <f>HLOOKUP("*"&amp;'Output annual'!$AC$2&amp;'Output annual'!$AD$2&amp;"*FangerPMV(Hourly)",'Eplus results'!$1:$1048576,ROW(),FALSE)</f>
        <v>0</v>
      </c>
      <c r="AD4906" s="580">
        <f t="shared" si="416"/>
        <v>5</v>
      </c>
      <c r="AE4906" s="580">
        <f t="shared" si="417"/>
        <v>2.5</v>
      </c>
      <c r="AF4906" s="580">
        <f t="shared" si="418"/>
        <v>2.5</v>
      </c>
      <c r="AG4906" s="580">
        <f t="shared" si="419"/>
        <v>0</v>
      </c>
      <c r="AH4906" s="580">
        <f t="shared" si="420"/>
        <v>0</v>
      </c>
    </row>
    <row r="4907" spans="28:34">
      <c r="AB4907" s="580">
        <f>HLOOKUP("*"&amp;'Output annual'!$AC$2&amp;'Output annual'!$AD$2&amp;"*Zone People Number Of Occupants [](Hourly)",'Eplus results'!$1:$1048576,ROW(),FALSE)</f>
        <v>0</v>
      </c>
      <c r="AC4907" s="580">
        <f>HLOOKUP("*"&amp;'Output annual'!$AC$2&amp;'Output annual'!$AD$2&amp;"*FangerPMV(Hourly)",'Eplus results'!$1:$1048576,ROW(),FALSE)</f>
        <v>0</v>
      </c>
      <c r="AD4907" s="580">
        <f t="shared" si="416"/>
        <v>5</v>
      </c>
      <c r="AE4907" s="580">
        <f t="shared" si="417"/>
        <v>2.5</v>
      </c>
      <c r="AF4907" s="580">
        <f t="shared" si="418"/>
        <v>2.5</v>
      </c>
      <c r="AG4907" s="580">
        <f t="shared" si="419"/>
        <v>0</v>
      </c>
      <c r="AH4907" s="580">
        <f t="shared" si="420"/>
        <v>0</v>
      </c>
    </row>
    <row r="4908" spans="28:34">
      <c r="AB4908" s="580">
        <f>HLOOKUP("*"&amp;'Output annual'!$AC$2&amp;'Output annual'!$AD$2&amp;"*Zone People Number Of Occupants [](Hourly)",'Eplus results'!$1:$1048576,ROW(),FALSE)</f>
        <v>0</v>
      </c>
      <c r="AC4908" s="580">
        <f>HLOOKUP("*"&amp;'Output annual'!$AC$2&amp;'Output annual'!$AD$2&amp;"*FangerPMV(Hourly)",'Eplus results'!$1:$1048576,ROW(),FALSE)</f>
        <v>0</v>
      </c>
      <c r="AD4908" s="580">
        <f t="shared" si="416"/>
        <v>5</v>
      </c>
      <c r="AE4908" s="580">
        <f t="shared" si="417"/>
        <v>2.5</v>
      </c>
      <c r="AF4908" s="580">
        <f t="shared" si="418"/>
        <v>2.5</v>
      </c>
      <c r="AG4908" s="580">
        <f t="shared" si="419"/>
        <v>0</v>
      </c>
      <c r="AH4908" s="580">
        <f t="shared" si="420"/>
        <v>0</v>
      </c>
    </row>
    <row r="4909" spans="28:34">
      <c r="AB4909" s="580">
        <f>HLOOKUP("*"&amp;'Output annual'!$AC$2&amp;'Output annual'!$AD$2&amp;"*Zone People Number Of Occupants [](Hourly)",'Eplus results'!$1:$1048576,ROW(),FALSE)</f>
        <v>0</v>
      </c>
      <c r="AC4909" s="580">
        <f>HLOOKUP("*"&amp;'Output annual'!$AC$2&amp;'Output annual'!$AD$2&amp;"*FangerPMV(Hourly)",'Eplus results'!$1:$1048576,ROW(),FALSE)</f>
        <v>0</v>
      </c>
      <c r="AD4909" s="580">
        <f t="shared" si="416"/>
        <v>5</v>
      </c>
      <c r="AE4909" s="580">
        <f t="shared" si="417"/>
        <v>2.5</v>
      </c>
      <c r="AF4909" s="580">
        <f t="shared" si="418"/>
        <v>2.5</v>
      </c>
      <c r="AG4909" s="580">
        <f t="shared" si="419"/>
        <v>0</v>
      </c>
      <c r="AH4909" s="580">
        <f t="shared" si="420"/>
        <v>0</v>
      </c>
    </row>
    <row r="4910" spans="28:34">
      <c r="AB4910" s="580">
        <f>HLOOKUP("*"&amp;'Output annual'!$AC$2&amp;'Output annual'!$AD$2&amp;"*Zone People Number Of Occupants [](Hourly)",'Eplus results'!$1:$1048576,ROW(),FALSE)</f>
        <v>0</v>
      </c>
      <c r="AC4910" s="580">
        <f>HLOOKUP("*"&amp;'Output annual'!$AC$2&amp;'Output annual'!$AD$2&amp;"*FangerPMV(Hourly)",'Eplus results'!$1:$1048576,ROW(),FALSE)</f>
        <v>0</v>
      </c>
      <c r="AD4910" s="580">
        <f t="shared" si="416"/>
        <v>5</v>
      </c>
      <c r="AE4910" s="580">
        <f t="shared" si="417"/>
        <v>2.5</v>
      </c>
      <c r="AF4910" s="580">
        <f t="shared" si="418"/>
        <v>2.5</v>
      </c>
      <c r="AG4910" s="580">
        <f t="shared" si="419"/>
        <v>0</v>
      </c>
      <c r="AH4910" s="580">
        <f t="shared" si="420"/>
        <v>0</v>
      </c>
    </row>
    <row r="4911" spans="28:34">
      <c r="AB4911" s="580">
        <f>HLOOKUP("*"&amp;'Output annual'!$AC$2&amp;'Output annual'!$AD$2&amp;"*Zone People Number Of Occupants [](Hourly)",'Eplus results'!$1:$1048576,ROW(),FALSE)</f>
        <v>0</v>
      </c>
      <c r="AC4911" s="580">
        <f>HLOOKUP("*"&amp;'Output annual'!$AC$2&amp;'Output annual'!$AD$2&amp;"*FangerPMV(Hourly)",'Eplus results'!$1:$1048576,ROW(),FALSE)</f>
        <v>0</v>
      </c>
      <c r="AD4911" s="580">
        <f t="shared" si="416"/>
        <v>5</v>
      </c>
      <c r="AE4911" s="580">
        <f t="shared" si="417"/>
        <v>2.5</v>
      </c>
      <c r="AF4911" s="580">
        <f t="shared" si="418"/>
        <v>2.5</v>
      </c>
      <c r="AG4911" s="580">
        <f t="shared" si="419"/>
        <v>0</v>
      </c>
      <c r="AH4911" s="580">
        <f t="shared" si="420"/>
        <v>0</v>
      </c>
    </row>
    <row r="4912" spans="28:34">
      <c r="AB4912" s="580">
        <f>HLOOKUP("*"&amp;'Output annual'!$AC$2&amp;'Output annual'!$AD$2&amp;"*Zone People Number Of Occupants [](Hourly)",'Eplus results'!$1:$1048576,ROW(),FALSE)</f>
        <v>0</v>
      </c>
      <c r="AC4912" s="580">
        <f>HLOOKUP("*"&amp;'Output annual'!$AC$2&amp;'Output annual'!$AD$2&amp;"*FangerPMV(Hourly)",'Eplus results'!$1:$1048576,ROW(),FALSE)</f>
        <v>0</v>
      </c>
      <c r="AD4912" s="580">
        <f t="shared" si="416"/>
        <v>5</v>
      </c>
      <c r="AE4912" s="580">
        <f t="shared" si="417"/>
        <v>2.5</v>
      </c>
      <c r="AF4912" s="580">
        <f t="shared" si="418"/>
        <v>2.5</v>
      </c>
      <c r="AG4912" s="580">
        <f t="shared" si="419"/>
        <v>0</v>
      </c>
      <c r="AH4912" s="580">
        <f t="shared" si="420"/>
        <v>0</v>
      </c>
    </row>
    <row r="4913" spans="28:34">
      <c r="AB4913" s="580">
        <f>HLOOKUP("*"&amp;'Output annual'!$AC$2&amp;'Output annual'!$AD$2&amp;"*Zone People Number Of Occupants [](Hourly)",'Eplus results'!$1:$1048576,ROW(),FALSE)</f>
        <v>0</v>
      </c>
      <c r="AC4913" s="580">
        <f>HLOOKUP("*"&amp;'Output annual'!$AC$2&amp;'Output annual'!$AD$2&amp;"*FangerPMV(Hourly)",'Eplus results'!$1:$1048576,ROW(),FALSE)</f>
        <v>0</v>
      </c>
      <c r="AD4913" s="580">
        <f t="shared" si="416"/>
        <v>5</v>
      </c>
      <c r="AE4913" s="580">
        <f t="shared" si="417"/>
        <v>2.5</v>
      </c>
      <c r="AF4913" s="580">
        <f t="shared" si="418"/>
        <v>2.5</v>
      </c>
      <c r="AG4913" s="580">
        <f t="shared" si="419"/>
        <v>0</v>
      </c>
      <c r="AH4913" s="580">
        <f t="shared" si="420"/>
        <v>0</v>
      </c>
    </row>
    <row r="4914" spans="28:34">
      <c r="AB4914" s="580">
        <f>HLOOKUP("*"&amp;'Output annual'!$AC$2&amp;'Output annual'!$AD$2&amp;"*Zone People Number Of Occupants [](Hourly)",'Eplus results'!$1:$1048576,ROW(),FALSE)</f>
        <v>0</v>
      </c>
      <c r="AC4914" s="580">
        <f>HLOOKUP("*"&amp;'Output annual'!$AC$2&amp;'Output annual'!$AD$2&amp;"*FangerPMV(Hourly)",'Eplus results'!$1:$1048576,ROW(),FALSE)</f>
        <v>0</v>
      </c>
      <c r="AD4914" s="580">
        <f t="shared" si="416"/>
        <v>5</v>
      </c>
      <c r="AE4914" s="580">
        <f t="shared" si="417"/>
        <v>2.5</v>
      </c>
      <c r="AF4914" s="580">
        <f t="shared" si="418"/>
        <v>2.5</v>
      </c>
      <c r="AG4914" s="580">
        <f t="shared" si="419"/>
        <v>0</v>
      </c>
      <c r="AH4914" s="580">
        <f t="shared" si="420"/>
        <v>0</v>
      </c>
    </row>
    <row r="4915" spans="28:34">
      <c r="AB4915" s="580">
        <f>HLOOKUP("*"&amp;'Output annual'!$AC$2&amp;'Output annual'!$AD$2&amp;"*Zone People Number Of Occupants [](Hourly)",'Eplus results'!$1:$1048576,ROW(),FALSE)</f>
        <v>0</v>
      </c>
      <c r="AC4915" s="580">
        <f>HLOOKUP("*"&amp;'Output annual'!$AC$2&amp;'Output annual'!$AD$2&amp;"*FangerPMV(Hourly)",'Eplus results'!$1:$1048576,ROW(),FALSE)</f>
        <v>0</v>
      </c>
      <c r="AD4915" s="580">
        <f t="shared" si="416"/>
        <v>5</v>
      </c>
      <c r="AE4915" s="580">
        <f t="shared" si="417"/>
        <v>2.5</v>
      </c>
      <c r="AF4915" s="580">
        <f t="shared" si="418"/>
        <v>2.5</v>
      </c>
      <c r="AG4915" s="580">
        <f t="shared" si="419"/>
        <v>0</v>
      </c>
      <c r="AH4915" s="580">
        <f t="shared" si="420"/>
        <v>0</v>
      </c>
    </row>
    <row r="4916" spans="28:34">
      <c r="AB4916" s="580">
        <f>HLOOKUP("*"&amp;'Output annual'!$AC$2&amp;'Output annual'!$AD$2&amp;"*Zone People Number Of Occupants [](Hourly)",'Eplus results'!$1:$1048576,ROW(),FALSE)</f>
        <v>0</v>
      </c>
      <c r="AC4916" s="580">
        <f>HLOOKUP("*"&amp;'Output annual'!$AC$2&amp;'Output annual'!$AD$2&amp;"*FangerPMV(Hourly)",'Eplus results'!$1:$1048576,ROW(),FALSE)</f>
        <v>0</v>
      </c>
      <c r="AD4916" s="580">
        <f t="shared" si="416"/>
        <v>5</v>
      </c>
      <c r="AE4916" s="580">
        <f t="shared" si="417"/>
        <v>2.5</v>
      </c>
      <c r="AF4916" s="580">
        <f t="shared" si="418"/>
        <v>2.5</v>
      </c>
      <c r="AG4916" s="580">
        <f t="shared" si="419"/>
        <v>0</v>
      </c>
      <c r="AH4916" s="580">
        <f t="shared" si="420"/>
        <v>0</v>
      </c>
    </row>
    <row r="4917" spans="28:34">
      <c r="AB4917" s="580">
        <f>HLOOKUP("*"&amp;'Output annual'!$AC$2&amp;'Output annual'!$AD$2&amp;"*Zone People Number Of Occupants [](Hourly)",'Eplus results'!$1:$1048576,ROW(),FALSE)</f>
        <v>0</v>
      </c>
      <c r="AC4917" s="580">
        <f>HLOOKUP("*"&amp;'Output annual'!$AC$2&amp;'Output annual'!$AD$2&amp;"*FangerPMV(Hourly)",'Eplus results'!$1:$1048576,ROW(),FALSE)</f>
        <v>0</v>
      </c>
      <c r="AD4917" s="580">
        <f t="shared" si="416"/>
        <v>5</v>
      </c>
      <c r="AE4917" s="580">
        <f t="shared" si="417"/>
        <v>2.5</v>
      </c>
      <c r="AF4917" s="580">
        <f t="shared" si="418"/>
        <v>2.5</v>
      </c>
      <c r="AG4917" s="580">
        <f t="shared" si="419"/>
        <v>0</v>
      </c>
      <c r="AH4917" s="580">
        <f t="shared" si="420"/>
        <v>0</v>
      </c>
    </row>
    <row r="4918" spans="28:34">
      <c r="AB4918" s="580">
        <f>HLOOKUP("*"&amp;'Output annual'!$AC$2&amp;'Output annual'!$AD$2&amp;"*Zone People Number Of Occupants [](Hourly)",'Eplus results'!$1:$1048576,ROW(),FALSE)</f>
        <v>0</v>
      </c>
      <c r="AC4918" s="580">
        <f>HLOOKUP("*"&amp;'Output annual'!$AC$2&amp;'Output annual'!$AD$2&amp;"*FangerPMV(Hourly)",'Eplus results'!$1:$1048576,ROW(),FALSE)</f>
        <v>0</v>
      </c>
      <c r="AD4918" s="580">
        <f t="shared" si="416"/>
        <v>5</v>
      </c>
      <c r="AE4918" s="580">
        <f t="shared" si="417"/>
        <v>2.5</v>
      </c>
      <c r="AF4918" s="580">
        <f t="shared" si="418"/>
        <v>2.5</v>
      </c>
      <c r="AG4918" s="580">
        <f t="shared" si="419"/>
        <v>0</v>
      </c>
      <c r="AH4918" s="580">
        <f t="shared" si="420"/>
        <v>0</v>
      </c>
    </row>
    <row r="4919" spans="28:34">
      <c r="AB4919" s="580">
        <f>HLOOKUP("*"&amp;'Output annual'!$AC$2&amp;'Output annual'!$AD$2&amp;"*Zone People Number Of Occupants [](Hourly)",'Eplus results'!$1:$1048576,ROW(),FALSE)</f>
        <v>0</v>
      </c>
      <c r="AC4919" s="580">
        <f>HLOOKUP("*"&amp;'Output annual'!$AC$2&amp;'Output annual'!$AD$2&amp;"*FangerPMV(Hourly)",'Eplus results'!$1:$1048576,ROW(),FALSE)</f>
        <v>0</v>
      </c>
      <c r="AD4919" s="580">
        <f t="shared" si="416"/>
        <v>5</v>
      </c>
      <c r="AE4919" s="580">
        <f t="shared" si="417"/>
        <v>2.5</v>
      </c>
      <c r="AF4919" s="580">
        <f t="shared" si="418"/>
        <v>2.5</v>
      </c>
      <c r="AG4919" s="580">
        <f t="shared" si="419"/>
        <v>0</v>
      </c>
      <c r="AH4919" s="580">
        <f t="shared" si="420"/>
        <v>0</v>
      </c>
    </row>
    <row r="4920" spans="28:34">
      <c r="AB4920" s="580">
        <f>HLOOKUP("*"&amp;'Output annual'!$AC$2&amp;'Output annual'!$AD$2&amp;"*Zone People Number Of Occupants [](Hourly)",'Eplus results'!$1:$1048576,ROW(),FALSE)</f>
        <v>0</v>
      </c>
      <c r="AC4920" s="580">
        <f>HLOOKUP("*"&amp;'Output annual'!$AC$2&amp;'Output annual'!$AD$2&amp;"*FangerPMV(Hourly)",'Eplus results'!$1:$1048576,ROW(),FALSE)</f>
        <v>0</v>
      </c>
      <c r="AD4920" s="580">
        <f t="shared" si="416"/>
        <v>5</v>
      </c>
      <c r="AE4920" s="580">
        <f t="shared" si="417"/>
        <v>2.5</v>
      </c>
      <c r="AF4920" s="580">
        <f t="shared" si="418"/>
        <v>2.5</v>
      </c>
      <c r="AG4920" s="580">
        <f t="shared" si="419"/>
        <v>0</v>
      </c>
      <c r="AH4920" s="580">
        <f t="shared" si="420"/>
        <v>0</v>
      </c>
    </row>
    <row r="4921" spans="28:34">
      <c r="AB4921" s="580">
        <f>HLOOKUP("*"&amp;'Output annual'!$AC$2&amp;'Output annual'!$AD$2&amp;"*Zone People Number Of Occupants [](Hourly)",'Eplus results'!$1:$1048576,ROW(),FALSE)</f>
        <v>0</v>
      </c>
      <c r="AC4921" s="580">
        <f>HLOOKUP("*"&amp;'Output annual'!$AC$2&amp;'Output annual'!$AD$2&amp;"*FangerPMV(Hourly)",'Eplus results'!$1:$1048576,ROW(),FALSE)</f>
        <v>0</v>
      </c>
      <c r="AD4921" s="580">
        <f t="shared" si="416"/>
        <v>5</v>
      </c>
      <c r="AE4921" s="580">
        <f t="shared" si="417"/>
        <v>2.5</v>
      </c>
      <c r="AF4921" s="580">
        <f t="shared" si="418"/>
        <v>2.5</v>
      </c>
      <c r="AG4921" s="580">
        <f t="shared" si="419"/>
        <v>0</v>
      </c>
      <c r="AH4921" s="580">
        <f t="shared" si="420"/>
        <v>0</v>
      </c>
    </row>
    <row r="4922" spans="28:34">
      <c r="AB4922" s="580">
        <f>HLOOKUP("*"&amp;'Output annual'!$AC$2&amp;'Output annual'!$AD$2&amp;"*Zone People Number Of Occupants [](Hourly)",'Eplus results'!$1:$1048576,ROW(),FALSE)</f>
        <v>0</v>
      </c>
      <c r="AC4922" s="580">
        <f>HLOOKUP("*"&amp;'Output annual'!$AC$2&amp;'Output annual'!$AD$2&amp;"*FangerPMV(Hourly)",'Eplus results'!$1:$1048576,ROW(),FALSE)</f>
        <v>0</v>
      </c>
      <c r="AD4922" s="580">
        <f t="shared" si="416"/>
        <v>5</v>
      </c>
      <c r="AE4922" s="580">
        <f t="shared" si="417"/>
        <v>2.5</v>
      </c>
      <c r="AF4922" s="580">
        <f t="shared" si="418"/>
        <v>2.5</v>
      </c>
      <c r="AG4922" s="580">
        <f t="shared" si="419"/>
        <v>0</v>
      </c>
      <c r="AH4922" s="580">
        <f t="shared" si="420"/>
        <v>0</v>
      </c>
    </row>
    <row r="4923" spans="28:34">
      <c r="AB4923" s="580">
        <f>HLOOKUP("*"&amp;'Output annual'!$AC$2&amp;'Output annual'!$AD$2&amp;"*Zone People Number Of Occupants [](Hourly)",'Eplus results'!$1:$1048576,ROW(),FALSE)</f>
        <v>0</v>
      </c>
      <c r="AC4923" s="580">
        <f>HLOOKUP("*"&amp;'Output annual'!$AC$2&amp;'Output annual'!$AD$2&amp;"*FangerPMV(Hourly)",'Eplus results'!$1:$1048576,ROW(),FALSE)</f>
        <v>0</v>
      </c>
      <c r="AD4923" s="580">
        <f t="shared" si="416"/>
        <v>5</v>
      </c>
      <c r="AE4923" s="580">
        <f t="shared" si="417"/>
        <v>2.5</v>
      </c>
      <c r="AF4923" s="580">
        <f t="shared" si="418"/>
        <v>2.5</v>
      </c>
      <c r="AG4923" s="580">
        <f t="shared" si="419"/>
        <v>0</v>
      </c>
      <c r="AH4923" s="580">
        <f t="shared" si="420"/>
        <v>0</v>
      </c>
    </row>
    <row r="4924" spans="28:34">
      <c r="AB4924" s="580">
        <f>HLOOKUP("*"&amp;'Output annual'!$AC$2&amp;'Output annual'!$AD$2&amp;"*Zone People Number Of Occupants [](Hourly)",'Eplus results'!$1:$1048576,ROW(),FALSE)</f>
        <v>0</v>
      </c>
      <c r="AC4924" s="580">
        <f>HLOOKUP("*"&amp;'Output annual'!$AC$2&amp;'Output annual'!$AD$2&amp;"*FangerPMV(Hourly)",'Eplus results'!$1:$1048576,ROW(),FALSE)</f>
        <v>0</v>
      </c>
      <c r="AD4924" s="580">
        <f t="shared" si="416"/>
        <v>5</v>
      </c>
      <c r="AE4924" s="580">
        <f t="shared" si="417"/>
        <v>2.5</v>
      </c>
      <c r="AF4924" s="580">
        <f t="shared" si="418"/>
        <v>2.5</v>
      </c>
      <c r="AG4924" s="580">
        <f t="shared" si="419"/>
        <v>0</v>
      </c>
      <c r="AH4924" s="580">
        <f t="shared" si="420"/>
        <v>0</v>
      </c>
    </row>
    <row r="4925" spans="28:34">
      <c r="AB4925" s="580">
        <f>HLOOKUP("*"&amp;'Output annual'!$AC$2&amp;'Output annual'!$AD$2&amp;"*Zone People Number Of Occupants [](Hourly)",'Eplus results'!$1:$1048576,ROW(),FALSE)</f>
        <v>0</v>
      </c>
      <c r="AC4925" s="580">
        <f>HLOOKUP("*"&amp;'Output annual'!$AC$2&amp;'Output annual'!$AD$2&amp;"*FangerPMV(Hourly)",'Eplus results'!$1:$1048576,ROW(),FALSE)</f>
        <v>0</v>
      </c>
      <c r="AD4925" s="580">
        <f t="shared" si="416"/>
        <v>5</v>
      </c>
      <c r="AE4925" s="580">
        <f t="shared" si="417"/>
        <v>2.5</v>
      </c>
      <c r="AF4925" s="580">
        <f t="shared" si="418"/>
        <v>2.5</v>
      </c>
      <c r="AG4925" s="580">
        <f t="shared" si="419"/>
        <v>0</v>
      </c>
      <c r="AH4925" s="580">
        <f t="shared" si="420"/>
        <v>0</v>
      </c>
    </row>
    <row r="4926" spans="28:34">
      <c r="AB4926" s="580">
        <f>HLOOKUP("*"&amp;'Output annual'!$AC$2&amp;'Output annual'!$AD$2&amp;"*Zone People Number Of Occupants [](Hourly)",'Eplus results'!$1:$1048576,ROW(),FALSE)</f>
        <v>0</v>
      </c>
      <c r="AC4926" s="580">
        <f>HLOOKUP("*"&amp;'Output annual'!$AC$2&amp;'Output annual'!$AD$2&amp;"*FangerPMV(Hourly)",'Eplus results'!$1:$1048576,ROW(),FALSE)</f>
        <v>0</v>
      </c>
      <c r="AD4926" s="580">
        <f t="shared" si="416"/>
        <v>5</v>
      </c>
      <c r="AE4926" s="580">
        <f t="shared" si="417"/>
        <v>2.5</v>
      </c>
      <c r="AF4926" s="580">
        <f t="shared" si="418"/>
        <v>2.5</v>
      </c>
      <c r="AG4926" s="580">
        <f t="shared" si="419"/>
        <v>0</v>
      </c>
      <c r="AH4926" s="580">
        <f t="shared" si="420"/>
        <v>0</v>
      </c>
    </row>
    <row r="4927" spans="28:34">
      <c r="AB4927" s="580">
        <f>HLOOKUP("*"&amp;'Output annual'!$AC$2&amp;'Output annual'!$AD$2&amp;"*Zone People Number Of Occupants [](Hourly)",'Eplus results'!$1:$1048576,ROW(),FALSE)</f>
        <v>0</v>
      </c>
      <c r="AC4927" s="580">
        <f>HLOOKUP("*"&amp;'Output annual'!$AC$2&amp;'Output annual'!$AD$2&amp;"*FangerPMV(Hourly)",'Eplus results'!$1:$1048576,ROW(),FALSE)</f>
        <v>0</v>
      </c>
      <c r="AD4927" s="580">
        <f t="shared" si="416"/>
        <v>5</v>
      </c>
      <c r="AE4927" s="580">
        <f t="shared" si="417"/>
        <v>2.5</v>
      </c>
      <c r="AF4927" s="580">
        <f t="shared" si="418"/>
        <v>2.5</v>
      </c>
      <c r="AG4927" s="580">
        <f t="shared" si="419"/>
        <v>0</v>
      </c>
      <c r="AH4927" s="580">
        <f t="shared" si="420"/>
        <v>0</v>
      </c>
    </row>
    <row r="4928" spans="28:34">
      <c r="AB4928" s="580">
        <f>HLOOKUP("*"&amp;'Output annual'!$AC$2&amp;'Output annual'!$AD$2&amp;"*Zone People Number Of Occupants [](Hourly)",'Eplus results'!$1:$1048576,ROW(),FALSE)</f>
        <v>0</v>
      </c>
      <c r="AC4928" s="580">
        <f>HLOOKUP("*"&amp;'Output annual'!$AC$2&amp;'Output annual'!$AD$2&amp;"*FangerPMV(Hourly)",'Eplus results'!$1:$1048576,ROW(),FALSE)</f>
        <v>0</v>
      </c>
      <c r="AD4928" s="580">
        <f t="shared" si="416"/>
        <v>5</v>
      </c>
      <c r="AE4928" s="580">
        <f t="shared" si="417"/>
        <v>2.5</v>
      </c>
      <c r="AF4928" s="580">
        <f t="shared" si="418"/>
        <v>2.5</v>
      </c>
      <c r="AG4928" s="580">
        <f t="shared" si="419"/>
        <v>0</v>
      </c>
      <c r="AH4928" s="580">
        <f t="shared" si="420"/>
        <v>0</v>
      </c>
    </row>
    <row r="4929" spans="28:34">
      <c r="AB4929" s="580">
        <f>HLOOKUP("*"&amp;'Output annual'!$AC$2&amp;'Output annual'!$AD$2&amp;"*Zone People Number Of Occupants [](Hourly)",'Eplus results'!$1:$1048576,ROW(),FALSE)</f>
        <v>0</v>
      </c>
      <c r="AC4929" s="580">
        <f>HLOOKUP("*"&amp;'Output annual'!$AC$2&amp;'Output annual'!$AD$2&amp;"*FangerPMV(Hourly)",'Eplus results'!$1:$1048576,ROW(),FALSE)</f>
        <v>0</v>
      </c>
      <c r="AD4929" s="580">
        <f t="shared" si="416"/>
        <v>5</v>
      </c>
      <c r="AE4929" s="580">
        <f t="shared" si="417"/>
        <v>2.5</v>
      </c>
      <c r="AF4929" s="580">
        <f t="shared" si="418"/>
        <v>2.5</v>
      </c>
      <c r="AG4929" s="580">
        <f t="shared" si="419"/>
        <v>0</v>
      </c>
      <c r="AH4929" s="580">
        <f t="shared" si="420"/>
        <v>0</v>
      </c>
    </row>
    <row r="4930" spans="28:34">
      <c r="AB4930" s="580">
        <f>HLOOKUP("*"&amp;'Output annual'!$AC$2&amp;'Output annual'!$AD$2&amp;"*Zone People Number Of Occupants [](Hourly)",'Eplus results'!$1:$1048576,ROW(),FALSE)</f>
        <v>0</v>
      </c>
      <c r="AC4930" s="580">
        <f>HLOOKUP("*"&amp;'Output annual'!$AC$2&amp;'Output annual'!$AD$2&amp;"*FangerPMV(Hourly)",'Eplus results'!$1:$1048576,ROW(),FALSE)</f>
        <v>0</v>
      </c>
      <c r="AD4930" s="580">
        <f t="shared" si="416"/>
        <v>5</v>
      </c>
      <c r="AE4930" s="580">
        <f t="shared" si="417"/>
        <v>2.5</v>
      </c>
      <c r="AF4930" s="580">
        <f t="shared" si="418"/>
        <v>2.5</v>
      </c>
      <c r="AG4930" s="580">
        <f t="shared" si="419"/>
        <v>0</v>
      </c>
      <c r="AH4930" s="580">
        <f t="shared" si="420"/>
        <v>0</v>
      </c>
    </row>
    <row r="4931" spans="28:34">
      <c r="AB4931" s="580">
        <f>HLOOKUP("*"&amp;'Output annual'!$AC$2&amp;'Output annual'!$AD$2&amp;"*Zone People Number Of Occupants [](Hourly)",'Eplus results'!$1:$1048576,ROW(),FALSE)</f>
        <v>0</v>
      </c>
      <c r="AC4931" s="580">
        <f>HLOOKUP("*"&amp;'Output annual'!$AC$2&amp;'Output annual'!$AD$2&amp;"*FangerPMV(Hourly)",'Eplus results'!$1:$1048576,ROW(),FALSE)</f>
        <v>0</v>
      </c>
      <c r="AD4931" s="580">
        <f t="shared" ref="AD4931:AD4994" si="421">100-95*EXP(-0.03353*AC4931^4-0.2179*AC4931^2)</f>
        <v>5</v>
      </c>
      <c r="AE4931" s="580">
        <f t="shared" ref="AE4931:AE4994" si="422">AD4931*(1/(1+EXP(-6.3*$AC4931)))</f>
        <v>2.5</v>
      </c>
      <c r="AF4931" s="580">
        <f t="shared" ref="AF4931:AF4994" si="423">(AD4931-AE4931)</f>
        <v>2.5</v>
      </c>
      <c r="AG4931" s="580">
        <f t="shared" ref="AG4931:AG4994" si="424">AE4931*AB4931</f>
        <v>0</v>
      </c>
      <c r="AH4931" s="580">
        <f t="shared" ref="AH4931:AH4994" si="425">AF4931*AB4931</f>
        <v>0</v>
      </c>
    </row>
    <row r="4932" spans="28:34">
      <c r="AB4932" s="580">
        <f>HLOOKUP("*"&amp;'Output annual'!$AC$2&amp;'Output annual'!$AD$2&amp;"*Zone People Number Of Occupants [](Hourly)",'Eplus results'!$1:$1048576,ROW(),FALSE)</f>
        <v>0</v>
      </c>
      <c r="AC4932" s="580">
        <f>HLOOKUP("*"&amp;'Output annual'!$AC$2&amp;'Output annual'!$AD$2&amp;"*FangerPMV(Hourly)",'Eplus results'!$1:$1048576,ROW(),FALSE)</f>
        <v>0</v>
      </c>
      <c r="AD4932" s="580">
        <f t="shared" si="421"/>
        <v>5</v>
      </c>
      <c r="AE4932" s="580">
        <f t="shared" si="422"/>
        <v>2.5</v>
      </c>
      <c r="AF4932" s="580">
        <f t="shared" si="423"/>
        <v>2.5</v>
      </c>
      <c r="AG4932" s="580">
        <f t="shared" si="424"/>
        <v>0</v>
      </c>
      <c r="AH4932" s="580">
        <f t="shared" si="425"/>
        <v>0</v>
      </c>
    </row>
    <row r="4933" spans="28:34">
      <c r="AB4933" s="580">
        <f>HLOOKUP("*"&amp;'Output annual'!$AC$2&amp;'Output annual'!$AD$2&amp;"*Zone People Number Of Occupants [](Hourly)",'Eplus results'!$1:$1048576,ROW(),FALSE)</f>
        <v>0</v>
      </c>
      <c r="AC4933" s="580">
        <f>HLOOKUP("*"&amp;'Output annual'!$AC$2&amp;'Output annual'!$AD$2&amp;"*FangerPMV(Hourly)",'Eplus results'!$1:$1048576,ROW(),FALSE)</f>
        <v>0</v>
      </c>
      <c r="AD4933" s="580">
        <f t="shared" si="421"/>
        <v>5</v>
      </c>
      <c r="AE4933" s="580">
        <f t="shared" si="422"/>
        <v>2.5</v>
      </c>
      <c r="AF4933" s="580">
        <f t="shared" si="423"/>
        <v>2.5</v>
      </c>
      <c r="AG4933" s="580">
        <f t="shared" si="424"/>
        <v>0</v>
      </c>
      <c r="AH4933" s="580">
        <f t="shared" si="425"/>
        <v>0</v>
      </c>
    </row>
    <row r="4934" spans="28:34">
      <c r="AB4934" s="580">
        <f>HLOOKUP("*"&amp;'Output annual'!$AC$2&amp;'Output annual'!$AD$2&amp;"*Zone People Number Of Occupants [](Hourly)",'Eplus results'!$1:$1048576,ROW(),FALSE)</f>
        <v>0</v>
      </c>
      <c r="AC4934" s="580">
        <f>HLOOKUP("*"&amp;'Output annual'!$AC$2&amp;'Output annual'!$AD$2&amp;"*FangerPMV(Hourly)",'Eplus results'!$1:$1048576,ROW(),FALSE)</f>
        <v>0</v>
      </c>
      <c r="AD4934" s="580">
        <f t="shared" si="421"/>
        <v>5</v>
      </c>
      <c r="AE4934" s="580">
        <f t="shared" si="422"/>
        <v>2.5</v>
      </c>
      <c r="AF4934" s="580">
        <f t="shared" si="423"/>
        <v>2.5</v>
      </c>
      <c r="AG4934" s="580">
        <f t="shared" si="424"/>
        <v>0</v>
      </c>
      <c r="AH4934" s="580">
        <f t="shared" si="425"/>
        <v>0</v>
      </c>
    </row>
    <row r="4935" spans="28:34">
      <c r="AB4935" s="580">
        <f>HLOOKUP("*"&amp;'Output annual'!$AC$2&amp;'Output annual'!$AD$2&amp;"*Zone People Number Of Occupants [](Hourly)",'Eplus results'!$1:$1048576,ROW(),FALSE)</f>
        <v>0</v>
      </c>
      <c r="AC4935" s="580">
        <f>HLOOKUP("*"&amp;'Output annual'!$AC$2&amp;'Output annual'!$AD$2&amp;"*FangerPMV(Hourly)",'Eplus results'!$1:$1048576,ROW(),FALSE)</f>
        <v>0</v>
      </c>
      <c r="AD4935" s="580">
        <f t="shared" si="421"/>
        <v>5</v>
      </c>
      <c r="AE4935" s="580">
        <f t="shared" si="422"/>
        <v>2.5</v>
      </c>
      <c r="AF4935" s="580">
        <f t="shared" si="423"/>
        <v>2.5</v>
      </c>
      <c r="AG4935" s="580">
        <f t="shared" si="424"/>
        <v>0</v>
      </c>
      <c r="AH4935" s="580">
        <f t="shared" si="425"/>
        <v>0</v>
      </c>
    </row>
    <row r="4936" spans="28:34">
      <c r="AB4936" s="580">
        <f>HLOOKUP("*"&amp;'Output annual'!$AC$2&amp;'Output annual'!$AD$2&amp;"*Zone People Number Of Occupants [](Hourly)",'Eplus results'!$1:$1048576,ROW(),FALSE)</f>
        <v>0</v>
      </c>
      <c r="AC4936" s="580">
        <f>HLOOKUP("*"&amp;'Output annual'!$AC$2&amp;'Output annual'!$AD$2&amp;"*FangerPMV(Hourly)",'Eplus results'!$1:$1048576,ROW(),FALSE)</f>
        <v>0</v>
      </c>
      <c r="AD4936" s="580">
        <f t="shared" si="421"/>
        <v>5</v>
      </c>
      <c r="AE4936" s="580">
        <f t="shared" si="422"/>
        <v>2.5</v>
      </c>
      <c r="AF4936" s="580">
        <f t="shared" si="423"/>
        <v>2.5</v>
      </c>
      <c r="AG4936" s="580">
        <f t="shared" si="424"/>
        <v>0</v>
      </c>
      <c r="AH4936" s="580">
        <f t="shared" si="425"/>
        <v>0</v>
      </c>
    </row>
    <row r="4937" spans="28:34">
      <c r="AB4937" s="580">
        <f>HLOOKUP("*"&amp;'Output annual'!$AC$2&amp;'Output annual'!$AD$2&amp;"*Zone People Number Of Occupants [](Hourly)",'Eplus results'!$1:$1048576,ROW(),FALSE)</f>
        <v>0</v>
      </c>
      <c r="AC4937" s="580">
        <f>HLOOKUP("*"&amp;'Output annual'!$AC$2&amp;'Output annual'!$AD$2&amp;"*FangerPMV(Hourly)",'Eplus results'!$1:$1048576,ROW(),FALSE)</f>
        <v>0</v>
      </c>
      <c r="AD4937" s="580">
        <f t="shared" si="421"/>
        <v>5</v>
      </c>
      <c r="AE4937" s="580">
        <f t="shared" si="422"/>
        <v>2.5</v>
      </c>
      <c r="AF4937" s="580">
        <f t="shared" si="423"/>
        <v>2.5</v>
      </c>
      <c r="AG4937" s="580">
        <f t="shared" si="424"/>
        <v>0</v>
      </c>
      <c r="AH4937" s="580">
        <f t="shared" si="425"/>
        <v>0</v>
      </c>
    </row>
    <row r="4938" spans="28:34">
      <c r="AB4938" s="580">
        <f>HLOOKUP("*"&amp;'Output annual'!$AC$2&amp;'Output annual'!$AD$2&amp;"*Zone People Number Of Occupants [](Hourly)",'Eplus results'!$1:$1048576,ROW(),FALSE)</f>
        <v>0</v>
      </c>
      <c r="AC4938" s="580">
        <f>HLOOKUP("*"&amp;'Output annual'!$AC$2&amp;'Output annual'!$AD$2&amp;"*FangerPMV(Hourly)",'Eplus results'!$1:$1048576,ROW(),FALSE)</f>
        <v>0</v>
      </c>
      <c r="AD4938" s="580">
        <f t="shared" si="421"/>
        <v>5</v>
      </c>
      <c r="AE4938" s="580">
        <f t="shared" si="422"/>
        <v>2.5</v>
      </c>
      <c r="AF4938" s="580">
        <f t="shared" si="423"/>
        <v>2.5</v>
      </c>
      <c r="AG4938" s="580">
        <f t="shared" si="424"/>
        <v>0</v>
      </c>
      <c r="AH4938" s="580">
        <f t="shared" si="425"/>
        <v>0</v>
      </c>
    </row>
    <row r="4939" spans="28:34">
      <c r="AB4939" s="580">
        <f>HLOOKUP("*"&amp;'Output annual'!$AC$2&amp;'Output annual'!$AD$2&amp;"*Zone People Number Of Occupants [](Hourly)",'Eplus results'!$1:$1048576,ROW(),FALSE)</f>
        <v>0</v>
      </c>
      <c r="AC4939" s="580">
        <f>HLOOKUP("*"&amp;'Output annual'!$AC$2&amp;'Output annual'!$AD$2&amp;"*FangerPMV(Hourly)",'Eplus results'!$1:$1048576,ROW(),FALSE)</f>
        <v>0</v>
      </c>
      <c r="AD4939" s="580">
        <f t="shared" si="421"/>
        <v>5</v>
      </c>
      <c r="AE4939" s="580">
        <f t="shared" si="422"/>
        <v>2.5</v>
      </c>
      <c r="AF4939" s="580">
        <f t="shared" si="423"/>
        <v>2.5</v>
      </c>
      <c r="AG4939" s="580">
        <f t="shared" si="424"/>
        <v>0</v>
      </c>
      <c r="AH4939" s="580">
        <f t="shared" si="425"/>
        <v>0</v>
      </c>
    </row>
    <row r="4940" spans="28:34">
      <c r="AB4940" s="580">
        <f>HLOOKUP("*"&amp;'Output annual'!$AC$2&amp;'Output annual'!$AD$2&amp;"*Zone People Number Of Occupants [](Hourly)",'Eplus results'!$1:$1048576,ROW(),FALSE)</f>
        <v>0</v>
      </c>
      <c r="AC4940" s="580">
        <f>HLOOKUP("*"&amp;'Output annual'!$AC$2&amp;'Output annual'!$AD$2&amp;"*FangerPMV(Hourly)",'Eplus results'!$1:$1048576,ROW(),FALSE)</f>
        <v>0</v>
      </c>
      <c r="AD4940" s="580">
        <f t="shared" si="421"/>
        <v>5</v>
      </c>
      <c r="AE4940" s="580">
        <f t="shared" si="422"/>
        <v>2.5</v>
      </c>
      <c r="AF4940" s="580">
        <f t="shared" si="423"/>
        <v>2.5</v>
      </c>
      <c r="AG4940" s="580">
        <f t="shared" si="424"/>
        <v>0</v>
      </c>
      <c r="AH4940" s="580">
        <f t="shared" si="425"/>
        <v>0</v>
      </c>
    </row>
    <row r="4941" spans="28:34">
      <c r="AB4941" s="580">
        <f>HLOOKUP("*"&amp;'Output annual'!$AC$2&amp;'Output annual'!$AD$2&amp;"*Zone People Number Of Occupants [](Hourly)",'Eplus results'!$1:$1048576,ROW(),FALSE)</f>
        <v>0</v>
      </c>
      <c r="AC4941" s="580">
        <f>HLOOKUP("*"&amp;'Output annual'!$AC$2&amp;'Output annual'!$AD$2&amp;"*FangerPMV(Hourly)",'Eplus results'!$1:$1048576,ROW(),FALSE)</f>
        <v>0</v>
      </c>
      <c r="AD4941" s="580">
        <f t="shared" si="421"/>
        <v>5</v>
      </c>
      <c r="AE4941" s="580">
        <f t="shared" si="422"/>
        <v>2.5</v>
      </c>
      <c r="AF4941" s="580">
        <f t="shared" si="423"/>
        <v>2.5</v>
      </c>
      <c r="AG4941" s="580">
        <f t="shared" si="424"/>
        <v>0</v>
      </c>
      <c r="AH4941" s="580">
        <f t="shared" si="425"/>
        <v>0</v>
      </c>
    </row>
    <row r="4942" spans="28:34">
      <c r="AB4942" s="580">
        <f>HLOOKUP("*"&amp;'Output annual'!$AC$2&amp;'Output annual'!$AD$2&amp;"*Zone People Number Of Occupants [](Hourly)",'Eplus results'!$1:$1048576,ROW(),FALSE)</f>
        <v>0</v>
      </c>
      <c r="AC4942" s="580">
        <f>HLOOKUP("*"&amp;'Output annual'!$AC$2&amp;'Output annual'!$AD$2&amp;"*FangerPMV(Hourly)",'Eplus results'!$1:$1048576,ROW(),FALSE)</f>
        <v>0</v>
      </c>
      <c r="AD4942" s="580">
        <f t="shared" si="421"/>
        <v>5</v>
      </c>
      <c r="AE4942" s="580">
        <f t="shared" si="422"/>
        <v>2.5</v>
      </c>
      <c r="AF4942" s="580">
        <f t="shared" si="423"/>
        <v>2.5</v>
      </c>
      <c r="AG4942" s="580">
        <f t="shared" si="424"/>
        <v>0</v>
      </c>
      <c r="AH4942" s="580">
        <f t="shared" si="425"/>
        <v>0</v>
      </c>
    </row>
    <row r="4943" spans="28:34">
      <c r="AB4943" s="580">
        <f>HLOOKUP("*"&amp;'Output annual'!$AC$2&amp;'Output annual'!$AD$2&amp;"*Zone People Number Of Occupants [](Hourly)",'Eplus results'!$1:$1048576,ROW(),FALSE)</f>
        <v>0</v>
      </c>
      <c r="AC4943" s="580">
        <f>HLOOKUP("*"&amp;'Output annual'!$AC$2&amp;'Output annual'!$AD$2&amp;"*FangerPMV(Hourly)",'Eplus results'!$1:$1048576,ROW(),FALSE)</f>
        <v>0</v>
      </c>
      <c r="AD4943" s="580">
        <f t="shared" si="421"/>
        <v>5</v>
      </c>
      <c r="AE4943" s="580">
        <f t="shared" si="422"/>
        <v>2.5</v>
      </c>
      <c r="AF4943" s="580">
        <f t="shared" si="423"/>
        <v>2.5</v>
      </c>
      <c r="AG4943" s="580">
        <f t="shared" si="424"/>
        <v>0</v>
      </c>
      <c r="AH4943" s="580">
        <f t="shared" si="425"/>
        <v>0</v>
      </c>
    </row>
    <row r="4944" spans="28:34">
      <c r="AB4944" s="580">
        <f>HLOOKUP("*"&amp;'Output annual'!$AC$2&amp;'Output annual'!$AD$2&amp;"*Zone People Number Of Occupants [](Hourly)",'Eplus results'!$1:$1048576,ROW(),FALSE)</f>
        <v>0</v>
      </c>
      <c r="AC4944" s="580">
        <f>HLOOKUP("*"&amp;'Output annual'!$AC$2&amp;'Output annual'!$AD$2&amp;"*FangerPMV(Hourly)",'Eplus results'!$1:$1048576,ROW(),FALSE)</f>
        <v>0</v>
      </c>
      <c r="AD4944" s="580">
        <f t="shared" si="421"/>
        <v>5</v>
      </c>
      <c r="AE4944" s="580">
        <f t="shared" si="422"/>
        <v>2.5</v>
      </c>
      <c r="AF4944" s="580">
        <f t="shared" si="423"/>
        <v>2.5</v>
      </c>
      <c r="AG4944" s="580">
        <f t="shared" si="424"/>
        <v>0</v>
      </c>
      <c r="AH4944" s="580">
        <f t="shared" si="425"/>
        <v>0</v>
      </c>
    </row>
    <row r="4945" spans="28:34">
      <c r="AB4945" s="580">
        <f>HLOOKUP("*"&amp;'Output annual'!$AC$2&amp;'Output annual'!$AD$2&amp;"*Zone People Number Of Occupants [](Hourly)",'Eplus results'!$1:$1048576,ROW(),FALSE)</f>
        <v>0</v>
      </c>
      <c r="AC4945" s="580">
        <f>HLOOKUP("*"&amp;'Output annual'!$AC$2&amp;'Output annual'!$AD$2&amp;"*FangerPMV(Hourly)",'Eplus results'!$1:$1048576,ROW(),FALSE)</f>
        <v>0</v>
      </c>
      <c r="AD4945" s="580">
        <f t="shared" si="421"/>
        <v>5</v>
      </c>
      <c r="AE4945" s="580">
        <f t="shared" si="422"/>
        <v>2.5</v>
      </c>
      <c r="AF4945" s="580">
        <f t="shared" si="423"/>
        <v>2.5</v>
      </c>
      <c r="AG4945" s="580">
        <f t="shared" si="424"/>
        <v>0</v>
      </c>
      <c r="AH4945" s="580">
        <f t="shared" si="425"/>
        <v>0</v>
      </c>
    </row>
    <row r="4946" spans="28:34">
      <c r="AB4946" s="580">
        <f>HLOOKUP("*"&amp;'Output annual'!$AC$2&amp;'Output annual'!$AD$2&amp;"*Zone People Number Of Occupants [](Hourly)",'Eplus results'!$1:$1048576,ROW(),FALSE)</f>
        <v>0</v>
      </c>
      <c r="AC4946" s="580">
        <f>HLOOKUP("*"&amp;'Output annual'!$AC$2&amp;'Output annual'!$AD$2&amp;"*FangerPMV(Hourly)",'Eplus results'!$1:$1048576,ROW(),FALSE)</f>
        <v>0</v>
      </c>
      <c r="AD4946" s="580">
        <f t="shared" si="421"/>
        <v>5</v>
      </c>
      <c r="AE4946" s="580">
        <f t="shared" si="422"/>
        <v>2.5</v>
      </c>
      <c r="AF4946" s="580">
        <f t="shared" si="423"/>
        <v>2.5</v>
      </c>
      <c r="AG4946" s="580">
        <f t="shared" si="424"/>
        <v>0</v>
      </c>
      <c r="AH4946" s="580">
        <f t="shared" si="425"/>
        <v>0</v>
      </c>
    </row>
    <row r="4947" spans="28:34">
      <c r="AB4947" s="580">
        <f>HLOOKUP("*"&amp;'Output annual'!$AC$2&amp;'Output annual'!$AD$2&amp;"*Zone People Number Of Occupants [](Hourly)",'Eplus results'!$1:$1048576,ROW(),FALSE)</f>
        <v>0</v>
      </c>
      <c r="AC4947" s="580">
        <f>HLOOKUP("*"&amp;'Output annual'!$AC$2&amp;'Output annual'!$AD$2&amp;"*FangerPMV(Hourly)",'Eplus results'!$1:$1048576,ROW(),FALSE)</f>
        <v>0</v>
      </c>
      <c r="AD4947" s="580">
        <f t="shared" si="421"/>
        <v>5</v>
      </c>
      <c r="AE4947" s="580">
        <f t="shared" si="422"/>
        <v>2.5</v>
      </c>
      <c r="AF4947" s="580">
        <f t="shared" si="423"/>
        <v>2.5</v>
      </c>
      <c r="AG4947" s="580">
        <f t="shared" si="424"/>
        <v>0</v>
      </c>
      <c r="AH4947" s="580">
        <f t="shared" si="425"/>
        <v>0</v>
      </c>
    </row>
    <row r="4948" spans="28:34">
      <c r="AB4948" s="580">
        <f>HLOOKUP("*"&amp;'Output annual'!$AC$2&amp;'Output annual'!$AD$2&amp;"*Zone People Number Of Occupants [](Hourly)",'Eplus results'!$1:$1048576,ROW(),FALSE)</f>
        <v>0</v>
      </c>
      <c r="AC4948" s="580">
        <f>HLOOKUP("*"&amp;'Output annual'!$AC$2&amp;'Output annual'!$AD$2&amp;"*FangerPMV(Hourly)",'Eplus results'!$1:$1048576,ROW(),FALSE)</f>
        <v>0</v>
      </c>
      <c r="AD4948" s="580">
        <f t="shared" si="421"/>
        <v>5</v>
      </c>
      <c r="AE4948" s="580">
        <f t="shared" si="422"/>
        <v>2.5</v>
      </c>
      <c r="AF4948" s="580">
        <f t="shared" si="423"/>
        <v>2.5</v>
      </c>
      <c r="AG4948" s="580">
        <f t="shared" si="424"/>
        <v>0</v>
      </c>
      <c r="AH4948" s="580">
        <f t="shared" si="425"/>
        <v>0</v>
      </c>
    </row>
    <row r="4949" spans="28:34">
      <c r="AB4949" s="580">
        <f>HLOOKUP("*"&amp;'Output annual'!$AC$2&amp;'Output annual'!$AD$2&amp;"*Zone People Number Of Occupants [](Hourly)",'Eplus results'!$1:$1048576,ROW(),FALSE)</f>
        <v>0</v>
      </c>
      <c r="AC4949" s="580">
        <f>HLOOKUP("*"&amp;'Output annual'!$AC$2&amp;'Output annual'!$AD$2&amp;"*FangerPMV(Hourly)",'Eplus results'!$1:$1048576,ROW(),FALSE)</f>
        <v>0</v>
      </c>
      <c r="AD4949" s="580">
        <f t="shared" si="421"/>
        <v>5</v>
      </c>
      <c r="AE4949" s="580">
        <f t="shared" si="422"/>
        <v>2.5</v>
      </c>
      <c r="AF4949" s="580">
        <f t="shared" si="423"/>
        <v>2.5</v>
      </c>
      <c r="AG4949" s="580">
        <f t="shared" si="424"/>
        <v>0</v>
      </c>
      <c r="AH4949" s="580">
        <f t="shared" si="425"/>
        <v>0</v>
      </c>
    </row>
    <row r="4950" spans="28:34">
      <c r="AB4950" s="580">
        <f>HLOOKUP("*"&amp;'Output annual'!$AC$2&amp;'Output annual'!$AD$2&amp;"*Zone People Number Of Occupants [](Hourly)",'Eplus results'!$1:$1048576,ROW(),FALSE)</f>
        <v>0</v>
      </c>
      <c r="AC4950" s="580">
        <f>HLOOKUP("*"&amp;'Output annual'!$AC$2&amp;'Output annual'!$AD$2&amp;"*FangerPMV(Hourly)",'Eplus results'!$1:$1048576,ROW(),FALSE)</f>
        <v>0</v>
      </c>
      <c r="AD4950" s="580">
        <f t="shared" si="421"/>
        <v>5</v>
      </c>
      <c r="AE4950" s="580">
        <f t="shared" si="422"/>
        <v>2.5</v>
      </c>
      <c r="AF4950" s="580">
        <f t="shared" si="423"/>
        <v>2.5</v>
      </c>
      <c r="AG4950" s="580">
        <f t="shared" si="424"/>
        <v>0</v>
      </c>
      <c r="AH4950" s="580">
        <f t="shared" si="425"/>
        <v>0</v>
      </c>
    </row>
    <row r="4951" spans="28:34">
      <c r="AB4951" s="580">
        <f>HLOOKUP("*"&amp;'Output annual'!$AC$2&amp;'Output annual'!$AD$2&amp;"*Zone People Number Of Occupants [](Hourly)",'Eplus results'!$1:$1048576,ROW(),FALSE)</f>
        <v>0</v>
      </c>
      <c r="AC4951" s="580">
        <f>HLOOKUP("*"&amp;'Output annual'!$AC$2&amp;'Output annual'!$AD$2&amp;"*FangerPMV(Hourly)",'Eplus results'!$1:$1048576,ROW(),FALSE)</f>
        <v>0</v>
      </c>
      <c r="AD4951" s="580">
        <f t="shared" si="421"/>
        <v>5</v>
      </c>
      <c r="AE4951" s="580">
        <f t="shared" si="422"/>
        <v>2.5</v>
      </c>
      <c r="AF4951" s="580">
        <f t="shared" si="423"/>
        <v>2.5</v>
      </c>
      <c r="AG4951" s="580">
        <f t="shared" si="424"/>
        <v>0</v>
      </c>
      <c r="AH4951" s="580">
        <f t="shared" si="425"/>
        <v>0</v>
      </c>
    </row>
    <row r="4952" spans="28:34">
      <c r="AB4952" s="580">
        <f>HLOOKUP("*"&amp;'Output annual'!$AC$2&amp;'Output annual'!$AD$2&amp;"*Zone People Number Of Occupants [](Hourly)",'Eplus results'!$1:$1048576,ROW(),FALSE)</f>
        <v>0</v>
      </c>
      <c r="AC4952" s="580">
        <f>HLOOKUP("*"&amp;'Output annual'!$AC$2&amp;'Output annual'!$AD$2&amp;"*FangerPMV(Hourly)",'Eplus results'!$1:$1048576,ROW(),FALSE)</f>
        <v>0</v>
      </c>
      <c r="AD4952" s="580">
        <f t="shared" si="421"/>
        <v>5</v>
      </c>
      <c r="AE4952" s="580">
        <f t="shared" si="422"/>
        <v>2.5</v>
      </c>
      <c r="AF4952" s="580">
        <f t="shared" si="423"/>
        <v>2.5</v>
      </c>
      <c r="AG4952" s="580">
        <f t="shared" si="424"/>
        <v>0</v>
      </c>
      <c r="AH4952" s="580">
        <f t="shared" si="425"/>
        <v>0</v>
      </c>
    </row>
    <row r="4953" spans="28:34">
      <c r="AB4953" s="580">
        <f>HLOOKUP("*"&amp;'Output annual'!$AC$2&amp;'Output annual'!$AD$2&amp;"*Zone People Number Of Occupants [](Hourly)",'Eplus results'!$1:$1048576,ROW(),FALSE)</f>
        <v>0</v>
      </c>
      <c r="AC4953" s="580">
        <f>HLOOKUP("*"&amp;'Output annual'!$AC$2&amp;'Output annual'!$AD$2&amp;"*FangerPMV(Hourly)",'Eplus results'!$1:$1048576,ROW(),FALSE)</f>
        <v>0</v>
      </c>
      <c r="AD4953" s="580">
        <f t="shared" si="421"/>
        <v>5</v>
      </c>
      <c r="AE4953" s="580">
        <f t="shared" si="422"/>
        <v>2.5</v>
      </c>
      <c r="AF4953" s="580">
        <f t="shared" si="423"/>
        <v>2.5</v>
      </c>
      <c r="AG4953" s="580">
        <f t="shared" si="424"/>
        <v>0</v>
      </c>
      <c r="AH4953" s="580">
        <f t="shared" si="425"/>
        <v>0</v>
      </c>
    </row>
    <row r="4954" spans="28:34">
      <c r="AB4954" s="580">
        <f>HLOOKUP("*"&amp;'Output annual'!$AC$2&amp;'Output annual'!$AD$2&amp;"*Zone People Number Of Occupants [](Hourly)",'Eplus results'!$1:$1048576,ROW(),FALSE)</f>
        <v>0</v>
      </c>
      <c r="AC4954" s="580">
        <f>HLOOKUP("*"&amp;'Output annual'!$AC$2&amp;'Output annual'!$AD$2&amp;"*FangerPMV(Hourly)",'Eplus results'!$1:$1048576,ROW(),FALSE)</f>
        <v>0</v>
      </c>
      <c r="AD4954" s="580">
        <f t="shared" si="421"/>
        <v>5</v>
      </c>
      <c r="AE4954" s="580">
        <f t="shared" si="422"/>
        <v>2.5</v>
      </c>
      <c r="AF4954" s="580">
        <f t="shared" si="423"/>
        <v>2.5</v>
      </c>
      <c r="AG4954" s="580">
        <f t="shared" si="424"/>
        <v>0</v>
      </c>
      <c r="AH4954" s="580">
        <f t="shared" si="425"/>
        <v>0</v>
      </c>
    </row>
    <row r="4955" spans="28:34">
      <c r="AB4955" s="580">
        <f>HLOOKUP("*"&amp;'Output annual'!$AC$2&amp;'Output annual'!$AD$2&amp;"*Zone People Number Of Occupants [](Hourly)",'Eplus results'!$1:$1048576,ROW(),FALSE)</f>
        <v>0</v>
      </c>
      <c r="AC4955" s="580">
        <f>HLOOKUP("*"&amp;'Output annual'!$AC$2&amp;'Output annual'!$AD$2&amp;"*FangerPMV(Hourly)",'Eplus results'!$1:$1048576,ROW(),FALSE)</f>
        <v>0</v>
      </c>
      <c r="AD4955" s="580">
        <f t="shared" si="421"/>
        <v>5</v>
      </c>
      <c r="AE4955" s="580">
        <f t="shared" si="422"/>
        <v>2.5</v>
      </c>
      <c r="AF4955" s="580">
        <f t="shared" si="423"/>
        <v>2.5</v>
      </c>
      <c r="AG4955" s="580">
        <f t="shared" si="424"/>
        <v>0</v>
      </c>
      <c r="AH4955" s="580">
        <f t="shared" si="425"/>
        <v>0</v>
      </c>
    </row>
    <row r="4956" spans="28:34">
      <c r="AB4956" s="580">
        <f>HLOOKUP("*"&amp;'Output annual'!$AC$2&amp;'Output annual'!$AD$2&amp;"*Zone People Number Of Occupants [](Hourly)",'Eplus results'!$1:$1048576,ROW(),FALSE)</f>
        <v>0</v>
      </c>
      <c r="AC4956" s="580">
        <f>HLOOKUP("*"&amp;'Output annual'!$AC$2&amp;'Output annual'!$AD$2&amp;"*FangerPMV(Hourly)",'Eplus results'!$1:$1048576,ROW(),FALSE)</f>
        <v>0</v>
      </c>
      <c r="AD4956" s="580">
        <f t="shared" si="421"/>
        <v>5</v>
      </c>
      <c r="AE4956" s="580">
        <f t="shared" si="422"/>
        <v>2.5</v>
      </c>
      <c r="AF4956" s="580">
        <f t="shared" si="423"/>
        <v>2.5</v>
      </c>
      <c r="AG4956" s="580">
        <f t="shared" si="424"/>
        <v>0</v>
      </c>
      <c r="AH4956" s="580">
        <f t="shared" si="425"/>
        <v>0</v>
      </c>
    </row>
    <row r="4957" spans="28:34">
      <c r="AB4957" s="580">
        <f>HLOOKUP("*"&amp;'Output annual'!$AC$2&amp;'Output annual'!$AD$2&amp;"*Zone People Number Of Occupants [](Hourly)",'Eplus results'!$1:$1048576,ROW(),FALSE)</f>
        <v>0</v>
      </c>
      <c r="AC4957" s="580">
        <f>HLOOKUP("*"&amp;'Output annual'!$AC$2&amp;'Output annual'!$AD$2&amp;"*FangerPMV(Hourly)",'Eplus results'!$1:$1048576,ROW(),FALSE)</f>
        <v>0</v>
      </c>
      <c r="AD4957" s="580">
        <f t="shared" si="421"/>
        <v>5</v>
      </c>
      <c r="AE4957" s="580">
        <f t="shared" si="422"/>
        <v>2.5</v>
      </c>
      <c r="AF4957" s="580">
        <f t="shared" si="423"/>
        <v>2.5</v>
      </c>
      <c r="AG4957" s="580">
        <f t="shared" si="424"/>
        <v>0</v>
      </c>
      <c r="AH4957" s="580">
        <f t="shared" si="425"/>
        <v>0</v>
      </c>
    </row>
    <row r="4958" spans="28:34">
      <c r="AB4958" s="580">
        <f>HLOOKUP("*"&amp;'Output annual'!$AC$2&amp;'Output annual'!$AD$2&amp;"*Zone People Number Of Occupants [](Hourly)",'Eplus results'!$1:$1048576,ROW(),FALSE)</f>
        <v>0</v>
      </c>
      <c r="AC4958" s="580">
        <f>HLOOKUP("*"&amp;'Output annual'!$AC$2&amp;'Output annual'!$AD$2&amp;"*FangerPMV(Hourly)",'Eplus results'!$1:$1048576,ROW(),FALSE)</f>
        <v>0</v>
      </c>
      <c r="AD4958" s="580">
        <f t="shared" si="421"/>
        <v>5</v>
      </c>
      <c r="AE4958" s="580">
        <f t="shared" si="422"/>
        <v>2.5</v>
      </c>
      <c r="AF4958" s="580">
        <f t="shared" si="423"/>
        <v>2.5</v>
      </c>
      <c r="AG4958" s="580">
        <f t="shared" si="424"/>
        <v>0</v>
      </c>
      <c r="AH4958" s="580">
        <f t="shared" si="425"/>
        <v>0</v>
      </c>
    </row>
    <row r="4959" spans="28:34">
      <c r="AB4959" s="580">
        <f>HLOOKUP("*"&amp;'Output annual'!$AC$2&amp;'Output annual'!$AD$2&amp;"*Zone People Number Of Occupants [](Hourly)",'Eplus results'!$1:$1048576,ROW(),FALSE)</f>
        <v>0</v>
      </c>
      <c r="AC4959" s="580">
        <f>HLOOKUP("*"&amp;'Output annual'!$AC$2&amp;'Output annual'!$AD$2&amp;"*FangerPMV(Hourly)",'Eplus results'!$1:$1048576,ROW(),FALSE)</f>
        <v>0</v>
      </c>
      <c r="AD4959" s="580">
        <f t="shared" si="421"/>
        <v>5</v>
      </c>
      <c r="AE4959" s="580">
        <f t="shared" si="422"/>
        <v>2.5</v>
      </c>
      <c r="AF4959" s="580">
        <f t="shared" si="423"/>
        <v>2.5</v>
      </c>
      <c r="AG4959" s="580">
        <f t="shared" si="424"/>
        <v>0</v>
      </c>
      <c r="AH4959" s="580">
        <f t="shared" si="425"/>
        <v>0</v>
      </c>
    </row>
    <row r="4960" spans="28:34">
      <c r="AB4960" s="580">
        <f>HLOOKUP("*"&amp;'Output annual'!$AC$2&amp;'Output annual'!$AD$2&amp;"*Zone People Number Of Occupants [](Hourly)",'Eplus results'!$1:$1048576,ROW(),FALSE)</f>
        <v>0</v>
      </c>
      <c r="AC4960" s="580">
        <f>HLOOKUP("*"&amp;'Output annual'!$AC$2&amp;'Output annual'!$AD$2&amp;"*FangerPMV(Hourly)",'Eplus results'!$1:$1048576,ROW(),FALSE)</f>
        <v>0</v>
      </c>
      <c r="AD4960" s="580">
        <f t="shared" si="421"/>
        <v>5</v>
      </c>
      <c r="AE4960" s="580">
        <f t="shared" si="422"/>
        <v>2.5</v>
      </c>
      <c r="AF4960" s="580">
        <f t="shared" si="423"/>
        <v>2.5</v>
      </c>
      <c r="AG4960" s="580">
        <f t="shared" si="424"/>
        <v>0</v>
      </c>
      <c r="AH4960" s="580">
        <f t="shared" si="425"/>
        <v>0</v>
      </c>
    </row>
    <row r="4961" spans="28:34">
      <c r="AB4961" s="580">
        <f>HLOOKUP("*"&amp;'Output annual'!$AC$2&amp;'Output annual'!$AD$2&amp;"*Zone People Number Of Occupants [](Hourly)",'Eplus results'!$1:$1048576,ROW(),FALSE)</f>
        <v>0</v>
      </c>
      <c r="AC4961" s="580">
        <f>HLOOKUP("*"&amp;'Output annual'!$AC$2&amp;'Output annual'!$AD$2&amp;"*FangerPMV(Hourly)",'Eplus results'!$1:$1048576,ROW(),FALSE)</f>
        <v>0</v>
      </c>
      <c r="AD4961" s="580">
        <f t="shared" si="421"/>
        <v>5</v>
      </c>
      <c r="AE4961" s="580">
        <f t="shared" si="422"/>
        <v>2.5</v>
      </c>
      <c r="AF4961" s="580">
        <f t="shared" si="423"/>
        <v>2.5</v>
      </c>
      <c r="AG4961" s="580">
        <f t="shared" si="424"/>
        <v>0</v>
      </c>
      <c r="AH4961" s="580">
        <f t="shared" si="425"/>
        <v>0</v>
      </c>
    </row>
    <row r="4962" spans="28:34">
      <c r="AB4962" s="580">
        <f>HLOOKUP("*"&amp;'Output annual'!$AC$2&amp;'Output annual'!$AD$2&amp;"*Zone People Number Of Occupants [](Hourly)",'Eplus results'!$1:$1048576,ROW(),FALSE)</f>
        <v>0</v>
      </c>
      <c r="AC4962" s="580">
        <f>HLOOKUP("*"&amp;'Output annual'!$AC$2&amp;'Output annual'!$AD$2&amp;"*FangerPMV(Hourly)",'Eplus results'!$1:$1048576,ROW(),FALSE)</f>
        <v>0</v>
      </c>
      <c r="AD4962" s="580">
        <f t="shared" si="421"/>
        <v>5</v>
      </c>
      <c r="AE4962" s="580">
        <f t="shared" si="422"/>
        <v>2.5</v>
      </c>
      <c r="AF4962" s="580">
        <f t="shared" si="423"/>
        <v>2.5</v>
      </c>
      <c r="AG4962" s="580">
        <f t="shared" si="424"/>
        <v>0</v>
      </c>
      <c r="AH4962" s="580">
        <f t="shared" si="425"/>
        <v>0</v>
      </c>
    </row>
    <row r="4963" spans="28:34">
      <c r="AB4963" s="580">
        <f>HLOOKUP("*"&amp;'Output annual'!$AC$2&amp;'Output annual'!$AD$2&amp;"*Zone People Number Of Occupants [](Hourly)",'Eplus results'!$1:$1048576,ROW(),FALSE)</f>
        <v>0</v>
      </c>
      <c r="AC4963" s="580">
        <f>HLOOKUP("*"&amp;'Output annual'!$AC$2&amp;'Output annual'!$AD$2&amp;"*FangerPMV(Hourly)",'Eplus results'!$1:$1048576,ROW(),FALSE)</f>
        <v>0</v>
      </c>
      <c r="AD4963" s="580">
        <f t="shared" si="421"/>
        <v>5</v>
      </c>
      <c r="AE4963" s="580">
        <f t="shared" si="422"/>
        <v>2.5</v>
      </c>
      <c r="AF4963" s="580">
        <f t="shared" si="423"/>
        <v>2.5</v>
      </c>
      <c r="AG4963" s="580">
        <f t="shared" si="424"/>
        <v>0</v>
      </c>
      <c r="AH4963" s="580">
        <f t="shared" si="425"/>
        <v>0</v>
      </c>
    </row>
    <row r="4964" spans="28:34">
      <c r="AB4964" s="580">
        <f>HLOOKUP("*"&amp;'Output annual'!$AC$2&amp;'Output annual'!$AD$2&amp;"*Zone People Number Of Occupants [](Hourly)",'Eplus results'!$1:$1048576,ROW(),FALSE)</f>
        <v>0</v>
      </c>
      <c r="AC4964" s="580">
        <f>HLOOKUP("*"&amp;'Output annual'!$AC$2&amp;'Output annual'!$AD$2&amp;"*FangerPMV(Hourly)",'Eplus results'!$1:$1048576,ROW(),FALSE)</f>
        <v>0</v>
      </c>
      <c r="AD4964" s="580">
        <f t="shared" si="421"/>
        <v>5</v>
      </c>
      <c r="AE4964" s="580">
        <f t="shared" si="422"/>
        <v>2.5</v>
      </c>
      <c r="AF4964" s="580">
        <f t="shared" si="423"/>
        <v>2.5</v>
      </c>
      <c r="AG4964" s="580">
        <f t="shared" si="424"/>
        <v>0</v>
      </c>
      <c r="AH4964" s="580">
        <f t="shared" si="425"/>
        <v>0</v>
      </c>
    </row>
    <row r="4965" spans="28:34">
      <c r="AB4965" s="580">
        <f>HLOOKUP("*"&amp;'Output annual'!$AC$2&amp;'Output annual'!$AD$2&amp;"*Zone People Number Of Occupants [](Hourly)",'Eplus results'!$1:$1048576,ROW(),FALSE)</f>
        <v>0</v>
      </c>
      <c r="AC4965" s="580">
        <f>HLOOKUP("*"&amp;'Output annual'!$AC$2&amp;'Output annual'!$AD$2&amp;"*FangerPMV(Hourly)",'Eplus results'!$1:$1048576,ROW(),FALSE)</f>
        <v>0</v>
      </c>
      <c r="AD4965" s="580">
        <f t="shared" si="421"/>
        <v>5</v>
      </c>
      <c r="AE4965" s="580">
        <f t="shared" si="422"/>
        <v>2.5</v>
      </c>
      <c r="AF4965" s="580">
        <f t="shared" si="423"/>
        <v>2.5</v>
      </c>
      <c r="AG4965" s="580">
        <f t="shared" si="424"/>
        <v>0</v>
      </c>
      <c r="AH4965" s="580">
        <f t="shared" si="425"/>
        <v>0</v>
      </c>
    </row>
    <row r="4966" spans="28:34">
      <c r="AB4966" s="580">
        <f>HLOOKUP("*"&amp;'Output annual'!$AC$2&amp;'Output annual'!$AD$2&amp;"*Zone People Number Of Occupants [](Hourly)",'Eplus results'!$1:$1048576,ROW(),FALSE)</f>
        <v>0</v>
      </c>
      <c r="AC4966" s="580">
        <f>HLOOKUP("*"&amp;'Output annual'!$AC$2&amp;'Output annual'!$AD$2&amp;"*FangerPMV(Hourly)",'Eplus results'!$1:$1048576,ROW(),FALSE)</f>
        <v>0</v>
      </c>
      <c r="AD4966" s="580">
        <f t="shared" si="421"/>
        <v>5</v>
      </c>
      <c r="AE4966" s="580">
        <f t="shared" si="422"/>
        <v>2.5</v>
      </c>
      <c r="AF4966" s="580">
        <f t="shared" si="423"/>
        <v>2.5</v>
      </c>
      <c r="AG4966" s="580">
        <f t="shared" si="424"/>
        <v>0</v>
      </c>
      <c r="AH4966" s="580">
        <f t="shared" si="425"/>
        <v>0</v>
      </c>
    </row>
    <row r="4967" spans="28:34">
      <c r="AB4967" s="580">
        <f>HLOOKUP("*"&amp;'Output annual'!$AC$2&amp;'Output annual'!$AD$2&amp;"*Zone People Number Of Occupants [](Hourly)",'Eplus results'!$1:$1048576,ROW(),FALSE)</f>
        <v>0</v>
      </c>
      <c r="AC4967" s="580">
        <f>HLOOKUP("*"&amp;'Output annual'!$AC$2&amp;'Output annual'!$AD$2&amp;"*FangerPMV(Hourly)",'Eplus results'!$1:$1048576,ROW(),FALSE)</f>
        <v>0</v>
      </c>
      <c r="AD4967" s="580">
        <f t="shared" si="421"/>
        <v>5</v>
      </c>
      <c r="AE4967" s="580">
        <f t="shared" si="422"/>
        <v>2.5</v>
      </c>
      <c r="AF4967" s="580">
        <f t="shared" si="423"/>
        <v>2.5</v>
      </c>
      <c r="AG4967" s="580">
        <f t="shared" si="424"/>
        <v>0</v>
      </c>
      <c r="AH4967" s="580">
        <f t="shared" si="425"/>
        <v>0</v>
      </c>
    </row>
    <row r="4968" spans="28:34">
      <c r="AB4968" s="580">
        <f>HLOOKUP("*"&amp;'Output annual'!$AC$2&amp;'Output annual'!$AD$2&amp;"*Zone People Number Of Occupants [](Hourly)",'Eplus results'!$1:$1048576,ROW(),FALSE)</f>
        <v>0</v>
      </c>
      <c r="AC4968" s="580">
        <f>HLOOKUP("*"&amp;'Output annual'!$AC$2&amp;'Output annual'!$AD$2&amp;"*FangerPMV(Hourly)",'Eplus results'!$1:$1048576,ROW(),FALSE)</f>
        <v>0</v>
      </c>
      <c r="AD4968" s="580">
        <f t="shared" si="421"/>
        <v>5</v>
      </c>
      <c r="AE4968" s="580">
        <f t="shared" si="422"/>
        <v>2.5</v>
      </c>
      <c r="AF4968" s="580">
        <f t="shared" si="423"/>
        <v>2.5</v>
      </c>
      <c r="AG4968" s="580">
        <f t="shared" si="424"/>
        <v>0</v>
      </c>
      <c r="AH4968" s="580">
        <f t="shared" si="425"/>
        <v>0</v>
      </c>
    </row>
    <row r="4969" spans="28:34">
      <c r="AB4969" s="580">
        <f>HLOOKUP("*"&amp;'Output annual'!$AC$2&amp;'Output annual'!$AD$2&amp;"*Zone People Number Of Occupants [](Hourly)",'Eplus results'!$1:$1048576,ROW(),FALSE)</f>
        <v>0</v>
      </c>
      <c r="AC4969" s="580">
        <f>HLOOKUP("*"&amp;'Output annual'!$AC$2&amp;'Output annual'!$AD$2&amp;"*FangerPMV(Hourly)",'Eplus results'!$1:$1048576,ROW(),FALSE)</f>
        <v>0</v>
      </c>
      <c r="AD4969" s="580">
        <f t="shared" si="421"/>
        <v>5</v>
      </c>
      <c r="AE4969" s="580">
        <f t="shared" si="422"/>
        <v>2.5</v>
      </c>
      <c r="AF4969" s="580">
        <f t="shared" si="423"/>
        <v>2.5</v>
      </c>
      <c r="AG4969" s="580">
        <f t="shared" si="424"/>
        <v>0</v>
      </c>
      <c r="AH4969" s="580">
        <f t="shared" si="425"/>
        <v>0</v>
      </c>
    </row>
    <row r="4970" spans="28:34">
      <c r="AB4970" s="580">
        <f>HLOOKUP("*"&amp;'Output annual'!$AC$2&amp;'Output annual'!$AD$2&amp;"*Zone People Number Of Occupants [](Hourly)",'Eplus results'!$1:$1048576,ROW(),FALSE)</f>
        <v>0</v>
      </c>
      <c r="AC4970" s="580">
        <f>HLOOKUP("*"&amp;'Output annual'!$AC$2&amp;'Output annual'!$AD$2&amp;"*FangerPMV(Hourly)",'Eplus results'!$1:$1048576,ROW(),FALSE)</f>
        <v>0</v>
      </c>
      <c r="AD4970" s="580">
        <f t="shared" si="421"/>
        <v>5</v>
      </c>
      <c r="AE4970" s="580">
        <f t="shared" si="422"/>
        <v>2.5</v>
      </c>
      <c r="AF4970" s="580">
        <f t="shared" si="423"/>
        <v>2.5</v>
      </c>
      <c r="AG4970" s="580">
        <f t="shared" si="424"/>
        <v>0</v>
      </c>
      <c r="AH4970" s="580">
        <f t="shared" si="425"/>
        <v>0</v>
      </c>
    </row>
    <row r="4971" spans="28:34">
      <c r="AB4971" s="580">
        <f>HLOOKUP("*"&amp;'Output annual'!$AC$2&amp;'Output annual'!$AD$2&amp;"*Zone People Number Of Occupants [](Hourly)",'Eplus results'!$1:$1048576,ROW(),FALSE)</f>
        <v>0</v>
      </c>
      <c r="AC4971" s="580">
        <f>HLOOKUP("*"&amp;'Output annual'!$AC$2&amp;'Output annual'!$AD$2&amp;"*FangerPMV(Hourly)",'Eplus results'!$1:$1048576,ROW(),FALSE)</f>
        <v>0</v>
      </c>
      <c r="AD4971" s="580">
        <f t="shared" si="421"/>
        <v>5</v>
      </c>
      <c r="AE4971" s="580">
        <f t="shared" si="422"/>
        <v>2.5</v>
      </c>
      <c r="AF4971" s="580">
        <f t="shared" si="423"/>
        <v>2.5</v>
      </c>
      <c r="AG4971" s="580">
        <f t="shared" si="424"/>
        <v>0</v>
      </c>
      <c r="AH4971" s="580">
        <f t="shared" si="425"/>
        <v>0</v>
      </c>
    </row>
    <row r="4972" spans="28:34">
      <c r="AB4972" s="580">
        <f>HLOOKUP("*"&amp;'Output annual'!$AC$2&amp;'Output annual'!$AD$2&amp;"*Zone People Number Of Occupants [](Hourly)",'Eplus results'!$1:$1048576,ROW(),FALSE)</f>
        <v>0</v>
      </c>
      <c r="AC4972" s="580">
        <f>HLOOKUP("*"&amp;'Output annual'!$AC$2&amp;'Output annual'!$AD$2&amp;"*FangerPMV(Hourly)",'Eplus results'!$1:$1048576,ROW(),FALSE)</f>
        <v>0</v>
      </c>
      <c r="AD4972" s="580">
        <f t="shared" si="421"/>
        <v>5</v>
      </c>
      <c r="AE4972" s="580">
        <f t="shared" si="422"/>
        <v>2.5</v>
      </c>
      <c r="AF4972" s="580">
        <f t="shared" si="423"/>
        <v>2.5</v>
      </c>
      <c r="AG4972" s="580">
        <f t="shared" si="424"/>
        <v>0</v>
      </c>
      <c r="AH4972" s="580">
        <f t="shared" si="425"/>
        <v>0</v>
      </c>
    </row>
    <row r="4973" spans="28:34">
      <c r="AB4973" s="580">
        <f>HLOOKUP("*"&amp;'Output annual'!$AC$2&amp;'Output annual'!$AD$2&amp;"*Zone People Number Of Occupants [](Hourly)",'Eplus results'!$1:$1048576,ROW(),FALSE)</f>
        <v>0</v>
      </c>
      <c r="AC4973" s="580">
        <f>HLOOKUP("*"&amp;'Output annual'!$AC$2&amp;'Output annual'!$AD$2&amp;"*FangerPMV(Hourly)",'Eplus results'!$1:$1048576,ROW(),FALSE)</f>
        <v>0</v>
      </c>
      <c r="AD4973" s="580">
        <f t="shared" si="421"/>
        <v>5</v>
      </c>
      <c r="AE4973" s="580">
        <f t="shared" si="422"/>
        <v>2.5</v>
      </c>
      <c r="AF4973" s="580">
        <f t="shared" si="423"/>
        <v>2.5</v>
      </c>
      <c r="AG4973" s="580">
        <f t="shared" si="424"/>
        <v>0</v>
      </c>
      <c r="AH4973" s="580">
        <f t="shared" si="425"/>
        <v>0</v>
      </c>
    </row>
    <row r="4974" spans="28:34">
      <c r="AB4974" s="580">
        <f>HLOOKUP("*"&amp;'Output annual'!$AC$2&amp;'Output annual'!$AD$2&amp;"*Zone People Number Of Occupants [](Hourly)",'Eplus results'!$1:$1048576,ROW(),FALSE)</f>
        <v>0</v>
      </c>
      <c r="AC4974" s="580">
        <f>HLOOKUP("*"&amp;'Output annual'!$AC$2&amp;'Output annual'!$AD$2&amp;"*FangerPMV(Hourly)",'Eplus results'!$1:$1048576,ROW(),FALSE)</f>
        <v>0</v>
      </c>
      <c r="AD4974" s="580">
        <f t="shared" si="421"/>
        <v>5</v>
      </c>
      <c r="AE4974" s="580">
        <f t="shared" si="422"/>
        <v>2.5</v>
      </c>
      <c r="AF4974" s="580">
        <f t="shared" si="423"/>
        <v>2.5</v>
      </c>
      <c r="AG4974" s="580">
        <f t="shared" si="424"/>
        <v>0</v>
      </c>
      <c r="AH4974" s="580">
        <f t="shared" si="425"/>
        <v>0</v>
      </c>
    </row>
    <row r="4975" spans="28:34">
      <c r="AB4975" s="580">
        <f>HLOOKUP("*"&amp;'Output annual'!$AC$2&amp;'Output annual'!$AD$2&amp;"*Zone People Number Of Occupants [](Hourly)",'Eplus results'!$1:$1048576,ROW(),FALSE)</f>
        <v>0</v>
      </c>
      <c r="AC4975" s="580">
        <f>HLOOKUP("*"&amp;'Output annual'!$AC$2&amp;'Output annual'!$AD$2&amp;"*FangerPMV(Hourly)",'Eplus results'!$1:$1048576,ROW(),FALSE)</f>
        <v>0</v>
      </c>
      <c r="AD4975" s="580">
        <f t="shared" si="421"/>
        <v>5</v>
      </c>
      <c r="AE4975" s="580">
        <f t="shared" si="422"/>
        <v>2.5</v>
      </c>
      <c r="AF4975" s="580">
        <f t="shared" si="423"/>
        <v>2.5</v>
      </c>
      <c r="AG4975" s="580">
        <f t="shared" si="424"/>
        <v>0</v>
      </c>
      <c r="AH4975" s="580">
        <f t="shared" si="425"/>
        <v>0</v>
      </c>
    </row>
    <row r="4976" spans="28:34">
      <c r="AB4976" s="580">
        <f>HLOOKUP("*"&amp;'Output annual'!$AC$2&amp;'Output annual'!$AD$2&amp;"*Zone People Number Of Occupants [](Hourly)",'Eplus results'!$1:$1048576,ROW(),FALSE)</f>
        <v>0</v>
      </c>
      <c r="AC4976" s="580">
        <f>HLOOKUP("*"&amp;'Output annual'!$AC$2&amp;'Output annual'!$AD$2&amp;"*FangerPMV(Hourly)",'Eplus results'!$1:$1048576,ROW(),FALSE)</f>
        <v>0</v>
      </c>
      <c r="AD4976" s="580">
        <f t="shared" si="421"/>
        <v>5</v>
      </c>
      <c r="AE4976" s="580">
        <f t="shared" si="422"/>
        <v>2.5</v>
      </c>
      <c r="AF4976" s="580">
        <f t="shared" si="423"/>
        <v>2.5</v>
      </c>
      <c r="AG4976" s="580">
        <f t="shared" si="424"/>
        <v>0</v>
      </c>
      <c r="AH4976" s="580">
        <f t="shared" si="425"/>
        <v>0</v>
      </c>
    </row>
    <row r="4977" spans="28:34">
      <c r="AB4977" s="580">
        <f>HLOOKUP("*"&amp;'Output annual'!$AC$2&amp;'Output annual'!$AD$2&amp;"*Zone People Number Of Occupants [](Hourly)",'Eplus results'!$1:$1048576,ROW(),FALSE)</f>
        <v>0</v>
      </c>
      <c r="AC4977" s="580">
        <f>HLOOKUP("*"&amp;'Output annual'!$AC$2&amp;'Output annual'!$AD$2&amp;"*FangerPMV(Hourly)",'Eplus results'!$1:$1048576,ROW(),FALSE)</f>
        <v>0</v>
      </c>
      <c r="AD4977" s="580">
        <f t="shared" si="421"/>
        <v>5</v>
      </c>
      <c r="AE4977" s="580">
        <f t="shared" si="422"/>
        <v>2.5</v>
      </c>
      <c r="AF4977" s="580">
        <f t="shared" si="423"/>
        <v>2.5</v>
      </c>
      <c r="AG4977" s="580">
        <f t="shared" si="424"/>
        <v>0</v>
      </c>
      <c r="AH4977" s="580">
        <f t="shared" si="425"/>
        <v>0</v>
      </c>
    </row>
    <row r="4978" spans="28:34">
      <c r="AB4978" s="580">
        <f>HLOOKUP("*"&amp;'Output annual'!$AC$2&amp;'Output annual'!$AD$2&amp;"*Zone People Number Of Occupants [](Hourly)",'Eplus results'!$1:$1048576,ROW(),FALSE)</f>
        <v>0</v>
      </c>
      <c r="AC4978" s="580">
        <f>HLOOKUP("*"&amp;'Output annual'!$AC$2&amp;'Output annual'!$AD$2&amp;"*FangerPMV(Hourly)",'Eplus results'!$1:$1048576,ROW(),FALSE)</f>
        <v>0</v>
      </c>
      <c r="AD4978" s="580">
        <f t="shared" si="421"/>
        <v>5</v>
      </c>
      <c r="AE4978" s="580">
        <f t="shared" si="422"/>
        <v>2.5</v>
      </c>
      <c r="AF4978" s="580">
        <f t="shared" si="423"/>
        <v>2.5</v>
      </c>
      <c r="AG4978" s="580">
        <f t="shared" si="424"/>
        <v>0</v>
      </c>
      <c r="AH4978" s="580">
        <f t="shared" si="425"/>
        <v>0</v>
      </c>
    </row>
    <row r="4979" spans="28:34">
      <c r="AB4979" s="580">
        <f>HLOOKUP("*"&amp;'Output annual'!$AC$2&amp;'Output annual'!$AD$2&amp;"*Zone People Number Of Occupants [](Hourly)",'Eplus results'!$1:$1048576,ROW(),FALSE)</f>
        <v>0</v>
      </c>
      <c r="AC4979" s="580">
        <f>HLOOKUP("*"&amp;'Output annual'!$AC$2&amp;'Output annual'!$AD$2&amp;"*FangerPMV(Hourly)",'Eplus results'!$1:$1048576,ROW(),FALSE)</f>
        <v>0</v>
      </c>
      <c r="AD4979" s="580">
        <f t="shared" si="421"/>
        <v>5</v>
      </c>
      <c r="AE4979" s="580">
        <f t="shared" si="422"/>
        <v>2.5</v>
      </c>
      <c r="AF4979" s="580">
        <f t="shared" si="423"/>
        <v>2.5</v>
      </c>
      <c r="AG4979" s="580">
        <f t="shared" si="424"/>
        <v>0</v>
      </c>
      <c r="AH4979" s="580">
        <f t="shared" si="425"/>
        <v>0</v>
      </c>
    </row>
    <row r="4980" spans="28:34">
      <c r="AB4980" s="580">
        <f>HLOOKUP("*"&amp;'Output annual'!$AC$2&amp;'Output annual'!$AD$2&amp;"*Zone People Number Of Occupants [](Hourly)",'Eplus results'!$1:$1048576,ROW(),FALSE)</f>
        <v>0</v>
      </c>
      <c r="AC4980" s="580">
        <f>HLOOKUP("*"&amp;'Output annual'!$AC$2&amp;'Output annual'!$AD$2&amp;"*FangerPMV(Hourly)",'Eplus results'!$1:$1048576,ROW(),FALSE)</f>
        <v>0</v>
      </c>
      <c r="AD4980" s="580">
        <f t="shared" si="421"/>
        <v>5</v>
      </c>
      <c r="AE4980" s="580">
        <f t="shared" si="422"/>
        <v>2.5</v>
      </c>
      <c r="AF4980" s="580">
        <f t="shared" si="423"/>
        <v>2.5</v>
      </c>
      <c r="AG4980" s="580">
        <f t="shared" si="424"/>
        <v>0</v>
      </c>
      <c r="AH4980" s="580">
        <f t="shared" si="425"/>
        <v>0</v>
      </c>
    </row>
    <row r="4981" spans="28:34">
      <c r="AB4981" s="580">
        <f>HLOOKUP("*"&amp;'Output annual'!$AC$2&amp;'Output annual'!$AD$2&amp;"*Zone People Number Of Occupants [](Hourly)",'Eplus results'!$1:$1048576,ROW(),FALSE)</f>
        <v>0</v>
      </c>
      <c r="AC4981" s="580">
        <f>HLOOKUP("*"&amp;'Output annual'!$AC$2&amp;'Output annual'!$AD$2&amp;"*FangerPMV(Hourly)",'Eplus results'!$1:$1048576,ROW(),FALSE)</f>
        <v>0</v>
      </c>
      <c r="AD4981" s="580">
        <f t="shared" si="421"/>
        <v>5</v>
      </c>
      <c r="AE4981" s="580">
        <f t="shared" si="422"/>
        <v>2.5</v>
      </c>
      <c r="AF4981" s="580">
        <f t="shared" si="423"/>
        <v>2.5</v>
      </c>
      <c r="AG4981" s="580">
        <f t="shared" si="424"/>
        <v>0</v>
      </c>
      <c r="AH4981" s="580">
        <f t="shared" si="425"/>
        <v>0</v>
      </c>
    </row>
    <row r="4982" spans="28:34">
      <c r="AB4982" s="580">
        <f>HLOOKUP("*"&amp;'Output annual'!$AC$2&amp;'Output annual'!$AD$2&amp;"*Zone People Number Of Occupants [](Hourly)",'Eplus results'!$1:$1048576,ROW(),FALSE)</f>
        <v>0</v>
      </c>
      <c r="AC4982" s="580">
        <f>HLOOKUP("*"&amp;'Output annual'!$AC$2&amp;'Output annual'!$AD$2&amp;"*FangerPMV(Hourly)",'Eplus results'!$1:$1048576,ROW(),FALSE)</f>
        <v>0</v>
      </c>
      <c r="AD4982" s="580">
        <f t="shared" si="421"/>
        <v>5</v>
      </c>
      <c r="AE4982" s="580">
        <f t="shared" si="422"/>
        <v>2.5</v>
      </c>
      <c r="AF4982" s="580">
        <f t="shared" si="423"/>
        <v>2.5</v>
      </c>
      <c r="AG4982" s="580">
        <f t="shared" si="424"/>
        <v>0</v>
      </c>
      <c r="AH4982" s="580">
        <f t="shared" si="425"/>
        <v>0</v>
      </c>
    </row>
    <row r="4983" spans="28:34">
      <c r="AB4983" s="580">
        <f>HLOOKUP("*"&amp;'Output annual'!$AC$2&amp;'Output annual'!$AD$2&amp;"*Zone People Number Of Occupants [](Hourly)",'Eplus results'!$1:$1048576,ROW(),FALSE)</f>
        <v>0</v>
      </c>
      <c r="AC4983" s="580">
        <f>HLOOKUP("*"&amp;'Output annual'!$AC$2&amp;'Output annual'!$AD$2&amp;"*FangerPMV(Hourly)",'Eplus results'!$1:$1048576,ROW(),FALSE)</f>
        <v>0</v>
      </c>
      <c r="AD4983" s="580">
        <f t="shared" si="421"/>
        <v>5</v>
      </c>
      <c r="AE4983" s="580">
        <f t="shared" si="422"/>
        <v>2.5</v>
      </c>
      <c r="AF4983" s="580">
        <f t="shared" si="423"/>
        <v>2.5</v>
      </c>
      <c r="AG4983" s="580">
        <f t="shared" si="424"/>
        <v>0</v>
      </c>
      <c r="AH4983" s="580">
        <f t="shared" si="425"/>
        <v>0</v>
      </c>
    </row>
    <row r="4984" spans="28:34">
      <c r="AB4984" s="580">
        <f>HLOOKUP("*"&amp;'Output annual'!$AC$2&amp;'Output annual'!$AD$2&amp;"*Zone People Number Of Occupants [](Hourly)",'Eplus results'!$1:$1048576,ROW(),FALSE)</f>
        <v>0</v>
      </c>
      <c r="AC4984" s="580">
        <f>HLOOKUP("*"&amp;'Output annual'!$AC$2&amp;'Output annual'!$AD$2&amp;"*FangerPMV(Hourly)",'Eplus results'!$1:$1048576,ROW(),FALSE)</f>
        <v>0</v>
      </c>
      <c r="AD4984" s="580">
        <f t="shared" si="421"/>
        <v>5</v>
      </c>
      <c r="AE4984" s="580">
        <f t="shared" si="422"/>
        <v>2.5</v>
      </c>
      <c r="AF4984" s="580">
        <f t="shared" si="423"/>
        <v>2.5</v>
      </c>
      <c r="AG4984" s="580">
        <f t="shared" si="424"/>
        <v>0</v>
      </c>
      <c r="AH4984" s="580">
        <f t="shared" si="425"/>
        <v>0</v>
      </c>
    </row>
    <row r="4985" spans="28:34">
      <c r="AB4985" s="580">
        <f>HLOOKUP("*"&amp;'Output annual'!$AC$2&amp;'Output annual'!$AD$2&amp;"*Zone People Number Of Occupants [](Hourly)",'Eplus results'!$1:$1048576,ROW(),FALSE)</f>
        <v>0</v>
      </c>
      <c r="AC4985" s="580">
        <f>HLOOKUP("*"&amp;'Output annual'!$AC$2&amp;'Output annual'!$AD$2&amp;"*FangerPMV(Hourly)",'Eplus results'!$1:$1048576,ROW(),FALSE)</f>
        <v>0</v>
      </c>
      <c r="AD4985" s="580">
        <f t="shared" si="421"/>
        <v>5</v>
      </c>
      <c r="AE4985" s="580">
        <f t="shared" si="422"/>
        <v>2.5</v>
      </c>
      <c r="AF4985" s="580">
        <f t="shared" si="423"/>
        <v>2.5</v>
      </c>
      <c r="AG4985" s="580">
        <f t="shared" si="424"/>
        <v>0</v>
      </c>
      <c r="AH4985" s="580">
        <f t="shared" si="425"/>
        <v>0</v>
      </c>
    </row>
    <row r="4986" spans="28:34">
      <c r="AB4986" s="580">
        <f>HLOOKUP("*"&amp;'Output annual'!$AC$2&amp;'Output annual'!$AD$2&amp;"*Zone People Number Of Occupants [](Hourly)",'Eplus results'!$1:$1048576,ROW(),FALSE)</f>
        <v>0</v>
      </c>
      <c r="AC4986" s="580">
        <f>HLOOKUP("*"&amp;'Output annual'!$AC$2&amp;'Output annual'!$AD$2&amp;"*FangerPMV(Hourly)",'Eplus results'!$1:$1048576,ROW(),FALSE)</f>
        <v>0</v>
      </c>
      <c r="AD4986" s="580">
        <f t="shared" si="421"/>
        <v>5</v>
      </c>
      <c r="AE4986" s="580">
        <f t="shared" si="422"/>
        <v>2.5</v>
      </c>
      <c r="AF4986" s="580">
        <f t="shared" si="423"/>
        <v>2.5</v>
      </c>
      <c r="AG4986" s="580">
        <f t="shared" si="424"/>
        <v>0</v>
      </c>
      <c r="AH4986" s="580">
        <f t="shared" si="425"/>
        <v>0</v>
      </c>
    </row>
    <row r="4987" spans="28:34">
      <c r="AB4987" s="580">
        <f>HLOOKUP("*"&amp;'Output annual'!$AC$2&amp;'Output annual'!$AD$2&amp;"*Zone People Number Of Occupants [](Hourly)",'Eplus results'!$1:$1048576,ROW(),FALSE)</f>
        <v>0</v>
      </c>
      <c r="AC4987" s="580">
        <f>HLOOKUP("*"&amp;'Output annual'!$AC$2&amp;'Output annual'!$AD$2&amp;"*FangerPMV(Hourly)",'Eplus results'!$1:$1048576,ROW(),FALSE)</f>
        <v>0</v>
      </c>
      <c r="AD4987" s="580">
        <f t="shared" si="421"/>
        <v>5</v>
      </c>
      <c r="AE4987" s="580">
        <f t="shared" si="422"/>
        <v>2.5</v>
      </c>
      <c r="AF4987" s="580">
        <f t="shared" si="423"/>
        <v>2.5</v>
      </c>
      <c r="AG4987" s="580">
        <f t="shared" si="424"/>
        <v>0</v>
      </c>
      <c r="AH4987" s="580">
        <f t="shared" si="425"/>
        <v>0</v>
      </c>
    </row>
    <row r="4988" spans="28:34">
      <c r="AB4988" s="580">
        <f>HLOOKUP("*"&amp;'Output annual'!$AC$2&amp;'Output annual'!$AD$2&amp;"*Zone People Number Of Occupants [](Hourly)",'Eplus results'!$1:$1048576,ROW(),FALSE)</f>
        <v>0</v>
      </c>
      <c r="AC4988" s="580">
        <f>HLOOKUP("*"&amp;'Output annual'!$AC$2&amp;'Output annual'!$AD$2&amp;"*FangerPMV(Hourly)",'Eplus results'!$1:$1048576,ROW(),FALSE)</f>
        <v>0</v>
      </c>
      <c r="AD4988" s="580">
        <f t="shared" si="421"/>
        <v>5</v>
      </c>
      <c r="AE4988" s="580">
        <f t="shared" si="422"/>
        <v>2.5</v>
      </c>
      <c r="AF4988" s="580">
        <f t="shared" si="423"/>
        <v>2.5</v>
      </c>
      <c r="AG4988" s="580">
        <f t="shared" si="424"/>
        <v>0</v>
      </c>
      <c r="AH4988" s="580">
        <f t="shared" si="425"/>
        <v>0</v>
      </c>
    </row>
    <row r="4989" spans="28:34">
      <c r="AB4989" s="580">
        <f>HLOOKUP("*"&amp;'Output annual'!$AC$2&amp;'Output annual'!$AD$2&amp;"*Zone People Number Of Occupants [](Hourly)",'Eplus results'!$1:$1048576,ROW(),FALSE)</f>
        <v>0</v>
      </c>
      <c r="AC4989" s="580">
        <f>HLOOKUP("*"&amp;'Output annual'!$AC$2&amp;'Output annual'!$AD$2&amp;"*FangerPMV(Hourly)",'Eplus results'!$1:$1048576,ROW(),FALSE)</f>
        <v>0</v>
      </c>
      <c r="AD4989" s="580">
        <f t="shared" si="421"/>
        <v>5</v>
      </c>
      <c r="AE4989" s="580">
        <f t="shared" si="422"/>
        <v>2.5</v>
      </c>
      <c r="AF4989" s="580">
        <f t="shared" si="423"/>
        <v>2.5</v>
      </c>
      <c r="AG4989" s="580">
        <f t="shared" si="424"/>
        <v>0</v>
      </c>
      <c r="AH4989" s="580">
        <f t="shared" si="425"/>
        <v>0</v>
      </c>
    </row>
    <row r="4990" spans="28:34">
      <c r="AB4990" s="580">
        <f>HLOOKUP("*"&amp;'Output annual'!$AC$2&amp;'Output annual'!$AD$2&amp;"*Zone People Number Of Occupants [](Hourly)",'Eplus results'!$1:$1048576,ROW(),FALSE)</f>
        <v>0</v>
      </c>
      <c r="AC4990" s="580">
        <f>HLOOKUP("*"&amp;'Output annual'!$AC$2&amp;'Output annual'!$AD$2&amp;"*FangerPMV(Hourly)",'Eplus results'!$1:$1048576,ROW(),FALSE)</f>
        <v>0</v>
      </c>
      <c r="AD4990" s="580">
        <f t="shared" si="421"/>
        <v>5</v>
      </c>
      <c r="AE4990" s="580">
        <f t="shared" si="422"/>
        <v>2.5</v>
      </c>
      <c r="AF4990" s="580">
        <f t="shared" si="423"/>
        <v>2.5</v>
      </c>
      <c r="AG4990" s="580">
        <f t="shared" si="424"/>
        <v>0</v>
      </c>
      <c r="AH4990" s="580">
        <f t="shared" si="425"/>
        <v>0</v>
      </c>
    </row>
    <row r="4991" spans="28:34">
      <c r="AB4991" s="580">
        <f>HLOOKUP("*"&amp;'Output annual'!$AC$2&amp;'Output annual'!$AD$2&amp;"*Zone People Number Of Occupants [](Hourly)",'Eplus results'!$1:$1048576,ROW(),FALSE)</f>
        <v>0</v>
      </c>
      <c r="AC4991" s="580">
        <f>HLOOKUP("*"&amp;'Output annual'!$AC$2&amp;'Output annual'!$AD$2&amp;"*FangerPMV(Hourly)",'Eplus results'!$1:$1048576,ROW(),FALSE)</f>
        <v>0</v>
      </c>
      <c r="AD4991" s="580">
        <f t="shared" si="421"/>
        <v>5</v>
      </c>
      <c r="AE4991" s="580">
        <f t="shared" si="422"/>
        <v>2.5</v>
      </c>
      <c r="AF4991" s="580">
        <f t="shared" si="423"/>
        <v>2.5</v>
      </c>
      <c r="AG4991" s="580">
        <f t="shared" si="424"/>
        <v>0</v>
      </c>
      <c r="AH4991" s="580">
        <f t="shared" si="425"/>
        <v>0</v>
      </c>
    </row>
    <row r="4992" spans="28:34">
      <c r="AB4992" s="580">
        <f>HLOOKUP("*"&amp;'Output annual'!$AC$2&amp;'Output annual'!$AD$2&amp;"*Zone People Number Of Occupants [](Hourly)",'Eplus results'!$1:$1048576,ROW(),FALSE)</f>
        <v>0</v>
      </c>
      <c r="AC4992" s="580">
        <f>HLOOKUP("*"&amp;'Output annual'!$AC$2&amp;'Output annual'!$AD$2&amp;"*FangerPMV(Hourly)",'Eplus results'!$1:$1048576,ROW(),FALSE)</f>
        <v>0</v>
      </c>
      <c r="AD4992" s="580">
        <f t="shared" si="421"/>
        <v>5</v>
      </c>
      <c r="AE4992" s="580">
        <f t="shared" si="422"/>
        <v>2.5</v>
      </c>
      <c r="AF4992" s="580">
        <f t="shared" si="423"/>
        <v>2.5</v>
      </c>
      <c r="AG4992" s="580">
        <f t="shared" si="424"/>
        <v>0</v>
      </c>
      <c r="AH4992" s="580">
        <f t="shared" si="425"/>
        <v>0</v>
      </c>
    </row>
    <row r="4993" spans="28:34">
      <c r="AB4993" s="580">
        <f>HLOOKUP("*"&amp;'Output annual'!$AC$2&amp;'Output annual'!$AD$2&amp;"*Zone People Number Of Occupants [](Hourly)",'Eplus results'!$1:$1048576,ROW(),FALSE)</f>
        <v>0</v>
      </c>
      <c r="AC4993" s="580">
        <f>HLOOKUP("*"&amp;'Output annual'!$AC$2&amp;'Output annual'!$AD$2&amp;"*FangerPMV(Hourly)",'Eplus results'!$1:$1048576,ROW(),FALSE)</f>
        <v>0</v>
      </c>
      <c r="AD4993" s="580">
        <f t="shared" si="421"/>
        <v>5</v>
      </c>
      <c r="AE4993" s="580">
        <f t="shared" si="422"/>
        <v>2.5</v>
      </c>
      <c r="AF4993" s="580">
        <f t="shared" si="423"/>
        <v>2.5</v>
      </c>
      <c r="AG4993" s="580">
        <f t="shared" si="424"/>
        <v>0</v>
      </c>
      <c r="AH4993" s="580">
        <f t="shared" si="425"/>
        <v>0</v>
      </c>
    </row>
    <row r="4994" spans="28:34">
      <c r="AB4994" s="580">
        <f>HLOOKUP("*"&amp;'Output annual'!$AC$2&amp;'Output annual'!$AD$2&amp;"*Zone People Number Of Occupants [](Hourly)",'Eplus results'!$1:$1048576,ROW(),FALSE)</f>
        <v>0</v>
      </c>
      <c r="AC4994" s="580">
        <f>HLOOKUP("*"&amp;'Output annual'!$AC$2&amp;'Output annual'!$AD$2&amp;"*FangerPMV(Hourly)",'Eplus results'!$1:$1048576,ROW(),FALSE)</f>
        <v>0</v>
      </c>
      <c r="AD4994" s="580">
        <f t="shared" si="421"/>
        <v>5</v>
      </c>
      <c r="AE4994" s="580">
        <f t="shared" si="422"/>
        <v>2.5</v>
      </c>
      <c r="AF4994" s="580">
        <f t="shared" si="423"/>
        <v>2.5</v>
      </c>
      <c r="AG4994" s="580">
        <f t="shared" si="424"/>
        <v>0</v>
      </c>
      <c r="AH4994" s="580">
        <f t="shared" si="425"/>
        <v>0</v>
      </c>
    </row>
    <row r="4995" spans="28:34">
      <c r="AB4995" s="580">
        <f>HLOOKUP("*"&amp;'Output annual'!$AC$2&amp;'Output annual'!$AD$2&amp;"*Zone People Number Of Occupants [](Hourly)",'Eplus results'!$1:$1048576,ROW(),FALSE)</f>
        <v>0</v>
      </c>
      <c r="AC4995" s="580">
        <f>HLOOKUP("*"&amp;'Output annual'!$AC$2&amp;'Output annual'!$AD$2&amp;"*FangerPMV(Hourly)",'Eplus results'!$1:$1048576,ROW(),FALSE)</f>
        <v>0</v>
      </c>
      <c r="AD4995" s="580">
        <f t="shared" ref="AD4995:AD5058" si="426">100-95*EXP(-0.03353*AC4995^4-0.2179*AC4995^2)</f>
        <v>5</v>
      </c>
      <c r="AE4995" s="580">
        <f t="shared" ref="AE4995:AE5058" si="427">AD4995*(1/(1+EXP(-6.3*$AC4995)))</f>
        <v>2.5</v>
      </c>
      <c r="AF4995" s="580">
        <f t="shared" ref="AF4995:AF5058" si="428">(AD4995-AE4995)</f>
        <v>2.5</v>
      </c>
      <c r="AG4995" s="580">
        <f t="shared" ref="AG4995:AG5058" si="429">AE4995*AB4995</f>
        <v>0</v>
      </c>
      <c r="AH4995" s="580">
        <f t="shared" ref="AH4995:AH5058" si="430">AF4995*AB4995</f>
        <v>0</v>
      </c>
    </row>
    <row r="4996" spans="28:34">
      <c r="AB4996" s="580">
        <f>HLOOKUP("*"&amp;'Output annual'!$AC$2&amp;'Output annual'!$AD$2&amp;"*Zone People Number Of Occupants [](Hourly)",'Eplus results'!$1:$1048576,ROW(),FALSE)</f>
        <v>0</v>
      </c>
      <c r="AC4996" s="580">
        <f>HLOOKUP("*"&amp;'Output annual'!$AC$2&amp;'Output annual'!$AD$2&amp;"*FangerPMV(Hourly)",'Eplus results'!$1:$1048576,ROW(),FALSE)</f>
        <v>0</v>
      </c>
      <c r="AD4996" s="580">
        <f t="shared" si="426"/>
        <v>5</v>
      </c>
      <c r="AE4996" s="580">
        <f t="shared" si="427"/>
        <v>2.5</v>
      </c>
      <c r="AF4996" s="580">
        <f t="shared" si="428"/>
        <v>2.5</v>
      </c>
      <c r="AG4996" s="580">
        <f t="shared" si="429"/>
        <v>0</v>
      </c>
      <c r="AH4996" s="580">
        <f t="shared" si="430"/>
        <v>0</v>
      </c>
    </row>
    <row r="4997" spans="28:34">
      <c r="AB4997" s="580">
        <f>HLOOKUP("*"&amp;'Output annual'!$AC$2&amp;'Output annual'!$AD$2&amp;"*Zone People Number Of Occupants [](Hourly)",'Eplus results'!$1:$1048576,ROW(),FALSE)</f>
        <v>0</v>
      </c>
      <c r="AC4997" s="580">
        <f>HLOOKUP("*"&amp;'Output annual'!$AC$2&amp;'Output annual'!$AD$2&amp;"*FangerPMV(Hourly)",'Eplus results'!$1:$1048576,ROW(),FALSE)</f>
        <v>0</v>
      </c>
      <c r="AD4997" s="580">
        <f t="shared" si="426"/>
        <v>5</v>
      </c>
      <c r="AE4997" s="580">
        <f t="shared" si="427"/>
        <v>2.5</v>
      </c>
      <c r="AF4997" s="580">
        <f t="shared" si="428"/>
        <v>2.5</v>
      </c>
      <c r="AG4997" s="580">
        <f t="shared" si="429"/>
        <v>0</v>
      </c>
      <c r="AH4997" s="580">
        <f t="shared" si="430"/>
        <v>0</v>
      </c>
    </row>
    <row r="4998" spans="28:34">
      <c r="AB4998" s="580">
        <f>HLOOKUP("*"&amp;'Output annual'!$AC$2&amp;'Output annual'!$AD$2&amp;"*Zone People Number Of Occupants [](Hourly)",'Eplus results'!$1:$1048576,ROW(),FALSE)</f>
        <v>0</v>
      </c>
      <c r="AC4998" s="580">
        <f>HLOOKUP("*"&amp;'Output annual'!$AC$2&amp;'Output annual'!$AD$2&amp;"*FangerPMV(Hourly)",'Eplus results'!$1:$1048576,ROW(),FALSE)</f>
        <v>0</v>
      </c>
      <c r="AD4998" s="580">
        <f t="shared" si="426"/>
        <v>5</v>
      </c>
      <c r="AE4998" s="580">
        <f t="shared" si="427"/>
        <v>2.5</v>
      </c>
      <c r="AF4998" s="580">
        <f t="shared" si="428"/>
        <v>2.5</v>
      </c>
      <c r="AG4998" s="580">
        <f t="shared" si="429"/>
        <v>0</v>
      </c>
      <c r="AH4998" s="580">
        <f t="shared" si="430"/>
        <v>0</v>
      </c>
    </row>
    <row r="4999" spans="28:34">
      <c r="AB4999" s="580">
        <f>HLOOKUP("*"&amp;'Output annual'!$AC$2&amp;'Output annual'!$AD$2&amp;"*Zone People Number Of Occupants [](Hourly)",'Eplus results'!$1:$1048576,ROW(),FALSE)</f>
        <v>0</v>
      </c>
      <c r="AC4999" s="580">
        <f>HLOOKUP("*"&amp;'Output annual'!$AC$2&amp;'Output annual'!$AD$2&amp;"*FangerPMV(Hourly)",'Eplus results'!$1:$1048576,ROW(),FALSE)</f>
        <v>0</v>
      </c>
      <c r="AD4999" s="580">
        <f t="shared" si="426"/>
        <v>5</v>
      </c>
      <c r="AE4999" s="580">
        <f t="shared" si="427"/>
        <v>2.5</v>
      </c>
      <c r="AF4999" s="580">
        <f t="shared" si="428"/>
        <v>2.5</v>
      </c>
      <c r="AG4999" s="580">
        <f t="shared" si="429"/>
        <v>0</v>
      </c>
      <c r="AH4999" s="580">
        <f t="shared" si="430"/>
        <v>0</v>
      </c>
    </row>
    <row r="5000" spans="28:34">
      <c r="AB5000" s="580">
        <f>HLOOKUP("*"&amp;'Output annual'!$AC$2&amp;'Output annual'!$AD$2&amp;"*Zone People Number Of Occupants [](Hourly)",'Eplus results'!$1:$1048576,ROW(),FALSE)</f>
        <v>0</v>
      </c>
      <c r="AC5000" s="580">
        <f>HLOOKUP("*"&amp;'Output annual'!$AC$2&amp;'Output annual'!$AD$2&amp;"*FangerPMV(Hourly)",'Eplus results'!$1:$1048576,ROW(),FALSE)</f>
        <v>0</v>
      </c>
      <c r="AD5000" s="580">
        <f t="shared" si="426"/>
        <v>5</v>
      </c>
      <c r="AE5000" s="580">
        <f t="shared" si="427"/>
        <v>2.5</v>
      </c>
      <c r="AF5000" s="580">
        <f t="shared" si="428"/>
        <v>2.5</v>
      </c>
      <c r="AG5000" s="580">
        <f t="shared" si="429"/>
        <v>0</v>
      </c>
      <c r="AH5000" s="580">
        <f t="shared" si="430"/>
        <v>0</v>
      </c>
    </row>
    <row r="5001" spans="28:34">
      <c r="AB5001" s="580">
        <f>HLOOKUP("*"&amp;'Output annual'!$AC$2&amp;'Output annual'!$AD$2&amp;"*Zone People Number Of Occupants [](Hourly)",'Eplus results'!$1:$1048576,ROW(),FALSE)</f>
        <v>0</v>
      </c>
      <c r="AC5001" s="580">
        <f>HLOOKUP("*"&amp;'Output annual'!$AC$2&amp;'Output annual'!$AD$2&amp;"*FangerPMV(Hourly)",'Eplus results'!$1:$1048576,ROW(),FALSE)</f>
        <v>0</v>
      </c>
      <c r="AD5001" s="580">
        <f t="shared" si="426"/>
        <v>5</v>
      </c>
      <c r="AE5001" s="580">
        <f t="shared" si="427"/>
        <v>2.5</v>
      </c>
      <c r="AF5001" s="580">
        <f t="shared" si="428"/>
        <v>2.5</v>
      </c>
      <c r="AG5001" s="580">
        <f t="shared" si="429"/>
        <v>0</v>
      </c>
      <c r="AH5001" s="580">
        <f t="shared" si="430"/>
        <v>0</v>
      </c>
    </row>
    <row r="5002" spans="28:34">
      <c r="AB5002" s="580">
        <f>HLOOKUP("*"&amp;'Output annual'!$AC$2&amp;'Output annual'!$AD$2&amp;"*Zone People Number Of Occupants [](Hourly)",'Eplus results'!$1:$1048576,ROW(),FALSE)</f>
        <v>0</v>
      </c>
      <c r="AC5002" s="580">
        <f>HLOOKUP("*"&amp;'Output annual'!$AC$2&amp;'Output annual'!$AD$2&amp;"*FangerPMV(Hourly)",'Eplus results'!$1:$1048576,ROW(),FALSE)</f>
        <v>0</v>
      </c>
      <c r="AD5002" s="580">
        <f t="shared" si="426"/>
        <v>5</v>
      </c>
      <c r="AE5002" s="580">
        <f t="shared" si="427"/>
        <v>2.5</v>
      </c>
      <c r="AF5002" s="580">
        <f t="shared" si="428"/>
        <v>2.5</v>
      </c>
      <c r="AG5002" s="580">
        <f t="shared" si="429"/>
        <v>0</v>
      </c>
      <c r="AH5002" s="580">
        <f t="shared" si="430"/>
        <v>0</v>
      </c>
    </row>
    <row r="5003" spans="28:34">
      <c r="AB5003" s="580">
        <f>HLOOKUP("*"&amp;'Output annual'!$AC$2&amp;'Output annual'!$AD$2&amp;"*Zone People Number Of Occupants [](Hourly)",'Eplus results'!$1:$1048576,ROW(),FALSE)</f>
        <v>0</v>
      </c>
      <c r="AC5003" s="580">
        <f>HLOOKUP("*"&amp;'Output annual'!$AC$2&amp;'Output annual'!$AD$2&amp;"*FangerPMV(Hourly)",'Eplus results'!$1:$1048576,ROW(),FALSE)</f>
        <v>0</v>
      </c>
      <c r="AD5003" s="580">
        <f t="shared" si="426"/>
        <v>5</v>
      </c>
      <c r="AE5003" s="580">
        <f t="shared" si="427"/>
        <v>2.5</v>
      </c>
      <c r="AF5003" s="580">
        <f t="shared" si="428"/>
        <v>2.5</v>
      </c>
      <c r="AG5003" s="580">
        <f t="shared" si="429"/>
        <v>0</v>
      </c>
      <c r="AH5003" s="580">
        <f t="shared" si="430"/>
        <v>0</v>
      </c>
    </row>
    <row r="5004" spans="28:34">
      <c r="AB5004" s="580">
        <f>HLOOKUP("*"&amp;'Output annual'!$AC$2&amp;'Output annual'!$AD$2&amp;"*Zone People Number Of Occupants [](Hourly)",'Eplus results'!$1:$1048576,ROW(),FALSE)</f>
        <v>0</v>
      </c>
      <c r="AC5004" s="580">
        <f>HLOOKUP("*"&amp;'Output annual'!$AC$2&amp;'Output annual'!$AD$2&amp;"*FangerPMV(Hourly)",'Eplus results'!$1:$1048576,ROW(),FALSE)</f>
        <v>0</v>
      </c>
      <c r="AD5004" s="580">
        <f t="shared" si="426"/>
        <v>5</v>
      </c>
      <c r="AE5004" s="580">
        <f t="shared" si="427"/>
        <v>2.5</v>
      </c>
      <c r="AF5004" s="580">
        <f t="shared" si="428"/>
        <v>2.5</v>
      </c>
      <c r="AG5004" s="580">
        <f t="shared" si="429"/>
        <v>0</v>
      </c>
      <c r="AH5004" s="580">
        <f t="shared" si="430"/>
        <v>0</v>
      </c>
    </row>
    <row r="5005" spans="28:34">
      <c r="AB5005" s="580">
        <f>HLOOKUP("*"&amp;'Output annual'!$AC$2&amp;'Output annual'!$AD$2&amp;"*Zone People Number Of Occupants [](Hourly)",'Eplus results'!$1:$1048576,ROW(),FALSE)</f>
        <v>0</v>
      </c>
      <c r="AC5005" s="580">
        <f>HLOOKUP("*"&amp;'Output annual'!$AC$2&amp;'Output annual'!$AD$2&amp;"*FangerPMV(Hourly)",'Eplus results'!$1:$1048576,ROW(),FALSE)</f>
        <v>0</v>
      </c>
      <c r="AD5005" s="580">
        <f t="shared" si="426"/>
        <v>5</v>
      </c>
      <c r="AE5005" s="580">
        <f t="shared" si="427"/>
        <v>2.5</v>
      </c>
      <c r="AF5005" s="580">
        <f t="shared" si="428"/>
        <v>2.5</v>
      </c>
      <c r="AG5005" s="580">
        <f t="shared" si="429"/>
        <v>0</v>
      </c>
      <c r="AH5005" s="580">
        <f t="shared" si="430"/>
        <v>0</v>
      </c>
    </row>
    <row r="5006" spans="28:34">
      <c r="AB5006" s="580">
        <f>HLOOKUP("*"&amp;'Output annual'!$AC$2&amp;'Output annual'!$AD$2&amp;"*Zone People Number Of Occupants [](Hourly)",'Eplus results'!$1:$1048576,ROW(),FALSE)</f>
        <v>0</v>
      </c>
      <c r="AC5006" s="580">
        <f>HLOOKUP("*"&amp;'Output annual'!$AC$2&amp;'Output annual'!$AD$2&amp;"*FangerPMV(Hourly)",'Eplus results'!$1:$1048576,ROW(),FALSE)</f>
        <v>0</v>
      </c>
      <c r="AD5006" s="580">
        <f t="shared" si="426"/>
        <v>5</v>
      </c>
      <c r="AE5006" s="580">
        <f t="shared" si="427"/>
        <v>2.5</v>
      </c>
      <c r="AF5006" s="580">
        <f t="shared" si="428"/>
        <v>2.5</v>
      </c>
      <c r="AG5006" s="580">
        <f t="shared" si="429"/>
        <v>0</v>
      </c>
      <c r="AH5006" s="580">
        <f t="shared" si="430"/>
        <v>0</v>
      </c>
    </row>
    <row r="5007" spans="28:34">
      <c r="AB5007" s="580">
        <f>HLOOKUP("*"&amp;'Output annual'!$AC$2&amp;'Output annual'!$AD$2&amp;"*Zone People Number Of Occupants [](Hourly)",'Eplus results'!$1:$1048576,ROW(),FALSE)</f>
        <v>0</v>
      </c>
      <c r="AC5007" s="580">
        <f>HLOOKUP("*"&amp;'Output annual'!$AC$2&amp;'Output annual'!$AD$2&amp;"*FangerPMV(Hourly)",'Eplus results'!$1:$1048576,ROW(),FALSE)</f>
        <v>0</v>
      </c>
      <c r="AD5007" s="580">
        <f t="shared" si="426"/>
        <v>5</v>
      </c>
      <c r="AE5007" s="580">
        <f t="shared" si="427"/>
        <v>2.5</v>
      </c>
      <c r="AF5007" s="580">
        <f t="shared" si="428"/>
        <v>2.5</v>
      </c>
      <c r="AG5007" s="580">
        <f t="shared" si="429"/>
        <v>0</v>
      </c>
      <c r="AH5007" s="580">
        <f t="shared" si="430"/>
        <v>0</v>
      </c>
    </row>
    <row r="5008" spans="28:34">
      <c r="AB5008" s="580">
        <f>HLOOKUP("*"&amp;'Output annual'!$AC$2&amp;'Output annual'!$AD$2&amp;"*Zone People Number Of Occupants [](Hourly)",'Eplus results'!$1:$1048576,ROW(),FALSE)</f>
        <v>0</v>
      </c>
      <c r="AC5008" s="580">
        <f>HLOOKUP("*"&amp;'Output annual'!$AC$2&amp;'Output annual'!$AD$2&amp;"*FangerPMV(Hourly)",'Eplus results'!$1:$1048576,ROW(),FALSE)</f>
        <v>0</v>
      </c>
      <c r="AD5008" s="580">
        <f t="shared" si="426"/>
        <v>5</v>
      </c>
      <c r="AE5008" s="580">
        <f t="shared" si="427"/>
        <v>2.5</v>
      </c>
      <c r="AF5008" s="580">
        <f t="shared" si="428"/>
        <v>2.5</v>
      </c>
      <c r="AG5008" s="580">
        <f t="shared" si="429"/>
        <v>0</v>
      </c>
      <c r="AH5008" s="580">
        <f t="shared" si="430"/>
        <v>0</v>
      </c>
    </row>
    <row r="5009" spans="28:34">
      <c r="AB5009" s="580">
        <f>HLOOKUP("*"&amp;'Output annual'!$AC$2&amp;'Output annual'!$AD$2&amp;"*Zone People Number Of Occupants [](Hourly)",'Eplus results'!$1:$1048576,ROW(),FALSE)</f>
        <v>0</v>
      </c>
      <c r="AC5009" s="580">
        <f>HLOOKUP("*"&amp;'Output annual'!$AC$2&amp;'Output annual'!$AD$2&amp;"*FangerPMV(Hourly)",'Eplus results'!$1:$1048576,ROW(),FALSE)</f>
        <v>0</v>
      </c>
      <c r="AD5009" s="580">
        <f t="shared" si="426"/>
        <v>5</v>
      </c>
      <c r="AE5009" s="580">
        <f t="shared" si="427"/>
        <v>2.5</v>
      </c>
      <c r="AF5009" s="580">
        <f t="shared" si="428"/>
        <v>2.5</v>
      </c>
      <c r="AG5009" s="580">
        <f t="shared" si="429"/>
        <v>0</v>
      </c>
      <c r="AH5009" s="580">
        <f t="shared" si="430"/>
        <v>0</v>
      </c>
    </row>
    <row r="5010" spans="28:34">
      <c r="AB5010" s="580">
        <f>HLOOKUP("*"&amp;'Output annual'!$AC$2&amp;'Output annual'!$AD$2&amp;"*Zone People Number Of Occupants [](Hourly)",'Eplus results'!$1:$1048576,ROW(),FALSE)</f>
        <v>0</v>
      </c>
      <c r="AC5010" s="580">
        <f>HLOOKUP("*"&amp;'Output annual'!$AC$2&amp;'Output annual'!$AD$2&amp;"*FangerPMV(Hourly)",'Eplus results'!$1:$1048576,ROW(),FALSE)</f>
        <v>0</v>
      </c>
      <c r="AD5010" s="580">
        <f t="shared" si="426"/>
        <v>5</v>
      </c>
      <c r="AE5010" s="580">
        <f t="shared" si="427"/>
        <v>2.5</v>
      </c>
      <c r="AF5010" s="580">
        <f t="shared" si="428"/>
        <v>2.5</v>
      </c>
      <c r="AG5010" s="580">
        <f t="shared" si="429"/>
        <v>0</v>
      </c>
      <c r="AH5010" s="580">
        <f t="shared" si="430"/>
        <v>0</v>
      </c>
    </row>
    <row r="5011" spans="28:34">
      <c r="AB5011" s="580">
        <f>HLOOKUP("*"&amp;'Output annual'!$AC$2&amp;'Output annual'!$AD$2&amp;"*Zone People Number Of Occupants [](Hourly)",'Eplus results'!$1:$1048576,ROW(),FALSE)</f>
        <v>0</v>
      </c>
      <c r="AC5011" s="580">
        <f>HLOOKUP("*"&amp;'Output annual'!$AC$2&amp;'Output annual'!$AD$2&amp;"*FangerPMV(Hourly)",'Eplus results'!$1:$1048576,ROW(),FALSE)</f>
        <v>0</v>
      </c>
      <c r="AD5011" s="580">
        <f t="shared" si="426"/>
        <v>5</v>
      </c>
      <c r="AE5011" s="580">
        <f t="shared" si="427"/>
        <v>2.5</v>
      </c>
      <c r="AF5011" s="580">
        <f t="shared" si="428"/>
        <v>2.5</v>
      </c>
      <c r="AG5011" s="580">
        <f t="shared" si="429"/>
        <v>0</v>
      </c>
      <c r="AH5011" s="580">
        <f t="shared" si="430"/>
        <v>0</v>
      </c>
    </row>
    <row r="5012" spans="28:34">
      <c r="AB5012" s="580">
        <f>HLOOKUP("*"&amp;'Output annual'!$AC$2&amp;'Output annual'!$AD$2&amp;"*Zone People Number Of Occupants [](Hourly)",'Eplus results'!$1:$1048576,ROW(),FALSE)</f>
        <v>0</v>
      </c>
      <c r="AC5012" s="580">
        <f>HLOOKUP("*"&amp;'Output annual'!$AC$2&amp;'Output annual'!$AD$2&amp;"*FangerPMV(Hourly)",'Eplus results'!$1:$1048576,ROW(),FALSE)</f>
        <v>0</v>
      </c>
      <c r="AD5012" s="580">
        <f t="shared" si="426"/>
        <v>5</v>
      </c>
      <c r="AE5012" s="580">
        <f t="shared" si="427"/>
        <v>2.5</v>
      </c>
      <c r="AF5012" s="580">
        <f t="shared" si="428"/>
        <v>2.5</v>
      </c>
      <c r="AG5012" s="580">
        <f t="shared" si="429"/>
        <v>0</v>
      </c>
      <c r="AH5012" s="580">
        <f t="shared" si="430"/>
        <v>0</v>
      </c>
    </row>
    <row r="5013" spans="28:34">
      <c r="AB5013" s="580">
        <f>HLOOKUP("*"&amp;'Output annual'!$AC$2&amp;'Output annual'!$AD$2&amp;"*Zone People Number Of Occupants [](Hourly)",'Eplus results'!$1:$1048576,ROW(),FALSE)</f>
        <v>0</v>
      </c>
      <c r="AC5013" s="580">
        <f>HLOOKUP("*"&amp;'Output annual'!$AC$2&amp;'Output annual'!$AD$2&amp;"*FangerPMV(Hourly)",'Eplus results'!$1:$1048576,ROW(),FALSE)</f>
        <v>0</v>
      </c>
      <c r="AD5013" s="580">
        <f t="shared" si="426"/>
        <v>5</v>
      </c>
      <c r="AE5013" s="580">
        <f t="shared" si="427"/>
        <v>2.5</v>
      </c>
      <c r="AF5013" s="580">
        <f t="shared" si="428"/>
        <v>2.5</v>
      </c>
      <c r="AG5013" s="580">
        <f t="shared" si="429"/>
        <v>0</v>
      </c>
      <c r="AH5013" s="580">
        <f t="shared" si="430"/>
        <v>0</v>
      </c>
    </row>
    <row r="5014" spans="28:34">
      <c r="AB5014" s="580">
        <f>HLOOKUP("*"&amp;'Output annual'!$AC$2&amp;'Output annual'!$AD$2&amp;"*Zone People Number Of Occupants [](Hourly)",'Eplus results'!$1:$1048576,ROW(),FALSE)</f>
        <v>0</v>
      </c>
      <c r="AC5014" s="580">
        <f>HLOOKUP("*"&amp;'Output annual'!$AC$2&amp;'Output annual'!$AD$2&amp;"*FangerPMV(Hourly)",'Eplus results'!$1:$1048576,ROW(),FALSE)</f>
        <v>0</v>
      </c>
      <c r="AD5014" s="580">
        <f t="shared" si="426"/>
        <v>5</v>
      </c>
      <c r="AE5014" s="580">
        <f t="shared" si="427"/>
        <v>2.5</v>
      </c>
      <c r="AF5014" s="580">
        <f t="shared" si="428"/>
        <v>2.5</v>
      </c>
      <c r="AG5014" s="580">
        <f t="shared" si="429"/>
        <v>0</v>
      </c>
      <c r="AH5014" s="580">
        <f t="shared" si="430"/>
        <v>0</v>
      </c>
    </row>
    <row r="5015" spans="28:34">
      <c r="AB5015" s="580">
        <f>HLOOKUP("*"&amp;'Output annual'!$AC$2&amp;'Output annual'!$AD$2&amp;"*Zone People Number Of Occupants [](Hourly)",'Eplus results'!$1:$1048576,ROW(),FALSE)</f>
        <v>0</v>
      </c>
      <c r="AC5015" s="580">
        <f>HLOOKUP("*"&amp;'Output annual'!$AC$2&amp;'Output annual'!$AD$2&amp;"*FangerPMV(Hourly)",'Eplus results'!$1:$1048576,ROW(),FALSE)</f>
        <v>0</v>
      </c>
      <c r="AD5015" s="580">
        <f t="shared" si="426"/>
        <v>5</v>
      </c>
      <c r="AE5015" s="580">
        <f t="shared" si="427"/>
        <v>2.5</v>
      </c>
      <c r="AF5015" s="580">
        <f t="shared" si="428"/>
        <v>2.5</v>
      </c>
      <c r="AG5015" s="580">
        <f t="shared" si="429"/>
        <v>0</v>
      </c>
      <c r="AH5015" s="580">
        <f t="shared" si="430"/>
        <v>0</v>
      </c>
    </row>
    <row r="5016" spans="28:34">
      <c r="AB5016" s="580">
        <f>HLOOKUP("*"&amp;'Output annual'!$AC$2&amp;'Output annual'!$AD$2&amp;"*Zone People Number Of Occupants [](Hourly)",'Eplus results'!$1:$1048576,ROW(),FALSE)</f>
        <v>0</v>
      </c>
      <c r="AC5016" s="580">
        <f>HLOOKUP("*"&amp;'Output annual'!$AC$2&amp;'Output annual'!$AD$2&amp;"*FangerPMV(Hourly)",'Eplus results'!$1:$1048576,ROW(),FALSE)</f>
        <v>0</v>
      </c>
      <c r="AD5016" s="580">
        <f t="shared" si="426"/>
        <v>5</v>
      </c>
      <c r="AE5016" s="580">
        <f t="shared" si="427"/>
        <v>2.5</v>
      </c>
      <c r="AF5016" s="580">
        <f t="shared" si="428"/>
        <v>2.5</v>
      </c>
      <c r="AG5016" s="580">
        <f t="shared" si="429"/>
        <v>0</v>
      </c>
      <c r="AH5016" s="580">
        <f t="shared" si="430"/>
        <v>0</v>
      </c>
    </row>
    <row r="5017" spans="28:34">
      <c r="AB5017" s="580">
        <f>HLOOKUP("*"&amp;'Output annual'!$AC$2&amp;'Output annual'!$AD$2&amp;"*Zone People Number Of Occupants [](Hourly)",'Eplus results'!$1:$1048576,ROW(),FALSE)</f>
        <v>0</v>
      </c>
      <c r="AC5017" s="580">
        <f>HLOOKUP("*"&amp;'Output annual'!$AC$2&amp;'Output annual'!$AD$2&amp;"*FangerPMV(Hourly)",'Eplus results'!$1:$1048576,ROW(),FALSE)</f>
        <v>0</v>
      </c>
      <c r="AD5017" s="580">
        <f t="shared" si="426"/>
        <v>5</v>
      </c>
      <c r="AE5017" s="580">
        <f t="shared" si="427"/>
        <v>2.5</v>
      </c>
      <c r="AF5017" s="580">
        <f t="shared" si="428"/>
        <v>2.5</v>
      </c>
      <c r="AG5017" s="580">
        <f t="shared" si="429"/>
        <v>0</v>
      </c>
      <c r="AH5017" s="580">
        <f t="shared" si="430"/>
        <v>0</v>
      </c>
    </row>
    <row r="5018" spans="28:34">
      <c r="AB5018" s="580">
        <f>HLOOKUP("*"&amp;'Output annual'!$AC$2&amp;'Output annual'!$AD$2&amp;"*Zone People Number Of Occupants [](Hourly)",'Eplus results'!$1:$1048576,ROW(),FALSE)</f>
        <v>0</v>
      </c>
      <c r="AC5018" s="580">
        <f>HLOOKUP("*"&amp;'Output annual'!$AC$2&amp;'Output annual'!$AD$2&amp;"*FangerPMV(Hourly)",'Eplus results'!$1:$1048576,ROW(),FALSE)</f>
        <v>0</v>
      </c>
      <c r="AD5018" s="580">
        <f t="shared" si="426"/>
        <v>5</v>
      </c>
      <c r="AE5018" s="580">
        <f t="shared" si="427"/>
        <v>2.5</v>
      </c>
      <c r="AF5018" s="580">
        <f t="shared" si="428"/>
        <v>2.5</v>
      </c>
      <c r="AG5018" s="580">
        <f t="shared" si="429"/>
        <v>0</v>
      </c>
      <c r="AH5018" s="580">
        <f t="shared" si="430"/>
        <v>0</v>
      </c>
    </row>
    <row r="5019" spans="28:34">
      <c r="AB5019" s="580">
        <f>HLOOKUP("*"&amp;'Output annual'!$AC$2&amp;'Output annual'!$AD$2&amp;"*Zone People Number Of Occupants [](Hourly)",'Eplus results'!$1:$1048576,ROW(),FALSE)</f>
        <v>0</v>
      </c>
      <c r="AC5019" s="580">
        <f>HLOOKUP("*"&amp;'Output annual'!$AC$2&amp;'Output annual'!$AD$2&amp;"*FangerPMV(Hourly)",'Eplus results'!$1:$1048576,ROW(),FALSE)</f>
        <v>0</v>
      </c>
      <c r="AD5019" s="580">
        <f t="shared" si="426"/>
        <v>5</v>
      </c>
      <c r="AE5019" s="580">
        <f t="shared" si="427"/>
        <v>2.5</v>
      </c>
      <c r="AF5019" s="580">
        <f t="shared" si="428"/>
        <v>2.5</v>
      </c>
      <c r="AG5019" s="580">
        <f t="shared" si="429"/>
        <v>0</v>
      </c>
      <c r="AH5019" s="580">
        <f t="shared" si="430"/>
        <v>0</v>
      </c>
    </row>
    <row r="5020" spans="28:34">
      <c r="AB5020" s="580">
        <f>HLOOKUP("*"&amp;'Output annual'!$AC$2&amp;'Output annual'!$AD$2&amp;"*Zone People Number Of Occupants [](Hourly)",'Eplus results'!$1:$1048576,ROW(),FALSE)</f>
        <v>0</v>
      </c>
      <c r="AC5020" s="580">
        <f>HLOOKUP("*"&amp;'Output annual'!$AC$2&amp;'Output annual'!$AD$2&amp;"*FangerPMV(Hourly)",'Eplus results'!$1:$1048576,ROW(),FALSE)</f>
        <v>0</v>
      </c>
      <c r="AD5020" s="580">
        <f t="shared" si="426"/>
        <v>5</v>
      </c>
      <c r="AE5020" s="580">
        <f t="shared" si="427"/>
        <v>2.5</v>
      </c>
      <c r="AF5020" s="580">
        <f t="shared" si="428"/>
        <v>2.5</v>
      </c>
      <c r="AG5020" s="580">
        <f t="shared" si="429"/>
        <v>0</v>
      </c>
      <c r="AH5020" s="580">
        <f t="shared" si="430"/>
        <v>0</v>
      </c>
    </row>
    <row r="5021" spans="28:34">
      <c r="AB5021" s="580">
        <f>HLOOKUP("*"&amp;'Output annual'!$AC$2&amp;'Output annual'!$AD$2&amp;"*Zone People Number Of Occupants [](Hourly)",'Eplus results'!$1:$1048576,ROW(),FALSE)</f>
        <v>0</v>
      </c>
      <c r="AC5021" s="580">
        <f>HLOOKUP("*"&amp;'Output annual'!$AC$2&amp;'Output annual'!$AD$2&amp;"*FangerPMV(Hourly)",'Eplus results'!$1:$1048576,ROW(),FALSE)</f>
        <v>0</v>
      </c>
      <c r="AD5021" s="580">
        <f t="shared" si="426"/>
        <v>5</v>
      </c>
      <c r="AE5021" s="580">
        <f t="shared" si="427"/>
        <v>2.5</v>
      </c>
      <c r="AF5021" s="580">
        <f t="shared" si="428"/>
        <v>2.5</v>
      </c>
      <c r="AG5021" s="580">
        <f t="shared" si="429"/>
        <v>0</v>
      </c>
      <c r="AH5021" s="580">
        <f t="shared" si="430"/>
        <v>0</v>
      </c>
    </row>
    <row r="5022" spans="28:34">
      <c r="AB5022" s="580">
        <f>HLOOKUP("*"&amp;'Output annual'!$AC$2&amp;'Output annual'!$AD$2&amp;"*Zone People Number Of Occupants [](Hourly)",'Eplus results'!$1:$1048576,ROW(),FALSE)</f>
        <v>0</v>
      </c>
      <c r="AC5022" s="580">
        <f>HLOOKUP("*"&amp;'Output annual'!$AC$2&amp;'Output annual'!$AD$2&amp;"*FangerPMV(Hourly)",'Eplus results'!$1:$1048576,ROW(),FALSE)</f>
        <v>0</v>
      </c>
      <c r="AD5022" s="580">
        <f t="shared" si="426"/>
        <v>5</v>
      </c>
      <c r="AE5022" s="580">
        <f t="shared" si="427"/>
        <v>2.5</v>
      </c>
      <c r="AF5022" s="580">
        <f t="shared" si="428"/>
        <v>2.5</v>
      </c>
      <c r="AG5022" s="580">
        <f t="shared" si="429"/>
        <v>0</v>
      </c>
      <c r="AH5022" s="580">
        <f t="shared" si="430"/>
        <v>0</v>
      </c>
    </row>
    <row r="5023" spans="28:34">
      <c r="AB5023" s="580">
        <f>HLOOKUP("*"&amp;'Output annual'!$AC$2&amp;'Output annual'!$AD$2&amp;"*Zone People Number Of Occupants [](Hourly)",'Eplus results'!$1:$1048576,ROW(),FALSE)</f>
        <v>0</v>
      </c>
      <c r="AC5023" s="580">
        <f>HLOOKUP("*"&amp;'Output annual'!$AC$2&amp;'Output annual'!$AD$2&amp;"*FangerPMV(Hourly)",'Eplus results'!$1:$1048576,ROW(),FALSE)</f>
        <v>0</v>
      </c>
      <c r="AD5023" s="580">
        <f t="shared" si="426"/>
        <v>5</v>
      </c>
      <c r="AE5023" s="580">
        <f t="shared" si="427"/>
        <v>2.5</v>
      </c>
      <c r="AF5023" s="580">
        <f t="shared" si="428"/>
        <v>2.5</v>
      </c>
      <c r="AG5023" s="580">
        <f t="shared" si="429"/>
        <v>0</v>
      </c>
      <c r="AH5023" s="580">
        <f t="shared" si="430"/>
        <v>0</v>
      </c>
    </row>
    <row r="5024" spans="28:34">
      <c r="AB5024" s="580">
        <f>HLOOKUP("*"&amp;'Output annual'!$AC$2&amp;'Output annual'!$AD$2&amp;"*Zone People Number Of Occupants [](Hourly)",'Eplus results'!$1:$1048576,ROW(),FALSE)</f>
        <v>0</v>
      </c>
      <c r="AC5024" s="580">
        <f>HLOOKUP("*"&amp;'Output annual'!$AC$2&amp;'Output annual'!$AD$2&amp;"*FangerPMV(Hourly)",'Eplus results'!$1:$1048576,ROW(),FALSE)</f>
        <v>0</v>
      </c>
      <c r="AD5024" s="580">
        <f t="shared" si="426"/>
        <v>5</v>
      </c>
      <c r="AE5024" s="580">
        <f t="shared" si="427"/>
        <v>2.5</v>
      </c>
      <c r="AF5024" s="580">
        <f t="shared" si="428"/>
        <v>2.5</v>
      </c>
      <c r="AG5024" s="580">
        <f t="shared" si="429"/>
        <v>0</v>
      </c>
      <c r="AH5024" s="580">
        <f t="shared" si="430"/>
        <v>0</v>
      </c>
    </row>
    <row r="5025" spans="28:34">
      <c r="AB5025" s="580">
        <f>HLOOKUP("*"&amp;'Output annual'!$AC$2&amp;'Output annual'!$AD$2&amp;"*Zone People Number Of Occupants [](Hourly)",'Eplus results'!$1:$1048576,ROW(),FALSE)</f>
        <v>0</v>
      </c>
      <c r="AC5025" s="580">
        <f>HLOOKUP("*"&amp;'Output annual'!$AC$2&amp;'Output annual'!$AD$2&amp;"*FangerPMV(Hourly)",'Eplus results'!$1:$1048576,ROW(),FALSE)</f>
        <v>0</v>
      </c>
      <c r="AD5025" s="580">
        <f t="shared" si="426"/>
        <v>5</v>
      </c>
      <c r="AE5025" s="580">
        <f t="shared" si="427"/>
        <v>2.5</v>
      </c>
      <c r="AF5025" s="580">
        <f t="shared" si="428"/>
        <v>2.5</v>
      </c>
      <c r="AG5025" s="580">
        <f t="shared" si="429"/>
        <v>0</v>
      </c>
      <c r="AH5025" s="580">
        <f t="shared" si="430"/>
        <v>0</v>
      </c>
    </row>
    <row r="5026" spans="28:34">
      <c r="AB5026" s="580">
        <f>HLOOKUP("*"&amp;'Output annual'!$AC$2&amp;'Output annual'!$AD$2&amp;"*Zone People Number Of Occupants [](Hourly)",'Eplus results'!$1:$1048576,ROW(),FALSE)</f>
        <v>0</v>
      </c>
      <c r="AC5026" s="580">
        <f>HLOOKUP("*"&amp;'Output annual'!$AC$2&amp;'Output annual'!$AD$2&amp;"*FangerPMV(Hourly)",'Eplus results'!$1:$1048576,ROW(),FALSE)</f>
        <v>0</v>
      </c>
      <c r="AD5026" s="580">
        <f t="shared" si="426"/>
        <v>5</v>
      </c>
      <c r="AE5026" s="580">
        <f t="shared" si="427"/>
        <v>2.5</v>
      </c>
      <c r="AF5026" s="580">
        <f t="shared" si="428"/>
        <v>2.5</v>
      </c>
      <c r="AG5026" s="580">
        <f t="shared" si="429"/>
        <v>0</v>
      </c>
      <c r="AH5026" s="580">
        <f t="shared" si="430"/>
        <v>0</v>
      </c>
    </row>
    <row r="5027" spans="28:34">
      <c r="AB5027" s="580">
        <f>HLOOKUP("*"&amp;'Output annual'!$AC$2&amp;'Output annual'!$AD$2&amp;"*Zone People Number Of Occupants [](Hourly)",'Eplus results'!$1:$1048576,ROW(),FALSE)</f>
        <v>0</v>
      </c>
      <c r="AC5027" s="580">
        <f>HLOOKUP("*"&amp;'Output annual'!$AC$2&amp;'Output annual'!$AD$2&amp;"*FangerPMV(Hourly)",'Eplus results'!$1:$1048576,ROW(),FALSE)</f>
        <v>0</v>
      </c>
      <c r="AD5027" s="580">
        <f t="shared" si="426"/>
        <v>5</v>
      </c>
      <c r="AE5027" s="580">
        <f t="shared" si="427"/>
        <v>2.5</v>
      </c>
      <c r="AF5027" s="580">
        <f t="shared" si="428"/>
        <v>2.5</v>
      </c>
      <c r="AG5027" s="580">
        <f t="shared" si="429"/>
        <v>0</v>
      </c>
      <c r="AH5027" s="580">
        <f t="shared" si="430"/>
        <v>0</v>
      </c>
    </row>
    <row r="5028" spans="28:34">
      <c r="AB5028" s="580">
        <f>HLOOKUP("*"&amp;'Output annual'!$AC$2&amp;'Output annual'!$AD$2&amp;"*Zone People Number Of Occupants [](Hourly)",'Eplus results'!$1:$1048576,ROW(),FALSE)</f>
        <v>0</v>
      </c>
      <c r="AC5028" s="580">
        <f>HLOOKUP("*"&amp;'Output annual'!$AC$2&amp;'Output annual'!$AD$2&amp;"*FangerPMV(Hourly)",'Eplus results'!$1:$1048576,ROW(),FALSE)</f>
        <v>0</v>
      </c>
      <c r="AD5028" s="580">
        <f t="shared" si="426"/>
        <v>5</v>
      </c>
      <c r="AE5028" s="580">
        <f t="shared" si="427"/>
        <v>2.5</v>
      </c>
      <c r="AF5028" s="580">
        <f t="shared" si="428"/>
        <v>2.5</v>
      </c>
      <c r="AG5028" s="580">
        <f t="shared" si="429"/>
        <v>0</v>
      </c>
      <c r="AH5028" s="580">
        <f t="shared" si="430"/>
        <v>0</v>
      </c>
    </row>
    <row r="5029" spans="28:34">
      <c r="AB5029" s="580">
        <f>HLOOKUP("*"&amp;'Output annual'!$AC$2&amp;'Output annual'!$AD$2&amp;"*Zone People Number Of Occupants [](Hourly)",'Eplus results'!$1:$1048576,ROW(),FALSE)</f>
        <v>0</v>
      </c>
      <c r="AC5029" s="580">
        <f>HLOOKUP("*"&amp;'Output annual'!$AC$2&amp;'Output annual'!$AD$2&amp;"*FangerPMV(Hourly)",'Eplus results'!$1:$1048576,ROW(),FALSE)</f>
        <v>0</v>
      </c>
      <c r="AD5029" s="580">
        <f t="shared" si="426"/>
        <v>5</v>
      </c>
      <c r="AE5029" s="580">
        <f t="shared" si="427"/>
        <v>2.5</v>
      </c>
      <c r="AF5029" s="580">
        <f t="shared" si="428"/>
        <v>2.5</v>
      </c>
      <c r="AG5029" s="580">
        <f t="shared" si="429"/>
        <v>0</v>
      </c>
      <c r="AH5029" s="580">
        <f t="shared" si="430"/>
        <v>0</v>
      </c>
    </row>
    <row r="5030" spans="28:34">
      <c r="AB5030" s="580">
        <f>HLOOKUP("*"&amp;'Output annual'!$AC$2&amp;'Output annual'!$AD$2&amp;"*Zone People Number Of Occupants [](Hourly)",'Eplus results'!$1:$1048576,ROW(),FALSE)</f>
        <v>0</v>
      </c>
      <c r="AC5030" s="580">
        <f>HLOOKUP("*"&amp;'Output annual'!$AC$2&amp;'Output annual'!$AD$2&amp;"*FangerPMV(Hourly)",'Eplus results'!$1:$1048576,ROW(),FALSE)</f>
        <v>0</v>
      </c>
      <c r="AD5030" s="580">
        <f t="shared" si="426"/>
        <v>5</v>
      </c>
      <c r="AE5030" s="580">
        <f t="shared" si="427"/>
        <v>2.5</v>
      </c>
      <c r="AF5030" s="580">
        <f t="shared" si="428"/>
        <v>2.5</v>
      </c>
      <c r="AG5030" s="580">
        <f t="shared" si="429"/>
        <v>0</v>
      </c>
      <c r="AH5030" s="580">
        <f t="shared" si="430"/>
        <v>0</v>
      </c>
    </row>
    <row r="5031" spans="28:34">
      <c r="AB5031" s="580">
        <f>HLOOKUP("*"&amp;'Output annual'!$AC$2&amp;'Output annual'!$AD$2&amp;"*Zone People Number Of Occupants [](Hourly)",'Eplus results'!$1:$1048576,ROW(),FALSE)</f>
        <v>0</v>
      </c>
      <c r="AC5031" s="580">
        <f>HLOOKUP("*"&amp;'Output annual'!$AC$2&amp;'Output annual'!$AD$2&amp;"*FangerPMV(Hourly)",'Eplus results'!$1:$1048576,ROW(),FALSE)</f>
        <v>0</v>
      </c>
      <c r="AD5031" s="580">
        <f t="shared" si="426"/>
        <v>5</v>
      </c>
      <c r="AE5031" s="580">
        <f t="shared" si="427"/>
        <v>2.5</v>
      </c>
      <c r="AF5031" s="580">
        <f t="shared" si="428"/>
        <v>2.5</v>
      </c>
      <c r="AG5031" s="580">
        <f t="shared" si="429"/>
        <v>0</v>
      </c>
      <c r="AH5031" s="580">
        <f t="shared" si="430"/>
        <v>0</v>
      </c>
    </row>
    <row r="5032" spans="28:34">
      <c r="AB5032" s="580">
        <f>HLOOKUP("*"&amp;'Output annual'!$AC$2&amp;'Output annual'!$AD$2&amp;"*Zone People Number Of Occupants [](Hourly)",'Eplus results'!$1:$1048576,ROW(),FALSE)</f>
        <v>0</v>
      </c>
      <c r="AC5032" s="580">
        <f>HLOOKUP("*"&amp;'Output annual'!$AC$2&amp;'Output annual'!$AD$2&amp;"*FangerPMV(Hourly)",'Eplus results'!$1:$1048576,ROW(),FALSE)</f>
        <v>0</v>
      </c>
      <c r="AD5032" s="580">
        <f t="shared" si="426"/>
        <v>5</v>
      </c>
      <c r="AE5032" s="580">
        <f t="shared" si="427"/>
        <v>2.5</v>
      </c>
      <c r="AF5032" s="580">
        <f t="shared" si="428"/>
        <v>2.5</v>
      </c>
      <c r="AG5032" s="580">
        <f t="shared" si="429"/>
        <v>0</v>
      </c>
      <c r="AH5032" s="580">
        <f t="shared" si="430"/>
        <v>0</v>
      </c>
    </row>
    <row r="5033" spans="28:34">
      <c r="AB5033" s="580">
        <f>HLOOKUP("*"&amp;'Output annual'!$AC$2&amp;'Output annual'!$AD$2&amp;"*Zone People Number Of Occupants [](Hourly)",'Eplus results'!$1:$1048576,ROW(),FALSE)</f>
        <v>0</v>
      </c>
      <c r="AC5033" s="580">
        <f>HLOOKUP("*"&amp;'Output annual'!$AC$2&amp;'Output annual'!$AD$2&amp;"*FangerPMV(Hourly)",'Eplus results'!$1:$1048576,ROW(),FALSE)</f>
        <v>0</v>
      </c>
      <c r="AD5033" s="580">
        <f t="shared" si="426"/>
        <v>5</v>
      </c>
      <c r="AE5033" s="580">
        <f t="shared" si="427"/>
        <v>2.5</v>
      </c>
      <c r="AF5033" s="580">
        <f t="shared" si="428"/>
        <v>2.5</v>
      </c>
      <c r="AG5033" s="580">
        <f t="shared" si="429"/>
        <v>0</v>
      </c>
      <c r="AH5033" s="580">
        <f t="shared" si="430"/>
        <v>0</v>
      </c>
    </row>
    <row r="5034" spans="28:34">
      <c r="AB5034" s="580">
        <f>HLOOKUP("*"&amp;'Output annual'!$AC$2&amp;'Output annual'!$AD$2&amp;"*Zone People Number Of Occupants [](Hourly)",'Eplus results'!$1:$1048576,ROW(),FALSE)</f>
        <v>0</v>
      </c>
      <c r="AC5034" s="580">
        <f>HLOOKUP("*"&amp;'Output annual'!$AC$2&amp;'Output annual'!$AD$2&amp;"*FangerPMV(Hourly)",'Eplus results'!$1:$1048576,ROW(),FALSE)</f>
        <v>0</v>
      </c>
      <c r="AD5034" s="580">
        <f t="shared" si="426"/>
        <v>5</v>
      </c>
      <c r="AE5034" s="580">
        <f t="shared" si="427"/>
        <v>2.5</v>
      </c>
      <c r="AF5034" s="580">
        <f t="shared" si="428"/>
        <v>2.5</v>
      </c>
      <c r="AG5034" s="580">
        <f t="shared" si="429"/>
        <v>0</v>
      </c>
      <c r="AH5034" s="580">
        <f t="shared" si="430"/>
        <v>0</v>
      </c>
    </row>
    <row r="5035" spans="28:34">
      <c r="AB5035" s="580">
        <f>HLOOKUP("*"&amp;'Output annual'!$AC$2&amp;'Output annual'!$AD$2&amp;"*Zone People Number Of Occupants [](Hourly)",'Eplus results'!$1:$1048576,ROW(),FALSE)</f>
        <v>0</v>
      </c>
      <c r="AC5035" s="580">
        <f>HLOOKUP("*"&amp;'Output annual'!$AC$2&amp;'Output annual'!$AD$2&amp;"*FangerPMV(Hourly)",'Eplus results'!$1:$1048576,ROW(),FALSE)</f>
        <v>0</v>
      </c>
      <c r="AD5035" s="580">
        <f t="shared" si="426"/>
        <v>5</v>
      </c>
      <c r="AE5035" s="580">
        <f t="shared" si="427"/>
        <v>2.5</v>
      </c>
      <c r="AF5035" s="580">
        <f t="shared" si="428"/>
        <v>2.5</v>
      </c>
      <c r="AG5035" s="580">
        <f t="shared" si="429"/>
        <v>0</v>
      </c>
      <c r="AH5035" s="580">
        <f t="shared" si="430"/>
        <v>0</v>
      </c>
    </row>
    <row r="5036" spans="28:34">
      <c r="AB5036" s="580">
        <f>HLOOKUP("*"&amp;'Output annual'!$AC$2&amp;'Output annual'!$AD$2&amp;"*Zone People Number Of Occupants [](Hourly)",'Eplus results'!$1:$1048576,ROW(),FALSE)</f>
        <v>0</v>
      </c>
      <c r="AC5036" s="580">
        <f>HLOOKUP("*"&amp;'Output annual'!$AC$2&amp;'Output annual'!$AD$2&amp;"*FangerPMV(Hourly)",'Eplus results'!$1:$1048576,ROW(),FALSE)</f>
        <v>0</v>
      </c>
      <c r="AD5036" s="580">
        <f t="shared" si="426"/>
        <v>5</v>
      </c>
      <c r="AE5036" s="580">
        <f t="shared" si="427"/>
        <v>2.5</v>
      </c>
      <c r="AF5036" s="580">
        <f t="shared" si="428"/>
        <v>2.5</v>
      </c>
      <c r="AG5036" s="580">
        <f t="shared" si="429"/>
        <v>0</v>
      </c>
      <c r="AH5036" s="580">
        <f t="shared" si="430"/>
        <v>0</v>
      </c>
    </row>
    <row r="5037" spans="28:34">
      <c r="AB5037" s="580">
        <f>HLOOKUP("*"&amp;'Output annual'!$AC$2&amp;'Output annual'!$AD$2&amp;"*Zone People Number Of Occupants [](Hourly)",'Eplus results'!$1:$1048576,ROW(),FALSE)</f>
        <v>0</v>
      </c>
      <c r="AC5037" s="580">
        <f>HLOOKUP("*"&amp;'Output annual'!$AC$2&amp;'Output annual'!$AD$2&amp;"*FangerPMV(Hourly)",'Eplus results'!$1:$1048576,ROW(),FALSE)</f>
        <v>0</v>
      </c>
      <c r="AD5037" s="580">
        <f t="shared" si="426"/>
        <v>5</v>
      </c>
      <c r="AE5037" s="580">
        <f t="shared" si="427"/>
        <v>2.5</v>
      </c>
      <c r="AF5037" s="580">
        <f t="shared" si="428"/>
        <v>2.5</v>
      </c>
      <c r="AG5037" s="580">
        <f t="shared" si="429"/>
        <v>0</v>
      </c>
      <c r="AH5037" s="580">
        <f t="shared" si="430"/>
        <v>0</v>
      </c>
    </row>
    <row r="5038" spans="28:34">
      <c r="AB5038" s="580">
        <f>HLOOKUP("*"&amp;'Output annual'!$AC$2&amp;'Output annual'!$AD$2&amp;"*Zone People Number Of Occupants [](Hourly)",'Eplus results'!$1:$1048576,ROW(),FALSE)</f>
        <v>0</v>
      </c>
      <c r="AC5038" s="580">
        <f>HLOOKUP("*"&amp;'Output annual'!$AC$2&amp;'Output annual'!$AD$2&amp;"*FangerPMV(Hourly)",'Eplus results'!$1:$1048576,ROW(),FALSE)</f>
        <v>0</v>
      </c>
      <c r="AD5038" s="580">
        <f t="shared" si="426"/>
        <v>5</v>
      </c>
      <c r="AE5038" s="580">
        <f t="shared" si="427"/>
        <v>2.5</v>
      </c>
      <c r="AF5038" s="580">
        <f t="shared" si="428"/>
        <v>2.5</v>
      </c>
      <c r="AG5038" s="580">
        <f t="shared" si="429"/>
        <v>0</v>
      </c>
      <c r="AH5038" s="580">
        <f t="shared" si="430"/>
        <v>0</v>
      </c>
    </row>
    <row r="5039" spans="28:34">
      <c r="AB5039" s="580">
        <f>HLOOKUP("*"&amp;'Output annual'!$AC$2&amp;'Output annual'!$AD$2&amp;"*Zone People Number Of Occupants [](Hourly)",'Eplus results'!$1:$1048576,ROW(),FALSE)</f>
        <v>0</v>
      </c>
      <c r="AC5039" s="580">
        <f>HLOOKUP("*"&amp;'Output annual'!$AC$2&amp;'Output annual'!$AD$2&amp;"*FangerPMV(Hourly)",'Eplus results'!$1:$1048576,ROW(),FALSE)</f>
        <v>0</v>
      </c>
      <c r="AD5039" s="580">
        <f t="shared" si="426"/>
        <v>5</v>
      </c>
      <c r="AE5039" s="580">
        <f t="shared" si="427"/>
        <v>2.5</v>
      </c>
      <c r="AF5039" s="580">
        <f t="shared" si="428"/>
        <v>2.5</v>
      </c>
      <c r="AG5039" s="580">
        <f t="shared" si="429"/>
        <v>0</v>
      </c>
      <c r="AH5039" s="580">
        <f t="shared" si="430"/>
        <v>0</v>
      </c>
    </row>
    <row r="5040" spans="28:34">
      <c r="AB5040" s="580">
        <f>HLOOKUP("*"&amp;'Output annual'!$AC$2&amp;'Output annual'!$AD$2&amp;"*Zone People Number Of Occupants [](Hourly)",'Eplus results'!$1:$1048576,ROW(),FALSE)</f>
        <v>0</v>
      </c>
      <c r="AC5040" s="580">
        <f>HLOOKUP("*"&amp;'Output annual'!$AC$2&amp;'Output annual'!$AD$2&amp;"*FangerPMV(Hourly)",'Eplus results'!$1:$1048576,ROW(),FALSE)</f>
        <v>0</v>
      </c>
      <c r="AD5040" s="580">
        <f t="shared" si="426"/>
        <v>5</v>
      </c>
      <c r="AE5040" s="580">
        <f t="shared" si="427"/>
        <v>2.5</v>
      </c>
      <c r="AF5040" s="580">
        <f t="shared" si="428"/>
        <v>2.5</v>
      </c>
      <c r="AG5040" s="580">
        <f t="shared" si="429"/>
        <v>0</v>
      </c>
      <c r="AH5040" s="580">
        <f t="shared" si="430"/>
        <v>0</v>
      </c>
    </row>
    <row r="5041" spans="28:34">
      <c r="AB5041" s="580">
        <f>HLOOKUP("*"&amp;'Output annual'!$AC$2&amp;'Output annual'!$AD$2&amp;"*Zone People Number Of Occupants [](Hourly)",'Eplus results'!$1:$1048576,ROW(),FALSE)</f>
        <v>0</v>
      </c>
      <c r="AC5041" s="580">
        <f>HLOOKUP("*"&amp;'Output annual'!$AC$2&amp;'Output annual'!$AD$2&amp;"*FangerPMV(Hourly)",'Eplus results'!$1:$1048576,ROW(),FALSE)</f>
        <v>0</v>
      </c>
      <c r="AD5041" s="580">
        <f t="shared" si="426"/>
        <v>5</v>
      </c>
      <c r="AE5041" s="580">
        <f t="shared" si="427"/>
        <v>2.5</v>
      </c>
      <c r="AF5041" s="580">
        <f t="shared" si="428"/>
        <v>2.5</v>
      </c>
      <c r="AG5041" s="580">
        <f t="shared" si="429"/>
        <v>0</v>
      </c>
      <c r="AH5041" s="580">
        <f t="shared" si="430"/>
        <v>0</v>
      </c>
    </row>
    <row r="5042" spans="28:34">
      <c r="AB5042" s="580">
        <f>HLOOKUP("*"&amp;'Output annual'!$AC$2&amp;'Output annual'!$AD$2&amp;"*Zone People Number Of Occupants [](Hourly)",'Eplus results'!$1:$1048576,ROW(),FALSE)</f>
        <v>0</v>
      </c>
      <c r="AC5042" s="580">
        <f>HLOOKUP("*"&amp;'Output annual'!$AC$2&amp;'Output annual'!$AD$2&amp;"*FangerPMV(Hourly)",'Eplus results'!$1:$1048576,ROW(),FALSE)</f>
        <v>0</v>
      </c>
      <c r="AD5042" s="580">
        <f t="shared" si="426"/>
        <v>5</v>
      </c>
      <c r="AE5042" s="580">
        <f t="shared" si="427"/>
        <v>2.5</v>
      </c>
      <c r="AF5042" s="580">
        <f t="shared" si="428"/>
        <v>2.5</v>
      </c>
      <c r="AG5042" s="580">
        <f t="shared" si="429"/>
        <v>0</v>
      </c>
      <c r="AH5042" s="580">
        <f t="shared" si="430"/>
        <v>0</v>
      </c>
    </row>
    <row r="5043" spans="28:34">
      <c r="AB5043" s="580">
        <f>HLOOKUP("*"&amp;'Output annual'!$AC$2&amp;'Output annual'!$AD$2&amp;"*Zone People Number Of Occupants [](Hourly)",'Eplus results'!$1:$1048576,ROW(),FALSE)</f>
        <v>0</v>
      </c>
      <c r="AC5043" s="580">
        <f>HLOOKUP("*"&amp;'Output annual'!$AC$2&amp;'Output annual'!$AD$2&amp;"*FangerPMV(Hourly)",'Eplus results'!$1:$1048576,ROW(),FALSE)</f>
        <v>0</v>
      </c>
      <c r="AD5043" s="580">
        <f t="shared" si="426"/>
        <v>5</v>
      </c>
      <c r="AE5043" s="580">
        <f t="shared" si="427"/>
        <v>2.5</v>
      </c>
      <c r="AF5043" s="580">
        <f t="shared" si="428"/>
        <v>2.5</v>
      </c>
      <c r="AG5043" s="580">
        <f t="shared" si="429"/>
        <v>0</v>
      </c>
      <c r="AH5043" s="580">
        <f t="shared" si="430"/>
        <v>0</v>
      </c>
    </row>
    <row r="5044" spans="28:34">
      <c r="AB5044" s="580">
        <f>HLOOKUP("*"&amp;'Output annual'!$AC$2&amp;'Output annual'!$AD$2&amp;"*Zone People Number Of Occupants [](Hourly)",'Eplus results'!$1:$1048576,ROW(),FALSE)</f>
        <v>0</v>
      </c>
      <c r="AC5044" s="580">
        <f>HLOOKUP("*"&amp;'Output annual'!$AC$2&amp;'Output annual'!$AD$2&amp;"*FangerPMV(Hourly)",'Eplus results'!$1:$1048576,ROW(),FALSE)</f>
        <v>0</v>
      </c>
      <c r="AD5044" s="580">
        <f t="shared" si="426"/>
        <v>5</v>
      </c>
      <c r="AE5044" s="580">
        <f t="shared" si="427"/>
        <v>2.5</v>
      </c>
      <c r="AF5044" s="580">
        <f t="shared" si="428"/>
        <v>2.5</v>
      </c>
      <c r="AG5044" s="580">
        <f t="shared" si="429"/>
        <v>0</v>
      </c>
      <c r="AH5044" s="580">
        <f t="shared" si="430"/>
        <v>0</v>
      </c>
    </row>
    <row r="5045" spans="28:34">
      <c r="AB5045" s="580">
        <f>HLOOKUP("*"&amp;'Output annual'!$AC$2&amp;'Output annual'!$AD$2&amp;"*Zone People Number Of Occupants [](Hourly)",'Eplus results'!$1:$1048576,ROW(),FALSE)</f>
        <v>0</v>
      </c>
      <c r="AC5045" s="580">
        <f>HLOOKUP("*"&amp;'Output annual'!$AC$2&amp;'Output annual'!$AD$2&amp;"*FangerPMV(Hourly)",'Eplus results'!$1:$1048576,ROW(),FALSE)</f>
        <v>0</v>
      </c>
      <c r="AD5045" s="580">
        <f t="shared" si="426"/>
        <v>5</v>
      </c>
      <c r="AE5045" s="580">
        <f t="shared" si="427"/>
        <v>2.5</v>
      </c>
      <c r="AF5045" s="580">
        <f t="shared" si="428"/>
        <v>2.5</v>
      </c>
      <c r="AG5045" s="580">
        <f t="shared" si="429"/>
        <v>0</v>
      </c>
      <c r="AH5045" s="580">
        <f t="shared" si="430"/>
        <v>0</v>
      </c>
    </row>
    <row r="5046" spans="28:34">
      <c r="AB5046" s="580">
        <f>HLOOKUP("*"&amp;'Output annual'!$AC$2&amp;'Output annual'!$AD$2&amp;"*Zone People Number Of Occupants [](Hourly)",'Eplus results'!$1:$1048576,ROW(),FALSE)</f>
        <v>0</v>
      </c>
      <c r="AC5046" s="580">
        <f>HLOOKUP("*"&amp;'Output annual'!$AC$2&amp;'Output annual'!$AD$2&amp;"*FangerPMV(Hourly)",'Eplus results'!$1:$1048576,ROW(),FALSE)</f>
        <v>0</v>
      </c>
      <c r="AD5046" s="580">
        <f t="shared" si="426"/>
        <v>5</v>
      </c>
      <c r="AE5046" s="580">
        <f t="shared" si="427"/>
        <v>2.5</v>
      </c>
      <c r="AF5046" s="580">
        <f t="shared" si="428"/>
        <v>2.5</v>
      </c>
      <c r="AG5046" s="580">
        <f t="shared" si="429"/>
        <v>0</v>
      </c>
      <c r="AH5046" s="580">
        <f t="shared" si="430"/>
        <v>0</v>
      </c>
    </row>
    <row r="5047" spans="28:34">
      <c r="AB5047" s="580">
        <f>HLOOKUP("*"&amp;'Output annual'!$AC$2&amp;'Output annual'!$AD$2&amp;"*Zone People Number Of Occupants [](Hourly)",'Eplus results'!$1:$1048576,ROW(),FALSE)</f>
        <v>0</v>
      </c>
      <c r="AC5047" s="580">
        <f>HLOOKUP("*"&amp;'Output annual'!$AC$2&amp;'Output annual'!$AD$2&amp;"*FangerPMV(Hourly)",'Eplus results'!$1:$1048576,ROW(),FALSE)</f>
        <v>0</v>
      </c>
      <c r="AD5047" s="580">
        <f t="shared" si="426"/>
        <v>5</v>
      </c>
      <c r="AE5047" s="580">
        <f t="shared" si="427"/>
        <v>2.5</v>
      </c>
      <c r="AF5047" s="580">
        <f t="shared" si="428"/>
        <v>2.5</v>
      </c>
      <c r="AG5047" s="580">
        <f t="shared" si="429"/>
        <v>0</v>
      </c>
      <c r="AH5047" s="580">
        <f t="shared" si="430"/>
        <v>0</v>
      </c>
    </row>
    <row r="5048" spans="28:34">
      <c r="AB5048" s="580">
        <f>HLOOKUP("*"&amp;'Output annual'!$AC$2&amp;'Output annual'!$AD$2&amp;"*Zone People Number Of Occupants [](Hourly)",'Eplus results'!$1:$1048576,ROW(),FALSE)</f>
        <v>0</v>
      </c>
      <c r="AC5048" s="580">
        <f>HLOOKUP("*"&amp;'Output annual'!$AC$2&amp;'Output annual'!$AD$2&amp;"*FangerPMV(Hourly)",'Eplus results'!$1:$1048576,ROW(),FALSE)</f>
        <v>0</v>
      </c>
      <c r="AD5048" s="580">
        <f t="shared" si="426"/>
        <v>5</v>
      </c>
      <c r="AE5048" s="580">
        <f t="shared" si="427"/>
        <v>2.5</v>
      </c>
      <c r="AF5048" s="580">
        <f t="shared" si="428"/>
        <v>2.5</v>
      </c>
      <c r="AG5048" s="580">
        <f t="shared" si="429"/>
        <v>0</v>
      </c>
      <c r="AH5048" s="580">
        <f t="shared" si="430"/>
        <v>0</v>
      </c>
    </row>
    <row r="5049" spans="28:34">
      <c r="AB5049" s="580">
        <f>HLOOKUP("*"&amp;'Output annual'!$AC$2&amp;'Output annual'!$AD$2&amp;"*Zone People Number Of Occupants [](Hourly)",'Eplus results'!$1:$1048576,ROW(),FALSE)</f>
        <v>0</v>
      </c>
      <c r="AC5049" s="580">
        <f>HLOOKUP("*"&amp;'Output annual'!$AC$2&amp;'Output annual'!$AD$2&amp;"*FangerPMV(Hourly)",'Eplus results'!$1:$1048576,ROW(),FALSE)</f>
        <v>0</v>
      </c>
      <c r="AD5049" s="580">
        <f t="shared" si="426"/>
        <v>5</v>
      </c>
      <c r="AE5049" s="580">
        <f t="shared" si="427"/>
        <v>2.5</v>
      </c>
      <c r="AF5049" s="580">
        <f t="shared" si="428"/>
        <v>2.5</v>
      </c>
      <c r="AG5049" s="580">
        <f t="shared" si="429"/>
        <v>0</v>
      </c>
      <c r="AH5049" s="580">
        <f t="shared" si="430"/>
        <v>0</v>
      </c>
    </row>
    <row r="5050" spans="28:34">
      <c r="AB5050" s="580">
        <f>HLOOKUP("*"&amp;'Output annual'!$AC$2&amp;'Output annual'!$AD$2&amp;"*Zone People Number Of Occupants [](Hourly)",'Eplus results'!$1:$1048576,ROW(),FALSE)</f>
        <v>0</v>
      </c>
      <c r="AC5050" s="580">
        <f>HLOOKUP("*"&amp;'Output annual'!$AC$2&amp;'Output annual'!$AD$2&amp;"*FangerPMV(Hourly)",'Eplus results'!$1:$1048576,ROW(),FALSE)</f>
        <v>0</v>
      </c>
      <c r="AD5050" s="580">
        <f t="shared" si="426"/>
        <v>5</v>
      </c>
      <c r="AE5050" s="580">
        <f t="shared" si="427"/>
        <v>2.5</v>
      </c>
      <c r="AF5050" s="580">
        <f t="shared" si="428"/>
        <v>2.5</v>
      </c>
      <c r="AG5050" s="580">
        <f t="shared" si="429"/>
        <v>0</v>
      </c>
      <c r="AH5050" s="580">
        <f t="shared" si="430"/>
        <v>0</v>
      </c>
    </row>
    <row r="5051" spans="28:34">
      <c r="AB5051" s="580">
        <f>HLOOKUP("*"&amp;'Output annual'!$AC$2&amp;'Output annual'!$AD$2&amp;"*Zone People Number Of Occupants [](Hourly)",'Eplus results'!$1:$1048576,ROW(),FALSE)</f>
        <v>0</v>
      </c>
      <c r="AC5051" s="580">
        <f>HLOOKUP("*"&amp;'Output annual'!$AC$2&amp;'Output annual'!$AD$2&amp;"*FangerPMV(Hourly)",'Eplus results'!$1:$1048576,ROW(),FALSE)</f>
        <v>0</v>
      </c>
      <c r="AD5051" s="580">
        <f t="shared" si="426"/>
        <v>5</v>
      </c>
      <c r="AE5051" s="580">
        <f t="shared" si="427"/>
        <v>2.5</v>
      </c>
      <c r="AF5051" s="580">
        <f t="shared" si="428"/>
        <v>2.5</v>
      </c>
      <c r="AG5051" s="580">
        <f t="shared" si="429"/>
        <v>0</v>
      </c>
      <c r="AH5051" s="580">
        <f t="shared" si="430"/>
        <v>0</v>
      </c>
    </row>
    <row r="5052" spans="28:34">
      <c r="AB5052" s="580">
        <f>HLOOKUP("*"&amp;'Output annual'!$AC$2&amp;'Output annual'!$AD$2&amp;"*Zone People Number Of Occupants [](Hourly)",'Eplus results'!$1:$1048576,ROW(),FALSE)</f>
        <v>0</v>
      </c>
      <c r="AC5052" s="580">
        <f>HLOOKUP("*"&amp;'Output annual'!$AC$2&amp;'Output annual'!$AD$2&amp;"*FangerPMV(Hourly)",'Eplus results'!$1:$1048576,ROW(),FALSE)</f>
        <v>0</v>
      </c>
      <c r="AD5052" s="580">
        <f t="shared" si="426"/>
        <v>5</v>
      </c>
      <c r="AE5052" s="580">
        <f t="shared" si="427"/>
        <v>2.5</v>
      </c>
      <c r="AF5052" s="580">
        <f t="shared" si="428"/>
        <v>2.5</v>
      </c>
      <c r="AG5052" s="580">
        <f t="shared" si="429"/>
        <v>0</v>
      </c>
      <c r="AH5052" s="580">
        <f t="shared" si="430"/>
        <v>0</v>
      </c>
    </row>
    <row r="5053" spans="28:34">
      <c r="AB5053" s="580">
        <f>HLOOKUP("*"&amp;'Output annual'!$AC$2&amp;'Output annual'!$AD$2&amp;"*Zone People Number Of Occupants [](Hourly)",'Eplus results'!$1:$1048576,ROW(),FALSE)</f>
        <v>0</v>
      </c>
      <c r="AC5053" s="580">
        <f>HLOOKUP("*"&amp;'Output annual'!$AC$2&amp;'Output annual'!$AD$2&amp;"*FangerPMV(Hourly)",'Eplus results'!$1:$1048576,ROW(),FALSE)</f>
        <v>0</v>
      </c>
      <c r="AD5053" s="580">
        <f t="shared" si="426"/>
        <v>5</v>
      </c>
      <c r="AE5053" s="580">
        <f t="shared" si="427"/>
        <v>2.5</v>
      </c>
      <c r="AF5053" s="580">
        <f t="shared" si="428"/>
        <v>2.5</v>
      </c>
      <c r="AG5053" s="580">
        <f t="shared" si="429"/>
        <v>0</v>
      </c>
      <c r="AH5053" s="580">
        <f t="shared" si="430"/>
        <v>0</v>
      </c>
    </row>
    <row r="5054" spans="28:34">
      <c r="AB5054" s="580">
        <f>HLOOKUP("*"&amp;'Output annual'!$AC$2&amp;'Output annual'!$AD$2&amp;"*Zone People Number Of Occupants [](Hourly)",'Eplus results'!$1:$1048576,ROW(),FALSE)</f>
        <v>0</v>
      </c>
      <c r="AC5054" s="580">
        <f>HLOOKUP("*"&amp;'Output annual'!$AC$2&amp;'Output annual'!$AD$2&amp;"*FangerPMV(Hourly)",'Eplus results'!$1:$1048576,ROW(),FALSE)</f>
        <v>0</v>
      </c>
      <c r="AD5054" s="580">
        <f t="shared" si="426"/>
        <v>5</v>
      </c>
      <c r="AE5054" s="580">
        <f t="shared" si="427"/>
        <v>2.5</v>
      </c>
      <c r="AF5054" s="580">
        <f t="shared" si="428"/>
        <v>2.5</v>
      </c>
      <c r="AG5054" s="580">
        <f t="shared" si="429"/>
        <v>0</v>
      </c>
      <c r="AH5054" s="580">
        <f t="shared" si="430"/>
        <v>0</v>
      </c>
    </row>
    <row r="5055" spans="28:34">
      <c r="AB5055" s="580">
        <f>HLOOKUP("*"&amp;'Output annual'!$AC$2&amp;'Output annual'!$AD$2&amp;"*Zone People Number Of Occupants [](Hourly)",'Eplus results'!$1:$1048576,ROW(),FALSE)</f>
        <v>0</v>
      </c>
      <c r="AC5055" s="580">
        <f>HLOOKUP("*"&amp;'Output annual'!$AC$2&amp;'Output annual'!$AD$2&amp;"*FangerPMV(Hourly)",'Eplus results'!$1:$1048576,ROW(),FALSE)</f>
        <v>0</v>
      </c>
      <c r="AD5055" s="580">
        <f t="shared" si="426"/>
        <v>5</v>
      </c>
      <c r="AE5055" s="580">
        <f t="shared" si="427"/>
        <v>2.5</v>
      </c>
      <c r="AF5055" s="580">
        <f t="shared" si="428"/>
        <v>2.5</v>
      </c>
      <c r="AG5055" s="580">
        <f t="shared" si="429"/>
        <v>0</v>
      </c>
      <c r="AH5055" s="580">
        <f t="shared" si="430"/>
        <v>0</v>
      </c>
    </row>
    <row r="5056" spans="28:34">
      <c r="AB5056" s="580">
        <f>HLOOKUP("*"&amp;'Output annual'!$AC$2&amp;'Output annual'!$AD$2&amp;"*Zone People Number Of Occupants [](Hourly)",'Eplus results'!$1:$1048576,ROW(),FALSE)</f>
        <v>0</v>
      </c>
      <c r="AC5056" s="580">
        <f>HLOOKUP("*"&amp;'Output annual'!$AC$2&amp;'Output annual'!$AD$2&amp;"*FangerPMV(Hourly)",'Eplus results'!$1:$1048576,ROW(),FALSE)</f>
        <v>0</v>
      </c>
      <c r="AD5056" s="580">
        <f t="shared" si="426"/>
        <v>5</v>
      </c>
      <c r="AE5056" s="580">
        <f t="shared" si="427"/>
        <v>2.5</v>
      </c>
      <c r="AF5056" s="580">
        <f t="shared" si="428"/>
        <v>2.5</v>
      </c>
      <c r="AG5056" s="580">
        <f t="shared" si="429"/>
        <v>0</v>
      </c>
      <c r="AH5056" s="580">
        <f t="shared" si="430"/>
        <v>0</v>
      </c>
    </row>
    <row r="5057" spans="28:34">
      <c r="AB5057" s="580">
        <f>HLOOKUP("*"&amp;'Output annual'!$AC$2&amp;'Output annual'!$AD$2&amp;"*Zone People Number Of Occupants [](Hourly)",'Eplus results'!$1:$1048576,ROW(),FALSE)</f>
        <v>0</v>
      </c>
      <c r="AC5057" s="580">
        <f>HLOOKUP("*"&amp;'Output annual'!$AC$2&amp;'Output annual'!$AD$2&amp;"*FangerPMV(Hourly)",'Eplus results'!$1:$1048576,ROW(),FALSE)</f>
        <v>0</v>
      </c>
      <c r="AD5057" s="580">
        <f t="shared" si="426"/>
        <v>5</v>
      </c>
      <c r="AE5057" s="580">
        <f t="shared" si="427"/>
        <v>2.5</v>
      </c>
      <c r="AF5057" s="580">
        <f t="shared" si="428"/>
        <v>2.5</v>
      </c>
      <c r="AG5057" s="580">
        <f t="shared" si="429"/>
        <v>0</v>
      </c>
      <c r="AH5057" s="580">
        <f t="shared" si="430"/>
        <v>0</v>
      </c>
    </row>
    <row r="5058" spans="28:34">
      <c r="AB5058" s="580">
        <f>HLOOKUP("*"&amp;'Output annual'!$AC$2&amp;'Output annual'!$AD$2&amp;"*Zone People Number Of Occupants [](Hourly)",'Eplus results'!$1:$1048576,ROW(),FALSE)</f>
        <v>0</v>
      </c>
      <c r="AC5058" s="580">
        <f>HLOOKUP("*"&amp;'Output annual'!$AC$2&amp;'Output annual'!$AD$2&amp;"*FangerPMV(Hourly)",'Eplus results'!$1:$1048576,ROW(),FALSE)</f>
        <v>0</v>
      </c>
      <c r="AD5058" s="580">
        <f t="shared" si="426"/>
        <v>5</v>
      </c>
      <c r="AE5058" s="580">
        <f t="shared" si="427"/>
        <v>2.5</v>
      </c>
      <c r="AF5058" s="580">
        <f t="shared" si="428"/>
        <v>2.5</v>
      </c>
      <c r="AG5058" s="580">
        <f t="shared" si="429"/>
        <v>0</v>
      </c>
      <c r="AH5058" s="580">
        <f t="shared" si="430"/>
        <v>0</v>
      </c>
    </row>
    <row r="5059" spans="28:34">
      <c r="AB5059" s="580">
        <f>HLOOKUP("*"&amp;'Output annual'!$AC$2&amp;'Output annual'!$AD$2&amp;"*Zone People Number Of Occupants [](Hourly)",'Eplus results'!$1:$1048576,ROW(),FALSE)</f>
        <v>0</v>
      </c>
      <c r="AC5059" s="580">
        <f>HLOOKUP("*"&amp;'Output annual'!$AC$2&amp;'Output annual'!$AD$2&amp;"*FangerPMV(Hourly)",'Eplus results'!$1:$1048576,ROW(),FALSE)</f>
        <v>0</v>
      </c>
      <c r="AD5059" s="580">
        <f t="shared" ref="AD5059:AD5122" si="431">100-95*EXP(-0.03353*AC5059^4-0.2179*AC5059^2)</f>
        <v>5</v>
      </c>
      <c r="AE5059" s="580">
        <f t="shared" ref="AE5059:AE5122" si="432">AD5059*(1/(1+EXP(-6.3*$AC5059)))</f>
        <v>2.5</v>
      </c>
      <c r="AF5059" s="580">
        <f t="shared" ref="AF5059:AF5122" si="433">(AD5059-AE5059)</f>
        <v>2.5</v>
      </c>
      <c r="AG5059" s="580">
        <f t="shared" ref="AG5059:AG5122" si="434">AE5059*AB5059</f>
        <v>0</v>
      </c>
      <c r="AH5059" s="580">
        <f t="shared" ref="AH5059:AH5122" si="435">AF5059*AB5059</f>
        <v>0</v>
      </c>
    </row>
    <row r="5060" spans="28:34">
      <c r="AB5060" s="580">
        <f>HLOOKUP("*"&amp;'Output annual'!$AC$2&amp;'Output annual'!$AD$2&amp;"*Zone People Number Of Occupants [](Hourly)",'Eplus results'!$1:$1048576,ROW(),FALSE)</f>
        <v>0</v>
      </c>
      <c r="AC5060" s="580">
        <f>HLOOKUP("*"&amp;'Output annual'!$AC$2&amp;'Output annual'!$AD$2&amp;"*FangerPMV(Hourly)",'Eplus results'!$1:$1048576,ROW(),FALSE)</f>
        <v>0</v>
      </c>
      <c r="AD5060" s="580">
        <f t="shared" si="431"/>
        <v>5</v>
      </c>
      <c r="AE5060" s="580">
        <f t="shared" si="432"/>
        <v>2.5</v>
      </c>
      <c r="AF5060" s="580">
        <f t="shared" si="433"/>
        <v>2.5</v>
      </c>
      <c r="AG5060" s="580">
        <f t="shared" si="434"/>
        <v>0</v>
      </c>
      <c r="AH5060" s="580">
        <f t="shared" si="435"/>
        <v>0</v>
      </c>
    </row>
    <row r="5061" spans="28:34">
      <c r="AB5061" s="580">
        <f>HLOOKUP("*"&amp;'Output annual'!$AC$2&amp;'Output annual'!$AD$2&amp;"*Zone People Number Of Occupants [](Hourly)",'Eplus results'!$1:$1048576,ROW(),FALSE)</f>
        <v>0</v>
      </c>
      <c r="AC5061" s="580">
        <f>HLOOKUP("*"&amp;'Output annual'!$AC$2&amp;'Output annual'!$AD$2&amp;"*FangerPMV(Hourly)",'Eplus results'!$1:$1048576,ROW(),FALSE)</f>
        <v>0</v>
      </c>
      <c r="AD5061" s="580">
        <f t="shared" si="431"/>
        <v>5</v>
      </c>
      <c r="AE5061" s="580">
        <f t="shared" si="432"/>
        <v>2.5</v>
      </c>
      <c r="AF5061" s="580">
        <f t="shared" si="433"/>
        <v>2.5</v>
      </c>
      <c r="AG5061" s="580">
        <f t="shared" si="434"/>
        <v>0</v>
      </c>
      <c r="AH5061" s="580">
        <f t="shared" si="435"/>
        <v>0</v>
      </c>
    </row>
    <row r="5062" spans="28:34">
      <c r="AB5062" s="580">
        <f>HLOOKUP("*"&amp;'Output annual'!$AC$2&amp;'Output annual'!$AD$2&amp;"*Zone People Number Of Occupants [](Hourly)",'Eplus results'!$1:$1048576,ROW(),FALSE)</f>
        <v>0</v>
      </c>
      <c r="AC5062" s="580">
        <f>HLOOKUP("*"&amp;'Output annual'!$AC$2&amp;'Output annual'!$AD$2&amp;"*FangerPMV(Hourly)",'Eplus results'!$1:$1048576,ROW(),FALSE)</f>
        <v>0</v>
      </c>
      <c r="AD5062" s="580">
        <f t="shared" si="431"/>
        <v>5</v>
      </c>
      <c r="AE5062" s="580">
        <f t="shared" si="432"/>
        <v>2.5</v>
      </c>
      <c r="AF5062" s="580">
        <f t="shared" si="433"/>
        <v>2.5</v>
      </c>
      <c r="AG5062" s="580">
        <f t="shared" si="434"/>
        <v>0</v>
      </c>
      <c r="AH5062" s="580">
        <f t="shared" si="435"/>
        <v>0</v>
      </c>
    </row>
    <row r="5063" spans="28:34">
      <c r="AB5063" s="580">
        <f>HLOOKUP("*"&amp;'Output annual'!$AC$2&amp;'Output annual'!$AD$2&amp;"*Zone People Number Of Occupants [](Hourly)",'Eplus results'!$1:$1048576,ROW(),FALSE)</f>
        <v>0</v>
      </c>
      <c r="AC5063" s="580">
        <f>HLOOKUP("*"&amp;'Output annual'!$AC$2&amp;'Output annual'!$AD$2&amp;"*FangerPMV(Hourly)",'Eplus results'!$1:$1048576,ROW(),FALSE)</f>
        <v>0</v>
      </c>
      <c r="AD5063" s="580">
        <f t="shared" si="431"/>
        <v>5</v>
      </c>
      <c r="AE5063" s="580">
        <f t="shared" si="432"/>
        <v>2.5</v>
      </c>
      <c r="AF5063" s="580">
        <f t="shared" si="433"/>
        <v>2.5</v>
      </c>
      <c r="AG5063" s="580">
        <f t="shared" si="434"/>
        <v>0</v>
      </c>
      <c r="AH5063" s="580">
        <f t="shared" si="435"/>
        <v>0</v>
      </c>
    </row>
    <row r="5064" spans="28:34">
      <c r="AB5064" s="580">
        <f>HLOOKUP("*"&amp;'Output annual'!$AC$2&amp;'Output annual'!$AD$2&amp;"*Zone People Number Of Occupants [](Hourly)",'Eplus results'!$1:$1048576,ROW(),FALSE)</f>
        <v>0</v>
      </c>
      <c r="AC5064" s="580">
        <f>HLOOKUP("*"&amp;'Output annual'!$AC$2&amp;'Output annual'!$AD$2&amp;"*FangerPMV(Hourly)",'Eplus results'!$1:$1048576,ROW(),FALSE)</f>
        <v>0</v>
      </c>
      <c r="AD5064" s="580">
        <f t="shared" si="431"/>
        <v>5</v>
      </c>
      <c r="AE5064" s="580">
        <f t="shared" si="432"/>
        <v>2.5</v>
      </c>
      <c r="AF5064" s="580">
        <f t="shared" si="433"/>
        <v>2.5</v>
      </c>
      <c r="AG5064" s="580">
        <f t="shared" si="434"/>
        <v>0</v>
      </c>
      <c r="AH5064" s="580">
        <f t="shared" si="435"/>
        <v>0</v>
      </c>
    </row>
    <row r="5065" spans="28:34">
      <c r="AB5065" s="580">
        <f>HLOOKUP("*"&amp;'Output annual'!$AC$2&amp;'Output annual'!$AD$2&amp;"*Zone People Number Of Occupants [](Hourly)",'Eplus results'!$1:$1048576,ROW(),FALSE)</f>
        <v>0</v>
      </c>
      <c r="AC5065" s="580">
        <f>HLOOKUP("*"&amp;'Output annual'!$AC$2&amp;'Output annual'!$AD$2&amp;"*FangerPMV(Hourly)",'Eplus results'!$1:$1048576,ROW(),FALSE)</f>
        <v>0</v>
      </c>
      <c r="AD5065" s="580">
        <f t="shared" si="431"/>
        <v>5</v>
      </c>
      <c r="AE5065" s="580">
        <f t="shared" si="432"/>
        <v>2.5</v>
      </c>
      <c r="AF5065" s="580">
        <f t="shared" si="433"/>
        <v>2.5</v>
      </c>
      <c r="AG5065" s="580">
        <f t="shared" si="434"/>
        <v>0</v>
      </c>
      <c r="AH5065" s="580">
        <f t="shared" si="435"/>
        <v>0</v>
      </c>
    </row>
    <row r="5066" spans="28:34">
      <c r="AB5066" s="580">
        <f>HLOOKUP("*"&amp;'Output annual'!$AC$2&amp;'Output annual'!$AD$2&amp;"*Zone People Number Of Occupants [](Hourly)",'Eplus results'!$1:$1048576,ROW(),FALSE)</f>
        <v>0</v>
      </c>
      <c r="AC5066" s="580">
        <f>HLOOKUP("*"&amp;'Output annual'!$AC$2&amp;'Output annual'!$AD$2&amp;"*FangerPMV(Hourly)",'Eplus results'!$1:$1048576,ROW(),FALSE)</f>
        <v>0</v>
      </c>
      <c r="AD5066" s="580">
        <f t="shared" si="431"/>
        <v>5</v>
      </c>
      <c r="AE5066" s="580">
        <f t="shared" si="432"/>
        <v>2.5</v>
      </c>
      <c r="AF5066" s="580">
        <f t="shared" si="433"/>
        <v>2.5</v>
      </c>
      <c r="AG5066" s="580">
        <f t="shared" si="434"/>
        <v>0</v>
      </c>
      <c r="AH5066" s="580">
        <f t="shared" si="435"/>
        <v>0</v>
      </c>
    </row>
    <row r="5067" spans="28:34">
      <c r="AB5067" s="580">
        <f>HLOOKUP("*"&amp;'Output annual'!$AC$2&amp;'Output annual'!$AD$2&amp;"*Zone People Number Of Occupants [](Hourly)",'Eplus results'!$1:$1048576,ROW(),FALSE)</f>
        <v>0</v>
      </c>
      <c r="AC5067" s="580">
        <f>HLOOKUP("*"&amp;'Output annual'!$AC$2&amp;'Output annual'!$AD$2&amp;"*FangerPMV(Hourly)",'Eplus results'!$1:$1048576,ROW(),FALSE)</f>
        <v>0</v>
      </c>
      <c r="AD5067" s="580">
        <f t="shared" si="431"/>
        <v>5</v>
      </c>
      <c r="AE5067" s="580">
        <f t="shared" si="432"/>
        <v>2.5</v>
      </c>
      <c r="AF5067" s="580">
        <f t="shared" si="433"/>
        <v>2.5</v>
      </c>
      <c r="AG5067" s="580">
        <f t="shared" si="434"/>
        <v>0</v>
      </c>
      <c r="AH5067" s="580">
        <f t="shared" si="435"/>
        <v>0</v>
      </c>
    </row>
    <row r="5068" spans="28:34">
      <c r="AB5068" s="580">
        <f>HLOOKUP("*"&amp;'Output annual'!$AC$2&amp;'Output annual'!$AD$2&amp;"*Zone People Number Of Occupants [](Hourly)",'Eplus results'!$1:$1048576,ROW(),FALSE)</f>
        <v>0</v>
      </c>
      <c r="AC5068" s="580">
        <f>HLOOKUP("*"&amp;'Output annual'!$AC$2&amp;'Output annual'!$AD$2&amp;"*FangerPMV(Hourly)",'Eplus results'!$1:$1048576,ROW(),FALSE)</f>
        <v>0</v>
      </c>
      <c r="AD5068" s="580">
        <f t="shared" si="431"/>
        <v>5</v>
      </c>
      <c r="AE5068" s="580">
        <f t="shared" si="432"/>
        <v>2.5</v>
      </c>
      <c r="AF5068" s="580">
        <f t="shared" si="433"/>
        <v>2.5</v>
      </c>
      <c r="AG5068" s="580">
        <f t="shared" si="434"/>
        <v>0</v>
      </c>
      <c r="AH5068" s="580">
        <f t="shared" si="435"/>
        <v>0</v>
      </c>
    </row>
    <row r="5069" spans="28:34">
      <c r="AB5069" s="580">
        <f>HLOOKUP("*"&amp;'Output annual'!$AC$2&amp;'Output annual'!$AD$2&amp;"*Zone People Number Of Occupants [](Hourly)",'Eplus results'!$1:$1048576,ROW(),FALSE)</f>
        <v>0</v>
      </c>
      <c r="AC5069" s="580">
        <f>HLOOKUP("*"&amp;'Output annual'!$AC$2&amp;'Output annual'!$AD$2&amp;"*FangerPMV(Hourly)",'Eplus results'!$1:$1048576,ROW(),FALSE)</f>
        <v>0</v>
      </c>
      <c r="AD5069" s="580">
        <f t="shared" si="431"/>
        <v>5</v>
      </c>
      <c r="AE5069" s="580">
        <f t="shared" si="432"/>
        <v>2.5</v>
      </c>
      <c r="AF5069" s="580">
        <f t="shared" si="433"/>
        <v>2.5</v>
      </c>
      <c r="AG5069" s="580">
        <f t="shared" si="434"/>
        <v>0</v>
      </c>
      <c r="AH5069" s="580">
        <f t="shared" si="435"/>
        <v>0</v>
      </c>
    </row>
    <row r="5070" spans="28:34">
      <c r="AB5070" s="580">
        <f>HLOOKUP("*"&amp;'Output annual'!$AC$2&amp;'Output annual'!$AD$2&amp;"*Zone People Number Of Occupants [](Hourly)",'Eplus results'!$1:$1048576,ROW(),FALSE)</f>
        <v>0</v>
      </c>
      <c r="AC5070" s="580">
        <f>HLOOKUP("*"&amp;'Output annual'!$AC$2&amp;'Output annual'!$AD$2&amp;"*FangerPMV(Hourly)",'Eplus results'!$1:$1048576,ROW(),FALSE)</f>
        <v>0</v>
      </c>
      <c r="AD5070" s="580">
        <f t="shared" si="431"/>
        <v>5</v>
      </c>
      <c r="AE5070" s="580">
        <f t="shared" si="432"/>
        <v>2.5</v>
      </c>
      <c r="AF5070" s="580">
        <f t="shared" si="433"/>
        <v>2.5</v>
      </c>
      <c r="AG5070" s="580">
        <f t="shared" si="434"/>
        <v>0</v>
      </c>
      <c r="AH5070" s="580">
        <f t="shared" si="435"/>
        <v>0</v>
      </c>
    </row>
    <row r="5071" spans="28:34">
      <c r="AB5071" s="580">
        <f>HLOOKUP("*"&amp;'Output annual'!$AC$2&amp;'Output annual'!$AD$2&amp;"*Zone People Number Of Occupants [](Hourly)",'Eplus results'!$1:$1048576,ROW(),FALSE)</f>
        <v>0</v>
      </c>
      <c r="AC5071" s="580">
        <f>HLOOKUP("*"&amp;'Output annual'!$AC$2&amp;'Output annual'!$AD$2&amp;"*FangerPMV(Hourly)",'Eplus results'!$1:$1048576,ROW(),FALSE)</f>
        <v>0</v>
      </c>
      <c r="AD5071" s="580">
        <f t="shared" si="431"/>
        <v>5</v>
      </c>
      <c r="AE5071" s="580">
        <f t="shared" si="432"/>
        <v>2.5</v>
      </c>
      <c r="AF5071" s="580">
        <f t="shared" si="433"/>
        <v>2.5</v>
      </c>
      <c r="AG5071" s="580">
        <f t="shared" si="434"/>
        <v>0</v>
      </c>
      <c r="AH5071" s="580">
        <f t="shared" si="435"/>
        <v>0</v>
      </c>
    </row>
    <row r="5072" spans="28:34">
      <c r="AB5072" s="580">
        <f>HLOOKUP("*"&amp;'Output annual'!$AC$2&amp;'Output annual'!$AD$2&amp;"*Zone People Number Of Occupants [](Hourly)",'Eplus results'!$1:$1048576,ROW(),FALSE)</f>
        <v>0</v>
      </c>
      <c r="AC5072" s="580">
        <f>HLOOKUP("*"&amp;'Output annual'!$AC$2&amp;'Output annual'!$AD$2&amp;"*FangerPMV(Hourly)",'Eplus results'!$1:$1048576,ROW(),FALSE)</f>
        <v>0</v>
      </c>
      <c r="AD5072" s="580">
        <f t="shared" si="431"/>
        <v>5</v>
      </c>
      <c r="AE5072" s="580">
        <f t="shared" si="432"/>
        <v>2.5</v>
      </c>
      <c r="AF5072" s="580">
        <f t="shared" si="433"/>
        <v>2.5</v>
      </c>
      <c r="AG5072" s="580">
        <f t="shared" si="434"/>
        <v>0</v>
      </c>
      <c r="AH5072" s="580">
        <f t="shared" si="435"/>
        <v>0</v>
      </c>
    </row>
    <row r="5073" spans="28:34">
      <c r="AB5073" s="580">
        <f>HLOOKUP("*"&amp;'Output annual'!$AC$2&amp;'Output annual'!$AD$2&amp;"*Zone People Number Of Occupants [](Hourly)",'Eplus results'!$1:$1048576,ROW(),FALSE)</f>
        <v>0</v>
      </c>
      <c r="AC5073" s="580">
        <f>HLOOKUP("*"&amp;'Output annual'!$AC$2&amp;'Output annual'!$AD$2&amp;"*FangerPMV(Hourly)",'Eplus results'!$1:$1048576,ROW(),FALSE)</f>
        <v>0</v>
      </c>
      <c r="AD5073" s="580">
        <f t="shared" si="431"/>
        <v>5</v>
      </c>
      <c r="AE5073" s="580">
        <f t="shared" si="432"/>
        <v>2.5</v>
      </c>
      <c r="AF5073" s="580">
        <f t="shared" si="433"/>
        <v>2.5</v>
      </c>
      <c r="AG5073" s="580">
        <f t="shared" si="434"/>
        <v>0</v>
      </c>
      <c r="AH5073" s="580">
        <f t="shared" si="435"/>
        <v>0</v>
      </c>
    </row>
    <row r="5074" spans="28:34">
      <c r="AB5074" s="580">
        <f>HLOOKUP("*"&amp;'Output annual'!$AC$2&amp;'Output annual'!$AD$2&amp;"*Zone People Number Of Occupants [](Hourly)",'Eplus results'!$1:$1048576,ROW(),FALSE)</f>
        <v>0</v>
      </c>
      <c r="AC5074" s="580">
        <f>HLOOKUP("*"&amp;'Output annual'!$AC$2&amp;'Output annual'!$AD$2&amp;"*FangerPMV(Hourly)",'Eplus results'!$1:$1048576,ROW(),FALSE)</f>
        <v>0</v>
      </c>
      <c r="AD5074" s="580">
        <f t="shared" si="431"/>
        <v>5</v>
      </c>
      <c r="AE5074" s="580">
        <f t="shared" si="432"/>
        <v>2.5</v>
      </c>
      <c r="AF5074" s="580">
        <f t="shared" si="433"/>
        <v>2.5</v>
      </c>
      <c r="AG5074" s="580">
        <f t="shared" si="434"/>
        <v>0</v>
      </c>
      <c r="AH5074" s="580">
        <f t="shared" si="435"/>
        <v>0</v>
      </c>
    </row>
    <row r="5075" spans="28:34">
      <c r="AB5075" s="580">
        <f>HLOOKUP("*"&amp;'Output annual'!$AC$2&amp;'Output annual'!$AD$2&amp;"*Zone People Number Of Occupants [](Hourly)",'Eplus results'!$1:$1048576,ROW(),FALSE)</f>
        <v>0</v>
      </c>
      <c r="AC5075" s="580">
        <f>HLOOKUP("*"&amp;'Output annual'!$AC$2&amp;'Output annual'!$AD$2&amp;"*FangerPMV(Hourly)",'Eplus results'!$1:$1048576,ROW(),FALSE)</f>
        <v>0</v>
      </c>
      <c r="AD5075" s="580">
        <f t="shared" si="431"/>
        <v>5</v>
      </c>
      <c r="AE5075" s="580">
        <f t="shared" si="432"/>
        <v>2.5</v>
      </c>
      <c r="AF5075" s="580">
        <f t="shared" si="433"/>
        <v>2.5</v>
      </c>
      <c r="AG5075" s="580">
        <f t="shared" si="434"/>
        <v>0</v>
      </c>
      <c r="AH5075" s="580">
        <f t="shared" si="435"/>
        <v>0</v>
      </c>
    </row>
    <row r="5076" spans="28:34">
      <c r="AB5076" s="580">
        <f>HLOOKUP("*"&amp;'Output annual'!$AC$2&amp;'Output annual'!$AD$2&amp;"*Zone People Number Of Occupants [](Hourly)",'Eplus results'!$1:$1048576,ROW(),FALSE)</f>
        <v>0</v>
      </c>
      <c r="AC5076" s="580">
        <f>HLOOKUP("*"&amp;'Output annual'!$AC$2&amp;'Output annual'!$AD$2&amp;"*FangerPMV(Hourly)",'Eplus results'!$1:$1048576,ROW(),FALSE)</f>
        <v>0</v>
      </c>
      <c r="AD5076" s="580">
        <f t="shared" si="431"/>
        <v>5</v>
      </c>
      <c r="AE5076" s="580">
        <f t="shared" si="432"/>
        <v>2.5</v>
      </c>
      <c r="AF5076" s="580">
        <f t="shared" si="433"/>
        <v>2.5</v>
      </c>
      <c r="AG5076" s="580">
        <f t="shared" si="434"/>
        <v>0</v>
      </c>
      <c r="AH5076" s="580">
        <f t="shared" si="435"/>
        <v>0</v>
      </c>
    </row>
    <row r="5077" spans="28:34">
      <c r="AB5077" s="580">
        <f>HLOOKUP("*"&amp;'Output annual'!$AC$2&amp;'Output annual'!$AD$2&amp;"*Zone People Number Of Occupants [](Hourly)",'Eplus results'!$1:$1048576,ROW(),FALSE)</f>
        <v>0</v>
      </c>
      <c r="AC5077" s="580">
        <f>HLOOKUP("*"&amp;'Output annual'!$AC$2&amp;'Output annual'!$AD$2&amp;"*FangerPMV(Hourly)",'Eplus results'!$1:$1048576,ROW(),FALSE)</f>
        <v>0</v>
      </c>
      <c r="AD5077" s="580">
        <f t="shared" si="431"/>
        <v>5</v>
      </c>
      <c r="AE5077" s="580">
        <f t="shared" si="432"/>
        <v>2.5</v>
      </c>
      <c r="AF5077" s="580">
        <f t="shared" si="433"/>
        <v>2.5</v>
      </c>
      <c r="AG5077" s="580">
        <f t="shared" si="434"/>
        <v>0</v>
      </c>
      <c r="AH5077" s="580">
        <f t="shared" si="435"/>
        <v>0</v>
      </c>
    </row>
    <row r="5078" spans="28:34">
      <c r="AB5078" s="580">
        <f>HLOOKUP("*"&amp;'Output annual'!$AC$2&amp;'Output annual'!$AD$2&amp;"*Zone People Number Of Occupants [](Hourly)",'Eplus results'!$1:$1048576,ROW(),FALSE)</f>
        <v>0</v>
      </c>
      <c r="AC5078" s="580">
        <f>HLOOKUP("*"&amp;'Output annual'!$AC$2&amp;'Output annual'!$AD$2&amp;"*FangerPMV(Hourly)",'Eplus results'!$1:$1048576,ROW(),FALSE)</f>
        <v>0</v>
      </c>
      <c r="AD5078" s="580">
        <f t="shared" si="431"/>
        <v>5</v>
      </c>
      <c r="AE5078" s="580">
        <f t="shared" si="432"/>
        <v>2.5</v>
      </c>
      <c r="AF5078" s="580">
        <f t="shared" si="433"/>
        <v>2.5</v>
      </c>
      <c r="AG5078" s="580">
        <f t="shared" si="434"/>
        <v>0</v>
      </c>
      <c r="AH5078" s="580">
        <f t="shared" si="435"/>
        <v>0</v>
      </c>
    </row>
    <row r="5079" spans="28:34">
      <c r="AB5079" s="580">
        <f>HLOOKUP("*"&amp;'Output annual'!$AC$2&amp;'Output annual'!$AD$2&amp;"*Zone People Number Of Occupants [](Hourly)",'Eplus results'!$1:$1048576,ROW(),FALSE)</f>
        <v>0</v>
      </c>
      <c r="AC5079" s="580">
        <f>HLOOKUP("*"&amp;'Output annual'!$AC$2&amp;'Output annual'!$AD$2&amp;"*FangerPMV(Hourly)",'Eplus results'!$1:$1048576,ROW(),FALSE)</f>
        <v>0</v>
      </c>
      <c r="AD5079" s="580">
        <f t="shared" si="431"/>
        <v>5</v>
      </c>
      <c r="AE5079" s="580">
        <f t="shared" si="432"/>
        <v>2.5</v>
      </c>
      <c r="AF5079" s="580">
        <f t="shared" si="433"/>
        <v>2.5</v>
      </c>
      <c r="AG5079" s="580">
        <f t="shared" si="434"/>
        <v>0</v>
      </c>
      <c r="AH5079" s="580">
        <f t="shared" si="435"/>
        <v>0</v>
      </c>
    </row>
    <row r="5080" spans="28:34">
      <c r="AB5080" s="580">
        <f>HLOOKUP("*"&amp;'Output annual'!$AC$2&amp;'Output annual'!$AD$2&amp;"*Zone People Number Of Occupants [](Hourly)",'Eplus results'!$1:$1048576,ROW(),FALSE)</f>
        <v>0</v>
      </c>
      <c r="AC5080" s="580">
        <f>HLOOKUP("*"&amp;'Output annual'!$AC$2&amp;'Output annual'!$AD$2&amp;"*FangerPMV(Hourly)",'Eplus results'!$1:$1048576,ROW(),FALSE)</f>
        <v>0</v>
      </c>
      <c r="AD5080" s="580">
        <f t="shared" si="431"/>
        <v>5</v>
      </c>
      <c r="AE5080" s="580">
        <f t="shared" si="432"/>
        <v>2.5</v>
      </c>
      <c r="AF5080" s="580">
        <f t="shared" si="433"/>
        <v>2.5</v>
      </c>
      <c r="AG5080" s="580">
        <f t="shared" si="434"/>
        <v>0</v>
      </c>
      <c r="AH5080" s="580">
        <f t="shared" si="435"/>
        <v>0</v>
      </c>
    </row>
    <row r="5081" spans="28:34">
      <c r="AB5081" s="580">
        <f>HLOOKUP("*"&amp;'Output annual'!$AC$2&amp;'Output annual'!$AD$2&amp;"*Zone People Number Of Occupants [](Hourly)",'Eplus results'!$1:$1048576,ROW(),FALSE)</f>
        <v>0</v>
      </c>
      <c r="AC5081" s="580">
        <f>HLOOKUP("*"&amp;'Output annual'!$AC$2&amp;'Output annual'!$AD$2&amp;"*FangerPMV(Hourly)",'Eplus results'!$1:$1048576,ROW(),FALSE)</f>
        <v>0</v>
      </c>
      <c r="AD5081" s="580">
        <f t="shared" si="431"/>
        <v>5</v>
      </c>
      <c r="AE5081" s="580">
        <f t="shared" si="432"/>
        <v>2.5</v>
      </c>
      <c r="AF5081" s="580">
        <f t="shared" si="433"/>
        <v>2.5</v>
      </c>
      <c r="AG5081" s="580">
        <f t="shared" si="434"/>
        <v>0</v>
      </c>
      <c r="AH5081" s="580">
        <f t="shared" si="435"/>
        <v>0</v>
      </c>
    </row>
    <row r="5082" spans="28:34">
      <c r="AB5082" s="580">
        <f>HLOOKUP("*"&amp;'Output annual'!$AC$2&amp;'Output annual'!$AD$2&amp;"*Zone People Number Of Occupants [](Hourly)",'Eplus results'!$1:$1048576,ROW(),FALSE)</f>
        <v>0</v>
      </c>
      <c r="AC5082" s="580">
        <f>HLOOKUP("*"&amp;'Output annual'!$AC$2&amp;'Output annual'!$AD$2&amp;"*FangerPMV(Hourly)",'Eplus results'!$1:$1048576,ROW(),FALSE)</f>
        <v>0</v>
      </c>
      <c r="AD5082" s="580">
        <f t="shared" si="431"/>
        <v>5</v>
      </c>
      <c r="AE5082" s="580">
        <f t="shared" si="432"/>
        <v>2.5</v>
      </c>
      <c r="AF5082" s="580">
        <f t="shared" si="433"/>
        <v>2.5</v>
      </c>
      <c r="AG5082" s="580">
        <f t="shared" si="434"/>
        <v>0</v>
      </c>
      <c r="AH5082" s="580">
        <f t="shared" si="435"/>
        <v>0</v>
      </c>
    </row>
    <row r="5083" spans="28:34">
      <c r="AB5083" s="580">
        <f>HLOOKUP("*"&amp;'Output annual'!$AC$2&amp;'Output annual'!$AD$2&amp;"*Zone People Number Of Occupants [](Hourly)",'Eplus results'!$1:$1048576,ROW(),FALSE)</f>
        <v>0</v>
      </c>
      <c r="AC5083" s="580">
        <f>HLOOKUP("*"&amp;'Output annual'!$AC$2&amp;'Output annual'!$AD$2&amp;"*FangerPMV(Hourly)",'Eplus results'!$1:$1048576,ROW(),FALSE)</f>
        <v>0</v>
      </c>
      <c r="AD5083" s="580">
        <f t="shared" si="431"/>
        <v>5</v>
      </c>
      <c r="AE5083" s="580">
        <f t="shared" si="432"/>
        <v>2.5</v>
      </c>
      <c r="AF5083" s="580">
        <f t="shared" si="433"/>
        <v>2.5</v>
      </c>
      <c r="AG5083" s="580">
        <f t="shared" si="434"/>
        <v>0</v>
      </c>
      <c r="AH5083" s="580">
        <f t="shared" si="435"/>
        <v>0</v>
      </c>
    </row>
    <row r="5084" spans="28:34">
      <c r="AB5084" s="580">
        <f>HLOOKUP("*"&amp;'Output annual'!$AC$2&amp;'Output annual'!$AD$2&amp;"*Zone People Number Of Occupants [](Hourly)",'Eplus results'!$1:$1048576,ROW(),FALSE)</f>
        <v>0</v>
      </c>
      <c r="AC5084" s="580">
        <f>HLOOKUP("*"&amp;'Output annual'!$AC$2&amp;'Output annual'!$AD$2&amp;"*FangerPMV(Hourly)",'Eplus results'!$1:$1048576,ROW(),FALSE)</f>
        <v>0</v>
      </c>
      <c r="AD5084" s="580">
        <f t="shared" si="431"/>
        <v>5</v>
      </c>
      <c r="AE5084" s="580">
        <f t="shared" si="432"/>
        <v>2.5</v>
      </c>
      <c r="AF5084" s="580">
        <f t="shared" si="433"/>
        <v>2.5</v>
      </c>
      <c r="AG5084" s="580">
        <f t="shared" si="434"/>
        <v>0</v>
      </c>
      <c r="AH5084" s="580">
        <f t="shared" si="435"/>
        <v>0</v>
      </c>
    </row>
    <row r="5085" spans="28:34">
      <c r="AB5085" s="580">
        <f>HLOOKUP("*"&amp;'Output annual'!$AC$2&amp;'Output annual'!$AD$2&amp;"*Zone People Number Of Occupants [](Hourly)",'Eplus results'!$1:$1048576,ROW(),FALSE)</f>
        <v>0</v>
      </c>
      <c r="AC5085" s="580">
        <f>HLOOKUP("*"&amp;'Output annual'!$AC$2&amp;'Output annual'!$AD$2&amp;"*FangerPMV(Hourly)",'Eplus results'!$1:$1048576,ROW(),FALSE)</f>
        <v>0</v>
      </c>
      <c r="AD5085" s="580">
        <f t="shared" si="431"/>
        <v>5</v>
      </c>
      <c r="AE5085" s="580">
        <f t="shared" si="432"/>
        <v>2.5</v>
      </c>
      <c r="AF5085" s="580">
        <f t="shared" si="433"/>
        <v>2.5</v>
      </c>
      <c r="AG5085" s="580">
        <f t="shared" si="434"/>
        <v>0</v>
      </c>
      <c r="AH5085" s="580">
        <f t="shared" si="435"/>
        <v>0</v>
      </c>
    </row>
    <row r="5086" spans="28:34">
      <c r="AB5086" s="580">
        <f>HLOOKUP("*"&amp;'Output annual'!$AC$2&amp;'Output annual'!$AD$2&amp;"*Zone People Number Of Occupants [](Hourly)",'Eplus results'!$1:$1048576,ROW(),FALSE)</f>
        <v>0</v>
      </c>
      <c r="AC5086" s="580">
        <f>HLOOKUP("*"&amp;'Output annual'!$AC$2&amp;'Output annual'!$AD$2&amp;"*FangerPMV(Hourly)",'Eplus results'!$1:$1048576,ROW(),FALSE)</f>
        <v>0</v>
      </c>
      <c r="AD5086" s="580">
        <f t="shared" si="431"/>
        <v>5</v>
      </c>
      <c r="AE5086" s="580">
        <f t="shared" si="432"/>
        <v>2.5</v>
      </c>
      <c r="AF5086" s="580">
        <f t="shared" si="433"/>
        <v>2.5</v>
      </c>
      <c r="AG5086" s="580">
        <f t="shared" si="434"/>
        <v>0</v>
      </c>
      <c r="AH5086" s="580">
        <f t="shared" si="435"/>
        <v>0</v>
      </c>
    </row>
    <row r="5087" spans="28:34">
      <c r="AB5087" s="580">
        <f>HLOOKUP("*"&amp;'Output annual'!$AC$2&amp;'Output annual'!$AD$2&amp;"*Zone People Number Of Occupants [](Hourly)",'Eplus results'!$1:$1048576,ROW(),FALSE)</f>
        <v>0</v>
      </c>
      <c r="AC5087" s="580">
        <f>HLOOKUP("*"&amp;'Output annual'!$AC$2&amp;'Output annual'!$AD$2&amp;"*FangerPMV(Hourly)",'Eplus results'!$1:$1048576,ROW(),FALSE)</f>
        <v>0</v>
      </c>
      <c r="AD5087" s="580">
        <f t="shared" si="431"/>
        <v>5</v>
      </c>
      <c r="AE5087" s="580">
        <f t="shared" si="432"/>
        <v>2.5</v>
      </c>
      <c r="AF5087" s="580">
        <f t="shared" si="433"/>
        <v>2.5</v>
      </c>
      <c r="AG5087" s="580">
        <f t="shared" si="434"/>
        <v>0</v>
      </c>
      <c r="AH5087" s="580">
        <f t="shared" si="435"/>
        <v>0</v>
      </c>
    </row>
    <row r="5088" spans="28:34">
      <c r="AB5088" s="580">
        <f>HLOOKUP("*"&amp;'Output annual'!$AC$2&amp;'Output annual'!$AD$2&amp;"*Zone People Number Of Occupants [](Hourly)",'Eplus results'!$1:$1048576,ROW(),FALSE)</f>
        <v>0</v>
      </c>
      <c r="AC5088" s="580">
        <f>HLOOKUP("*"&amp;'Output annual'!$AC$2&amp;'Output annual'!$AD$2&amp;"*FangerPMV(Hourly)",'Eplus results'!$1:$1048576,ROW(),FALSE)</f>
        <v>0</v>
      </c>
      <c r="AD5088" s="580">
        <f t="shared" si="431"/>
        <v>5</v>
      </c>
      <c r="AE5088" s="580">
        <f t="shared" si="432"/>
        <v>2.5</v>
      </c>
      <c r="AF5088" s="580">
        <f t="shared" si="433"/>
        <v>2.5</v>
      </c>
      <c r="AG5088" s="580">
        <f t="shared" si="434"/>
        <v>0</v>
      </c>
      <c r="AH5088" s="580">
        <f t="shared" si="435"/>
        <v>0</v>
      </c>
    </row>
    <row r="5089" spans="28:34">
      <c r="AB5089" s="580">
        <f>HLOOKUP("*"&amp;'Output annual'!$AC$2&amp;'Output annual'!$AD$2&amp;"*Zone People Number Of Occupants [](Hourly)",'Eplus results'!$1:$1048576,ROW(),FALSE)</f>
        <v>0</v>
      </c>
      <c r="AC5089" s="580">
        <f>HLOOKUP("*"&amp;'Output annual'!$AC$2&amp;'Output annual'!$AD$2&amp;"*FangerPMV(Hourly)",'Eplus results'!$1:$1048576,ROW(),FALSE)</f>
        <v>0</v>
      </c>
      <c r="AD5089" s="580">
        <f t="shared" si="431"/>
        <v>5</v>
      </c>
      <c r="AE5089" s="580">
        <f t="shared" si="432"/>
        <v>2.5</v>
      </c>
      <c r="AF5089" s="580">
        <f t="shared" si="433"/>
        <v>2.5</v>
      </c>
      <c r="AG5089" s="580">
        <f t="shared" si="434"/>
        <v>0</v>
      </c>
      <c r="AH5089" s="580">
        <f t="shared" si="435"/>
        <v>0</v>
      </c>
    </row>
    <row r="5090" spans="28:34">
      <c r="AB5090" s="580">
        <f>HLOOKUP("*"&amp;'Output annual'!$AC$2&amp;'Output annual'!$AD$2&amp;"*Zone People Number Of Occupants [](Hourly)",'Eplus results'!$1:$1048576,ROW(),FALSE)</f>
        <v>0</v>
      </c>
      <c r="AC5090" s="580">
        <f>HLOOKUP("*"&amp;'Output annual'!$AC$2&amp;'Output annual'!$AD$2&amp;"*FangerPMV(Hourly)",'Eplus results'!$1:$1048576,ROW(),FALSE)</f>
        <v>0</v>
      </c>
      <c r="AD5090" s="580">
        <f t="shared" si="431"/>
        <v>5</v>
      </c>
      <c r="AE5090" s="580">
        <f t="shared" si="432"/>
        <v>2.5</v>
      </c>
      <c r="AF5090" s="580">
        <f t="shared" si="433"/>
        <v>2.5</v>
      </c>
      <c r="AG5090" s="580">
        <f t="shared" si="434"/>
        <v>0</v>
      </c>
      <c r="AH5090" s="580">
        <f t="shared" si="435"/>
        <v>0</v>
      </c>
    </row>
    <row r="5091" spans="28:34">
      <c r="AB5091" s="580">
        <f>HLOOKUP("*"&amp;'Output annual'!$AC$2&amp;'Output annual'!$AD$2&amp;"*Zone People Number Of Occupants [](Hourly)",'Eplus results'!$1:$1048576,ROW(),FALSE)</f>
        <v>0</v>
      </c>
      <c r="AC5091" s="580">
        <f>HLOOKUP("*"&amp;'Output annual'!$AC$2&amp;'Output annual'!$AD$2&amp;"*FangerPMV(Hourly)",'Eplus results'!$1:$1048576,ROW(),FALSE)</f>
        <v>0</v>
      </c>
      <c r="AD5091" s="580">
        <f t="shared" si="431"/>
        <v>5</v>
      </c>
      <c r="AE5091" s="580">
        <f t="shared" si="432"/>
        <v>2.5</v>
      </c>
      <c r="AF5091" s="580">
        <f t="shared" si="433"/>
        <v>2.5</v>
      </c>
      <c r="AG5091" s="580">
        <f t="shared" si="434"/>
        <v>0</v>
      </c>
      <c r="AH5091" s="580">
        <f t="shared" si="435"/>
        <v>0</v>
      </c>
    </row>
    <row r="5092" spans="28:34">
      <c r="AB5092" s="580">
        <f>HLOOKUP("*"&amp;'Output annual'!$AC$2&amp;'Output annual'!$AD$2&amp;"*Zone People Number Of Occupants [](Hourly)",'Eplus results'!$1:$1048576,ROW(),FALSE)</f>
        <v>0</v>
      </c>
      <c r="AC5092" s="580">
        <f>HLOOKUP("*"&amp;'Output annual'!$AC$2&amp;'Output annual'!$AD$2&amp;"*FangerPMV(Hourly)",'Eplus results'!$1:$1048576,ROW(),FALSE)</f>
        <v>0</v>
      </c>
      <c r="AD5092" s="580">
        <f t="shared" si="431"/>
        <v>5</v>
      </c>
      <c r="AE5092" s="580">
        <f t="shared" si="432"/>
        <v>2.5</v>
      </c>
      <c r="AF5092" s="580">
        <f t="shared" si="433"/>
        <v>2.5</v>
      </c>
      <c r="AG5092" s="580">
        <f t="shared" si="434"/>
        <v>0</v>
      </c>
      <c r="AH5092" s="580">
        <f t="shared" si="435"/>
        <v>0</v>
      </c>
    </row>
    <row r="5093" spans="28:34">
      <c r="AB5093" s="580">
        <f>HLOOKUP("*"&amp;'Output annual'!$AC$2&amp;'Output annual'!$AD$2&amp;"*Zone People Number Of Occupants [](Hourly)",'Eplus results'!$1:$1048576,ROW(),FALSE)</f>
        <v>0</v>
      </c>
      <c r="AC5093" s="580">
        <f>HLOOKUP("*"&amp;'Output annual'!$AC$2&amp;'Output annual'!$AD$2&amp;"*FangerPMV(Hourly)",'Eplus results'!$1:$1048576,ROW(),FALSE)</f>
        <v>0</v>
      </c>
      <c r="AD5093" s="580">
        <f t="shared" si="431"/>
        <v>5</v>
      </c>
      <c r="AE5093" s="580">
        <f t="shared" si="432"/>
        <v>2.5</v>
      </c>
      <c r="AF5093" s="580">
        <f t="shared" si="433"/>
        <v>2.5</v>
      </c>
      <c r="AG5093" s="580">
        <f t="shared" si="434"/>
        <v>0</v>
      </c>
      <c r="AH5093" s="580">
        <f t="shared" si="435"/>
        <v>0</v>
      </c>
    </row>
    <row r="5094" spans="28:34">
      <c r="AB5094" s="580">
        <f>HLOOKUP("*"&amp;'Output annual'!$AC$2&amp;'Output annual'!$AD$2&amp;"*Zone People Number Of Occupants [](Hourly)",'Eplus results'!$1:$1048576,ROW(),FALSE)</f>
        <v>0</v>
      </c>
      <c r="AC5094" s="580">
        <f>HLOOKUP("*"&amp;'Output annual'!$AC$2&amp;'Output annual'!$AD$2&amp;"*FangerPMV(Hourly)",'Eplus results'!$1:$1048576,ROW(),FALSE)</f>
        <v>0</v>
      </c>
      <c r="AD5094" s="580">
        <f t="shared" si="431"/>
        <v>5</v>
      </c>
      <c r="AE5094" s="580">
        <f t="shared" si="432"/>
        <v>2.5</v>
      </c>
      <c r="AF5094" s="580">
        <f t="shared" si="433"/>
        <v>2.5</v>
      </c>
      <c r="AG5094" s="580">
        <f t="shared" si="434"/>
        <v>0</v>
      </c>
      <c r="AH5094" s="580">
        <f t="shared" si="435"/>
        <v>0</v>
      </c>
    </row>
    <row r="5095" spans="28:34">
      <c r="AB5095" s="580">
        <f>HLOOKUP("*"&amp;'Output annual'!$AC$2&amp;'Output annual'!$AD$2&amp;"*Zone People Number Of Occupants [](Hourly)",'Eplus results'!$1:$1048576,ROW(),FALSE)</f>
        <v>0</v>
      </c>
      <c r="AC5095" s="580">
        <f>HLOOKUP("*"&amp;'Output annual'!$AC$2&amp;'Output annual'!$AD$2&amp;"*FangerPMV(Hourly)",'Eplus results'!$1:$1048576,ROW(),FALSE)</f>
        <v>0</v>
      </c>
      <c r="AD5095" s="580">
        <f t="shared" si="431"/>
        <v>5</v>
      </c>
      <c r="AE5095" s="580">
        <f t="shared" si="432"/>
        <v>2.5</v>
      </c>
      <c r="AF5095" s="580">
        <f t="shared" si="433"/>
        <v>2.5</v>
      </c>
      <c r="AG5095" s="580">
        <f t="shared" si="434"/>
        <v>0</v>
      </c>
      <c r="AH5095" s="580">
        <f t="shared" si="435"/>
        <v>0</v>
      </c>
    </row>
    <row r="5096" spans="28:34">
      <c r="AB5096" s="580">
        <f>HLOOKUP("*"&amp;'Output annual'!$AC$2&amp;'Output annual'!$AD$2&amp;"*Zone People Number Of Occupants [](Hourly)",'Eplus results'!$1:$1048576,ROW(),FALSE)</f>
        <v>0</v>
      </c>
      <c r="AC5096" s="580">
        <f>HLOOKUP("*"&amp;'Output annual'!$AC$2&amp;'Output annual'!$AD$2&amp;"*FangerPMV(Hourly)",'Eplus results'!$1:$1048576,ROW(),FALSE)</f>
        <v>0</v>
      </c>
      <c r="AD5096" s="580">
        <f t="shared" si="431"/>
        <v>5</v>
      </c>
      <c r="AE5096" s="580">
        <f t="shared" si="432"/>
        <v>2.5</v>
      </c>
      <c r="AF5096" s="580">
        <f t="shared" si="433"/>
        <v>2.5</v>
      </c>
      <c r="AG5096" s="580">
        <f t="shared" si="434"/>
        <v>0</v>
      </c>
      <c r="AH5096" s="580">
        <f t="shared" si="435"/>
        <v>0</v>
      </c>
    </row>
    <row r="5097" spans="28:34">
      <c r="AB5097" s="580">
        <f>HLOOKUP("*"&amp;'Output annual'!$AC$2&amp;'Output annual'!$AD$2&amp;"*Zone People Number Of Occupants [](Hourly)",'Eplus results'!$1:$1048576,ROW(),FALSE)</f>
        <v>0</v>
      </c>
      <c r="AC5097" s="580">
        <f>HLOOKUP("*"&amp;'Output annual'!$AC$2&amp;'Output annual'!$AD$2&amp;"*FangerPMV(Hourly)",'Eplus results'!$1:$1048576,ROW(),FALSE)</f>
        <v>0</v>
      </c>
      <c r="AD5097" s="580">
        <f t="shared" si="431"/>
        <v>5</v>
      </c>
      <c r="AE5097" s="580">
        <f t="shared" si="432"/>
        <v>2.5</v>
      </c>
      <c r="AF5097" s="580">
        <f t="shared" si="433"/>
        <v>2.5</v>
      </c>
      <c r="AG5097" s="580">
        <f t="shared" si="434"/>
        <v>0</v>
      </c>
      <c r="AH5097" s="580">
        <f t="shared" si="435"/>
        <v>0</v>
      </c>
    </row>
    <row r="5098" spans="28:34">
      <c r="AB5098" s="580">
        <f>HLOOKUP("*"&amp;'Output annual'!$AC$2&amp;'Output annual'!$AD$2&amp;"*Zone People Number Of Occupants [](Hourly)",'Eplus results'!$1:$1048576,ROW(),FALSE)</f>
        <v>0</v>
      </c>
      <c r="AC5098" s="580">
        <f>HLOOKUP("*"&amp;'Output annual'!$AC$2&amp;'Output annual'!$AD$2&amp;"*FangerPMV(Hourly)",'Eplus results'!$1:$1048576,ROW(),FALSE)</f>
        <v>0</v>
      </c>
      <c r="AD5098" s="580">
        <f t="shared" si="431"/>
        <v>5</v>
      </c>
      <c r="AE5098" s="580">
        <f t="shared" si="432"/>
        <v>2.5</v>
      </c>
      <c r="AF5098" s="580">
        <f t="shared" si="433"/>
        <v>2.5</v>
      </c>
      <c r="AG5098" s="580">
        <f t="shared" si="434"/>
        <v>0</v>
      </c>
      <c r="AH5098" s="580">
        <f t="shared" si="435"/>
        <v>0</v>
      </c>
    </row>
    <row r="5099" spans="28:34">
      <c r="AB5099" s="580">
        <f>HLOOKUP("*"&amp;'Output annual'!$AC$2&amp;'Output annual'!$AD$2&amp;"*Zone People Number Of Occupants [](Hourly)",'Eplus results'!$1:$1048576,ROW(),FALSE)</f>
        <v>0</v>
      </c>
      <c r="AC5099" s="580">
        <f>HLOOKUP("*"&amp;'Output annual'!$AC$2&amp;'Output annual'!$AD$2&amp;"*FangerPMV(Hourly)",'Eplus results'!$1:$1048576,ROW(),FALSE)</f>
        <v>0</v>
      </c>
      <c r="AD5099" s="580">
        <f t="shared" si="431"/>
        <v>5</v>
      </c>
      <c r="AE5099" s="580">
        <f t="shared" si="432"/>
        <v>2.5</v>
      </c>
      <c r="AF5099" s="580">
        <f t="shared" si="433"/>
        <v>2.5</v>
      </c>
      <c r="AG5099" s="580">
        <f t="shared" si="434"/>
        <v>0</v>
      </c>
      <c r="AH5099" s="580">
        <f t="shared" si="435"/>
        <v>0</v>
      </c>
    </row>
    <row r="5100" spans="28:34">
      <c r="AB5100" s="580">
        <f>HLOOKUP("*"&amp;'Output annual'!$AC$2&amp;'Output annual'!$AD$2&amp;"*Zone People Number Of Occupants [](Hourly)",'Eplus results'!$1:$1048576,ROW(),FALSE)</f>
        <v>0</v>
      </c>
      <c r="AC5100" s="580">
        <f>HLOOKUP("*"&amp;'Output annual'!$AC$2&amp;'Output annual'!$AD$2&amp;"*FangerPMV(Hourly)",'Eplus results'!$1:$1048576,ROW(),FALSE)</f>
        <v>0</v>
      </c>
      <c r="AD5100" s="580">
        <f t="shared" si="431"/>
        <v>5</v>
      </c>
      <c r="AE5100" s="580">
        <f t="shared" si="432"/>
        <v>2.5</v>
      </c>
      <c r="AF5100" s="580">
        <f t="shared" si="433"/>
        <v>2.5</v>
      </c>
      <c r="AG5100" s="580">
        <f t="shared" si="434"/>
        <v>0</v>
      </c>
      <c r="AH5100" s="580">
        <f t="shared" si="435"/>
        <v>0</v>
      </c>
    </row>
    <row r="5101" spans="28:34">
      <c r="AB5101" s="580">
        <f>HLOOKUP("*"&amp;'Output annual'!$AC$2&amp;'Output annual'!$AD$2&amp;"*Zone People Number Of Occupants [](Hourly)",'Eplus results'!$1:$1048576,ROW(),FALSE)</f>
        <v>0</v>
      </c>
      <c r="AC5101" s="580">
        <f>HLOOKUP("*"&amp;'Output annual'!$AC$2&amp;'Output annual'!$AD$2&amp;"*FangerPMV(Hourly)",'Eplus results'!$1:$1048576,ROW(),FALSE)</f>
        <v>0</v>
      </c>
      <c r="AD5101" s="580">
        <f t="shared" si="431"/>
        <v>5</v>
      </c>
      <c r="AE5101" s="580">
        <f t="shared" si="432"/>
        <v>2.5</v>
      </c>
      <c r="AF5101" s="580">
        <f t="shared" si="433"/>
        <v>2.5</v>
      </c>
      <c r="AG5101" s="580">
        <f t="shared" si="434"/>
        <v>0</v>
      </c>
      <c r="AH5101" s="580">
        <f t="shared" si="435"/>
        <v>0</v>
      </c>
    </row>
    <row r="5102" spans="28:34">
      <c r="AB5102" s="580">
        <f>HLOOKUP("*"&amp;'Output annual'!$AC$2&amp;'Output annual'!$AD$2&amp;"*Zone People Number Of Occupants [](Hourly)",'Eplus results'!$1:$1048576,ROW(),FALSE)</f>
        <v>0</v>
      </c>
      <c r="AC5102" s="580">
        <f>HLOOKUP("*"&amp;'Output annual'!$AC$2&amp;'Output annual'!$AD$2&amp;"*FangerPMV(Hourly)",'Eplus results'!$1:$1048576,ROW(),FALSE)</f>
        <v>0</v>
      </c>
      <c r="AD5102" s="580">
        <f t="shared" si="431"/>
        <v>5</v>
      </c>
      <c r="AE5102" s="580">
        <f t="shared" si="432"/>
        <v>2.5</v>
      </c>
      <c r="AF5102" s="580">
        <f t="shared" si="433"/>
        <v>2.5</v>
      </c>
      <c r="AG5102" s="580">
        <f t="shared" si="434"/>
        <v>0</v>
      </c>
      <c r="AH5102" s="580">
        <f t="shared" si="435"/>
        <v>0</v>
      </c>
    </row>
    <row r="5103" spans="28:34">
      <c r="AB5103" s="580">
        <f>HLOOKUP("*"&amp;'Output annual'!$AC$2&amp;'Output annual'!$AD$2&amp;"*Zone People Number Of Occupants [](Hourly)",'Eplus results'!$1:$1048576,ROW(),FALSE)</f>
        <v>0</v>
      </c>
      <c r="AC5103" s="580">
        <f>HLOOKUP("*"&amp;'Output annual'!$AC$2&amp;'Output annual'!$AD$2&amp;"*FangerPMV(Hourly)",'Eplus results'!$1:$1048576,ROW(),FALSE)</f>
        <v>0</v>
      </c>
      <c r="AD5103" s="580">
        <f t="shared" si="431"/>
        <v>5</v>
      </c>
      <c r="AE5103" s="580">
        <f t="shared" si="432"/>
        <v>2.5</v>
      </c>
      <c r="AF5103" s="580">
        <f t="shared" si="433"/>
        <v>2.5</v>
      </c>
      <c r="AG5103" s="580">
        <f t="shared" si="434"/>
        <v>0</v>
      </c>
      <c r="AH5103" s="580">
        <f t="shared" si="435"/>
        <v>0</v>
      </c>
    </row>
    <row r="5104" spans="28:34">
      <c r="AB5104" s="580">
        <f>HLOOKUP("*"&amp;'Output annual'!$AC$2&amp;'Output annual'!$AD$2&amp;"*Zone People Number Of Occupants [](Hourly)",'Eplus results'!$1:$1048576,ROW(),FALSE)</f>
        <v>0</v>
      </c>
      <c r="AC5104" s="580">
        <f>HLOOKUP("*"&amp;'Output annual'!$AC$2&amp;'Output annual'!$AD$2&amp;"*FangerPMV(Hourly)",'Eplus results'!$1:$1048576,ROW(),FALSE)</f>
        <v>0</v>
      </c>
      <c r="AD5104" s="580">
        <f t="shared" si="431"/>
        <v>5</v>
      </c>
      <c r="AE5104" s="580">
        <f t="shared" si="432"/>
        <v>2.5</v>
      </c>
      <c r="AF5104" s="580">
        <f t="shared" si="433"/>
        <v>2.5</v>
      </c>
      <c r="AG5104" s="580">
        <f t="shared" si="434"/>
        <v>0</v>
      </c>
      <c r="AH5104" s="580">
        <f t="shared" si="435"/>
        <v>0</v>
      </c>
    </row>
    <row r="5105" spans="28:34">
      <c r="AB5105" s="580">
        <f>HLOOKUP("*"&amp;'Output annual'!$AC$2&amp;'Output annual'!$AD$2&amp;"*Zone People Number Of Occupants [](Hourly)",'Eplus results'!$1:$1048576,ROW(),FALSE)</f>
        <v>0</v>
      </c>
      <c r="AC5105" s="580">
        <f>HLOOKUP("*"&amp;'Output annual'!$AC$2&amp;'Output annual'!$AD$2&amp;"*FangerPMV(Hourly)",'Eplus results'!$1:$1048576,ROW(),FALSE)</f>
        <v>0</v>
      </c>
      <c r="AD5105" s="580">
        <f t="shared" si="431"/>
        <v>5</v>
      </c>
      <c r="AE5105" s="580">
        <f t="shared" si="432"/>
        <v>2.5</v>
      </c>
      <c r="AF5105" s="580">
        <f t="shared" si="433"/>
        <v>2.5</v>
      </c>
      <c r="AG5105" s="580">
        <f t="shared" si="434"/>
        <v>0</v>
      </c>
      <c r="AH5105" s="580">
        <f t="shared" si="435"/>
        <v>0</v>
      </c>
    </row>
    <row r="5106" spans="28:34">
      <c r="AB5106" s="580">
        <f>HLOOKUP("*"&amp;'Output annual'!$AC$2&amp;'Output annual'!$AD$2&amp;"*Zone People Number Of Occupants [](Hourly)",'Eplus results'!$1:$1048576,ROW(),FALSE)</f>
        <v>0</v>
      </c>
      <c r="AC5106" s="580">
        <f>HLOOKUP("*"&amp;'Output annual'!$AC$2&amp;'Output annual'!$AD$2&amp;"*FangerPMV(Hourly)",'Eplus results'!$1:$1048576,ROW(),FALSE)</f>
        <v>0</v>
      </c>
      <c r="AD5106" s="580">
        <f t="shared" si="431"/>
        <v>5</v>
      </c>
      <c r="AE5106" s="580">
        <f t="shared" si="432"/>
        <v>2.5</v>
      </c>
      <c r="AF5106" s="580">
        <f t="shared" si="433"/>
        <v>2.5</v>
      </c>
      <c r="AG5106" s="580">
        <f t="shared" si="434"/>
        <v>0</v>
      </c>
      <c r="AH5106" s="580">
        <f t="shared" si="435"/>
        <v>0</v>
      </c>
    </row>
    <row r="5107" spans="28:34">
      <c r="AB5107" s="580">
        <f>HLOOKUP("*"&amp;'Output annual'!$AC$2&amp;'Output annual'!$AD$2&amp;"*Zone People Number Of Occupants [](Hourly)",'Eplus results'!$1:$1048576,ROW(),FALSE)</f>
        <v>0</v>
      </c>
      <c r="AC5107" s="580">
        <f>HLOOKUP("*"&amp;'Output annual'!$AC$2&amp;'Output annual'!$AD$2&amp;"*FangerPMV(Hourly)",'Eplus results'!$1:$1048576,ROW(),FALSE)</f>
        <v>0</v>
      </c>
      <c r="AD5107" s="580">
        <f t="shared" si="431"/>
        <v>5</v>
      </c>
      <c r="AE5107" s="580">
        <f t="shared" si="432"/>
        <v>2.5</v>
      </c>
      <c r="AF5107" s="580">
        <f t="shared" si="433"/>
        <v>2.5</v>
      </c>
      <c r="AG5107" s="580">
        <f t="shared" si="434"/>
        <v>0</v>
      </c>
      <c r="AH5107" s="580">
        <f t="shared" si="435"/>
        <v>0</v>
      </c>
    </row>
    <row r="5108" spans="28:34">
      <c r="AB5108" s="580">
        <f>HLOOKUP("*"&amp;'Output annual'!$AC$2&amp;'Output annual'!$AD$2&amp;"*Zone People Number Of Occupants [](Hourly)",'Eplus results'!$1:$1048576,ROW(),FALSE)</f>
        <v>0</v>
      </c>
      <c r="AC5108" s="580">
        <f>HLOOKUP("*"&amp;'Output annual'!$AC$2&amp;'Output annual'!$AD$2&amp;"*FangerPMV(Hourly)",'Eplus results'!$1:$1048576,ROW(),FALSE)</f>
        <v>0</v>
      </c>
      <c r="AD5108" s="580">
        <f t="shared" si="431"/>
        <v>5</v>
      </c>
      <c r="AE5108" s="580">
        <f t="shared" si="432"/>
        <v>2.5</v>
      </c>
      <c r="AF5108" s="580">
        <f t="shared" si="433"/>
        <v>2.5</v>
      </c>
      <c r="AG5108" s="580">
        <f t="shared" si="434"/>
        <v>0</v>
      </c>
      <c r="AH5108" s="580">
        <f t="shared" si="435"/>
        <v>0</v>
      </c>
    </row>
    <row r="5109" spans="28:34">
      <c r="AB5109" s="580">
        <f>HLOOKUP("*"&amp;'Output annual'!$AC$2&amp;'Output annual'!$AD$2&amp;"*Zone People Number Of Occupants [](Hourly)",'Eplus results'!$1:$1048576,ROW(),FALSE)</f>
        <v>0</v>
      </c>
      <c r="AC5109" s="580">
        <f>HLOOKUP("*"&amp;'Output annual'!$AC$2&amp;'Output annual'!$AD$2&amp;"*FangerPMV(Hourly)",'Eplus results'!$1:$1048576,ROW(),FALSE)</f>
        <v>0</v>
      </c>
      <c r="AD5109" s="580">
        <f t="shared" si="431"/>
        <v>5</v>
      </c>
      <c r="AE5109" s="580">
        <f t="shared" si="432"/>
        <v>2.5</v>
      </c>
      <c r="AF5109" s="580">
        <f t="shared" si="433"/>
        <v>2.5</v>
      </c>
      <c r="AG5109" s="580">
        <f t="shared" si="434"/>
        <v>0</v>
      </c>
      <c r="AH5109" s="580">
        <f t="shared" si="435"/>
        <v>0</v>
      </c>
    </row>
    <row r="5110" spans="28:34">
      <c r="AB5110" s="580">
        <f>HLOOKUP("*"&amp;'Output annual'!$AC$2&amp;'Output annual'!$AD$2&amp;"*Zone People Number Of Occupants [](Hourly)",'Eplus results'!$1:$1048576,ROW(),FALSE)</f>
        <v>0</v>
      </c>
      <c r="AC5110" s="580">
        <f>HLOOKUP("*"&amp;'Output annual'!$AC$2&amp;'Output annual'!$AD$2&amp;"*FangerPMV(Hourly)",'Eplus results'!$1:$1048576,ROW(),FALSE)</f>
        <v>0</v>
      </c>
      <c r="AD5110" s="580">
        <f t="shared" si="431"/>
        <v>5</v>
      </c>
      <c r="AE5110" s="580">
        <f t="shared" si="432"/>
        <v>2.5</v>
      </c>
      <c r="AF5110" s="580">
        <f t="shared" si="433"/>
        <v>2.5</v>
      </c>
      <c r="AG5110" s="580">
        <f t="shared" si="434"/>
        <v>0</v>
      </c>
      <c r="AH5110" s="580">
        <f t="shared" si="435"/>
        <v>0</v>
      </c>
    </row>
    <row r="5111" spans="28:34">
      <c r="AB5111" s="580">
        <f>HLOOKUP("*"&amp;'Output annual'!$AC$2&amp;'Output annual'!$AD$2&amp;"*Zone People Number Of Occupants [](Hourly)",'Eplus results'!$1:$1048576,ROW(),FALSE)</f>
        <v>0</v>
      </c>
      <c r="AC5111" s="580">
        <f>HLOOKUP("*"&amp;'Output annual'!$AC$2&amp;'Output annual'!$AD$2&amp;"*FangerPMV(Hourly)",'Eplus results'!$1:$1048576,ROW(),FALSE)</f>
        <v>0</v>
      </c>
      <c r="AD5111" s="580">
        <f t="shared" si="431"/>
        <v>5</v>
      </c>
      <c r="AE5111" s="580">
        <f t="shared" si="432"/>
        <v>2.5</v>
      </c>
      <c r="AF5111" s="580">
        <f t="shared" si="433"/>
        <v>2.5</v>
      </c>
      <c r="AG5111" s="580">
        <f t="shared" si="434"/>
        <v>0</v>
      </c>
      <c r="AH5111" s="580">
        <f t="shared" si="435"/>
        <v>0</v>
      </c>
    </row>
    <row r="5112" spans="28:34">
      <c r="AB5112" s="580">
        <f>HLOOKUP("*"&amp;'Output annual'!$AC$2&amp;'Output annual'!$AD$2&amp;"*Zone People Number Of Occupants [](Hourly)",'Eplus results'!$1:$1048576,ROW(),FALSE)</f>
        <v>0</v>
      </c>
      <c r="AC5112" s="580">
        <f>HLOOKUP("*"&amp;'Output annual'!$AC$2&amp;'Output annual'!$AD$2&amp;"*FangerPMV(Hourly)",'Eplus results'!$1:$1048576,ROW(),FALSE)</f>
        <v>0</v>
      </c>
      <c r="AD5112" s="580">
        <f t="shared" si="431"/>
        <v>5</v>
      </c>
      <c r="AE5112" s="580">
        <f t="shared" si="432"/>
        <v>2.5</v>
      </c>
      <c r="AF5112" s="580">
        <f t="shared" si="433"/>
        <v>2.5</v>
      </c>
      <c r="AG5112" s="580">
        <f t="shared" si="434"/>
        <v>0</v>
      </c>
      <c r="AH5112" s="580">
        <f t="shared" si="435"/>
        <v>0</v>
      </c>
    </row>
    <row r="5113" spans="28:34">
      <c r="AB5113" s="580">
        <f>HLOOKUP("*"&amp;'Output annual'!$AC$2&amp;'Output annual'!$AD$2&amp;"*Zone People Number Of Occupants [](Hourly)",'Eplus results'!$1:$1048576,ROW(),FALSE)</f>
        <v>0</v>
      </c>
      <c r="AC5113" s="580">
        <f>HLOOKUP("*"&amp;'Output annual'!$AC$2&amp;'Output annual'!$AD$2&amp;"*FangerPMV(Hourly)",'Eplus results'!$1:$1048576,ROW(),FALSE)</f>
        <v>0</v>
      </c>
      <c r="AD5113" s="580">
        <f t="shared" si="431"/>
        <v>5</v>
      </c>
      <c r="AE5113" s="580">
        <f t="shared" si="432"/>
        <v>2.5</v>
      </c>
      <c r="AF5113" s="580">
        <f t="shared" si="433"/>
        <v>2.5</v>
      </c>
      <c r="AG5113" s="580">
        <f t="shared" si="434"/>
        <v>0</v>
      </c>
      <c r="AH5113" s="580">
        <f t="shared" si="435"/>
        <v>0</v>
      </c>
    </row>
    <row r="5114" spans="28:34">
      <c r="AB5114" s="580">
        <f>HLOOKUP("*"&amp;'Output annual'!$AC$2&amp;'Output annual'!$AD$2&amp;"*Zone People Number Of Occupants [](Hourly)",'Eplus results'!$1:$1048576,ROW(),FALSE)</f>
        <v>0</v>
      </c>
      <c r="AC5114" s="580">
        <f>HLOOKUP("*"&amp;'Output annual'!$AC$2&amp;'Output annual'!$AD$2&amp;"*FangerPMV(Hourly)",'Eplus results'!$1:$1048576,ROW(),FALSE)</f>
        <v>0</v>
      </c>
      <c r="AD5114" s="580">
        <f t="shared" si="431"/>
        <v>5</v>
      </c>
      <c r="AE5114" s="580">
        <f t="shared" si="432"/>
        <v>2.5</v>
      </c>
      <c r="AF5114" s="580">
        <f t="shared" si="433"/>
        <v>2.5</v>
      </c>
      <c r="AG5114" s="580">
        <f t="shared" si="434"/>
        <v>0</v>
      </c>
      <c r="AH5114" s="580">
        <f t="shared" si="435"/>
        <v>0</v>
      </c>
    </row>
    <row r="5115" spans="28:34">
      <c r="AB5115" s="580">
        <f>HLOOKUP("*"&amp;'Output annual'!$AC$2&amp;'Output annual'!$AD$2&amp;"*Zone People Number Of Occupants [](Hourly)",'Eplus results'!$1:$1048576,ROW(),FALSE)</f>
        <v>0</v>
      </c>
      <c r="AC5115" s="580">
        <f>HLOOKUP("*"&amp;'Output annual'!$AC$2&amp;'Output annual'!$AD$2&amp;"*FangerPMV(Hourly)",'Eplus results'!$1:$1048576,ROW(),FALSE)</f>
        <v>0</v>
      </c>
      <c r="AD5115" s="580">
        <f t="shared" si="431"/>
        <v>5</v>
      </c>
      <c r="AE5115" s="580">
        <f t="shared" si="432"/>
        <v>2.5</v>
      </c>
      <c r="AF5115" s="580">
        <f t="shared" si="433"/>
        <v>2.5</v>
      </c>
      <c r="AG5115" s="580">
        <f t="shared" si="434"/>
        <v>0</v>
      </c>
      <c r="AH5115" s="580">
        <f t="shared" si="435"/>
        <v>0</v>
      </c>
    </row>
    <row r="5116" spans="28:34">
      <c r="AB5116" s="580">
        <f>HLOOKUP("*"&amp;'Output annual'!$AC$2&amp;'Output annual'!$AD$2&amp;"*Zone People Number Of Occupants [](Hourly)",'Eplus results'!$1:$1048576,ROW(),FALSE)</f>
        <v>0</v>
      </c>
      <c r="AC5116" s="580">
        <f>HLOOKUP("*"&amp;'Output annual'!$AC$2&amp;'Output annual'!$AD$2&amp;"*FangerPMV(Hourly)",'Eplus results'!$1:$1048576,ROW(),FALSE)</f>
        <v>0</v>
      </c>
      <c r="AD5116" s="580">
        <f t="shared" si="431"/>
        <v>5</v>
      </c>
      <c r="AE5116" s="580">
        <f t="shared" si="432"/>
        <v>2.5</v>
      </c>
      <c r="AF5116" s="580">
        <f t="shared" si="433"/>
        <v>2.5</v>
      </c>
      <c r="AG5116" s="580">
        <f t="shared" si="434"/>
        <v>0</v>
      </c>
      <c r="AH5116" s="580">
        <f t="shared" si="435"/>
        <v>0</v>
      </c>
    </row>
    <row r="5117" spans="28:34">
      <c r="AB5117" s="580">
        <f>HLOOKUP("*"&amp;'Output annual'!$AC$2&amp;'Output annual'!$AD$2&amp;"*Zone People Number Of Occupants [](Hourly)",'Eplus results'!$1:$1048576,ROW(),FALSE)</f>
        <v>0</v>
      </c>
      <c r="AC5117" s="580">
        <f>HLOOKUP("*"&amp;'Output annual'!$AC$2&amp;'Output annual'!$AD$2&amp;"*FangerPMV(Hourly)",'Eplus results'!$1:$1048576,ROW(),FALSE)</f>
        <v>0</v>
      </c>
      <c r="AD5117" s="580">
        <f t="shared" si="431"/>
        <v>5</v>
      </c>
      <c r="AE5117" s="580">
        <f t="shared" si="432"/>
        <v>2.5</v>
      </c>
      <c r="AF5117" s="580">
        <f t="shared" si="433"/>
        <v>2.5</v>
      </c>
      <c r="AG5117" s="580">
        <f t="shared" si="434"/>
        <v>0</v>
      </c>
      <c r="AH5117" s="580">
        <f t="shared" si="435"/>
        <v>0</v>
      </c>
    </row>
    <row r="5118" spans="28:34">
      <c r="AB5118" s="580">
        <f>HLOOKUP("*"&amp;'Output annual'!$AC$2&amp;'Output annual'!$AD$2&amp;"*Zone People Number Of Occupants [](Hourly)",'Eplus results'!$1:$1048576,ROW(),FALSE)</f>
        <v>0</v>
      </c>
      <c r="AC5118" s="580">
        <f>HLOOKUP("*"&amp;'Output annual'!$AC$2&amp;'Output annual'!$AD$2&amp;"*FangerPMV(Hourly)",'Eplus results'!$1:$1048576,ROW(),FALSE)</f>
        <v>0</v>
      </c>
      <c r="AD5118" s="580">
        <f t="shared" si="431"/>
        <v>5</v>
      </c>
      <c r="AE5118" s="580">
        <f t="shared" si="432"/>
        <v>2.5</v>
      </c>
      <c r="AF5118" s="580">
        <f t="shared" si="433"/>
        <v>2.5</v>
      </c>
      <c r="AG5118" s="580">
        <f t="shared" si="434"/>
        <v>0</v>
      </c>
      <c r="AH5118" s="580">
        <f t="shared" si="435"/>
        <v>0</v>
      </c>
    </row>
    <row r="5119" spans="28:34">
      <c r="AB5119" s="580">
        <f>HLOOKUP("*"&amp;'Output annual'!$AC$2&amp;'Output annual'!$AD$2&amp;"*Zone People Number Of Occupants [](Hourly)",'Eplus results'!$1:$1048576,ROW(),FALSE)</f>
        <v>0</v>
      </c>
      <c r="AC5119" s="580">
        <f>HLOOKUP("*"&amp;'Output annual'!$AC$2&amp;'Output annual'!$AD$2&amp;"*FangerPMV(Hourly)",'Eplus results'!$1:$1048576,ROW(),FALSE)</f>
        <v>0</v>
      </c>
      <c r="AD5119" s="580">
        <f t="shared" si="431"/>
        <v>5</v>
      </c>
      <c r="AE5119" s="580">
        <f t="shared" si="432"/>
        <v>2.5</v>
      </c>
      <c r="AF5119" s="580">
        <f t="shared" si="433"/>
        <v>2.5</v>
      </c>
      <c r="AG5119" s="580">
        <f t="shared" si="434"/>
        <v>0</v>
      </c>
      <c r="AH5119" s="580">
        <f t="shared" si="435"/>
        <v>0</v>
      </c>
    </row>
    <row r="5120" spans="28:34">
      <c r="AB5120" s="580">
        <f>HLOOKUP("*"&amp;'Output annual'!$AC$2&amp;'Output annual'!$AD$2&amp;"*Zone People Number Of Occupants [](Hourly)",'Eplus results'!$1:$1048576,ROW(),FALSE)</f>
        <v>0</v>
      </c>
      <c r="AC5120" s="580">
        <f>HLOOKUP("*"&amp;'Output annual'!$AC$2&amp;'Output annual'!$AD$2&amp;"*FangerPMV(Hourly)",'Eplus results'!$1:$1048576,ROW(),FALSE)</f>
        <v>0</v>
      </c>
      <c r="AD5120" s="580">
        <f t="shared" si="431"/>
        <v>5</v>
      </c>
      <c r="AE5120" s="580">
        <f t="shared" si="432"/>
        <v>2.5</v>
      </c>
      <c r="AF5120" s="580">
        <f t="shared" si="433"/>
        <v>2.5</v>
      </c>
      <c r="AG5120" s="580">
        <f t="shared" si="434"/>
        <v>0</v>
      </c>
      <c r="AH5120" s="580">
        <f t="shared" si="435"/>
        <v>0</v>
      </c>
    </row>
    <row r="5121" spans="28:34">
      <c r="AB5121" s="580">
        <f>HLOOKUP("*"&amp;'Output annual'!$AC$2&amp;'Output annual'!$AD$2&amp;"*Zone People Number Of Occupants [](Hourly)",'Eplus results'!$1:$1048576,ROW(),FALSE)</f>
        <v>0</v>
      </c>
      <c r="AC5121" s="580">
        <f>HLOOKUP("*"&amp;'Output annual'!$AC$2&amp;'Output annual'!$AD$2&amp;"*FangerPMV(Hourly)",'Eplus results'!$1:$1048576,ROW(),FALSE)</f>
        <v>0</v>
      </c>
      <c r="AD5121" s="580">
        <f t="shared" si="431"/>
        <v>5</v>
      </c>
      <c r="AE5121" s="580">
        <f t="shared" si="432"/>
        <v>2.5</v>
      </c>
      <c r="AF5121" s="580">
        <f t="shared" si="433"/>
        <v>2.5</v>
      </c>
      <c r="AG5121" s="580">
        <f t="shared" si="434"/>
        <v>0</v>
      </c>
      <c r="AH5121" s="580">
        <f t="shared" si="435"/>
        <v>0</v>
      </c>
    </row>
    <row r="5122" spans="28:34">
      <c r="AB5122" s="580">
        <f>HLOOKUP("*"&amp;'Output annual'!$AC$2&amp;'Output annual'!$AD$2&amp;"*Zone People Number Of Occupants [](Hourly)",'Eplus results'!$1:$1048576,ROW(),FALSE)</f>
        <v>0</v>
      </c>
      <c r="AC5122" s="580">
        <f>HLOOKUP("*"&amp;'Output annual'!$AC$2&amp;'Output annual'!$AD$2&amp;"*FangerPMV(Hourly)",'Eplus results'!$1:$1048576,ROW(),FALSE)</f>
        <v>0</v>
      </c>
      <c r="AD5122" s="580">
        <f t="shared" si="431"/>
        <v>5</v>
      </c>
      <c r="AE5122" s="580">
        <f t="shared" si="432"/>
        <v>2.5</v>
      </c>
      <c r="AF5122" s="580">
        <f t="shared" si="433"/>
        <v>2.5</v>
      </c>
      <c r="AG5122" s="580">
        <f t="shared" si="434"/>
        <v>0</v>
      </c>
      <c r="AH5122" s="580">
        <f t="shared" si="435"/>
        <v>0</v>
      </c>
    </row>
    <row r="5123" spans="28:34">
      <c r="AB5123" s="580">
        <f>HLOOKUP("*"&amp;'Output annual'!$AC$2&amp;'Output annual'!$AD$2&amp;"*Zone People Number Of Occupants [](Hourly)",'Eplus results'!$1:$1048576,ROW(),FALSE)</f>
        <v>0</v>
      </c>
      <c r="AC5123" s="580">
        <f>HLOOKUP("*"&amp;'Output annual'!$AC$2&amp;'Output annual'!$AD$2&amp;"*FangerPMV(Hourly)",'Eplus results'!$1:$1048576,ROW(),FALSE)</f>
        <v>0</v>
      </c>
      <c r="AD5123" s="580">
        <f t="shared" ref="AD5123:AD5186" si="436">100-95*EXP(-0.03353*AC5123^4-0.2179*AC5123^2)</f>
        <v>5</v>
      </c>
      <c r="AE5123" s="580">
        <f t="shared" ref="AE5123:AE5186" si="437">AD5123*(1/(1+EXP(-6.3*$AC5123)))</f>
        <v>2.5</v>
      </c>
      <c r="AF5123" s="580">
        <f t="shared" ref="AF5123:AF5186" si="438">(AD5123-AE5123)</f>
        <v>2.5</v>
      </c>
      <c r="AG5123" s="580">
        <f t="shared" ref="AG5123:AG5186" si="439">AE5123*AB5123</f>
        <v>0</v>
      </c>
      <c r="AH5123" s="580">
        <f t="shared" ref="AH5123:AH5186" si="440">AF5123*AB5123</f>
        <v>0</v>
      </c>
    </row>
    <row r="5124" spans="28:34">
      <c r="AB5124" s="580">
        <f>HLOOKUP("*"&amp;'Output annual'!$AC$2&amp;'Output annual'!$AD$2&amp;"*Zone People Number Of Occupants [](Hourly)",'Eplus results'!$1:$1048576,ROW(),FALSE)</f>
        <v>0</v>
      </c>
      <c r="AC5124" s="580">
        <f>HLOOKUP("*"&amp;'Output annual'!$AC$2&amp;'Output annual'!$AD$2&amp;"*FangerPMV(Hourly)",'Eplus results'!$1:$1048576,ROW(),FALSE)</f>
        <v>0</v>
      </c>
      <c r="AD5124" s="580">
        <f t="shared" si="436"/>
        <v>5</v>
      </c>
      <c r="AE5124" s="580">
        <f t="shared" si="437"/>
        <v>2.5</v>
      </c>
      <c r="AF5124" s="580">
        <f t="shared" si="438"/>
        <v>2.5</v>
      </c>
      <c r="AG5124" s="580">
        <f t="shared" si="439"/>
        <v>0</v>
      </c>
      <c r="AH5124" s="580">
        <f t="shared" si="440"/>
        <v>0</v>
      </c>
    </row>
    <row r="5125" spans="28:34">
      <c r="AB5125" s="580">
        <f>HLOOKUP("*"&amp;'Output annual'!$AC$2&amp;'Output annual'!$AD$2&amp;"*Zone People Number Of Occupants [](Hourly)",'Eplus results'!$1:$1048576,ROW(),FALSE)</f>
        <v>0</v>
      </c>
      <c r="AC5125" s="580">
        <f>HLOOKUP("*"&amp;'Output annual'!$AC$2&amp;'Output annual'!$AD$2&amp;"*FangerPMV(Hourly)",'Eplus results'!$1:$1048576,ROW(),FALSE)</f>
        <v>0</v>
      </c>
      <c r="AD5125" s="580">
        <f t="shared" si="436"/>
        <v>5</v>
      </c>
      <c r="AE5125" s="580">
        <f t="shared" si="437"/>
        <v>2.5</v>
      </c>
      <c r="AF5125" s="580">
        <f t="shared" si="438"/>
        <v>2.5</v>
      </c>
      <c r="AG5125" s="580">
        <f t="shared" si="439"/>
        <v>0</v>
      </c>
      <c r="AH5125" s="580">
        <f t="shared" si="440"/>
        <v>0</v>
      </c>
    </row>
    <row r="5126" spans="28:34">
      <c r="AB5126" s="580">
        <f>HLOOKUP("*"&amp;'Output annual'!$AC$2&amp;'Output annual'!$AD$2&amp;"*Zone People Number Of Occupants [](Hourly)",'Eplus results'!$1:$1048576,ROW(),FALSE)</f>
        <v>0</v>
      </c>
      <c r="AC5126" s="580">
        <f>HLOOKUP("*"&amp;'Output annual'!$AC$2&amp;'Output annual'!$AD$2&amp;"*FangerPMV(Hourly)",'Eplus results'!$1:$1048576,ROW(),FALSE)</f>
        <v>0</v>
      </c>
      <c r="AD5126" s="580">
        <f t="shared" si="436"/>
        <v>5</v>
      </c>
      <c r="AE5126" s="580">
        <f t="shared" si="437"/>
        <v>2.5</v>
      </c>
      <c r="AF5126" s="580">
        <f t="shared" si="438"/>
        <v>2.5</v>
      </c>
      <c r="AG5126" s="580">
        <f t="shared" si="439"/>
        <v>0</v>
      </c>
      <c r="AH5126" s="580">
        <f t="shared" si="440"/>
        <v>0</v>
      </c>
    </row>
    <row r="5127" spans="28:34">
      <c r="AB5127" s="580">
        <f>HLOOKUP("*"&amp;'Output annual'!$AC$2&amp;'Output annual'!$AD$2&amp;"*Zone People Number Of Occupants [](Hourly)",'Eplus results'!$1:$1048576,ROW(),FALSE)</f>
        <v>0</v>
      </c>
      <c r="AC5127" s="580">
        <f>HLOOKUP("*"&amp;'Output annual'!$AC$2&amp;'Output annual'!$AD$2&amp;"*FangerPMV(Hourly)",'Eplus results'!$1:$1048576,ROW(),FALSE)</f>
        <v>0</v>
      </c>
      <c r="AD5127" s="580">
        <f t="shared" si="436"/>
        <v>5</v>
      </c>
      <c r="AE5127" s="580">
        <f t="shared" si="437"/>
        <v>2.5</v>
      </c>
      <c r="AF5127" s="580">
        <f t="shared" si="438"/>
        <v>2.5</v>
      </c>
      <c r="AG5127" s="580">
        <f t="shared" si="439"/>
        <v>0</v>
      </c>
      <c r="AH5127" s="580">
        <f t="shared" si="440"/>
        <v>0</v>
      </c>
    </row>
    <row r="5128" spans="28:34">
      <c r="AB5128" s="580">
        <f>HLOOKUP("*"&amp;'Output annual'!$AC$2&amp;'Output annual'!$AD$2&amp;"*Zone People Number Of Occupants [](Hourly)",'Eplus results'!$1:$1048576,ROW(),FALSE)</f>
        <v>0</v>
      </c>
      <c r="AC5128" s="580">
        <f>HLOOKUP("*"&amp;'Output annual'!$AC$2&amp;'Output annual'!$AD$2&amp;"*FangerPMV(Hourly)",'Eplus results'!$1:$1048576,ROW(),FALSE)</f>
        <v>0</v>
      </c>
      <c r="AD5128" s="580">
        <f t="shared" si="436"/>
        <v>5</v>
      </c>
      <c r="AE5128" s="580">
        <f t="shared" si="437"/>
        <v>2.5</v>
      </c>
      <c r="AF5128" s="580">
        <f t="shared" si="438"/>
        <v>2.5</v>
      </c>
      <c r="AG5128" s="580">
        <f t="shared" si="439"/>
        <v>0</v>
      </c>
      <c r="AH5128" s="580">
        <f t="shared" si="440"/>
        <v>0</v>
      </c>
    </row>
    <row r="5129" spans="28:34">
      <c r="AB5129" s="580">
        <f>HLOOKUP("*"&amp;'Output annual'!$AC$2&amp;'Output annual'!$AD$2&amp;"*Zone People Number Of Occupants [](Hourly)",'Eplus results'!$1:$1048576,ROW(),FALSE)</f>
        <v>0</v>
      </c>
      <c r="AC5129" s="580">
        <f>HLOOKUP("*"&amp;'Output annual'!$AC$2&amp;'Output annual'!$AD$2&amp;"*FangerPMV(Hourly)",'Eplus results'!$1:$1048576,ROW(),FALSE)</f>
        <v>0</v>
      </c>
      <c r="AD5129" s="580">
        <f t="shared" si="436"/>
        <v>5</v>
      </c>
      <c r="AE5129" s="580">
        <f t="shared" si="437"/>
        <v>2.5</v>
      </c>
      <c r="AF5129" s="580">
        <f t="shared" si="438"/>
        <v>2.5</v>
      </c>
      <c r="AG5129" s="580">
        <f t="shared" si="439"/>
        <v>0</v>
      </c>
      <c r="AH5129" s="580">
        <f t="shared" si="440"/>
        <v>0</v>
      </c>
    </row>
    <row r="5130" spans="28:34">
      <c r="AB5130" s="580">
        <f>HLOOKUP("*"&amp;'Output annual'!$AC$2&amp;'Output annual'!$AD$2&amp;"*Zone People Number Of Occupants [](Hourly)",'Eplus results'!$1:$1048576,ROW(),FALSE)</f>
        <v>0</v>
      </c>
      <c r="AC5130" s="580">
        <f>HLOOKUP("*"&amp;'Output annual'!$AC$2&amp;'Output annual'!$AD$2&amp;"*FangerPMV(Hourly)",'Eplus results'!$1:$1048576,ROW(),FALSE)</f>
        <v>0</v>
      </c>
      <c r="AD5130" s="580">
        <f t="shared" si="436"/>
        <v>5</v>
      </c>
      <c r="AE5130" s="580">
        <f t="shared" si="437"/>
        <v>2.5</v>
      </c>
      <c r="AF5130" s="580">
        <f t="shared" si="438"/>
        <v>2.5</v>
      </c>
      <c r="AG5130" s="580">
        <f t="shared" si="439"/>
        <v>0</v>
      </c>
      <c r="AH5130" s="580">
        <f t="shared" si="440"/>
        <v>0</v>
      </c>
    </row>
    <row r="5131" spans="28:34">
      <c r="AB5131" s="580">
        <f>HLOOKUP("*"&amp;'Output annual'!$AC$2&amp;'Output annual'!$AD$2&amp;"*Zone People Number Of Occupants [](Hourly)",'Eplus results'!$1:$1048576,ROW(),FALSE)</f>
        <v>0</v>
      </c>
      <c r="AC5131" s="580">
        <f>HLOOKUP("*"&amp;'Output annual'!$AC$2&amp;'Output annual'!$AD$2&amp;"*FangerPMV(Hourly)",'Eplus results'!$1:$1048576,ROW(),FALSE)</f>
        <v>0</v>
      </c>
      <c r="AD5131" s="580">
        <f t="shared" si="436"/>
        <v>5</v>
      </c>
      <c r="AE5131" s="580">
        <f t="shared" si="437"/>
        <v>2.5</v>
      </c>
      <c r="AF5131" s="580">
        <f t="shared" si="438"/>
        <v>2.5</v>
      </c>
      <c r="AG5131" s="580">
        <f t="shared" si="439"/>
        <v>0</v>
      </c>
      <c r="AH5131" s="580">
        <f t="shared" si="440"/>
        <v>0</v>
      </c>
    </row>
    <row r="5132" spans="28:34">
      <c r="AB5132" s="580">
        <f>HLOOKUP("*"&amp;'Output annual'!$AC$2&amp;'Output annual'!$AD$2&amp;"*Zone People Number Of Occupants [](Hourly)",'Eplus results'!$1:$1048576,ROW(),FALSE)</f>
        <v>0</v>
      </c>
      <c r="AC5132" s="580">
        <f>HLOOKUP("*"&amp;'Output annual'!$AC$2&amp;'Output annual'!$AD$2&amp;"*FangerPMV(Hourly)",'Eplus results'!$1:$1048576,ROW(),FALSE)</f>
        <v>0</v>
      </c>
      <c r="AD5132" s="580">
        <f t="shared" si="436"/>
        <v>5</v>
      </c>
      <c r="AE5132" s="580">
        <f t="shared" si="437"/>
        <v>2.5</v>
      </c>
      <c r="AF5132" s="580">
        <f t="shared" si="438"/>
        <v>2.5</v>
      </c>
      <c r="AG5132" s="580">
        <f t="shared" si="439"/>
        <v>0</v>
      </c>
      <c r="AH5132" s="580">
        <f t="shared" si="440"/>
        <v>0</v>
      </c>
    </row>
    <row r="5133" spans="28:34">
      <c r="AB5133" s="580">
        <f>HLOOKUP("*"&amp;'Output annual'!$AC$2&amp;'Output annual'!$AD$2&amp;"*Zone People Number Of Occupants [](Hourly)",'Eplus results'!$1:$1048576,ROW(),FALSE)</f>
        <v>0</v>
      </c>
      <c r="AC5133" s="580">
        <f>HLOOKUP("*"&amp;'Output annual'!$AC$2&amp;'Output annual'!$AD$2&amp;"*FangerPMV(Hourly)",'Eplus results'!$1:$1048576,ROW(),FALSE)</f>
        <v>0</v>
      </c>
      <c r="AD5133" s="580">
        <f t="shared" si="436"/>
        <v>5</v>
      </c>
      <c r="AE5133" s="580">
        <f t="shared" si="437"/>
        <v>2.5</v>
      </c>
      <c r="AF5133" s="580">
        <f t="shared" si="438"/>
        <v>2.5</v>
      </c>
      <c r="AG5133" s="580">
        <f t="shared" si="439"/>
        <v>0</v>
      </c>
      <c r="AH5133" s="580">
        <f t="shared" si="440"/>
        <v>0</v>
      </c>
    </row>
    <row r="5134" spans="28:34">
      <c r="AB5134" s="580">
        <f>HLOOKUP("*"&amp;'Output annual'!$AC$2&amp;'Output annual'!$AD$2&amp;"*Zone People Number Of Occupants [](Hourly)",'Eplus results'!$1:$1048576,ROW(),FALSE)</f>
        <v>0</v>
      </c>
      <c r="AC5134" s="580">
        <f>HLOOKUP("*"&amp;'Output annual'!$AC$2&amp;'Output annual'!$AD$2&amp;"*FangerPMV(Hourly)",'Eplus results'!$1:$1048576,ROW(),FALSE)</f>
        <v>0</v>
      </c>
      <c r="AD5134" s="580">
        <f t="shared" si="436"/>
        <v>5</v>
      </c>
      <c r="AE5134" s="580">
        <f t="shared" si="437"/>
        <v>2.5</v>
      </c>
      <c r="AF5134" s="580">
        <f t="shared" si="438"/>
        <v>2.5</v>
      </c>
      <c r="AG5134" s="580">
        <f t="shared" si="439"/>
        <v>0</v>
      </c>
      <c r="AH5134" s="580">
        <f t="shared" si="440"/>
        <v>0</v>
      </c>
    </row>
    <row r="5135" spans="28:34">
      <c r="AB5135" s="580">
        <f>HLOOKUP("*"&amp;'Output annual'!$AC$2&amp;'Output annual'!$AD$2&amp;"*Zone People Number Of Occupants [](Hourly)",'Eplus results'!$1:$1048576,ROW(),FALSE)</f>
        <v>0</v>
      </c>
      <c r="AC5135" s="580">
        <f>HLOOKUP("*"&amp;'Output annual'!$AC$2&amp;'Output annual'!$AD$2&amp;"*FangerPMV(Hourly)",'Eplus results'!$1:$1048576,ROW(),FALSE)</f>
        <v>0</v>
      </c>
      <c r="AD5135" s="580">
        <f t="shared" si="436"/>
        <v>5</v>
      </c>
      <c r="AE5135" s="580">
        <f t="shared" si="437"/>
        <v>2.5</v>
      </c>
      <c r="AF5135" s="580">
        <f t="shared" si="438"/>
        <v>2.5</v>
      </c>
      <c r="AG5135" s="580">
        <f t="shared" si="439"/>
        <v>0</v>
      </c>
      <c r="AH5135" s="580">
        <f t="shared" si="440"/>
        <v>0</v>
      </c>
    </row>
    <row r="5136" spans="28:34">
      <c r="AB5136" s="580">
        <f>HLOOKUP("*"&amp;'Output annual'!$AC$2&amp;'Output annual'!$AD$2&amp;"*Zone People Number Of Occupants [](Hourly)",'Eplus results'!$1:$1048576,ROW(),FALSE)</f>
        <v>0</v>
      </c>
      <c r="AC5136" s="580">
        <f>HLOOKUP("*"&amp;'Output annual'!$AC$2&amp;'Output annual'!$AD$2&amp;"*FangerPMV(Hourly)",'Eplus results'!$1:$1048576,ROW(),FALSE)</f>
        <v>0</v>
      </c>
      <c r="AD5136" s="580">
        <f t="shared" si="436"/>
        <v>5</v>
      </c>
      <c r="AE5136" s="580">
        <f t="shared" si="437"/>
        <v>2.5</v>
      </c>
      <c r="AF5136" s="580">
        <f t="shared" si="438"/>
        <v>2.5</v>
      </c>
      <c r="AG5136" s="580">
        <f t="shared" si="439"/>
        <v>0</v>
      </c>
      <c r="AH5136" s="580">
        <f t="shared" si="440"/>
        <v>0</v>
      </c>
    </row>
    <row r="5137" spans="28:34">
      <c r="AB5137" s="580">
        <f>HLOOKUP("*"&amp;'Output annual'!$AC$2&amp;'Output annual'!$AD$2&amp;"*Zone People Number Of Occupants [](Hourly)",'Eplus results'!$1:$1048576,ROW(),FALSE)</f>
        <v>0</v>
      </c>
      <c r="AC5137" s="580">
        <f>HLOOKUP("*"&amp;'Output annual'!$AC$2&amp;'Output annual'!$AD$2&amp;"*FangerPMV(Hourly)",'Eplus results'!$1:$1048576,ROW(),FALSE)</f>
        <v>0</v>
      </c>
      <c r="AD5137" s="580">
        <f t="shared" si="436"/>
        <v>5</v>
      </c>
      <c r="AE5137" s="580">
        <f t="shared" si="437"/>
        <v>2.5</v>
      </c>
      <c r="AF5137" s="580">
        <f t="shared" si="438"/>
        <v>2.5</v>
      </c>
      <c r="AG5137" s="580">
        <f t="shared" si="439"/>
        <v>0</v>
      </c>
      <c r="AH5137" s="580">
        <f t="shared" si="440"/>
        <v>0</v>
      </c>
    </row>
    <row r="5138" spans="28:34">
      <c r="AB5138" s="580">
        <f>HLOOKUP("*"&amp;'Output annual'!$AC$2&amp;'Output annual'!$AD$2&amp;"*Zone People Number Of Occupants [](Hourly)",'Eplus results'!$1:$1048576,ROW(),FALSE)</f>
        <v>0</v>
      </c>
      <c r="AC5138" s="580">
        <f>HLOOKUP("*"&amp;'Output annual'!$AC$2&amp;'Output annual'!$AD$2&amp;"*FangerPMV(Hourly)",'Eplus results'!$1:$1048576,ROW(),FALSE)</f>
        <v>0</v>
      </c>
      <c r="AD5138" s="580">
        <f t="shared" si="436"/>
        <v>5</v>
      </c>
      <c r="AE5138" s="580">
        <f t="shared" si="437"/>
        <v>2.5</v>
      </c>
      <c r="AF5138" s="580">
        <f t="shared" si="438"/>
        <v>2.5</v>
      </c>
      <c r="AG5138" s="580">
        <f t="shared" si="439"/>
        <v>0</v>
      </c>
      <c r="AH5138" s="580">
        <f t="shared" si="440"/>
        <v>0</v>
      </c>
    </row>
    <row r="5139" spans="28:34">
      <c r="AB5139" s="580">
        <f>HLOOKUP("*"&amp;'Output annual'!$AC$2&amp;'Output annual'!$AD$2&amp;"*Zone People Number Of Occupants [](Hourly)",'Eplus results'!$1:$1048576,ROW(),FALSE)</f>
        <v>0</v>
      </c>
      <c r="AC5139" s="580">
        <f>HLOOKUP("*"&amp;'Output annual'!$AC$2&amp;'Output annual'!$AD$2&amp;"*FangerPMV(Hourly)",'Eplus results'!$1:$1048576,ROW(),FALSE)</f>
        <v>0</v>
      </c>
      <c r="AD5139" s="580">
        <f t="shared" si="436"/>
        <v>5</v>
      </c>
      <c r="AE5139" s="580">
        <f t="shared" si="437"/>
        <v>2.5</v>
      </c>
      <c r="AF5139" s="580">
        <f t="shared" si="438"/>
        <v>2.5</v>
      </c>
      <c r="AG5139" s="580">
        <f t="shared" si="439"/>
        <v>0</v>
      </c>
      <c r="AH5139" s="580">
        <f t="shared" si="440"/>
        <v>0</v>
      </c>
    </row>
    <row r="5140" spans="28:34">
      <c r="AB5140" s="580">
        <f>HLOOKUP("*"&amp;'Output annual'!$AC$2&amp;'Output annual'!$AD$2&amp;"*Zone People Number Of Occupants [](Hourly)",'Eplus results'!$1:$1048576,ROW(),FALSE)</f>
        <v>0</v>
      </c>
      <c r="AC5140" s="580">
        <f>HLOOKUP("*"&amp;'Output annual'!$AC$2&amp;'Output annual'!$AD$2&amp;"*FangerPMV(Hourly)",'Eplus results'!$1:$1048576,ROW(),FALSE)</f>
        <v>0</v>
      </c>
      <c r="AD5140" s="580">
        <f t="shared" si="436"/>
        <v>5</v>
      </c>
      <c r="AE5140" s="580">
        <f t="shared" si="437"/>
        <v>2.5</v>
      </c>
      <c r="AF5140" s="580">
        <f t="shared" si="438"/>
        <v>2.5</v>
      </c>
      <c r="AG5140" s="580">
        <f t="shared" si="439"/>
        <v>0</v>
      </c>
      <c r="AH5140" s="580">
        <f t="shared" si="440"/>
        <v>0</v>
      </c>
    </row>
    <row r="5141" spans="28:34">
      <c r="AB5141" s="580">
        <f>HLOOKUP("*"&amp;'Output annual'!$AC$2&amp;'Output annual'!$AD$2&amp;"*Zone People Number Of Occupants [](Hourly)",'Eplus results'!$1:$1048576,ROW(),FALSE)</f>
        <v>0</v>
      </c>
      <c r="AC5141" s="580">
        <f>HLOOKUP("*"&amp;'Output annual'!$AC$2&amp;'Output annual'!$AD$2&amp;"*FangerPMV(Hourly)",'Eplus results'!$1:$1048576,ROW(),FALSE)</f>
        <v>0</v>
      </c>
      <c r="AD5141" s="580">
        <f t="shared" si="436"/>
        <v>5</v>
      </c>
      <c r="AE5141" s="580">
        <f t="shared" si="437"/>
        <v>2.5</v>
      </c>
      <c r="AF5141" s="580">
        <f t="shared" si="438"/>
        <v>2.5</v>
      </c>
      <c r="AG5141" s="580">
        <f t="shared" si="439"/>
        <v>0</v>
      </c>
      <c r="AH5141" s="580">
        <f t="shared" si="440"/>
        <v>0</v>
      </c>
    </row>
    <row r="5142" spans="28:34">
      <c r="AB5142" s="580">
        <f>HLOOKUP("*"&amp;'Output annual'!$AC$2&amp;'Output annual'!$AD$2&amp;"*Zone People Number Of Occupants [](Hourly)",'Eplus results'!$1:$1048576,ROW(),FALSE)</f>
        <v>0</v>
      </c>
      <c r="AC5142" s="580">
        <f>HLOOKUP("*"&amp;'Output annual'!$AC$2&amp;'Output annual'!$AD$2&amp;"*FangerPMV(Hourly)",'Eplus results'!$1:$1048576,ROW(),FALSE)</f>
        <v>0</v>
      </c>
      <c r="AD5142" s="580">
        <f t="shared" si="436"/>
        <v>5</v>
      </c>
      <c r="AE5142" s="580">
        <f t="shared" si="437"/>
        <v>2.5</v>
      </c>
      <c r="AF5142" s="580">
        <f t="shared" si="438"/>
        <v>2.5</v>
      </c>
      <c r="AG5142" s="580">
        <f t="shared" si="439"/>
        <v>0</v>
      </c>
      <c r="AH5142" s="580">
        <f t="shared" si="440"/>
        <v>0</v>
      </c>
    </row>
    <row r="5143" spans="28:34">
      <c r="AB5143" s="580">
        <f>HLOOKUP("*"&amp;'Output annual'!$AC$2&amp;'Output annual'!$AD$2&amp;"*Zone People Number Of Occupants [](Hourly)",'Eplus results'!$1:$1048576,ROW(),FALSE)</f>
        <v>0</v>
      </c>
      <c r="AC5143" s="580">
        <f>HLOOKUP("*"&amp;'Output annual'!$AC$2&amp;'Output annual'!$AD$2&amp;"*FangerPMV(Hourly)",'Eplus results'!$1:$1048576,ROW(),FALSE)</f>
        <v>0</v>
      </c>
      <c r="AD5143" s="580">
        <f t="shared" si="436"/>
        <v>5</v>
      </c>
      <c r="AE5143" s="580">
        <f t="shared" si="437"/>
        <v>2.5</v>
      </c>
      <c r="AF5143" s="580">
        <f t="shared" si="438"/>
        <v>2.5</v>
      </c>
      <c r="AG5143" s="580">
        <f t="shared" si="439"/>
        <v>0</v>
      </c>
      <c r="AH5143" s="580">
        <f t="shared" si="440"/>
        <v>0</v>
      </c>
    </row>
    <row r="5144" spans="28:34">
      <c r="AB5144" s="580">
        <f>HLOOKUP("*"&amp;'Output annual'!$AC$2&amp;'Output annual'!$AD$2&amp;"*Zone People Number Of Occupants [](Hourly)",'Eplus results'!$1:$1048576,ROW(),FALSE)</f>
        <v>0</v>
      </c>
      <c r="AC5144" s="580">
        <f>HLOOKUP("*"&amp;'Output annual'!$AC$2&amp;'Output annual'!$AD$2&amp;"*FangerPMV(Hourly)",'Eplus results'!$1:$1048576,ROW(),FALSE)</f>
        <v>0</v>
      </c>
      <c r="AD5144" s="580">
        <f t="shared" si="436"/>
        <v>5</v>
      </c>
      <c r="AE5144" s="580">
        <f t="shared" si="437"/>
        <v>2.5</v>
      </c>
      <c r="AF5144" s="580">
        <f t="shared" si="438"/>
        <v>2.5</v>
      </c>
      <c r="AG5144" s="580">
        <f t="shared" si="439"/>
        <v>0</v>
      </c>
      <c r="AH5144" s="580">
        <f t="shared" si="440"/>
        <v>0</v>
      </c>
    </row>
    <row r="5145" spans="28:34">
      <c r="AB5145" s="580">
        <f>HLOOKUP("*"&amp;'Output annual'!$AC$2&amp;'Output annual'!$AD$2&amp;"*Zone People Number Of Occupants [](Hourly)",'Eplus results'!$1:$1048576,ROW(),FALSE)</f>
        <v>0</v>
      </c>
      <c r="AC5145" s="580">
        <f>HLOOKUP("*"&amp;'Output annual'!$AC$2&amp;'Output annual'!$AD$2&amp;"*FangerPMV(Hourly)",'Eplus results'!$1:$1048576,ROW(),FALSE)</f>
        <v>0</v>
      </c>
      <c r="AD5145" s="580">
        <f t="shared" si="436"/>
        <v>5</v>
      </c>
      <c r="AE5145" s="580">
        <f t="shared" si="437"/>
        <v>2.5</v>
      </c>
      <c r="AF5145" s="580">
        <f t="shared" si="438"/>
        <v>2.5</v>
      </c>
      <c r="AG5145" s="580">
        <f t="shared" si="439"/>
        <v>0</v>
      </c>
      <c r="AH5145" s="580">
        <f t="shared" si="440"/>
        <v>0</v>
      </c>
    </row>
    <row r="5146" spans="28:34">
      <c r="AB5146" s="580">
        <f>HLOOKUP("*"&amp;'Output annual'!$AC$2&amp;'Output annual'!$AD$2&amp;"*Zone People Number Of Occupants [](Hourly)",'Eplus results'!$1:$1048576,ROW(),FALSE)</f>
        <v>0</v>
      </c>
      <c r="AC5146" s="580">
        <f>HLOOKUP("*"&amp;'Output annual'!$AC$2&amp;'Output annual'!$AD$2&amp;"*FangerPMV(Hourly)",'Eplus results'!$1:$1048576,ROW(),FALSE)</f>
        <v>0</v>
      </c>
      <c r="AD5146" s="580">
        <f t="shared" si="436"/>
        <v>5</v>
      </c>
      <c r="AE5146" s="580">
        <f t="shared" si="437"/>
        <v>2.5</v>
      </c>
      <c r="AF5146" s="580">
        <f t="shared" si="438"/>
        <v>2.5</v>
      </c>
      <c r="AG5146" s="580">
        <f t="shared" si="439"/>
        <v>0</v>
      </c>
      <c r="AH5146" s="580">
        <f t="shared" si="440"/>
        <v>0</v>
      </c>
    </row>
    <row r="5147" spans="28:34">
      <c r="AB5147" s="580">
        <f>HLOOKUP("*"&amp;'Output annual'!$AC$2&amp;'Output annual'!$AD$2&amp;"*Zone People Number Of Occupants [](Hourly)",'Eplus results'!$1:$1048576,ROW(),FALSE)</f>
        <v>0</v>
      </c>
      <c r="AC5147" s="580">
        <f>HLOOKUP("*"&amp;'Output annual'!$AC$2&amp;'Output annual'!$AD$2&amp;"*FangerPMV(Hourly)",'Eplus results'!$1:$1048576,ROW(),FALSE)</f>
        <v>0</v>
      </c>
      <c r="AD5147" s="580">
        <f t="shared" si="436"/>
        <v>5</v>
      </c>
      <c r="AE5147" s="580">
        <f t="shared" si="437"/>
        <v>2.5</v>
      </c>
      <c r="AF5147" s="580">
        <f t="shared" si="438"/>
        <v>2.5</v>
      </c>
      <c r="AG5147" s="580">
        <f t="shared" si="439"/>
        <v>0</v>
      </c>
      <c r="AH5147" s="580">
        <f t="shared" si="440"/>
        <v>0</v>
      </c>
    </row>
    <row r="5148" spans="28:34">
      <c r="AB5148" s="580">
        <f>HLOOKUP("*"&amp;'Output annual'!$AC$2&amp;'Output annual'!$AD$2&amp;"*Zone People Number Of Occupants [](Hourly)",'Eplus results'!$1:$1048576,ROW(),FALSE)</f>
        <v>0</v>
      </c>
      <c r="AC5148" s="580">
        <f>HLOOKUP("*"&amp;'Output annual'!$AC$2&amp;'Output annual'!$AD$2&amp;"*FangerPMV(Hourly)",'Eplus results'!$1:$1048576,ROW(),FALSE)</f>
        <v>0</v>
      </c>
      <c r="AD5148" s="580">
        <f t="shared" si="436"/>
        <v>5</v>
      </c>
      <c r="AE5148" s="580">
        <f t="shared" si="437"/>
        <v>2.5</v>
      </c>
      <c r="AF5148" s="580">
        <f t="shared" si="438"/>
        <v>2.5</v>
      </c>
      <c r="AG5148" s="580">
        <f t="shared" si="439"/>
        <v>0</v>
      </c>
      <c r="AH5148" s="580">
        <f t="shared" si="440"/>
        <v>0</v>
      </c>
    </row>
    <row r="5149" spans="28:34">
      <c r="AB5149" s="580">
        <f>HLOOKUP("*"&amp;'Output annual'!$AC$2&amp;'Output annual'!$AD$2&amp;"*Zone People Number Of Occupants [](Hourly)",'Eplus results'!$1:$1048576,ROW(),FALSE)</f>
        <v>0</v>
      </c>
      <c r="AC5149" s="580">
        <f>HLOOKUP("*"&amp;'Output annual'!$AC$2&amp;'Output annual'!$AD$2&amp;"*FangerPMV(Hourly)",'Eplus results'!$1:$1048576,ROW(),FALSE)</f>
        <v>0</v>
      </c>
      <c r="AD5149" s="580">
        <f t="shared" si="436"/>
        <v>5</v>
      </c>
      <c r="AE5149" s="580">
        <f t="shared" si="437"/>
        <v>2.5</v>
      </c>
      <c r="AF5149" s="580">
        <f t="shared" si="438"/>
        <v>2.5</v>
      </c>
      <c r="AG5149" s="580">
        <f t="shared" si="439"/>
        <v>0</v>
      </c>
      <c r="AH5149" s="580">
        <f t="shared" si="440"/>
        <v>0</v>
      </c>
    </row>
    <row r="5150" spans="28:34">
      <c r="AB5150" s="580">
        <f>HLOOKUP("*"&amp;'Output annual'!$AC$2&amp;'Output annual'!$AD$2&amp;"*Zone People Number Of Occupants [](Hourly)",'Eplus results'!$1:$1048576,ROW(),FALSE)</f>
        <v>0</v>
      </c>
      <c r="AC5150" s="580">
        <f>HLOOKUP("*"&amp;'Output annual'!$AC$2&amp;'Output annual'!$AD$2&amp;"*FangerPMV(Hourly)",'Eplus results'!$1:$1048576,ROW(),FALSE)</f>
        <v>0</v>
      </c>
      <c r="AD5150" s="580">
        <f t="shared" si="436"/>
        <v>5</v>
      </c>
      <c r="AE5150" s="580">
        <f t="shared" si="437"/>
        <v>2.5</v>
      </c>
      <c r="AF5150" s="580">
        <f t="shared" si="438"/>
        <v>2.5</v>
      </c>
      <c r="AG5150" s="580">
        <f t="shared" si="439"/>
        <v>0</v>
      </c>
      <c r="AH5150" s="580">
        <f t="shared" si="440"/>
        <v>0</v>
      </c>
    </row>
    <row r="5151" spans="28:34">
      <c r="AB5151" s="580">
        <f>HLOOKUP("*"&amp;'Output annual'!$AC$2&amp;'Output annual'!$AD$2&amp;"*Zone People Number Of Occupants [](Hourly)",'Eplus results'!$1:$1048576,ROW(),FALSE)</f>
        <v>0</v>
      </c>
      <c r="AC5151" s="580">
        <f>HLOOKUP("*"&amp;'Output annual'!$AC$2&amp;'Output annual'!$AD$2&amp;"*FangerPMV(Hourly)",'Eplus results'!$1:$1048576,ROW(),FALSE)</f>
        <v>0</v>
      </c>
      <c r="AD5151" s="580">
        <f t="shared" si="436"/>
        <v>5</v>
      </c>
      <c r="AE5151" s="580">
        <f t="shared" si="437"/>
        <v>2.5</v>
      </c>
      <c r="AF5151" s="580">
        <f t="shared" si="438"/>
        <v>2.5</v>
      </c>
      <c r="AG5151" s="580">
        <f t="shared" si="439"/>
        <v>0</v>
      </c>
      <c r="AH5151" s="580">
        <f t="shared" si="440"/>
        <v>0</v>
      </c>
    </row>
    <row r="5152" spans="28:34">
      <c r="AB5152" s="580">
        <f>HLOOKUP("*"&amp;'Output annual'!$AC$2&amp;'Output annual'!$AD$2&amp;"*Zone People Number Of Occupants [](Hourly)",'Eplus results'!$1:$1048576,ROW(),FALSE)</f>
        <v>0</v>
      </c>
      <c r="AC5152" s="580">
        <f>HLOOKUP("*"&amp;'Output annual'!$AC$2&amp;'Output annual'!$AD$2&amp;"*FangerPMV(Hourly)",'Eplus results'!$1:$1048576,ROW(),FALSE)</f>
        <v>0</v>
      </c>
      <c r="AD5152" s="580">
        <f t="shared" si="436"/>
        <v>5</v>
      </c>
      <c r="AE5152" s="580">
        <f t="shared" si="437"/>
        <v>2.5</v>
      </c>
      <c r="AF5152" s="580">
        <f t="shared" si="438"/>
        <v>2.5</v>
      </c>
      <c r="AG5152" s="580">
        <f t="shared" si="439"/>
        <v>0</v>
      </c>
      <c r="AH5152" s="580">
        <f t="shared" si="440"/>
        <v>0</v>
      </c>
    </row>
    <row r="5153" spans="28:34">
      <c r="AB5153" s="580">
        <f>HLOOKUP("*"&amp;'Output annual'!$AC$2&amp;'Output annual'!$AD$2&amp;"*Zone People Number Of Occupants [](Hourly)",'Eplus results'!$1:$1048576,ROW(),FALSE)</f>
        <v>0</v>
      </c>
      <c r="AC5153" s="580">
        <f>HLOOKUP("*"&amp;'Output annual'!$AC$2&amp;'Output annual'!$AD$2&amp;"*FangerPMV(Hourly)",'Eplus results'!$1:$1048576,ROW(),FALSE)</f>
        <v>0</v>
      </c>
      <c r="AD5153" s="580">
        <f t="shared" si="436"/>
        <v>5</v>
      </c>
      <c r="AE5153" s="580">
        <f t="shared" si="437"/>
        <v>2.5</v>
      </c>
      <c r="AF5153" s="580">
        <f t="shared" si="438"/>
        <v>2.5</v>
      </c>
      <c r="AG5153" s="580">
        <f t="shared" si="439"/>
        <v>0</v>
      </c>
      <c r="AH5153" s="580">
        <f t="shared" si="440"/>
        <v>0</v>
      </c>
    </row>
    <row r="5154" spans="28:34">
      <c r="AB5154" s="580">
        <f>HLOOKUP("*"&amp;'Output annual'!$AC$2&amp;'Output annual'!$AD$2&amp;"*Zone People Number Of Occupants [](Hourly)",'Eplus results'!$1:$1048576,ROW(),FALSE)</f>
        <v>0</v>
      </c>
      <c r="AC5154" s="580">
        <f>HLOOKUP("*"&amp;'Output annual'!$AC$2&amp;'Output annual'!$AD$2&amp;"*FangerPMV(Hourly)",'Eplus results'!$1:$1048576,ROW(),FALSE)</f>
        <v>0</v>
      </c>
      <c r="AD5154" s="580">
        <f t="shared" si="436"/>
        <v>5</v>
      </c>
      <c r="AE5154" s="580">
        <f t="shared" si="437"/>
        <v>2.5</v>
      </c>
      <c r="AF5154" s="580">
        <f t="shared" si="438"/>
        <v>2.5</v>
      </c>
      <c r="AG5154" s="580">
        <f t="shared" si="439"/>
        <v>0</v>
      </c>
      <c r="AH5154" s="580">
        <f t="shared" si="440"/>
        <v>0</v>
      </c>
    </row>
    <row r="5155" spans="28:34">
      <c r="AB5155" s="580">
        <f>HLOOKUP("*"&amp;'Output annual'!$AC$2&amp;'Output annual'!$AD$2&amp;"*Zone People Number Of Occupants [](Hourly)",'Eplus results'!$1:$1048576,ROW(),FALSE)</f>
        <v>0</v>
      </c>
      <c r="AC5155" s="580">
        <f>HLOOKUP("*"&amp;'Output annual'!$AC$2&amp;'Output annual'!$AD$2&amp;"*FangerPMV(Hourly)",'Eplus results'!$1:$1048576,ROW(),FALSE)</f>
        <v>0</v>
      </c>
      <c r="AD5155" s="580">
        <f t="shared" si="436"/>
        <v>5</v>
      </c>
      <c r="AE5155" s="580">
        <f t="shared" si="437"/>
        <v>2.5</v>
      </c>
      <c r="AF5155" s="580">
        <f t="shared" si="438"/>
        <v>2.5</v>
      </c>
      <c r="AG5155" s="580">
        <f t="shared" si="439"/>
        <v>0</v>
      </c>
      <c r="AH5155" s="580">
        <f t="shared" si="440"/>
        <v>0</v>
      </c>
    </row>
    <row r="5156" spans="28:34">
      <c r="AB5156" s="580">
        <f>HLOOKUP("*"&amp;'Output annual'!$AC$2&amp;'Output annual'!$AD$2&amp;"*Zone People Number Of Occupants [](Hourly)",'Eplus results'!$1:$1048576,ROW(),FALSE)</f>
        <v>0</v>
      </c>
      <c r="AC5156" s="580">
        <f>HLOOKUP("*"&amp;'Output annual'!$AC$2&amp;'Output annual'!$AD$2&amp;"*FangerPMV(Hourly)",'Eplus results'!$1:$1048576,ROW(),FALSE)</f>
        <v>0</v>
      </c>
      <c r="AD5156" s="580">
        <f t="shared" si="436"/>
        <v>5</v>
      </c>
      <c r="AE5156" s="580">
        <f t="shared" si="437"/>
        <v>2.5</v>
      </c>
      <c r="AF5156" s="580">
        <f t="shared" si="438"/>
        <v>2.5</v>
      </c>
      <c r="AG5156" s="580">
        <f t="shared" si="439"/>
        <v>0</v>
      </c>
      <c r="AH5156" s="580">
        <f t="shared" si="440"/>
        <v>0</v>
      </c>
    </row>
    <row r="5157" spans="28:34">
      <c r="AB5157" s="580">
        <f>HLOOKUP("*"&amp;'Output annual'!$AC$2&amp;'Output annual'!$AD$2&amp;"*Zone People Number Of Occupants [](Hourly)",'Eplus results'!$1:$1048576,ROW(),FALSE)</f>
        <v>0</v>
      </c>
      <c r="AC5157" s="580">
        <f>HLOOKUP("*"&amp;'Output annual'!$AC$2&amp;'Output annual'!$AD$2&amp;"*FangerPMV(Hourly)",'Eplus results'!$1:$1048576,ROW(),FALSE)</f>
        <v>0</v>
      </c>
      <c r="AD5157" s="580">
        <f t="shared" si="436"/>
        <v>5</v>
      </c>
      <c r="AE5157" s="580">
        <f t="shared" si="437"/>
        <v>2.5</v>
      </c>
      <c r="AF5157" s="580">
        <f t="shared" si="438"/>
        <v>2.5</v>
      </c>
      <c r="AG5157" s="580">
        <f t="shared" si="439"/>
        <v>0</v>
      </c>
      <c r="AH5157" s="580">
        <f t="shared" si="440"/>
        <v>0</v>
      </c>
    </row>
    <row r="5158" spans="28:34">
      <c r="AB5158" s="580">
        <f>HLOOKUP("*"&amp;'Output annual'!$AC$2&amp;'Output annual'!$AD$2&amp;"*Zone People Number Of Occupants [](Hourly)",'Eplus results'!$1:$1048576,ROW(),FALSE)</f>
        <v>0</v>
      </c>
      <c r="AC5158" s="580">
        <f>HLOOKUP("*"&amp;'Output annual'!$AC$2&amp;'Output annual'!$AD$2&amp;"*FangerPMV(Hourly)",'Eplus results'!$1:$1048576,ROW(),FALSE)</f>
        <v>0</v>
      </c>
      <c r="AD5158" s="580">
        <f t="shared" si="436"/>
        <v>5</v>
      </c>
      <c r="AE5158" s="580">
        <f t="shared" si="437"/>
        <v>2.5</v>
      </c>
      <c r="AF5158" s="580">
        <f t="shared" si="438"/>
        <v>2.5</v>
      </c>
      <c r="AG5158" s="580">
        <f t="shared" si="439"/>
        <v>0</v>
      </c>
      <c r="AH5158" s="580">
        <f t="shared" si="440"/>
        <v>0</v>
      </c>
    </row>
    <row r="5159" spans="28:34">
      <c r="AB5159" s="580">
        <f>HLOOKUP("*"&amp;'Output annual'!$AC$2&amp;'Output annual'!$AD$2&amp;"*Zone People Number Of Occupants [](Hourly)",'Eplus results'!$1:$1048576,ROW(),FALSE)</f>
        <v>0</v>
      </c>
      <c r="AC5159" s="580">
        <f>HLOOKUP("*"&amp;'Output annual'!$AC$2&amp;'Output annual'!$AD$2&amp;"*FangerPMV(Hourly)",'Eplus results'!$1:$1048576,ROW(),FALSE)</f>
        <v>0</v>
      </c>
      <c r="AD5159" s="580">
        <f t="shared" si="436"/>
        <v>5</v>
      </c>
      <c r="AE5159" s="580">
        <f t="shared" si="437"/>
        <v>2.5</v>
      </c>
      <c r="AF5159" s="580">
        <f t="shared" si="438"/>
        <v>2.5</v>
      </c>
      <c r="AG5159" s="580">
        <f t="shared" si="439"/>
        <v>0</v>
      </c>
      <c r="AH5159" s="580">
        <f t="shared" si="440"/>
        <v>0</v>
      </c>
    </row>
    <row r="5160" spans="28:34">
      <c r="AB5160" s="580">
        <f>HLOOKUP("*"&amp;'Output annual'!$AC$2&amp;'Output annual'!$AD$2&amp;"*Zone People Number Of Occupants [](Hourly)",'Eplus results'!$1:$1048576,ROW(),FALSE)</f>
        <v>0</v>
      </c>
      <c r="AC5160" s="580">
        <f>HLOOKUP("*"&amp;'Output annual'!$AC$2&amp;'Output annual'!$AD$2&amp;"*FangerPMV(Hourly)",'Eplus results'!$1:$1048576,ROW(),FALSE)</f>
        <v>0</v>
      </c>
      <c r="AD5160" s="580">
        <f t="shared" si="436"/>
        <v>5</v>
      </c>
      <c r="AE5160" s="580">
        <f t="shared" si="437"/>
        <v>2.5</v>
      </c>
      <c r="AF5160" s="580">
        <f t="shared" si="438"/>
        <v>2.5</v>
      </c>
      <c r="AG5160" s="580">
        <f t="shared" si="439"/>
        <v>0</v>
      </c>
      <c r="AH5160" s="580">
        <f t="shared" si="440"/>
        <v>0</v>
      </c>
    </row>
    <row r="5161" spans="28:34">
      <c r="AB5161" s="580">
        <f>HLOOKUP("*"&amp;'Output annual'!$AC$2&amp;'Output annual'!$AD$2&amp;"*Zone People Number Of Occupants [](Hourly)",'Eplus results'!$1:$1048576,ROW(),FALSE)</f>
        <v>0</v>
      </c>
      <c r="AC5161" s="580">
        <f>HLOOKUP("*"&amp;'Output annual'!$AC$2&amp;'Output annual'!$AD$2&amp;"*FangerPMV(Hourly)",'Eplus results'!$1:$1048576,ROW(),FALSE)</f>
        <v>0</v>
      </c>
      <c r="AD5161" s="580">
        <f t="shared" si="436"/>
        <v>5</v>
      </c>
      <c r="AE5161" s="580">
        <f t="shared" si="437"/>
        <v>2.5</v>
      </c>
      <c r="AF5161" s="580">
        <f t="shared" si="438"/>
        <v>2.5</v>
      </c>
      <c r="AG5161" s="580">
        <f t="shared" si="439"/>
        <v>0</v>
      </c>
      <c r="AH5161" s="580">
        <f t="shared" si="440"/>
        <v>0</v>
      </c>
    </row>
    <row r="5162" spans="28:34">
      <c r="AB5162" s="580">
        <f>HLOOKUP("*"&amp;'Output annual'!$AC$2&amp;'Output annual'!$AD$2&amp;"*Zone People Number Of Occupants [](Hourly)",'Eplus results'!$1:$1048576,ROW(),FALSE)</f>
        <v>0</v>
      </c>
      <c r="AC5162" s="580">
        <f>HLOOKUP("*"&amp;'Output annual'!$AC$2&amp;'Output annual'!$AD$2&amp;"*FangerPMV(Hourly)",'Eplus results'!$1:$1048576,ROW(),FALSE)</f>
        <v>0</v>
      </c>
      <c r="AD5162" s="580">
        <f t="shared" si="436"/>
        <v>5</v>
      </c>
      <c r="AE5162" s="580">
        <f t="shared" si="437"/>
        <v>2.5</v>
      </c>
      <c r="AF5162" s="580">
        <f t="shared" si="438"/>
        <v>2.5</v>
      </c>
      <c r="AG5162" s="580">
        <f t="shared" si="439"/>
        <v>0</v>
      </c>
      <c r="AH5162" s="580">
        <f t="shared" si="440"/>
        <v>0</v>
      </c>
    </row>
    <row r="5163" spans="28:34">
      <c r="AB5163" s="580">
        <f>HLOOKUP("*"&amp;'Output annual'!$AC$2&amp;'Output annual'!$AD$2&amp;"*Zone People Number Of Occupants [](Hourly)",'Eplus results'!$1:$1048576,ROW(),FALSE)</f>
        <v>0</v>
      </c>
      <c r="AC5163" s="580">
        <f>HLOOKUP("*"&amp;'Output annual'!$AC$2&amp;'Output annual'!$AD$2&amp;"*FangerPMV(Hourly)",'Eplus results'!$1:$1048576,ROW(),FALSE)</f>
        <v>0</v>
      </c>
      <c r="AD5163" s="580">
        <f t="shared" si="436"/>
        <v>5</v>
      </c>
      <c r="AE5163" s="580">
        <f t="shared" si="437"/>
        <v>2.5</v>
      </c>
      <c r="AF5163" s="580">
        <f t="shared" si="438"/>
        <v>2.5</v>
      </c>
      <c r="AG5163" s="580">
        <f t="shared" si="439"/>
        <v>0</v>
      </c>
      <c r="AH5163" s="580">
        <f t="shared" si="440"/>
        <v>0</v>
      </c>
    </row>
    <row r="5164" spans="28:34">
      <c r="AB5164" s="580">
        <f>HLOOKUP("*"&amp;'Output annual'!$AC$2&amp;'Output annual'!$AD$2&amp;"*Zone People Number Of Occupants [](Hourly)",'Eplus results'!$1:$1048576,ROW(),FALSE)</f>
        <v>0</v>
      </c>
      <c r="AC5164" s="580">
        <f>HLOOKUP("*"&amp;'Output annual'!$AC$2&amp;'Output annual'!$AD$2&amp;"*FangerPMV(Hourly)",'Eplus results'!$1:$1048576,ROW(),FALSE)</f>
        <v>0</v>
      </c>
      <c r="AD5164" s="580">
        <f t="shared" si="436"/>
        <v>5</v>
      </c>
      <c r="AE5164" s="580">
        <f t="shared" si="437"/>
        <v>2.5</v>
      </c>
      <c r="AF5164" s="580">
        <f t="shared" si="438"/>
        <v>2.5</v>
      </c>
      <c r="AG5164" s="580">
        <f t="shared" si="439"/>
        <v>0</v>
      </c>
      <c r="AH5164" s="580">
        <f t="shared" si="440"/>
        <v>0</v>
      </c>
    </row>
    <row r="5165" spans="28:34">
      <c r="AB5165" s="580">
        <f>HLOOKUP("*"&amp;'Output annual'!$AC$2&amp;'Output annual'!$AD$2&amp;"*Zone People Number Of Occupants [](Hourly)",'Eplus results'!$1:$1048576,ROW(),FALSE)</f>
        <v>0</v>
      </c>
      <c r="AC5165" s="580">
        <f>HLOOKUP("*"&amp;'Output annual'!$AC$2&amp;'Output annual'!$AD$2&amp;"*FangerPMV(Hourly)",'Eplus results'!$1:$1048576,ROW(),FALSE)</f>
        <v>0</v>
      </c>
      <c r="AD5165" s="580">
        <f t="shared" si="436"/>
        <v>5</v>
      </c>
      <c r="AE5165" s="580">
        <f t="shared" si="437"/>
        <v>2.5</v>
      </c>
      <c r="AF5165" s="580">
        <f t="shared" si="438"/>
        <v>2.5</v>
      </c>
      <c r="AG5165" s="580">
        <f t="shared" si="439"/>
        <v>0</v>
      </c>
      <c r="AH5165" s="580">
        <f t="shared" si="440"/>
        <v>0</v>
      </c>
    </row>
    <row r="5166" spans="28:34">
      <c r="AB5166" s="580">
        <f>HLOOKUP("*"&amp;'Output annual'!$AC$2&amp;'Output annual'!$AD$2&amp;"*Zone People Number Of Occupants [](Hourly)",'Eplus results'!$1:$1048576,ROW(),FALSE)</f>
        <v>0</v>
      </c>
      <c r="AC5166" s="580">
        <f>HLOOKUP("*"&amp;'Output annual'!$AC$2&amp;'Output annual'!$AD$2&amp;"*FangerPMV(Hourly)",'Eplus results'!$1:$1048576,ROW(),FALSE)</f>
        <v>0</v>
      </c>
      <c r="AD5166" s="580">
        <f t="shared" si="436"/>
        <v>5</v>
      </c>
      <c r="AE5166" s="580">
        <f t="shared" si="437"/>
        <v>2.5</v>
      </c>
      <c r="AF5166" s="580">
        <f t="shared" si="438"/>
        <v>2.5</v>
      </c>
      <c r="AG5166" s="580">
        <f t="shared" si="439"/>
        <v>0</v>
      </c>
      <c r="AH5166" s="580">
        <f t="shared" si="440"/>
        <v>0</v>
      </c>
    </row>
    <row r="5167" spans="28:34">
      <c r="AB5167" s="580">
        <f>HLOOKUP("*"&amp;'Output annual'!$AC$2&amp;'Output annual'!$AD$2&amp;"*Zone People Number Of Occupants [](Hourly)",'Eplus results'!$1:$1048576,ROW(),FALSE)</f>
        <v>0</v>
      </c>
      <c r="AC5167" s="580">
        <f>HLOOKUP("*"&amp;'Output annual'!$AC$2&amp;'Output annual'!$AD$2&amp;"*FangerPMV(Hourly)",'Eplus results'!$1:$1048576,ROW(),FALSE)</f>
        <v>0</v>
      </c>
      <c r="AD5167" s="580">
        <f t="shared" si="436"/>
        <v>5</v>
      </c>
      <c r="AE5167" s="580">
        <f t="shared" si="437"/>
        <v>2.5</v>
      </c>
      <c r="AF5167" s="580">
        <f t="shared" si="438"/>
        <v>2.5</v>
      </c>
      <c r="AG5167" s="580">
        <f t="shared" si="439"/>
        <v>0</v>
      </c>
      <c r="AH5167" s="580">
        <f t="shared" si="440"/>
        <v>0</v>
      </c>
    </row>
    <row r="5168" spans="28:34">
      <c r="AB5168" s="580">
        <f>HLOOKUP("*"&amp;'Output annual'!$AC$2&amp;'Output annual'!$AD$2&amp;"*Zone People Number Of Occupants [](Hourly)",'Eplus results'!$1:$1048576,ROW(),FALSE)</f>
        <v>0</v>
      </c>
      <c r="AC5168" s="580">
        <f>HLOOKUP("*"&amp;'Output annual'!$AC$2&amp;'Output annual'!$AD$2&amp;"*FangerPMV(Hourly)",'Eplus results'!$1:$1048576,ROW(),FALSE)</f>
        <v>0</v>
      </c>
      <c r="AD5168" s="580">
        <f t="shared" si="436"/>
        <v>5</v>
      </c>
      <c r="AE5168" s="580">
        <f t="shared" si="437"/>
        <v>2.5</v>
      </c>
      <c r="AF5168" s="580">
        <f t="shared" si="438"/>
        <v>2.5</v>
      </c>
      <c r="AG5168" s="580">
        <f t="shared" si="439"/>
        <v>0</v>
      </c>
      <c r="AH5168" s="580">
        <f t="shared" si="440"/>
        <v>0</v>
      </c>
    </row>
    <row r="5169" spans="28:34">
      <c r="AB5169" s="580">
        <f>HLOOKUP("*"&amp;'Output annual'!$AC$2&amp;'Output annual'!$AD$2&amp;"*Zone People Number Of Occupants [](Hourly)",'Eplus results'!$1:$1048576,ROW(),FALSE)</f>
        <v>0</v>
      </c>
      <c r="AC5169" s="580">
        <f>HLOOKUP("*"&amp;'Output annual'!$AC$2&amp;'Output annual'!$AD$2&amp;"*FangerPMV(Hourly)",'Eplus results'!$1:$1048576,ROW(),FALSE)</f>
        <v>0</v>
      </c>
      <c r="AD5169" s="580">
        <f t="shared" si="436"/>
        <v>5</v>
      </c>
      <c r="AE5169" s="580">
        <f t="shared" si="437"/>
        <v>2.5</v>
      </c>
      <c r="AF5169" s="580">
        <f t="shared" si="438"/>
        <v>2.5</v>
      </c>
      <c r="AG5169" s="580">
        <f t="shared" si="439"/>
        <v>0</v>
      </c>
      <c r="AH5169" s="580">
        <f t="shared" si="440"/>
        <v>0</v>
      </c>
    </row>
    <row r="5170" spans="28:34">
      <c r="AB5170" s="580">
        <f>HLOOKUP("*"&amp;'Output annual'!$AC$2&amp;'Output annual'!$AD$2&amp;"*Zone People Number Of Occupants [](Hourly)",'Eplus results'!$1:$1048576,ROW(),FALSE)</f>
        <v>0</v>
      </c>
      <c r="AC5170" s="580">
        <f>HLOOKUP("*"&amp;'Output annual'!$AC$2&amp;'Output annual'!$AD$2&amp;"*FangerPMV(Hourly)",'Eplus results'!$1:$1048576,ROW(),FALSE)</f>
        <v>0</v>
      </c>
      <c r="AD5170" s="580">
        <f t="shared" si="436"/>
        <v>5</v>
      </c>
      <c r="AE5170" s="580">
        <f t="shared" si="437"/>
        <v>2.5</v>
      </c>
      <c r="AF5170" s="580">
        <f t="shared" si="438"/>
        <v>2.5</v>
      </c>
      <c r="AG5170" s="580">
        <f t="shared" si="439"/>
        <v>0</v>
      </c>
      <c r="AH5170" s="580">
        <f t="shared" si="440"/>
        <v>0</v>
      </c>
    </row>
    <row r="5171" spans="28:34">
      <c r="AB5171" s="580">
        <f>HLOOKUP("*"&amp;'Output annual'!$AC$2&amp;'Output annual'!$AD$2&amp;"*Zone People Number Of Occupants [](Hourly)",'Eplus results'!$1:$1048576,ROW(),FALSE)</f>
        <v>0</v>
      </c>
      <c r="AC5171" s="580">
        <f>HLOOKUP("*"&amp;'Output annual'!$AC$2&amp;'Output annual'!$AD$2&amp;"*FangerPMV(Hourly)",'Eplus results'!$1:$1048576,ROW(),FALSE)</f>
        <v>0</v>
      </c>
      <c r="AD5171" s="580">
        <f t="shared" si="436"/>
        <v>5</v>
      </c>
      <c r="AE5171" s="580">
        <f t="shared" si="437"/>
        <v>2.5</v>
      </c>
      <c r="AF5171" s="580">
        <f t="shared" si="438"/>
        <v>2.5</v>
      </c>
      <c r="AG5171" s="580">
        <f t="shared" si="439"/>
        <v>0</v>
      </c>
      <c r="AH5171" s="580">
        <f t="shared" si="440"/>
        <v>0</v>
      </c>
    </row>
    <row r="5172" spans="28:34">
      <c r="AB5172" s="580">
        <f>HLOOKUP("*"&amp;'Output annual'!$AC$2&amp;'Output annual'!$AD$2&amp;"*Zone People Number Of Occupants [](Hourly)",'Eplus results'!$1:$1048576,ROW(),FALSE)</f>
        <v>0</v>
      </c>
      <c r="AC5172" s="580">
        <f>HLOOKUP("*"&amp;'Output annual'!$AC$2&amp;'Output annual'!$AD$2&amp;"*FangerPMV(Hourly)",'Eplus results'!$1:$1048576,ROW(),FALSE)</f>
        <v>0</v>
      </c>
      <c r="AD5172" s="580">
        <f t="shared" si="436"/>
        <v>5</v>
      </c>
      <c r="AE5172" s="580">
        <f t="shared" si="437"/>
        <v>2.5</v>
      </c>
      <c r="AF5172" s="580">
        <f t="shared" si="438"/>
        <v>2.5</v>
      </c>
      <c r="AG5172" s="580">
        <f t="shared" si="439"/>
        <v>0</v>
      </c>
      <c r="AH5172" s="580">
        <f t="shared" si="440"/>
        <v>0</v>
      </c>
    </row>
    <row r="5173" spans="28:34">
      <c r="AB5173" s="580">
        <f>HLOOKUP("*"&amp;'Output annual'!$AC$2&amp;'Output annual'!$AD$2&amp;"*Zone People Number Of Occupants [](Hourly)",'Eplus results'!$1:$1048576,ROW(),FALSE)</f>
        <v>0</v>
      </c>
      <c r="AC5173" s="580">
        <f>HLOOKUP("*"&amp;'Output annual'!$AC$2&amp;'Output annual'!$AD$2&amp;"*FangerPMV(Hourly)",'Eplus results'!$1:$1048576,ROW(),FALSE)</f>
        <v>0</v>
      </c>
      <c r="AD5173" s="580">
        <f t="shared" si="436"/>
        <v>5</v>
      </c>
      <c r="AE5173" s="580">
        <f t="shared" si="437"/>
        <v>2.5</v>
      </c>
      <c r="AF5173" s="580">
        <f t="shared" si="438"/>
        <v>2.5</v>
      </c>
      <c r="AG5173" s="580">
        <f t="shared" si="439"/>
        <v>0</v>
      </c>
      <c r="AH5173" s="580">
        <f t="shared" si="440"/>
        <v>0</v>
      </c>
    </row>
    <row r="5174" spans="28:34">
      <c r="AB5174" s="580">
        <f>HLOOKUP("*"&amp;'Output annual'!$AC$2&amp;'Output annual'!$AD$2&amp;"*Zone People Number Of Occupants [](Hourly)",'Eplus results'!$1:$1048576,ROW(),FALSE)</f>
        <v>0</v>
      </c>
      <c r="AC5174" s="580">
        <f>HLOOKUP("*"&amp;'Output annual'!$AC$2&amp;'Output annual'!$AD$2&amp;"*FangerPMV(Hourly)",'Eplus results'!$1:$1048576,ROW(),FALSE)</f>
        <v>0</v>
      </c>
      <c r="AD5174" s="580">
        <f t="shared" si="436"/>
        <v>5</v>
      </c>
      <c r="AE5174" s="580">
        <f t="shared" si="437"/>
        <v>2.5</v>
      </c>
      <c r="AF5174" s="580">
        <f t="shared" si="438"/>
        <v>2.5</v>
      </c>
      <c r="AG5174" s="580">
        <f t="shared" si="439"/>
        <v>0</v>
      </c>
      <c r="AH5174" s="580">
        <f t="shared" si="440"/>
        <v>0</v>
      </c>
    </row>
    <row r="5175" spans="28:34">
      <c r="AB5175" s="580">
        <f>HLOOKUP("*"&amp;'Output annual'!$AC$2&amp;'Output annual'!$AD$2&amp;"*Zone People Number Of Occupants [](Hourly)",'Eplus results'!$1:$1048576,ROW(),FALSE)</f>
        <v>0</v>
      </c>
      <c r="AC5175" s="580">
        <f>HLOOKUP("*"&amp;'Output annual'!$AC$2&amp;'Output annual'!$AD$2&amp;"*FangerPMV(Hourly)",'Eplus results'!$1:$1048576,ROW(),FALSE)</f>
        <v>0</v>
      </c>
      <c r="AD5175" s="580">
        <f t="shared" si="436"/>
        <v>5</v>
      </c>
      <c r="AE5175" s="580">
        <f t="shared" si="437"/>
        <v>2.5</v>
      </c>
      <c r="AF5175" s="580">
        <f t="shared" si="438"/>
        <v>2.5</v>
      </c>
      <c r="AG5175" s="580">
        <f t="shared" si="439"/>
        <v>0</v>
      </c>
      <c r="AH5175" s="580">
        <f t="shared" si="440"/>
        <v>0</v>
      </c>
    </row>
    <row r="5176" spans="28:34">
      <c r="AB5176" s="580">
        <f>HLOOKUP("*"&amp;'Output annual'!$AC$2&amp;'Output annual'!$AD$2&amp;"*Zone People Number Of Occupants [](Hourly)",'Eplus results'!$1:$1048576,ROW(),FALSE)</f>
        <v>0</v>
      </c>
      <c r="AC5176" s="580">
        <f>HLOOKUP("*"&amp;'Output annual'!$AC$2&amp;'Output annual'!$AD$2&amp;"*FangerPMV(Hourly)",'Eplus results'!$1:$1048576,ROW(),FALSE)</f>
        <v>0</v>
      </c>
      <c r="AD5176" s="580">
        <f t="shared" si="436"/>
        <v>5</v>
      </c>
      <c r="AE5176" s="580">
        <f t="shared" si="437"/>
        <v>2.5</v>
      </c>
      <c r="AF5176" s="580">
        <f t="shared" si="438"/>
        <v>2.5</v>
      </c>
      <c r="AG5176" s="580">
        <f t="shared" si="439"/>
        <v>0</v>
      </c>
      <c r="AH5176" s="580">
        <f t="shared" si="440"/>
        <v>0</v>
      </c>
    </row>
    <row r="5177" spans="28:34">
      <c r="AB5177" s="580">
        <f>HLOOKUP("*"&amp;'Output annual'!$AC$2&amp;'Output annual'!$AD$2&amp;"*Zone People Number Of Occupants [](Hourly)",'Eplus results'!$1:$1048576,ROW(),FALSE)</f>
        <v>0</v>
      </c>
      <c r="AC5177" s="580">
        <f>HLOOKUP("*"&amp;'Output annual'!$AC$2&amp;'Output annual'!$AD$2&amp;"*FangerPMV(Hourly)",'Eplus results'!$1:$1048576,ROW(),FALSE)</f>
        <v>0</v>
      </c>
      <c r="AD5177" s="580">
        <f t="shared" si="436"/>
        <v>5</v>
      </c>
      <c r="AE5177" s="580">
        <f t="shared" si="437"/>
        <v>2.5</v>
      </c>
      <c r="AF5177" s="580">
        <f t="shared" si="438"/>
        <v>2.5</v>
      </c>
      <c r="AG5177" s="580">
        <f t="shared" si="439"/>
        <v>0</v>
      </c>
      <c r="AH5177" s="580">
        <f t="shared" si="440"/>
        <v>0</v>
      </c>
    </row>
    <row r="5178" spans="28:34">
      <c r="AB5178" s="580">
        <f>HLOOKUP("*"&amp;'Output annual'!$AC$2&amp;'Output annual'!$AD$2&amp;"*Zone People Number Of Occupants [](Hourly)",'Eplus results'!$1:$1048576,ROW(),FALSE)</f>
        <v>0</v>
      </c>
      <c r="AC5178" s="580">
        <f>HLOOKUP("*"&amp;'Output annual'!$AC$2&amp;'Output annual'!$AD$2&amp;"*FangerPMV(Hourly)",'Eplus results'!$1:$1048576,ROW(),FALSE)</f>
        <v>0</v>
      </c>
      <c r="AD5178" s="580">
        <f t="shared" si="436"/>
        <v>5</v>
      </c>
      <c r="AE5178" s="580">
        <f t="shared" si="437"/>
        <v>2.5</v>
      </c>
      <c r="AF5178" s="580">
        <f t="shared" si="438"/>
        <v>2.5</v>
      </c>
      <c r="AG5178" s="580">
        <f t="shared" si="439"/>
        <v>0</v>
      </c>
      <c r="AH5178" s="580">
        <f t="shared" si="440"/>
        <v>0</v>
      </c>
    </row>
    <row r="5179" spans="28:34">
      <c r="AB5179" s="580">
        <f>HLOOKUP("*"&amp;'Output annual'!$AC$2&amp;'Output annual'!$AD$2&amp;"*Zone People Number Of Occupants [](Hourly)",'Eplus results'!$1:$1048576,ROW(),FALSE)</f>
        <v>0</v>
      </c>
      <c r="AC5179" s="580">
        <f>HLOOKUP("*"&amp;'Output annual'!$AC$2&amp;'Output annual'!$AD$2&amp;"*FangerPMV(Hourly)",'Eplus results'!$1:$1048576,ROW(),FALSE)</f>
        <v>0</v>
      </c>
      <c r="AD5179" s="580">
        <f t="shared" si="436"/>
        <v>5</v>
      </c>
      <c r="AE5179" s="580">
        <f t="shared" si="437"/>
        <v>2.5</v>
      </c>
      <c r="AF5179" s="580">
        <f t="shared" si="438"/>
        <v>2.5</v>
      </c>
      <c r="AG5179" s="580">
        <f t="shared" si="439"/>
        <v>0</v>
      </c>
      <c r="AH5179" s="580">
        <f t="shared" si="440"/>
        <v>0</v>
      </c>
    </row>
    <row r="5180" spans="28:34">
      <c r="AB5180" s="580">
        <f>HLOOKUP("*"&amp;'Output annual'!$AC$2&amp;'Output annual'!$AD$2&amp;"*Zone People Number Of Occupants [](Hourly)",'Eplus results'!$1:$1048576,ROW(),FALSE)</f>
        <v>0</v>
      </c>
      <c r="AC5180" s="580">
        <f>HLOOKUP("*"&amp;'Output annual'!$AC$2&amp;'Output annual'!$AD$2&amp;"*FangerPMV(Hourly)",'Eplus results'!$1:$1048576,ROW(),FALSE)</f>
        <v>0</v>
      </c>
      <c r="AD5180" s="580">
        <f t="shared" si="436"/>
        <v>5</v>
      </c>
      <c r="AE5180" s="580">
        <f t="shared" si="437"/>
        <v>2.5</v>
      </c>
      <c r="AF5180" s="580">
        <f t="shared" si="438"/>
        <v>2.5</v>
      </c>
      <c r="AG5180" s="580">
        <f t="shared" si="439"/>
        <v>0</v>
      </c>
      <c r="AH5180" s="580">
        <f t="shared" si="440"/>
        <v>0</v>
      </c>
    </row>
    <row r="5181" spans="28:34">
      <c r="AB5181" s="580">
        <f>HLOOKUP("*"&amp;'Output annual'!$AC$2&amp;'Output annual'!$AD$2&amp;"*Zone People Number Of Occupants [](Hourly)",'Eplus results'!$1:$1048576,ROW(),FALSE)</f>
        <v>0</v>
      </c>
      <c r="AC5181" s="580">
        <f>HLOOKUP("*"&amp;'Output annual'!$AC$2&amp;'Output annual'!$AD$2&amp;"*FangerPMV(Hourly)",'Eplus results'!$1:$1048576,ROW(),FALSE)</f>
        <v>0</v>
      </c>
      <c r="AD5181" s="580">
        <f t="shared" si="436"/>
        <v>5</v>
      </c>
      <c r="AE5181" s="580">
        <f t="shared" si="437"/>
        <v>2.5</v>
      </c>
      <c r="AF5181" s="580">
        <f t="shared" si="438"/>
        <v>2.5</v>
      </c>
      <c r="AG5181" s="580">
        <f t="shared" si="439"/>
        <v>0</v>
      </c>
      <c r="AH5181" s="580">
        <f t="shared" si="440"/>
        <v>0</v>
      </c>
    </row>
    <row r="5182" spans="28:34">
      <c r="AB5182" s="580">
        <f>HLOOKUP("*"&amp;'Output annual'!$AC$2&amp;'Output annual'!$AD$2&amp;"*Zone People Number Of Occupants [](Hourly)",'Eplus results'!$1:$1048576,ROW(),FALSE)</f>
        <v>0</v>
      </c>
      <c r="AC5182" s="580">
        <f>HLOOKUP("*"&amp;'Output annual'!$AC$2&amp;'Output annual'!$AD$2&amp;"*FangerPMV(Hourly)",'Eplus results'!$1:$1048576,ROW(),FALSE)</f>
        <v>0</v>
      </c>
      <c r="AD5182" s="580">
        <f t="shared" si="436"/>
        <v>5</v>
      </c>
      <c r="AE5182" s="580">
        <f t="shared" si="437"/>
        <v>2.5</v>
      </c>
      <c r="AF5182" s="580">
        <f t="shared" si="438"/>
        <v>2.5</v>
      </c>
      <c r="AG5182" s="580">
        <f t="shared" si="439"/>
        <v>0</v>
      </c>
      <c r="AH5182" s="580">
        <f t="shared" si="440"/>
        <v>0</v>
      </c>
    </row>
    <row r="5183" spans="28:34">
      <c r="AB5183" s="580">
        <f>HLOOKUP("*"&amp;'Output annual'!$AC$2&amp;'Output annual'!$AD$2&amp;"*Zone People Number Of Occupants [](Hourly)",'Eplus results'!$1:$1048576,ROW(),FALSE)</f>
        <v>0</v>
      </c>
      <c r="AC5183" s="580">
        <f>HLOOKUP("*"&amp;'Output annual'!$AC$2&amp;'Output annual'!$AD$2&amp;"*FangerPMV(Hourly)",'Eplus results'!$1:$1048576,ROW(),FALSE)</f>
        <v>0</v>
      </c>
      <c r="AD5183" s="580">
        <f t="shared" si="436"/>
        <v>5</v>
      </c>
      <c r="AE5183" s="580">
        <f t="shared" si="437"/>
        <v>2.5</v>
      </c>
      <c r="AF5183" s="580">
        <f t="shared" si="438"/>
        <v>2.5</v>
      </c>
      <c r="AG5183" s="580">
        <f t="shared" si="439"/>
        <v>0</v>
      </c>
      <c r="AH5183" s="580">
        <f t="shared" si="440"/>
        <v>0</v>
      </c>
    </row>
    <row r="5184" spans="28:34">
      <c r="AB5184" s="580">
        <f>HLOOKUP("*"&amp;'Output annual'!$AC$2&amp;'Output annual'!$AD$2&amp;"*Zone People Number Of Occupants [](Hourly)",'Eplus results'!$1:$1048576,ROW(),FALSE)</f>
        <v>0</v>
      </c>
      <c r="AC5184" s="580">
        <f>HLOOKUP("*"&amp;'Output annual'!$AC$2&amp;'Output annual'!$AD$2&amp;"*FangerPMV(Hourly)",'Eplus results'!$1:$1048576,ROW(),FALSE)</f>
        <v>0</v>
      </c>
      <c r="AD5184" s="580">
        <f t="shared" si="436"/>
        <v>5</v>
      </c>
      <c r="AE5184" s="580">
        <f t="shared" si="437"/>
        <v>2.5</v>
      </c>
      <c r="AF5184" s="580">
        <f t="shared" si="438"/>
        <v>2.5</v>
      </c>
      <c r="AG5184" s="580">
        <f t="shared" si="439"/>
        <v>0</v>
      </c>
      <c r="AH5184" s="580">
        <f t="shared" si="440"/>
        <v>0</v>
      </c>
    </row>
    <row r="5185" spans="28:34">
      <c r="AB5185" s="580">
        <f>HLOOKUP("*"&amp;'Output annual'!$AC$2&amp;'Output annual'!$AD$2&amp;"*Zone People Number Of Occupants [](Hourly)",'Eplus results'!$1:$1048576,ROW(),FALSE)</f>
        <v>0</v>
      </c>
      <c r="AC5185" s="580">
        <f>HLOOKUP("*"&amp;'Output annual'!$AC$2&amp;'Output annual'!$AD$2&amp;"*FangerPMV(Hourly)",'Eplus results'!$1:$1048576,ROW(),FALSE)</f>
        <v>0</v>
      </c>
      <c r="AD5185" s="580">
        <f t="shared" si="436"/>
        <v>5</v>
      </c>
      <c r="AE5185" s="580">
        <f t="shared" si="437"/>
        <v>2.5</v>
      </c>
      <c r="AF5185" s="580">
        <f t="shared" si="438"/>
        <v>2.5</v>
      </c>
      <c r="AG5185" s="580">
        <f t="shared" si="439"/>
        <v>0</v>
      </c>
      <c r="AH5185" s="580">
        <f t="shared" si="440"/>
        <v>0</v>
      </c>
    </row>
    <row r="5186" spans="28:34">
      <c r="AB5186" s="580">
        <f>HLOOKUP("*"&amp;'Output annual'!$AC$2&amp;'Output annual'!$AD$2&amp;"*Zone People Number Of Occupants [](Hourly)",'Eplus results'!$1:$1048576,ROW(),FALSE)</f>
        <v>0</v>
      </c>
      <c r="AC5186" s="580">
        <f>HLOOKUP("*"&amp;'Output annual'!$AC$2&amp;'Output annual'!$AD$2&amp;"*FangerPMV(Hourly)",'Eplus results'!$1:$1048576,ROW(),FALSE)</f>
        <v>0</v>
      </c>
      <c r="AD5186" s="580">
        <f t="shared" si="436"/>
        <v>5</v>
      </c>
      <c r="AE5186" s="580">
        <f t="shared" si="437"/>
        <v>2.5</v>
      </c>
      <c r="AF5186" s="580">
        <f t="shared" si="438"/>
        <v>2.5</v>
      </c>
      <c r="AG5186" s="580">
        <f t="shared" si="439"/>
        <v>0</v>
      </c>
      <c r="AH5186" s="580">
        <f t="shared" si="440"/>
        <v>0</v>
      </c>
    </row>
    <row r="5187" spans="28:34">
      <c r="AB5187" s="580">
        <f>HLOOKUP("*"&amp;'Output annual'!$AC$2&amp;'Output annual'!$AD$2&amp;"*Zone People Number Of Occupants [](Hourly)",'Eplus results'!$1:$1048576,ROW(),FALSE)</f>
        <v>0</v>
      </c>
      <c r="AC5187" s="580">
        <f>HLOOKUP("*"&amp;'Output annual'!$AC$2&amp;'Output annual'!$AD$2&amp;"*FangerPMV(Hourly)",'Eplus results'!$1:$1048576,ROW(),FALSE)</f>
        <v>0</v>
      </c>
      <c r="AD5187" s="580">
        <f t="shared" ref="AD5187:AD5250" si="441">100-95*EXP(-0.03353*AC5187^4-0.2179*AC5187^2)</f>
        <v>5</v>
      </c>
      <c r="AE5187" s="580">
        <f t="shared" ref="AE5187:AE5250" si="442">AD5187*(1/(1+EXP(-6.3*$AC5187)))</f>
        <v>2.5</v>
      </c>
      <c r="AF5187" s="580">
        <f t="shared" ref="AF5187:AF5250" si="443">(AD5187-AE5187)</f>
        <v>2.5</v>
      </c>
      <c r="AG5187" s="580">
        <f t="shared" ref="AG5187:AG5250" si="444">AE5187*AB5187</f>
        <v>0</v>
      </c>
      <c r="AH5187" s="580">
        <f t="shared" ref="AH5187:AH5250" si="445">AF5187*AB5187</f>
        <v>0</v>
      </c>
    </row>
    <row r="5188" spans="28:34">
      <c r="AB5188" s="580">
        <f>HLOOKUP("*"&amp;'Output annual'!$AC$2&amp;'Output annual'!$AD$2&amp;"*Zone People Number Of Occupants [](Hourly)",'Eplus results'!$1:$1048576,ROW(),FALSE)</f>
        <v>0</v>
      </c>
      <c r="AC5188" s="580">
        <f>HLOOKUP("*"&amp;'Output annual'!$AC$2&amp;'Output annual'!$AD$2&amp;"*FangerPMV(Hourly)",'Eplus results'!$1:$1048576,ROW(),FALSE)</f>
        <v>0</v>
      </c>
      <c r="AD5188" s="580">
        <f t="shared" si="441"/>
        <v>5</v>
      </c>
      <c r="AE5188" s="580">
        <f t="shared" si="442"/>
        <v>2.5</v>
      </c>
      <c r="AF5188" s="580">
        <f t="shared" si="443"/>
        <v>2.5</v>
      </c>
      <c r="AG5188" s="580">
        <f t="shared" si="444"/>
        <v>0</v>
      </c>
      <c r="AH5188" s="580">
        <f t="shared" si="445"/>
        <v>0</v>
      </c>
    </row>
    <row r="5189" spans="28:34">
      <c r="AB5189" s="580">
        <f>HLOOKUP("*"&amp;'Output annual'!$AC$2&amp;'Output annual'!$AD$2&amp;"*Zone People Number Of Occupants [](Hourly)",'Eplus results'!$1:$1048576,ROW(),FALSE)</f>
        <v>0</v>
      </c>
      <c r="AC5189" s="580">
        <f>HLOOKUP("*"&amp;'Output annual'!$AC$2&amp;'Output annual'!$AD$2&amp;"*FangerPMV(Hourly)",'Eplus results'!$1:$1048576,ROW(),FALSE)</f>
        <v>0</v>
      </c>
      <c r="AD5189" s="580">
        <f t="shared" si="441"/>
        <v>5</v>
      </c>
      <c r="AE5189" s="580">
        <f t="shared" si="442"/>
        <v>2.5</v>
      </c>
      <c r="AF5189" s="580">
        <f t="shared" si="443"/>
        <v>2.5</v>
      </c>
      <c r="AG5189" s="580">
        <f t="shared" si="444"/>
        <v>0</v>
      </c>
      <c r="AH5189" s="580">
        <f t="shared" si="445"/>
        <v>0</v>
      </c>
    </row>
    <row r="5190" spans="28:34">
      <c r="AB5190" s="580">
        <f>HLOOKUP("*"&amp;'Output annual'!$AC$2&amp;'Output annual'!$AD$2&amp;"*Zone People Number Of Occupants [](Hourly)",'Eplus results'!$1:$1048576,ROW(),FALSE)</f>
        <v>0</v>
      </c>
      <c r="AC5190" s="580">
        <f>HLOOKUP("*"&amp;'Output annual'!$AC$2&amp;'Output annual'!$AD$2&amp;"*FangerPMV(Hourly)",'Eplus results'!$1:$1048576,ROW(),FALSE)</f>
        <v>0</v>
      </c>
      <c r="AD5190" s="580">
        <f t="shared" si="441"/>
        <v>5</v>
      </c>
      <c r="AE5190" s="580">
        <f t="shared" si="442"/>
        <v>2.5</v>
      </c>
      <c r="AF5190" s="580">
        <f t="shared" si="443"/>
        <v>2.5</v>
      </c>
      <c r="AG5190" s="580">
        <f t="shared" si="444"/>
        <v>0</v>
      </c>
      <c r="AH5190" s="580">
        <f t="shared" si="445"/>
        <v>0</v>
      </c>
    </row>
    <row r="5191" spans="28:34">
      <c r="AB5191" s="580">
        <f>HLOOKUP("*"&amp;'Output annual'!$AC$2&amp;'Output annual'!$AD$2&amp;"*Zone People Number Of Occupants [](Hourly)",'Eplus results'!$1:$1048576,ROW(),FALSE)</f>
        <v>0</v>
      </c>
      <c r="AC5191" s="580">
        <f>HLOOKUP("*"&amp;'Output annual'!$AC$2&amp;'Output annual'!$AD$2&amp;"*FangerPMV(Hourly)",'Eplus results'!$1:$1048576,ROW(),FALSE)</f>
        <v>0</v>
      </c>
      <c r="AD5191" s="580">
        <f t="shared" si="441"/>
        <v>5</v>
      </c>
      <c r="AE5191" s="580">
        <f t="shared" si="442"/>
        <v>2.5</v>
      </c>
      <c r="AF5191" s="580">
        <f t="shared" si="443"/>
        <v>2.5</v>
      </c>
      <c r="AG5191" s="580">
        <f t="shared" si="444"/>
        <v>0</v>
      </c>
      <c r="AH5191" s="580">
        <f t="shared" si="445"/>
        <v>0</v>
      </c>
    </row>
    <row r="5192" spans="28:34">
      <c r="AB5192" s="580">
        <f>HLOOKUP("*"&amp;'Output annual'!$AC$2&amp;'Output annual'!$AD$2&amp;"*Zone People Number Of Occupants [](Hourly)",'Eplus results'!$1:$1048576,ROW(),FALSE)</f>
        <v>0</v>
      </c>
      <c r="AC5192" s="580">
        <f>HLOOKUP("*"&amp;'Output annual'!$AC$2&amp;'Output annual'!$AD$2&amp;"*FangerPMV(Hourly)",'Eplus results'!$1:$1048576,ROW(),FALSE)</f>
        <v>0</v>
      </c>
      <c r="AD5192" s="580">
        <f t="shared" si="441"/>
        <v>5</v>
      </c>
      <c r="AE5192" s="580">
        <f t="shared" si="442"/>
        <v>2.5</v>
      </c>
      <c r="AF5192" s="580">
        <f t="shared" si="443"/>
        <v>2.5</v>
      </c>
      <c r="AG5192" s="580">
        <f t="shared" si="444"/>
        <v>0</v>
      </c>
      <c r="AH5192" s="580">
        <f t="shared" si="445"/>
        <v>0</v>
      </c>
    </row>
    <row r="5193" spans="28:34">
      <c r="AB5193" s="580">
        <f>HLOOKUP("*"&amp;'Output annual'!$AC$2&amp;'Output annual'!$AD$2&amp;"*Zone People Number Of Occupants [](Hourly)",'Eplus results'!$1:$1048576,ROW(),FALSE)</f>
        <v>0</v>
      </c>
      <c r="AC5193" s="580">
        <f>HLOOKUP("*"&amp;'Output annual'!$AC$2&amp;'Output annual'!$AD$2&amp;"*FangerPMV(Hourly)",'Eplus results'!$1:$1048576,ROW(),FALSE)</f>
        <v>0</v>
      </c>
      <c r="AD5193" s="580">
        <f t="shared" si="441"/>
        <v>5</v>
      </c>
      <c r="AE5193" s="580">
        <f t="shared" si="442"/>
        <v>2.5</v>
      </c>
      <c r="AF5193" s="580">
        <f t="shared" si="443"/>
        <v>2.5</v>
      </c>
      <c r="AG5193" s="580">
        <f t="shared" si="444"/>
        <v>0</v>
      </c>
      <c r="AH5193" s="580">
        <f t="shared" si="445"/>
        <v>0</v>
      </c>
    </row>
    <row r="5194" spans="28:34">
      <c r="AB5194" s="580">
        <f>HLOOKUP("*"&amp;'Output annual'!$AC$2&amp;'Output annual'!$AD$2&amp;"*Zone People Number Of Occupants [](Hourly)",'Eplus results'!$1:$1048576,ROW(),FALSE)</f>
        <v>0</v>
      </c>
      <c r="AC5194" s="580">
        <f>HLOOKUP("*"&amp;'Output annual'!$AC$2&amp;'Output annual'!$AD$2&amp;"*FangerPMV(Hourly)",'Eplus results'!$1:$1048576,ROW(),FALSE)</f>
        <v>0</v>
      </c>
      <c r="AD5194" s="580">
        <f t="shared" si="441"/>
        <v>5</v>
      </c>
      <c r="AE5194" s="580">
        <f t="shared" si="442"/>
        <v>2.5</v>
      </c>
      <c r="AF5194" s="580">
        <f t="shared" si="443"/>
        <v>2.5</v>
      </c>
      <c r="AG5194" s="580">
        <f t="shared" si="444"/>
        <v>0</v>
      </c>
      <c r="AH5194" s="580">
        <f t="shared" si="445"/>
        <v>0</v>
      </c>
    </row>
    <row r="5195" spans="28:34">
      <c r="AB5195" s="580">
        <f>HLOOKUP("*"&amp;'Output annual'!$AC$2&amp;'Output annual'!$AD$2&amp;"*Zone People Number Of Occupants [](Hourly)",'Eplus results'!$1:$1048576,ROW(),FALSE)</f>
        <v>0</v>
      </c>
      <c r="AC5195" s="580">
        <f>HLOOKUP("*"&amp;'Output annual'!$AC$2&amp;'Output annual'!$AD$2&amp;"*FangerPMV(Hourly)",'Eplus results'!$1:$1048576,ROW(),FALSE)</f>
        <v>0</v>
      </c>
      <c r="AD5195" s="580">
        <f t="shared" si="441"/>
        <v>5</v>
      </c>
      <c r="AE5195" s="580">
        <f t="shared" si="442"/>
        <v>2.5</v>
      </c>
      <c r="AF5195" s="580">
        <f t="shared" si="443"/>
        <v>2.5</v>
      </c>
      <c r="AG5195" s="580">
        <f t="shared" si="444"/>
        <v>0</v>
      </c>
      <c r="AH5195" s="580">
        <f t="shared" si="445"/>
        <v>0</v>
      </c>
    </row>
    <row r="5196" spans="28:34">
      <c r="AB5196" s="580">
        <f>HLOOKUP("*"&amp;'Output annual'!$AC$2&amp;'Output annual'!$AD$2&amp;"*Zone People Number Of Occupants [](Hourly)",'Eplus results'!$1:$1048576,ROW(),FALSE)</f>
        <v>0</v>
      </c>
      <c r="AC5196" s="580">
        <f>HLOOKUP("*"&amp;'Output annual'!$AC$2&amp;'Output annual'!$AD$2&amp;"*FangerPMV(Hourly)",'Eplus results'!$1:$1048576,ROW(),FALSE)</f>
        <v>0</v>
      </c>
      <c r="AD5196" s="580">
        <f t="shared" si="441"/>
        <v>5</v>
      </c>
      <c r="AE5196" s="580">
        <f t="shared" si="442"/>
        <v>2.5</v>
      </c>
      <c r="AF5196" s="580">
        <f t="shared" si="443"/>
        <v>2.5</v>
      </c>
      <c r="AG5196" s="580">
        <f t="shared" si="444"/>
        <v>0</v>
      </c>
      <c r="AH5196" s="580">
        <f t="shared" si="445"/>
        <v>0</v>
      </c>
    </row>
    <row r="5197" spans="28:34">
      <c r="AB5197" s="580">
        <f>HLOOKUP("*"&amp;'Output annual'!$AC$2&amp;'Output annual'!$AD$2&amp;"*Zone People Number Of Occupants [](Hourly)",'Eplus results'!$1:$1048576,ROW(),FALSE)</f>
        <v>0</v>
      </c>
      <c r="AC5197" s="580">
        <f>HLOOKUP("*"&amp;'Output annual'!$AC$2&amp;'Output annual'!$AD$2&amp;"*FangerPMV(Hourly)",'Eplus results'!$1:$1048576,ROW(),FALSE)</f>
        <v>0</v>
      </c>
      <c r="AD5197" s="580">
        <f t="shared" si="441"/>
        <v>5</v>
      </c>
      <c r="AE5197" s="580">
        <f t="shared" si="442"/>
        <v>2.5</v>
      </c>
      <c r="AF5197" s="580">
        <f t="shared" si="443"/>
        <v>2.5</v>
      </c>
      <c r="AG5197" s="580">
        <f t="shared" si="444"/>
        <v>0</v>
      </c>
      <c r="AH5197" s="580">
        <f t="shared" si="445"/>
        <v>0</v>
      </c>
    </row>
    <row r="5198" spans="28:34">
      <c r="AB5198" s="580">
        <f>HLOOKUP("*"&amp;'Output annual'!$AC$2&amp;'Output annual'!$AD$2&amp;"*Zone People Number Of Occupants [](Hourly)",'Eplus results'!$1:$1048576,ROW(),FALSE)</f>
        <v>0</v>
      </c>
      <c r="AC5198" s="580">
        <f>HLOOKUP("*"&amp;'Output annual'!$AC$2&amp;'Output annual'!$AD$2&amp;"*FangerPMV(Hourly)",'Eplus results'!$1:$1048576,ROW(),FALSE)</f>
        <v>0</v>
      </c>
      <c r="AD5198" s="580">
        <f t="shared" si="441"/>
        <v>5</v>
      </c>
      <c r="AE5198" s="580">
        <f t="shared" si="442"/>
        <v>2.5</v>
      </c>
      <c r="AF5198" s="580">
        <f t="shared" si="443"/>
        <v>2.5</v>
      </c>
      <c r="AG5198" s="580">
        <f t="shared" si="444"/>
        <v>0</v>
      </c>
      <c r="AH5198" s="580">
        <f t="shared" si="445"/>
        <v>0</v>
      </c>
    </row>
    <row r="5199" spans="28:34">
      <c r="AB5199" s="580">
        <f>HLOOKUP("*"&amp;'Output annual'!$AC$2&amp;'Output annual'!$AD$2&amp;"*Zone People Number Of Occupants [](Hourly)",'Eplus results'!$1:$1048576,ROW(),FALSE)</f>
        <v>0</v>
      </c>
      <c r="AC5199" s="580">
        <f>HLOOKUP("*"&amp;'Output annual'!$AC$2&amp;'Output annual'!$AD$2&amp;"*FangerPMV(Hourly)",'Eplus results'!$1:$1048576,ROW(),FALSE)</f>
        <v>0</v>
      </c>
      <c r="AD5199" s="580">
        <f t="shared" si="441"/>
        <v>5</v>
      </c>
      <c r="AE5199" s="580">
        <f t="shared" si="442"/>
        <v>2.5</v>
      </c>
      <c r="AF5199" s="580">
        <f t="shared" si="443"/>
        <v>2.5</v>
      </c>
      <c r="AG5199" s="580">
        <f t="shared" si="444"/>
        <v>0</v>
      </c>
      <c r="AH5199" s="580">
        <f t="shared" si="445"/>
        <v>0</v>
      </c>
    </row>
    <row r="5200" spans="28:34">
      <c r="AB5200" s="580">
        <f>HLOOKUP("*"&amp;'Output annual'!$AC$2&amp;'Output annual'!$AD$2&amp;"*Zone People Number Of Occupants [](Hourly)",'Eplus results'!$1:$1048576,ROW(),FALSE)</f>
        <v>0</v>
      </c>
      <c r="AC5200" s="580">
        <f>HLOOKUP("*"&amp;'Output annual'!$AC$2&amp;'Output annual'!$AD$2&amp;"*FangerPMV(Hourly)",'Eplus results'!$1:$1048576,ROW(),FALSE)</f>
        <v>0</v>
      </c>
      <c r="AD5200" s="580">
        <f t="shared" si="441"/>
        <v>5</v>
      </c>
      <c r="AE5200" s="580">
        <f t="shared" si="442"/>
        <v>2.5</v>
      </c>
      <c r="AF5200" s="580">
        <f t="shared" si="443"/>
        <v>2.5</v>
      </c>
      <c r="AG5200" s="580">
        <f t="shared" si="444"/>
        <v>0</v>
      </c>
      <c r="AH5200" s="580">
        <f t="shared" si="445"/>
        <v>0</v>
      </c>
    </row>
    <row r="5201" spans="28:34">
      <c r="AB5201" s="580">
        <f>HLOOKUP("*"&amp;'Output annual'!$AC$2&amp;'Output annual'!$AD$2&amp;"*Zone People Number Of Occupants [](Hourly)",'Eplus results'!$1:$1048576,ROW(),FALSE)</f>
        <v>0</v>
      </c>
      <c r="AC5201" s="580">
        <f>HLOOKUP("*"&amp;'Output annual'!$AC$2&amp;'Output annual'!$AD$2&amp;"*FangerPMV(Hourly)",'Eplus results'!$1:$1048576,ROW(),FALSE)</f>
        <v>0</v>
      </c>
      <c r="AD5201" s="580">
        <f t="shared" si="441"/>
        <v>5</v>
      </c>
      <c r="AE5201" s="580">
        <f t="shared" si="442"/>
        <v>2.5</v>
      </c>
      <c r="AF5201" s="580">
        <f t="shared" si="443"/>
        <v>2.5</v>
      </c>
      <c r="AG5201" s="580">
        <f t="shared" si="444"/>
        <v>0</v>
      </c>
      <c r="AH5201" s="580">
        <f t="shared" si="445"/>
        <v>0</v>
      </c>
    </row>
    <row r="5202" spans="28:34">
      <c r="AB5202" s="580">
        <f>HLOOKUP("*"&amp;'Output annual'!$AC$2&amp;'Output annual'!$AD$2&amp;"*Zone People Number Of Occupants [](Hourly)",'Eplus results'!$1:$1048576,ROW(),FALSE)</f>
        <v>0</v>
      </c>
      <c r="AC5202" s="580">
        <f>HLOOKUP("*"&amp;'Output annual'!$AC$2&amp;'Output annual'!$AD$2&amp;"*FangerPMV(Hourly)",'Eplus results'!$1:$1048576,ROW(),FALSE)</f>
        <v>0</v>
      </c>
      <c r="AD5202" s="580">
        <f t="shared" si="441"/>
        <v>5</v>
      </c>
      <c r="AE5202" s="580">
        <f t="shared" si="442"/>
        <v>2.5</v>
      </c>
      <c r="AF5202" s="580">
        <f t="shared" si="443"/>
        <v>2.5</v>
      </c>
      <c r="AG5202" s="580">
        <f t="shared" si="444"/>
        <v>0</v>
      </c>
      <c r="AH5202" s="580">
        <f t="shared" si="445"/>
        <v>0</v>
      </c>
    </row>
    <row r="5203" spans="28:34">
      <c r="AB5203" s="580">
        <f>HLOOKUP("*"&amp;'Output annual'!$AC$2&amp;'Output annual'!$AD$2&amp;"*Zone People Number Of Occupants [](Hourly)",'Eplus results'!$1:$1048576,ROW(),FALSE)</f>
        <v>0</v>
      </c>
      <c r="AC5203" s="580">
        <f>HLOOKUP("*"&amp;'Output annual'!$AC$2&amp;'Output annual'!$AD$2&amp;"*FangerPMV(Hourly)",'Eplus results'!$1:$1048576,ROW(),FALSE)</f>
        <v>0</v>
      </c>
      <c r="AD5203" s="580">
        <f t="shared" si="441"/>
        <v>5</v>
      </c>
      <c r="AE5203" s="580">
        <f t="shared" si="442"/>
        <v>2.5</v>
      </c>
      <c r="AF5203" s="580">
        <f t="shared" si="443"/>
        <v>2.5</v>
      </c>
      <c r="AG5203" s="580">
        <f t="shared" si="444"/>
        <v>0</v>
      </c>
      <c r="AH5203" s="580">
        <f t="shared" si="445"/>
        <v>0</v>
      </c>
    </row>
    <row r="5204" spans="28:34">
      <c r="AB5204" s="580">
        <f>HLOOKUP("*"&amp;'Output annual'!$AC$2&amp;'Output annual'!$AD$2&amp;"*Zone People Number Of Occupants [](Hourly)",'Eplus results'!$1:$1048576,ROW(),FALSE)</f>
        <v>0</v>
      </c>
      <c r="AC5204" s="580">
        <f>HLOOKUP("*"&amp;'Output annual'!$AC$2&amp;'Output annual'!$AD$2&amp;"*FangerPMV(Hourly)",'Eplus results'!$1:$1048576,ROW(),FALSE)</f>
        <v>0</v>
      </c>
      <c r="AD5204" s="580">
        <f t="shared" si="441"/>
        <v>5</v>
      </c>
      <c r="AE5204" s="580">
        <f t="shared" si="442"/>
        <v>2.5</v>
      </c>
      <c r="AF5204" s="580">
        <f t="shared" si="443"/>
        <v>2.5</v>
      </c>
      <c r="AG5204" s="580">
        <f t="shared" si="444"/>
        <v>0</v>
      </c>
      <c r="AH5204" s="580">
        <f t="shared" si="445"/>
        <v>0</v>
      </c>
    </row>
    <row r="5205" spans="28:34">
      <c r="AB5205" s="580">
        <f>HLOOKUP("*"&amp;'Output annual'!$AC$2&amp;'Output annual'!$AD$2&amp;"*Zone People Number Of Occupants [](Hourly)",'Eplus results'!$1:$1048576,ROW(),FALSE)</f>
        <v>0</v>
      </c>
      <c r="AC5205" s="580">
        <f>HLOOKUP("*"&amp;'Output annual'!$AC$2&amp;'Output annual'!$AD$2&amp;"*FangerPMV(Hourly)",'Eplus results'!$1:$1048576,ROW(),FALSE)</f>
        <v>0</v>
      </c>
      <c r="AD5205" s="580">
        <f t="shared" si="441"/>
        <v>5</v>
      </c>
      <c r="AE5205" s="580">
        <f t="shared" si="442"/>
        <v>2.5</v>
      </c>
      <c r="AF5205" s="580">
        <f t="shared" si="443"/>
        <v>2.5</v>
      </c>
      <c r="AG5205" s="580">
        <f t="shared" si="444"/>
        <v>0</v>
      </c>
      <c r="AH5205" s="580">
        <f t="shared" si="445"/>
        <v>0</v>
      </c>
    </row>
    <row r="5206" spans="28:34">
      <c r="AB5206" s="580">
        <f>HLOOKUP("*"&amp;'Output annual'!$AC$2&amp;'Output annual'!$AD$2&amp;"*Zone People Number Of Occupants [](Hourly)",'Eplus results'!$1:$1048576,ROW(),FALSE)</f>
        <v>0</v>
      </c>
      <c r="AC5206" s="580">
        <f>HLOOKUP("*"&amp;'Output annual'!$AC$2&amp;'Output annual'!$AD$2&amp;"*FangerPMV(Hourly)",'Eplus results'!$1:$1048576,ROW(),FALSE)</f>
        <v>0</v>
      </c>
      <c r="AD5206" s="580">
        <f t="shared" si="441"/>
        <v>5</v>
      </c>
      <c r="AE5206" s="580">
        <f t="shared" si="442"/>
        <v>2.5</v>
      </c>
      <c r="AF5206" s="580">
        <f t="shared" si="443"/>
        <v>2.5</v>
      </c>
      <c r="AG5206" s="580">
        <f t="shared" si="444"/>
        <v>0</v>
      </c>
      <c r="AH5206" s="580">
        <f t="shared" si="445"/>
        <v>0</v>
      </c>
    </row>
    <row r="5207" spans="28:34">
      <c r="AB5207" s="580">
        <f>HLOOKUP("*"&amp;'Output annual'!$AC$2&amp;'Output annual'!$AD$2&amp;"*Zone People Number Of Occupants [](Hourly)",'Eplus results'!$1:$1048576,ROW(),FALSE)</f>
        <v>0</v>
      </c>
      <c r="AC5207" s="580">
        <f>HLOOKUP("*"&amp;'Output annual'!$AC$2&amp;'Output annual'!$AD$2&amp;"*FangerPMV(Hourly)",'Eplus results'!$1:$1048576,ROW(),FALSE)</f>
        <v>0</v>
      </c>
      <c r="AD5207" s="580">
        <f t="shared" si="441"/>
        <v>5</v>
      </c>
      <c r="AE5207" s="580">
        <f t="shared" si="442"/>
        <v>2.5</v>
      </c>
      <c r="AF5207" s="580">
        <f t="shared" si="443"/>
        <v>2.5</v>
      </c>
      <c r="AG5207" s="580">
        <f t="shared" si="444"/>
        <v>0</v>
      </c>
      <c r="AH5207" s="580">
        <f t="shared" si="445"/>
        <v>0</v>
      </c>
    </row>
    <row r="5208" spans="28:34">
      <c r="AB5208" s="580">
        <f>HLOOKUP("*"&amp;'Output annual'!$AC$2&amp;'Output annual'!$AD$2&amp;"*Zone People Number Of Occupants [](Hourly)",'Eplus results'!$1:$1048576,ROW(),FALSE)</f>
        <v>0</v>
      </c>
      <c r="AC5208" s="580">
        <f>HLOOKUP("*"&amp;'Output annual'!$AC$2&amp;'Output annual'!$AD$2&amp;"*FangerPMV(Hourly)",'Eplus results'!$1:$1048576,ROW(),FALSE)</f>
        <v>0</v>
      </c>
      <c r="AD5208" s="580">
        <f t="shared" si="441"/>
        <v>5</v>
      </c>
      <c r="AE5208" s="580">
        <f t="shared" si="442"/>
        <v>2.5</v>
      </c>
      <c r="AF5208" s="580">
        <f t="shared" si="443"/>
        <v>2.5</v>
      </c>
      <c r="AG5208" s="580">
        <f t="shared" si="444"/>
        <v>0</v>
      </c>
      <c r="AH5208" s="580">
        <f t="shared" si="445"/>
        <v>0</v>
      </c>
    </row>
    <row r="5209" spans="28:34">
      <c r="AB5209" s="580">
        <f>HLOOKUP("*"&amp;'Output annual'!$AC$2&amp;'Output annual'!$AD$2&amp;"*Zone People Number Of Occupants [](Hourly)",'Eplus results'!$1:$1048576,ROW(),FALSE)</f>
        <v>0</v>
      </c>
      <c r="AC5209" s="580">
        <f>HLOOKUP("*"&amp;'Output annual'!$AC$2&amp;'Output annual'!$AD$2&amp;"*FangerPMV(Hourly)",'Eplus results'!$1:$1048576,ROW(),FALSE)</f>
        <v>0</v>
      </c>
      <c r="AD5209" s="580">
        <f t="shared" si="441"/>
        <v>5</v>
      </c>
      <c r="AE5209" s="580">
        <f t="shared" si="442"/>
        <v>2.5</v>
      </c>
      <c r="AF5209" s="580">
        <f t="shared" si="443"/>
        <v>2.5</v>
      </c>
      <c r="AG5209" s="580">
        <f t="shared" si="444"/>
        <v>0</v>
      </c>
      <c r="AH5209" s="580">
        <f t="shared" si="445"/>
        <v>0</v>
      </c>
    </row>
    <row r="5210" spans="28:34">
      <c r="AB5210" s="580">
        <f>HLOOKUP("*"&amp;'Output annual'!$AC$2&amp;'Output annual'!$AD$2&amp;"*Zone People Number Of Occupants [](Hourly)",'Eplus results'!$1:$1048576,ROW(),FALSE)</f>
        <v>0</v>
      </c>
      <c r="AC5210" s="580">
        <f>HLOOKUP("*"&amp;'Output annual'!$AC$2&amp;'Output annual'!$AD$2&amp;"*FangerPMV(Hourly)",'Eplus results'!$1:$1048576,ROW(),FALSE)</f>
        <v>0</v>
      </c>
      <c r="AD5210" s="580">
        <f t="shared" si="441"/>
        <v>5</v>
      </c>
      <c r="AE5210" s="580">
        <f t="shared" si="442"/>
        <v>2.5</v>
      </c>
      <c r="AF5210" s="580">
        <f t="shared" si="443"/>
        <v>2.5</v>
      </c>
      <c r="AG5210" s="580">
        <f t="shared" si="444"/>
        <v>0</v>
      </c>
      <c r="AH5210" s="580">
        <f t="shared" si="445"/>
        <v>0</v>
      </c>
    </row>
    <row r="5211" spans="28:34">
      <c r="AB5211" s="580">
        <f>HLOOKUP("*"&amp;'Output annual'!$AC$2&amp;'Output annual'!$AD$2&amp;"*Zone People Number Of Occupants [](Hourly)",'Eplus results'!$1:$1048576,ROW(),FALSE)</f>
        <v>0</v>
      </c>
      <c r="AC5211" s="580">
        <f>HLOOKUP("*"&amp;'Output annual'!$AC$2&amp;'Output annual'!$AD$2&amp;"*FangerPMV(Hourly)",'Eplus results'!$1:$1048576,ROW(),FALSE)</f>
        <v>0</v>
      </c>
      <c r="AD5211" s="580">
        <f t="shared" si="441"/>
        <v>5</v>
      </c>
      <c r="AE5211" s="580">
        <f t="shared" si="442"/>
        <v>2.5</v>
      </c>
      <c r="AF5211" s="580">
        <f t="shared" si="443"/>
        <v>2.5</v>
      </c>
      <c r="AG5211" s="580">
        <f t="shared" si="444"/>
        <v>0</v>
      </c>
      <c r="AH5211" s="580">
        <f t="shared" si="445"/>
        <v>0</v>
      </c>
    </row>
    <row r="5212" spans="28:34">
      <c r="AB5212" s="580">
        <f>HLOOKUP("*"&amp;'Output annual'!$AC$2&amp;'Output annual'!$AD$2&amp;"*Zone People Number Of Occupants [](Hourly)",'Eplus results'!$1:$1048576,ROW(),FALSE)</f>
        <v>0</v>
      </c>
      <c r="AC5212" s="580">
        <f>HLOOKUP("*"&amp;'Output annual'!$AC$2&amp;'Output annual'!$AD$2&amp;"*FangerPMV(Hourly)",'Eplus results'!$1:$1048576,ROW(),FALSE)</f>
        <v>0</v>
      </c>
      <c r="AD5212" s="580">
        <f t="shared" si="441"/>
        <v>5</v>
      </c>
      <c r="AE5212" s="580">
        <f t="shared" si="442"/>
        <v>2.5</v>
      </c>
      <c r="AF5212" s="580">
        <f t="shared" si="443"/>
        <v>2.5</v>
      </c>
      <c r="AG5212" s="580">
        <f t="shared" si="444"/>
        <v>0</v>
      </c>
      <c r="AH5212" s="580">
        <f t="shared" si="445"/>
        <v>0</v>
      </c>
    </row>
    <row r="5213" spans="28:34">
      <c r="AB5213" s="580">
        <f>HLOOKUP("*"&amp;'Output annual'!$AC$2&amp;'Output annual'!$AD$2&amp;"*Zone People Number Of Occupants [](Hourly)",'Eplus results'!$1:$1048576,ROW(),FALSE)</f>
        <v>0</v>
      </c>
      <c r="AC5213" s="580">
        <f>HLOOKUP("*"&amp;'Output annual'!$AC$2&amp;'Output annual'!$AD$2&amp;"*FangerPMV(Hourly)",'Eplus results'!$1:$1048576,ROW(),FALSE)</f>
        <v>0</v>
      </c>
      <c r="AD5213" s="580">
        <f t="shared" si="441"/>
        <v>5</v>
      </c>
      <c r="AE5213" s="580">
        <f t="shared" si="442"/>
        <v>2.5</v>
      </c>
      <c r="AF5213" s="580">
        <f t="shared" si="443"/>
        <v>2.5</v>
      </c>
      <c r="AG5213" s="580">
        <f t="shared" si="444"/>
        <v>0</v>
      </c>
      <c r="AH5213" s="580">
        <f t="shared" si="445"/>
        <v>0</v>
      </c>
    </row>
    <row r="5214" spans="28:34">
      <c r="AB5214" s="580">
        <f>HLOOKUP("*"&amp;'Output annual'!$AC$2&amp;'Output annual'!$AD$2&amp;"*Zone People Number Of Occupants [](Hourly)",'Eplus results'!$1:$1048576,ROW(),FALSE)</f>
        <v>0</v>
      </c>
      <c r="AC5214" s="580">
        <f>HLOOKUP("*"&amp;'Output annual'!$AC$2&amp;'Output annual'!$AD$2&amp;"*FangerPMV(Hourly)",'Eplus results'!$1:$1048576,ROW(),FALSE)</f>
        <v>0</v>
      </c>
      <c r="AD5214" s="580">
        <f t="shared" si="441"/>
        <v>5</v>
      </c>
      <c r="AE5214" s="580">
        <f t="shared" si="442"/>
        <v>2.5</v>
      </c>
      <c r="AF5214" s="580">
        <f t="shared" si="443"/>
        <v>2.5</v>
      </c>
      <c r="AG5214" s="580">
        <f t="shared" si="444"/>
        <v>0</v>
      </c>
      <c r="AH5214" s="580">
        <f t="shared" si="445"/>
        <v>0</v>
      </c>
    </row>
    <row r="5215" spans="28:34">
      <c r="AB5215" s="580">
        <f>HLOOKUP("*"&amp;'Output annual'!$AC$2&amp;'Output annual'!$AD$2&amp;"*Zone People Number Of Occupants [](Hourly)",'Eplus results'!$1:$1048576,ROW(),FALSE)</f>
        <v>0</v>
      </c>
      <c r="AC5215" s="580">
        <f>HLOOKUP("*"&amp;'Output annual'!$AC$2&amp;'Output annual'!$AD$2&amp;"*FangerPMV(Hourly)",'Eplus results'!$1:$1048576,ROW(),FALSE)</f>
        <v>0</v>
      </c>
      <c r="AD5215" s="580">
        <f t="shared" si="441"/>
        <v>5</v>
      </c>
      <c r="AE5215" s="580">
        <f t="shared" si="442"/>
        <v>2.5</v>
      </c>
      <c r="AF5215" s="580">
        <f t="shared" si="443"/>
        <v>2.5</v>
      </c>
      <c r="AG5215" s="580">
        <f t="shared" si="444"/>
        <v>0</v>
      </c>
      <c r="AH5215" s="580">
        <f t="shared" si="445"/>
        <v>0</v>
      </c>
    </row>
    <row r="5216" spans="28:34">
      <c r="AB5216" s="580">
        <f>HLOOKUP("*"&amp;'Output annual'!$AC$2&amp;'Output annual'!$AD$2&amp;"*Zone People Number Of Occupants [](Hourly)",'Eplus results'!$1:$1048576,ROW(),FALSE)</f>
        <v>0</v>
      </c>
      <c r="AC5216" s="580">
        <f>HLOOKUP("*"&amp;'Output annual'!$AC$2&amp;'Output annual'!$AD$2&amp;"*FangerPMV(Hourly)",'Eplus results'!$1:$1048576,ROW(),FALSE)</f>
        <v>0</v>
      </c>
      <c r="AD5216" s="580">
        <f t="shared" si="441"/>
        <v>5</v>
      </c>
      <c r="AE5216" s="580">
        <f t="shared" si="442"/>
        <v>2.5</v>
      </c>
      <c r="AF5216" s="580">
        <f t="shared" si="443"/>
        <v>2.5</v>
      </c>
      <c r="AG5216" s="580">
        <f t="shared" si="444"/>
        <v>0</v>
      </c>
      <c r="AH5216" s="580">
        <f t="shared" si="445"/>
        <v>0</v>
      </c>
    </row>
    <row r="5217" spans="28:34">
      <c r="AB5217" s="580">
        <f>HLOOKUP("*"&amp;'Output annual'!$AC$2&amp;'Output annual'!$AD$2&amp;"*Zone People Number Of Occupants [](Hourly)",'Eplus results'!$1:$1048576,ROW(),FALSE)</f>
        <v>0</v>
      </c>
      <c r="AC5217" s="580">
        <f>HLOOKUP("*"&amp;'Output annual'!$AC$2&amp;'Output annual'!$AD$2&amp;"*FangerPMV(Hourly)",'Eplus results'!$1:$1048576,ROW(),FALSE)</f>
        <v>0</v>
      </c>
      <c r="AD5217" s="580">
        <f t="shared" si="441"/>
        <v>5</v>
      </c>
      <c r="AE5217" s="580">
        <f t="shared" si="442"/>
        <v>2.5</v>
      </c>
      <c r="AF5217" s="580">
        <f t="shared" si="443"/>
        <v>2.5</v>
      </c>
      <c r="AG5217" s="580">
        <f t="shared" si="444"/>
        <v>0</v>
      </c>
      <c r="AH5217" s="580">
        <f t="shared" si="445"/>
        <v>0</v>
      </c>
    </row>
    <row r="5218" spans="28:34">
      <c r="AB5218" s="580">
        <f>HLOOKUP("*"&amp;'Output annual'!$AC$2&amp;'Output annual'!$AD$2&amp;"*Zone People Number Of Occupants [](Hourly)",'Eplus results'!$1:$1048576,ROW(),FALSE)</f>
        <v>0</v>
      </c>
      <c r="AC5218" s="580">
        <f>HLOOKUP("*"&amp;'Output annual'!$AC$2&amp;'Output annual'!$AD$2&amp;"*FangerPMV(Hourly)",'Eplus results'!$1:$1048576,ROW(),FALSE)</f>
        <v>0</v>
      </c>
      <c r="AD5218" s="580">
        <f t="shared" si="441"/>
        <v>5</v>
      </c>
      <c r="AE5218" s="580">
        <f t="shared" si="442"/>
        <v>2.5</v>
      </c>
      <c r="AF5218" s="580">
        <f t="shared" si="443"/>
        <v>2.5</v>
      </c>
      <c r="AG5218" s="580">
        <f t="shared" si="444"/>
        <v>0</v>
      </c>
      <c r="AH5218" s="580">
        <f t="shared" si="445"/>
        <v>0</v>
      </c>
    </row>
    <row r="5219" spans="28:34">
      <c r="AB5219" s="580">
        <f>HLOOKUP("*"&amp;'Output annual'!$AC$2&amp;'Output annual'!$AD$2&amp;"*Zone People Number Of Occupants [](Hourly)",'Eplus results'!$1:$1048576,ROW(),FALSE)</f>
        <v>0</v>
      </c>
      <c r="AC5219" s="580">
        <f>HLOOKUP("*"&amp;'Output annual'!$AC$2&amp;'Output annual'!$AD$2&amp;"*FangerPMV(Hourly)",'Eplus results'!$1:$1048576,ROW(),FALSE)</f>
        <v>0</v>
      </c>
      <c r="AD5219" s="580">
        <f t="shared" si="441"/>
        <v>5</v>
      </c>
      <c r="AE5219" s="580">
        <f t="shared" si="442"/>
        <v>2.5</v>
      </c>
      <c r="AF5219" s="580">
        <f t="shared" si="443"/>
        <v>2.5</v>
      </c>
      <c r="AG5219" s="580">
        <f t="shared" si="444"/>
        <v>0</v>
      </c>
      <c r="AH5219" s="580">
        <f t="shared" si="445"/>
        <v>0</v>
      </c>
    </row>
    <row r="5220" spans="28:34">
      <c r="AB5220" s="580">
        <f>HLOOKUP("*"&amp;'Output annual'!$AC$2&amp;'Output annual'!$AD$2&amp;"*Zone People Number Of Occupants [](Hourly)",'Eplus results'!$1:$1048576,ROW(),FALSE)</f>
        <v>0</v>
      </c>
      <c r="AC5220" s="580">
        <f>HLOOKUP("*"&amp;'Output annual'!$AC$2&amp;'Output annual'!$AD$2&amp;"*FangerPMV(Hourly)",'Eplus results'!$1:$1048576,ROW(),FALSE)</f>
        <v>0</v>
      </c>
      <c r="AD5220" s="580">
        <f t="shared" si="441"/>
        <v>5</v>
      </c>
      <c r="AE5220" s="580">
        <f t="shared" si="442"/>
        <v>2.5</v>
      </c>
      <c r="AF5220" s="580">
        <f t="shared" si="443"/>
        <v>2.5</v>
      </c>
      <c r="AG5220" s="580">
        <f t="shared" si="444"/>
        <v>0</v>
      </c>
      <c r="AH5220" s="580">
        <f t="shared" si="445"/>
        <v>0</v>
      </c>
    </row>
    <row r="5221" spans="28:34">
      <c r="AB5221" s="580">
        <f>HLOOKUP("*"&amp;'Output annual'!$AC$2&amp;'Output annual'!$AD$2&amp;"*Zone People Number Of Occupants [](Hourly)",'Eplus results'!$1:$1048576,ROW(),FALSE)</f>
        <v>0</v>
      </c>
      <c r="AC5221" s="580">
        <f>HLOOKUP("*"&amp;'Output annual'!$AC$2&amp;'Output annual'!$AD$2&amp;"*FangerPMV(Hourly)",'Eplus results'!$1:$1048576,ROW(),FALSE)</f>
        <v>0</v>
      </c>
      <c r="AD5221" s="580">
        <f t="shared" si="441"/>
        <v>5</v>
      </c>
      <c r="AE5221" s="580">
        <f t="shared" si="442"/>
        <v>2.5</v>
      </c>
      <c r="AF5221" s="580">
        <f t="shared" si="443"/>
        <v>2.5</v>
      </c>
      <c r="AG5221" s="580">
        <f t="shared" si="444"/>
        <v>0</v>
      </c>
      <c r="AH5221" s="580">
        <f t="shared" si="445"/>
        <v>0</v>
      </c>
    </row>
    <row r="5222" spans="28:34">
      <c r="AB5222" s="580">
        <f>HLOOKUP("*"&amp;'Output annual'!$AC$2&amp;'Output annual'!$AD$2&amp;"*Zone People Number Of Occupants [](Hourly)",'Eplus results'!$1:$1048576,ROW(),FALSE)</f>
        <v>0</v>
      </c>
      <c r="AC5222" s="580">
        <f>HLOOKUP("*"&amp;'Output annual'!$AC$2&amp;'Output annual'!$AD$2&amp;"*FangerPMV(Hourly)",'Eplus results'!$1:$1048576,ROW(),FALSE)</f>
        <v>0</v>
      </c>
      <c r="AD5222" s="580">
        <f t="shared" si="441"/>
        <v>5</v>
      </c>
      <c r="AE5222" s="580">
        <f t="shared" si="442"/>
        <v>2.5</v>
      </c>
      <c r="AF5222" s="580">
        <f t="shared" si="443"/>
        <v>2.5</v>
      </c>
      <c r="AG5222" s="580">
        <f t="shared" si="444"/>
        <v>0</v>
      </c>
      <c r="AH5222" s="580">
        <f t="shared" si="445"/>
        <v>0</v>
      </c>
    </row>
    <row r="5223" spans="28:34">
      <c r="AB5223" s="580">
        <f>HLOOKUP("*"&amp;'Output annual'!$AC$2&amp;'Output annual'!$AD$2&amp;"*Zone People Number Of Occupants [](Hourly)",'Eplus results'!$1:$1048576,ROW(),FALSE)</f>
        <v>0</v>
      </c>
      <c r="AC5223" s="580">
        <f>HLOOKUP("*"&amp;'Output annual'!$AC$2&amp;'Output annual'!$AD$2&amp;"*FangerPMV(Hourly)",'Eplus results'!$1:$1048576,ROW(),FALSE)</f>
        <v>0</v>
      </c>
      <c r="AD5223" s="580">
        <f t="shared" si="441"/>
        <v>5</v>
      </c>
      <c r="AE5223" s="580">
        <f t="shared" si="442"/>
        <v>2.5</v>
      </c>
      <c r="AF5223" s="580">
        <f t="shared" si="443"/>
        <v>2.5</v>
      </c>
      <c r="AG5223" s="580">
        <f t="shared" si="444"/>
        <v>0</v>
      </c>
      <c r="AH5223" s="580">
        <f t="shared" si="445"/>
        <v>0</v>
      </c>
    </row>
    <row r="5224" spans="28:34">
      <c r="AB5224" s="580">
        <f>HLOOKUP("*"&amp;'Output annual'!$AC$2&amp;'Output annual'!$AD$2&amp;"*Zone People Number Of Occupants [](Hourly)",'Eplus results'!$1:$1048576,ROW(),FALSE)</f>
        <v>0</v>
      </c>
      <c r="AC5224" s="580">
        <f>HLOOKUP("*"&amp;'Output annual'!$AC$2&amp;'Output annual'!$AD$2&amp;"*FangerPMV(Hourly)",'Eplus results'!$1:$1048576,ROW(),FALSE)</f>
        <v>0</v>
      </c>
      <c r="AD5224" s="580">
        <f t="shared" si="441"/>
        <v>5</v>
      </c>
      <c r="AE5224" s="580">
        <f t="shared" si="442"/>
        <v>2.5</v>
      </c>
      <c r="AF5224" s="580">
        <f t="shared" si="443"/>
        <v>2.5</v>
      </c>
      <c r="AG5224" s="580">
        <f t="shared" si="444"/>
        <v>0</v>
      </c>
      <c r="AH5224" s="580">
        <f t="shared" si="445"/>
        <v>0</v>
      </c>
    </row>
    <row r="5225" spans="28:34">
      <c r="AB5225" s="580">
        <f>HLOOKUP("*"&amp;'Output annual'!$AC$2&amp;'Output annual'!$AD$2&amp;"*Zone People Number Of Occupants [](Hourly)",'Eplus results'!$1:$1048576,ROW(),FALSE)</f>
        <v>0</v>
      </c>
      <c r="AC5225" s="580">
        <f>HLOOKUP("*"&amp;'Output annual'!$AC$2&amp;'Output annual'!$AD$2&amp;"*FangerPMV(Hourly)",'Eplus results'!$1:$1048576,ROW(),FALSE)</f>
        <v>0</v>
      </c>
      <c r="AD5225" s="580">
        <f t="shared" si="441"/>
        <v>5</v>
      </c>
      <c r="AE5225" s="580">
        <f t="shared" si="442"/>
        <v>2.5</v>
      </c>
      <c r="AF5225" s="580">
        <f t="shared" si="443"/>
        <v>2.5</v>
      </c>
      <c r="AG5225" s="580">
        <f t="shared" si="444"/>
        <v>0</v>
      </c>
      <c r="AH5225" s="580">
        <f t="shared" si="445"/>
        <v>0</v>
      </c>
    </row>
    <row r="5226" spans="28:34">
      <c r="AB5226" s="580">
        <f>HLOOKUP("*"&amp;'Output annual'!$AC$2&amp;'Output annual'!$AD$2&amp;"*Zone People Number Of Occupants [](Hourly)",'Eplus results'!$1:$1048576,ROW(),FALSE)</f>
        <v>0</v>
      </c>
      <c r="AC5226" s="580">
        <f>HLOOKUP("*"&amp;'Output annual'!$AC$2&amp;'Output annual'!$AD$2&amp;"*FangerPMV(Hourly)",'Eplus results'!$1:$1048576,ROW(),FALSE)</f>
        <v>0</v>
      </c>
      <c r="AD5226" s="580">
        <f t="shared" si="441"/>
        <v>5</v>
      </c>
      <c r="AE5226" s="580">
        <f t="shared" si="442"/>
        <v>2.5</v>
      </c>
      <c r="AF5226" s="580">
        <f t="shared" si="443"/>
        <v>2.5</v>
      </c>
      <c r="AG5226" s="580">
        <f t="shared" si="444"/>
        <v>0</v>
      </c>
      <c r="AH5226" s="580">
        <f t="shared" si="445"/>
        <v>0</v>
      </c>
    </row>
    <row r="5227" spans="28:34">
      <c r="AB5227" s="580">
        <f>HLOOKUP("*"&amp;'Output annual'!$AC$2&amp;'Output annual'!$AD$2&amp;"*Zone People Number Of Occupants [](Hourly)",'Eplus results'!$1:$1048576,ROW(),FALSE)</f>
        <v>0</v>
      </c>
      <c r="AC5227" s="580">
        <f>HLOOKUP("*"&amp;'Output annual'!$AC$2&amp;'Output annual'!$AD$2&amp;"*FangerPMV(Hourly)",'Eplus results'!$1:$1048576,ROW(),FALSE)</f>
        <v>0</v>
      </c>
      <c r="AD5227" s="580">
        <f t="shared" si="441"/>
        <v>5</v>
      </c>
      <c r="AE5227" s="580">
        <f t="shared" si="442"/>
        <v>2.5</v>
      </c>
      <c r="AF5227" s="580">
        <f t="shared" si="443"/>
        <v>2.5</v>
      </c>
      <c r="AG5227" s="580">
        <f t="shared" si="444"/>
        <v>0</v>
      </c>
      <c r="AH5227" s="580">
        <f t="shared" si="445"/>
        <v>0</v>
      </c>
    </row>
    <row r="5228" spans="28:34">
      <c r="AB5228" s="580">
        <f>HLOOKUP("*"&amp;'Output annual'!$AC$2&amp;'Output annual'!$AD$2&amp;"*Zone People Number Of Occupants [](Hourly)",'Eplus results'!$1:$1048576,ROW(),FALSE)</f>
        <v>0</v>
      </c>
      <c r="AC5228" s="580">
        <f>HLOOKUP("*"&amp;'Output annual'!$AC$2&amp;'Output annual'!$AD$2&amp;"*FangerPMV(Hourly)",'Eplus results'!$1:$1048576,ROW(),FALSE)</f>
        <v>0</v>
      </c>
      <c r="AD5228" s="580">
        <f t="shared" si="441"/>
        <v>5</v>
      </c>
      <c r="AE5228" s="580">
        <f t="shared" si="442"/>
        <v>2.5</v>
      </c>
      <c r="AF5228" s="580">
        <f t="shared" si="443"/>
        <v>2.5</v>
      </c>
      <c r="AG5228" s="580">
        <f t="shared" si="444"/>
        <v>0</v>
      </c>
      <c r="AH5228" s="580">
        <f t="shared" si="445"/>
        <v>0</v>
      </c>
    </row>
    <row r="5229" spans="28:34">
      <c r="AB5229" s="580">
        <f>HLOOKUP("*"&amp;'Output annual'!$AC$2&amp;'Output annual'!$AD$2&amp;"*Zone People Number Of Occupants [](Hourly)",'Eplus results'!$1:$1048576,ROW(),FALSE)</f>
        <v>0</v>
      </c>
      <c r="AC5229" s="580">
        <f>HLOOKUP("*"&amp;'Output annual'!$AC$2&amp;'Output annual'!$AD$2&amp;"*FangerPMV(Hourly)",'Eplus results'!$1:$1048576,ROW(),FALSE)</f>
        <v>0</v>
      </c>
      <c r="AD5229" s="580">
        <f t="shared" si="441"/>
        <v>5</v>
      </c>
      <c r="AE5229" s="580">
        <f t="shared" si="442"/>
        <v>2.5</v>
      </c>
      <c r="AF5229" s="580">
        <f t="shared" si="443"/>
        <v>2.5</v>
      </c>
      <c r="AG5229" s="580">
        <f t="shared" si="444"/>
        <v>0</v>
      </c>
      <c r="AH5229" s="580">
        <f t="shared" si="445"/>
        <v>0</v>
      </c>
    </row>
    <row r="5230" spans="28:34">
      <c r="AB5230" s="580">
        <f>HLOOKUP("*"&amp;'Output annual'!$AC$2&amp;'Output annual'!$AD$2&amp;"*Zone People Number Of Occupants [](Hourly)",'Eplus results'!$1:$1048576,ROW(),FALSE)</f>
        <v>0</v>
      </c>
      <c r="AC5230" s="580">
        <f>HLOOKUP("*"&amp;'Output annual'!$AC$2&amp;'Output annual'!$AD$2&amp;"*FangerPMV(Hourly)",'Eplus results'!$1:$1048576,ROW(),FALSE)</f>
        <v>0</v>
      </c>
      <c r="AD5230" s="580">
        <f t="shared" si="441"/>
        <v>5</v>
      </c>
      <c r="AE5230" s="580">
        <f t="shared" si="442"/>
        <v>2.5</v>
      </c>
      <c r="AF5230" s="580">
        <f t="shared" si="443"/>
        <v>2.5</v>
      </c>
      <c r="AG5230" s="580">
        <f t="shared" si="444"/>
        <v>0</v>
      </c>
      <c r="AH5230" s="580">
        <f t="shared" si="445"/>
        <v>0</v>
      </c>
    </row>
    <row r="5231" spans="28:34">
      <c r="AB5231" s="580">
        <f>HLOOKUP("*"&amp;'Output annual'!$AC$2&amp;'Output annual'!$AD$2&amp;"*Zone People Number Of Occupants [](Hourly)",'Eplus results'!$1:$1048576,ROW(),FALSE)</f>
        <v>0</v>
      </c>
      <c r="AC5231" s="580">
        <f>HLOOKUP("*"&amp;'Output annual'!$AC$2&amp;'Output annual'!$AD$2&amp;"*FangerPMV(Hourly)",'Eplus results'!$1:$1048576,ROW(),FALSE)</f>
        <v>0</v>
      </c>
      <c r="AD5231" s="580">
        <f t="shared" si="441"/>
        <v>5</v>
      </c>
      <c r="AE5231" s="580">
        <f t="shared" si="442"/>
        <v>2.5</v>
      </c>
      <c r="AF5231" s="580">
        <f t="shared" si="443"/>
        <v>2.5</v>
      </c>
      <c r="AG5231" s="580">
        <f t="shared" si="444"/>
        <v>0</v>
      </c>
      <c r="AH5231" s="580">
        <f t="shared" si="445"/>
        <v>0</v>
      </c>
    </row>
    <row r="5232" spans="28:34">
      <c r="AB5232" s="580">
        <f>HLOOKUP("*"&amp;'Output annual'!$AC$2&amp;'Output annual'!$AD$2&amp;"*Zone People Number Of Occupants [](Hourly)",'Eplus results'!$1:$1048576,ROW(),FALSE)</f>
        <v>0</v>
      </c>
      <c r="AC5232" s="580">
        <f>HLOOKUP("*"&amp;'Output annual'!$AC$2&amp;'Output annual'!$AD$2&amp;"*FangerPMV(Hourly)",'Eplus results'!$1:$1048576,ROW(),FALSE)</f>
        <v>0</v>
      </c>
      <c r="AD5232" s="580">
        <f t="shared" si="441"/>
        <v>5</v>
      </c>
      <c r="AE5232" s="580">
        <f t="shared" si="442"/>
        <v>2.5</v>
      </c>
      <c r="AF5232" s="580">
        <f t="shared" si="443"/>
        <v>2.5</v>
      </c>
      <c r="AG5232" s="580">
        <f t="shared" si="444"/>
        <v>0</v>
      </c>
      <c r="AH5232" s="580">
        <f t="shared" si="445"/>
        <v>0</v>
      </c>
    </row>
    <row r="5233" spans="28:34">
      <c r="AB5233" s="580">
        <f>HLOOKUP("*"&amp;'Output annual'!$AC$2&amp;'Output annual'!$AD$2&amp;"*Zone People Number Of Occupants [](Hourly)",'Eplus results'!$1:$1048576,ROW(),FALSE)</f>
        <v>0</v>
      </c>
      <c r="AC5233" s="580">
        <f>HLOOKUP("*"&amp;'Output annual'!$AC$2&amp;'Output annual'!$AD$2&amp;"*FangerPMV(Hourly)",'Eplus results'!$1:$1048576,ROW(),FALSE)</f>
        <v>0</v>
      </c>
      <c r="AD5233" s="580">
        <f t="shared" si="441"/>
        <v>5</v>
      </c>
      <c r="AE5233" s="580">
        <f t="shared" si="442"/>
        <v>2.5</v>
      </c>
      <c r="AF5233" s="580">
        <f t="shared" si="443"/>
        <v>2.5</v>
      </c>
      <c r="AG5233" s="580">
        <f t="shared" si="444"/>
        <v>0</v>
      </c>
      <c r="AH5233" s="580">
        <f t="shared" si="445"/>
        <v>0</v>
      </c>
    </row>
    <row r="5234" spans="28:34">
      <c r="AB5234" s="580">
        <f>HLOOKUP("*"&amp;'Output annual'!$AC$2&amp;'Output annual'!$AD$2&amp;"*Zone People Number Of Occupants [](Hourly)",'Eplus results'!$1:$1048576,ROW(),FALSE)</f>
        <v>0</v>
      </c>
      <c r="AC5234" s="580">
        <f>HLOOKUP("*"&amp;'Output annual'!$AC$2&amp;'Output annual'!$AD$2&amp;"*FangerPMV(Hourly)",'Eplus results'!$1:$1048576,ROW(),FALSE)</f>
        <v>0</v>
      </c>
      <c r="AD5234" s="580">
        <f t="shared" si="441"/>
        <v>5</v>
      </c>
      <c r="AE5234" s="580">
        <f t="shared" si="442"/>
        <v>2.5</v>
      </c>
      <c r="AF5234" s="580">
        <f t="shared" si="443"/>
        <v>2.5</v>
      </c>
      <c r="AG5234" s="580">
        <f t="shared" si="444"/>
        <v>0</v>
      </c>
      <c r="AH5234" s="580">
        <f t="shared" si="445"/>
        <v>0</v>
      </c>
    </row>
    <row r="5235" spans="28:34">
      <c r="AB5235" s="580">
        <f>HLOOKUP("*"&amp;'Output annual'!$AC$2&amp;'Output annual'!$AD$2&amp;"*Zone People Number Of Occupants [](Hourly)",'Eplus results'!$1:$1048576,ROW(),FALSE)</f>
        <v>0</v>
      </c>
      <c r="AC5235" s="580">
        <f>HLOOKUP("*"&amp;'Output annual'!$AC$2&amp;'Output annual'!$AD$2&amp;"*FangerPMV(Hourly)",'Eplus results'!$1:$1048576,ROW(),FALSE)</f>
        <v>0</v>
      </c>
      <c r="AD5235" s="580">
        <f t="shared" si="441"/>
        <v>5</v>
      </c>
      <c r="AE5235" s="580">
        <f t="shared" si="442"/>
        <v>2.5</v>
      </c>
      <c r="AF5235" s="580">
        <f t="shared" si="443"/>
        <v>2.5</v>
      </c>
      <c r="AG5235" s="580">
        <f t="shared" si="444"/>
        <v>0</v>
      </c>
      <c r="AH5235" s="580">
        <f t="shared" si="445"/>
        <v>0</v>
      </c>
    </row>
    <row r="5236" spans="28:34">
      <c r="AB5236" s="580">
        <f>HLOOKUP("*"&amp;'Output annual'!$AC$2&amp;'Output annual'!$AD$2&amp;"*Zone People Number Of Occupants [](Hourly)",'Eplus results'!$1:$1048576,ROW(),FALSE)</f>
        <v>0</v>
      </c>
      <c r="AC5236" s="580">
        <f>HLOOKUP("*"&amp;'Output annual'!$AC$2&amp;'Output annual'!$AD$2&amp;"*FangerPMV(Hourly)",'Eplus results'!$1:$1048576,ROW(),FALSE)</f>
        <v>0</v>
      </c>
      <c r="AD5236" s="580">
        <f t="shared" si="441"/>
        <v>5</v>
      </c>
      <c r="AE5236" s="580">
        <f t="shared" si="442"/>
        <v>2.5</v>
      </c>
      <c r="AF5236" s="580">
        <f t="shared" si="443"/>
        <v>2.5</v>
      </c>
      <c r="AG5236" s="580">
        <f t="shared" si="444"/>
        <v>0</v>
      </c>
      <c r="AH5236" s="580">
        <f t="shared" si="445"/>
        <v>0</v>
      </c>
    </row>
    <row r="5237" spans="28:34">
      <c r="AB5237" s="580">
        <f>HLOOKUP("*"&amp;'Output annual'!$AC$2&amp;'Output annual'!$AD$2&amp;"*Zone People Number Of Occupants [](Hourly)",'Eplus results'!$1:$1048576,ROW(),FALSE)</f>
        <v>0</v>
      </c>
      <c r="AC5237" s="580">
        <f>HLOOKUP("*"&amp;'Output annual'!$AC$2&amp;'Output annual'!$AD$2&amp;"*FangerPMV(Hourly)",'Eplus results'!$1:$1048576,ROW(),FALSE)</f>
        <v>0</v>
      </c>
      <c r="AD5237" s="580">
        <f t="shared" si="441"/>
        <v>5</v>
      </c>
      <c r="AE5237" s="580">
        <f t="shared" si="442"/>
        <v>2.5</v>
      </c>
      <c r="AF5237" s="580">
        <f t="shared" si="443"/>
        <v>2.5</v>
      </c>
      <c r="AG5237" s="580">
        <f t="shared" si="444"/>
        <v>0</v>
      </c>
      <c r="AH5237" s="580">
        <f t="shared" si="445"/>
        <v>0</v>
      </c>
    </row>
    <row r="5238" spans="28:34">
      <c r="AB5238" s="580">
        <f>HLOOKUP("*"&amp;'Output annual'!$AC$2&amp;'Output annual'!$AD$2&amp;"*Zone People Number Of Occupants [](Hourly)",'Eplus results'!$1:$1048576,ROW(),FALSE)</f>
        <v>0</v>
      </c>
      <c r="AC5238" s="580">
        <f>HLOOKUP("*"&amp;'Output annual'!$AC$2&amp;'Output annual'!$AD$2&amp;"*FangerPMV(Hourly)",'Eplus results'!$1:$1048576,ROW(),FALSE)</f>
        <v>0</v>
      </c>
      <c r="AD5238" s="580">
        <f t="shared" si="441"/>
        <v>5</v>
      </c>
      <c r="AE5238" s="580">
        <f t="shared" si="442"/>
        <v>2.5</v>
      </c>
      <c r="AF5238" s="580">
        <f t="shared" si="443"/>
        <v>2.5</v>
      </c>
      <c r="AG5238" s="580">
        <f t="shared" si="444"/>
        <v>0</v>
      </c>
      <c r="AH5238" s="580">
        <f t="shared" si="445"/>
        <v>0</v>
      </c>
    </row>
    <row r="5239" spans="28:34">
      <c r="AB5239" s="580">
        <f>HLOOKUP("*"&amp;'Output annual'!$AC$2&amp;'Output annual'!$AD$2&amp;"*Zone People Number Of Occupants [](Hourly)",'Eplus results'!$1:$1048576,ROW(),FALSE)</f>
        <v>0</v>
      </c>
      <c r="AC5239" s="580">
        <f>HLOOKUP("*"&amp;'Output annual'!$AC$2&amp;'Output annual'!$AD$2&amp;"*FangerPMV(Hourly)",'Eplus results'!$1:$1048576,ROW(),FALSE)</f>
        <v>0</v>
      </c>
      <c r="AD5239" s="580">
        <f t="shared" si="441"/>
        <v>5</v>
      </c>
      <c r="AE5239" s="580">
        <f t="shared" si="442"/>
        <v>2.5</v>
      </c>
      <c r="AF5239" s="580">
        <f t="shared" si="443"/>
        <v>2.5</v>
      </c>
      <c r="AG5239" s="580">
        <f t="shared" si="444"/>
        <v>0</v>
      </c>
      <c r="AH5239" s="580">
        <f t="shared" si="445"/>
        <v>0</v>
      </c>
    </row>
    <row r="5240" spans="28:34">
      <c r="AB5240" s="580">
        <f>HLOOKUP("*"&amp;'Output annual'!$AC$2&amp;'Output annual'!$AD$2&amp;"*Zone People Number Of Occupants [](Hourly)",'Eplus results'!$1:$1048576,ROW(),FALSE)</f>
        <v>0</v>
      </c>
      <c r="AC5240" s="580">
        <f>HLOOKUP("*"&amp;'Output annual'!$AC$2&amp;'Output annual'!$AD$2&amp;"*FangerPMV(Hourly)",'Eplus results'!$1:$1048576,ROW(),FALSE)</f>
        <v>0</v>
      </c>
      <c r="AD5240" s="580">
        <f t="shared" si="441"/>
        <v>5</v>
      </c>
      <c r="AE5240" s="580">
        <f t="shared" si="442"/>
        <v>2.5</v>
      </c>
      <c r="AF5240" s="580">
        <f t="shared" si="443"/>
        <v>2.5</v>
      </c>
      <c r="AG5240" s="580">
        <f t="shared" si="444"/>
        <v>0</v>
      </c>
      <c r="AH5240" s="580">
        <f t="shared" si="445"/>
        <v>0</v>
      </c>
    </row>
    <row r="5241" spans="28:34">
      <c r="AB5241" s="580">
        <f>HLOOKUP("*"&amp;'Output annual'!$AC$2&amp;'Output annual'!$AD$2&amp;"*Zone People Number Of Occupants [](Hourly)",'Eplus results'!$1:$1048576,ROW(),FALSE)</f>
        <v>0</v>
      </c>
      <c r="AC5241" s="580">
        <f>HLOOKUP("*"&amp;'Output annual'!$AC$2&amp;'Output annual'!$AD$2&amp;"*FangerPMV(Hourly)",'Eplus results'!$1:$1048576,ROW(),FALSE)</f>
        <v>0</v>
      </c>
      <c r="AD5241" s="580">
        <f t="shared" si="441"/>
        <v>5</v>
      </c>
      <c r="AE5241" s="580">
        <f t="shared" si="442"/>
        <v>2.5</v>
      </c>
      <c r="AF5241" s="580">
        <f t="shared" si="443"/>
        <v>2.5</v>
      </c>
      <c r="AG5241" s="580">
        <f t="shared" si="444"/>
        <v>0</v>
      </c>
      <c r="AH5241" s="580">
        <f t="shared" si="445"/>
        <v>0</v>
      </c>
    </row>
    <row r="5242" spans="28:34">
      <c r="AB5242" s="580">
        <f>HLOOKUP("*"&amp;'Output annual'!$AC$2&amp;'Output annual'!$AD$2&amp;"*Zone People Number Of Occupants [](Hourly)",'Eplus results'!$1:$1048576,ROW(),FALSE)</f>
        <v>0</v>
      </c>
      <c r="AC5242" s="580">
        <f>HLOOKUP("*"&amp;'Output annual'!$AC$2&amp;'Output annual'!$AD$2&amp;"*FangerPMV(Hourly)",'Eplus results'!$1:$1048576,ROW(),FALSE)</f>
        <v>0</v>
      </c>
      <c r="AD5242" s="580">
        <f t="shared" si="441"/>
        <v>5</v>
      </c>
      <c r="AE5242" s="580">
        <f t="shared" si="442"/>
        <v>2.5</v>
      </c>
      <c r="AF5242" s="580">
        <f t="shared" si="443"/>
        <v>2.5</v>
      </c>
      <c r="AG5242" s="580">
        <f t="shared" si="444"/>
        <v>0</v>
      </c>
      <c r="AH5242" s="580">
        <f t="shared" si="445"/>
        <v>0</v>
      </c>
    </row>
    <row r="5243" spans="28:34">
      <c r="AB5243" s="580">
        <f>HLOOKUP("*"&amp;'Output annual'!$AC$2&amp;'Output annual'!$AD$2&amp;"*Zone People Number Of Occupants [](Hourly)",'Eplus results'!$1:$1048576,ROW(),FALSE)</f>
        <v>0</v>
      </c>
      <c r="AC5243" s="580">
        <f>HLOOKUP("*"&amp;'Output annual'!$AC$2&amp;'Output annual'!$AD$2&amp;"*FangerPMV(Hourly)",'Eplus results'!$1:$1048576,ROW(),FALSE)</f>
        <v>0</v>
      </c>
      <c r="AD5243" s="580">
        <f t="shared" si="441"/>
        <v>5</v>
      </c>
      <c r="AE5243" s="580">
        <f t="shared" si="442"/>
        <v>2.5</v>
      </c>
      <c r="AF5243" s="580">
        <f t="shared" si="443"/>
        <v>2.5</v>
      </c>
      <c r="AG5243" s="580">
        <f t="shared" si="444"/>
        <v>0</v>
      </c>
      <c r="AH5243" s="580">
        <f t="shared" si="445"/>
        <v>0</v>
      </c>
    </row>
    <row r="5244" spans="28:34">
      <c r="AB5244" s="580">
        <f>HLOOKUP("*"&amp;'Output annual'!$AC$2&amp;'Output annual'!$AD$2&amp;"*Zone People Number Of Occupants [](Hourly)",'Eplus results'!$1:$1048576,ROW(),FALSE)</f>
        <v>0</v>
      </c>
      <c r="AC5244" s="580">
        <f>HLOOKUP("*"&amp;'Output annual'!$AC$2&amp;'Output annual'!$AD$2&amp;"*FangerPMV(Hourly)",'Eplus results'!$1:$1048576,ROW(),FALSE)</f>
        <v>0</v>
      </c>
      <c r="AD5244" s="580">
        <f t="shared" si="441"/>
        <v>5</v>
      </c>
      <c r="AE5244" s="580">
        <f t="shared" si="442"/>
        <v>2.5</v>
      </c>
      <c r="AF5244" s="580">
        <f t="shared" si="443"/>
        <v>2.5</v>
      </c>
      <c r="AG5244" s="580">
        <f t="shared" si="444"/>
        <v>0</v>
      </c>
      <c r="AH5244" s="580">
        <f t="shared" si="445"/>
        <v>0</v>
      </c>
    </row>
    <row r="5245" spans="28:34">
      <c r="AB5245" s="580">
        <f>HLOOKUP("*"&amp;'Output annual'!$AC$2&amp;'Output annual'!$AD$2&amp;"*Zone People Number Of Occupants [](Hourly)",'Eplus results'!$1:$1048576,ROW(),FALSE)</f>
        <v>0</v>
      </c>
      <c r="AC5245" s="580">
        <f>HLOOKUP("*"&amp;'Output annual'!$AC$2&amp;'Output annual'!$AD$2&amp;"*FangerPMV(Hourly)",'Eplus results'!$1:$1048576,ROW(),FALSE)</f>
        <v>0</v>
      </c>
      <c r="AD5245" s="580">
        <f t="shared" si="441"/>
        <v>5</v>
      </c>
      <c r="AE5245" s="580">
        <f t="shared" si="442"/>
        <v>2.5</v>
      </c>
      <c r="AF5245" s="580">
        <f t="shared" si="443"/>
        <v>2.5</v>
      </c>
      <c r="AG5245" s="580">
        <f t="shared" si="444"/>
        <v>0</v>
      </c>
      <c r="AH5245" s="580">
        <f t="shared" si="445"/>
        <v>0</v>
      </c>
    </row>
    <row r="5246" spans="28:34">
      <c r="AB5246" s="580">
        <f>HLOOKUP("*"&amp;'Output annual'!$AC$2&amp;'Output annual'!$AD$2&amp;"*Zone People Number Of Occupants [](Hourly)",'Eplus results'!$1:$1048576,ROW(),FALSE)</f>
        <v>0</v>
      </c>
      <c r="AC5246" s="580">
        <f>HLOOKUP("*"&amp;'Output annual'!$AC$2&amp;'Output annual'!$AD$2&amp;"*FangerPMV(Hourly)",'Eplus results'!$1:$1048576,ROW(),FALSE)</f>
        <v>0</v>
      </c>
      <c r="AD5246" s="580">
        <f t="shared" si="441"/>
        <v>5</v>
      </c>
      <c r="AE5246" s="580">
        <f t="shared" si="442"/>
        <v>2.5</v>
      </c>
      <c r="AF5246" s="580">
        <f t="shared" si="443"/>
        <v>2.5</v>
      </c>
      <c r="AG5246" s="580">
        <f t="shared" si="444"/>
        <v>0</v>
      </c>
      <c r="AH5246" s="580">
        <f t="shared" si="445"/>
        <v>0</v>
      </c>
    </row>
    <row r="5247" spans="28:34">
      <c r="AB5247" s="580">
        <f>HLOOKUP("*"&amp;'Output annual'!$AC$2&amp;'Output annual'!$AD$2&amp;"*Zone People Number Of Occupants [](Hourly)",'Eplus results'!$1:$1048576,ROW(),FALSE)</f>
        <v>0</v>
      </c>
      <c r="AC5247" s="580">
        <f>HLOOKUP("*"&amp;'Output annual'!$AC$2&amp;'Output annual'!$AD$2&amp;"*FangerPMV(Hourly)",'Eplus results'!$1:$1048576,ROW(),FALSE)</f>
        <v>0</v>
      </c>
      <c r="AD5247" s="580">
        <f t="shared" si="441"/>
        <v>5</v>
      </c>
      <c r="AE5247" s="580">
        <f t="shared" si="442"/>
        <v>2.5</v>
      </c>
      <c r="AF5247" s="580">
        <f t="shared" si="443"/>
        <v>2.5</v>
      </c>
      <c r="AG5247" s="580">
        <f t="shared" si="444"/>
        <v>0</v>
      </c>
      <c r="AH5247" s="580">
        <f t="shared" si="445"/>
        <v>0</v>
      </c>
    </row>
    <row r="5248" spans="28:34">
      <c r="AB5248" s="580">
        <f>HLOOKUP("*"&amp;'Output annual'!$AC$2&amp;'Output annual'!$AD$2&amp;"*Zone People Number Of Occupants [](Hourly)",'Eplus results'!$1:$1048576,ROW(),FALSE)</f>
        <v>0</v>
      </c>
      <c r="AC5248" s="580">
        <f>HLOOKUP("*"&amp;'Output annual'!$AC$2&amp;'Output annual'!$AD$2&amp;"*FangerPMV(Hourly)",'Eplus results'!$1:$1048576,ROW(),FALSE)</f>
        <v>0</v>
      </c>
      <c r="AD5248" s="580">
        <f t="shared" si="441"/>
        <v>5</v>
      </c>
      <c r="AE5248" s="580">
        <f t="shared" si="442"/>
        <v>2.5</v>
      </c>
      <c r="AF5248" s="580">
        <f t="shared" si="443"/>
        <v>2.5</v>
      </c>
      <c r="AG5248" s="580">
        <f t="shared" si="444"/>
        <v>0</v>
      </c>
      <c r="AH5248" s="580">
        <f t="shared" si="445"/>
        <v>0</v>
      </c>
    </row>
    <row r="5249" spans="28:34">
      <c r="AB5249" s="580">
        <f>HLOOKUP("*"&amp;'Output annual'!$AC$2&amp;'Output annual'!$AD$2&amp;"*Zone People Number Of Occupants [](Hourly)",'Eplus results'!$1:$1048576,ROW(),FALSE)</f>
        <v>0</v>
      </c>
      <c r="AC5249" s="580">
        <f>HLOOKUP("*"&amp;'Output annual'!$AC$2&amp;'Output annual'!$AD$2&amp;"*FangerPMV(Hourly)",'Eplus results'!$1:$1048576,ROW(),FALSE)</f>
        <v>0</v>
      </c>
      <c r="AD5249" s="580">
        <f t="shared" si="441"/>
        <v>5</v>
      </c>
      <c r="AE5249" s="580">
        <f t="shared" si="442"/>
        <v>2.5</v>
      </c>
      <c r="AF5249" s="580">
        <f t="shared" si="443"/>
        <v>2.5</v>
      </c>
      <c r="AG5249" s="580">
        <f t="shared" si="444"/>
        <v>0</v>
      </c>
      <c r="AH5249" s="580">
        <f t="shared" si="445"/>
        <v>0</v>
      </c>
    </row>
    <row r="5250" spans="28:34">
      <c r="AB5250" s="580">
        <f>HLOOKUP("*"&amp;'Output annual'!$AC$2&amp;'Output annual'!$AD$2&amp;"*Zone People Number Of Occupants [](Hourly)",'Eplus results'!$1:$1048576,ROW(),FALSE)</f>
        <v>0</v>
      </c>
      <c r="AC5250" s="580">
        <f>HLOOKUP("*"&amp;'Output annual'!$AC$2&amp;'Output annual'!$AD$2&amp;"*FangerPMV(Hourly)",'Eplus results'!$1:$1048576,ROW(),FALSE)</f>
        <v>0</v>
      </c>
      <c r="AD5250" s="580">
        <f t="shared" si="441"/>
        <v>5</v>
      </c>
      <c r="AE5250" s="580">
        <f t="shared" si="442"/>
        <v>2.5</v>
      </c>
      <c r="AF5250" s="580">
        <f t="shared" si="443"/>
        <v>2.5</v>
      </c>
      <c r="AG5250" s="580">
        <f t="shared" si="444"/>
        <v>0</v>
      </c>
      <c r="AH5250" s="580">
        <f t="shared" si="445"/>
        <v>0</v>
      </c>
    </row>
    <row r="5251" spans="28:34">
      <c r="AB5251" s="580">
        <f>HLOOKUP("*"&amp;'Output annual'!$AC$2&amp;'Output annual'!$AD$2&amp;"*Zone People Number Of Occupants [](Hourly)",'Eplus results'!$1:$1048576,ROW(),FALSE)</f>
        <v>0</v>
      </c>
      <c r="AC5251" s="580">
        <f>HLOOKUP("*"&amp;'Output annual'!$AC$2&amp;'Output annual'!$AD$2&amp;"*FangerPMV(Hourly)",'Eplus results'!$1:$1048576,ROW(),FALSE)</f>
        <v>0</v>
      </c>
      <c r="AD5251" s="580">
        <f t="shared" ref="AD5251:AD5314" si="446">100-95*EXP(-0.03353*AC5251^4-0.2179*AC5251^2)</f>
        <v>5</v>
      </c>
      <c r="AE5251" s="580">
        <f t="shared" ref="AE5251:AE5314" si="447">AD5251*(1/(1+EXP(-6.3*$AC5251)))</f>
        <v>2.5</v>
      </c>
      <c r="AF5251" s="580">
        <f t="shared" ref="AF5251:AF5314" si="448">(AD5251-AE5251)</f>
        <v>2.5</v>
      </c>
      <c r="AG5251" s="580">
        <f t="shared" ref="AG5251:AG5314" si="449">AE5251*AB5251</f>
        <v>0</v>
      </c>
      <c r="AH5251" s="580">
        <f t="shared" ref="AH5251:AH5314" si="450">AF5251*AB5251</f>
        <v>0</v>
      </c>
    </row>
    <row r="5252" spans="28:34">
      <c r="AB5252" s="580">
        <f>HLOOKUP("*"&amp;'Output annual'!$AC$2&amp;'Output annual'!$AD$2&amp;"*Zone People Number Of Occupants [](Hourly)",'Eplus results'!$1:$1048576,ROW(),FALSE)</f>
        <v>0</v>
      </c>
      <c r="AC5252" s="580">
        <f>HLOOKUP("*"&amp;'Output annual'!$AC$2&amp;'Output annual'!$AD$2&amp;"*FangerPMV(Hourly)",'Eplus results'!$1:$1048576,ROW(),FALSE)</f>
        <v>0</v>
      </c>
      <c r="AD5252" s="580">
        <f t="shared" si="446"/>
        <v>5</v>
      </c>
      <c r="AE5252" s="580">
        <f t="shared" si="447"/>
        <v>2.5</v>
      </c>
      <c r="AF5252" s="580">
        <f t="shared" si="448"/>
        <v>2.5</v>
      </c>
      <c r="AG5252" s="580">
        <f t="shared" si="449"/>
        <v>0</v>
      </c>
      <c r="AH5252" s="580">
        <f t="shared" si="450"/>
        <v>0</v>
      </c>
    </row>
    <row r="5253" spans="28:34">
      <c r="AB5253" s="580">
        <f>HLOOKUP("*"&amp;'Output annual'!$AC$2&amp;'Output annual'!$AD$2&amp;"*Zone People Number Of Occupants [](Hourly)",'Eplus results'!$1:$1048576,ROW(),FALSE)</f>
        <v>0</v>
      </c>
      <c r="AC5253" s="580">
        <f>HLOOKUP("*"&amp;'Output annual'!$AC$2&amp;'Output annual'!$AD$2&amp;"*FangerPMV(Hourly)",'Eplus results'!$1:$1048576,ROW(),FALSE)</f>
        <v>0</v>
      </c>
      <c r="AD5253" s="580">
        <f t="shared" si="446"/>
        <v>5</v>
      </c>
      <c r="AE5253" s="580">
        <f t="shared" si="447"/>
        <v>2.5</v>
      </c>
      <c r="AF5253" s="580">
        <f t="shared" si="448"/>
        <v>2.5</v>
      </c>
      <c r="AG5253" s="580">
        <f t="shared" si="449"/>
        <v>0</v>
      </c>
      <c r="AH5253" s="580">
        <f t="shared" si="450"/>
        <v>0</v>
      </c>
    </row>
    <row r="5254" spans="28:34">
      <c r="AB5254" s="580">
        <f>HLOOKUP("*"&amp;'Output annual'!$AC$2&amp;'Output annual'!$AD$2&amp;"*Zone People Number Of Occupants [](Hourly)",'Eplus results'!$1:$1048576,ROW(),FALSE)</f>
        <v>0</v>
      </c>
      <c r="AC5254" s="580">
        <f>HLOOKUP("*"&amp;'Output annual'!$AC$2&amp;'Output annual'!$AD$2&amp;"*FangerPMV(Hourly)",'Eplus results'!$1:$1048576,ROW(),FALSE)</f>
        <v>0</v>
      </c>
      <c r="AD5254" s="580">
        <f t="shared" si="446"/>
        <v>5</v>
      </c>
      <c r="AE5254" s="580">
        <f t="shared" si="447"/>
        <v>2.5</v>
      </c>
      <c r="AF5254" s="580">
        <f t="shared" si="448"/>
        <v>2.5</v>
      </c>
      <c r="AG5254" s="580">
        <f t="shared" si="449"/>
        <v>0</v>
      </c>
      <c r="AH5254" s="580">
        <f t="shared" si="450"/>
        <v>0</v>
      </c>
    </row>
    <row r="5255" spans="28:34">
      <c r="AB5255" s="580">
        <f>HLOOKUP("*"&amp;'Output annual'!$AC$2&amp;'Output annual'!$AD$2&amp;"*Zone People Number Of Occupants [](Hourly)",'Eplus results'!$1:$1048576,ROW(),FALSE)</f>
        <v>0</v>
      </c>
      <c r="AC5255" s="580">
        <f>HLOOKUP("*"&amp;'Output annual'!$AC$2&amp;'Output annual'!$AD$2&amp;"*FangerPMV(Hourly)",'Eplus results'!$1:$1048576,ROW(),FALSE)</f>
        <v>0</v>
      </c>
      <c r="AD5255" s="580">
        <f t="shared" si="446"/>
        <v>5</v>
      </c>
      <c r="AE5255" s="580">
        <f t="shared" si="447"/>
        <v>2.5</v>
      </c>
      <c r="AF5255" s="580">
        <f t="shared" si="448"/>
        <v>2.5</v>
      </c>
      <c r="AG5255" s="580">
        <f t="shared" si="449"/>
        <v>0</v>
      </c>
      <c r="AH5255" s="580">
        <f t="shared" si="450"/>
        <v>0</v>
      </c>
    </row>
    <row r="5256" spans="28:34">
      <c r="AB5256" s="580">
        <f>HLOOKUP("*"&amp;'Output annual'!$AC$2&amp;'Output annual'!$AD$2&amp;"*Zone People Number Of Occupants [](Hourly)",'Eplus results'!$1:$1048576,ROW(),FALSE)</f>
        <v>0</v>
      </c>
      <c r="AC5256" s="580">
        <f>HLOOKUP("*"&amp;'Output annual'!$AC$2&amp;'Output annual'!$AD$2&amp;"*FangerPMV(Hourly)",'Eplus results'!$1:$1048576,ROW(),FALSE)</f>
        <v>0</v>
      </c>
      <c r="AD5256" s="580">
        <f t="shared" si="446"/>
        <v>5</v>
      </c>
      <c r="AE5256" s="580">
        <f t="shared" si="447"/>
        <v>2.5</v>
      </c>
      <c r="AF5256" s="580">
        <f t="shared" si="448"/>
        <v>2.5</v>
      </c>
      <c r="AG5256" s="580">
        <f t="shared" si="449"/>
        <v>0</v>
      </c>
      <c r="AH5256" s="580">
        <f t="shared" si="450"/>
        <v>0</v>
      </c>
    </row>
    <row r="5257" spans="28:34">
      <c r="AB5257" s="580">
        <f>HLOOKUP("*"&amp;'Output annual'!$AC$2&amp;'Output annual'!$AD$2&amp;"*Zone People Number Of Occupants [](Hourly)",'Eplus results'!$1:$1048576,ROW(),FALSE)</f>
        <v>0</v>
      </c>
      <c r="AC5257" s="580">
        <f>HLOOKUP("*"&amp;'Output annual'!$AC$2&amp;'Output annual'!$AD$2&amp;"*FangerPMV(Hourly)",'Eplus results'!$1:$1048576,ROW(),FALSE)</f>
        <v>0</v>
      </c>
      <c r="AD5257" s="580">
        <f t="shared" si="446"/>
        <v>5</v>
      </c>
      <c r="AE5257" s="580">
        <f t="shared" si="447"/>
        <v>2.5</v>
      </c>
      <c r="AF5257" s="580">
        <f t="shared" si="448"/>
        <v>2.5</v>
      </c>
      <c r="AG5257" s="580">
        <f t="shared" si="449"/>
        <v>0</v>
      </c>
      <c r="AH5257" s="580">
        <f t="shared" si="450"/>
        <v>0</v>
      </c>
    </row>
    <row r="5258" spans="28:34">
      <c r="AB5258" s="580">
        <f>HLOOKUP("*"&amp;'Output annual'!$AC$2&amp;'Output annual'!$AD$2&amp;"*Zone People Number Of Occupants [](Hourly)",'Eplus results'!$1:$1048576,ROW(),FALSE)</f>
        <v>0</v>
      </c>
      <c r="AC5258" s="580">
        <f>HLOOKUP("*"&amp;'Output annual'!$AC$2&amp;'Output annual'!$AD$2&amp;"*FangerPMV(Hourly)",'Eplus results'!$1:$1048576,ROW(),FALSE)</f>
        <v>0</v>
      </c>
      <c r="AD5258" s="580">
        <f t="shared" si="446"/>
        <v>5</v>
      </c>
      <c r="AE5258" s="580">
        <f t="shared" si="447"/>
        <v>2.5</v>
      </c>
      <c r="AF5258" s="580">
        <f t="shared" si="448"/>
        <v>2.5</v>
      </c>
      <c r="AG5258" s="580">
        <f t="shared" si="449"/>
        <v>0</v>
      </c>
      <c r="AH5258" s="580">
        <f t="shared" si="450"/>
        <v>0</v>
      </c>
    </row>
    <row r="5259" spans="28:34">
      <c r="AB5259" s="580">
        <f>HLOOKUP("*"&amp;'Output annual'!$AC$2&amp;'Output annual'!$AD$2&amp;"*Zone People Number Of Occupants [](Hourly)",'Eplus results'!$1:$1048576,ROW(),FALSE)</f>
        <v>0</v>
      </c>
      <c r="AC5259" s="580">
        <f>HLOOKUP("*"&amp;'Output annual'!$AC$2&amp;'Output annual'!$AD$2&amp;"*FangerPMV(Hourly)",'Eplus results'!$1:$1048576,ROW(),FALSE)</f>
        <v>0</v>
      </c>
      <c r="AD5259" s="580">
        <f t="shared" si="446"/>
        <v>5</v>
      </c>
      <c r="AE5259" s="580">
        <f t="shared" si="447"/>
        <v>2.5</v>
      </c>
      <c r="AF5259" s="580">
        <f t="shared" si="448"/>
        <v>2.5</v>
      </c>
      <c r="AG5259" s="580">
        <f t="shared" si="449"/>
        <v>0</v>
      </c>
      <c r="AH5259" s="580">
        <f t="shared" si="450"/>
        <v>0</v>
      </c>
    </row>
    <row r="5260" spans="28:34">
      <c r="AB5260" s="580">
        <f>HLOOKUP("*"&amp;'Output annual'!$AC$2&amp;'Output annual'!$AD$2&amp;"*Zone People Number Of Occupants [](Hourly)",'Eplus results'!$1:$1048576,ROW(),FALSE)</f>
        <v>0</v>
      </c>
      <c r="AC5260" s="580">
        <f>HLOOKUP("*"&amp;'Output annual'!$AC$2&amp;'Output annual'!$AD$2&amp;"*FangerPMV(Hourly)",'Eplus results'!$1:$1048576,ROW(),FALSE)</f>
        <v>0</v>
      </c>
      <c r="AD5260" s="580">
        <f t="shared" si="446"/>
        <v>5</v>
      </c>
      <c r="AE5260" s="580">
        <f t="shared" si="447"/>
        <v>2.5</v>
      </c>
      <c r="AF5260" s="580">
        <f t="shared" si="448"/>
        <v>2.5</v>
      </c>
      <c r="AG5260" s="580">
        <f t="shared" si="449"/>
        <v>0</v>
      </c>
      <c r="AH5260" s="580">
        <f t="shared" si="450"/>
        <v>0</v>
      </c>
    </row>
    <row r="5261" spans="28:34">
      <c r="AB5261" s="580">
        <f>HLOOKUP("*"&amp;'Output annual'!$AC$2&amp;'Output annual'!$AD$2&amp;"*Zone People Number Of Occupants [](Hourly)",'Eplus results'!$1:$1048576,ROW(),FALSE)</f>
        <v>0</v>
      </c>
      <c r="AC5261" s="580">
        <f>HLOOKUP("*"&amp;'Output annual'!$AC$2&amp;'Output annual'!$AD$2&amp;"*FangerPMV(Hourly)",'Eplus results'!$1:$1048576,ROW(),FALSE)</f>
        <v>0</v>
      </c>
      <c r="AD5261" s="580">
        <f t="shared" si="446"/>
        <v>5</v>
      </c>
      <c r="AE5261" s="580">
        <f t="shared" si="447"/>
        <v>2.5</v>
      </c>
      <c r="AF5261" s="580">
        <f t="shared" si="448"/>
        <v>2.5</v>
      </c>
      <c r="AG5261" s="580">
        <f t="shared" si="449"/>
        <v>0</v>
      </c>
      <c r="AH5261" s="580">
        <f t="shared" si="450"/>
        <v>0</v>
      </c>
    </row>
    <row r="5262" spans="28:34">
      <c r="AB5262" s="580">
        <f>HLOOKUP("*"&amp;'Output annual'!$AC$2&amp;'Output annual'!$AD$2&amp;"*Zone People Number Of Occupants [](Hourly)",'Eplus results'!$1:$1048576,ROW(),FALSE)</f>
        <v>0</v>
      </c>
      <c r="AC5262" s="580">
        <f>HLOOKUP("*"&amp;'Output annual'!$AC$2&amp;'Output annual'!$AD$2&amp;"*FangerPMV(Hourly)",'Eplus results'!$1:$1048576,ROW(),FALSE)</f>
        <v>0</v>
      </c>
      <c r="AD5262" s="580">
        <f t="shared" si="446"/>
        <v>5</v>
      </c>
      <c r="AE5262" s="580">
        <f t="shared" si="447"/>
        <v>2.5</v>
      </c>
      <c r="AF5262" s="580">
        <f t="shared" si="448"/>
        <v>2.5</v>
      </c>
      <c r="AG5262" s="580">
        <f t="shared" si="449"/>
        <v>0</v>
      </c>
      <c r="AH5262" s="580">
        <f t="shared" si="450"/>
        <v>0</v>
      </c>
    </row>
    <row r="5263" spans="28:34">
      <c r="AB5263" s="580">
        <f>HLOOKUP("*"&amp;'Output annual'!$AC$2&amp;'Output annual'!$AD$2&amp;"*Zone People Number Of Occupants [](Hourly)",'Eplus results'!$1:$1048576,ROW(),FALSE)</f>
        <v>0</v>
      </c>
      <c r="AC5263" s="580">
        <f>HLOOKUP("*"&amp;'Output annual'!$AC$2&amp;'Output annual'!$AD$2&amp;"*FangerPMV(Hourly)",'Eplus results'!$1:$1048576,ROW(),FALSE)</f>
        <v>0</v>
      </c>
      <c r="AD5263" s="580">
        <f t="shared" si="446"/>
        <v>5</v>
      </c>
      <c r="AE5263" s="580">
        <f t="shared" si="447"/>
        <v>2.5</v>
      </c>
      <c r="AF5263" s="580">
        <f t="shared" si="448"/>
        <v>2.5</v>
      </c>
      <c r="AG5263" s="580">
        <f t="shared" si="449"/>
        <v>0</v>
      </c>
      <c r="AH5263" s="580">
        <f t="shared" si="450"/>
        <v>0</v>
      </c>
    </row>
    <row r="5264" spans="28:34">
      <c r="AB5264" s="580">
        <f>HLOOKUP("*"&amp;'Output annual'!$AC$2&amp;'Output annual'!$AD$2&amp;"*Zone People Number Of Occupants [](Hourly)",'Eplus results'!$1:$1048576,ROW(),FALSE)</f>
        <v>0</v>
      </c>
      <c r="AC5264" s="580">
        <f>HLOOKUP("*"&amp;'Output annual'!$AC$2&amp;'Output annual'!$AD$2&amp;"*FangerPMV(Hourly)",'Eplus results'!$1:$1048576,ROW(),FALSE)</f>
        <v>0</v>
      </c>
      <c r="AD5264" s="580">
        <f t="shared" si="446"/>
        <v>5</v>
      </c>
      <c r="AE5264" s="580">
        <f t="shared" si="447"/>
        <v>2.5</v>
      </c>
      <c r="AF5264" s="580">
        <f t="shared" si="448"/>
        <v>2.5</v>
      </c>
      <c r="AG5264" s="580">
        <f t="shared" si="449"/>
        <v>0</v>
      </c>
      <c r="AH5264" s="580">
        <f t="shared" si="450"/>
        <v>0</v>
      </c>
    </row>
    <row r="5265" spans="28:34">
      <c r="AB5265" s="580">
        <f>HLOOKUP("*"&amp;'Output annual'!$AC$2&amp;'Output annual'!$AD$2&amp;"*Zone People Number Of Occupants [](Hourly)",'Eplus results'!$1:$1048576,ROW(),FALSE)</f>
        <v>0</v>
      </c>
      <c r="AC5265" s="580">
        <f>HLOOKUP("*"&amp;'Output annual'!$AC$2&amp;'Output annual'!$AD$2&amp;"*FangerPMV(Hourly)",'Eplus results'!$1:$1048576,ROW(),FALSE)</f>
        <v>0</v>
      </c>
      <c r="AD5265" s="580">
        <f t="shared" si="446"/>
        <v>5</v>
      </c>
      <c r="AE5265" s="580">
        <f t="shared" si="447"/>
        <v>2.5</v>
      </c>
      <c r="AF5265" s="580">
        <f t="shared" si="448"/>
        <v>2.5</v>
      </c>
      <c r="AG5265" s="580">
        <f t="shared" si="449"/>
        <v>0</v>
      </c>
      <c r="AH5265" s="580">
        <f t="shared" si="450"/>
        <v>0</v>
      </c>
    </row>
    <row r="5266" spans="28:34">
      <c r="AB5266" s="580">
        <f>HLOOKUP("*"&amp;'Output annual'!$AC$2&amp;'Output annual'!$AD$2&amp;"*Zone People Number Of Occupants [](Hourly)",'Eplus results'!$1:$1048576,ROW(),FALSE)</f>
        <v>0</v>
      </c>
      <c r="AC5266" s="580">
        <f>HLOOKUP("*"&amp;'Output annual'!$AC$2&amp;'Output annual'!$AD$2&amp;"*FangerPMV(Hourly)",'Eplus results'!$1:$1048576,ROW(),FALSE)</f>
        <v>0</v>
      </c>
      <c r="AD5266" s="580">
        <f t="shared" si="446"/>
        <v>5</v>
      </c>
      <c r="AE5266" s="580">
        <f t="shared" si="447"/>
        <v>2.5</v>
      </c>
      <c r="AF5266" s="580">
        <f t="shared" si="448"/>
        <v>2.5</v>
      </c>
      <c r="AG5266" s="580">
        <f t="shared" si="449"/>
        <v>0</v>
      </c>
      <c r="AH5266" s="580">
        <f t="shared" si="450"/>
        <v>0</v>
      </c>
    </row>
    <row r="5267" spans="28:34">
      <c r="AB5267" s="580">
        <f>HLOOKUP("*"&amp;'Output annual'!$AC$2&amp;'Output annual'!$AD$2&amp;"*Zone People Number Of Occupants [](Hourly)",'Eplus results'!$1:$1048576,ROW(),FALSE)</f>
        <v>0</v>
      </c>
      <c r="AC5267" s="580">
        <f>HLOOKUP("*"&amp;'Output annual'!$AC$2&amp;'Output annual'!$AD$2&amp;"*FangerPMV(Hourly)",'Eplus results'!$1:$1048576,ROW(),FALSE)</f>
        <v>0</v>
      </c>
      <c r="AD5267" s="580">
        <f t="shared" si="446"/>
        <v>5</v>
      </c>
      <c r="AE5267" s="580">
        <f t="shared" si="447"/>
        <v>2.5</v>
      </c>
      <c r="AF5267" s="580">
        <f t="shared" si="448"/>
        <v>2.5</v>
      </c>
      <c r="AG5267" s="580">
        <f t="shared" si="449"/>
        <v>0</v>
      </c>
      <c r="AH5267" s="580">
        <f t="shared" si="450"/>
        <v>0</v>
      </c>
    </row>
    <row r="5268" spans="28:34">
      <c r="AB5268" s="580">
        <f>HLOOKUP("*"&amp;'Output annual'!$AC$2&amp;'Output annual'!$AD$2&amp;"*Zone People Number Of Occupants [](Hourly)",'Eplus results'!$1:$1048576,ROW(),FALSE)</f>
        <v>0</v>
      </c>
      <c r="AC5268" s="580">
        <f>HLOOKUP("*"&amp;'Output annual'!$AC$2&amp;'Output annual'!$AD$2&amp;"*FangerPMV(Hourly)",'Eplus results'!$1:$1048576,ROW(),FALSE)</f>
        <v>0</v>
      </c>
      <c r="AD5268" s="580">
        <f t="shared" si="446"/>
        <v>5</v>
      </c>
      <c r="AE5268" s="580">
        <f t="shared" si="447"/>
        <v>2.5</v>
      </c>
      <c r="AF5268" s="580">
        <f t="shared" si="448"/>
        <v>2.5</v>
      </c>
      <c r="AG5268" s="580">
        <f t="shared" si="449"/>
        <v>0</v>
      </c>
      <c r="AH5268" s="580">
        <f t="shared" si="450"/>
        <v>0</v>
      </c>
    </row>
    <row r="5269" spans="28:34">
      <c r="AB5269" s="580">
        <f>HLOOKUP("*"&amp;'Output annual'!$AC$2&amp;'Output annual'!$AD$2&amp;"*Zone People Number Of Occupants [](Hourly)",'Eplus results'!$1:$1048576,ROW(),FALSE)</f>
        <v>0</v>
      </c>
      <c r="AC5269" s="580">
        <f>HLOOKUP("*"&amp;'Output annual'!$AC$2&amp;'Output annual'!$AD$2&amp;"*FangerPMV(Hourly)",'Eplus results'!$1:$1048576,ROW(),FALSE)</f>
        <v>0</v>
      </c>
      <c r="AD5269" s="580">
        <f t="shared" si="446"/>
        <v>5</v>
      </c>
      <c r="AE5269" s="580">
        <f t="shared" si="447"/>
        <v>2.5</v>
      </c>
      <c r="AF5269" s="580">
        <f t="shared" si="448"/>
        <v>2.5</v>
      </c>
      <c r="AG5269" s="580">
        <f t="shared" si="449"/>
        <v>0</v>
      </c>
      <c r="AH5269" s="580">
        <f t="shared" si="450"/>
        <v>0</v>
      </c>
    </row>
    <row r="5270" spans="28:34">
      <c r="AB5270" s="580">
        <f>HLOOKUP("*"&amp;'Output annual'!$AC$2&amp;'Output annual'!$AD$2&amp;"*Zone People Number Of Occupants [](Hourly)",'Eplus results'!$1:$1048576,ROW(),FALSE)</f>
        <v>0</v>
      </c>
      <c r="AC5270" s="580">
        <f>HLOOKUP("*"&amp;'Output annual'!$AC$2&amp;'Output annual'!$AD$2&amp;"*FangerPMV(Hourly)",'Eplus results'!$1:$1048576,ROW(),FALSE)</f>
        <v>0</v>
      </c>
      <c r="AD5270" s="580">
        <f t="shared" si="446"/>
        <v>5</v>
      </c>
      <c r="AE5270" s="580">
        <f t="shared" si="447"/>
        <v>2.5</v>
      </c>
      <c r="AF5270" s="580">
        <f t="shared" si="448"/>
        <v>2.5</v>
      </c>
      <c r="AG5270" s="580">
        <f t="shared" si="449"/>
        <v>0</v>
      </c>
      <c r="AH5270" s="580">
        <f t="shared" si="450"/>
        <v>0</v>
      </c>
    </row>
    <row r="5271" spans="28:34">
      <c r="AB5271" s="580">
        <f>HLOOKUP("*"&amp;'Output annual'!$AC$2&amp;'Output annual'!$AD$2&amp;"*Zone People Number Of Occupants [](Hourly)",'Eplus results'!$1:$1048576,ROW(),FALSE)</f>
        <v>0</v>
      </c>
      <c r="AC5271" s="580">
        <f>HLOOKUP("*"&amp;'Output annual'!$AC$2&amp;'Output annual'!$AD$2&amp;"*FangerPMV(Hourly)",'Eplus results'!$1:$1048576,ROW(),FALSE)</f>
        <v>0</v>
      </c>
      <c r="AD5271" s="580">
        <f t="shared" si="446"/>
        <v>5</v>
      </c>
      <c r="AE5271" s="580">
        <f t="shared" si="447"/>
        <v>2.5</v>
      </c>
      <c r="AF5271" s="580">
        <f t="shared" si="448"/>
        <v>2.5</v>
      </c>
      <c r="AG5271" s="580">
        <f t="shared" si="449"/>
        <v>0</v>
      </c>
      <c r="AH5271" s="580">
        <f t="shared" si="450"/>
        <v>0</v>
      </c>
    </row>
    <row r="5272" spans="28:34">
      <c r="AB5272" s="580">
        <f>HLOOKUP("*"&amp;'Output annual'!$AC$2&amp;'Output annual'!$AD$2&amp;"*Zone People Number Of Occupants [](Hourly)",'Eplus results'!$1:$1048576,ROW(),FALSE)</f>
        <v>0</v>
      </c>
      <c r="AC5272" s="580">
        <f>HLOOKUP("*"&amp;'Output annual'!$AC$2&amp;'Output annual'!$AD$2&amp;"*FangerPMV(Hourly)",'Eplus results'!$1:$1048576,ROW(),FALSE)</f>
        <v>0</v>
      </c>
      <c r="AD5272" s="580">
        <f t="shared" si="446"/>
        <v>5</v>
      </c>
      <c r="AE5272" s="580">
        <f t="shared" si="447"/>
        <v>2.5</v>
      </c>
      <c r="AF5272" s="580">
        <f t="shared" si="448"/>
        <v>2.5</v>
      </c>
      <c r="AG5272" s="580">
        <f t="shared" si="449"/>
        <v>0</v>
      </c>
      <c r="AH5272" s="580">
        <f t="shared" si="450"/>
        <v>0</v>
      </c>
    </row>
    <row r="5273" spans="28:34">
      <c r="AB5273" s="580">
        <f>HLOOKUP("*"&amp;'Output annual'!$AC$2&amp;'Output annual'!$AD$2&amp;"*Zone People Number Of Occupants [](Hourly)",'Eplus results'!$1:$1048576,ROW(),FALSE)</f>
        <v>0</v>
      </c>
      <c r="AC5273" s="580">
        <f>HLOOKUP("*"&amp;'Output annual'!$AC$2&amp;'Output annual'!$AD$2&amp;"*FangerPMV(Hourly)",'Eplus results'!$1:$1048576,ROW(),FALSE)</f>
        <v>0</v>
      </c>
      <c r="AD5273" s="580">
        <f t="shared" si="446"/>
        <v>5</v>
      </c>
      <c r="AE5273" s="580">
        <f t="shared" si="447"/>
        <v>2.5</v>
      </c>
      <c r="AF5273" s="580">
        <f t="shared" si="448"/>
        <v>2.5</v>
      </c>
      <c r="AG5273" s="580">
        <f t="shared" si="449"/>
        <v>0</v>
      </c>
      <c r="AH5273" s="580">
        <f t="shared" si="450"/>
        <v>0</v>
      </c>
    </row>
    <row r="5274" spans="28:34">
      <c r="AB5274" s="580">
        <f>HLOOKUP("*"&amp;'Output annual'!$AC$2&amp;'Output annual'!$AD$2&amp;"*Zone People Number Of Occupants [](Hourly)",'Eplus results'!$1:$1048576,ROW(),FALSE)</f>
        <v>0</v>
      </c>
      <c r="AC5274" s="580">
        <f>HLOOKUP("*"&amp;'Output annual'!$AC$2&amp;'Output annual'!$AD$2&amp;"*FangerPMV(Hourly)",'Eplus results'!$1:$1048576,ROW(),FALSE)</f>
        <v>0</v>
      </c>
      <c r="AD5274" s="580">
        <f t="shared" si="446"/>
        <v>5</v>
      </c>
      <c r="AE5274" s="580">
        <f t="shared" si="447"/>
        <v>2.5</v>
      </c>
      <c r="AF5274" s="580">
        <f t="shared" si="448"/>
        <v>2.5</v>
      </c>
      <c r="AG5274" s="580">
        <f t="shared" si="449"/>
        <v>0</v>
      </c>
      <c r="AH5274" s="580">
        <f t="shared" si="450"/>
        <v>0</v>
      </c>
    </row>
    <row r="5275" spans="28:34">
      <c r="AB5275" s="580">
        <f>HLOOKUP("*"&amp;'Output annual'!$AC$2&amp;'Output annual'!$AD$2&amp;"*Zone People Number Of Occupants [](Hourly)",'Eplus results'!$1:$1048576,ROW(),FALSE)</f>
        <v>0</v>
      </c>
      <c r="AC5275" s="580">
        <f>HLOOKUP("*"&amp;'Output annual'!$AC$2&amp;'Output annual'!$AD$2&amp;"*FangerPMV(Hourly)",'Eplus results'!$1:$1048576,ROW(),FALSE)</f>
        <v>0</v>
      </c>
      <c r="AD5275" s="580">
        <f t="shared" si="446"/>
        <v>5</v>
      </c>
      <c r="AE5275" s="580">
        <f t="shared" si="447"/>
        <v>2.5</v>
      </c>
      <c r="AF5275" s="580">
        <f t="shared" si="448"/>
        <v>2.5</v>
      </c>
      <c r="AG5275" s="580">
        <f t="shared" si="449"/>
        <v>0</v>
      </c>
      <c r="AH5275" s="580">
        <f t="shared" si="450"/>
        <v>0</v>
      </c>
    </row>
    <row r="5276" spans="28:34">
      <c r="AB5276" s="580">
        <f>HLOOKUP("*"&amp;'Output annual'!$AC$2&amp;'Output annual'!$AD$2&amp;"*Zone People Number Of Occupants [](Hourly)",'Eplus results'!$1:$1048576,ROW(),FALSE)</f>
        <v>0</v>
      </c>
      <c r="AC5276" s="580">
        <f>HLOOKUP("*"&amp;'Output annual'!$AC$2&amp;'Output annual'!$AD$2&amp;"*FangerPMV(Hourly)",'Eplus results'!$1:$1048576,ROW(),FALSE)</f>
        <v>0</v>
      </c>
      <c r="AD5276" s="580">
        <f t="shared" si="446"/>
        <v>5</v>
      </c>
      <c r="AE5276" s="580">
        <f t="shared" si="447"/>
        <v>2.5</v>
      </c>
      <c r="AF5276" s="580">
        <f t="shared" si="448"/>
        <v>2.5</v>
      </c>
      <c r="AG5276" s="580">
        <f t="shared" si="449"/>
        <v>0</v>
      </c>
      <c r="AH5276" s="580">
        <f t="shared" si="450"/>
        <v>0</v>
      </c>
    </row>
    <row r="5277" spans="28:34">
      <c r="AB5277" s="580">
        <f>HLOOKUP("*"&amp;'Output annual'!$AC$2&amp;'Output annual'!$AD$2&amp;"*Zone People Number Of Occupants [](Hourly)",'Eplus results'!$1:$1048576,ROW(),FALSE)</f>
        <v>0</v>
      </c>
      <c r="AC5277" s="580">
        <f>HLOOKUP("*"&amp;'Output annual'!$AC$2&amp;'Output annual'!$AD$2&amp;"*FangerPMV(Hourly)",'Eplus results'!$1:$1048576,ROW(),FALSE)</f>
        <v>0</v>
      </c>
      <c r="AD5277" s="580">
        <f t="shared" si="446"/>
        <v>5</v>
      </c>
      <c r="AE5277" s="580">
        <f t="shared" si="447"/>
        <v>2.5</v>
      </c>
      <c r="AF5277" s="580">
        <f t="shared" si="448"/>
        <v>2.5</v>
      </c>
      <c r="AG5277" s="580">
        <f t="shared" si="449"/>
        <v>0</v>
      </c>
      <c r="AH5277" s="580">
        <f t="shared" si="450"/>
        <v>0</v>
      </c>
    </row>
    <row r="5278" spans="28:34">
      <c r="AB5278" s="580">
        <f>HLOOKUP("*"&amp;'Output annual'!$AC$2&amp;'Output annual'!$AD$2&amp;"*Zone People Number Of Occupants [](Hourly)",'Eplus results'!$1:$1048576,ROW(),FALSE)</f>
        <v>0</v>
      </c>
      <c r="AC5278" s="580">
        <f>HLOOKUP("*"&amp;'Output annual'!$AC$2&amp;'Output annual'!$AD$2&amp;"*FangerPMV(Hourly)",'Eplus results'!$1:$1048576,ROW(),FALSE)</f>
        <v>0</v>
      </c>
      <c r="AD5278" s="580">
        <f t="shared" si="446"/>
        <v>5</v>
      </c>
      <c r="AE5278" s="580">
        <f t="shared" si="447"/>
        <v>2.5</v>
      </c>
      <c r="AF5278" s="580">
        <f t="shared" si="448"/>
        <v>2.5</v>
      </c>
      <c r="AG5278" s="580">
        <f t="shared" si="449"/>
        <v>0</v>
      </c>
      <c r="AH5278" s="580">
        <f t="shared" si="450"/>
        <v>0</v>
      </c>
    </row>
    <row r="5279" spans="28:34">
      <c r="AB5279" s="580">
        <f>HLOOKUP("*"&amp;'Output annual'!$AC$2&amp;'Output annual'!$AD$2&amp;"*Zone People Number Of Occupants [](Hourly)",'Eplus results'!$1:$1048576,ROW(),FALSE)</f>
        <v>0</v>
      </c>
      <c r="AC5279" s="580">
        <f>HLOOKUP("*"&amp;'Output annual'!$AC$2&amp;'Output annual'!$AD$2&amp;"*FangerPMV(Hourly)",'Eplus results'!$1:$1048576,ROW(),FALSE)</f>
        <v>0</v>
      </c>
      <c r="AD5279" s="580">
        <f t="shared" si="446"/>
        <v>5</v>
      </c>
      <c r="AE5279" s="580">
        <f t="shared" si="447"/>
        <v>2.5</v>
      </c>
      <c r="AF5279" s="580">
        <f t="shared" si="448"/>
        <v>2.5</v>
      </c>
      <c r="AG5279" s="580">
        <f t="shared" si="449"/>
        <v>0</v>
      </c>
      <c r="AH5279" s="580">
        <f t="shared" si="450"/>
        <v>0</v>
      </c>
    </row>
    <row r="5280" spans="28:34">
      <c r="AB5280" s="580">
        <f>HLOOKUP("*"&amp;'Output annual'!$AC$2&amp;'Output annual'!$AD$2&amp;"*Zone People Number Of Occupants [](Hourly)",'Eplus results'!$1:$1048576,ROW(),FALSE)</f>
        <v>0</v>
      </c>
      <c r="AC5280" s="580">
        <f>HLOOKUP("*"&amp;'Output annual'!$AC$2&amp;'Output annual'!$AD$2&amp;"*FangerPMV(Hourly)",'Eplus results'!$1:$1048576,ROW(),FALSE)</f>
        <v>0</v>
      </c>
      <c r="AD5280" s="580">
        <f t="shared" si="446"/>
        <v>5</v>
      </c>
      <c r="AE5280" s="580">
        <f t="shared" si="447"/>
        <v>2.5</v>
      </c>
      <c r="AF5280" s="580">
        <f t="shared" si="448"/>
        <v>2.5</v>
      </c>
      <c r="AG5280" s="580">
        <f t="shared" si="449"/>
        <v>0</v>
      </c>
      <c r="AH5280" s="580">
        <f t="shared" si="450"/>
        <v>0</v>
      </c>
    </row>
    <row r="5281" spans="28:34">
      <c r="AB5281" s="580">
        <f>HLOOKUP("*"&amp;'Output annual'!$AC$2&amp;'Output annual'!$AD$2&amp;"*Zone People Number Of Occupants [](Hourly)",'Eplus results'!$1:$1048576,ROW(),FALSE)</f>
        <v>0</v>
      </c>
      <c r="AC5281" s="580">
        <f>HLOOKUP("*"&amp;'Output annual'!$AC$2&amp;'Output annual'!$AD$2&amp;"*FangerPMV(Hourly)",'Eplus results'!$1:$1048576,ROW(),FALSE)</f>
        <v>0</v>
      </c>
      <c r="AD5281" s="580">
        <f t="shared" si="446"/>
        <v>5</v>
      </c>
      <c r="AE5281" s="580">
        <f t="shared" si="447"/>
        <v>2.5</v>
      </c>
      <c r="AF5281" s="580">
        <f t="shared" si="448"/>
        <v>2.5</v>
      </c>
      <c r="AG5281" s="580">
        <f t="shared" si="449"/>
        <v>0</v>
      </c>
      <c r="AH5281" s="580">
        <f t="shared" si="450"/>
        <v>0</v>
      </c>
    </row>
    <row r="5282" spans="28:34">
      <c r="AB5282" s="580">
        <f>HLOOKUP("*"&amp;'Output annual'!$AC$2&amp;'Output annual'!$AD$2&amp;"*Zone People Number Of Occupants [](Hourly)",'Eplus results'!$1:$1048576,ROW(),FALSE)</f>
        <v>0</v>
      </c>
      <c r="AC5282" s="580">
        <f>HLOOKUP("*"&amp;'Output annual'!$AC$2&amp;'Output annual'!$AD$2&amp;"*FangerPMV(Hourly)",'Eplus results'!$1:$1048576,ROW(),FALSE)</f>
        <v>0</v>
      </c>
      <c r="AD5282" s="580">
        <f t="shared" si="446"/>
        <v>5</v>
      </c>
      <c r="AE5282" s="580">
        <f t="shared" si="447"/>
        <v>2.5</v>
      </c>
      <c r="AF5282" s="580">
        <f t="shared" si="448"/>
        <v>2.5</v>
      </c>
      <c r="AG5282" s="580">
        <f t="shared" si="449"/>
        <v>0</v>
      </c>
      <c r="AH5282" s="580">
        <f t="shared" si="450"/>
        <v>0</v>
      </c>
    </row>
    <row r="5283" spans="28:34">
      <c r="AB5283" s="580">
        <f>HLOOKUP("*"&amp;'Output annual'!$AC$2&amp;'Output annual'!$AD$2&amp;"*Zone People Number Of Occupants [](Hourly)",'Eplus results'!$1:$1048576,ROW(),FALSE)</f>
        <v>0</v>
      </c>
      <c r="AC5283" s="580">
        <f>HLOOKUP("*"&amp;'Output annual'!$AC$2&amp;'Output annual'!$AD$2&amp;"*FangerPMV(Hourly)",'Eplus results'!$1:$1048576,ROW(),FALSE)</f>
        <v>0</v>
      </c>
      <c r="AD5283" s="580">
        <f t="shared" si="446"/>
        <v>5</v>
      </c>
      <c r="AE5283" s="580">
        <f t="shared" si="447"/>
        <v>2.5</v>
      </c>
      <c r="AF5283" s="580">
        <f t="shared" si="448"/>
        <v>2.5</v>
      </c>
      <c r="AG5283" s="580">
        <f t="shared" si="449"/>
        <v>0</v>
      </c>
      <c r="AH5283" s="580">
        <f t="shared" si="450"/>
        <v>0</v>
      </c>
    </row>
    <row r="5284" spans="28:34">
      <c r="AB5284" s="580">
        <f>HLOOKUP("*"&amp;'Output annual'!$AC$2&amp;'Output annual'!$AD$2&amp;"*Zone People Number Of Occupants [](Hourly)",'Eplus results'!$1:$1048576,ROW(),FALSE)</f>
        <v>0</v>
      </c>
      <c r="AC5284" s="580">
        <f>HLOOKUP("*"&amp;'Output annual'!$AC$2&amp;'Output annual'!$AD$2&amp;"*FangerPMV(Hourly)",'Eplus results'!$1:$1048576,ROW(),FALSE)</f>
        <v>0</v>
      </c>
      <c r="AD5284" s="580">
        <f t="shared" si="446"/>
        <v>5</v>
      </c>
      <c r="AE5284" s="580">
        <f t="shared" si="447"/>
        <v>2.5</v>
      </c>
      <c r="AF5284" s="580">
        <f t="shared" si="448"/>
        <v>2.5</v>
      </c>
      <c r="AG5284" s="580">
        <f t="shared" si="449"/>
        <v>0</v>
      </c>
      <c r="AH5284" s="580">
        <f t="shared" si="450"/>
        <v>0</v>
      </c>
    </row>
    <row r="5285" spans="28:34">
      <c r="AB5285" s="580">
        <f>HLOOKUP("*"&amp;'Output annual'!$AC$2&amp;'Output annual'!$AD$2&amp;"*Zone People Number Of Occupants [](Hourly)",'Eplus results'!$1:$1048576,ROW(),FALSE)</f>
        <v>0</v>
      </c>
      <c r="AC5285" s="580">
        <f>HLOOKUP("*"&amp;'Output annual'!$AC$2&amp;'Output annual'!$AD$2&amp;"*FangerPMV(Hourly)",'Eplus results'!$1:$1048576,ROW(),FALSE)</f>
        <v>0</v>
      </c>
      <c r="AD5285" s="580">
        <f t="shared" si="446"/>
        <v>5</v>
      </c>
      <c r="AE5285" s="580">
        <f t="shared" si="447"/>
        <v>2.5</v>
      </c>
      <c r="AF5285" s="580">
        <f t="shared" si="448"/>
        <v>2.5</v>
      </c>
      <c r="AG5285" s="580">
        <f t="shared" si="449"/>
        <v>0</v>
      </c>
      <c r="AH5285" s="580">
        <f t="shared" si="450"/>
        <v>0</v>
      </c>
    </row>
    <row r="5286" spans="28:34">
      <c r="AB5286" s="580">
        <f>HLOOKUP("*"&amp;'Output annual'!$AC$2&amp;'Output annual'!$AD$2&amp;"*Zone People Number Of Occupants [](Hourly)",'Eplus results'!$1:$1048576,ROW(),FALSE)</f>
        <v>0</v>
      </c>
      <c r="AC5286" s="580">
        <f>HLOOKUP("*"&amp;'Output annual'!$AC$2&amp;'Output annual'!$AD$2&amp;"*FangerPMV(Hourly)",'Eplus results'!$1:$1048576,ROW(),FALSE)</f>
        <v>0</v>
      </c>
      <c r="AD5286" s="580">
        <f t="shared" si="446"/>
        <v>5</v>
      </c>
      <c r="AE5286" s="580">
        <f t="shared" si="447"/>
        <v>2.5</v>
      </c>
      <c r="AF5286" s="580">
        <f t="shared" si="448"/>
        <v>2.5</v>
      </c>
      <c r="AG5286" s="580">
        <f t="shared" si="449"/>
        <v>0</v>
      </c>
      <c r="AH5286" s="580">
        <f t="shared" si="450"/>
        <v>0</v>
      </c>
    </row>
    <row r="5287" spans="28:34">
      <c r="AB5287" s="580">
        <f>HLOOKUP("*"&amp;'Output annual'!$AC$2&amp;'Output annual'!$AD$2&amp;"*Zone People Number Of Occupants [](Hourly)",'Eplus results'!$1:$1048576,ROW(),FALSE)</f>
        <v>0</v>
      </c>
      <c r="AC5287" s="580">
        <f>HLOOKUP("*"&amp;'Output annual'!$AC$2&amp;'Output annual'!$AD$2&amp;"*FangerPMV(Hourly)",'Eplus results'!$1:$1048576,ROW(),FALSE)</f>
        <v>0</v>
      </c>
      <c r="AD5287" s="580">
        <f t="shared" si="446"/>
        <v>5</v>
      </c>
      <c r="AE5287" s="580">
        <f t="shared" si="447"/>
        <v>2.5</v>
      </c>
      <c r="AF5287" s="580">
        <f t="shared" si="448"/>
        <v>2.5</v>
      </c>
      <c r="AG5287" s="580">
        <f t="shared" si="449"/>
        <v>0</v>
      </c>
      <c r="AH5287" s="580">
        <f t="shared" si="450"/>
        <v>0</v>
      </c>
    </row>
    <row r="5288" spans="28:34">
      <c r="AB5288" s="580">
        <f>HLOOKUP("*"&amp;'Output annual'!$AC$2&amp;'Output annual'!$AD$2&amp;"*Zone People Number Of Occupants [](Hourly)",'Eplus results'!$1:$1048576,ROW(),FALSE)</f>
        <v>0</v>
      </c>
      <c r="AC5288" s="580">
        <f>HLOOKUP("*"&amp;'Output annual'!$AC$2&amp;'Output annual'!$AD$2&amp;"*FangerPMV(Hourly)",'Eplus results'!$1:$1048576,ROW(),FALSE)</f>
        <v>0</v>
      </c>
      <c r="AD5288" s="580">
        <f t="shared" si="446"/>
        <v>5</v>
      </c>
      <c r="AE5288" s="580">
        <f t="shared" si="447"/>
        <v>2.5</v>
      </c>
      <c r="AF5288" s="580">
        <f t="shared" si="448"/>
        <v>2.5</v>
      </c>
      <c r="AG5288" s="580">
        <f t="shared" si="449"/>
        <v>0</v>
      </c>
      <c r="AH5288" s="580">
        <f t="shared" si="450"/>
        <v>0</v>
      </c>
    </row>
    <row r="5289" spans="28:34">
      <c r="AB5289" s="580">
        <f>HLOOKUP("*"&amp;'Output annual'!$AC$2&amp;'Output annual'!$AD$2&amp;"*Zone People Number Of Occupants [](Hourly)",'Eplus results'!$1:$1048576,ROW(),FALSE)</f>
        <v>0</v>
      </c>
      <c r="AC5289" s="580">
        <f>HLOOKUP("*"&amp;'Output annual'!$AC$2&amp;'Output annual'!$AD$2&amp;"*FangerPMV(Hourly)",'Eplus results'!$1:$1048576,ROW(),FALSE)</f>
        <v>0</v>
      </c>
      <c r="AD5289" s="580">
        <f t="shared" si="446"/>
        <v>5</v>
      </c>
      <c r="AE5289" s="580">
        <f t="shared" si="447"/>
        <v>2.5</v>
      </c>
      <c r="AF5289" s="580">
        <f t="shared" si="448"/>
        <v>2.5</v>
      </c>
      <c r="AG5289" s="580">
        <f t="shared" si="449"/>
        <v>0</v>
      </c>
      <c r="AH5289" s="580">
        <f t="shared" si="450"/>
        <v>0</v>
      </c>
    </row>
    <row r="5290" spans="28:34">
      <c r="AB5290" s="580">
        <f>HLOOKUP("*"&amp;'Output annual'!$AC$2&amp;'Output annual'!$AD$2&amp;"*Zone People Number Of Occupants [](Hourly)",'Eplus results'!$1:$1048576,ROW(),FALSE)</f>
        <v>0</v>
      </c>
      <c r="AC5290" s="580">
        <f>HLOOKUP("*"&amp;'Output annual'!$AC$2&amp;'Output annual'!$AD$2&amp;"*FangerPMV(Hourly)",'Eplus results'!$1:$1048576,ROW(),FALSE)</f>
        <v>0</v>
      </c>
      <c r="AD5290" s="580">
        <f t="shared" si="446"/>
        <v>5</v>
      </c>
      <c r="AE5290" s="580">
        <f t="shared" si="447"/>
        <v>2.5</v>
      </c>
      <c r="AF5290" s="580">
        <f t="shared" si="448"/>
        <v>2.5</v>
      </c>
      <c r="AG5290" s="580">
        <f t="shared" si="449"/>
        <v>0</v>
      </c>
      <c r="AH5290" s="580">
        <f t="shared" si="450"/>
        <v>0</v>
      </c>
    </row>
    <row r="5291" spans="28:34">
      <c r="AB5291" s="580">
        <f>HLOOKUP("*"&amp;'Output annual'!$AC$2&amp;'Output annual'!$AD$2&amp;"*Zone People Number Of Occupants [](Hourly)",'Eplus results'!$1:$1048576,ROW(),FALSE)</f>
        <v>0</v>
      </c>
      <c r="AC5291" s="580">
        <f>HLOOKUP("*"&amp;'Output annual'!$AC$2&amp;'Output annual'!$AD$2&amp;"*FangerPMV(Hourly)",'Eplus results'!$1:$1048576,ROW(),FALSE)</f>
        <v>0</v>
      </c>
      <c r="AD5291" s="580">
        <f t="shared" si="446"/>
        <v>5</v>
      </c>
      <c r="AE5291" s="580">
        <f t="shared" si="447"/>
        <v>2.5</v>
      </c>
      <c r="AF5291" s="580">
        <f t="shared" si="448"/>
        <v>2.5</v>
      </c>
      <c r="AG5291" s="580">
        <f t="shared" si="449"/>
        <v>0</v>
      </c>
      <c r="AH5291" s="580">
        <f t="shared" si="450"/>
        <v>0</v>
      </c>
    </row>
    <row r="5292" spans="28:34">
      <c r="AB5292" s="580">
        <f>HLOOKUP("*"&amp;'Output annual'!$AC$2&amp;'Output annual'!$AD$2&amp;"*Zone People Number Of Occupants [](Hourly)",'Eplus results'!$1:$1048576,ROW(),FALSE)</f>
        <v>0</v>
      </c>
      <c r="AC5292" s="580">
        <f>HLOOKUP("*"&amp;'Output annual'!$AC$2&amp;'Output annual'!$AD$2&amp;"*FangerPMV(Hourly)",'Eplus results'!$1:$1048576,ROW(),FALSE)</f>
        <v>0</v>
      </c>
      <c r="AD5292" s="580">
        <f t="shared" si="446"/>
        <v>5</v>
      </c>
      <c r="AE5292" s="580">
        <f t="shared" si="447"/>
        <v>2.5</v>
      </c>
      <c r="AF5292" s="580">
        <f t="shared" si="448"/>
        <v>2.5</v>
      </c>
      <c r="AG5292" s="580">
        <f t="shared" si="449"/>
        <v>0</v>
      </c>
      <c r="AH5292" s="580">
        <f t="shared" si="450"/>
        <v>0</v>
      </c>
    </row>
    <row r="5293" spans="28:34">
      <c r="AB5293" s="580">
        <f>HLOOKUP("*"&amp;'Output annual'!$AC$2&amp;'Output annual'!$AD$2&amp;"*Zone People Number Of Occupants [](Hourly)",'Eplus results'!$1:$1048576,ROW(),FALSE)</f>
        <v>0</v>
      </c>
      <c r="AC5293" s="580">
        <f>HLOOKUP("*"&amp;'Output annual'!$AC$2&amp;'Output annual'!$AD$2&amp;"*FangerPMV(Hourly)",'Eplus results'!$1:$1048576,ROW(),FALSE)</f>
        <v>0</v>
      </c>
      <c r="AD5293" s="580">
        <f t="shared" si="446"/>
        <v>5</v>
      </c>
      <c r="AE5293" s="580">
        <f t="shared" si="447"/>
        <v>2.5</v>
      </c>
      <c r="AF5293" s="580">
        <f t="shared" si="448"/>
        <v>2.5</v>
      </c>
      <c r="AG5293" s="580">
        <f t="shared" si="449"/>
        <v>0</v>
      </c>
      <c r="AH5293" s="580">
        <f t="shared" si="450"/>
        <v>0</v>
      </c>
    </row>
    <row r="5294" spans="28:34">
      <c r="AB5294" s="580">
        <f>HLOOKUP("*"&amp;'Output annual'!$AC$2&amp;'Output annual'!$AD$2&amp;"*Zone People Number Of Occupants [](Hourly)",'Eplus results'!$1:$1048576,ROW(),FALSE)</f>
        <v>0</v>
      </c>
      <c r="AC5294" s="580">
        <f>HLOOKUP("*"&amp;'Output annual'!$AC$2&amp;'Output annual'!$AD$2&amp;"*FangerPMV(Hourly)",'Eplus results'!$1:$1048576,ROW(),FALSE)</f>
        <v>0</v>
      </c>
      <c r="AD5294" s="580">
        <f t="shared" si="446"/>
        <v>5</v>
      </c>
      <c r="AE5294" s="580">
        <f t="shared" si="447"/>
        <v>2.5</v>
      </c>
      <c r="AF5294" s="580">
        <f t="shared" si="448"/>
        <v>2.5</v>
      </c>
      <c r="AG5294" s="580">
        <f t="shared" si="449"/>
        <v>0</v>
      </c>
      <c r="AH5294" s="580">
        <f t="shared" si="450"/>
        <v>0</v>
      </c>
    </row>
    <row r="5295" spans="28:34">
      <c r="AB5295" s="580">
        <f>HLOOKUP("*"&amp;'Output annual'!$AC$2&amp;'Output annual'!$AD$2&amp;"*Zone People Number Of Occupants [](Hourly)",'Eplus results'!$1:$1048576,ROW(),FALSE)</f>
        <v>0</v>
      </c>
      <c r="AC5295" s="580">
        <f>HLOOKUP("*"&amp;'Output annual'!$AC$2&amp;'Output annual'!$AD$2&amp;"*FangerPMV(Hourly)",'Eplus results'!$1:$1048576,ROW(),FALSE)</f>
        <v>0</v>
      </c>
      <c r="AD5295" s="580">
        <f t="shared" si="446"/>
        <v>5</v>
      </c>
      <c r="AE5295" s="580">
        <f t="shared" si="447"/>
        <v>2.5</v>
      </c>
      <c r="AF5295" s="580">
        <f t="shared" si="448"/>
        <v>2.5</v>
      </c>
      <c r="AG5295" s="580">
        <f t="shared" si="449"/>
        <v>0</v>
      </c>
      <c r="AH5295" s="580">
        <f t="shared" si="450"/>
        <v>0</v>
      </c>
    </row>
    <row r="5296" spans="28:34">
      <c r="AB5296" s="580">
        <f>HLOOKUP("*"&amp;'Output annual'!$AC$2&amp;'Output annual'!$AD$2&amp;"*Zone People Number Of Occupants [](Hourly)",'Eplus results'!$1:$1048576,ROW(),FALSE)</f>
        <v>0</v>
      </c>
      <c r="AC5296" s="580">
        <f>HLOOKUP("*"&amp;'Output annual'!$AC$2&amp;'Output annual'!$AD$2&amp;"*FangerPMV(Hourly)",'Eplus results'!$1:$1048576,ROW(),FALSE)</f>
        <v>0</v>
      </c>
      <c r="AD5296" s="580">
        <f t="shared" si="446"/>
        <v>5</v>
      </c>
      <c r="AE5296" s="580">
        <f t="shared" si="447"/>
        <v>2.5</v>
      </c>
      <c r="AF5296" s="580">
        <f t="shared" si="448"/>
        <v>2.5</v>
      </c>
      <c r="AG5296" s="580">
        <f t="shared" si="449"/>
        <v>0</v>
      </c>
      <c r="AH5296" s="580">
        <f t="shared" si="450"/>
        <v>0</v>
      </c>
    </row>
    <row r="5297" spans="28:34">
      <c r="AB5297" s="580">
        <f>HLOOKUP("*"&amp;'Output annual'!$AC$2&amp;'Output annual'!$AD$2&amp;"*Zone People Number Of Occupants [](Hourly)",'Eplus results'!$1:$1048576,ROW(),FALSE)</f>
        <v>0</v>
      </c>
      <c r="AC5297" s="580">
        <f>HLOOKUP("*"&amp;'Output annual'!$AC$2&amp;'Output annual'!$AD$2&amp;"*FangerPMV(Hourly)",'Eplus results'!$1:$1048576,ROW(),FALSE)</f>
        <v>0</v>
      </c>
      <c r="AD5297" s="580">
        <f t="shared" si="446"/>
        <v>5</v>
      </c>
      <c r="AE5297" s="580">
        <f t="shared" si="447"/>
        <v>2.5</v>
      </c>
      <c r="AF5297" s="580">
        <f t="shared" si="448"/>
        <v>2.5</v>
      </c>
      <c r="AG5297" s="580">
        <f t="shared" si="449"/>
        <v>0</v>
      </c>
      <c r="AH5297" s="580">
        <f t="shared" si="450"/>
        <v>0</v>
      </c>
    </row>
    <row r="5298" spans="28:34">
      <c r="AB5298" s="580">
        <f>HLOOKUP("*"&amp;'Output annual'!$AC$2&amp;'Output annual'!$AD$2&amp;"*Zone People Number Of Occupants [](Hourly)",'Eplus results'!$1:$1048576,ROW(),FALSE)</f>
        <v>0</v>
      </c>
      <c r="AC5298" s="580">
        <f>HLOOKUP("*"&amp;'Output annual'!$AC$2&amp;'Output annual'!$AD$2&amp;"*FangerPMV(Hourly)",'Eplus results'!$1:$1048576,ROW(),FALSE)</f>
        <v>0</v>
      </c>
      <c r="AD5298" s="580">
        <f t="shared" si="446"/>
        <v>5</v>
      </c>
      <c r="AE5298" s="580">
        <f t="shared" si="447"/>
        <v>2.5</v>
      </c>
      <c r="AF5298" s="580">
        <f t="shared" si="448"/>
        <v>2.5</v>
      </c>
      <c r="AG5298" s="580">
        <f t="shared" si="449"/>
        <v>0</v>
      </c>
      <c r="AH5298" s="580">
        <f t="shared" si="450"/>
        <v>0</v>
      </c>
    </row>
    <row r="5299" spans="28:34">
      <c r="AB5299" s="580">
        <f>HLOOKUP("*"&amp;'Output annual'!$AC$2&amp;'Output annual'!$AD$2&amp;"*Zone People Number Of Occupants [](Hourly)",'Eplus results'!$1:$1048576,ROW(),FALSE)</f>
        <v>0</v>
      </c>
      <c r="AC5299" s="580">
        <f>HLOOKUP("*"&amp;'Output annual'!$AC$2&amp;'Output annual'!$AD$2&amp;"*FangerPMV(Hourly)",'Eplus results'!$1:$1048576,ROW(),FALSE)</f>
        <v>0</v>
      </c>
      <c r="AD5299" s="580">
        <f t="shared" si="446"/>
        <v>5</v>
      </c>
      <c r="AE5299" s="580">
        <f t="shared" si="447"/>
        <v>2.5</v>
      </c>
      <c r="AF5299" s="580">
        <f t="shared" si="448"/>
        <v>2.5</v>
      </c>
      <c r="AG5299" s="580">
        <f t="shared" si="449"/>
        <v>0</v>
      </c>
      <c r="AH5299" s="580">
        <f t="shared" si="450"/>
        <v>0</v>
      </c>
    </row>
    <row r="5300" spans="28:34">
      <c r="AB5300" s="580">
        <f>HLOOKUP("*"&amp;'Output annual'!$AC$2&amp;'Output annual'!$AD$2&amp;"*Zone People Number Of Occupants [](Hourly)",'Eplus results'!$1:$1048576,ROW(),FALSE)</f>
        <v>0</v>
      </c>
      <c r="AC5300" s="580">
        <f>HLOOKUP("*"&amp;'Output annual'!$AC$2&amp;'Output annual'!$AD$2&amp;"*FangerPMV(Hourly)",'Eplus results'!$1:$1048576,ROW(),FALSE)</f>
        <v>0</v>
      </c>
      <c r="AD5300" s="580">
        <f t="shared" si="446"/>
        <v>5</v>
      </c>
      <c r="AE5300" s="580">
        <f t="shared" si="447"/>
        <v>2.5</v>
      </c>
      <c r="AF5300" s="580">
        <f t="shared" si="448"/>
        <v>2.5</v>
      </c>
      <c r="AG5300" s="580">
        <f t="shared" si="449"/>
        <v>0</v>
      </c>
      <c r="AH5300" s="580">
        <f t="shared" si="450"/>
        <v>0</v>
      </c>
    </row>
    <row r="5301" spans="28:34">
      <c r="AB5301" s="580">
        <f>HLOOKUP("*"&amp;'Output annual'!$AC$2&amp;'Output annual'!$AD$2&amp;"*Zone People Number Of Occupants [](Hourly)",'Eplus results'!$1:$1048576,ROW(),FALSE)</f>
        <v>0</v>
      </c>
      <c r="AC5301" s="580">
        <f>HLOOKUP("*"&amp;'Output annual'!$AC$2&amp;'Output annual'!$AD$2&amp;"*FangerPMV(Hourly)",'Eplus results'!$1:$1048576,ROW(),FALSE)</f>
        <v>0</v>
      </c>
      <c r="AD5301" s="580">
        <f t="shared" si="446"/>
        <v>5</v>
      </c>
      <c r="AE5301" s="580">
        <f t="shared" si="447"/>
        <v>2.5</v>
      </c>
      <c r="AF5301" s="580">
        <f t="shared" si="448"/>
        <v>2.5</v>
      </c>
      <c r="AG5301" s="580">
        <f t="shared" si="449"/>
        <v>0</v>
      </c>
      <c r="AH5301" s="580">
        <f t="shared" si="450"/>
        <v>0</v>
      </c>
    </row>
    <row r="5302" spans="28:34">
      <c r="AB5302" s="580">
        <f>HLOOKUP("*"&amp;'Output annual'!$AC$2&amp;'Output annual'!$AD$2&amp;"*Zone People Number Of Occupants [](Hourly)",'Eplus results'!$1:$1048576,ROW(),FALSE)</f>
        <v>0</v>
      </c>
      <c r="AC5302" s="580">
        <f>HLOOKUP("*"&amp;'Output annual'!$AC$2&amp;'Output annual'!$AD$2&amp;"*FangerPMV(Hourly)",'Eplus results'!$1:$1048576,ROW(),FALSE)</f>
        <v>0</v>
      </c>
      <c r="AD5302" s="580">
        <f t="shared" si="446"/>
        <v>5</v>
      </c>
      <c r="AE5302" s="580">
        <f t="shared" si="447"/>
        <v>2.5</v>
      </c>
      <c r="AF5302" s="580">
        <f t="shared" si="448"/>
        <v>2.5</v>
      </c>
      <c r="AG5302" s="580">
        <f t="shared" si="449"/>
        <v>0</v>
      </c>
      <c r="AH5302" s="580">
        <f t="shared" si="450"/>
        <v>0</v>
      </c>
    </row>
    <row r="5303" spans="28:34">
      <c r="AB5303" s="580">
        <f>HLOOKUP("*"&amp;'Output annual'!$AC$2&amp;'Output annual'!$AD$2&amp;"*Zone People Number Of Occupants [](Hourly)",'Eplus results'!$1:$1048576,ROW(),FALSE)</f>
        <v>0</v>
      </c>
      <c r="AC5303" s="580">
        <f>HLOOKUP("*"&amp;'Output annual'!$AC$2&amp;'Output annual'!$AD$2&amp;"*FangerPMV(Hourly)",'Eplus results'!$1:$1048576,ROW(),FALSE)</f>
        <v>0</v>
      </c>
      <c r="AD5303" s="580">
        <f t="shared" si="446"/>
        <v>5</v>
      </c>
      <c r="AE5303" s="580">
        <f t="shared" si="447"/>
        <v>2.5</v>
      </c>
      <c r="AF5303" s="580">
        <f t="shared" si="448"/>
        <v>2.5</v>
      </c>
      <c r="AG5303" s="580">
        <f t="shared" si="449"/>
        <v>0</v>
      </c>
      <c r="AH5303" s="580">
        <f t="shared" si="450"/>
        <v>0</v>
      </c>
    </row>
    <row r="5304" spans="28:34">
      <c r="AB5304" s="580">
        <f>HLOOKUP("*"&amp;'Output annual'!$AC$2&amp;'Output annual'!$AD$2&amp;"*Zone People Number Of Occupants [](Hourly)",'Eplus results'!$1:$1048576,ROW(),FALSE)</f>
        <v>0</v>
      </c>
      <c r="AC5304" s="580">
        <f>HLOOKUP("*"&amp;'Output annual'!$AC$2&amp;'Output annual'!$AD$2&amp;"*FangerPMV(Hourly)",'Eplus results'!$1:$1048576,ROW(),FALSE)</f>
        <v>0</v>
      </c>
      <c r="AD5304" s="580">
        <f t="shared" si="446"/>
        <v>5</v>
      </c>
      <c r="AE5304" s="580">
        <f t="shared" si="447"/>
        <v>2.5</v>
      </c>
      <c r="AF5304" s="580">
        <f t="shared" si="448"/>
        <v>2.5</v>
      </c>
      <c r="AG5304" s="580">
        <f t="shared" si="449"/>
        <v>0</v>
      </c>
      <c r="AH5304" s="580">
        <f t="shared" si="450"/>
        <v>0</v>
      </c>
    </row>
    <row r="5305" spans="28:34">
      <c r="AB5305" s="580">
        <f>HLOOKUP("*"&amp;'Output annual'!$AC$2&amp;'Output annual'!$AD$2&amp;"*Zone People Number Of Occupants [](Hourly)",'Eplus results'!$1:$1048576,ROW(),FALSE)</f>
        <v>0</v>
      </c>
      <c r="AC5305" s="580">
        <f>HLOOKUP("*"&amp;'Output annual'!$AC$2&amp;'Output annual'!$AD$2&amp;"*FangerPMV(Hourly)",'Eplus results'!$1:$1048576,ROW(),FALSE)</f>
        <v>0</v>
      </c>
      <c r="AD5305" s="580">
        <f t="shared" si="446"/>
        <v>5</v>
      </c>
      <c r="AE5305" s="580">
        <f t="shared" si="447"/>
        <v>2.5</v>
      </c>
      <c r="AF5305" s="580">
        <f t="shared" si="448"/>
        <v>2.5</v>
      </c>
      <c r="AG5305" s="580">
        <f t="shared" si="449"/>
        <v>0</v>
      </c>
      <c r="AH5305" s="580">
        <f t="shared" si="450"/>
        <v>0</v>
      </c>
    </row>
    <row r="5306" spans="28:34">
      <c r="AB5306" s="580">
        <f>HLOOKUP("*"&amp;'Output annual'!$AC$2&amp;'Output annual'!$AD$2&amp;"*Zone People Number Of Occupants [](Hourly)",'Eplus results'!$1:$1048576,ROW(),FALSE)</f>
        <v>0</v>
      </c>
      <c r="AC5306" s="580">
        <f>HLOOKUP("*"&amp;'Output annual'!$AC$2&amp;'Output annual'!$AD$2&amp;"*FangerPMV(Hourly)",'Eplus results'!$1:$1048576,ROW(),FALSE)</f>
        <v>0</v>
      </c>
      <c r="AD5306" s="580">
        <f t="shared" si="446"/>
        <v>5</v>
      </c>
      <c r="AE5306" s="580">
        <f t="shared" si="447"/>
        <v>2.5</v>
      </c>
      <c r="AF5306" s="580">
        <f t="shared" si="448"/>
        <v>2.5</v>
      </c>
      <c r="AG5306" s="580">
        <f t="shared" si="449"/>
        <v>0</v>
      </c>
      <c r="AH5306" s="580">
        <f t="shared" si="450"/>
        <v>0</v>
      </c>
    </row>
    <row r="5307" spans="28:34">
      <c r="AB5307" s="580">
        <f>HLOOKUP("*"&amp;'Output annual'!$AC$2&amp;'Output annual'!$AD$2&amp;"*Zone People Number Of Occupants [](Hourly)",'Eplus results'!$1:$1048576,ROW(),FALSE)</f>
        <v>0</v>
      </c>
      <c r="AC5307" s="580">
        <f>HLOOKUP("*"&amp;'Output annual'!$AC$2&amp;'Output annual'!$AD$2&amp;"*FangerPMV(Hourly)",'Eplus results'!$1:$1048576,ROW(),FALSE)</f>
        <v>0</v>
      </c>
      <c r="AD5307" s="580">
        <f t="shared" si="446"/>
        <v>5</v>
      </c>
      <c r="AE5307" s="580">
        <f t="shared" si="447"/>
        <v>2.5</v>
      </c>
      <c r="AF5307" s="580">
        <f t="shared" si="448"/>
        <v>2.5</v>
      </c>
      <c r="AG5307" s="580">
        <f t="shared" si="449"/>
        <v>0</v>
      </c>
      <c r="AH5307" s="580">
        <f t="shared" si="450"/>
        <v>0</v>
      </c>
    </row>
    <row r="5308" spans="28:34">
      <c r="AB5308" s="580">
        <f>HLOOKUP("*"&amp;'Output annual'!$AC$2&amp;'Output annual'!$AD$2&amp;"*Zone People Number Of Occupants [](Hourly)",'Eplus results'!$1:$1048576,ROW(),FALSE)</f>
        <v>0</v>
      </c>
      <c r="AC5308" s="580">
        <f>HLOOKUP("*"&amp;'Output annual'!$AC$2&amp;'Output annual'!$AD$2&amp;"*FangerPMV(Hourly)",'Eplus results'!$1:$1048576,ROW(),FALSE)</f>
        <v>0</v>
      </c>
      <c r="AD5308" s="580">
        <f t="shared" si="446"/>
        <v>5</v>
      </c>
      <c r="AE5308" s="580">
        <f t="shared" si="447"/>
        <v>2.5</v>
      </c>
      <c r="AF5308" s="580">
        <f t="shared" si="448"/>
        <v>2.5</v>
      </c>
      <c r="AG5308" s="580">
        <f t="shared" si="449"/>
        <v>0</v>
      </c>
      <c r="AH5308" s="580">
        <f t="shared" si="450"/>
        <v>0</v>
      </c>
    </row>
    <row r="5309" spans="28:34">
      <c r="AB5309" s="580">
        <f>HLOOKUP("*"&amp;'Output annual'!$AC$2&amp;'Output annual'!$AD$2&amp;"*Zone People Number Of Occupants [](Hourly)",'Eplus results'!$1:$1048576,ROW(),FALSE)</f>
        <v>0</v>
      </c>
      <c r="AC5309" s="580">
        <f>HLOOKUP("*"&amp;'Output annual'!$AC$2&amp;'Output annual'!$AD$2&amp;"*FangerPMV(Hourly)",'Eplus results'!$1:$1048576,ROW(),FALSE)</f>
        <v>0</v>
      </c>
      <c r="AD5309" s="580">
        <f t="shared" si="446"/>
        <v>5</v>
      </c>
      <c r="AE5309" s="580">
        <f t="shared" si="447"/>
        <v>2.5</v>
      </c>
      <c r="AF5309" s="580">
        <f t="shared" si="448"/>
        <v>2.5</v>
      </c>
      <c r="AG5309" s="580">
        <f t="shared" si="449"/>
        <v>0</v>
      </c>
      <c r="AH5309" s="580">
        <f t="shared" si="450"/>
        <v>0</v>
      </c>
    </row>
    <row r="5310" spans="28:34">
      <c r="AB5310" s="580">
        <f>HLOOKUP("*"&amp;'Output annual'!$AC$2&amp;'Output annual'!$AD$2&amp;"*Zone People Number Of Occupants [](Hourly)",'Eplus results'!$1:$1048576,ROW(),FALSE)</f>
        <v>0</v>
      </c>
      <c r="AC5310" s="580">
        <f>HLOOKUP("*"&amp;'Output annual'!$AC$2&amp;'Output annual'!$AD$2&amp;"*FangerPMV(Hourly)",'Eplus results'!$1:$1048576,ROW(),FALSE)</f>
        <v>0</v>
      </c>
      <c r="AD5310" s="580">
        <f t="shared" si="446"/>
        <v>5</v>
      </c>
      <c r="AE5310" s="580">
        <f t="shared" si="447"/>
        <v>2.5</v>
      </c>
      <c r="AF5310" s="580">
        <f t="shared" si="448"/>
        <v>2.5</v>
      </c>
      <c r="AG5310" s="580">
        <f t="shared" si="449"/>
        <v>0</v>
      </c>
      <c r="AH5310" s="580">
        <f t="shared" si="450"/>
        <v>0</v>
      </c>
    </row>
    <row r="5311" spans="28:34">
      <c r="AB5311" s="580">
        <f>HLOOKUP("*"&amp;'Output annual'!$AC$2&amp;'Output annual'!$AD$2&amp;"*Zone People Number Of Occupants [](Hourly)",'Eplus results'!$1:$1048576,ROW(),FALSE)</f>
        <v>0</v>
      </c>
      <c r="AC5311" s="580">
        <f>HLOOKUP("*"&amp;'Output annual'!$AC$2&amp;'Output annual'!$AD$2&amp;"*FangerPMV(Hourly)",'Eplus results'!$1:$1048576,ROW(),FALSE)</f>
        <v>0</v>
      </c>
      <c r="AD5311" s="580">
        <f t="shared" si="446"/>
        <v>5</v>
      </c>
      <c r="AE5311" s="580">
        <f t="shared" si="447"/>
        <v>2.5</v>
      </c>
      <c r="AF5311" s="580">
        <f t="shared" si="448"/>
        <v>2.5</v>
      </c>
      <c r="AG5311" s="580">
        <f t="shared" si="449"/>
        <v>0</v>
      </c>
      <c r="AH5311" s="580">
        <f t="shared" si="450"/>
        <v>0</v>
      </c>
    </row>
    <row r="5312" spans="28:34">
      <c r="AB5312" s="580">
        <f>HLOOKUP("*"&amp;'Output annual'!$AC$2&amp;'Output annual'!$AD$2&amp;"*Zone People Number Of Occupants [](Hourly)",'Eplus results'!$1:$1048576,ROW(),FALSE)</f>
        <v>0</v>
      </c>
      <c r="AC5312" s="580">
        <f>HLOOKUP("*"&amp;'Output annual'!$AC$2&amp;'Output annual'!$AD$2&amp;"*FangerPMV(Hourly)",'Eplus results'!$1:$1048576,ROW(),FALSE)</f>
        <v>0</v>
      </c>
      <c r="AD5312" s="580">
        <f t="shared" si="446"/>
        <v>5</v>
      </c>
      <c r="AE5312" s="580">
        <f t="shared" si="447"/>
        <v>2.5</v>
      </c>
      <c r="AF5312" s="580">
        <f t="shared" si="448"/>
        <v>2.5</v>
      </c>
      <c r="AG5312" s="580">
        <f t="shared" si="449"/>
        <v>0</v>
      </c>
      <c r="AH5312" s="580">
        <f t="shared" si="450"/>
        <v>0</v>
      </c>
    </row>
    <row r="5313" spans="28:34">
      <c r="AB5313" s="580">
        <f>HLOOKUP("*"&amp;'Output annual'!$AC$2&amp;'Output annual'!$AD$2&amp;"*Zone People Number Of Occupants [](Hourly)",'Eplus results'!$1:$1048576,ROW(),FALSE)</f>
        <v>0</v>
      </c>
      <c r="AC5313" s="580">
        <f>HLOOKUP("*"&amp;'Output annual'!$AC$2&amp;'Output annual'!$AD$2&amp;"*FangerPMV(Hourly)",'Eplus results'!$1:$1048576,ROW(),FALSE)</f>
        <v>0</v>
      </c>
      <c r="AD5313" s="580">
        <f t="shared" si="446"/>
        <v>5</v>
      </c>
      <c r="AE5313" s="580">
        <f t="shared" si="447"/>
        <v>2.5</v>
      </c>
      <c r="AF5313" s="580">
        <f t="shared" si="448"/>
        <v>2.5</v>
      </c>
      <c r="AG5313" s="580">
        <f t="shared" si="449"/>
        <v>0</v>
      </c>
      <c r="AH5313" s="580">
        <f t="shared" si="450"/>
        <v>0</v>
      </c>
    </row>
    <row r="5314" spans="28:34">
      <c r="AB5314" s="580">
        <f>HLOOKUP("*"&amp;'Output annual'!$AC$2&amp;'Output annual'!$AD$2&amp;"*Zone People Number Of Occupants [](Hourly)",'Eplus results'!$1:$1048576,ROW(),FALSE)</f>
        <v>0</v>
      </c>
      <c r="AC5314" s="580">
        <f>HLOOKUP("*"&amp;'Output annual'!$AC$2&amp;'Output annual'!$AD$2&amp;"*FangerPMV(Hourly)",'Eplus results'!$1:$1048576,ROW(),FALSE)</f>
        <v>0</v>
      </c>
      <c r="AD5314" s="580">
        <f t="shared" si="446"/>
        <v>5</v>
      </c>
      <c r="AE5314" s="580">
        <f t="shared" si="447"/>
        <v>2.5</v>
      </c>
      <c r="AF5314" s="580">
        <f t="shared" si="448"/>
        <v>2.5</v>
      </c>
      <c r="AG5314" s="580">
        <f t="shared" si="449"/>
        <v>0</v>
      </c>
      <c r="AH5314" s="580">
        <f t="shared" si="450"/>
        <v>0</v>
      </c>
    </row>
    <row r="5315" spans="28:34">
      <c r="AB5315" s="580">
        <f>HLOOKUP("*"&amp;'Output annual'!$AC$2&amp;'Output annual'!$AD$2&amp;"*Zone People Number Of Occupants [](Hourly)",'Eplus results'!$1:$1048576,ROW(),FALSE)</f>
        <v>0</v>
      </c>
      <c r="AC5315" s="580">
        <f>HLOOKUP("*"&amp;'Output annual'!$AC$2&amp;'Output annual'!$AD$2&amp;"*FangerPMV(Hourly)",'Eplus results'!$1:$1048576,ROW(),FALSE)</f>
        <v>0</v>
      </c>
      <c r="AD5315" s="580">
        <f t="shared" ref="AD5315:AD5378" si="451">100-95*EXP(-0.03353*AC5315^4-0.2179*AC5315^2)</f>
        <v>5</v>
      </c>
      <c r="AE5315" s="580">
        <f t="shared" ref="AE5315:AE5378" si="452">AD5315*(1/(1+EXP(-6.3*$AC5315)))</f>
        <v>2.5</v>
      </c>
      <c r="AF5315" s="580">
        <f t="shared" ref="AF5315:AF5378" si="453">(AD5315-AE5315)</f>
        <v>2.5</v>
      </c>
      <c r="AG5315" s="580">
        <f t="shared" ref="AG5315:AG5378" si="454">AE5315*AB5315</f>
        <v>0</v>
      </c>
      <c r="AH5315" s="580">
        <f t="shared" ref="AH5315:AH5378" si="455">AF5315*AB5315</f>
        <v>0</v>
      </c>
    </row>
    <row r="5316" spans="28:34">
      <c r="AB5316" s="580">
        <f>HLOOKUP("*"&amp;'Output annual'!$AC$2&amp;'Output annual'!$AD$2&amp;"*Zone People Number Of Occupants [](Hourly)",'Eplus results'!$1:$1048576,ROW(),FALSE)</f>
        <v>0</v>
      </c>
      <c r="AC5316" s="580">
        <f>HLOOKUP("*"&amp;'Output annual'!$AC$2&amp;'Output annual'!$AD$2&amp;"*FangerPMV(Hourly)",'Eplus results'!$1:$1048576,ROW(),FALSE)</f>
        <v>0</v>
      </c>
      <c r="AD5316" s="580">
        <f t="shared" si="451"/>
        <v>5</v>
      </c>
      <c r="AE5316" s="580">
        <f t="shared" si="452"/>
        <v>2.5</v>
      </c>
      <c r="AF5316" s="580">
        <f t="shared" si="453"/>
        <v>2.5</v>
      </c>
      <c r="AG5316" s="580">
        <f t="shared" si="454"/>
        <v>0</v>
      </c>
      <c r="AH5316" s="580">
        <f t="shared" si="455"/>
        <v>0</v>
      </c>
    </row>
    <row r="5317" spans="28:34">
      <c r="AB5317" s="580">
        <f>HLOOKUP("*"&amp;'Output annual'!$AC$2&amp;'Output annual'!$AD$2&amp;"*Zone People Number Of Occupants [](Hourly)",'Eplus results'!$1:$1048576,ROW(),FALSE)</f>
        <v>0</v>
      </c>
      <c r="AC5317" s="580">
        <f>HLOOKUP("*"&amp;'Output annual'!$AC$2&amp;'Output annual'!$AD$2&amp;"*FangerPMV(Hourly)",'Eplus results'!$1:$1048576,ROW(),FALSE)</f>
        <v>0</v>
      </c>
      <c r="AD5317" s="580">
        <f t="shared" si="451"/>
        <v>5</v>
      </c>
      <c r="AE5317" s="580">
        <f t="shared" si="452"/>
        <v>2.5</v>
      </c>
      <c r="AF5317" s="580">
        <f t="shared" si="453"/>
        <v>2.5</v>
      </c>
      <c r="AG5317" s="580">
        <f t="shared" si="454"/>
        <v>0</v>
      </c>
      <c r="AH5317" s="580">
        <f t="shared" si="455"/>
        <v>0</v>
      </c>
    </row>
    <row r="5318" spans="28:34">
      <c r="AB5318" s="580">
        <f>HLOOKUP("*"&amp;'Output annual'!$AC$2&amp;'Output annual'!$AD$2&amp;"*Zone People Number Of Occupants [](Hourly)",'Eplus results'!$1:$1048576,ROW(),FALSE)</f>
        <v>0</v>
      </c>
      <c r="AC5318" s="580">
        <f>HLOOKUP("*"&amp;'Output annual'!$AC$2&amp;'Output annual'!$AD$2&amp;"*FangerPMV(Hourly)",'Eplus results'!$1:$1048576,ROW(),FALSE)</f>
        <v>0</v>
      </c>
      <c r="AD5318" s="580">
        <f t="shared" si="451"/>
        <v>5</v>
      </c>
      <c r="AE5318" s="580">
        <f t="shared" si="452"/>
        <v>2.5</v>
      </c>
      <c r="AF5318" s="580">
        <f t="shared" si="453"/>
        <v>2.5</v>
      </c>
      <c r="AG5318" s="580">
        <f t="shared" si="454"/>
        <v>0</v>
      </c>
      <c r="AH5318" s="580">
        <f t="shared" si="455"/>
        <v>0</v>
      </c>
    </row>
    <row r="5319" spans="28:34">
      <c r="AB5319" s="580">
        <f>HLOOKUP("*"&amp;'Output annual'!$AC$2&amp;'Output annual'!$AD$2&amp;"*Zone People Number Of Occupants [](Hourly)",'Eplus results'!$1:$1048576,ROW(),FALSE)</f>
        <v>0</v>
      </c>
      <c r="AC5319" s="580">
        <f>HLOOKUP("*"&amp;'Output annual'!$AC$2&amp;'Output annual'!$AD$2&amp;"*FangerPMV(Hourly)",'Eplus results'!$1:$1048576,ROW(),FALSE)</f>
        <v>0</v>
      </c>
      <c r="AD5319" s="580">
        <f t="shared" si="451"/>
        <v>5</v>
      </c>
      <c r="AE5319" s="580">
        <f t="shared" si="452"/>
        <v>2.5</v>
      </c>
      <c r="AF5319" s="580">
        <f t="shared" si="453"/>
        <v>2.5</v>
      </c>
      <c r="AG5319" s="580">
        <f t="shared" si="454"/>
        <v>0</v>
      </c>
      <c r="AH5319" s="580">
        <f t="shared" si="455"/>
        <v>0</v>
      </c>
    </row>
    <row r="5320" spans="28:34">
      <c r="AB5320" s="580">
        <f>HLOOKUP("*"&amp;'Output annual'!$AC$2&amp;'Output annual'!$AD$2&amp;"*Zone People Number Of Occupants [](Hourly)",'Eplus results'!$1:$1048576,ROW(),FALSE)</f>
        <v>0</v>
      </c>
      <c r="AC5320" s="580">
        <f>HLOOKUP("*"&amp;'Output annual'!$AC$2&amp;'Output annual'!$AD$2&amp;"*FangerPMV(Hourly)",'Eplus results'!$1:$1048576,ROW(),FALSE)</f>
        <v>0</v>
      </c>
      <c r="AD5320" s="580">
        <f t="shared" si="451"/>
        <v>5</v>
      </c>
      <c r="AE5320" s="580">
        <f t="shared" si="452"/>
        <v>2.5</v>
      </c>
      <c r="AF5320" s="580">
        <f t="shared" si="453"/>
        <v>2.5</v>
      </c>
      <c r="AG5320" s="580">
        <f t="shared" si="454"/>
        <v>0</v>
      </c>
      <c r="AH5320" s="580">
        <f t="shared" si="455"/>
        <v>0</v>
      </c>
    </row>
    <row r="5321" spans="28:34">
      <c r="AB5321" s="580">
        <f>HLOOKUP("*"&amp;'Output annual'!$AC$2&amp;'Output annual'!$AD$2&amp;"*Zone People Number Of Occupants [](Hourly)",'Eplus results'!$1:$1048576,ROW(),FALSE)</f>
        <v>0</v>
      </c>
      <c r="AC5321" s="580">
        <f>HLOOKUP("*"&amp;'Output annual'!$AC$2&amp;'Output annual'!$AD$2&amp;"*FangerPMV(Hourly)",'Eplus results'!$1:$1048576,ROW(),FALSE)</f>
        <v>0</v>
      </c>
      <c r="AD5321" s="580">
        <f t="shared" si="451"/>
        <v>5</v>
      </c>
      <c r="AE5321" s="580">
        <f t="shared" si="452"/>
        <v>2.5</v>
      </c>
      <c r="AF5321" s="580">
        <f t="shared" si="453"/>
        <v>2.5</v>
      </c>
      <c r="AG5321" s="580">
        <f t="shared" si="454"/>
        <v>0</v>
      </c>
      <c r="AH5321" s="580">
        <f t="shared" si="455"/>
        <v>0</v>
      </c>
    </row>
    <row r="5322" spans="28:34">
      <c r="AB5322" s="580">
        <f>HLOOKUP("*"&amp;'Output annual'!$AC$2&amp;'Output annual'!$AD$2&amp;"*Zone People Number Of Occupants [](Hourly)",'Eplus results'!$1:$1048576,ROW(),FALSE)</f>
        <v>0</v>
      </c>
      <c r="AC5322" s="580">
        <f>HLOOKUP("*"&amp;'Output annual'!$AC$2&amp;'Output annual'!$AD$2&amp;"*FangerPMV(Hourly)",'Eplus results'!$1:$1048576,ROW(),FALSE)</f>
        <v>0</v>
      </c>
      <c r="AD5322" s="580">
        <f t="shared" si="451"/>
        <v>5</v>
      </c>
      <c r="AE5322" s="580">
        <f t="shared" si="452"/>
        <v>2.5</v>
      </c>
      <c r="AF5322" s="580">
        <f t="shared" si="453"/>
        <v>2.5</v>
      </c>
      <c r="AG5322" s="580">
        <f t="shared" si="454"/>
        <v>0</v>
      </c>
      <c r="AH5322" s="580">
        <f t="shared" si="455"/>
        <v>0</v>
      </c>
    </row>
    <row r="5323" spans="28:34">
      <c r="AB5323" s="580">
        <f>HLOOKUP("*"&amp;'Output annual'!$AC$2&amp;'Output annual'!$AD$2&amp;"*Zone People Number Of Occupants [](Hourly)",'Eplus results'!$1:$1048576,ROW(),FALSE)</f>
        <v>0</v>
      </c>
      <c r="AC5323" s="580">
        <f>HLOOKUP("*"&amp;'Output annual'!$AC$2&amp;'Output annual'!$AD$2&amp;"*FangerPMV(Hourly)",'Eplus results'!$1:$1048576,ROW(),FALSE)</f>
        <v>0</v>
      </c>
      <c r="AD5323" s="580">
        <f t="shared" si="451"/>
        <v>5</v>
      </c>
      <c r="AE5323" s="580">
        <f t="shared" si="452"/>
        <v>2.5</v>
      </c>
      <c r="AF5323" s="580">
        <f t="shared" si="453"/>
        <v>2.5</v>
      </c>
      <c r="AG5323" s="580">
        <f t="shared" si="454"/>
        <v>0</v>
      </c>
      <c r="AH5323" s="580">
        <f t="shared" si="455"/>
        <v>0</v>
      </c>
    </row>
    <row r="5324" spans="28:34">
      <c r="AB5324" s="580">
        <f>HLOOKUP("*"&amp;'Output annual'!$AC$2&amp;'Output annual'!$AD$2&amp;"*Zone People Number Of Occupants [](Hourly)",'Eplus results'!$1:$1048576,ROW(),FALSE)</f>
        <v>0</v>
      </c>
      <c r="AC5324" s="580">
        <f>HLOOKUP("*"&amp;'Output annual'!$AC$2&amp;'Output annual'!$AD$2&amp;"*FangerPMV(Hourly)",'Eplus results'!$1:$1048576,ROW(),FALSE)</f>
        <v>0</v>
      </c>
      <c r="AD5324" s="580">
        <f t="shared" si="451"/>
        <v>5</v>
      </c>
      <c r="AE5324" s="580">
        <f t="shared" si="452"/>
        <v>2.5</v>
      </c>
      <c r="AF5324" s="580">
        <f t="shared" si="453"/>
        <v>2.5</v>
      </c>
      <c r="AG5324" s="580">
        <f t="shared" si="454"/>
        <v>0</v>
      </c>
      <c r="AH5324" s="580">
        <f t="shared" si="455"/>
        <v>0</v>
      </c>
    </row>
    <row r="5325" spans="28:34">
      <c r="AB5325" s="580">
        <f>HLOOKUP("*"&amp;'Output annual'!$AC$2&amp;'Output annual'!$AD$2&amp;"*Zone People Number Of Occupants [](Hourly)",'Eplus results'!$1:$1048576,ROW(),FALSE)</f>
        <v>0</v>
      </c>
      <c r="AC5325" s="580">
        <f>HLOOKUP("*"&amp;'Output annual'!$AC$2&amp;'Output annual'!$AD$2&amp;"*FangerPMV(Hourly)",'Eplus results'!$1:$1048576,ROW(),FALSE)</f>
        <v>0</v>
      </c>
      <c r="AD5325" s="580">
        <f t="shared" si="451"/>
        <v>5</v>
      </c>
      <c r="AE5325" s="580">
        <f t="shared" si="452"/>
        <v>2.5</v>
      </c>
      <c r="AF5325" s="580">
        <f t="shared" si="453"/>
        <v>2.5</v>
      </c>
      <c r="AG5325" s="580">
        <f t="shared" si="454"/>
        <v>0</v>
      </c>
      <c r="AH5325" s="580">
        <f t="shared" si="455"/>
        <v>0</v>
      </c>
    </row>
    <row r="5326" spans="28:34">
      <c r="AB5326" s="580">
        <f>HLOOKUP("*"&amp;'Output annual'!$AC$2&amp;'Output annual'!$AD$2&amp;"*Zone People Number Of Occupants [](Hourly)",'Eplus results'!$1:$1048576,ROW(),FALSE)</f>
        <v>0</v>
      </c>
      <c r="AC5326" s="580">
        <f>HLOOKUP("*"&amp;'Output annual'!$AC$2&amp;'Output annual'!$AD$2&amp;"*FangerPMV(Hourly)",'Eplus results'!$1:$1048576,ROW(),FALSE)</f>
        <v>0</v>
      </c>
      <c r="AD5326" s="580">
        <f t="shared" si="451"/>
        <v>5</v>
      </c>
      <c r="AE5326" s="580">
        <f t="shared" si="452"/>
        <v>2.5</v>
      </c>
      <c r="AF5326" s="580">
        <f t="shared" si="453"/>
        <v>2.5</v>
      </c>
      <c r="AG5326" s="580">
        <f t="shared" si="454"/>
        <v>0</v>
      </c>
      <c r="AH5326" s="580">
        <f t="shared" si="455"/>
        <v>0</v>
      </c>
    </row>
    <row r="5327" spans="28:34">
      <c r="AB5327" s="580">
        <f>HLOOKUP("*"&amp;'Output annual'!$AC$2&amp;'Output annual'!$AD$2&amp;"*Zone People Number Of Occupants [](Hourly)",'Eplus results'!$1:$1048576,ROW(),FALSE)</f>
        <v>0</v>
      </c>
      <c r="AC5327" s="580">
        <f>HLOOKUP("*"&amp;'Output annual'!$AC$2&amp;'Output annual'!$AD$2&amp;"*FangerPMV(Hourly)",'Eplus results'!$1:$1048576,ROW(),FALSE)</f>
        <v>0</v>
      </c>
      <c r="AD5327" s="580">
        <f t="shared" si="451"/>
        <v>5</v>
      </c>
      <c r="AE5327" s="580">
        <f t="shared" si="452"/>
        <v>2.5</v>
      </c>
      <c r="AF5327" s="580">
        <f t="shared" si="453"/>
        <v>2.5</v>
      </c>
      <c r="AG5327" s="580">
        <f t="shared" si="454"/>
        <v>0</v>
      </c>
      <c r="AH5327" s="580">
        <f t="shared" si="455"/>
        <v>0</v>
      </c>
    </row>
    <row r="5328" spans="28:34">
      <c r="AB5328" s="580">
        <f>HLOOKUP("*"&amp;'Output annual'!$AC$2&amp;'Output annual'!$AD$2&amp;"*Zone People Number Of Occupants [](Hourly)",'Eplus results'!$1:$1048576,ROW(),FALSE)</f>
        <v>0</v>
      </c>
      <c r="AC5328" s="580">
        <f>HLOOKUP("*"&amp;'Output annual'!$AC$2&amp;'Output annual'!$AD$2&amp;"*FangerPMV(Hourly)",'Eplus results'!$1:$1048576,ROW(),FALSE)</f>
        <v>0</v>
      </c>
      <c r="AD5328" s="580">
        <f t="shared" si="451"/>
        <v>5</v>
      </c>
      <c r="AE5328" s="580">
        <f t="shared" si="452"/>
        <v>2.5</v>
      </c>
      <c r="AF5328" s="580">
        <f t="shared" si="453"/>
        <v>2.5</v>
      </c>
      <c r="AG5328" s="580">
        <f t="shared" si="454"/>
        <v>0</v>
      </c>
      <c r="AH5328" s="580">
        <f t="shared" si="455"/>
        <v>0</v>
      </c>
    </row>
    <row r="5329" spans="28:34">
      <c r="AB5329" s="580">
        <f>HLOOKUP("*"&amp;'Output annual'!$AC$2&amp;'Output annual'!$AD$2&amp;"*Zone People Number Of Occupants [](Hourly)",'Eplus results'!$1:$1048576,ROW(),FALSE)</f>
        <v>0</v>
      </c>
      <c r="AC5329" s="580">
        <f>HLOOKUP("*"&amp;'Output annual'!$AC$2&amp;'Output annual'!$AD$2&amp;"*FangerPMV(Hourly)",'Eplus results'!$1:$1048576,ROW(),FALSE)</f>
        <v>0</v>
      </c>
      <c r="AD5329" s="580">
        <f t="shared" si="451"/>
        <v>5</v>
      </c>
      <c r="AE5329" s="580">
        <f t="shared" si="452"/>
        <v>2.5</v>
      </c>
      <c r="AF5329" s="580">
        <f t="shared" si="453"/>
        <v>2.5</v>
      </c>
      <c r="AG5329" s="580">
        <f t="shared" si="454"/>
        <v>0</v>
      </c>
      <c r="AH5329" s="580">
        <f t="shared" si="455"/>
        <v>0</v>
      </c>
    </row>
    <row r="5330" spans="28:34">
      <c r="AB5330" s="580">
        <f>HLOOKUP("*"&amp;'Output annual'!$AC$2&amp;'Output annual'!$AD$2&amp;"*Zone People Number Of Occupants [](Hourly)",'Eplus results'!$1:$1048576,ROW(),FALSE)</f>
        <v>0</v>
      </c>
      <c r="AC5330" s="580">
        <f>HLOOKUP("*"&amp;'Output annual'!$AC$2&amp;'Output annual'!$AD$2&amp;"*FangerPMV(Hourly)",'Eplus results'!$1:$1048576,ROW(),FALSE)</f>
        <v>0</v>
      </c>
      <c r="AD5330" s="580">
        <f t="shared" si="451"/>
        <v>5</v>
      </c>
      <c r="AE5330" s="580">
        <f t="shared" si="452"/>
        <v>2.5</v>
      </c>
      <c r="AF5330" s="580">
        <f t="shared" si="453"/>
        <v>2.5</v>
      </c>
      <c r="AG5330" s="580">
        <f t="shared" si="454"/>
        <v>0</v>
      </c>
      <c r="AH5330" s="580">
        <f t="shared" si="455"/>
        <v>0</v>
      </c>
    </row>
    <row r="5331" spans="28:34">
      <c r="AB5331" s="580">
        <f>HLOOKUP("*"&amp;'Output annual'!$AC$2&amp;'Output annual'!$AD$2&amp;"*Zone People Number Of Occupants [](Hourly)",'Eplus results'!$1:$1048576,ROW(),FALSE)</f>
        <v>0</v>
      </c>
      <c r="AC5331" s="580">
        <f>HLOOKUP("*"&amp;'Output annual'!$AC$2&amp;'Output annual'!$AD$2&amp;"*FangerPMV(Hourly)",'Eplus results'!$1:$1048576,ROW(),FALSE)</f>
        <v>0</v>
      </c>
      <c r="AD5331" s="580">
        <f t="shared" si="451"/>
        <v>5</v>
      </c>
      <c r="AE5331" s="580">
        <f t="shared" si="452"/>
        <v>2.5</v>
      </c>
      <c r="AF5331" s="580">
        <f t="shared" si="453"/>
        <v>2.5</v>
      </c>
      <c r="AG5331" s="580">
        <f t="shared" si="454"/>
        <v>0</v>
      </c>
      <c r="AH5331" s="580">
        <f t="shared" si="455"/>
        <v>0</v>
      </c>
    </row>
    <row r="5332" spans="28:34">
      <c r="AB5332" s="580">
        <f>HLOOKUP("*"&amp;'Output annual'!$AC$2&amp;'Output annual'!$AD$2&amp;"*Zone People Number Of Occupants [](Hourly)",'Eplus results'!$1:$1048576,ROW(),FALSE)</f>
        <v>0</v>
      </c>
      <c r="AC5332" s="580">
        <f>HLOOKUP("*"&amp;'Output annual'!$AC$2&amp;'Output annual'!$AD$2&amp;"*FangerPMV(Hourly)",'Eplus results'!$1:$1048576,ROW(),FALSE)</f>
        <v>0</v>
      </c>
      <c r="AD5332" s="580">
        <f t="shared" si="451"/>
        <v>5</v>
      </c>
      <c r="AE5332" s="580">
        <f t="shared" si="452"/>
        <v>2.5</v>
      </c>
      <c r="AF5332" s="580">
        <f t="shared" si="453"/>
        <v>2.5</v>
      </c>
      <c r="AG5332" s="580">
        <f t="shared" si="454"/>
        <v>0</v>
      </c>
      <c r="AH5332" s="580">
        <f t="shared" si="455"/>
        <v>0</v>
      </c>
    </row>
    <row r="5333" spans="28:34">
      <c r="AB5333" s="580">
        <f>HLOOKUP("*"&amp;'Output annual'!$AC$2&amp;'Output annual'!$AD$2&amp;"*Zone People Number Of Occupants [](Hourly)",'Eplus results'!$1:$1048576,ROW(),FALSE)</f>
        <v>0</v>
      </c>
      <c r="AC5333" s="580">
        <f>HLOOKUP("*"&amp;'Output annual'!$AC$2&amp;'Output annual'!$AD$2&amp;"*FangerPMV(Hourly)",'Eplus results'!$1:$1048576,ROW(),FALSE)</f>
        <v>0</v>
      </c>
      <c r="AD5333" s="580">
        <f t="shared" si="451"/>
        <v>5</v>
      </c>
      <c r="AE5333" s="580">
        <f t="shared" si="452"/>
        <v>2.5</v>
      </c>
      <c r="AF5333" s="580">
        <f t="shared" si="453"/>
        <v>2.5</v>
      </c>
      <c r="AG5333" s="580">
        <f t="shared" si="454"/>
        <v>0</v>
      </c>
      <c r="AH5333" s="580">
        <f t="shared" si="455"/>
        <v>0</v>
      </c>
    </row>
    <row r="5334" spans="28:34">
      <c r="AB5334" s="580">
        <f>HLOOKUP("*"&amp;'Output annual'!$AC$2&amp;'Output annual'!$AD$2&amp;"*Zone People Number Of Occupants [](Hourly)",'Eplus results'!$1:$1048576,ROW(),FALSE)</f>
        <v>0</v>
      </c>
      <c r="AC5334" s="580">
        <f>HLOOKUP("*"&amp;'Output annual'!$AC$2&amp;'Output annual'!$AD$2&amp;"*FangerPMV(Hourly)",'Eplus results'!$1:$1048576,ROW(),FALSE)</f>
        <v>0</v>
      </c>
      <c r="AD5334" s="580">
        <f t="shared" si="451"/>
        <v>5</v>
      </c>
      <c r="AE5334" s="580">
        <f t="shared" si="452"/>
        <v>2.5</v>
      </c>
      <c r="AF5334" s="580">
        <f t="shared" si="453"/>
        <v>2.5</v>
      </c>
      <c r="AG5334" s="580">
        <f t="shared" si="454"/>
        <v>0</v>
      </c>
      <c r="AH5334" s="580">
        <f t="shared" si="455"/>
        <v>0</v>
      </c>
    </row>
    <row r="5335" spans="28:34">
      <c r="AB5335" s="580">
        <f>HLOOKUP("*"&amp;'Output annual'!$AC$2&amp;'Output annual'!$AD$2&amp;"*Zone People Number Of Occupants [](Hourly)",'Eplus results'!$1:$1048576,ROW(),FALSE)</f>
        <v>0</v>
      </c>
      <c r="AC5335" s="580">
        <f>HLOOKUP("*"&amp;'Output annual'!$AC$2&amp;'Output annual'!$AD$2&amp;"*FangerPMV(Hourly)",'Eplus results'!$1:$1048576,ROW(),FALSE)</f>
        <v>0</v>
      </c>
      <c r="AD5335" s="580">
        <f t="shared" si="451"/>
        <v>5</v>
      </c>
      <c r="AE5335" s="580">
        <f t="shared" si="452"/>
        <v>2.5</v>
      </c>
      <c r="AF5335" s="580">
        <f t="shared" si="453"/>
        <v>2.5</v>
      </c>
      <c r="AG5335" s="580">
        <f t="shared" si="454"/>
        <v>0</v>
      </c>
      <c r="AH5335" s="580">
        <f t="shared" si="455"/>
        <v>0</v>
      </c>
    </row>
    <row r="5336" spans="28:34">
      <c r="AB5336" s="580">
        <f>HLOOKUP("*"&amp;'Output annual'!$AC$2&amp;'Output annual'!$AD$2&amp;"*Zone People Number Of Occupants [](Hourly)",'Eplus results'!$1:$1048576,ROW(),FALSE)</f>
        <v>0</v>
      </c>
      <c r="AC5336" s="580">
        <f>HLOOKUP("*"&amp;'Output annual'!$AC$2&amp;'Output annual'!$AD$2&amp;"*FangerPMV(Hourly)",'Eplus results'!$1:$1048576,ROW(),FALSE)</f>
        <v>0</v>
      </c>
      <c r="AD5336" s="580">
        <f t="shared" si="451"/>
        <v>5</v>
      </c>
      <c r="AE5336" s="580">
        <f t="shared" si="452"/>
        <v>2.5</v>
      </c>
      <c r="AF5336" s="580">
        <f t="shared" si="453"/>
        <v>2.5</v>
      </c>
      <c r="AG5336" s="580">
        <f t="shared" si="454"/>
        <v>0</v>
      </c>
      <c r="AH5336" s="580">
        <f t="shared" si="455"/>
        <v>0</v>
      </c>
    </row>
    <row r="5337" spans="28:34">
      <c r="AB5337" s="580">
        <f>HLOOKUP("*"&amp;'Output annual'!$AC$2&amp;'Output annual'!$AD$2&amp;"*Zone People Number Of Occupants [](Hourly)",'Eplus results'!$1:$1048576,ROW(),FALSE)</f>
        <v>0</v>
      </c>
      <c r="AC5337" s="580">
        <f>HLOOKUP("*"&amp;'Output annual'!$AC$2&amp;'Output annual'!$AD$2&amp;"*FangerPMV(Hourly)",'Eplus results'!$1:$1048576,ROW(),FALSE)</f>
        <v>0</v>
      </c>
      <c r="AD5337" s="580">
        <f t="shared" si="451"/>
        <v>5</v>
      </c>
      <c r="AE5337" s="580">
        <f t="shared" si="452"/>
        <v>2.5</v>
      </c>
      <c r="AF5337" s="580">
        <f t="shared" si="453"/>
        <v>2.5</v>
      </c>
      <c r="AG5337" s="580">
        <f t="shared" si="454"/>
        <v>0</v>
      </c>
      <c r="AH5337" s="580">
        <f t="shared" si="455"/>
        <v>0</v>
      </c>
    </row>
    <row r="5338" spans="28:34">
      <c r="AB5338" s="580">
        <f>HLOOKUP("*"&amp;'Output annual'!$AC$2&amp;'Output annual'!$AD$2&amp;"*Zone People Number Of Occupants [](Hourly)",'Eplus results'!$1:$1048576,ROW(),FALSE)</f>
        <v>0</v>
      </c>
      <c r="AC5338" s="580">
        <f>HLOOKUP("*"&amp;'Output annual'!$AC$2&amp;'Output annual'!$AD$2&amp;"*FangerPMV(Hourly)",'Eplus results'!$1:$1048576,ROW(),FALSE)</f>
        <v>0</v>
      </c>
      <c r="AD5338" s="580">
        <f t="shared" si="451"/>
        <v>5</v>
      </c>
      <c r="AE5338" s="580">
        <f t="shared" si="452"/>
        <v>2.5</v>
      </c>
      <c r="AF5338" s="580">
        <f t="shared" si="453"/>
        <v>2.5</v>
      </c>
      <c r="AG5338" s="580">
        <f t="shared" si="454"/>
        <v>0</v>
      </c>
      <c r="AH5338" s="580">
        <f t="shared" si="455"/>
        <v>0</v>
      </c>
    </row>
    <row r="5339" spans="28:34">
      <c r="AB5339" s="580">
        <f>HLOOKUP("*"&amp;'Output annual'!$AC$2&amp;'Output annual'!$AD$2&amp;"*Zone People Number Of Occupants [](Hourly)",'Eplus results'!$1:$1048576,ROW(),FALSE)</f>
        <v>0</v>
      </c>
      <c r="AC5339" s="580">
        <f>HLOOKUP("*"&amp;'Output annual'!$AC$2&amp;'Output annual'!$AD$2&amp;"*FangerPMV(Hourly)",'Eplus results'!$1:$1048576,ROW(),FALSE)</f>
        <v>0</v>
      </c>
      <c r="AD5339" s="580">
        <f t="shared" si="451"/>
        <v>5</v>
      </c>
      <c r="AE5339" s="580">
        <f t="shared" si="452"/>
        <v>2.5</v>
      </c>
      <c r="AF5339" s="580">
        <f t="shared" si="453"/>
        <v>2.5</v>
      </c>
      <c r="AG5339" s="580">
        <f t="shared" si="454"/>
        <v>0</v>
      </c>
      <c r="AH5339" s="580">
        <f t="shared" si="455"/>
        <v>0</v>
      </c>
    </row>
    <row r="5340" spans="28:34">
      <c r="AB5340" s="580">
        <f>HLOOKUP("*"&amp;'Output annual'!$AC$2&amp;'Output annual'!$AD$2&amp;"*Zone People Number Of Occupants [](Hourly)",'Eplus results'!$1:$1048576,ROW(),FALSE)</f>
        <v>0</v>
      </c>
      <c r="AC5340" s="580">
        <f>HLOOKUP("*"&amp;'Output annual'!$AC$2&amp;'Output annual'!$AD$2&amp;"*FangerPMV(Hourly)",'Eplus results'!$1:$1048576,ROW(),FALSE)</f>
        <v>0</v>
      </c>
      <c r="AD5340" s="580">
        <f t="shared" si="451"/>
        <v>5</v>
      </c>
      <c r="AE5340" s="580">
        <f t="shared" si="452"/>
        <v>2.5</v>
      </c>
      <c r="AF5340" s="580">
        <f t="shared" si="453"/>
        <v>2.5</v>
      </c>
      <c r="AG5340" s="580">
        <f t="shared" si="454"/>
        <v>0</v>
      </c>
      <c r="AH5340" s="580">
        <f t="shared" si="455"/>
        <v>0</v>
      </c>
    </row>
    <row r="5341" spans="28:34">
      <c r="AB5341" s="580">
        <f>HLOOKUP("*"&amp;'Output annual'!$AC$2&amp;'Output annual'!$AD$2&amp;"*Zone People Number Of Occupants [](Hourly)",'Eplus results'!$1:$1048576,ROW(),FALSE)</f>
        <v>0</v>
      </c>
      <c r="AC5341" s="580">
        <f>HLOOKUP("*"&amp;'Output annual'!$AC$2&amp;'Output annual'!$AD$2&amp;"*FangerPMV(Hourly)",'Eplus results'!$1:$1048576,ROW(),FALSE)</f>
        <v>0</v>
      </c>
      <c r="AD5341" s="580">
        <f t="shared" si="451"/>
        <v>5</v>
      </c>
      <c r="AE5341" s="580">
        <f t="shared" si="452"/>
        <v>2.5</v>
      </c>
      <c r="AF5341" s="580">
        <f t="shared" si="453"/>
        <v>2.5</v>
      </c>
      <c r="AG5341" s="580">
        <f t="shared" si="454"/>
        <v>0</v>
      </c>
      <c r="AH5341" s="580">
        <f t="shared" si="455"/>
        <v>0</v>
      </c>
    </row>
    <row r="5342" spans="28:34">
      <c r="AB5342" s="580">
        <f>HLOOKUP("*"&amp;'Output annual'!$AC$2&amp;'Output annual'!$AD$2&amp;"*Zone People Number Of Occupants [](Hourly)",'Eplus results'!$1:$1048576,ROW(),FALSE)</f>
        <v>0</v>
      </c>
      <c r="AC5342" s="580">
        <f>HLOOKUP("*"&amp;'Output annual'!$AC$2&amp;'Output annual'!$AD$2&amp;"*FangerPMV(Hourly)",'Eplus results'!$1:$1048576,ROW(),FALSE)</f>
        <v>0</v>
      </c>
      <c r="AD5342" s="580">
        <f t="shared" si="451"/>
        <v>5</v>
      </c>
      <c r="AE5342" s="580">
        <f t="shared" si="452"/>
        <v>2.5</v>
      </c>
      <c r="AF5342" s="580">
        <f t="shared" si="453"/>
        <v>2.5</v>
      </c>
      <c r="AG5342" s="580">
        <f t="shared" si="454"/>
        <v>0</v>
      </c>
      <c r="AH5342" s="580">
        <f t="shared" si="455"/>
        <v>0</v>
      </c>
    </row>
    <row r="5343" spans="28:34">
      <c r="AB5343" s="580">
        <f>HLOOKUP("*"&amp;'Output annual'!$AC$2&amp;'Output annual'!$AD$2&amp;"*Zone People Number Of Occupants [](Hourly)",'Eplus results'!$1:$1048576,ROW(),FALSE)</f>
        <v>0</v>
      </c>
      <c r="AC5343" s="580">
        <f>HLOOKUP("*"&amp;'Output annual'!$AC$2&amp;'Output annual'!$AD$2&amp;"*FangerPMV(Hourly)",'Eplus results'!$1:$1048576,ROW(),FALSE)</f>
        <v>0</v>
      </c>
      <c r="AD5343" s="580">
        <f t="shared" si="451"/>
        <v>5</v>
      </c>
      <c r="AE5343" s="580">
        <f t="shared" si="452"/>
        <v>2.5</v>
      </c>
      <c r="AF5343" s="580">
        <f t="shared" si="453"/>
        <v>2.5</v>
      </c>
      <c r="AG5343" s="580">
        <f t="shared" si="454"/>
        <v>0</v>
      </c>
      <c r="AH5343" s="580">
        <f t="shared" si="455"/>
        <v>0</v>
      </c>
    </row>
    <row r="5344" spans="28:34">
      <c r="AB5344" s="580">
        <f>HLOOKUP("*"&amp;'Output annual'!$AC$2&amp;'Output annual'!$AD$2&amp;"*Zone People Number Of Occupants [](Hourly)",'Eplus results'!$1:$1048576,ROW(),FALSE)</f>
        <v>0</v>
      </c>
      <c r="AC5344" s="580">
        <f>HLOOKUP("*"&amp;'Output annual'!$AC$2&amp;'Output annual'!$AD$2&amp;"*FangerPMV(Hourly)",'Eplus results'!$1:$1048576,ROW(),FALSE)</f>
        <v>0</v>
      </c>
      <c r="AD5344" s="580">
        <f t="shared" si="451"/>
        <v>5</v>
      </c>
      <c r="AE5344" s="580">
        <f t="shared" si="452"/>
        <v>2.5</v>
      </c>
      <c r="AF5344" s="580">
        <f t="shared" si="453"/>
        <v>2.5</v>
      </c>
      <c r="AG5344" s="580">
        <f t="shared" si="454"/>
        <v>0</v>
      </c>
      <c r="AH5344" s="580">
        <f t="shared" si="455"/>
        <v>0</v>
      </c>
    </row>
    <row r="5345" spans="28:34">
      <c r="AB5345" s="580">
        <f>HLOOKUP("*"&amp;'Output annual'!$AC$2&amp;'Output annual'!$AD$2&amp;"*Zone People Number Of Occupants [](Hourly)",'Eplus results'!$1:$1048576,ROW(),FALSE)</f>
        <v>0</v>
      </c>
      <c r="AC5345" s="580">
        <f>HLOOKUP("*"&amp;'Output annual'!$AC$2&amp;'Output annual'!$AD$2&amp;"*FangerPMV(Hourly)",'Eplus results'!$1:$1048576,ROW(),FALSE)</f>
        <v>0</v>
      </c>
      <c r="AD5345" s="580">
        <f t="shared" si="451"/>
        <v>5</v>
      </c>
      <c r="AE5345" s="580">
        <f t="shared" si="452"/>
        <v>2.5</v>
      </c>
      <c r="AF5345" s="580">
        <f t="shared" si="453"/>
        <v>2.5</v>
      </c>
      <c r="AG5345" s="580">
        <f t="shared" si="454"/>
        <v>0</v>
      </c>
      <c r="AH5345" s="580">
        <f t="shared" si="455"/>
        <v>0</v>
      </c>
    </row>
    <row r="5346" spans="28:34">
      <c r="AB5346" s="580">
        <f>HLOOKUP("*"&amp;'Output annual'!$AC$2&amp;'Output annual'!$AD$2&amp;"*Zone People Number Of Occupants [](Hourly)",'Eplus results'!$1:$1048576,ROW(),FALSE)</f>
        <v>0</v>
      </c>
      <c r="AC5346" s="580">
        <f>HLOOKUP("*"&amp;'Output annual'!$AC$2&amp;'Output annual'!$AD$2&amp;"*FangerPMV(Hourly)",'Eplus results'!$1:$1048576,ROW(),FALSE)</f>
        <v>0</v>
      </c>
      <c r="AD5346" s="580">
        <f t="shared" si="451"/>
        <v>5</v>
      </c>
      <c r="AE5346" s="580">
        <f t="shared" si="452"/>
        <v>2.5</v>
      </c>
      <c r="AF5346" s="580">
        <f t="shared" si="453"/>
        <v>2.5</v>
      </c>
      <c r="AG5346" s="580">
        <f t="shared" si="454"/>
        <v>0</v>
      </c>
      <c r="AH5346" s="580">
        <f t="shared" si="455"/>
        <v>0</v>
      </c>
    </row>
    <row r="5347" spans="28:34">
      <c r="AB5347" s="580">
        <f>HLOOKUP("*"&amp;'Output annual'!$AC$2&amp;'Output annual'!$AD$2&amp;"*Zone People Number Of Occupants [](Hourly)",'Eplus results'!$1:$1048576,ROW(),FALSE)</f>
        <v>0</v>
      </c>
      <c r="AC5347" s="580">
        <f>HLOOKUP("*"&amp;'Output annual'!$AC$2&amp;'Output annual'!$AD$2&amp;"*FangerPMV(Hourly)",'Eplus results'!$1:$1048576,ROW(),FALSE)</f>
        <v>0</v>
      </c>
      <c r="AD5347" s="580">
        <f t="shared" si="451"/>
        <v>5</v>
      </c>
      <c r="AE5347" s="580">
        <f t="shared" si="452"/>
        <v>2.5</v>
      </c>
      <c r="AF5347" s="580">
        <f t="shared" si="453"/>
        <v>2.5</v>
      </c>
      <c r="AG5347" s="580">
        <f t="shared" si="454"/>
        <v>0</v>
      </c>
      <c r="AH5347" s="580">
        <f t="shared" si="455"/>
        <v>0</v>
      </c>
    </row>
    <row r="5348" spans="28:34">
      <c r="AB5348" s="580">
        <f>HLOOKUP("*"&amp;'Output annual'!$AC$2&amp;'Output annual'!$AD$2&amp;"*Zone People Number Of Occupants [](Hourly)",'Eplus results'!$1:$1048576,ROW(),FALSE)</f>
        <v>0</v>
      </c>
      <c r="AC5348" s="580">
        <f>HLOOKUP("*"&amp;'Output annual'!$AC$2&amp;'Output annual'!$AD$2&amp;"*FangerPMV(Hourly)",'Eplus results'!$1:$1048576,ROW(),FALSE)</f>
        <v>0</v>
      </c>
      <c r="AD5348" s="580">
        <f t="shared" si="451"/>
        <v>5</v>
      </c>
      <c r="AE5348" s="580">
        <f t="shared" si="452"/>
        <v>2.5</v>
      </c>
      <c r="AF5348" s="580">
        <f t="shared" si="453"/>
        <v>2.5</v>
      </c>
      <c r="AG5348" s="580">
        <f t="shared" si="454"/>
        <v>0</v>
      </c>
      <c r="AH5348" s="580">
        <f t="shared" si="455"/>
        <v>0</v>
      </c>
    </row>
    <row r="5349" spans="28:34">
      <c r="AB5349" s="580">
        <f>HLOOKUP("*"&amp;'Output annual'!$AC$2&amp;'Output annual'!$AD$2&amp;"*Zone People Number Of Occupants [](Hourly)",'Eplus results'!$1:$1048576,ROW(),FALSE)</f>
        <v>0</v>
      </c>
      <c r="AC5349" s="580">
        <f>HLOOKUP("*"&amp;'Output annual'!$AC$2&amp;'Output annual'!$AD$2&amp;"*FangerPMV(Hourly)",'Eplus results'!$1:$1048576,ROW(),FALSE)</f>
        <v>0</v>
      </c>
      <c r="AD5349" s="580">
        <f t="shared" si="451"/>
        <v>5</v>
      </c>
      <c r="AE5349" s="580">
        <f t="shared" si="452"/>
        <v>2.5</v>
      </c>
      <c r="AF5349" s="580">
        <f t="shared" si="453"/>
        <v>2.5</v>
      </c>
      <c r="AG5349" s="580">
        <f t="shared" si="454"/>
        <v>0</v>
      </c>
      <c r="AH5349" s="580">
        <f t="shared" si="455"/>
        <v>0</v>
      </c>
    </row>
    <row r="5350" spans="28:34">
      <c r="AB5350" s="580">
        <f>HLOOKUP("*"&amp;'Output annual'!$AC$2&amp;'Output annual'!$AD$2&amp;"*Zone People Number Of Occupants [](Hourly)",'Eplus results'!$1:$1048576,ROW(),FALSE)</f>
        <v>0</v>
      </c>
      <c r="AC5350" s="580">
        <f>HLOOKUP("*"&amp;'Output annual'!$AC$2&amp;'Output annual'!$AD$2&amp;"*FangerPMV(Hourly)",'Eplus results'!$1:$1048576,ROW(),FALSE)</f>
        <v>0</v>
      </c>
      <c r="AD5350" s="580">
        <f t="shared" si="451"/>
        <v>5</v>
      </c>
      <c r="AE5350" s="580">
        <f t="shared" si="452"/>
        <v>2.5</v>
      </c>
      <c r="AF5350" s="580">
        <f t="shared" si="453"/>
        <v>2.5</v>
      </c>
      <c r="AG5350" s="580">
        <f t="shared" si="454"/>
        <v>0</v>
      </c>
      <c r="AH5350" s="580">
        <f t="shared" si="455"/>
        <v>0</v>
      </c>
    </row>
    <row r="5351" spans="28:34">
      <c r="AB5351" s="580">
        <f>HLOOKUP("*"&amp;'Output annual'!$AC$2&amp;'Output annual'!$AD$2&amp;"*Zone People Number Of Occupants [](Hourly)",'Eplus results'!$1:$1048576,ROW(),FALSE)</f>
        <v>0</v>
      </c>
      <c r="AC5351" s="580">
        <f>HLOOKUP("*"&amp;'Output annual'!$AC$2&amp;'Output annual'!$AD$2&amp;"*FangerPMV(Hourly)",'Eplus results'!$1:$1048576,ROW(),FALSE)</f>
        <v>0</v>
      </c>
      <c r="AD5351" s="580">
        <f t="shared" si="451"/>
        <v>5</v>
      </c>
      <c r="AE5351" s="580">
        <f t="shared" si="452"/>
        <v>2.5</v>
      </c>
      <c r="AF5351" s="580">
        <f t="shared" si="453"/>
        <v>2.5</v>
      </c>
      <c r="AG5351" s="580">
        <f t="shared" si="454"/>
        <v>0</v>
      </c>
      <c r="AH5351" s="580">
        <f t="shared" si="455"/>
        <v>0</v>
      </c>
    </row>
    <row r="5352" spans="28:34">
      <c r="AB5352" s="580">
        <f>HLOOKUP("*"&amp;'Output annual'!$AC$2&amp;'Output annual'!$AD$2&amp;"*Zone People Number Of Occupants [](Hourly)",'Eplus results'!$1:$1048576,ROW(),FALSE)</f>
        <v>0</v>
      </c>
      <c r="AC5352" s="580">
        <f>HLOOKUP("*"&amp;'Output annual'!$AC$2&amp;'Output annual'!$AD$2&amp;"*FangerPMV(Hourly)",'Eplus results'!$1:$1048576,ROW(),FALSE)</f>
        <v>0</v>
      </c>
      <c r="AD5352" s="580">
        <f t="shared" si="451"/>
        <v>5</v>
      </c>
      <c r="AE5352" s="580">
        <f t="shared" si="452"/>
        <v>2.5</v>
      </c>
      <c r="AF5352" s="580">
        <f t="shared" si="453"/>
        <v>2.5</v>
      </c>
      <c r="AG5352" s="580">
        <f t="shared" si="454"/>
        <v>0</v>
      </c>
      <c r="AH5352" s="580">
        <f t="shared" si="455"/>
        <v>0</v>
      </c>
    </row>
    <row r="5353" spans="28:34">
      <c r="AB5353" s="580">
        <f>HLOOKUP("*"&amp;'Output annual'!$AC$2&amp;'Output annual'!$AD$2&amp;"*Zone People Number Of Occupants [](Hourly)",'Eplus results'!$1:$1048576,ROW(),FALSE)</f>
        <v>0</v>
      </c>
      <c r="AC5353" s="580">
        <f>HLOOKUP("*"&amp;'Output annual'!$AC$2&amp;'Output annual'!$AD$2&amp;"*FangerPMV(Hourly)",'Eplus results'!$1:$1048576,ROW(),FALSE)</f>
        <v>0</v>
      </c>
      <c r="AD5353" s="580">
        <f t="shared" si="451"/>
        <v>5</v>
      </c>
      <c r="AE5353" s="580">
        <f t="shared" si="452"/>
        <v>2.5</v>
      </c>
      <c r="AF5353" s="580">
        <f t="shared" si="453"/>
        <v>2.5</v>
      </c>
      <c r="AG5353" s="580">
        <f t="shared" si="454"/>
        <v>0</v>
      </c>
      <c r="AH5353" s="580">
        <f t="shared" si="455"/>
        <v>0</v>
      </c>
    </row>
    <row r="5354" spans="28:34">
      <c r="AB5354" s="580">
        <f>HLOOKUP("*"&amp;'Output annual'!$AC$2&amp;'Output annual'!$AD$2&amp;"*Zone People Number Of Occupants [](Hourly)",'Eplus results'!$1:$1048576,ROW(),FALSE)</f>
        <v>0</v>
      </c>
      <c r="AC5354" s="580">
        <f>HLOOKUP("*"&amp;'Output annual'!$AC$2&amp;'Output annual'!$AD$2&amp;"*FangerPMV(Hourly)",'Eplus results'!$1:$1048576,ROW(),FALSE)</f>
        <v>0</v>
      </c>
      <c r="AD5354" s="580">
        <f t="shared" si="451"/>
        <v>5</v>
      </c>
      <c r="AE5354" s="580">
        <f t="shared" si="452"/>
        <v>2.5</v>
      </c>
      <c r="AF5354" s="580">
        <f t="shared" si="453"/>
        <v>2.5</v>
      </c>
      <c r="AG5354" s="580">
        <f t="shared" si="454"/>
        <v>0</v>
      </c>
      <c r="AH5354" s="580">
        <f t="shared" si="455"/>
        <v>0</v>
      </c>
    </row>
    <row r="5355" spans="28:34">
      <c r="AB5355" s="580">
        <f>HLOOKUP("*"&amp;'Output annual'!$AC$2&amp;'Output annual'!$AD$2&amp;"*Zone People Number Of Occupants [](Hourly)",'Eplus results'!$1:$1048576,ROW(),FALSE)</f>
        <v>0</v>
      </c>
      <c r="AC5355" s="580">
        <f>HLOOKUP("*"&amp;'Output annual'!$AC$2&amp;'Output annual'!$AD$2&amp;"*FangerPMV(Hourly)",'Eplus results'!$1:$1048576,ROW(),FALSE)</f>
        <v>0</v>
      </c>
      <c r="AD5355" s="580">
        <f t="shared" si="451"/>
        <v>5</v>
      </c>
      <c r="AE5355" s="580">
        <f t="shared" si="452"/>
        <v>2.5</v>
      </c>
      <c r="AF5355" s="580">
        <f t="shared" si="453"/>
        <v>2.5</v>
      </c>
      <c r="AG5355" s="580">
        <f t="shared" si="454"/>
        <v>0</v>
      </c>
      <c r="AH5355" s="580">
        <f t="shared" si="455"/>
        <v>0</v>
      </c>
    </row>
    <row r="5356" spans="28:34">
      <c r="AB5356" s="580">
        <f>HLOOKUP("*"&amp;'Output annual'!$AC$2&amp;'Output annual'!$AD$2&amp;"*Zone People Number Of Occupants [](Hourly)",'Eplus results'!$1:$1048576,ROW(),FALSE)</f>
        <v>0</v>
      </c>
      <c r="AC5356" s="580">
        <f>HLOOKUP("*"&amp;'Output annual'!$AC$2&amp;'Output annual'!$AD$2&amp;"*FangerPMV(Hourly)",'Eplus results'!$1:$1048576,ROW(),FALSE)</f>
        <v>0</v>
      </c>
      <c r="AD5356" s="580">
        <f t="shared" si="451"/>
        <v>5</v>
      </c>
      <c r="AE5356" s="580">
        <f t="shared" si="452"/>
        <v>2.5</v>
      </c>
      <c r="AF5356" s="580">
        <f t="shared" si="453"/>
        <v>2.5</v>
      </c>
      <c r="AG5356" s="580">
        <f t="shared" si="454"/>
        <v>0</v>
      </c>
      <c r="AH5356" s="580">
        <f t="shared" si="455"/>
        <v>0</v>
      </c>
    </row>
    <row r="5357" spans="28:34">
      <c r="AB5357" s="580">
        <f>HLOOKUP("*"&amp;'Output annual'!$AC$2&amp;'Output annual'!$AD$2&amp;"*Zone People Number Of Occupants [](Hourly)",'Eplus results'!$1:$1048576,ROW(),FALSE)</f>
        <v>0</v>
      </c>
      <c r="AC5357" s="580">
        <f>HLOOKUP("*"&amp;'Output annual'!$AC$2&amp;'Output annual'!$AD$2&amp;"*FangerPMV(Hourly)",'Eplus results'!$1:$1048576,ROW(),FALSE)</f>
        <v>0</v>
      </c>
      <c r="AD5357" s="580">
        <f t="shared" si="451"/>
        <v>5</v>
      </c>
      <c r="AE5357" s="580">
        <f t="shared" si="452"/>
        <v>2.5</v>
      </c>
      <c r="AF5357" s="580">
        <f t="shared" si="453"/>
        <v>2.5</v>
      </c>
      <c r="AG5357" s="580">
        <f t="shared" si="454"/>
        <v>0</v>
      </c>
      <c r="AH5357" s="580">
        <f t="shared" si="455"/>
        <v>0</v>
      </c>
    </row>
    <row r="5358" spans="28:34">
      <c r="AB5358" s="580">
        <f>HLOOKUP("*"&amp;'Output annual'!$AC$2&amp;'Output annual'!$AD$2&amp;"*Zone People Number Of Occupants [](Hourly)",'Eplus results'!$1:$1048576,ROW(),FALSE)</f>
        <v>0</v>
      </c>
      <c r="AC5358" s="580">
        <f>HLOOKUP("*"&amp;'Output annual'!$AC$2&amp;'Output annual'!$AD$2&amp;"*FangerPMV(Hourly)",'Eplus results'!$1:$1048576,ROW(),FALSE)</f>
        <v>0</v>
      </c>
      <c r="AD5358" s="580">
        <f t="shared" si="451"/>
        <v>5</v>
      </c>
      <c r="AE5358" s="580">
        <f t="shared" si="452"/>
        <v>2.5</v>
      </c>
      <c r="AF5358" s="580">
        <f t="shared" si="453"/>
        <v>2.5</v>
      </c>
      <c r="AG5358" s="580">
        <f t="shared" si="454"/>
        <v>0</v>
      </c>
      <c r="AH5358" s="580">
        <f t="shared" si="455"/>
        <v>0</v>
      </c>
    </row>
    <row r="5359" spans="28:34">
      <c r="AB5359" s="580">
        <f>HLOOKUP("*"&amp;'Output annual'!$AC$2&amp;'Output annual'!$AD$2&amp;"*Zone People Number Of Occupants [](Hourly)",'Eplus results'!$1:$1048576,ROW(),FALSE)</f>
        <v>0</v>
      </c>
      <c r="AC5359" s="580">
        <f>HLOOKUP("*"&amp;'Output annual'!$AC$2&amp;'Output annual'!$AD$2&amp;"*FangerPMV(Hourly)",'Eplus results'!$1:$1048576,ROW(),FALSE)</f>
        <v>0</v>
      </c>
      <c r="AD5359" s="580">
        <f t="shared" si="451"/>
        <v>5</v>
      </c>
      <c r="AE5359" s="580">
        <f t="shared" si="452"/>
        <v>2.5</v>
      </c>
      <c r="AF5359" s="580">
        <f t="shared" si="453"/>
        <v>2.5</v>
      </c>
      <c r="AG5359" s="580">
        <f t="shared" si="454"/>
        <v>0</v>
      </c>
      <c r="AH5359" s="580">
        <f t="shared" si="455"/>
        <v>0</v>
      </c>
    </row>
    <row r="5360" spans="28:34">
      <c r="AB5360" s="580">
        <f>HLOOKUP("*"&amp;'Output annual'!$AC$2&amp;'Output annual'!$AD$2&amp;"*Zone People Number Of Occupants [](Hourly)",'Eplus results'!$1:$1048576,ROW(),FALSE)</f>
        <v>0</v>
      </c>
      <c r="AC5360" s="580">
        <f>HLOOKUP("*"&amp;'Output annual'!$AC$2&amp;'Output annual'!$AD$2&amp;"*FangerPMV(Hourly)",'Eplus results'!$1:$1048576,ROW(),FALSE)</f>
        <v>0</v>
      </c>
      <c r="AD5360" s="580">
        <f t="shared" si="451"/>
        <v>5</v>
      </c>
      <c r="AE5360" s="580">
        <f t="shared" si="452"/>
        <v>2.5</v>
      </c>
      <c r="AF5360" s="580">
        <f t="shared" si="453"/>
        <v>2.5</v>
      </c>
      <c r="AG5360" s="580">
        <f t="shared" si="454"/>
        <v>0</v>
      </c>
      <c r="AH5360" s="580">
        <f t="shared" si="455"/>
        <v>0</v>
      </c>
    </row>
    <row r="5361" spans="28:34">
      <c r="AB5361" s="580">
        <f>HLOOKUP("*"&amp;'Output annual'!$AC$2&amp;'Output annual'!$AD$2&amp;"*Zone People Number Of Occupants [](Hourly)",'Eplus results'!$1:$1048576,ROW(),FALSE)</f>
        <v>0</v>
      </c>
      <c r="AC5361" s="580">
        <f>HLOOKUP("*"&amp;'Output annual'!$AC$2&amp;'Output annual'!$AD$2&amp;"*FangerPMV(Hourly)",'Eplus results'!$1:$1048576,ROW(),FALSE)</f>
        <v>0</v>
      </c>
      <c r="AD5361" s="580">
        <f t="shared" si="451"/>
        <v>5</v>
      </c>
      <c r="AE5361" s="580">
        <f t="shared" si="452"/>
        <v>2.5</v>
      </c>
      <c r="AF5361" s="580">
        <f t="shared" si="453"/>
        <v>2.5</v>
      </c>
      <c r="AG5361" s="580">
        <f t="shared" si="454"/>
        <v>0</v>
      </c>
      <c r="AH5361" s="580">
        <f t="shared" si="455"/>
        <v>0</v>
      </c>
    </row>
    <row r="5362" spans="28:34">
      <c r="AB5362" s="580">
        <f>HLOOKUP("*"&amp;'Output annual'!$AC$2&amp;'Output annual'!$AD$2&amp;"*Zone People Number Of Occupants [](Hourly)",'Eplus results'!$1:$1048576,ROW(),FALSE)</f>
        <v>0</v>
      </c>
      <c r="AC5362" s="580">
        <f>HLOOKUP("*"&amp;'Output annual'!$AC$2&amp;'Output annual'!$AD$2&amp;"*FangerPMV(Hourly)",'Eplus results'!$1:$1048576,ROW(),FALSE)</f>
        <v>0</v>
      </c>
      <c r="AD5362" s="580">
        <f t="shared" si="451"/>
        <v>5</v>
      </c>
      <c r="AE5362" s="580">
        <f t="shared" si="452"/>
        <v>2.5</v>
      </c>
      <c r="AF5362" s="580">
        <f t="shared" si="453"/>
        <v>2.5</v>
      </c>
      <c r="AG5362" s="580">
        <f t="shared" si="454"/>
        <v>0</v>
      </c>
      <c r="AH5362" s="580">
        <f t="shared" si="455"/>
        <v>0</v>
      </c>
    </row>
    <row r="5363" spans="28:34">
      <c r="AB5363" s="580">
        <f>HLOOKUP("*"&amp;'Output annual'!$AC$2&amp;'Output annual'!$AD$2&amp;"*Zone People Number Of Occupants [](Hourly)",'Eplus results'!$1:$1048576,ROW(),FALSE)</f>
        <v>0</v>
      </c>
      <c r="AC5363" s="580">
        <f>HLOOKUP("*"&amp;'Output annual'!$AC$2&amp;'Output annual'!$AD$2&amp;"*FangerPMV(Hourly)",'Eplus results'!$1:$1048576,ROW(),FALSE)</f>
        <v>0</v>
      </c>
      <c r="AD5363" s="580">
        <f t="shared" si="451"/>
        <v>5</v>
      </c>
      <c r="AE5363" s="580">
        <f t="shared" si="452"/>
        <v>2.5</v>
      </c>
      <c r="AF5363" s="580">
        <f t="shared" si="453"/>
        <v>2.5</v>
      </c>
      <c r="AG5363" s="580">
        <f t="shared" si="454"/>
        <v>0</v>
      </c>
      <c r="AH5363" s="580">
        <f t="shared" si="455"/>
        <v>0</v>
      </c>
    </row>
    <row r="5364" spans="28:34">
      <c r="AB5364" s="580">
        <f>HLOOKUP("*"&amp;'Output annual'!$AC$2&amp;'Output annual'!$AD$2&amp;"*Zone People Number Of Occupants [](Hourly)",'Eplus results'!$1:$1048576,ROW(),FALSE)</f>
        <v>0</v>
      </c>
      <c r="AC5364" s="580">
        <f>HLOOKUP("*"&amp;'Output annual'!$AC$2&amp;'Output annual'!$AD$2&amp;"*FangerPMV(Hourly)",'Eplus results'!$1:$1048576,ROW(),FALSE)</f>
        <v>0</v>
      </c>
      <c r="AD5364" s="580">
        <f t="shared" si="451"/>
        <v>5</v>
      </c>
      <c r="AE5364" s="580">
        <f t="shared" si="452"/>
        <v>2.5</v>
      </c>
      <c r="AF5364" s="580">
        <f t="shared" si="453"/>
        <v>2.5</v>
      </c>
      <c r="AG5364" s="580">
        <f t="shared" si="454"/>
        <v>0</v>
      </c>
      <c r="AH5364" s="580">
        <f t="shared" si="455"/>
        <v>0</v>
      </c>
    </row>
    <row r="5365" spans="28:34">
      <c r="AB5365" s="580">
        <f>HLOOKUP("*"&amp;'Output annual'!$AC$2&amp;'Output annual'!$AD$2&amp;"*Zone People Number Of Occupants [](Hourly)",'Eplus results'!$1:$1048576,ROW(),FALSE)</f>
        <v>0</v>
      </c>
      <c r="AC5365" s="580">
        <f>HLOOKUP("*"&amp;'Output annual'!$AC$2&amp;'Output annual'!$AD$2&amp;"*FangerPMV(Hourly)",'Eplus results'!$1:$1048576,ROW(),FALSE)</f>
        <v>0</v>
      </c>
      <c r="AD5365" s="580">
        <f t="shared" si="451"/>
        <v>5</v>
      </c>
      <c r="AE5365" s="580">
        <f t="shared" si="452"/>
        <v>2.5</v>
      </c>
      <c r="AF5365" s="580">
        <f t="shared" si="453"/>
        <v>2.5</v>
      </c>
      <c r="AG5365" s="580">
        <f t="shared" si="454"/>
        <v>0</v>
      </c>
      <c r="AH5365" s="580">
        <f t="shared" si="455"/>
        <v>0</v>
      </c>
    </row>
    <row r="5366" spans="28:34">
      <c r="AB5366" s="580">
        <f>HLOOKUP("*"&amp;'Output annual'!$AC$2&amp;'Output annual'!$AD$2&amp;"*Zone People Number Of Occupants [](Hourly)",'Eplus results'!$1:$1048576,ROW(),FALSE)</f>
        <v>0</v>
      </c>
      <c r="AC5366" s="580">
        <f>HLOOKUP("*"&amp;'Output annual'!$AC$2&amp;'Output annual'!$AD$2&amp;"*FangerPMV(Hourly)",'Eplus results'!$1:$1048576,ROW(),FALSE)</f>
        <v>0</v>
      </c>
      <c r="AD5366" s="580">
        <f t="shared" si="451"/>
        <v>5</v>
      </c>
      <c r="AE5366" s="580">
        <f t="shared" si="452"/>
        <v>2.5</v>
      </c>
      <c r="AF5366" s="580">
        <f t="shared" si="453"/>
        <v>2.5</v>
      </c>
      <c r="AG5366" s="580">
        <f t="shared" si="454"/>
        <v>0</v>
      </c>
      <c r="AH5366" s="580">
        <f t="shared" si="455"/>
        <v>0</v>
      </c>
    </row>
    <row r="5367" spans="28:34">
      <c r="AB5367" s="580">
        <f>HLOOKUP("*"&amp;'Output annual'!$AC$2&amp;'Output annual'!$AD$2&amp;"*Zone People Number Of Occupants [](Hourly)",'Eplus results'!$1:$1048576,ROW(),FALSE)</f>
        <v>0</v>
      </c>
      <c r="AC5367" s="580">
        <f>HLOOKUP("*"&amp;'Output annual'!$AC$2&amp;'Output annual'!$AD$2&amp;"*FangerPMV(Hourly)",'Eplus results'!$1:$1048576,ROW(),FALSE)</f>
        <v>0</v>
      </c>
      <c r="AD5367" s="580">
        <f t="shared" si="451"/>
        <v>5</v>
      </c>
      <c r="AE5367" s="580">
        <f t="shared" si="452"/>
        <v>2.5</v>
      </c>
      <c r="AF5367" s="580">
        <f t="shared" si="453"/>
        <v>2.5</v>
      </c>
      <c r="AG5367" s="580">
        <f t="shared" si="454"/>
        <v>0</v>
      </c>
      <c r="AH5367" s="580">
        <f t="shared" si="455"/>
        <v>0</v>
      </c>
    </row>
    <row r="5368" spans="28:34">
      <c r="AB5368" s="580">
        <f>HLOOKUP("*"&amp;'Output annual'!$AC$2&amp;'Output annual'!$AD$2&amp;"*Zone People Number Of Occupants [](Hourly)",'Eplus results'!$1:$1048576,ROW(),FALSE)</f>
        <v>0</v>
      </c>
      <c r="AC5368" s="580">
        <f>HLOOKUP("*"&amp;'Output annual'!$AC$2&amp;'Output annual'!$AD$2&amp;"*FangerPMV(Hourly)",'Eplus results'!$1:$1048576,ROW(),FALSE)</f>
        <v>0</v>
      </c>
      <c r="AD5368" s="580">
        <f t="shared" si="451"/>
        <v>5</v>
      </c>
      <c r="AE5368" s="580">
        <f t="shared" si="452"/>
        <v>2.5</v>
      </c>
      <c r="AF5368" s="580">
        <f t="shared" si="453"/>
        <v>2.5</v>
      </c>
      <c r="AG5368" s="580">
        <f t="shared" si="454"/>
        <v>0</v>
      </c>
      <c r="AH5368" s="580">
        <f t="shared" si="455"/>
        <v>0</v>
      </c>
    </row>
    <row r="5369" spans="28:34">
      <c r="AB5369" s="580">
        <f>HLOOKUP("*"&amp;'Output annual'!$AC$2&amp;'Output annual'!$AD$2&amp;"*Zone People Number Of Occupants [](Hourly)",'Eplus results'!$1:$1048576,ROW(),FALSE)</f>
        <v>0</v>
      </c>
      <c r="AC5369" s="580">
        <f>HLOOKUP("*"&amp;'Output annual'!$AC$2&amp;'Output annual'!$AD$2&amp;"*FangerPMV(Hourly)",'Eplus results'!$1:$1048576,ROW(),FALSE)</f>
        <v>0</v>
      </c>
      <c r="AD5369" s="580">
        <f t="shared" si="451"/>
        <v>5</v>
      </c>
      <c r="AE5369" s="580">
        <f t="shared" si="452"/>
        <v>2.5</v>
      </c>
      <c r="AF5369" s="580">
        <f t="shared" si="453"/>
        <v>2.5</v>
      </c>
      <c r="AG5369" s="580">
        <f t="shared" si="454"/>
        <v>0</v>
      </c>
      <c r="AH5369" s="580">
        <f t="shared" si="455"/>
        <v>0</v>
      </c>
    </row>
    <row r="5370" spans="28:34">
      <c r="AB5370" s="580">
        <f>HLOOKUP("*"&amp;'Output annual'!$AC$2&amp;'Output annual'!$AD$2&amp;"*Zone People Number Of Occupants [](Hourly)",'Eplus results'!$1:$1048576,ROW(),FALSE)</f>
        <v>0</v>
      </c>
      <c r="AC5370" s="580">
        <f>HLOOKUP("*"&amp;'Output annual'!$AC$2&amp;'Output annual'!$AD$2&amp;"*FangerPMV(Hourly)",'Eplus results'!$1:$1048576,ROW(),FALSE)</f>
        <v>0</v>
      </c>
      <c r="AD5370" s="580">
        <f t="shared" si="451"/>
        <v>5</v>
      </c>
      <c r="AE5370" s="580">
        <f t="shared" si="452"/>
        <v>2.5</v>
      </c>
      <c r="AF5370" s="580">
        <f t="shared" si="453"/>
        <v>2.5</v>
      </c>
      <c r="AG5370" s="580">
        <f t="shared" si="454"/>
        <v>0</v>
      </c>
      <c r="AH5370" s="580">
        <f t="shared" si="455"/>
        <v>0</v>
      </c>
    </row>
    <row r="5371" spans="28:34">
      <c r="AB5371" s="580">
        <f>HLOOKUP("*"&amp;'Output annual'!$AC$2&amp;'Output annual'!$AD$2&amp;"*Zone People Number Of Occupants [](Hourly)",'Eplus results'!$1:$1048576,ROW(),FALSE)</f>
        <v>0</v>
      </c>
      <c r="AC5371" s="580">
        <f>HLOOKUP("*"&amp;'Output annual'!$AC$2&amp;'Output annual'!$AD$2&amp;"*FangerPMV(Hourly)",'Eplus results'!$1:$1048576,ROW(),FALSE)</f>
        <v>0</v>
      </c>
      <c r="AD5371" s="580">
        <f t="shared" si="451"/>
        <v>5</v>
      </c>
      <c r="AE5371" s="580">
        <f t="shared" si="452"/>
        <v>2.5</v>
      </c>
      <c r="AF5371" s="580">
        <f t="shared" si="453"/>
        <v>2.5</v>
      </c>
      <c r="AG5371" s="580">
        <f t="shared" si="454"/>
        <v>0</v>
      </c>
      <c r="AH5371" s="580">
        <f t="shared" si="455"/>
        <v>0</v>
      </c>
    </row>
    <row r="5372" spans="28:34">
      <c r="AB5372" s="580">
        <f>HLOOKUP("*"&amp;'Output annual'!$AC$2&amp;'Output annual'!$AD$2&amp;"*Zone People Number Of Occupants [](Hourly)",'Eplus results'!$1:$1048576,ROW(),FALSE)</f>
        <v>0</v>
      </c>
      <c r="AC5372" s="580">
        <f>HLOOKUP("*"&amp;'Output annual'!$AC$2&amp;'Output annual'!$AD$2&amp;"*FangerPMV(Hourly)",'Eplus results'!$1:$1048576,ROW(),FALSE)</f>
        <v>0</v>
      </c>
      <c r="AD5372" s="580">
        <f t="shared" si="451"/>
        <v>5</v>
      </c>
      <c r="AE5372" s="580">
        <f t="shared" si="452"/>
        <v>2.5</v>
      </c>
      <c r="AF5372" s="580">
        <f t="shared" si="453"/>
        <v>2.5</v>
      </c>
      <c r="AG5372" s="580">
        <f t="shared" si="454"/>
        <v>0</v>
      </c>
      <c r="AH5372" s="580">
        <f t="shared" si="455"/>
        <v>0</v>
      </c>
    </row>
    <row r="5373" spans="28:34">
      <c r="AB5373" s="580">
        <f>HLOOKUP("*"&amp;'Output annual'!$AC$2&amp;'Output annual'!$AD$2&amp;"*Zone People Number Of Occupants [](Hourly)",'Eplus results'!$1:$1048576,ROW(),FALSE)</f>
        <v>0</v>
      </c>
      <c r="AC5373" s="580">
        <f>HLOOKUP("*"&amp;'Output annual'!$AC$2&amp;'Output annual'!$AD$2&amp;"*FangerPMV(Hourly)",'Eplus results'!$1:$1048576,ROW(),FALSE)</f>
        <v>0</v>
      </c>
      <c r="AD5373" s="580">
        <f t="shared" si="451"/>
        <v>5</v>
      </c>
      <c r="AE5373" s="580">
        <f t="shared" si="452"/>
        <v>2.5</v>
      </c>
      <c r="AF5373" s="580">
        <f t="shared" si="453"/>
        <v>2.5</v>
      </c>
      <c r="AG5373" s="580">
        <f t="shared" si="454"/>
        <v>0</v>
      </c>
      <c r="AH5373" s="580">
        <f t="shared" si="455"/>
        <v>0</v>
      </c>
    </row>
    <row r="5374" spans="28:34">
      <c r="AB5374" s="580">
        <f>HLOOKUP("*"&amp;'Output annual'!$AC$2&amp;'Output annual'!$AD$2&amp;"*Zone People Number Of Occupants [](Hourly)",'Eplus results'!$1:$1048576,ROW(),FALSE)</f>
        <v>0</v>
      </c>
      <c r="AC5374" s="580">
        <f>HLOOKUP("*"&amp;'Output annual'!$AC$2&amp;'Output annual'!$AD$2&amp;"*FangerPMV(Hourly)",'Eplus results'!$1:$1048576,ROW(),FALSE)</f>
        <v>0</v>
      </c>
      <c r="AD5374" s="580">
        <f t="shared" si="451"/>
        <v>5</v>
      </c>
      <c r="AE5374" s="580">
        <f t="shared" si="452"/>
        <v>2.5</v>
      </c>
      <c r="AF5374" s="580">
        <f t="shared" si="453"/>
        <v>2.5</v>
      </c>
      <c r="AG5374" s="580">
        <f t="shared" si="454"/>
        <v>0</v>
      </c>
      <c r="AH5374" s="580">
        <f t="shared" si="455"/>
        <v>0</v>
      </c>
    </row>
    <row r="5375" spans="28:34">
      <c r="AB5375" s="580">
        <f>HLOOKUP("*"&amp;'Output annual'!$AC$2&amp;'Output annual'!$AD$2&amp;"*Zone People Number Of Occupants [](Hourly)",'Eplus results'!$1:$1048576,ROW(),FALSE)</f>
        <v>0</v>
      </c>
      <c r="AC5375" s="580">
        <f>HLOOKUP("*"&amp;'Output annual'!$AC$2&amp;'Output annual'!$AD$2&amp;"*FangerPMV(Hourly)",'Eplus results'!$1:$1048576,ROW(),FALSE)</f>
        <v>0</v>
      </c>
      <c r="AD5375" s="580">
        <f t="shared" si="451"/>
        <v>5</v>
      </c>
      <c r="AE5375" s="580">
        <f t="shared" si="452"/>
        <v>2.5</v>
      </c>
      <c r="AF5375" s="580">
        <f t="shared" si="453"/>
        <v>2.5</v>
      </c>
      <c r="AG5375" s="580">
        <f t="shared" si="454"/>
        <v>0</v>
      </c>
      <c r="AH5375" s="580">
        <f t="shared" si="455"/>
        <v>0</v>
      </c>
    </row>
    <row r="5376" spans="28:34">
      <c r="AB5376" s="580">
        <f>HLOOKUP("*"&amp;'Output annual'!$AC$2&amp;'Output annual'!$AD$2&amp;"*Zone People Number Of Occupants [](Hourly)",'Eplus results'!$1:$1048576,ROW(),FALSE)</f>
        <v>0</v>
      </c>
      <c r="AC5376" s="580">
        <f>HLOOKUP("*"&amp;'Output annual'!$AC$2&amp;'Output annual'!$AD$2&amp;"*FangerPMV(Hourly)",'Eplus results'!$1:$1048576,ROW(),FALSE)</f>
        <v>0</v>
      </c>
      <c r="AD5376" s="580">
        <f t="shared" si="451"/>
        <v>5</v>
      </c>
      <c r="AE5376" s="580">
        <f t="shared" si="452"/>
        <v>2.5</v>
      </c>
      <c r="AF5376" s="580">
        <f t="shared" si="453"/>
        <v>2.5</v>
      </c>
      <c r="AG5376" s="580">
        <f t="shared" si="454"/>
        <v>0</v>
      </c>
      <c r="AH5376" s="580">
        <f t="shared" si="455"/>
        <v>0</v>
      </c>
    </row>
    <row r="5377" spans="28:34">
      <c r="AB5377" s="580">
        <f>HLOOKUP("*"&amp;'Output annual'!$AC$2&amp;'Output annual'!$AD$2&amp;"*Zone People Number Of Occupants [](Hourly)",'Eplus results'!$1:$1048576,ROW(),FALSE)</f>
        <v>0</v>
      </c>
      <c r="AC5377" s="580">
        <f>HLOOKUP("*"&amp;'Output annual'!$AC$2&amp;'Output annual'!$AD$2&amp;"*FangerPMV(Hourly)",'Eplus results'!$1:$1048576,ROW(),FALSE)</f>
        <v>0</v>
      </c>
      <c r="AD5377" s="580">
        <f t="shared" si="451"/>
        <v>5</v>
      </c>
      <c r="AE5377" s="580">
        <f t="shared" si="452"/>
        <v>2.5</v>
      </c>
      <c r="AF5377" s="580">
        <f t="shared" si="453"/>
        <v>2.5</v>
      </c>
      <c r="AG5377" s="580">
        <f t="shared" si="454"/>
        <v>0</v>
      </c>
      <c r="AH5377" s="580">
        <f t="shared" si="455"/>
        <v>0</v>
      </c>
    </row>
    <row r="5378" spans="28:34">
      <c r="AB5378" s="580">
        <f>HLOOKUP("*"&amp;'Output annual'!$AC$2&amp;'Output annual'!$AD$2&amp;"*Zone People Number Of Occupants [](Hourly)",'Eplus results'!$1:$1048576,ROW(),FALSE)</f>
        <v>0</v>
      </c>
      <c r="AC5378" s="580">
        <f>HLOOKUP("*"&amp;'Output annual'!$AC$2&amp;'Output annual'!$AD$2&amp;"*FangerPMV(Hourly)",'Eplus results'!$1:$1048576,ROW(),FALSE)</f>
        <v>0</v>
      </c>
      <c r="AD5378" s="580">
        <f t="shared" si="451"/>
        <v>5</v>
      </c>
      <c r="AE5378" s="580">
        <f t="shared" si="452"/>
        <v>2.5</v>
      </c>
      <c r="AF5378" s="580">
        <f t="shared" si="453"/>
        <v>2.5</v>
      </c>
      <c r="AG5378" s="580">
        <f t="shared" si="454"/>
        <v>0</v>
      </c>
      <c r="AH5378" s="580">
        <f t="shared" si="455"/>
        <v>0</v>
      </c>
    </row>
    <row r="5379" spans="28:34">
      <c r="AB5379" s="580">
        <f>HLOOKUP("*"&amp;'Output annual'!$AC$2&amp;'Output annual'!$AD$2&amp;"*Zone People Number Of Occupants [](Hourly)",'Eplus results'!$1:$1048576,ROW(),FALSE)</f>
        <v>0</v>
      </c>
      <c r="AC5379" s="580">
        <f>HLOOKUP("*"&amp;'Output annual'!$AC$2&amp;'Output annual'!$AD$2&amp;"*FangerPMV(Hourly)",'Eplus results'!$1:$1048576,ROW(),FALSE)</f>
        <v>0</v>
      </c>
      <c r="AD5379" s="580">
        <f t="shared" ref="AD5379:AD5442" si="456">100-95*EXP(-0.03353*AC5379^4-0.2179*AC5379^2)</f>
        <v>5</v>
      </c>
      <c r="AE5379" s="580">
        <f t="shared" ref="AE5379:AE5442" si="457">AD5379*(1/(1+EXP(-6.3*$AC5379)))</f>
        <v>2.5</v>
      </c>
      <c r="AF5379" s="580">
        <f t="shared" ref="AF5379:AF5442" si="458">(AD5379-AE5379)</f>
        <v>2.5</v>
      </c>
      <c r="AG5379" s="580">
        <f t="shared" ref="AG5379:AG5442" si="459">AE5379*AB5379</f>
        <v>0</v>
      </c>
      <c r="AH5379" s="580">
        <f t="shared" ref="AH5379:AH5442" si="460">AF5379*AB5379</f>
        <v>0</v>
      </c>
    </row>
    <row r="5380" spans="28:34">
      <c r="AB5380" s="580">
        <f>HLOOKUP("*"&amp;'Output annual'!$AC$2&amp;'Output annual'!$AD$2&amp;"*Zone People Number Of Occupants [](Hourly)",'Eplus results'!$1:$1048576,ROW(),FALSE)</f>
        <v>0</v>
      </c>
      <c r="AC5380" s="580">
        <f>HLOOKUP("*"&amp;'Output annual'!$AC$2&amp;'Output annual'!$AD$2&amp;"*FangerPMV(Hourly)",'Eplus results'!$1:$1048576,ROW(),FALSE)</f>
        <v>0</v>
      </c>
      <c r="AD5380" s="580">
        <f t="shared" si="456"/>
        <v>5</v>
      </c>
      <c r="AE5380" s="580">
        <f t="shared" si="457"/>
        <v>2.5</v>
      </c>
      <c r="AF5380" s="580">
        <f t="shared" si="458"/>
        <v>2.5</v>
      </c>
      <c r="AG5380" s="580">
        <f t="shared" si="459"/>
        <v>0</v>
      </c>
      <c r="AH5380" s="580">
        <f t="shared" si="460"/>
        <v>0</v>
      </c>
    </row>
    <row r="5381" spans="28:34">
      <c r="AB5381" s="580">
        <f>HLOOKUP("*"&amp;'Output annual'!$AC$2&amp;'Output annual'!$AD$2&amp;"*Zone People Number Of Occupants [](Hourly)",'Eplus results'!$1:$1048576,ROW(),FALSE)</f>
        <v>0</v>
      </c>
      <c r="AC5381" s="580">
        <f>HLOOKUP("*"&amp;'Output annual'!$AC$2&amp;'Output annual'!$AD$2&amp;"*FangerPMV(Hourly)",'Eplus results'!$1:$1048576,ROW(),FALSE)</f>
        <v>0</v>
      </c>
      <c r="AD5381" s="580">
        <f t="shared" si="456"/>
        <v>5</v>
      </c>
      <c r="AE5381" s="580">
        <f t="shared" si="457"/>
        <v>2.5</v>
      </c>
      <c r="AF5381" s="580">
        <f t="shared" si="458"/>
        <v>2.5</v>
      </c>
      <c r="AG5381" s="580">
        <f t="shared" si="459"/>
        <v>0</v>
      </c>
      <c r="AH5381" s="580">
        <f t="shared" si="460"/>
        <v>0</v>
      </c>
    </row>
    <row r="5382" spans="28:34">
      <c r="AB5382" s="580">
        <f>HLOOKUP("*"&amp;'Output annual'!$AC$2&amp;'Output annual'!$AD$2&amp;"*Zone People Number Of Occupants [](Hourly)",'Eplus results'!$1:$1048576,ROW(),FALSE)</f>
        <v>0</v>
      </c>
      <c r="AC5382" s="580">
        <f>HLOOKUP("*"&amp;'Output annual'!$AC$2&amp;'Output annual'!$AD$2&amp;"*FangerPMV(Hourly)",'Eplus results'!$1:$1048576,ROW(),FALSE)</f>
        <v>0</v>
      </c>
      <c r="AD5382" s="580">
        <f t="shared" si="456"/>
        <v>5</v>
      </c>
      <c r="AE5382" s="580">
        <f t="shared" si="457"/>
        <v>2.5</v>
      </c>
      <c r="AF5382" s="580">
        <f t="shared" si="458"/>
        <v>2.5</v>
      </c>
      <c r="AG5382" s="580">
        <f t="shared" si="459"/>
        <v>0</v>
      </c>
      <c r="AH5382" s="580">
        <f t="shared" si="460"/>
        <v>0</v>
      </c>
    </row>
    <row r="5383" spans="28:34">
      <c r="AB5383" s="580">
        <f>HLOOKUP("*"&amp;'Output annual'!$AC$2&amp;'Output annual'!$AD$2&amp;"*Zone People Number Of Occupants [](Hourly)",'Eplus results'!$1:$1048576,ROW(),FALSE)</f>
        <v>0</v>
      </c>
      <c r="AC5383" s="580">
        <f>HLOOKUP("*"&amp;'Output annual'!$AC$2&amp;'Output annual'!$AD$2&amp;"*FangerPMV(Hourly)",'Eplus results'!$1:$1048576,ROW(),FALSE)</f>
        <v>0</v>
      </c>
      <c r="AD5383" s="580">
        <f t="shared" si="456"/>
        <v>5</v>
      </c>
      <c r="AE5383" s="580">
        <f t="shared" si="457"/>
        <v>2.5</v>
      </c>
      <c r="AF5383" s="580">
        <f t="shared" si="458"/>
        <v>2.5</v>
      </c>
      <c r="AG5383" s="580">
        <f t="shared" si="459"/>
        <v>0</v>
      </c>
      <c r="AH5383" s="580">
        <f t="shared" si="460"/>
        <v>0</v>
      </c>
    </row>
    <row r="5384" spans="28:34">
      <c r="AB5384" s="580">
        <f>HLOOKUP("*"&amp;'Output annual'!$AC$2&amp;'Output annual'!$AD$2&amp;"*Zone People Number Of Occupants [](Hourly)",'Eplus results'!$1:$1048576,ROW(),FALSE)</f>
        <v>0</v>
      </c>
      <c r="AC5384" s="580">
        <f>HLOOKUP("*"&amp;'Output annual'!$AC$2&amp;'Output annual'!$AD$2&amp;"*FangerPMV(Hourly)",'Eplus results'!$1:$1048576,ROW(),FALSE)</f>
        <v>0</v>
      </c>
      <c r="AD5384" s="580">
        <f t="shared" si="456"/>
        <v>5</v>
      </c>
      <c r="AE5384" s="580">
        <f t="shared" si="457"/>
        <v>2.5</v>
      </c>
      <c r="AF5384" s="580">
        <f t="shared" si="458"/>
        <v>2.5</v>
      </c>
      <c r="AG5384" s="580">
        <f t="shared" si="459"/>
        <v>0</v>
      </c>
      <c r="AH5384" s="580">
        <f t="shared" si="460"/>
        <v>0</v>
      </c>
    </row>
    <row r="5385" spans="28:34">
      <c r="AB5385" s="580">
        <f>HLOOKUP("*"&amp;'Output annual'!$AC$2&amp;'Output annual'!$AD$2&amp;"*Zone People Number Of Occupants [](Hourly)",'Eplus results'!$1:$1048576,ROW(),FALSE)</f>
        <v>0</v>
      </c>
      <c r="AC5385" s="580">
        <f>HLOOKUP("*"&amp;'Output annual'!$AC$2&amp;'Output annual'!$AD$2&amp;"*FangerPMV(Hourly)",'Eplus results'!$1:$1048576,ROW(),FALSE)</f>
        <v>0</v>
      </c>
      <c r="AD5385" s="580">
        <f t="shared" si="456"/>
        <v>5</v>
      </c>
      <c r="AE5385" s="580">
        <f t="shared" si="457"/>
        <v>2.5</v>
      </c>
      <c r="AF5385" s="580">
        <f t="shared" si="458"/>
        <v>2.5</v>
      </c>
      <c r="AG5385" s="580">
        <f t="shared" si="459"/>
        <v>0</v>
      </c>
      <c r="AH5385" s="580">
        <f t="shared" si="460"/>
        <v>0</v>
      </c>
    </row>
    <row r="5386" spans="28:34">
      <c r="AB5386" s="580">
        <f>HLOOKUP("*"&amp;'Output annual'!$AC$2&amp;'Output annual'!$AD$2&amp;"*Zone People Number Of Occupants [](Hourly)",'Eplus results'!$1:$1048576,ROW(),FALSE)</f>
        <v>0</v>
      </c>
      <c r="AC5386" s="580">
        <f>HLOOKUP("*"&amp;'Output annual'!$AC$2&amp;'Output annual'!$AD$2&amp;"*FangerPMV(Hourly)",'Eplus results'!$1:$1048576,ROW(),FALSE)</f>
        <v>0</v>
      </c>
      <c r="AD5386" s="580">
        <f t="shared" si="456"/>
        <v>5</v>
      </c>
      <c r="AE5386" s="580">
        <f t="shared" si="457"/>
        <v>2.5</v>
      </c>
      <c r="AF5386" s="580">
        <f t="shared" si="458"/>
        <v>2.5</v>
      </c>
      <c r="AG5386" s="580">
        <f t="shared" si="459"/>
        <v>0</v>
      </c>
      <c r="AH5386" s="580">
        <f t="shared" si="460"/>
        <v>0</v>
      </c>
    </row>
    <row r="5387" spans="28:34">
      <c r="AB5387" s="580">
        <f>HLOOKUP("*"&amp;'Output annual'!$AC$2&amp;'Output annual'!$AD$2&amp;"*Zone People Number Of Occupants [](Hourly)",'Eplus results'!$1:$1048576,ROW(),FALSE)</f>
        <v>0</v>
      </c>
      <c r="AC5387" s="580">
        <f>HLOOKUP("*"&amp;'Output annual'!$AC$2&amp;'Output annual'!$AD$2&amp;"*FangerPMV(Hourly)",'Eplus results'!$1:$1048576,ROW(),FALSE)</f>
        <v>0</v>
      </c>
      <c r="AD5387" s="580">
        <f t="shared" si="456"/>
        <v>5</v>
      </c>
      <c r="AE5387" s="580">
        <f t="shared" si="457"/>
        <v>2.5</v>
      </c>
      <c r="AF5387" s="580">
        <f t="shared" si="458"/>
        <v>2.5</v>
      </c>
      <c r="AG5387" s="580">
        <f t="shared" si="459"/>
        <v>0</v>
      </c>
      <c r="AH5387" s="580">
        <f t="shared" si="460"/>
        <v>0</v>
      </c>
    </row>
    <row r="5388" spans="28:34">
      <c r="AB5388" s="580">
        <f>HLOOKUP("*"&amp;'Output annual'!$AC$2&amp;'Output annual'!$AD$2&amp;"*Zone People Number Of Occupants [](Hourly)",'Eplus results'!$1:$1048576,ROW(),FALSE)</f>
        <v>0</v>
      </c>
      <c r="AC5388" s="580">
        <f>HLOOKUP("*"&amp;'Output annual'!$AC$2&amp;'Output annual'!$AD$2&amp;"*FangerPMV(Hourly)",'Eplus results'!$1:$1048576,ROW(),FALSE)</f>
        <v>0</v>
      </c>
      <c r="AD5388" s="580">
        <f t="shared" si="456"/>
        <v>5</v>
      </c>
      <c r="AE5388" s="580">
        <f t="shared" si="457"/>
        <v>2.5</v>
      </c>
      <c r="AF5388" s="580">
        <f t="shared" si="458"/>
        <v>2.5</v>
      </c>
      <c r="AG5388" s="580">
        <f t="shared" si="459"/>
        <v>0</v>
      </c>
      <c r="AH5388" s="580">
        <f t="shared" si="460"/>
        <v>0</v>
      </c>
    </row>
    <row r="5389" spans="28:34">
      <c r="AB5389" s="580">
        <f>HLOOKUP("*"&amp;'Output annual'!$AC$2&amp;'Output annual'!$AD$2&amp;"*Zone People Number Of Occupants [](Hourly)",'Eplus results'!$1:$1048576,ROW(),FALSE)</f>
        <v>0</v>
      </c>
      <c r="AC5389" s="580">
        <f>HLOOKUP("*"&amp;'Output annual'!$AC$2&amp;'Output annual'!$AD$2&amp;"*FangerPMV(Hourly)",'Eplus results'!$1:$1048576,ROW(),FALSE)</f>
        <v>0</v>
      </c>
      <c r="AD5389" s="580">
        <f t="shared" si="456"/>
        <v>5</v>
      </c>
      <c r="AE5389" s="580">
        <f t="shared" si="457"/>
        <v>2.5</v>
      </c>
      <c r="AF5389" s="580">
        <f t="shared" si="458"/>
        <v>2.5</v>
      </c>
      <c r="AG5389" s="580">
        <f t="shared" si="459"/>
        <v>0</v>
      </c>
      <c r="AH5389" s="580">
        <f t="shared" si="460"/>
        <v>0</v>
      </c>
    </row>
    <row r="5390" spans="28:34">
      <c r="AB5390" s="580">
        <f>HLOOKUP("*"&amp;'Output annual'!$AC$2&amp;'Output annual'!$AD$2&amp;"*Zone People Number Of Occupants [](Hourly)",'Eplus results'!$1:$1048576,ROW(),FALSE)</f>
        <v>0</v>
      </c>
      <c r="AC5390" s="580">
        <f>HLOOKUP("*"&amp;'Output annual'!$AC$2&amp;'Output annual'!$AD$2&amp;"*FangerPMV(Hourly)",'Eplus results'!$1:$1048576,ROW(),FALSE)</f>
        <v>0</v>
      </c>
      <c r="AD5390" s="580">
        <f t="shared" si="456"/>
        <v>5</v>
      </c>
      <c r="AE5390" s="580">
        <f t="shared" si="457"/>
        <v>2.5</v>
      </c>
      <c r="AF5390" s="580">
        <f t="shared" si="458"/>
        <v>2.5</v>
      </c>
      <c r="AG5390" s="580">
        <f t="shared" si="459"/>
        <v>0</v>
      </c>
      <c r="AH5390" s="580">
        <f t="shared" si="460"/>
        <v>0</v>
      </c>
    </row>
    <row r="5391" spans="28:34">
      <c r="AB5391" s="580">
        <f>HLOOKUP("*"&amp;'Output annual'!$AC$2&amp;'Output annual'!$AD$2&amp;"*Zone People Number Of Occupants [](Hourly)",'Eplus results'!$1:$1048576,ROW(),FALSE)</f>
        <v>0</v>
      </c>
      <c r="AC5391" s="580">
        <f>HLOOKUP("*"&amp;'Output annual'!$AC$2&amp;'Output annual'!$AD$2&amp;"*FangerPMV(Hourly)",'Eplus results'!$1:$1048576,ROW(),FALSE)</f>
        <v>0</v>
      </c>
      <c r="AD5391" s="580">
        <f t="shared" si="456"/>
        <v>5</v>
      </c>
      <c r="AE5391" s="580">
        <f t="shared" si="457"/>
        <v>2.5</v>
      </c>
      <c r="AF5391" s="580">
        <f t="shared" si="458"/>
        <v>2.5</v>
      </c>
      <c r="AG5391" s="580">
        <f t="shared" si="459"/>
        <v>0</v>
      </c>
      <c r="AH5391" s="580">
        <f t="shared" si="460"/>
        <v>0</v>
      </c>
    </row>
    <row r="5392" spans="28:34">
      <c r="AB5392" s="580">
        <f>HLOOKUP("*"&amp;'Output annual'!$AC$2&amp;'Output annual'!$AD$2&amp;"*Zone People Number Of Occupants [](Hourly)",'Eplus results'!$1:$1048576,ROW(),FALSE)</f>
        <v>0</v>
      </c>
      <c r="AC5392" s="580">
        <f>HLOOKUP("*"&amp;'Output annual'!$AC$2&amp;'Output annual'!$AD$2&amp;"*FangerPMV(Hourly)",'Eplus results'!$1:$1048576,ROW(),FALSE)</f>
        <v>0</v>
      </c>
      <c r="AD5392" s="580">
        <f t="shared" si="456"/>
        <v>5</v>
      </c>
      <c r="AE5392" s="580">
        <f t="shared" si="457"/>
        <v>2.5</v>
      </c>
      <c r="AF5392" s="580">
        <f t="shared" si="458"/>
        <v>2.5</v>
      </c>
      <c r="AG5392" s="580">
        <f t="shared" si="459"/>
        <v>0</v>
      </c>
      <c r="AH5392" s="580">
        <f t="shared" si="460"/>
        <v>0</v>
      </c>
    </row>
    <row r="5393" spans="28:34">
      <c r="AB5393" s="580">
        <f>HLOOKUP("*"&amp;'Output annual'!$AC$2&amp;'Output annual'!$AD$2&amp;"*Zone People Number Of Occupants [](Hourly)",'Eplus results'!$1:$1048576,ROW(),FALSE)</f>
        <v>0</v>
      </c>
      <c r="AC5393" s="580">
        <f>HLOOKUP("*"&amp;'Output annual'!$AC$2&amp;'Output annual'!$AD$2&amp;"*FangerPMV(Hourly)",'Eplus results'!$1:$1048576,ROW(),FALSE)</f>
        <v>0</v>
      </c>
      <c r="AD5393" s="580">
        <f t="shared" si="456"/>
        <v>5</v>
      </c>
      <c r="AE5393" s="580">
        <f t="shared" si="457"/>
        <v>2.5</v>
      </c>
      <c r="AF5393" s="580">
        <f t="shared" si="458"/>
        <v>2.5</v>
      </c>
      <c r="AG5393" s="580">
        <f t="shared" si="459"/>
        <v>0</v>
      </c>
      <c r="AH5393" s="580">
        <f t="shared" si="460"/>
        <v>0</v>
      </c>
    </row>
    <row r="5394" spans="28:34">
      <c r="AB5394" s="580">
        <f>HLOOKUP("*"&amp;'Output annual'!$AC$2&amp;'Output annual'!$AD$2&amp;"*Zone People Number Of Occupants [](Hourly)",'Eplus results'!$1:$1048576,ROW(),FALSE)</f>
        <v>0</v>
      </c>
      <c r="AC5394" s="580">
        <f>HLOOKUP("*"&amp;'Output annual'!$AC$2&amp;'Output annual'!$AD$2&amp;"*FangerPMV(Hourly)",'Eplus results'!$1:$1048576,ROW(),FALSE)</f>
        <v>0</v>
      </c>
      <c r="AD5394" s="580">
        <f t="shared" si="456"/>
        <v>5</v>
      </c>
      <c r="AE5394" s="580">
        <f t="shared" si="457"/>
        <v>2.5</v>
      </c>
      <c r="AF5394" s="580">
        <f t="shared" si="458"/>
        <v>2.5</v>
      </c>
      <c r="AG5394" s="580">
        <f t="shared" si="459"/>
        <v>0</v>
      </c>
      <c r="AH5394" s="580">
        <f t="shared" si="460"/>
        <v>0</v>
      </c>
    </row>
    <row r="5395" spans="28:34">
      <c r="AB5395" s="580">
        <f>HLOOKUP("*"&amp;'Output annual'!$AC$2&amp;'Output annual'!$AD$2&amp;"*Zone People Number Of Occupants [](Hourly)",'Eplus results'!$1:$1048576,ROW(),FALSE)</f>
        <v>0</v>
      </c>
      <c r="AC5395" s="580">
        <f>HLOOKUP("*"&amp;'Output annual'!$AC$2&amp;'Output annual'!$AD$2&amp;"*FangerPMV(Hourly)",'Eplus results'!$1:$1048576,ROW(),FALSE)</f>
        <v>0</v>
      </c>
      <c r="AD5395" s="580">
        <f t="shared" si="456"/>
        <v>5</v>
      </c>
      <c r="AE5395" s="580">
        <f t="shared" si="457"/>
        <v>2.5</v>
      </c>
      <c r="AF5395" s="580">
        <f t="shared" si="458"/>
        <v>2.5</v>
      </c>
      <c r="AG5395" s="580">
        <f t="shared" si="459"/>
        <v>0</v>
      </c>
      <c r="AH5395" s="580">
        <f t="shared" si="460"/>
        <v>0</v>
      </c>
    </row>
    <row r="5396" spans="28:34">
      <c r="AB5396" s="580">
        <f>HLOOKUP("*"&amp;'Output annual'!$AC$2&amp;'Output annual'!$AD$2&amp;"*Zone People Number Of Occupants [](Hourly)",'Eplus results'!$1:$1048576,ROW(),FALSE)</f>
        <v>0</v>
      </c>
      <c r="AC5396" s="580">
        <f>HLOOKUP("*"&amp;'Output annual'!$AC$2&amp;'Output annual'!$AD$2&amp;"*FangerPMV(Hourly)",'Eplus results'!$1:$1048576,ROW(),FALSE)</f>
        <v>0</v>
      </c>
      <c r="AD5396" s="580">
        <f t="shared" si="456"/>
        <v>5</v>
      </c>
      <c r="AE5396" s="580">
        <f t="shared" si="457"/>
        <v>2.5</v>
      </c>
      <c r="AF5396" s="580">
        <f t="shared" si="458"/>
        <v>2.5</v>
      </c>
      <c r="AG5396" s="580">
        <f t="shared" si="459"/>
        <v>0</v>
      </c>
      <c r="AH5396" s="580">
        <f t="shared" si="460"/>
        <v>0</v>
      </c>
    </row>
    <row r="5397" spans="28:34">
      <c r="AB5397" s="580">
        <f>HLOOKUP("*"&amp;'Output annual'!$AC$2&amp;'Output annual'!$AD$2&amp;"*Zone People Number Of Occupants [](Hourly)",'Eplus results'!$1:$1048576,ROW(),FALSE)</f>
        <v>0</v>
      </c>
      <c r="AC5397" s="580">
        <f>HLOOKUP("*"&amp;'Output annual'!$AC$2&amp;'Output annual'!$AD$2&amp;"*FangerPMV(Hourly)",'Eplus results'!$1:$1048576,ROW(),FALSE)</f>
        <v>0</v>
      </c>
      <c r="AD5397" s="580">
        <f t="shared" si="456"/>
        <v>5</v>
      </c>
      <c r="AE5397" s="580">
        <f t="shared" si="457"/>
        <v>2.5</v>
      </c>
      <c r="AF5397" s="580">
        <f t="shared" si="458"/>
        <v>2.5</v>
      </c>
      <c r="AG5397" s="580">
        <f t="shared" si="459"/>
        <v>0</v>
      </c>
      <c r="AH5397" s="580">
        <f t="shared" si="460"/>
        <v>0</v>
      </c>
    </row>
    <row r="5398" spans="28:34">
      <c r="AB5398" s="580">
        <f>HLOOKUP("*"&amp;'Output annual'!$AC$2&amp;'Output annual'!$AD$2&amp;"*Zone People Number Of Occupants [](Hourly)",'Eplus results'!$1:$1048576,ROW(),FALSE)</f>
        <v>0</v>
      </c>
      <c r="AC5398" s="580">
        <f>HLOOKUP("*"&amp;'Output annual'!$AC$2&amp;'Output annual'!$AD$2&amp;"*FangerPMV(Hourly)",'Eplus results'!$1:$1048576,ROW(),FALSE)</f>
        <v>0</v>
      </c>
      <c r="AD5398" s="580">
        <f t="shared" si="456"/>
        <v>5</v>
      </c>
      <c r="AE5398" s="580">
        <f t="shared" si="457"/>
        <v>2.5</v>
      </c>
      <c r="AF5398" s="580">
        <f t="shared" si="458"/>
        <v>2.5</v>
      </c>
      <c r="AG5398" s="580">
        <f t="shared" si="459"/>
        <v>0</v>
      </c>
      <c r="AH5398" s="580">
        <f t="shared" si="460"/>
        <v>0</v>
      </c>
    </row>
    <row r="5399" spans="28:34">
      <c r="AB5399" s="580">
        <f>HLOOKUP("*"&amp;'Output annual'!$AC$2&amp;'Output annual'!$AD$2&amp;"*Zone People Number Of Occupants [](Hourly)",'Eplus results'!$1:$1048576,ROW(),FALSE)</f>
        <v>0</v>
      </c>
      <c r="AC5399" s="580">
        <f>HLOOKUP("*"&amp;'Output annual'!$AC$2&amp;'Output annual'!$AD$2&amp;"*FangerPMV(Hourly)",'Eplus results'!$1:$1048576,ROW(),FALSE)</f>
        <v>0</v>
      </c>
      <c r="AD5399" s="580">
        <f t="shared" si="456"/>
        <v>5</v>
      </c>
      <c r="AE5399" s="580">
        <f t="shared" si="457"/>
        <v>2.5</v>
      </c>
      <c r="AF5399" s="580">
        <f t="shared" si="458"/>
        <v>2.5</v>
      </c>
      <c r="AG5399" s="580">
        <f t="shared" si="459"/>
        <v>0</v>
      </c>
      <c r="AH5399" s="580">
        <f t="shared" si="460"/>
        <v>0</v>
      </c>
    </row>
    <row r="5400" spans="28:34">
      <c r="AB5400" s="580">
        <f>HLOOKUP("*"&amp;'Output annual'!$AC$2&amp;'Output annual'!$AD$2&amp;"*Zone People Number Of Occupants [](Hourly)",'Eplus results'!$1:$1048576,ROW(),FALSE)</f>
        <v>0</v>
      </c>
      <c r="AC5400" s="580">
        <f>HLOOKUP("*"&amp;'Output annual'!$AC$2&amp;'Output annual'!$AD$2&amp;"*FangerPMV(Hourly)",'Eplus results'!$1:$1048576,ROW(),FALSE)</f>
        <v>0</v>
      </c>
      <c r="AD5400" s="580">
        <f t="shared" si="456"/>
        <v>5</v>
      </c>
      <c r="AE5400" s="580">
        <f t="shared" si="457"/>
        <v>2.5</v>
      </c>
      <c r="AF5400" s="580">
        <f t="shared" si="458"/>
        <v>2.5</v>
      </c>
      <c r="AG5400" s="580">
        <f t="shared" si="459"/>
        <v>0</v>
      </c>
      <c r="AH5400" s="580">
        <f t="shared" si="460"/>
        <v>0</v>
      </c>
    </row>
    <row r="5401" spans="28:34">
      <c r="AB5401" s="580">
        <f>HLOOKUP("*"&amp;'Output annual'!$AC$2&amp;'Output annual'!$AD$2&amp;"*Zone People Number Of Occupants [](Hourly)",'Eplus results'!$1:$1048576,ROW(),FALSE)</f>
        <v>0</v>
      </c>
      <c r="AC5401" s="580">
        <f>HLOOKUP("*"&amp;'Output annual'!$AC$2&amp;'Output annual'!$AD$2&amp;"*FangerPMV(Hourly)",'Eplus results'!$1:$1048576,ROW(),FALSE)</f>
        <v>0</v>
      </c>
      <c r="AD5401" s="580">
        <f t="shared" si="456"/>
        <v>5</v>
      </c>
      <c r="AE5401" s="580">
        <f t="shared" si="457"/>
        <v>2.5</v>
      </c>
      <c r="AF5401" s="580">
        <f t="shared" si="458"/>
        <v>2.5</v>
      </c>
      <c r="AG5401" s="580">
        <f t="shared" si="459"/>
        <v>0</v>
      </c>
      <c r="AH5401" s="580">
        <f t="shared" si="460"/>
        <v>0</v>
      </c>
    </row>
    <row r="5402" spans="28:34">
      <c r="AB5402" s="580">
        <f>HLOOKUP("*"&amp;'Output annual'!$AC$2&amp;'Output annual'!$AD$2&amp;"*Zone People Number Of Occupants [](Hourly)",'Eplus results'!$1:$1048576,ROW(),FALSE)</f>
        <v>0</v>
      </c>
      <c r="AC5402" s="580">
        <f>HLOOKUP("*"&amp;'Output annual'!$AC$2&amp;'Output annual'!$AD$2&amp;"*FangerPMV(Hourly)",'Eplus results'!$1:$1048576,ROW(),FALSE)</f>
        <v>0</v>
      </c>
      <c r="AD5402" s="580">
        <f t="shared" si="456"/>
        <v>5</v>
      </c>
      <c r="AE5402" s="580">
        <f t="shared" si="457"/>
        <v>2.5</v>
      </c>
      <c r="AF5402" s="580">
        <f t="shared" si="458"/>
        <v>2.5</v>
      </c>
      <c r="AG5402" s="580">
        <f t="shared" si="459"/>
        <v>0</v>
      </c>
      <c r="AH5402" s="580">
        <f t="shared" si="460"/>
        <v>0</v>
      </c>
    </row>
    <row r="5403" spans="28:34">
      <c r="AB5403" s="580">
        <f>HLOOKUP("*"&amp;'Output annual'!$AC$2&amp;'Output annual'!$AD$2&amp;"*Zone People Number Of Occupants [](Hourly)",'Eplus results'!$1:$1048576,ROW(),FALSE)</f>
        <v>0</v>
      </c>
      <c r="AC5403" s="580">
        <f>HLOOKUP("*"&amp;'Output annual'!$AC$2&amp;'Output annual'!$AD$2&amp;"*FangerPMV(Hourly)",'Eplus results'!$1:$1048576,ROW(),FALSE)</f>
        <v>0</v>
      </c>
      <c r="AD5403" s="580">
        <f t="shared" si="456"/>
        <v>5</v>
      </c>
      <c r="AE5403" s="580">
        <f t="shared" si="457"/>
        <v>2.5</v>
      </c>
      <c r="AF5403" s="580">
        <f t="shared" si="458"/>
        <v>2.5</v>
      </c>
      <c r="AG5403" s="580">
        <f t="shared" si="459"/>
        <v>0</v>
      </c>
      <c r="AH5403" s="580">
        <f t="shared" si="460"/>
        <v>0</v>
      </c>
    </row>
    <row r="5404" spans="28:34">
      <c r="AB5404" s="580">
        <f>HLOOKUP("*"&amp;'Output annual'!$AC$2&amp;'Output annual'!$AD$2&amp;"*Zone People Number Of Occupants [](Hourly)",'Eplus results'!$1:$1048576,ROW(),FALSE)</f>
        <v>0</v>
      </c>
      <c r="AC5404" s="580">
        <f>HLOOKUP("*"&amp;'Output annual'!$AC$2&amp;'Output annual'!$AD$2&amp;"*FangerPMV(Hourly)",'Eplus results'!$1:$1048576,ROW(),FALSE)</f>
        <v>0</v>
      </c>
      <c r="AD5404" s="580">
        <f t="shared" si="456"/>
        <v>5</v>
      </c>
      <c r="AE5404" s="580">
        <f t="shared" si="457"/>
        <v>2.5</v>
      </c>
      <c r="AF5404" s="580">
        <f t="shared" si="458"/>
        <v>2.5</v>
      </c>
      <c r="AG5404" s="580">
        <f t="shared" si="459"/>
        <v>0</v>
      </c>
      <c r="AH5404" s="580">
        <f t="shared" si="460"/>
        <v>0</v>
      </c>
    </row>
    <row r="5405" spans="28:34">
      <c r="AB5405" s="580">
        <f>HLOOKUP("*"&amp;'Output annual'!$AC$2&amp;'Output annual'!$AD$2&amp;"*Zone People Number Of Occupants [](Hourly)",'Eplus results'!$1:$1048576,ROW(),FALSE)</f>
        <v>0</v>
      </c>
      <c r="AC5405" s="580">
        <f>HLOOKUP("*"&amp;'Output annual'!$AC$2&amp;'Output annual'!$AD$2&amp;"*FangerPMV(Hourly)",'Eplus results'!$1:$1048576,ROW(),FALSE)</f>
        <v>0</v>
      </c>
      <c r="AD5405" s="580">
        <f t="shared" si="456"/>
        <v>5</v>
      </c>
      <c r="AE5405" s="580">
        <f t="shared" si="457"/>
        <v>2.5</v>
      </c>
      <c r="AF5405" s="580">
        <f t="shared" si="458"/>
        <v>2.5</v>
      </c>
      <c r="AG5405" s="580">
        <f t="shared" si="459"/>
        <v>0</v>
      </c>
      <c r="AH5405" s="580">
        <f t="shared" si="460"/>
        <v>0</v>
      </c>
    </row>
    <row r="5406" spans="28:34">
      <c r="AB5406" s="580">
        <f>HLOOKUP("*"&amp;'Output annual'!$AC$2&amp;'Output annual'!$AD$2&amp;"*Zone People Number Of Occupants [](Hourly)",'Eplus results'!$1:$1048576,ROW(),FALSE)</f>
        <v>0</v>
      </c>
      <c r="AC5406" s="580">
        <f>HLOOKUP("*"&amp;'Output annual'!$AC$2&amp;'Output annual'!$AD$2&amp;"*FangerPMV(Hourly)",'Eplus results'!$1:$1048576,ROW(),FALSE)</f>
        <v>0</v>
      </c>
      <c r="AD5406" s="580">
        <f t="shared" si="456"/>
        <v>5</v>
      </c>
      <c r="AE5406" s="580">
        <f t="shared" si="457"/>
        <v>2.5</v>
      </c>
      <c r="AF5406" s="580">
        <f t="shared" si="458"/>
        <v>2.5</v>
      </c>
      <c r="AG5406" s="580">
        <f t="shared" si="459"/>
        <v>0</v>
      </c>
      <c r="AH5406" s="580">
        <f t="shared" si="460"/>
        <v>0</v>
      </c>
    </row>
    <row r="5407" spans="28:34">
      <c r="AB5407" s="580">
        <f>HLOOKUP("*"&amp;'Output annual'!$AC$2&amp;'Output annual'!$AD$2&amp;"*Zone People Number Of Occupants [](Hourly)",'Eplus results'!$1:$1048576,ROW(),FALSE)</f>
        <v>0</v>
      </c>
      <c r="AC5407" s="580">
        <f>HLOOKUP("*"&amp;'Output annual'!$AC$2&amp;'Output annual'!$AD$2&amp;"*FangerPMV(Hourly)",'Eplus results'!$1:$1048576,ROW(),FALSE)</f>
        <v>0</v>
      </c>
      <c r="AD5407" s="580">
        <f t="shared" si="456"/>
        <v>5</v>
      </c>
      <c r="AE5407" s="580">
        <f t="shared" si="457"/>
        <v>2.5</v>
      </c>
      <c r="AF5407" s="580">
        <f t="shared" si="458"/>
        <v>2.5</v>
      </c>
      <c r="AG5407" s="580">
        <f t="shared" si="459"/>
        <v>0</v>
      </c>
      <c r="AH5407" s="580">
        <f t="shared" si="460"/>
        <v>0</v>
      </c>
    </row>
    <row r="5408" spans="28:34">
      <c r="AB5408" s="580">
        <f>HLOOKUP("*"&amp;'Output annual'!$AC$2&amp;'Output annual'!$AD$2&amp;"*Zone People Number Of Occupants [](Hourly)",'Eplus results'!$1:$1048576,ROW(),FALSE)</f>
        <v>0</v>
      </c>
      <c r="AC5408" s="580">
        <f>HLOOKUP("*"&amp;'Output annual'!$AC$2&amp;'Output annual'!$AD$2&amp;"*FangerPMV(Hourly)",'Eplus results'!$1:$1048576,ROW(),FALSE)</f>
        <v>0</v>
      </c>
      <c r="AD5408" s="580">
        <f t="shared" si="456"/>
        <v>5</v>
      </c>
      <c r="AE5408" s="580">
        <f t="shared" si="457"/>
        <v>2.5</v>
      </c>
      <c r="AF5408" s="580">
        <f t="shared" si="458"/>
        <v>2.5</v>
      </c>
      <c r="AG5408" s="580">
        <f t="shared" si="459"/>
        <v>0</v>
      </c>
      <c r="AH5408" s="580">
        <f t="shared" si="460"/>
        <v>0</v>
      </c>
    </row>
    <row r="5409" spans="28:34">
      <c r="AB5409" s="580">
        <f>HLOOKUP("*"&amp;'Output annual'!$AC$2&amp;'Output annual'!$AD$2&amp;"*Zone People Number Of Occupants [](Hourly)",'Eplus results'!$1:$1048576,ROW(),FALSE)</f>
        <v>0</v>
      </c>
      <c r="AC5409" s="580">
        <f>HLOOKUP("*"&amp;'Output annual'!$AC$2&amp;'Output annual'!$AD$2&amp;"*FangerPMV(Hourly)",'Eplus results'!$1:$1048576,ROW(),FALSE)</f>
        <v>0</v>
      </c>
      <c r="AD5409" s="580">
        <f t="shared" si="456"/>
        <v>5</v>
      </c>
      <c r="AE5409" s="580">
        <f t="shared" si="457"/>
        <v>2.5</v>
      </c>
      <c r="AF5409" s="580">
        <f t="shared" si="458"/>
        <v>2.5</v>
      </c>
      <c r="AG5409" s="580">
        <f t="shared" si="459"/>
        <v>0</v>
      </c>
      <c r="AH5409" s="580">
        <f t="shared" si="460"/>
        <v>0</v>
      </c>
    </row>
    <row r="5410" spans="28:34">
      <c r="AB5410" s="580">
        <f>HLOOKUP("*"&amp;'Output annual'!$AC$2&amp;'Output annual'!$AD$2&amp;"*Zone People Number Of Occupants [](Hourly)",'Eplus results'!$1:$1048576,ROW(),FALSE)</f>
        <v>0</v>
      </c>
      <c r="AC5410" s="580">
        <f>HLOOKUP("*"&amp;'Output annual'!$AC$2&amp;'Output annual'!$AD$2&amp;"*FangerPMV(Hourly)",'Eplus results'!$1:$1048576,ROW(),FALSE)</f>
        <v>0</v>
      </c>
      <c r="AD5410" s="580">
        <f t="shared" si="456"/>
        <v>5</v>
      </c>
      <c r="AE5410" s="580">
        <f t="shared" si="457"/>
        <v>2.5</v>
      </c>
      <c r="AF5410" s="580">
        <f t="shared" si="458"/>
        <v>2.5</v>
      </c>
      <c r="AG5410" s="580">
        <f t="shared" si="459"/>
        <v>0</v>
      </c>
      <c r="AH5410" s="580">
        <f t="shared" si="460"/>
        <v>0</v>
      </c>
    </row>
    <row r="5411" spans="28:34">
      <c r="AB5411" s="580">
        <f>HLOOKUP("*"&amp;'Output annual'!$AC$2&amp;'Output annual'!$AD$2&amp;"*Zone People Number Of Occupants [](Hourly)",'Eplus results'!$1:$1048576,ROW(),FALSE)</f>
        <v>0</v>
      </c>
      <c r="AC5411" s="580">
        <f>HLOOKUP("*"&amp;'Output annual'!$AC$2&amp;'Output annual'!$AD$2&amp;"*FangerPMV(Hourly)",'Eplus results'!$1:$1048576,ROW(),FALSE)</f>
        <v>0</v>
      </c>
      <c r="AD5411" s="580">
        <f t="shared" si="456"/>
        <v>5</v>
      </c>
      <c r="AE5411" s="580">
        <f t="shared" si="457"/>
        <v>2.5</v>
      </c>
      <c r="AF5411" s="580">
        <f t="shared" si="458"/>
        <v>2.5</v>
      </c>
      <c r="AG5411" s="580">
        <f t="shared" si="459"/>
        <v>0</v>
      </c>
      <c r="AH5411" s="580">
        <f t="shared" si="460"/>
        <v>0</v>
      </c>
    </row>
    <row r="5412" spans="28:34">
      <c r="AB5412" s="580">
        <f>HLOOKUP("*"&amp;'Output annual'!$AC$2&amp;'Output annual'!$AD$2&amp;"*Zone People Number Of Occupants [](Hourly)",'Eplus results'!$1:$1048576,ROW(),FALSE)</f>
        <v>0</v>
      </c>
      <c r="AC5412" s="580">
        <f>HLOOKUP("*"&amp;'Output annual'!$AC$2&amp;'Output annual'!$AD$2&amp;"*FangerPMV(Hourly)",'Eplus results'!$1:$1048576,ROW(),FALSE)</f>
        <v>0</v>
      </c>
      <c r="AD5412" s="580">
        <f t="shared" si="456"/>
        <v>5</v>
      </c>
      <c r="AE5412" s="580">
        <f t="shared" si="457"/>
        <v>2.5</v>
      </c>
      <c r="AF5412" s="580">
        <f t="shared" si="458"/>
        <v>2.5</v>
      </c>
      <c r="AG5412" s="580">
        <f t="shared" si="459"/>
        <v>0</v>
      </c>
      <c r="AH5412" s="580">
        <f t="shared" si="460"/>
        <v>0</v>
      </c>
    </row>
    <row r="5413" spans="28:34">
      <c r="AB5413" s="580">
        <f>HLOOKUP("*"&amp;'Output annual'!$AC$2&amp;'Output annual'!$AD$2&amp;"*Zone People Number Of Occupants [](Hourly)",'Eplus results'!$1:$1048576,ROW(),FALSE)</f>
        <v>0</v>
      </c>
      <c r="AC5413" s="580">
        <f>HLOOKUP("*"&amp;'Output annual'!$AC$2&amp;'Output annual'!$AD$2&amp;"*FangerPMV(Hourly)",'Eplus results'!$1:$1048576,ROW(),FALSE)</f>
        <v>0</v>
      </c>
      <c r="AD5413" s="580">
        <f t="shared" si="456"/>
        <v>5</v>
      </c>
      <c r="AE5413" s="580">
        <f t="shared" si="457"/>
        <v>2.5</v>
      </c>
      <c r="AF5413" s="580">
        <f t="shared" si="458"/>
        <v>2.5</v>
      </c>
      <c r="AG5413" s="580">
        <f t="shared" si="459"/>
        <v>0</v>
      </c>
      <c r="AH5413" s="580">
        <f t="shared" si="460"/>
        <v>0</v>
      </c>
    </row>
    <row r="5414" spans="28:34">
      <c r="AB5414" s="580">
        <f>HLOOKUP("*"&amp;'Output annual'!$AC$2&amp;'Output annual'!$AD$2&amp;"*Zone People Number Of Occupants [](Hourly)",'Eplus results'!$1:$1048576,ROW(),FALSE)</f>
        <v>0</v>
      </c>
      <c r="AC5414" s="580">
        <f>HLOOKUP("*"&amp;'Output annual'!$AC$2&amp;'Output annual'!$AD$2&amp;"*FangerPMV(Hourly)",'Eplus results'!$1:$1048576,ROW(),FALSE)</f>
        <v>0</v>
      </c>
      <c r="AD5414" s="580">
        <f t="shared" si="456"/>
        <v>5</v>
      </c>
      <c r="AE5414" s="580">
        <f t="shared" si="457"/>
        <v>2.5</v>
      </c>
      <c r="AF5414" s="580">
        <f t="shared" si="458"/>
        <v>2.5</v>
      </c>
      <c r="AG5414" s="580">
        <f t="shared" si="459"/>
        <v>0</v>
      </c>
      <c r="AH5414" s="580">
        <f t="shared" si="460"/>
        <v>0</v>
      </c>
    </row>
    <row r="5415" spans="28:34">
      <c r="AB5415" s="580">
        <f>HLOOKUP("*"&amp;'Output annual'!$AC$2&amp;'Output annual'!$AD$2&amp;"*Zone People Number Of Occupants [](Hourly)",'Eplus results'!$1:$1048576,ROW(),FALSE)</f>
        <v>0</v>
      </c>
      <c r="AC5415" s="580">
        <f>HLOOKUP("*"&amp;'Output annual'!$AC$2&amp;'Output annual'!$AD$2&amp;"*FangerPMV(Hourly)",'Eplus results'!$1:$1048576,ROW(),FALSE)</f>
        <v>0</v>
      </c>
      <c r="AD5415" s="580">
        <f t="shared" si="456"/>
        <v>5</v>
      </c>
      <c r="AE5415" s="580">
        <f t="shared" si="457"/>
        <v>2.5</v>
      </c>
      <c r="AF5415" s="580">
        <f t="shared" si="458"/>
        <v>2.5</v>
      </c>
      <c r="AG5415" s="580">
        <f t="shared" si="459"/>
        <v>0</v>
      </c>
      <c r="AH5415" s="580">
        <f t="shared" si="460"/>
        <v>0</v>
      </c>
    </row>
    <row r="5416" spans="28:34">
      <c r="AB5416" s="580">
        <f>HLOOKUP("*"&amp;'Output annual'!$AC$2&amp;'Output annual'!$AD$2&amp;"*Zone People Number Of Occupants [](Hourly)",'Eplus results'!$1:$1048576,ROW(),FALSE)</f>
        <v>0</v>
      </c>
      <c r="AC5416" s="580">
        <f>HLOOKUP("*"&amp;'Output annual'!$AC$2&amp;'Output annual'!$AD$2&amp;"*FangerPMV(Hourly)",'Eplus results'!$1:$1048576,ROW(),FALSE)</f>
        <v>0</v>
      </c>
      <c r="AD5416" s="580">
        <f t="shared" si="456"/>
        <v>5</v>
      </c>
      <c r="AE5416" s="580">
        <f t="shared" si="457"/>
        <v>2.5</v>
      </c>
      <c r="AF5416" s="580">
        <f t="shared" si="458"/>
        <v>2.5</v>
      </c>
      <c r="AG5416" s="580">
        <f t="shared" si="459"/>
        <v>0</v>
      </c>
      <c r="AH5416" s="580">
        <f t="shared" si="460"/>
        <v>0</v>
      </c>
    </row>
    <row r="5417" spans="28:34">
      <c r="AB5417" s="580">
        <f>HLOOKUP("*"&amp;'Output annual'!$AC$2&amp;'Output annual'!$AD$2&amp;"*Zone People Number Of Occupants [](Hourly)",'Eplus results'!$1:$1048576,ROW(),FALSE)</f>
        <v>0</v>
      </c>
      <c r="AC5417" s="580">
        <f>HLOOKUP("*"&amp;'Output annual'!$AC$2&amp;'Output annual'!$AD$2&amp;"*FangerPMV(Hourly)",'Eplus results'!$1:$1048576,ROW(),FALSE)</f>
        <v>0</v>
      </c>
      <c r="AD5417" s="580">
        <f t="shared" si="456"/>
        <v>5</v>
      </c>
      <c r="AE5417" s="580">
        <f t="shared" si="457"/>
        <v>2.5</v>
      </c>
      <c r="AF5417" s="580">
        <f t="shared" si="458"/>
        <v>2.5</v>
      </c>
      <c r="AG5417" s="580">
        <f t="shared" si="459"/>
        <v>0</v>
      </c>
      <c r="AH5417" s="580">
        <f t="shared" si="460"/>
        <v>0</v>
      </c>
    </row>
    <row r="5418" spans="28:34">
      <c r="AB5418" s="580">
        <f>HLOOKUP("*"&amp;'Output annual'!$AC$2&amp;'Output annual'!$AD$2&amp;"*Zone People Number Of Occupants [](Hourly)",'Eplus results'!$1:$1048576,ROW(),FALSE)</f>
        <v>0</v>
      </c>
      <c r="AC5418" s="580">
        <f>HLOOKUP("*"&amp;'Output annual'!$AC$2&amp;'Output annual'!$AD$2&amp;"*FangerPMV(Hourly)",'Eplus results'!$1:$1048576,ROW(),FALSE)</f>
        <v>0</v>
      </c>
      <c r="AD5418" s="580">
        <f t="shared" si="456"/>
        <v>5</v>
      </c>
      <c r="AE5418" s="580">
        <f t="shared" si="457"/>
        <v>2.5</v>
      </c>
      <c r="AF5418" s="580">
        <f t="shared" si="458"/>
        <v>2.5</v>
      </c>
      <c r="AG5418" s="580">
        <f t="shared" si="459"/>
        <v>0</v>
      </c>
      <c r="AH5418" s="580">
        <f t="shared" si="460"/>
        <v>0</v>
      </c>
    </row>
    <row r="5419" spans="28:34">
      <c r="AB5419" s="580">
        <f>HLOOKUP("*"&amp;'Output annual'!$AC$2&amp;'Output annual'!$AD$2&amp;"*Zone People Number Of Occupants [](Hourly)",'Eplus results'!$1:$1048576,ROW(),FALSE)</f>
        <v>0</v>
      </c>
      <c r="AC5419" s="580">
        <f>HLOOKUP("*"&amp;'Output annual'!$AC$2&amp;'Output annual'!$AD$2&amp;"*FangerPMV(Hourly)",'Eplus results'!$1:$1048576,ROW(),FALSE)</f>
        <v>0</v>
      </c>
      <c r="AD5419" s="580">
        <f t="shared" si="456"/>
        <v>5</v>
      </c>
      <c r="AE5419" s="580">
        <f t="shared" si="457"/>
        <v>2.5</v>
      </c>
      <c r="AF5419" s="580">
        <f t="shared" si="458"/>
        <v>2.5</v>
      </c>
      <c r="AG5419" s="580">
        <f t="shared" si="459"/>
        <v>0</v>
      </c>
      <c r="AH5419" s="580">
        <f t="shared" si="460"/>
        <v>0</v>
      </c>
    </row>
    <row r="5420" spans="28:34">
      <c r="AB5420" s="580">
        <f>HLOOKUP("*"&amp;'Output annual'!$AC$2&amp;'Output annual'!$AD$2&amp;"*Zone People Number Of Occupants [](Hourly)",'Eplus results'!$1:$1048576,ROW(),FALSE)</f>
        <v>0</v>
      </c>
      <c r="AC5420" s="580">
        <f>HLOOKUP("*"&amp;'Output annual'!$AC$2&amp;'Output annual'!$AD$2&amp;"*FangerPMV(Hourly)",'Eplus results'!$1:$1048576,ROW(),FALSE)</f>
        <v>0</v>
      </c>
      <c r="AD5420" s="580">
        <f t="shared" si="456"/>
        <v>5</v>
      </c>
      <c r="AE5420" s="580">
        <f t="shared" si="457"/>
        <v>2.5</v>
      </c>
      <c r="AF5420" s="580">
        <f t="shared" si="458"/>
        <v>2.5</v>
      </c>
      <c r="AG5420" s="580">
        <f t="shared" si="459"/>
        <v>0</v>
      </c>
      <c r="AH5420" s="580">
        <f t="shared" si="460"/>
        <v>0</v>
      </c>
    </row>
    <row r="5421" spans="28:34">
      <c r="AB5421" s="580">
        <f>HLOOKUP("*"&amp;'Output annual'!$AC$2&amp;'Output annual'!$AD$2&amp;"*Zone People Number Of Occupants [](Hourly)",'Eplus results'!$1:$1048576,ROW(),FALSE)</f>
        <v>0</v>
      </c>
      <c r="AC5421" s="580">
        <f>HLOOKUP("*"&amp;'Output annual'!$AC$2&amp;'Output annual'!$AD$2&amp;"*FangerPMV(Hourly)",'Eplus results'!$1:$1048576,ROW(),FALSE)</f>
        <v>0</v>
      </c>
      <c r="AD5421" s="580">
        <f t="shared" si="456"/>
        <v>5</v>
      </c>
      <c r="AE5421" s="580">
        <f t="shared" si="457"/>
        <v>2.5</v>
      </c>
      <c r="AF5421" s="580">
        <f t="shared" si="458"/>
        <v>2.5</v>
      </c>
      <c r="AG5421" s="580">
        <f t="shared" si="459"/>
        <v>0</v>
      </c>
      <c r="AH5421" s="580">
        <f t="shared" si="460"/>
        <v>0</v>
      </c>
    </row>
    <row r="5422" spans="28:34">
      <c r="AB5422" s="580">
        <f>HLOOKUP("*"&amp;'Output annual'!$AC$2&amp;'Output annual'!$AD$2&amp;"*Zone People Number Of Occupants [](Hourly)",'Eplus results'!$1:$1048576,ROW(),FALSE)</f>
        <v>0</v>
      </c>
      <c r="AC5422" s="580">
        <f>HLOOKUP("*"&amp;'Output annual'!$AC$2&amp;'Output annual'!$AD$2&amp;"*FangerPMV(Hourly)",'Eplus results'!$1:$1048576,ROW(),FALSE)</f>
        <v>0</v>
      </c>
      <c r="AD5422" s="580">
        <f t="shared" si="456"/>
        <v>5</v>
      </c>
      <c r="AE5422" s="580">
        <f t="shared" si="457"/>
        <v>2.5</v>
      </c>
      <c r="AF5422" s="580">
        <f t="shared" si="458"/>
        <v>2.5</v>
      </c>
      <c r="AG5422" s="580">
        <f t="shared" si="459"/>
        <v>0</v>
      </c>
      <c r="AH5422" s="580">
        <f t="shared" si="460"/>
        <v>0</v>
      </c>
    </row>
    <row r="5423" spans="28:34">
      <c r="AB5423" s="580">
        <f>HLOOKUP("*"&amp;'Output annual'!$AC$2&amp;'Output annual'!$AD$2&amp;"*Zone People Number Of Occupants [](Hourly)",'Eplus results'!$1:$1048576,ROW(),FALSE)</f>
        <v>0</v>
      </c>
      <c r="AC5423" s="580">
        <f>HLOOKUP("*"&amp;'Output annual'!$AC$2&amp;'Output annual'!$AD$2&amp;"*FangerPMV(Hourly)",'Eplus results'!$1:$1048576,ROW(),FALSE)</f>
        <v>0</v>
      </c>
      <c r="AD5423" s="580">
        <f t="shared" si="456"/>
        <v>5</v>
      </c>
      <c r="AE5423" s="580">
        <f t="shared" si="457"/>
        <v>2.5</v>
      </c>
      <c r="AF5423" s="580">
        <f t="shared" si="458"/>
        <v>2.5</v>
      </c>
      <c r="AG5423" s="580">
        <f t="shared" si="459"/>
        <v>0</v>
      </c>
      <c r="AH5423" s="580">
        <f t="shared" si="460"/>
        <v>0</v>
      </c>
    </row>
    <row r="5424" spans="28:34">
      <c r="AB5424" s="580">
        <f>HLOOKUP("*"&amp;'Output annual'!$AC$2&amp;'Output annual'!$AD$2&amp;"*Zone People Number Of Occupants [](Hourly)",'Eplus results'!$1:$1048576,ROW(),FALSE)</f>
        <v>0</v>
      </c>
      <c r="AC5424" s="580">
        <f>HLOOKUP("*"&amp;'Output annual'!$AC$2&amp;'Output annual'!$AD$2&amp;"*FangerPMV(Hourly)",'Eplus results'!$1:$1048576,ROW(),FALSE)</f>
        <v>0</v>
      </c>
      <c r="AD5424" s="580">
        <f t="shared" si="456"/>
        <v>5</v>
      </c>
      <c r="AE5424" s="580">
        <f t="shared" si="457"/>
        <v>2.5</v>
      </c>
      <c r="AF5424" s="580">
        <f t="shared" si="458"/>
        <v>2.5</v>
      </c>
      <c r="AG5424" s="580">
        <f t="shared" si="459"/>
        <v>0</v>
      </c>
      <c r="AH5424" s="580">
        <f t="shared" si="460"/>
        <v>0</v>
      </c>
    </row>
    <row r="5425" spans="28:34">
      <c r="AB5425" s="580">
        <f>HLOOKUP("*"&amp;'Output annual'!$AC$2&amp;'Output annual'!$AD$2&amp;"*Zone People Number Of Occupants [](Hourly)",'Eplus results'!$1:$1048576,ROW(),FALSE)</f>
        <v>0</v>
      </c>
      <c r="AC5425" s="580">
        <f>HLOOKUP("*"&amp;'Output annual'!$AC$2&amp;'Output annual'!$AD$2&amp;"*FangerPMV(Hourly)",'Eplus results'!$1:$1048576,ROW(),FALSE)</f>
        <v>0</v>
      </c>
      <c r="AD5425" s="580">
        <f t="shared" si="456"/>
        <v>5</v>
      </c>
      <c r="AE5425" s="580">
        <f t="shared" si="457"/>
        <v>2.5</v>
      </c>
      <c r="AF5425" s="580">
        <f t="shared" si="458"/>
        <v>2.5</v>
      </c>
      <c r="AG5425" s="580">
        <f t="shared" si="459"/>
        <v>0</v>
      </c>
      <c r="AH5425" s="580">
        <f t="shared" si="460"/>
        <v>0</v>
      </c>
    </row>
    <row r="5426" spans="28:34">
      <c r="AB5426" s="580">
        <f>HLOOKUP("*"&amp;'Output annual'!$AC$2&amp;'Output annual'!$AD$2&amp;"*Zone People Number Of Occupants [](Hourly)",'Eplus results'!$1:$1048576,ROW(),FALSE)</f>
        <v>0</v>
      </c>
      <c r="AC5426" s="580">
        <f>HLOOKUP("*"&amp;'Output annual'!$AC$2&amp;'Output annual'!$AD$2&amp;"*FangerPMV(Hourly)",'Eplus results'!$1:$1048576,ROW(),FALSE)</f>
        <v>0</v>
      </c>
      <c r="AD5426" s="580">
        <f t="shared" si="456"/>
        <v>5</v>
      </c>
      <c r="AE5426" s="580">
        <f t="shared" si="457"/>
        <v>2.5</v>
      </c>
      <c r="AF5426" s="580">
        <f t="shared" si="458"/>
        <v>2.5</v>
      </c>
      <c r="AG5426" s="580">
        <f t="shared" si="459"/>
        <v>0</v>
      </c>
      <c r="AH5426" s="580">
        <f t="shared" si="460"/>
        <v>0</v>
      </c>
    </row>
    <row r="5427" spans="28:34">
      <c r="AB5427" s="580">
        <f>HLOOKUP("*"&amp;'Output annual'!$AC$2&amp;'Output annual'!$AD$2&amp;"*Zone People Number Of Occupants [](Hourly)",'Eplus results'!$1:$1048576,ROW(),FALSE)</f>
        <v>0</v>
      </c>
      <c r="AC5427" s="580">
        <f>HLOOKUP("*"&amp;'Output annual'!$AC$2&amp;'Output annual'!$AD$2&amp;"*FangerPMV(Hourly)",'Eplus results'!$1:$1048576,ROW(),FALSE)</f>
        <v>0</v>
      </c>
      <c r="AD5427" s="580">
        <f t="shared" si="456"/>
        <v>5</v>
      </c>
      <c r="AE5427" s="580">
        <f t="shared" si="457"/>
        <v>2.5</v>
      </c>
      <c r="AF5427" s="580">
        <f t="shared" si="458"/>
        <v>2.5</v>
      </c>
      <c r="AG5427" s="580">
        <f t="shared" si="459"/>
        <v>0</v>
      </c>
      <c r="AH5427" s="580">
        <f t="shared" si="460"/>
        <v>0</v>
      </c>
    </row>
    <row r="5428" spans="28:34">
      <c r="AB5428" s="580">
        <f>HLOOKUP("*"&amp;'Output annual'!$AC$2&amp;'Output annual'!$AD$2&amp;"*Zone People Number Of Occupants [](Hourly)",'Eplus results'!$1:$1048576,ROW(),FALSE)</f>
        <v>0</v>
      </c>
      <c r="AC5428" s="580">
        <f>HLOOKUP("*"&amp;'Output annual'!$AC$2&amp;'Output annual'!$AD$2&amp;"*FangerPMV(Hourly)",'Eplus results'!$1:$1048576,ROW(),FALSE)</f>
        <v>0</v>
      </c>
      <c r="AD5428" s="580">
        <f t="shared" si="456"/>
        <v>5</v>
      </c>
      <c r="AE5428" s="580">
        <f t="shared" si="457"/>
        <v>2.5</v>
      </c>
      <c r="AF5428" s="580">
        <f t="shared" si="458"/>
        <v>2.5</v>
      </c>
      <c r="AG5428" s="580">
        <f t="shared" si="459"/>
        <v>0</v>
      </c>
      <c r="AH5428" s="580">
        <f t="shared" si="460"/>
        <v>0</v>
      </c>
    </row>
    <row r="5429" spans="28:34">
      <c r="AB5429" s="580">
        <f>HLOOKUP("*"&amp;'Output annual'!$AC$2&amp;'Output annual'!$AD$2&amp;"*Zone People Number Of Occupants [](Hourly)",'Eplus results'!$1:$1048576,ROW(),FALSE)</f>
        <v>0</v>
      </c>
      <c r="AC5429" s="580">
        <f>HLOOKUP("*"&amp;'Output annual'!$AC$2&amp;'Output annual'!$AD$2&amp;"*FangerPMV(Hourly)",'Eplus results'!$1:$1048576,ROW(),FALSE)</f>
        <v>0</v>
      </c>
      <c r="AD5429" s="580">
        <f t="shared" si="456"/>
        <v>5</v>
      </c>
      <c r="AE5429" s="580">
        <f t="shared" si="457"/>
        <v>2.5</v>
      </c>
      <c r="AF5429" s="580">
        <f t="shared" si="458"/>
        <v>2.5</v>
      </c>
      <c r="AG5429" s="580">
        <f t="shared" si="459"/>
        <v>0</v>
      </c>
      <c r="AH5429" s="580">
        <f t="shared" si="460"/>
        <v>0</v>
      </c>
    </row>
    <row r="5430" spans="28:34">
      <c r="AB5430" s="580">
        <f>HLOOKUP("*"&amp;'Output annual'!$AC$2&amp;'Output annual'!$AD$2&amp;"*Zone People Number Of Occupants [](Hourly)",'Eplus results'!$1:$1048576,ROW(),FALSE)</f>
        <v>0</v>
      </c>
      <c r="AC5430" s="580">
        <f>HLOOKUP("*"&amp;'Output annual'!$AC$2&amp;'Output annual'!$AD$2&amp;"*FangerPMV(Hourly)",'Eplus results'!$1:$1048576,ROW(),FALSE)</f>
        <v>0</v>
      </c>
      <c r="AD5430" s="580">
        <f t="shared" si="456"/>
        <v>5</v>
      </c>
      <c r="AE5430" s="580">
        <f t="shared" si="457"/>
        <v>2.5</v>
      </c>
      <c r="AF5430" s="580">
        <f t="shared" si="458"/>
        <v>2.5</v>
      </c>
      <c r="AG5430" s="580">
        <f t="shared" si="459"/>
        <v>0</v>
      </c>
      <c r="AH5430" s="580">
        <f t="shared" si="460"/>
        <v>0</v>
      </c>
    </row>
    <row r="5431" spans="28:34">
      <c r="AB5431" s="580">
        <f>HLOOKUP("*"&amp;'Output annual'!$AC$2&amp;'Output annual'!$AD$2&amp;"*Zone People Number Of Occupants [](Hourly)",'Eplus results'!$1:$1048576,ROW(),FALSE)</f>
        <v>0</v>
      </c>
      <c r="AC5431" s="580">
        <f>HLOOKUP("*"&amp;'Output annual'!$AC$2&amp;'Output annual'!$AD$2&amp;"*FangerPMV(Hourly)",'Eplus results'!$1:$1048576,ROW(),FALSE)</f>
        <v>0</v>
      </c>
      <c r="AD5431" s="580">
        <f t="shared" si="456"/>
        <v>5</v>
      </c>
      <c r="AE5431" s="580">
        <f t="shared" si="457"/>
        <v>2.5</v>
      </c>
      <c r="AF5431" s="580">
        <f t="shared" si="458"/>
        <v>2.5</v>
      </c>
      <c r="AG5431" s="580">
        <f t="shared" si="459"/>
        <v>0</v>
      </c>
      <c r="AH5431" s="580">
        <f t="shared" si="460"/>
        <v>0</v>
      </c>
    </row>
    <row r="5432" spans="28:34">
      <c r="AB5432" s="580">
        <f>HLOOKUP("*"&amp;'Output annual'!$AC$2&amp;'Output annual'!$AD$2&amp;"*Zone People Number Of Occupants [](Hourly)",'Eplus results'!$1:$1048576,ROW(),FALSE)</f>
        <v>0</v>
      </c>
      <c r="AC5432" s="580">
        <f>HLOOKUP("*"&amp;'Output annual'!$AC$2&amp;'Output annual'!$AD$2&amp;"*FangerPMV(Hourly)",'Eplus results'!$1:$1048576,ROW(),FALSE)</f>
        <v>0</v>
      </c>
      <c r="AD5432" s="580">
        <f t="shared" si="456"/>
        <v>5</v>
      </c>
      <c r="AE5432" s="580">
        <f t="shared" si="457"/>
        <v>2.5</v>
      </c>
      <c r="AF5432" s="580">
        <f t="shared" si="458"/>
        <v>2.5</v>
      </c>
      <c r="AG5432" s="580">
        <f t="shared" si="459"/>
        <v>0</v>
      </c>
      <c r="AH5432" s="580">
        <f t="shared" si="460"/>
        <v>0</v>
      </c>
    </row>
    <row r="5433" spans="28:34">
      <c r="AB5433" s="580">
        <f>HLOOKUP("*"&amp;'Output annual'!$AC$2&amp;'Output annual'!$AD$2&amp;"*Zone People Number Of Occupants [](Hourly)",'Eplus results'!$1:$1048576,ROW(),FALSE)</f>
        <v>0</v>
      </c>
      <c r="AC5433" s="580">
        <f>HLOOKUP("*"&amp;'Output annual'!$AC$2&amp;'Output annual'!$AD$2&amp;"*FangerPMV(Hourly)",'Eplus results'!$1:$1048576,ROW(),FALSE)</f>
        <v>0</v>
      </c>
      <c r="AD5433" s="580">
        <f t="shared" si="456"/>
        <v>5</v>
      </c>
      <c r="AE5433" s="580">
        <f t="shared" si="457"/>
        <v>2.5</v>
      </c>
      <c r="AF5433" s="580">
        <f t="shared" si="458"/>
        <v>2.5</v>
      </c>
      <c r="AG5433" s="580">
        <f t="shared" si="459"/>
        <v>0</v>
      </c>
      <c r="AH5433" s="580">
        <f t="shared" si="460"/>
        <v>0</v>
      </c>
    </row>
    <row r="5434" spans="28:34">
      <c r="AB5434" s="580">
        <f>HLOOKUP("*"&amp;'Output annual'!$AC$2&amp;'Output annual'!$AD$2&amp;"*Zone People Number Of Occupants [](Hourly)",'Eplus results'!$1:$1048576,ROW(),FALSE)</f>
        <v>0</v>
      </c>
      <c r="AC5434" s="580">
        <f>HLOOKUP("*"&amp;'Output annual'!$AC$2&amp;'Output annual'!$AD$2&amp;"*FangerPMV(Hourly)",'Eplus results'!$1:$1048576,ROW(),FALSE)</f>
        <v>0</v>
      </c>
      <c r="AD5434" s="580">
        <f t="shared" si="456"/>
        <v>5</v>
      </c>
      <c r="AE5434" s="580">
        <f t="shared" si="457"/>
        <v>2.5</v>
      </c>
      <c r="AF5434" s="580">
        <f t="shared" si="458"/>
        <v>2.5</v>
      </c>
      <c r="AG5434" s="580">
        <f t="shared" si="459"/>
        <v>0</v>
      </c>
      <c r="AH5434" s="580">
        <f t="shared" si="460"/>
        <v>0</v>
      </c>
    </row>
    <row r="5435" spans="28:34">
      <c r="AB5435" s="580">
        <f>HLOOKUP("*"&amp;'Output annual'!$AC$2&amp;'Output annual'!$AD$2&amp;"*Zone People Number Of Occupants [](Hourly)",'Eplus results'!$1:$1048576,ROW(),FALSE)</f>
        <v>0</v>
      </c>
      <c r="AC5435" s="580">
        <f>HLOOKUP("*"&amp;'Output annual'!$AC$2&amp;'Output annual'!$AD$2&amp;"*FangerPMV(Hourly)",'Eplus results'!$1:$1048576,ROW(),FALSE)</f>
        <v>0</v>
      </c>
      <c r="AD5435" s="580">
        <f t="shared" si="456"/>
        <v>5</v>
      </c>
      <c r="AE5435" s="580">
        <f t="shared" si="457"/>
        <v>2.5</v>
      </c>
      <c r="AF5435" s="580">
        <f t="shared" si="458"/>
        <v>2.5</v>
      </c>
      <c r="AG5435" s="580">
        <f t="shared" si="459"/>
        <v>0</v>
      </c>
      <c r="AH5435" s="580">
        <f t="shared" si="460"/>
        <v>0</v>
      </c>
    </row>
    <row r="5436" spans="28:34">
      <c r="AB5436" s="580">
        <f>HLOOKUP("*"&amp;'Output annual'!$AC$2&amp;'Output annual'!$AD$2&amp;"*Zone People Number Of Occupants [](Hourly)",'Eplus results'!$1:$1048576,ROW(),FALSE)</f>
        <v>0</v>
      </c>
      <c r="AC5436" s="580">
        <f>HLOOKUP("*"&amp;'Output annual'!$AC$2&amp;'Output annual'!$AD$2&amp;"*FangerPMV(Hourly)",'Eplus results'!$1:$1048576,ROW(),FALSE)</f>
        <v>0</v>
      </c>
      <c r="AD5436" s="580">
        <f t="shared" si="456"/>
        <v>5</v>
      </c>
      <c r="AE5436" s="580">
        <f t="shared" si="457"/>
        <v>2.5</v>
      </c>
      <c r="AF5436" s="580">
        <f t="shared" si="458"/>
        <v>2.5</v>
      </c>
      <c r="AG5436" s="580">
        <f t="shared" si="459"/>
        <v>0</v>
      </c>
      <c r="AH5436" s="580">
        <f t="shared" si="460"/>
        <v>0</v>
      </c>
    </row>
    <row r="5437" spans="28:34">
      <c r="AB5437" s="580">
        <f>HLOOKUP("*"&amp;'Output annual'!$AC$2&amp;'Output annual'!$AD$2&amp;"*Zone People Number Of Occupants [](Hourly)",'Eplus results'!$1:$1048576,ROW(),FALSE)</f>
        <v>0</v>
      </c>
      <c r="AC5437" s="580">
        <f>HLOOKUP("*"&amp;'Output annual'!$AC$2&amp;'Output annual'!$AD$2&amp;"*FangerPMV(Hourly)",'Eplus results'!$1:$1048576,ROW(),FALSE)</f>
        <v>0</v>
      </c>
      <c r="AD5437" s="580">
        <f t="shared" si="456"/>
        <v>5</v>
      </c>
      <c r="AE5437" s="580">
        <f t="shared" si="457"/>
        <v>2.5</v>
      </c>
      <c r="AF5437" s="580">
        <f t="shared" si="458"/>
        <v>2.5</v>
      </c>
      <c r="AG5437" s="580">
        <f t="shared" si="459"/>
        <v>0</v>
      </c>
      <c r="AH5437" s="580">
        <f t="shared" si="460"/>
        <v>0</v>
      </c>
    </row>
    <row r="5438" spans="28:34">
      <c r="AB5438" s="580">
        <f>HLOOKUP("*"&amp;'Output annual'!$AC$2&amp;'Output annual'!$AD$2&amp;"*Zone People Number Of Occupants [](Hourly)",'Eplus results'!$1:$1048576,ROW(),FALSE)</f>
        <v>0</v>
      </c>
      <c r="AC5438" s="580">
        <f>HLOOKUP("*"&amp;'Output annual'!$AC$2&amp;'Output annual'!$AD$2&amp;"*FangerPMV(Hourly)",'Eplus results'!$1:$1048576,ROW(),FALSE)</f>
        <v>0</v>
      </c>
      <c r="AD5438" s="580">
        <f t="shared" si="456"/>
        <v>5</v>
      </c>
      <c r="AE5438" s="580">
        <f t="shared" si="457"/>
        <v>2.5</v>
      </c>
      <c r="AF5438" s="580">
        <f t="shared" si="458"/>
        <v>2.5</v>
      </c>
      <c r="AG5438" s="580">
        <f t="shared" si="459"/>
        <v>0</v>
      </c>
      <c r="AH5438" s="580">
        <f t="shared" si="460"/>
        <v>0</v>
      </c>
    </row>
    <row r="5439" spans="28:34">
      <c r="AB5439" s="580">
        <f>HLOOKUP("*"&amp;'Output annual'!$AC$2&amp;'Output annual'!$AD$2&amp;"*Zone People Number Of Occupants [](Hourly)",'Eplus results'!$1:$1048576,ROW(),FALSE)</f>
        <v>0</v>
      </c>
      <c r="AC5439" s="580">
        <f>HLOOKUP("*"&amp;'Output annual'!$AC$2&amp;'Output annual'!$AD$2&amp;"*FangerPMV(Hourly)",'Eplus results'!$1:$1048576,ROW(),FALSE)</f>
        <v>0</v>
      </c>
      <c r="AD5439" s="580">
        <f t="shared" si="456"/>
        <v>5</v>
      </c>
      <c r="AE5439" s="580">
        <f t="shared" si="457"/>
        <v>2.5</v>
      </c>
      <c r="AF5439" s="580">
        <f t="shared" si="458"/>
        <v>2.5</v>
      </c>
      <c r="AG5439" s="580">
        <f t="shared" si="459"/>
        <v>0</v>
      </c>
      <c r="AH5439" s="580">
        <f t="shared" si="460"/>
        <v>0</v>
      </c>
    </row>
    <row r="5440" spans="28:34">
      <c r="AB5440" s="580">
        <f>HLOOKUP("*"&amp;'Output annual'!$AC$2&amp;'Output annual'!$AD$2&amp;"*Zone People Number Of Occupants [](Hourly)",'Eplus results'!$1:$1048576,ROW(),FALSE)</f>
        <v>0</v>
      </c>
      <c r="AC5440" s="580">
        <f>HLOOKUP("*"&amp;'Output annual'!$AC$2&amp;'Output annual'!$AD$2&amp;"*FangerPMV(Hourly)",'Eplus results'!$1:$1048576,ROW(),FALSE)</f>
        <v>0</v>
      </c>
      <c r="AD5440" s="580">
        <f t="shared" si="456"/>
        <v>5</v>
      </c>
      <c r="AE5440" s="580">
        <f t="shared" si="457"/>
        <v>2.5</v>
      </c>
      <c r="AF5440" s="580">
        <f t="shared" si="458"/>
        <v>2.5</v>
      </c>
      <c r="AG5440" s="580">
        <f t="shared" si="459"/>
        <v>0</v>
      </c>
      <c r="AH5440" s="580">
        <f t="shared" si="460"/>
        <v>0</v>
      </c>
    </row>
    <row r="5441" spans="28:34">
      <c r="AB5441" s="580">
        <f>HLOOKUP("*"&amp;'Output annual'!$AC$2&amp;'Output annual'!$AD$2&amp;"*Zone People Number Of Occupants [](Hourly)",'Eplus results'!$1:$1048576,ROW(),FALSE)</f>
        <v>0</v>
      </c>
      <c r="AC5441" s="580">
        <f>HLOOKUP("*"&amp;'Output annual'!$AC$2&amp;'Output annual'!$AD$2&amp;"*FangerPMV(Hourly)",'Eplus results'!$1:$1048576,ROW(),FALSE)</f>
        <v>0</v>
      </c>
      <c r="AD5441" s="580">
        <f t="shared" si="456"/>
        <v>5</v>
      </c>
      <c r="AE5441" s="580">
        <f t="shared" si="457"/>
        <v>2.5</v>
      </c>
      <c r="AF5441" s="580">
        <f t="shared" si="458"/>
        <v>2.5</v>
      </c>
      <c r="AG5441" s="580">
        <f t="shared" si="459"/>
        <v>0</v>
      </c>
      <c r="AH5441" s="580">
        <f t="shared" si="460"/>
        <v>0</v>
      </c>
    </row>
    <row r="5442" spans="28:34">
      <c r="AB5442" s="580">
        <f>HLOOKUP("*"&amp;'Output annual'!$AC$2&amp;'Output annual'!$AD$2&amp;"*Zone People Number Of Occupants [](Hourly)",'Eplus results'!$1:$1048576,ROW(),FALSE)</f>
        <v>0</v>
      </c>
      <c r="AC5442" s="580">
        <f>HLOOKUP("*"&amp;'Output annual'!$AC$2&amp;'Output annual'!$AD$2&amp;"*FangerPMV(Hourly)",'Eplus results'!$1:$1048576,ROW(),FALSE)</f>
        <v>0</v>
      </c>
      <c r="AD5442" s="580">
        <f t="shared" si="456"/>
        <v>5</v>
      </c>
      <c r="AE5442" s="580">
        <f t="shared" si="457"/>
        <v>2.5</v>
      </c>
      <c r="AF5442" s="580">
        <f t="shared" si="458"/>
        <v>2.5</v>
      </c>
      <c r="AG5442" s="580">
        <f t="shared" si="459"/>
        <v>0</v>
      </c>
      <c r="AH5442" s="580">
        <f t="shared" si="460"/>
        <v>0</v>
      </c>
    </row>
    <row r="5443" spans="28:34">
      <c r="AB5443" s="580">
        <f>HLOOKUP("*"&amp;'Output annual'!$AC$2&amp;'Output annual'!$AD$2&amp;"*Zone People Number Of Occupants [](Hourly)",'Eplus results'!$1:$1048576,ROW(),FALSE)</f>
        <v>0</v>
      </c>
      <c r="AC5443" s="580">
        <f>HLOOKUP("*"&amp;'Output annual'!$AC$2&amp;'Output annual'!$AD$2&amp;"*FangerPMV(Hourly)",'Eplus results'!$1:$1048576,ROW(),FALSE)</f>
        <v>0</v>
      </c>
      <c r="AD5443" s="580">
        <f t="shared" ref="AD5443:AD5506" si="461">100-95*EXP(-0.03353*AC5443^4-0.2179*AC5443^2)</f>
        <v>5</v>
      </c>
      <c r="AE5443" s="580">
        <f t="shared" ref="AE5443:AE5506" si="462">AD5443*(1/(1+EXP(-6.3*$AC5443)))</f>
        <v>2.5</v>
      </c>
      <c r="AF5443" s="580">
        <f t="shared" ref="AF5443:AF5506" si="463">(AD5443-AE5443)</f>
        <v>2.5</v>
      </c>
      <c r="AG5443" s="580">
        <f t="shared" ref="AG5443:AG5506" si="464">AE5443*AB5443</f>
        <v>0</v>
      </c>
      <c r="AH5443" s="580">
        <f t="shared" ref="AH5443:AH5506" si="465">AF5443*AB5443</f>
        <v>0</v>
      </c>
    </row>
    <row r="5444" spans="28:34">
      <c r="AB5444" s="580">
        <f>HLOOKUP("*"&amp;'Output annual'!$AC$2&amp;'Output annual'!$AD$2&amp;"*Zone People Number Of Occupants [](Hourly)",'Eplus results'!$1:$1048576,ROW(),FALSE)</f>
        <v>0</v>
      </c>
      <c r="AC5444" s="580">
        <f>HLOOKUP("*"&amp;'Output annual'!$AC$2&amp;'Output annual'!$AD$2&amp;"*FangerPMV(Hourly)",'Eplus results'!$1:$1048576,ROW(),FALSE)</f>
        <v>0</v>
      </c>
      <c r="AD5444" s="580">
        <f t="shared" si="461"/>
        <v>5</v>
      </c>
      <c r="AE5444" s="580">
        <f t="shared" si="462"/>
        <v>2.5</v>
      </c>
      <c r="AF5444" s="580">
        <f t="shared" si="463"/>
        <v>2.5</v>
      </c>
      <c r="AG5444" s="580">
        <f t="shared" si="464"/>
        <v>0</v>
      </c>
      <c r="AH5444" s="580">
        <f t="shared" si="465"/>
        <v>0</v>
      </c>
    </row>
    <row r="5445" spans="28:34">
      <c r="AB5445" s="580">
        <f>HLOOKUP("*"&amp;'Output annual'!$AC$2&amp;'Output annual'!$AD$2&amp;"*Zone People Number Of Occupants [](Hourly)",'Eplus results'!$1:$1048576,ROW(),FALSE)</f>
        <v>0</v>
      </c>
      <c r="AC5445" s="580">
        <f>HLOOKUP("*"&amp;'Output annual'!$AC$2&amp;'Output annual'!$AD$2&amp;"*FangerPMV(Hourly)",'Eplus results'!$1:$1048576,ROW(),FALSE)</f>
        <v>0</v>
      </c>
      <c r="AD5445" s="580">
        <f t="shared" si="461"/>
        <v>5</v>
      </c>
      <c r="AE5445" s="580">
        <f t="shared" si="462"/>
        <v>2.5</v>
      </c>
      <c r="AF5445" s="580">
        <f t="shared" si="463"/>
        <v>2.5</v>
      </c>
      <c r="AG5445" s="580">
        <f t="shared" si="464"/>
        <v>0</v>
      </c>
      <c r="AH5445" s="580">
        <f t="shared" si="465"/>
        <v>0</v>
      </c>
    </row>
    <row r="5446" spans="28:34">
      <c r="AB5446" s="580">
        <f>HLOOKUP("*"&amp;'Output annual'!$AC$2&amp;'Output annual'!$AD$2&amp;"*Zone People Number Of Occupants [](Hourly)",'Eplus results'!$1:$1048576,ROW(),FALSE)</f>
        <v>0</v>
      </c>
      <c r="AC5446" s="580">
        <f>HLOOKUP("*"&amp;'Output annual'!$AC$2&amp;'Output annual'!$AD$2&amp;"*FangerPMV(Hourly)",'Eplus results'!$1:$1048576,ROW(),FALSE)</f>
        <v>0</v>
      </c>
      <c r="AD5446" s="580">
        <f t="shared" si="461"/>
        <v>5</v>
      </c>
      <c r="AE5446" s="580">
        <f t="shared" si="462"/>
        <v>2.5</v>
      </c>
      <c r="AF5446" s="580">
        <f t="shared" si="463"/>
        <v>2.5</v>
      </c>
      <c r="AG5446" s="580">
        <f t="shared" si="464"/>
        <v>0</v>
      </c>
      <c r="AH5446" s="580">
        <f t="shared" si="465"/>
        <v>0</v>
      </c>
    </row>
    <row r="5447" spans="28:34">
      <c r="AB5447" s="580">
        <f>HLOOKUP("*"&amp;'Output annual'!$AC$2&amp;'Output annual'!$AD$2&amp;"*Zone People Number Of Occupants [](Hourly)",'Eplus results'!$1:$1048576,ROW(),FALSE)</f>
        <v>0</v>
      </c>
      <c r="AC5447" s="580">
        <f>HLOOKUP("*"&amp;'Output annual'!$AC$2&amp;'Output annual'!$AD$2&amp;"*FangerPMV(Hourly)",'Eplus results'!$1:$1048576,ROW(),FALSE)</f>
        <v>0</v>
      </c>
      <c r="AD5447" s="580">
        <f t="shared" si="461"/>
        <v>5</v>
      </c>
      <c r="AE5447" s="580">
        <f t="shared" si="462"/>
        <v>2.5</v>
      </c>
      <c r="AF5447" s="580">
        <f t="shared" si="463"/>
        <v>2.5</v>
      </c>
      <c r="AG5447" s="580">
        <f t="shared" si="464"/>
        <v>0</v>
      </c>
      <c r="AH5447" s="580">
        <f t="shared" si="465"/>
        <v>0</v>
      </c>
    </row>
    <row r="5448" spans="28:34">
      <c r="AB5448" s="580">
        <f>HLOOKUP("*"&amp;'Output annual'!$AC$2&amp;'Output annual'!$AD$2&amp;"*Zone People Number Of Occupants [](Hourly)",'Eplus results'!$1:$1048576,ROW(),FALSE)</f>
        <v>0</v>
      </c>
      <c r="AC5448" s="580">
        <f>HLOOKUP("*"&amp;'Output annual'!$AC$2&amp;'Output annual'!$AD$2&amp;"*FangerPMV(Hourly)",'Eplus results'!$1:$1048576,ROW(),FALSE)</f>
        <v>0</v>
      </c>
      <c r="AD5448" s="580">
        <f t="shared" si="461"/>
        <v>5</v>
      </c>
      <c r="AE5448" s="580">
        <f t="shared" si="462"/>
        <v>2.5</v>
      </c>
      <c r="AF5448" s="580">
        <f t="shared" si="463"/>
        <v>2.5</v>
      </c>
      <c r="AG5448" s="580">
        <f t="shared" si="464"/>
        <v>0</v>
      </c>
      <c r="AH5448" s="580">
        <f t="shared" si="465"/>
        <v>0</v>
      </c>
    </row>
    <row r="5449" spans="28:34">
      <c r="AB5449" s="580">
        <f>HLOOKUP("*"&amp;'Output annual'!$AC$2&amp;'Output annual'!$AD$2&amp;"*Zone People Number Of Occupants [](Hourly)",'Eplus results'!$1:$1048576,ROW(),FALSE)</f>
        <v>0</v>
      </c>
      <c r="AC5449" s="580">
        <f>HLOOKUP("*"&amp;'Output annual'!$AC$2&amp;'Output annual'!$AD$2&amp;"*FangerPMV(Hourly)",'Eplus results'!$1:$1048576,ROW(),FALSE)</f>
        <v>0</v>
      </c>
      <c r="AD5449" s="580">
        <f t="shared" si="461"/>
        <v>5</v>
      </c>
      <c r="AE5449" s="580">
        <f t="shared" si="462"/>
        <v>2.5</v>
      </c>
      <c r="AF5449" s="580">
        <f t="shared" si="463"/>
        <v>2.5</v>
      </c>
      <c r="AG5449" s="580">
        <f t="shared" si="464"/>
        <v>0</v>
      </c>
      <c r="AH5449" s="580">
        <f t="shared" si="465"/>
        <v>0</v>
      </c>
    </row>
    <row r="5450" spans="28:34">
      <c r="AB5450" s="580">
        <f>HLOOKUP("*"&amp;'Output annual'!$AC$2&amp;'Output annual'!$AD$2&amp;"*Zone People Number Of Occupants [](Hourly)",'Eplus results'!$1:$1048576,ROW(),FALSE)</f>
        <v>0</v>
      </c>
      <c r="AC5450" s="580">
        <f>HLOOKUP("*"&amp;'Output annual'!$AC$2&amp;'Output annual'!$AD$2&amp;"*FangerPMV(Hourly)",'Eplus results'!$1:$1048576,ROW(),FALSE)</f>
        <v>0</v>
      </c>
      <c r="AD5450" s="580">
        <f t="shared" si="461"/>
        <v>5</v>
      </c>
      <c r="AE5450" s="580">
        <f t="shared" si="462"/>
        <v>2.5</v>
      </c>
      <c r="AF5450" s="580">
        <f t="shared" si="463"/>
        <v>2.5</v>
      </c>
      <c r="AG5450" s="580">
        <f t="shared" si="464"/>
        <v>0</v>
      </c>
      <c r="AH5450" s="580">
        <f t="shared" si="465"/>
        <v>0</v>
      </c>
    </row>
    <row r="5451" spans="28:34">
      <c r="AB5451" s="580">
        <f>HLOOKUP("*"&amp;'Output annual'!$AC$2&amp;'Output annual'!$AD$2&amp;"*Zone People Number Of Occupants [](Hourly)",'Eplus results'!$1:$1048576,ROW(),FALSE)</f>
        <v>0</v>
      </c>
      <c r="AC5451" s="580">
        <f>HLOOKUP("*"&amp;'Output annual'!$AC$2&amp;'Output annual'!$AD$2&amp;"*FangerPMV(Hourly)",'Eplus results'!$1:$1048576,ROW(),FALSE)</f>
        <v>0</v>
      </c>
      <c r="AD5451" s="580">
        <f t="shared" si="461"/>
        <v>5</v>
      </c>
      <c r="AE5451" s="580">
        <f t="shared" si="462"/>
        <v>2.5</v>
      </c>
      <c r="AF5451" s="580">
        <f t="shared" si="463"/>
        <v>2.5</v>
      </c>
      <c r="AG5451" s="580">
        <f t="shared" si="464"/>
        <v>0</v>
      </c>
      <c r="AH5451" s="580">
        <f t="shared" si="465"/>
        <v>0</v>
      </c>
    </row>
    <row r="5452" spans="28:34">
      <c r="AB5452" s="580">
        <f>HLOOKUP("*"&amp;'Output annual'!$AC$2&amp;'Output annual'!$AD$2&amp;"*Zone People Number Of Occupants [](Hourly)",'Eplus results'!$1:$1048576,ROW(),FALSE)</f>
        <v>0</v>
      </c>
      <c r="AC5452" s="580">
        <f>HLOOKUP("*"&amp;'Output annual'!$AC$2&amp;'Output annual'!$AD$2&amp;"*FangerPMV(Hourly)",'Eplus results'!$1:$1048576,ROW(),FALSE)</f>
        <v>0</v>
      </c>
      <c r="AD5452" s="580">
        <f t="shared" si="461"/>
        <v>5</v>
      </c>
      <c r="AE5452" s="580">
        <f t="shared" si="462"/>
        <v>2.5</v>
      </c>
      <c r="AF5452" s="580">
        <f t="shared" si="463"/>
        <v>2.5</v>
      </c>
      <c r="AG5452" s="580">
        <f t="shared" si="464"/>
        <v>0</v>
      </c>
      <c r="AH5452" s="580">
        <f t="shared" si="465"/>
        <v>0</v>
      </c>
    </row>
    <row r="5453" spans="28:34">
      <c r="AB5453" s="580">
        <f>HLOOKUP("*"&amp;'Output annual'!$AC$2&amp;'Output annual'!$AD$2&amp;"*Zone People Number Of Occupants [](Hourly)",'Eplus results'!$1:$1048576,ROW(),FALSE)</f>
        <v>0</v>
      </c>
      <c r="AC5453" s="580">
        <f>HLOOKUP("*"&amp;'Output annual'!$AC$2&amp;'Output annual'!$AD$2&amp;"*FangerPMV(Hourly)",'Eplus results'!$1:$1048576,ROW(),FALSE)</f>
        <v>0</v>
      </c>
      <c r="AD5453" s="580">
        <f t="shared" si="461"/>
        <v>5</v>
      </c>
      <c r="AE5453" s="580">
        <f t="shared" si="462"/>
        <v>2.5</v>
      </c>
      <c r="AF5453" s="580">
        <f t="shared" si="463"/>
        <v>2.5</v>
      </c>
      <c r="AG5453" s="580">
        <f t="shared" si="464"/>
        <v>0</v>
      </c>
      <c r="AH5453" s="580">
        <f t="shared" si="465"/>
        <v>0</v>
      </c>
    </row>
    <row r="5454" spans="28:34">
      <c r="AB5454" s="580">
        <f>HLOOKUP("*"&amp;'Output annual'!$AC$2&amp;'Output annual'!$AD$2&amp;"*Zone People Number Of Occupants [](Hourly)",'Eplus results'!$1:$1048576,ROW(),FALSE)</f>
        <v>0</v>
      </c>
      <c r="AC5454" s="580">
        <f>HLOOKUP("*"&amp;'Output annual'!$AC$2&amp;'Output annual'!$AD$2&amp;"*FangerPMV(Hourly)",'Eplus results'!$1:$1048576,ROW(),FALSE)</f>
        <v>0</v>
      </c>
      <c r="AD5454" s="580">
        <f t="shared" si="461"/>
        <v>5</v>
      </c>
      <c r="AE5454" s="580">
        <f t="shared" si="462"/>
        <v>2.5</v>
      </c>
      <c r="AF5454" s="580">
        <f t="shared" si="463"/>
        <v>2.5</v>
      </c>
      <c r="AG5454" s="580">
        <f t="shared" si="464"/>
        <v>0</v>
      </c>
      <c r="AH5454" s="580">
        <f t="shared" si="465"/>
        <v>0</v>
      </c>
    </row>
    <row r="5455" spans="28:34">
      <c r="AB5455" s="580">
        <f>HLOOKUP("*"&amp;'Output annual'!$AC$2&amp;'Output annual'!$AD$2&amp;"*Zone People Number Of Occupants [](Hourly)",'Eplus results'!$1:$1048576,ROW(),FALSE)</f>
        <v>0</v>
      </c>
      <c r="AC5455" s="580">
        <f>HLOOKUP("*"&amp;'Output annual'!$AC$2&amp;'Output annual'!$AD$2&amp;"*FangerPMV(Hourly)",'Eplus results'!$1:$1048576,ROW(),FALSE)</f>
        <v>0</v>
      </c>
      <c r="AD5455" s="580">
        <f t="shared" si="461"/>
        <v>5</v>
      </c>
      <c r="AE5455" s="580">
        <f t="shared" si="462"/>
        <v>2.5</v>
      </c>
      <c r="AF5455" s="580">
        <f t="shared" si="463"/>
        <v>2.5</v>
      </c>
      <c r="AG5455" s="580">
        <f t="shared" si="464"/>
        <v>0</v>
      </c>
      <c r="AH5455" s="580">
        <f t="shared" si="465"/>
        <v>0</v>
      </c>
    </row>
    <row r="5456" spans="28:34">
      <c r="AB5456" s="580">
        <f>HLOOKUP("*"&amp;'Output annual'!$AC$2&amp;'Output annual'!$AD$2&amp;"*Zone People Number Of Occupants [](Hourly)",'Eplus results'!$1:$1048576,ROW(),FALSE)</f>
        <v>0</v>
      </c>
      <c r="AC5456" s="580">
        <f>HLOOKUP("*"&amp;'Output annual'!$AC$2&amp;'Output annual'!$AD$2&amp;"*FangerPMV(Hourly)",'Eplus results'!$1:$1048576,ROW(),FALSE)</f>
        <v>0</v>
      </c>
      <c r="AD5456" s="580">
        <f t="shared" si="461"/>
        <v>5</v>
      </c>
      <c r="AE5456" s="580">
        <f t="shared" si="462"/>
        <v>2.5</v>
      </c>
      <c r="AF5456" s="580">
        <f t="shared" si="463"/>
        <v>2.5</v>
      </c>
      <c r="AG5456" s="580">
        <f t="shared" si="464"/>
        <v>0</v>
      </c>
      <c r="AH5456" s="580">
        <f t="shared" si="465"/>
        <v>0</v>
      </c>
    </row>
    <row r="5457" spans="28:34">
      <c r="AB5457" s="580">
        <f>HLOOKUP("*"&amp;'Output annual'!$AC$2&amp;'Output annual'!$AD$2&amp;"*Zone People Number Of Occupants [](Hourly)",'Eplus results'!$1:$1048576,ROW(),FALSE)</f>
        <v>0</v>
      </c>
      <c r="AC5457" s="580">
        <f>HLOOKUP("*"&amp;'Output annual'!$AC$2&amp;'Output annual'!$AD$2&amp;"*FangerPMV(Hourly)",'Eplus results'!$1:$1048576,ROW(),FALSE)</f>
        <v>0</v>
      </c>
      <c r="AD5457" s="580">
        <f t="shared" si="461"/>
        <v>5</v>
      </c>
      <c r="AE5457" s="580">
        <f t="shared" si="462"/>
        <v>2.5</v>
      </c>
      <c r="AF5457" s="580">
        <f t="shared" si="463"/>
        <v>2.5</v>
      </c>
      <c r="AG5457" s="580">
        <f t="shared" si="464"/>
        <v>0</v>
      </c>
      <c r="AH5457" s="580">
        <f t="shared" si="465"/>
        <v>0</v>
      </c>
    </row>
    <row r="5458" spans="28:34">
      <c r="AB5458" s="580">
        <f>HLOOKUP("*"&amp;'Output annual'!$AC$2&amp;'Output annual'!$AD$2&amp;"*Zone People Number Of Occupants [](Hourly)",'Eplus results'!$1:$1048576,ROW(),FALSE)</f>
        <v>0</v>
      </c>
      <c r="AC5458" s="580">
        <f>HLOOKUP("*"&amp;'Output annual'!$AC$2&amp;'Output annual'!$AD$2&amp;"*FangerPMV(Hourly)",'Eplus results'!$1:$1048576,ROW(),FALSE)</f>
        <v>0</v>
      </c>
      <c r="AD5458" s="580">
        <f t="shared" si="461"/>
        <v>5</v>
      </c>
      <c r="AE5458" s="580">
        <f t="shared" si="462"/>
        <v>2.5</v>
      </c>
      <c r="AF5458" s="580">
        <f t="shared" si="463"/>
        <v>2.5</v>
      </c>
      <c r="AG5458" s="580">
        <f t="shared" si="464"/>
        <v>0</v>
      </c>
      <c r="AH5458" s="580">
        <f t="shared" si="465"/>
        <v>0</v>
      </c>
    </row>
    <row r="5459" spans="28:34">
      <c r="AB5459" s="580">
        <f>HLOOKUP("*"&amp;'Output annual'!$AC$2&amp;'Output annual'!$AD$2&amp;"*Zone People Number Of Occupants [](Hourly)",'Eplus results'!$1:$1048576,ROW(),FALSE)</f>
        <v>0</v>
      </c>
      <c r="AC5459" s="580">
        <f>HLOOKUP("*"&amp;'Output annual'!$AC$2&amp;'Output annual'!$AD$2&amp;"*FangerPMV(Hourly)",'Eplus results'!$1:$1048576,ROW(),FALSE)</f>
        <v>0</v>
      </c>
      <c r="AD5459" s="580">
        <f t="shared" si="461"/>
        <v>5</v>
      </c>
      <c r="AE5459" s="580">
        <f t="shared" si="462"/>
        <v>2.5</v>
      </c>
      <c r="AF5459" s="580">
        <f t="shared" si="463"/>
        <v>2.5</v>
      </c>
      <c r="AG5459" s="580">
        <f t="shared" si="464"/>
        <v>0</v>
      </c>
      <c r="AH5459" s="580">
        <f t="shared" si="465"/>
        <v>0</v>
      </c>
    </row>
    <row r="5460" spans="28:34">
      <c r="AB5460" s="580">
        <f>HLOOKUP("*"&amp;'Output annual'!$AC$2&amp;'Output annual'!$AD$2&amp;"*Zone People Number Of Occupants [](Hourly)",'Eplus results'!$1:$1048576,ROW(),FALSE)</f>
        <v>0</v>
      </c>
      <c r="AC5460" s="580">
        <f>HLOOKUP("*"&amp;'Output annual'!$AC$2&amp;'Output annual'!$AD$2&amp;"*FangerPMV(Hourly)",'Eplus results'!$1:$1048576,ROW(),FALSE)</f>
        <v>0</v>
      </c>
      <c r="AD5460" s="580">
        <f t="shared" si="461"/>
        <v>5</v>
      </c>
      <c r="AE5460" s="580">
        <f t="shared" si="462"/>
        <v>2.5</v>
      </c>
      <c r="AF5460" s="580">
        <f t="shared" si="463"/>
        <v>2.5</v>
      </c>
      <c r="AG5460" s="580">
        <f t="shared" si="464"/>
        <v>0</v>
      </c>
      <c r="AH5460" s="580">
        <f t="shared" si="465"/>
        <v>0</v>
      </c>
    </row>
    <row r="5461" spans="28:34">
      <c r="AB5461" s="580">
        <f>HLOOKUP("*"&amp;'Output annual'!$AC$2&amp;'Output annual'!$AD$2&amp;"*Zone People Number Of Occupants [](Hourly)",'Eplus results'!$1:$1048576,ROW(),FALSE)</f>
        <v>0</v>
      </c>
      <c r="AC5461" s="580">
        <f>HLOOKUP("*"&amp;'Output annual'!$AC$2&amp;'Output annual'!$AD$2&amp;"*FangerPMV(Hourly)",'Eplus results'!$1:$1048576,ROW(),FALSE)</f>
        <v>0</v>
      </c>
      <c r="AD5461" s="580">
        <f t="shared" si="461"/>
        <v>5</v>
      </c>
      <c r="AE5461" s="580">
        <f t="shared" si="462"/>
        <v>2.5</v>
      </c>
      <c r="AF5461" s="580">
        <f t="shared" si="463"/>
        <v>2.5</v>
      </c>
      <c r="AG5461" s="580">
        <f t="shared" si="464"/>
        <v>0</v>
      </c>
      <c r="AH5461" s="580">
        <f t="shared" si="465"/>
        <v>0</v>
      </c>
    </row>
    <row r="5462" spans="28:34">
      <c r="AB5462" s="580">
        <f>HLOOKUP("*"&amp;'Output annual'!$AC$2&amp;'Output annual'!$AD$2&amp;"*Zone People Number Of Occupants [](Hourly)",'Eplus results'!$1:$1048576,ROW(),FALSE)</f>
        <v>0</v>
      </c>
      <c r="AC5462" s="580">
        <f>HLOOKUP("*"&amp;'Output annual'!$AC$2&amp;'Output annual'!$AD$2&amp;"*FangerPMV(Hourly)",'Eplus results'!$1:$1048576,ROW(),FALSE)</f>
        <v>0</v>
      </c>
      <c r="AD5462" s="580">
        <f t="shared" si="461"/>
        <v>5</v>
      </c>
      <c r="AE5462" s="580">
        <f t="shared" si="462"/>
        <v>2.5</v>
      </c>
      <c r="AF5462" s="580">
        <f t="shared" si="463"/>
        <v>2.5</v>
      </c>
      <c r="AG5462" s="580">
        <f t="shared" si="464"/>
        <v>0</v>
      </c>
      <c r="AH5462" s="580">
        <f t="shared" si="465"/>
        <v>0</v>
      </c>
    </row>
    <row r="5463" spans="28:34">
      <c r="AB5463" s="580">
        <f>HLOOKUP("*"&amp;'Output annual'!$AC$2&amp;'Output annual'!$AD$2&amp;"*Zone People Number Of Occupants [](Hourly)",'Eplus results'!$1:$1048576,ROW(),FALSE)</f>
        <v>0</v>
      </c>
      <c r="AC5463" s="580">
        <f>HLOOKUP("*"&amp;'Output annual'!$AC$2&amp;'Output annual'!$AD$2&amp;"*FangerPMV(Hourly)",'Eplus results'!$1:$1048576,ROW(),FALSE)</f>
        <v>0</v>
      </c>
      <c r="AD5463" s="580">
        <f t="shared" si="461"/>
        <v>5</v>
      </c>
      <c r="AE5463" s="580">
        <f t="shared" si="462"/>
        <v>2.5</v>
      </c>
      <c r="AF5463" s="580">
        <f t="shared" si="463"/>
        <v>2.5</v>
      </c>
      <c r="AG5463" s="580">
        <f t="shared" si="464"/>
        <v>0</v>
      </c>
      <c r="AH5463" s="580">
        <f t="shared" si="465"/>
        <v>0</v>
      </c>
    </row>
    <row r="5464" spans="28:34">
      <c r="AB5464" s="580">
        <f>HLOOKUP("*"&amp;'Output annual'!$AC$2&amp;'Output annual'!$AD$2&amp;"*Zone People Number Of Occupants [](Hourly)",'Eplus results'!$1:$1048576,ROW(),FALSE)</f>
        <v>0</v>
      </c>
      <c r="AC5464" s="580">
        <f>HLOOKUP("*"&amp;'Output annual'!$AC$2&amp;'Output annual'!$AD$2&amp;"*FangerPMV(Hourly)",'Eplus results'!$1:$1048576,ROW(),FALSE)</f>
        <v>0</v>
      </c>
      <c r="AD5464" s="580">
        <f t="shared" si="461"/>
        <v>5</v>
      </c>
      <c r="AE5464" s="580">
        <f t="shared" si="462"/>
        <v>2.5</v>
      </c>
      <c r="AF5464" s="580">
        <f t="shared" si="463"/>
        <v>2.5</v>
      </c>
      <c r="AG5464" s="580">
        <f t="shared" si="464"/>
        <v>0</v>
      </c>
      <c r="AH5464" s="580">
        <f t="shared" si="465"/>
        <v>0</v>
      </c>
    </row>
    <row r="5465" spans="28:34">
      <c r="AB5465" s="580">
        <f>HLOOKUP("*"&amp;'Output annual'!$AC$2&amp;'Output annual'!$AD$2&amp;"*Zone People Number Of Occupants [](Hourly)",'Eplus results'!$1:$1048576,ROW(),FALSE)</f>
        <v>0</v>
      </c>
      <c r="AC5465" s="580">
        <f>HLOOKUP("*"&amp;'Output annual'!$AC$2&amp;'Output annual'!$AD$2&amp;"*FangerPMV(Hourly)",'Eplus results'!$1:$1048576,ROW(),FALSE)</f>
        <v>0</v>
      </c>
      <c r="AD5465" s="580">
        <f t="shared" si="461"/>
        <v>5</v>
      </c>
      <c r="AE5465" s="580">
        <f t="shared" si="462"/>
        <v>2.5</v>
      </c>
      <c r="AF5465" s="580">
        <f t="shared" si="463"/>
        <v>2.5</v>
      </c>
      <c r="AG5465" s="580">
        <f t="shared" si="464"/>
        <v>0</v>
      </c>
      <c r="AH5465" s="580">
        <f t="shared" si="465"/>
        <v>0</v>
      </c>
    </row>
    <row r="5466" spans="28:34">
      <c r="AB5466" s="580">
        <f>HLOOKUP("*"&amp;'Output annual'!$AC$2&amp;'Output annual'!$AD$2&amp;"*Zone People Number Of Occupants [](Hourly)",'Eplus results'!$1:$1048576,ROW(),FALSE)</f>
        <v>0</v>
      </c>
      <c r="AC5466" s="580">
        <f>HLOOKUP("*"&amp;'Output annual'!$AC$2&amp;'Output annual'!$AD$2&amp;"*FangerPMV(Hourly)",'Eplus results'!$1:$1048576,ROW(),FALSE)</f>
        <v>0</v>
      </c>
      <c r="AD5466" s="580">
        <f t="shared" si="461"/>
        <v>5</v>
      </c>
      <c r="AE5466" s="580">
        <f t="shared" si="462"/>
        <v>2.5</v>
      </c>
      <c r="AF5466" s="580">
        <f t="shared" si="463"/>
        <v>2.5</v>
      </c>
      <c r="AG5466" s="580">
        <f t="shared" si="464"/>
        <v>0</v>
      </c>
      <c r="AH5466" s="580">
        <f t="shared" si="465"/>
        <v>0</v>
      </c>
    </row>
    <row r="5467" spans="28:34">
      <c r="AB5467" s="580">
        <f>HLOOKUP("*"&amp;'Output annual'!$AC$2&amp;'Output annual'!$AD$2&amp;"*Zone People Number Of Occupants [](Hourly)",'Eplus results'!$1:$1048576,ROW(),FALSE)</f>
        <v>0</v>
      </c>
      <c r="AC5467" s="580">
        <f>HLOOKUP("*"&amp;'Output annual'!$AC$2&amp;'Output annual'!$AD$2&amp;"*FangerPMV(Hourly)",'Eplus results'!$1:$1048576,ROW(),FALSE)</f>
        <v>0</v>
      </c>
      <c r="AD5467" s="580">
        <f t="shared" si="461"/>
        <v>5</v>
      </c>
      <c r="AE5467" s="580">
        <f t="shared" si="462"/>
        <v>2.5</v>
      </c>
      <c r="AF5467" s="580">
        <f t="shared" si="463"/>
        <v>2.5</v>
      </c>
      <c r="AG5467" s="580">
        <f t="shared" si="464"/>
        <v>0</v>
      </c>
      <c r="AH5467" s="580">
        <f t="shared" si="465"/>
        <v>0</v>
      </c>
    </row>
    <row r="5468" spans="28:34">
      <c r="AB5468" s="580">
        <f>HLOOKUP("*"&amp;'Output annual'!$AC$2&amp;'Output annual'!$AD$2&amp;"*Zone People Number Of Occupants [](Hourly)",'Eplus results'!$1:$1048576,ROW(),FALSE)</f>
        <v>0</v>
      </c>
      <c r="AC5468" s="580">
        <f>HLOOKUP("*"&amp;'Output annual'!$AC$2&amp;'Output annual'!$AD$2&amp;"*FangerPMV(Hourly)",'Eplus results'!$1:$1048576,ROW(),FALSE)</f>
        <v>0</v>
      </c>
      <c r="AD5468" s="580">
        <f t="shared" si="461"/>
        <v>5</v>
      </c>
      <c r="AE5468" s="580">
        <f t="shared" si="462"/>
        <v>2.5</v>
      </c>
      <c r="AF5468" s="580">
        <f t="shared" si="463"/>
        <v>2.5</v>
      </c>
      <c r="AG5468" s="580">
        <f t="shared" si="464"/>
        <v>0</v>
      </c>
      <c r="AH5468" s="580">
        <f t="shared" si="465"/>
        <v>0</v>
      </c>
    </row>
    <row r="5469" spans="28:34">
      <c r="AB5469" s="580">
        <f>HLOOKUP("*"&amp;'Output annual'!$AC$2&amp;'Output annual'!$AD$2&amp;"*Zone People Number Of Occupants [](Hourly)",'Eplus results'!$1:$1048576,ROW(),FALSE)</f>
        <v>0</v>
      </c>
      <c r="AC5469" s="580">
        <f>HLOOKUP("*"&amp;'Output annual'!$AC$2&amp;'Output annual'!$AD$2&amp;"*FangerPMV(Hourly)",'Eplus results'!$1:$1048576,ROW(),FALSE)</f>
        <v>0</v>
      </c>
      <c r="AD5469" s="580">
        <f t="shared" si="461"/>
        <v>5</v>
      </c>
      <c r="AE5469" s="580">
        <f t="shared" si="462"/>
        <v>2.5</v>
      </c>
      <c r="AF5469" s="580">
        <f t="shared" si="463"/>
        <v>2.5</v>
      </c>
      <c r="AG5469" s="580">
        <f t="shared" si="464"/>
        <v>0</v>
      </c>
      <c r="AH5469" s="580">
        <f t="shared" si="465"/>
        <v>0</v>
      </c>
    </row>
    <row r="5470" spans="28:34">
      <c r="AB5470" s="580">
        <f>HLOOKUP("*"&amp;'Output annual'!$AC$2&amp;'Output annual'!$AD$2&amp;"*Zone People Number Of Occupants [](Hourly)",'Eplus results'!$1:$1048576,ROW(),FALSE)</f>
        <v>0</v>
      </c>
      <c r="AC5470" s="580">
        <f>HLOOKUP("*"&amp;'Output annual'!$AC$2&amp;'Output annual'!$AD$2&amp;"*FangerPMV(Hourly)",'Eplus results'!$1:$1048576,ROW(),FALSE)</f>
        <v>0</v>
      </c>
      <c r="AD5470" s="580">
        <f t="shared" si="461"/>
        <v>5</v>
      </c>
      <c r="AE5470" s="580">
        <f t="shared" si="462"/>
        <v>2.5</v>
      </c>
      <c r="AF5470" s="580">
        <f t="shared" si="463"/>
        <v>2.5</v>
      </c>
      <c r="AG5470" s="580">
        <f t="shared" si="464"/>
        <v>0</v>
      </c>
      <c r="AH5470" s="580">
        <f t="shared" si="465"/>
        <v>0</v>
      </c>
    </row>
    <row r="5471" spans="28:34">
      <c r="AB5471" s="580">
        <f>HLOOKUP("*"&amp;'Output annual'!$AC$2&amp;'Output annual'!$AD$2&amp;"*Zone People Number Of Occupants [](Hourly)",'Eplus results'!$1:$1048576,ROW(),FALSE)</f>
        <v>0</v>
      </c>
      <c r="AC5471" s="580">
        <f>HLOOKUP("*"&amp;'Output annual'!$AC$2&amp;'Output annual'!$AD$2&amp;"*FangerPMV(Hourly)",'Eplus results'!$1:$1048576,ROW(),FALSE)</f>
        <v>0</v>
      </c>
      <c r="AD5471" s="580">
        <f t="shared" si="461"/>
        <v>5</v>
      </c>
      <c r="AE5471" s="580">
        <f t="shared" si="462"/>
        <v>2.5</v>
      </c>
      <c r="AF5471" s="580">
        <f t="shared" si="463"/>
        <v>2.5</v>
      </c>
      <c r="AG5471" s="580">
        <f t="shared" si="464"/>
        <v>0</v>
      </c>
      <c r="AH5471" s="580">
        <f t="shared" si="465"/>
        <v>0</v>
      </c>
    </row>
    <row r="5472" spans="28:34">
      <c r="AB5472" s="580">
        <f>HLOOKUP("*"&amp;'Output annual'!$AC$2&amp;'Output annual'!$AD$2&amp;"*Zone People Number Of Occupants [](Hourly)",'Eplus results'!$1:$1048576,ROW(),FALSE)</f>
        <v>0</v>
      </c>
      <c r="AC5472" s="580">
        <f>HLOOKUP("*"&amp;'Output annual'!$AC$2&amp;'Output annual'!$AD$2&amp;"*FangerPMV(Hourly)",'Eplus results'!$1:$1048576,ROW(),FALSE)</f>
        <v>0</v>
      </c>
      <c r="AD5472" s="580">
        <f t="shared" si="461"/>
        <v>5</v>
      </c>
      <c r="AE5472" s="580">
        <f t="shared" si="462"/>
        <v>2.5</v>
      </c>
      <c r="AF5472" s="580">
        <f t="shared" si="463"/>
        <v>2.5</v>
      </c>
      <c r="AG5472" s="580">
        <f t="shared" si="464"/>
        <v>0</v>
      </c>
      <c r="AH5472" s="580">
        <f t="shared" si="465"/>
        <v>0</v>
      </c>
    </row>
    <row r="5473" spans="28:34">
      <c r="AB5473" s="580">
        <f>HLOOKUP("*"&amp;'Output annual'!$AC$2&amp;'Output annual'!$AD$2&amp;"*Zone People Number Of Occupants [](Hourly)",'Eplus results'!$1:$1048576,ROW(),FALSE)</f>
        <v>0</v>
      </c>
      <c r="AC5473" s="580">
        <f>HLOOKUP("*"&amp;'Output annual'!$AC$2&amp;'Output annual'!$AD$2&amp;"*FangerPMV(Hourly)",'Eplus results'!$1:$1048576,ROW(),FALSE)</f>
        <v>0</v>
      </c>
      <c r="AD5473" s="580">
        <f t="shared" si="461"/>
        <v>5</v>
      </c>
      <c r="AE5473" s="580">
        <f t="shared" si="462"/>
        <v>2.5</v>
      </c>
      <c r="AF5473" s="580">
        <f t="shared" si="463"/>
        <v>2.5</v>
      </c>
      <c r="AG5473" s="580">
        <f t="shared" si="464"/>
        <v>0</v>
      </c>
      <c r="AH5473" s="580">
        <f t="shared" si="465"/>
        <v>0</v>
      </c>
    </row>
    <row r="5474" spans="28:34">
      <c r="AB5474" s="580">
        <f>HLOOKUP("*"&amp;'Output annual'!$AC$2&amp;'Output annual'!$AD$2&amp;"*Zone People Number Of Occupants [](Hourly)",'Eplus results'!$1:$1048576,ROW(),FALSE)</f>
        <v>0</v>
      </c>
      <c r="AC5474" s="580">
        <f>HLOOKUP("*"&amp;'Output annual'!$AC$2&amp;'Output annual'!$AD$2&amp;"*FangerPMV(Hourly)",'Eplus results'!$1:$1048576,ROW(),FALSE)</f>
        <v>0</v>
      </c>
      <c r="AD5474" s="580">
        <f t="shared" si="461"/>
        <v>5</v>
      </c>
      <c r="AE5474" s="580">
        <f t="shared" si="462"/>
        <v>2.5</v>
      </c>
      <c r="AF5474" s="580">
        <f t="shared" si="463"/>
        <v>2.5</v>
      </c>
      <c r="AG5474" s="580">
        <f t="shared" si="464"/>
        <v>0</v>
      </c>
      <c r="AH5474" s="580">
        <f t="shared" si="465"/>
        <v>0</v>
      </c>
    </row>
    <row r="5475" spans="28:34">
      <c r="AB5475" s="580">
        <f>HLOOKUP("*"&amp;'Output annual'!$AC$2&amp;'Output annual'!$AD$2&amp;"*Zone People Number Of Occupants [](Hourly)",'Eplus results'!$1:$1048576,ROW(),FALSE)</f>
        <v>0</v>
      </c>
      <c r="AC5475" s="580">
        <f>HLOOKUP("*"&amp;'Output annual'!$AC$2&amp;'Output annual'!$AD$2&amp;"*FangerPMV(Hourly)",'Eplus results'!$1:$1048576,ROW(),FALSE)</f>
        <v>0</v>
      </c>
      <c r="AD5475" s="580">
        <f t="shared" si="461"/>
        <v>5</v>
      </c>
      <c r="AE5475" s="580">
        <f t="shared" si="462"/>
        <v>2.5</v>
      </c>
      <c r="AF5475" s="580">
        <f t="shared" si="463"/>
        <v>2.5</v>
      </c>
      <c r="AG5475" s="580">
        <f t="shared" si="464"/>
        <v>0</v>
      </c>
      <c r="AH5475" s="580">
        <f t="shared" si="465"/>
        <v>0</v>
      </c>
    </row>
    <row r="5476" spans="28:34">
      <c r="AB5476" s="580">
        <f>HLOOKUP("*"&amp;'Output annual'!$AC$2&amp;'Output annual'!$AD$2&amp;"*Zone People Number Of Occupants [](Hourly)",'Eplus results'!$1:$1048576,ROW(),FALSE)</f>
        <v>0</v>
      </c>
      <c r="AC5476" s="580">
        <f>HLOOKUP("*"&amp;'Output annual'!$AC$2&amp;'Output annual'!$AD$2&amp;"*FangerPMV(Hourly)",'Eplus results'!$1:$1048576,ROW(),FALSE)</f>
        <v>0</v>
      </c>
      <c r="AD5476" s="580">
        <f t="shared" si="461"/>
        <v>5</v>
      </c>
      <c r="AE5476" s="580">
        <f t="shared" si="462"/>
        <v>2.5</v>
      </c>
      <c r="AF5476" s="580">
        <f t="shared" si="463"/>
        <v>2.5</v>
      </c>
      <c r="AG5476" s="580">
        <f t="shared" si="464"/>
        <v>0</v>
      </c>
      <c r="AH5476" s="580">
        <f t="shared" si="465"/>
        <v>0</v>
      </c>
    </row>
    <row r="5477" spans="28:34">
      <c r="AB5477" s="580">
        <f>HLOOKUP("*"&amp;'Output annual'!$AC$2&amp;'Output annual'!$AD$2&amp;"*Zone People Number Of Occupants [](Hourly)",'Eplus results'!$1:$1048576,ROW(),FALSE)</f>
        <v>0</v>
      </c>
      <c r="AC5477" s="580">
        <f>HLOOKUP("*"&amp;'Output annual'!$AC$2&amp;'Output annual'!$AD$2&amp;"*FangerPMV(Hourly)",'Eplus results'!$1:$1048576,ROW(),FALSE)</f>
        <v>0</v>
      </c>
      <c r="AD5477" s="580">
        <f t="shared" si="461"/>
        <v>5</v>
      </c>
      <c r="AE5477" s="580">
        <f t="shared" si="462"/>
        <v>2.5</v>
      </c>
      <c r="AF5477" s="580">
        <f t="shared" si="463"/>
        <v>2.5</v>
      </c>
      <c r="AG5477" s="580">
        <f t="shared" si="464"/>
        <v>0</v>
      </c>
      <c r="AH5477" s="580">
        <f t="shared" si="465"/>
        <v>0</v>
      </c>
    </row>
    <row r="5478" spans="28:34">
      <c r="AB5478" s="580">
        <f>HLOOKUP("*"&amp;'Output annual'!$AC$2&amp;'Output annual'!$AD$2&amp;"*Zone People Number Of Occupants [](Hourly)",'Eplus results'!$1:$1048576,ROW(),FALSE)</f>
        <v>0</v>
      </c>
      <c r="AC5478" s="580">
        <f>HLOOKUP("*"&amp;'Output annual'!$AC$2&amp;'Output annual'!$AD$2&amp;"*FangerPMV(Hourly)",'Eplus results'!$1:$1048576,ROW(),FALSE)</f>
        <v>0</v>
      </c>
      <c r="AD5478" s="580">
        <f t="shared" si="461"/>
        <v>5</v>
      </c>
      <c r="AE5478" s="580">
        <f t="shared" si="462"/>
        <v>2.5</v>
      </c>
      <c r="AF5478" s="580">
        <f t="shared" si="463"/>
        <v>2.5</v>
      </c>
      <c r="AG5478" s="580">
        <f t="shared" si="464"/>
        <v>0</v>
      </c>
      <c r="AH5478" s="580">
        <f t="shared" si="465"/>
        <v>0</v>
      </c>
    </row>
    <row r="5479" spans="28:34">
      <c r="AB5479" s="580">
        <f>HLOOKUP("*"&amp;'Output annual'!$AC$2&amp;'Output annual'!$AD$2&amp;"*Zone People Number Of Occupants [](Hourly)",'Eplus results'!$1:$1048576,ROW(),FALSE)</f>
        <v>0</v>
      </c>
      <c r="AC5479" s="580">
        <f>HLOOKUP("*"&amp;'Output annual'!$AC$2&amp;'Output annual'!$AD$2&amp;"*FangerPMV(Hourly)",'Eplus results'!$1:$1048576,ROW(),FALSE)</f>
        <v>0</v>
      </c>
      <c r="AD5479" s="580">
        <f t="shared" si="461"/>
        <v>5</v>
      </c>
      <c r="AE5479" s="580">
        <f t="shared" si="462"/>
        <v>2.5</v>
      </c>
      <c r="AF5479" s="580">
        <f t="shared" si="463"/>
        <v>2.5</v>
      </c>
      <c r="AG5479" s="580">
        <f t="shared" si="464"/>
        <v>0</v>
      </c>
      <c r="AH5479" s="580">
        <f t="shared" si="465"/>
        <v>0</v>
      </c>
    </row>
    <row r="5480" spans="28:34">
      <c r="AB5480" s="580">
        <f>HLOOKUP("*"&amp;'Output annual'!$AC$2&amp;'Output annual'!$AD$2&amp;"*Zone People Number Of Occupants [](Hourly)",'Eplus results'!$1:$1048576,ROW(),FALSE)</f>
        <v>0</v>
      </c>
      <c r="AC5480" s="580">
        <f>HLOOKUP("*"&amp;'Output annual'!$AC$2&amp;'Output annual'!$AD$2&amp;"*FangerPMV(Hourly)",'Eplus results'!$1:$1048576,ROW(),FALSE)</f>
        <v>0</v>
      </c>
      <c r="AD5480" s="580">
        <f t="shared" si="461"/>
        <v>5</v>
      </c>
      <c r="AE5480" s="580">
        <f t="shared" si="462"/>
        <v>2.5</v>
      </c>
      <c r="AF5480" s="580">
        <f t="shared" si="463"/>
        <v>2.5</v>
      </c>
      <c r="AG5480" s="580">
        <f t="shared" si="464"/>
        <v>0</v>
      </c>
      <c r="AH5480" s="580">
        <f t="shared" si="465"/>
        <v>0</v>
      </c>
    </row>
    <row r="5481" spans="28:34">
      <c r="AB5481" s="580">
        <f>HLOOKUP("*"&amp;'Output annual'!$AC$2&amp;'Output annual'!$AD$2&amp;"*Zone People Number Of Occupants [](Hourly)",'Eplus results'!$1:$1048576,ROW(),FALSE)</f>
        <v>0</v>
      </c>
      <c r="AC5481" s="580">
        <f>HLOOKUP("*"&amp;'Output annual'!$AC$2&amp;'Output annual'!$AD$2&amp;"*FangerPMV(Hourly)",'Eplus results'!$1:$1048576,ROW(),FALSE)</f>
        <v>0</v>
      </c>
      <c r="AD5481" s="580">
        <f t="shared" si="461"/>
        <v>5</v>
      </c>
      <c r="AE5481" s="580">
        <f t="shared" si="462"/>
        <v>2.5</v>
      </c>
      <c r="AF5481" s="580">
        <f t="shared" si="463"/>
        <v>2.5</v>
      </c>
      <c r="AG5481" s="580">
        <f t="shared" si="464"/>
        <v>0</v>
      </c>
      <c r="AH5481" s="580">
        <f t="shared" si="465"/>
        <v>0</v>
      </c>
    </row>
    <row r="5482" spans="28:34">
      <c r="AB5482" s="580">
        <f>HLOOKUP("*"&amp;'Output annual'!$AC$2&amp;'Output annual'!$AD$2&amp;"*Zone People Number Of Occupants [](Hourly)",'Eplus results'!$1:$1048576,ROW(),FALSE)</f>
        <v>0</v>
      </c>
      <c r="AC5482" s="580">
        <f>HLOOKUP("*"&amp;'Output annual'!$AC$2&amp;'Output annual'!$AD$2&amp;"*FangerPMV(Hourly)",'Eplus results'!$1:$1048576,ROW(),FALSE)</f>
        <v>0</v>
      </c>
      <c r="AD5482" s="580">
        <f t="shared" si="461"/>
        <v>5</v>
      </c>
      <c r="AE5482" s="580">
        <f t="shared" si="462"/>
        <v>2.5</v>
      </c>
      <c r="AF5482" s="580">
        <f t="shared" si="463"/>
        <v>2.5</v>
      </c>
      <c r="AG5482" s="580">
        <f t="shared" si="464"/>
        <v>0</v>
      </c>
      <c r="AH5482" s="580">
        <f t="shared" si="465"/>
        <v>0</v>
      </c>
    </row>
    <row r="5483" spans="28:34">
      <c r="AB5483" s="580">
        <f>HLOOKUP("*"&amp;'Output annual'!$AC$2&amp;'Output annual'!$AD$2&amp;"*Zone People Number Of Occupants [](Hourly)",'Eplus results'!$1:$1048576,ROW(),FALSE)</f>
        <v>0</v>
      </c>
      <c r="AC5483" s="580">
        <f>HLOOKUP("*"&amp;'Output annual'!$AC$2&amp;'Output annual'!$AD$2&amp;"*FangerPMV(Hourly)",'Eplus results'!$1:$1048576,ROW(),FALSE)</f>
        <v>0</v>
      </c>
      <c r="AD5483" s="580">
        <f t="shared" si="461"/>
        <v>5</v>
      </c>
      <c r="AE5483" s="580">
        <f t="shared" si="462"/>
        <v>2.5</v>
      </c>
      <c r="AF5483" s="580">
        <f t="shared" si="463"/>
        <v>2.5</v>
      </c>
      <c r="AG5483" s="580">
        <f t="shared" si="464"/>
        <v>0</v>
      </c>
      <c r="AH5483" s="580">
        <f t="shared" si="465"/>
        <v>0</v>
      </c>
    </row>
    <row r="5484" spans="28:34">
      <c r="AB5484" s="580">
        <f>HLOOKUP("*"&amp;'Output annual'!$AC$2&amp;'Output annual'!$AD$2&amp;"*Zone People Number Of Occupants [](Hourly)",'Eplus results'!$1:$1048576,ROW(),FALSE)</f>
        <v>0</v>
      </c>
      <c r="AC5484" s="580">
        <f>HLOOKUP("*"&amp;'Output annual'!$AC$2&amp;'Output annual'!$AD$2&amp;"*FangerPMV(Hourly)",'Eplus results'!$1:$1048576,ROW(),FALSE)</f>
        <v>0</v>
      </c>
      <c r="AD5484" s="580">
        <f t="shared" si="461"/>
        <v>5</v>
      </c>
      <c r="AE5484" s="580">
        <f t="shared" si="462"/>
        <v>2.5</v>
      </c>
      <c r="AF5484" s="580">
        <f t="shared" si="463"/>
        <v>2.5</v>
      </c>
      <c r="AG5484" s="580">
        <f t="shared" si="464"/>
        <v>0</v>
      </c>
      <c r="AH5484" s="580">
        <f t="shared" si="465"/>
        <v>0</v>
      </c>
    </row>
    <row r="5485" spans="28:34">
      <c r="AB5485" s="580">
        <f>HLOOKUP("*"&amp;'Output annual'!$AC$2&amp;'Output annual'!$AD$2&amp;"*Zone People Number Of Occupants [](Hourly)",'Eplus results'!$1:$1048576,ROW(),FALSE)</f>
        <v>0</v>
      </c>
      <c r="AC5485" s="580">
        <f>HLOOKUP("*"&amp;'Output annual'!$AC$2&amp;'Output annual'!$AD$2&amp;"*FangerPMV(Hourly)",'Eplus results'!$1:$1048576,ROW(),FALSE)</f>
        <v>0</v>
      </c>
      <c r="AD5485" s="580">
        <f t="shared" si="461"/>
        <v>5</v>
      </c>
      <c r="AE5485" s="580">
        <f t="shared" si="462"/>
        <v>2.5</v>
      </c>
      <c r="AF5485" s="580">
        <f t="shared" si="463"/>
        <v>2.5</v>
      </c>
      <c r="AG5485" s="580">
        <f t="shared" si="464"/>
        <v>0</v>
      </c>
      <c r="AH5485" s="580">
        <f t="shared" si="465"/>
        <v>0</v>
      </c>
    </row>
    <row r="5486" spans="28:34">
      <c r="AB5486" s="580">
        <f>HLOOKUP("*"&amp;'Output annual'!$AC$2&amp;'Output annual'!$AD$2&amp;"*Zone People Number Of Occupants [](Hourly)",'Eplus results'!$1:$1048576,ROW(),FALSE)</f>
        <v>0</v>
      </c>
      <c r="AC5486" s="580">
        <f>HLOOKUP("*"&amp;'Output annual'!$AC$2&amp;'Output annual'!$AD$2&amp;"*FangerPMV(Hourly)",'Eplus results'!$1:$1048576,ROW(),FALSE)</f>
        <v>0</v>
      </c>
      <c r="AD5486" s="580">
        <f t="shared" si="461"/>
        <v>5</v>
      </c>
      <c r="AE5486" s="580">
        <f t="shared" si="462"/>
        <v>2.5</v>
      </c>
      <c r="AF5486" s="580">
        <f t="shared" si="463"/>
        <v>2.5</v>
      </c>
      <c r="AG5486" s="580">
        <f t="shared" si="464"/>
        <v>0</v>
      </c>
      <c r="AH5486" s="580">
        <f t="shared" si="465"/>
        <v>0</v>
      </c>
    </row>
    <row r="5487" spans="28:34">
      <c r="AB5487" s="580">
        <f>HLOOKUP("*"&amp;'Output annual'!$AC$2&amp;'Output annual'!$AD$2&amp;"*Zone People Number Of Occupants [](Hourly)",'Eplus results'!$1:$1048576,ROW(),FALSE)</f>
        <v>0</v>
      </c>
      <c r="AC5487" s="580">
        <f>HLOOKUP("*"&amp;'Output annual'!$AC$2&amp;'Output annual'!$AD$2&amp;"*FangerPMV(Hourly)",'Eplus results'!$1:$1048576,ROW(),FALSE)</f>
        <v>0</v>
      </c>
      <c r="AD5487" s="580">
        <f t="shared" si="461"/>
        <v>5</v>
      </c>
      <c r="AE5487" s="580">
        <f t="shared" si="462"/>
        <v>2.5</v>
      </c>
      <c r="AF5487" s="580">
        <f t="shared" si="463"/>
        <v>2.5</v>
      </c>
      <c r="AG5487" s="580">
        <f t="shared" si="464"/>
        <v>0</v>
      </c>
      <c r="AH5487" s="580">
        <f t="shared" si="465"/>
        <v>0</v>
      </c>
    </row>
    <row r="5488" spans="28:34">
      <c r="AB5488" s="580">
        <f>HLOOKUP("*"&amp;'Output annual'!$AC$2&amp;'Output annual'!$AD$2&amp;"*Zone People Number Of Occupants [](Hourly)",'Eplus results'!$1:$1048576,ROW(),FALSE)</f>
        <v>0</v>
      </c>
      <c r="AC5488" s="580">
        <f>HLOOKUP("*"&amp;'Output annual'!$AC$2&amp;'Output annual'!$AD$2&amp;"*FangerPMV(Hourly)",'Eplus results'!$1:$1048576,ROW(),FALSE)</f>
        <v>0</v>
      </c>
      <c r="AD5488" s="580">
        <f t="shared" si="461"/>
        <v>5</v>
      </c>
      <c r="AE5488" s="580">
        <f t="shared" si="462"/>
        <v>2.5</v>
      </c>
      <c r="AF5488" s="580">
        <f t="shared" si="463"/>
        <v>2.5</v>
      </c>
      <c r="AG5488" s="580">
        <f t="shared" si="464"/>
        <v>0</v>
      </c>
      <c r="AH5488" s="580">
        <f t="shared" si="465"/>
        <v>0</v>
      </c>
    </row>
    <row r="5489" spans="28:34">
      <c r="AB5489" s="580">
        <f>HLOOKUP("*"&amp;'Output annual'!$AC$2&amp;'Output annual'!$AD$2&amp;"*Zone People Number Of Occupants [](Hourly)",'Eplus results'!$1:$1048576,ROW(),FALSE)</f>
        <v>0</v>
      </c>
      <c r="AC5489" s="580">
        <f>HLOOKUP("*"&amp;'Output annual'!$AC$2&amp;'Output annual'!$AD$2&amp;"*FangerPMV(Hourly)",'Eplus results'!$1:$1048576,ROW(),FALSE)</f>
        <v>0</v>
      </c>
      <c r="AD5489" s="580">
        <f t="shared" si="461"/>
        <v>5</v>
      </c>
      <c r="AE5489" s="580">
        <f t="shared" si="462"/>
        <v>2.5</v>
      </c>
      <c r="AF5489" s="580">
        <f t="shared" si="463"/>
        <v>2.5</v>
      </c>
      <c r="AG5489" s="580">
        <f t="shared" si="464"/>
        <v>0</v>
      </c>
      <c r="AH5489" s="580">
        <f t="shared" si="465"/>
        <v>0</v>
      </c>
    </row>
    <row r="5490" spans="28:34">
      <c r="AB5490" s="580">
        <f>HLOOKUP("*"&amp;'Output annual'!$AC$2&amp;'Output annual'!$AD$2&amp;"*Zone People Number Of Occupants [](Hourly)",'Eplus results'!$1:$1048576,ROW(),FALSE)</f>
        <v>0</v>
      </c>
      <c r="AC5490" s="580">
        <f>HLOOKUP("*"&amp;'Output annual'!$AC$2&amp;'Output annual'!$AD$2&amp;"*FangerPMV(Hourly)",'Eplus results'!$1:$1048576,ROW(),FALSE)</f>
        <v>0</v>
      </c>
      <c r="AD5490" s="580">
        <f t="shared" si="461"/>
        <v>5</v>
      </c>
      <c r="AE5490" s="580">
        <f t="shared" si="462"/>
        <v>2.5</v>
      </c>
      <c r="AF5490" s="580">
        <f t="shared" si="463"/>
        <v>2.5</v>
      </c>
      <c r="AG5490" s="580">
        <f t="shared" si="464"/>
        <v>0</v>
      </c>
      <c r="AH5490" s="580">
        <f t="shared" si="465"/>
        <v>0</v>
      </c>
    </row>
    <row r="5491" spans="28:34">
      <c r="AB5491" s="580">
        <f>HLOOKUP("*"&amp;'Output annual'!$AC$2&amp;'Output annual'!$AD$2&amp;"*Zone People Number Of Occupants [](Hourly)",'Eplus results'!$1:$1048576,ROW(),FALSE)</f>
        <v>0</v>
      </c>
      <c r="AC5491" s="580">
        <f>HLOOKUP("*"&amp;'Output annual'!$AC$2&amp;'Output annual'!$AD$2&amp;"*FangerPMV(Hourly)",'Eplus results'!$1:$1048576,ROW(),FALSE)</f>
        <v>0</v>
      </c>
      <c r="AD5491" s="580">
        <f t="shared" si="461"/>
        <v>5</v>
      </c>
      <c r="AE5491" s="580">
        <f t="shared" si="462"/>
        <v>2.5</v>
      </c>
      <c r="AF5491" s="580">
        <f t="shared" si="463"/>
        <v>2.5</v>
      </c>
      <c r="AG5491" s="580">
        <f t="shared" si="464"/>
        <v>0</v>
      </c>
      <c r="AH5491" s="580">
        <f t="shared" si="465"/>
        <v>0</v>
      </c>
    </row>
    <row r="5492" spans="28:34">
      <c r="AB5492" s="580">
        <f>HLOOKUP("*"&amp;'Output annual'!$AC$2&amp;'Output annual'!$AD$2&amp;"*Zone People Number Of Occupants [](Hourly)",'Eplus results'!$1:$1048576,ROW(),FALSE)</f>
        <v>0</v>
      </c>
      <c r="AC5492" s="580">
        <f>HLOOKUP("*"&amp;'Output annual'!$AC$2&amp;'Output annual'!$AD$2&amp;"*FangerPMV(Hourly)",'Eplus results'!$1:$1048576,ROW(),FALSE)</f>
        <v>0</v>
      </c>
      <c r="AD5492" s="580">
        <f t="shared" si="461"/>
        <v>5</v>
      </c>
      <c r="AE5492" s="580">
        <f t="shared" si="462"/>
        <v>2.5</v>
      </c>
      <c r="AF5492" s="580">
        <f t="shared" si="463"/>
        <v>2.5</v>
      </c>
      <c r="AG5492" s="580">
        <f t="shared" si="464"/>
        <v>0</v>
      </c>
      <c r="AH5492" s="580">
        <f t="shared" si="465"/>
        <v>0</v>
      </c>
    </row>
    <row r="5493" spans="28:34">
      <c r="AB5493" s="580">
        <f>HLOOKUP("*"&amp;'Output annual'!$AC$2&amp;'Output annual'!$AD$2&amp;"*Zone People Number Of Occupants [](Hourly)",'Eplus results'!$1:$1048576,ROW(),FALSE)</f>
        <v>0</v>
      </c>
      <c r="AC5493" s="580">
        <f>HLOOKUP("*"&amp;'Output annual'!$AC$2&amp;'Output annual'!$AD$2&amp;"*FangerPMV(Hourly)",'Eplus results'!$1:$1048576,ROW(),FALSE)</f>
        <v>0</v>
      </c>
      <c r="AD5493" s="580">
        <f t="shared" si="461"/>
        <v>5</v>
      </c>
      <c r="AE5493" s="580">
        <f t="shared" si="462"/>
        <v>2.5</v>
      </c>
      <c r="AF5493" s="580">
        <f t="shared" si="463"/>
        <v>2.5</v>
      </c>
      <c r="AG5493" s="580">
        <f t="shared" si="464"/>
        <v>0</v>
      </c>
      <c r="AH5493" s="580">
        <f t="shared" si="465"/>
        <v>0</v>
      </c>
    </row>
    <row r="5494" spans="28:34">
      <c r="AB5494" s="580">
        <f>HLOOKUP("*"&amp;'Output annual'!$AC$2&amp;'Output annual'!$AD$2&amp;"*Zone People Number Of Occupants [](Hourly)",'Eplus results'!$1:$1048576,ROW(),FALSE)</f>
        <v>0</v>
      </c>
      <c r="AC5494" s="580">
        <f>HLOOKUP("*"&amp;'Output annual'!$AC$2&amp;'Output annual'!$AD$2&amp;"*FangerPMV(Hourly)",'Eplus results'!$1:$1048576,ROW(),FALSE)</f>
        <v>0</v>
      </c>
      <c r="AD5494" s="580">
        <f t="shared" si="461"/>
        <v>5</v>
      </c>
      <c r="AE5494" s="580">
        <f t="shared" si="462"/>
        <v>2.5</v>
      </c>
      <c r="AF5494" s="580">
        <f t="shared" si="463"/>
        <v>2.5</v>
      </c>
      <c r="AG5494" s="580">
        <f t="shared" si="464"/>
        <v>0</v>
      </c>
      <c r="AH5494" s="580">
        <f t="shared" si="465"/>
        <v>0</v>
      </c>
    </row>
    <row r="5495" spans="28:34">
      <c r="AB5495" s="580">
        <f>HLOOKUP("*"&amp;'Output annual'!$AC$2&amp;'Output annual'!$AD$2&amp;"*Zone People Number Of Occupants [](Hourly)",'Eplus results'!$1:$1048576,ROW(),FALSE)</f>
        <v>0</v>
      </c>
      <c r="AC5495" s="580">
        <f>HLOOKUP("*"&amp;'Output annual'!$AC$2&amp;'Output annual'!$AD$2&amp;"*FangerPMV(Hourly)",'Eplus results'!$1:$1048576,ROW(),FALSE)</f>
        <v>0</v>
      </c>
      <c r="AD5495" s="580">
        <f t="shared" si="461"/>
        <v>5</v>
      </c>
      <c r="AE5495" s="580">
        <f t="shared" si="462"/>
        <v>2.5</v>
      </c>
      <c r="AF5495" s="580">
        <f t="shared" si="463"/>
        <v>2.5</v>
      </c>
      <c r="AG5495" s="580">
        <f t="shared" si="464"/>
        <v>0</v>
      </c>
      <c r="AH5495" s="580">
        <f t="shared" si="465"/>
        <v>0</v>
      </c>
    </row>
    <row r="5496" spans="28:34">
      <c r="AB5496" s="580">
        <f>HLOOKUP("*"&amp;'Output annual'!$AC$2&amp;'Output annual'!$AD$2&amp;"*Zone People Number Of Occupants [](Hourly)",'Eplus results'!$1:$1048576,ROW(),FALSE)</f>
        <v>0</v>
      </c>
      <c r="AC5496" s="580">
        <f>HLOOKUP("*"&amp;'Output annual'!$AC$2&amp;'Output annual'!$AD$2&amp;"*FangerPMV(Hourly)",'Eplus results'!$1:$1048576,ROW(),FALSE)</f>
        <v>0</v>
      </c>
      <c r="AD5496" s="580">
        <f t="shared" si="461"/>
        <v>5</v>
      </c>
      <c r="AE5496" s="580">
        <f t="shared" si="462"/>
        <v>2.5</v>
      </c>
      <c r="AF5496" s="580">
        <f t="shared" si="463"/>
        <v>2.5</v>
      </c>
      <c r="AG5496" s="580">
        <f t="shared" si="464"/>
        <v>0</v>
      </c>
      <c r="AH5496" s="580">
        <f t="shared" si="465"/>
        <v>0</v>
      </c>
    </row>
    <row r="5497" spans="28:34">
      <c r="AB5497" s="580">
        <f>HLOOKUP("*"&amp;'Output annual'!$AC$2&amp;'Output annual'!$AD$2&amp;"*Zone People Number Of Occupants [](Hourly)",'Eplus results'!$1:$1048576,ROW(),FALSE)</f>
        <v>0</v>
      </c>
      <c r="AC5497" s="580">
        <f>HLOOKUP("*"&amp;'Output annual'!$AC$2&amp;'Output annual'!$AD$2&amp;"*FangerPMV(Hourly)",'Eplus results'!$1:$1048576,ROW(),FALSE)</f>
        <v>0</v>
      </c>
      <c r="AD5497" s="580">
        <f t="shared" si="461"/>
        <v>5</v>
      </c>
      <c r="AE5497" s="580">
        <f t="shared" si="462"/>
        <v>2.5</v>
      </c>
      <c r="AF5497" s="580">
        <f t="shared" si="463"/>
        <v>2.5</v>
      </c>
      <c r="AG5497" s="580">
        <f t="shared" si="464"/>
        <v>0</v>
      </c>
      <c r="AH5497" s="580">
        <f t="shared" si="465"/>
        <v>0</v>
      </c>
    </row>
    <row r="5498" spans="28:34">
      <c r="AB5498" s="580">
        <f>HLOOKUP("*"&amp;'Output annual'!$AC$2&amp;'Output annual'!$AD$2&amp;"*Zone People Number Of Occupants [](Hourly)",'Eplus results'!$1:$1048576,ROW(),FALSE)</f>
        <v>0</v>
      </c>
      <c r="AC5498" s="580">
        <f>HLOOKUP("*"&amp;'Output annual'!$AC$2&amp;'Output annual'!$AD$2&amp;"*FangerPMV(Hourly)",'Eplus results'!$1:$1048576,ROW(),FALSE)</f>
        <v>0</v>
      </c>
      <c r="AD5498" s="580">
        <f t="shared" si="461"/>
        <v>5</v>
      </c>
      <c r="AE5498" s="580">
        <f t="shared" si="462"/>
        <v>2.5</v>
      </c>
      <c r="AF5498" s="580">
        <f t="shared" si="463"/>
        <v>2.5</v>
      </c>
      <c r="AG5498" s="580">
        <f t="shared" si="464"/>
        <v>0</v>
      </c>
      <c r="AH5498" s="580">
        <f t="shared" si="465"/>
        <v>0</v>
      </c>
    </row>
    <row r="5499" spans="28:34">
      <c r="AB5499" s="580">
        <f>HLOOKUP("*"&amp;'Output annual'!$AC$2&amp;'Output annual'!$AD$2&amp;"*Zone People Number Of Occupants [](Hourly)",'Eplus results'!$1:$1048576,ROW(),FALSE)</f>
        <v>0</v>
      </c>
      <c r="AC5499" s="580">
        <f>HLOOKUP("*"&amp;'Output annual'!$AC$2&amp;'Output annual'!$AD$2&amp;"*FangerPMV(Hourly)",'Eplus results'!$1:$1048576,ROW(),FALSE)</f>
        <v>0</v>
      </c>
      <c r="AD5499" s="580">
        <f t="shared" si="461"/>
        <v>5</v>
      </c>
      <c r="AE5499" s="580">
        <f t="shared" si="462"/>
        <v>2.5</v>
      </c>
      <c r="AF5499" s="580">
        <f t="shared" si="463"/>
        <v>2.5</v>
      </c>
      <c r="AG5499" s="580">
        <f t="shared" si="464"/>
        <v>0</v>
      </c>
      <c r="AH5499" s="580">
        <f t="shared" si="465"/>
        <v>0</v>
      </c>
    </row>
    <row r="5500" spans="28:34">
      <c r="AB5500" s="580">
        <f>HLOOKUP("*"&amp;'Output annual'!$AC$2&amp;'Output annual'!$AD$2&amp;"*Zone People Number Of Occupants [](Hourly)",'Eplus results'!$1:$1048576,ROW(),FALSE)</f>
        <v>0</v>
      </c>
      <c r="AC5500" s="580">
        <f>HLOOKUP("*"&amp;'Output annual'!$AC$2&amp;'Output annual'!$AD$2&amp;"*FangerPMV(Hourly)",'Eplus results'!$1:$1048576,ROW(),FALSE)</f>
        <v>0</v>
      </c>
      <c r="AD5500" s="580">
        <f t="shared" si="461"/>
        <v>5</v>
      </c>
      <c r="AE5500" s="580">
        <f t="shared" si="462"/>
        <v>2.5</v>
      </c>
      <c r="AF5500" s="580">
        <f t="shared" si="463"/>
        <v>2.5</v>
      </c>
      <c r="AG5500" s="580">
        <f t="shared" si="464"/>
        <v>0</v>
      </c>
      <c r="AH5500" s="580">
        <f t="shared" si="465"/>
        <v>0</v>
      </c>
    </row>
    <row r="5501" spans="28:34">
      <c r="AB5501" s="580">
        <f>HLOOKUP("*"&amp;'Output annual'!$AC$2&amp;'Output annual'!$AD$2&amp;"*Zone People Number Of Occupants [](Hourly)",'Eplus results'!$1:$1048576,ROW(),FALSE)</f>
        <v>0</v>
      </c>
      <c r="AC5501" s="580">
        <f>HLOOKUP("*"&amp;'Output annual'!$AC$2&amp;'Output annual'!$AD$2&amp;"*FangerPMV(Hourly)",'Eplus results'!$1:$1048576,ROW(),FALSE)</f>
        <v>0</v>
      </c>
      <c r="AD5501" s="580">
        <f t="shared" si="461"/>
        <v>5</v>
      </c>
      <c r="AE5501" s="580">
        <f t="shared" si="462"/>
        <v>2.5</v>
      </c>
      <c r="AF5501" s="580">
        <f t="shared" si="463"/>
        <v>2.5</v>
      </c>
      <c r="AG5501" s="580">
        <f t="shared" si="464"/>
        <v>0</v>
      </c>
      <c r="AH5501" s="580">
        <f t="shared" si="465"/>
        <v>0</v>
      </c>
    </row>
    <row r="5502" spans="28:34">
      <c r="AB5502" s="580">
        <f>HLOOKUP("*"&amp;'Output annual'!$AC$2&amp;'Output annual'!$AD$2&amp;"*Zone People Number Of Occupants [](Hourly)",'Eplus results'!$1:$1048576,ROW(),FALSE)</f>
        <v>0</v>
      </c>
      <c r="AC5502" s="580">
        <f>HLOOKUP("*"&amp;'Output annual'!$AC$2&amp;'Output annual'!$AD$2&amp;"*FangerPMV(Hourly)",'Eplus results'!$1:$1048576,ROW(),FALSE)</f>
        <v>0</v>
      </c>
      <c r="AD5502" s="580">
        <f t="shared" si="461"/>
        <v>5</v>
      </c>
      <c r="AE5502" s="580">
        <f t="shared" si="462"/>
        <v>2.5</v>
      </c>
      <c r="AF5502" s="580">
        <f t="shared" si="463"/>
        <v>2.5</v>
      </c>
      <c r="AG5502" s="580">
        <f t="shared" si="464"/>
        <v>0</v>
      </c>
      <c r="AH5502" s="580">
        <f t="shared" si="465"/>
        <v>0</v>
      </c>
    </row>
    <row r="5503" spans="28:34">
      <c r="AB5503" s="580">
        <f>HLOOKUP("*"&amp;'Output annual'!$AC$2&amp;'Output annual'!$AD$2&amp;"*Zone People Number Of Occupants [](Hourly)",'Eplus results'!$1:$1048576,ROW(),FALSE)</f>
        <v>0</v>
      </c>
      <c r="AC5503" s="580">
        <f>HLOOKUP("*"&amp;'Output annual'!$AC$2&amp;'Output annual'!$AD$2&amp;"*FangerPMV(Hourly)",'Eplus results'!$1:$1048576,ROW(),FALSE)</f>
        <v>0</v>
      </c>
      <c r="AD5503" s="580">
        <f t="shared" si="461"/>
        <v>5</v>
      </c>
      <c r="AE5503" s="580">
        <f t="shared" si="462"/>
        <v>2.5</v>
      </c>
      <c r="AF5503" s="580">
        <f t="shared" si="463"/>
        <v>2.5</v>
      </c>
      <c r="AG5503" s="580">
        <f t="shared" si="464"/>
        <v>0</v>
      </c>
      <c r="AH5503" s="580">
        <f t="shared" si="465"/>
        <v>0</v>
      </c>
    </row>
    <row r="5504" spans="28:34">
      <c r="AB5504" s="580">
        <f>HLOOKUP("*"&amp;'Output annual'!$AC$2&amp;'Output annual'!$AD$2&amp;"*Zone People Number Of Occupants [](Hourly)",'Eplus results'!$1:$1048576,ROW(),FALSE)</f>
        <v>0</v>
      </c>
      <c r="AC5504" s="580">
        <f>HLOOKUP("*"&amp;'Output annual'!$AC$2&amp;'Output annual'!$AD$2&amp;"*FangerPMV(Hourly)",'Eplus results'!$1:$1048576,ROW(),FALSE)</f>
        <v>0</v>
      </c>
      <c r="AD5504" s="580">
        <f t="shared" si="461"/>
        <v>5</v>
      </c>
      <c r="AE5504" s="580">
        <f t="shared" si="462"/>
        <v>2.5</v>
      </c>
      <c r="AF5504" s="580">
        <f t="shared" si="463"/>
        <v>2.5</v>
      </c>
      <c r="AG5504" s="580">
        <f t="shared" si="464"/>
        <v>0</v>
      </c>
      <c r="AH5504" s="580">
        <f t="shared" si="465"/>
        <v>0</v>
      </c>
    </row>
    <row r="5505" spans="28:34">
      <c r="AB5505" s="580">
        <f>HLOOKUP("*"&amp;'Output annual'!$AC$2&amp;'Output annual'!$AD$2&amp;"*Zone People Number Of Occupants [](Hourly)",'Eplus results'!$1:$1048576,ROW(),FALSE)</f>
        <v>0</v>
      </c>
      <c r="AC5505" s="580">
        <f>HLOOKUP("*"&amp;'Output annual'!$AC$2&amp;'Output annual'!$AD$2&amp;"*FangerPMV(Hourly)",'Eplus results'!$1:$1048576,ROW(),FALSE)</f>
        <v>0</v>
      </c>
      <c r="AD5505" s="580">
        <f t="shared" si="461"/>
        <v>5</v>
      </c>
      <c r="AE5505" s="580">
        <f t="shared" si="462"/>
        <v>2.5</v>
      </c>
      <c r="AF5505" s="580">
        <f t="shared" si="463"/>
        <v>2.5</v>
      </c>
      <c r="AG5505" s="580">
        <f t="shared" si="464"/>
        <v>0</v>
      </c>
      <c r="AH5505" s="580">
        <f t="shared" si="465"/>
        <v>0</v>
      </c>
    </row>
    <row r="5506" spans="28:34">
      <c r="AB5506" s="580">
        <f>HLOOKUP("*"&amp;'Output annual'!$AC$2&amp;'Output annual'!$AD$2&amp;"*Zone People Number Of Occupants [](Hourly)",'Eplus results'!$1:$1048576,ROW(),FALSE)</f>
        <v>0</v>
      </c>
      <c r="AC5506" s="580">
        <f>HLOOKUP("*"&amp;'Output annual'!$AC$2&amp;'Output annual'!$AD$2&amp;"*FangerPMV(Hourly)",'Eplus results'!$1:$1048576,ROW(),FALSE)</f>
        <v>0</v>
      </c>
      <c r="AD5506" s="580">
        <f t="shared" si="461"/>
        <v>5</v>
      </c>
      <c r="AE5506" s="580">
        <f t="shared" si="462"/>
        <v>2.5</v>
      </c>
      <c r="AF5506" s="580">
        <f t="shared" si="463"/>
        <v>2.5</v>
      </c>
      <c r="AG5506" s="580">
        <f t="shared" si="464"/>
        <v>0</v>
      </c>
      <c r="AH5506" s="580">
        <f t="shared" si="465"/>
        <v>0</v>
      </c>
    </row>
    <row r="5507" spans="28:34">
      <c r="AB5507" s="580">
        <f>HLOOKUP("*"&amp;'Output annual'!$AC$2&amp;'Output annual'!$AD$2&amp;"*Zone People Number Of Occupants [](Hourly)",'Eplus results'!$1:$1048576,ROW(),FALSE)</f>
        <v>0</v>
      </c>
      <c r="AC5507" s="580">
        <f>HLOOKUP("*"&amp;'Output annual'!$AC$2&amp;'Output annual'!$AD$2&amp;"*FangerPMV(Hourly)",'Eplus results'!$1:$1048576,ROW(),FALSE)</f>
        <v>0</v>
      </c>
      <c r="AD5507" s="580">
        <f t="shared" ref="AD5507:AD5570" si="466">100-95*EXP(-0.03353*AC5507^4-0.2179*AC5507^2)</f>
        <v>5</v>
      </c>
      <c r="AE5507" s="580">
        <f t="shared" ref="AE5507:AE5570" si="467">AD5507*(1/(1+EXP(-6.3*$AC5507)))</f>
        <v>2.5</v>
      </c>
      <c r="AF5507" s="580">
        <f t="shared" ref="AF5507:AF5570" si="468">(AD5507-AE5507)</f>
        <v>2.5</v>
      </c>
      <c r="AG5507" s="580">
        <f t="shared" ref="AG5507:AG5570" si="469">AE5507*AB5507</f>
        <v>0</v>
      </c>
      <c r="AH5507" s="580">
        <f t="shared" ref="AH5507:AH5570" si="470">AF5507*AB5507</f>
        <v>0</v>
      </c>
    </row>
    <row r="5508" spans="28:34">
      <c r="AB5508" s="580">
        <f>HLOOKUP("*"&amp;'Output annual'!$AC$2&amp;'Output annual'!$AD$2&amp;"*Zone People Number Of Occupants [](Hourly)",'Eplus results'!$1:$1048576,ROW(),FALSE)</f>
        <v>0</v>
      </c>
      <c r="AC5508" s="580">
        <f>HLOOKUP("*"&amp;'Output annual'!$AC$2&amp;'Output annual'!$AD$2&amp;"*FangerPMV(Hourly)",'Eplus results'!$1:$1048576,ROW(),FALSE)</f>
        <v>0</v>
      </c>
      <c r="AD5508" s="580">
        <f t="shared" si="466"/>
        <v>5</v>
      </c>
      <c r="AE5508" s="580">
        <f t="shared" si="467"/>
        <v>2.5</v>
      </c>
      <c r="AF5508" s="580">
        <f t="shared" si="468"/>
        <v>2.5</v>
      </c>
      <c r="AG5508" s="580">
        <f t="shared" si="469"/>
        <v>0</v>
      </c>
      <c r="AH5508" s="580">
        <f t="shared" si="470"/>
        <v>0</v>
      </c>
    </row>
    <row r="5509" spans="28:34">
      <c r="AB5509" s="580">
        <f>HLOOKUP("*"&amp;'Output annual'!$AC$2&amp;'Output annual'!$AD$2&amp;"*Zone People Number Of Occupants [](Hourly)",'Eplus results'!$1:$1048576,ROW(),FALSE)</f>
        <v>0</v>
      </c>
      <c r="AC5509" s="580">
        <f>HLOOKUP("*"&amp;'Output annual'!$AC$2&amp;'Output annual'!$AD$2&amp;"*FangerPMV(Hourly)",'Eplus results'!$1:$1048576,ROW(),FALSE)</f>
        <v>0</v>
      </c>
      <c r="AD5509" s="580">
        <f t="shared" si="466"/>
        <v>5</v>
      </c>
      <c r="AE5509" s="580">
        <f t="shared" si="467"/>
        <v>2.5</v>
      </c>
      <c r="AF5509" s="580">
        <f t="shared" si="468"/>
        <v>2.5</v>
      </c>
      <c r="AG5509" s="580">
        <f t="shared" si="469"/>
        <v>0</v>
      </c>
      <c r="AH5509" s="580">
        <f t="shared" si="470"/>
        <v>0</v>
      </c>
    </row>
    <row r="5510" spans="28:34">
      <c r="AB5510" s="580">
        <f>HLOOKUP("*"&amp;'Output annual'!$AC$2&amp;'Output annual'!$AD$2&amp;"*Zone People Number Of Occupants [](Hourly)",'Eplus results'!$1:$1048576,ROW(),FALSE)</f>
        <v>0</v>
      </c>
      <c r="AC5510" s="580">
        <f>HLOOKUP("*"&amp;'Output annual'!$AC$2&amp;'Output annual'!$AD$2&amp;"*FangerPMV(Hourly)",'Eplus results'!$1:$1048576,ROW(),FALSE)</f>
        <v>0</v>
      </c>
      <c r="AD5510" s="580">
        <f t="shared" si="466"/>
        <v>5</v>
      </c>
      <c r="AE5510" s="580">
        <f t="shared" si="467"/>
        <v>2.5</v>
      </c>
      <c r="AF5510" s="580">
        <f t="shared" si="468"/>
        <v>2.5</v>
      </c>
      <c r="AG5510" s="580">
        <f t="shared" si="469"/>
        <v>0</v>
      </c>
      <c r="AH5510" s="580">
        <f t="shared" si="470"/>
        <v>0</v>
      </c>
    </row>
    <row r="5511" spans="28:34">
      <c r="AB5511" s="580">
        <f>HLOOKUP("*"&amp;'Output annual'!$AC$2&amp;'Output annual'!$AD$2&amp;"*Zone People Number Of Occupants [](Hourly)",'Eplus results'!$1:$1048576,ROW(),FALSE)</f>
        <v>0</v>
      </c>
      <c r="AC5511" s="580">
        <f>HLOOKUP("*"&amp;'Output annual'!$AC$2&amp;'Output annual'!$AD$2&amp;"*FangerPMV(Hourly)",'Eplus results'!$1:$1048576,ROW(),FALSE)</f>
        <v>0</v>
      </c>
      <c r="AD5511" s="580">
        <f t="shared" si="466"/>
        <v>5</v>
      </c>
      <c r="AE5511" s="580">
        <f t="shared" si="467"/>
        <v>2.5</v>
      </c>
      <c r="AF5511" s="580">
        <f t="shared" si="468"/>
        <v>2.5</v>
      </c>
      <c r="AG5511" s="580">
        <f t="shared" si="469"/>
        <v>0</v>
      </c>
      <c r="AH5511" s="580">
        <f t="shared" si="470"/>
        <v>0</v>
      </c>
    </row>
    <row r="5512" spans="28:34">
      <c r="AB5512" s="580">
        <f>HLOOKUP("*"&amp;'Output annual'!$AC$2&amp;'Output annual'!$AD$2&amp;"*Zone People Number Of Occupants [](Hourly)",'Eplus results'!$1:$1048576,ROW(),FALSE)</f>
        <v>0</v>
      </c>
      <c r="AC5512" s="580">
        <f>HLOOKUP("*"&amp;'Output annual'!$AC$2&amp;'Output annual'!$AD$2&amp;"*FangerPMV(Hourly)",'Eplus results'!$1:$1048576,ROW(),FALSE)</f>
        <v>0</v>
      </c>
      <c r="AD5512" s="580">
        <f t="shared" si="466"/>
        <v>5</v>
      </c>
      <c r="AE5512" s="580">
        <f t="shared" si="467"/>
        <v>2.5</v>
      </c>
      <c r="AF5512" s="580">
        <f t="shared" si="468"/>
        <v>2.5</v>
      </c>
      <c r="AG5512" s="580">
        <f t="shared" si="469"/>
        <v>0</v>
      </c>
      <c r="AH5512" s="580">
        <f t="shared" si="470"/>
        <v>0</v>
      </c>
    </row>
    <row r="5513" spans="28:34">
      <c r="AB5513" s="580">
        <f>HLOOKUP("*"&amp;'Output annual'!$AC$2&amp;'Output annual'!$AD$2&amp;"*Zone People Number Of Occupants [](Hourly)",'Eplus results'!$1:$1048576,ROW(),FALSE)</f>
        <v>0</v>
      </c>
      <c r="AC5513" s="580">
        <f>HLOOKUP("*"&amp;'Output annual'!$AC$2&amp;'Output annual'!$AD$2&amp;"*FangerPMV(Hourly)",'Eplus results'!$1:$1048576,ROW(),FALSE)</f>
        <v>0</v>
      </c>
      <c r="AD5513" s="580">
        <f t="shared" si="466"/>
        <v>5</v>
      </c>
      <c r="AE5513" s="580">
        <f t="shared" si="467"/>
        <v>2.5</v>
      </c>
      <c r="AF5513" s="580">
        <f t="shared" si="468"/>
        <v>2.5</v>
      </c>
      <c r="AG5513" s="580">
        <f t="shared" si="469"/>
        <v>0</v>
      </c>
      <c r="AH5513" s="580">
        <f t="shared" si="470"/>
        <v>0</v>
      </c>
    </row>
    <row r="5514" spans="28:34">
      <c r="AB5514" s="580">
        <f>HLOOKUP("*"&amp;'Output annual'!$AC$2&amp;'Output annual'!$AD$2&amp;"*Zone People Number Of Occupants [](Hourly)",'Eplus results'!$1:$1048576,ROW(),FALSE)</f>
        <v>0</v>
      </c>
      <c r="AC5514" s="580">
        <f>HLOOKUP("*"&amp;'Output annual'!$AC$2&amp;'Output annual'!$AD$2&amp;"*FangerPMV(Hourly)",'Eplus results'!$1:$1048576,ROW(),FALSE)</f>
        <v>0</v>
      </c>
      <c r="AD5514" s="580">
        <f t="shared" si="466"/>
        <v>5</v>
      </c>
      <c r="AE5514" s="580">
        <f t="shared" si="467"/>
        <v>2.5</v>
      </c>
      <c r="AF5514" s="580">
        <f t="shared" si="468"/>
        <v>2.5</v>
      </c>
      <c r="AG5514" s="580">
        <f t="shared" si="469"/>
        <v>0</v>
      </c>
      <c r="AH5514" s="580">
        <f t="shared" si="470"/>
        <v>0</v>
      </c>
    </row>
    <row r="5515" spans="28:34">
      <c r="AB5515" s="580">
        <f>HLOOKUP("*"&amp;'Output annual'!$AC$2&amp;'Output annual'!$AD$2&amp;"*Zone People Number Of Occupants [](Hourly)",'Eplus results'!$1:$1048576,ROW(),FALSE)</f>
        <v>0</v>
      </c>
      <c r="AC5515" s="580">
        <f>HLOOKUP("*"&amp;'Output annual'!$AC$2&amp;'Output annual'!$AD$2&amp;"*FangerPMV(Hourly)",'Eplus results'!$1:$1048576,ROW(),FALSE)</f>
        <v>0</v>
      </c>
      <c r="AD5515" s="580">
        <f t="shared" si="466"/>
        <v>5</v>
      </c>
      <c r="AE5515" s="580">
        <f t="shared" si="467"/>
        <v>2.5</v>
      </c>
      <c r="AF5515" s="580">
        <f t="shared" si="468"/>
        <v>2.5</v>
      </c>
      <c r="AG5515" s="580">
        <f t="shared" si="469"/>
        <v>0</v>
      </c>
      <c r="AH5515" s="580">
        <f t="shared" si="470"/>
        <v>0</v>
      </c>
    </row>
    <row r="5516" spans="28:34">
      <c r="AB5516" s="580">
        <f>HLOOKUP("*"&amp;'Output annual'!$AC$2&amp;'Output annual'!$AD$2&amp;"*Zone People Number Of Occupants [](Hourly)",'Eplus results'!$1:$1048576,ROW(),FALSE)</f>
        <v>0</v>
      </c>
      <c r="AC5516" s="580">
        <f>HLOOKUP("*"&amp;'Output annual'!$AC$2&amp;'Output annual'!$AD$2&amp;"*FangerPMV(Hourly)",'Eplus results'!$1:$1048576,ROW(),FALSE)</f>
        <v>0</v>
      </c>
      <c r="AD5516" s="580">
        <f t="shared" si="466"/>
        <v>5</v>
      </c>
      <c r="AE5516" s="580">
        <f t="shared" si="467"/>
        <v>2.5</v>
      </c>
      <c r="AF5516" s="580">
        <f t="shared" si="468"/>
        <v>2.5</v>
      </c>
      <c r="AG5516" s="580">
        <f t="shared" si="469"/>
        <v>0</v>
      </c>
      <c r="AH5516" s="580">
        <f t="shared" si="470"/>
        <v>0</v>
      </c>
    </row>
    <row r="5517" spans="28:34">
      <c r="AB5517" s="580">
        <f>HLOOKUP("*"&amp;'Output annual'!$AC$2&amp;'Output annual'!$AD$2&amp;"*Zone People Number Of Occupants [](Hourly)",'Eplus results'!$1:$1048576,ROW(),FALSE)</f>
        <v>0</v>
      </c>
      <c r="AC5517" s="580">
        <f>HLOOKUP("*"&amp;'Output annual'!$AC$2&amp;'Output annual'!$AD$2&amp;"*FangerPMV(Hourly)",'Eplus results'!$1:$1048576,ROW(),FALSE)</f>
        <v>0</v>
      </c>
      <c r="AD5517" s="580">
        <f t="shared" si="466"/>
        <v>5</v>
      </c>
      <c r="AE5517" s="580">
        <f t="shared" si="467"/>
        <v>2.5</v>
      </c>
      <c r="AF5517" s="580">
        <f t="shared" si="468"/>
        <v>2.5</v>
      </c>
      <c r="AG5517" s="580">
        <f t="shared" si="469"/>
        <v>0</v>
      </c>
      <c r="AH5517" s="580">
        <f t="shared" si="470"/>
        <v>0</v>
      </c>
    </row>
    <row r="5518" spans="28:34">
      <c r="AB5518" s="580">
        <f>HLOOKUP("*"&amp;'Output annual'!$AC$2&amp;'Output annual'!$AD$2&amp;"*Zone People Number Of Occupants [](Hourly)",'Eplus results'!$1:$1048576,ROW(),FALSE)</f>
        <v>0</v>
      </c>
      <c r="AC5518" s="580">
        <f>HLOOKUP("*"&amp;'Output annual'!$AC$2&amp;'Output annual'!$AD$2&amp;"*FangerPMV(Hourly)",'Eplus results'!$1:$1048576,ROW(),FALSE)</f>
        <v>0</v>
      </c>
      <c r="AD5518" s="580">
        <f t="shared" si="466"/>
        <v>5</v>
      </c>
      <c r="AE5518" s="580">
        <f t="shared" si="467"/>
        <v>2.5</v>
      </c>
      <c r="AF5518" s="580">
        <f t="shared" si="468"/>
        <v>2.5</v>
      </c>
      <c r="AG5518" s="580">
        <f t="shared" si="469"/>
        <v>0</v>
      </c>
      <c r="AH5518" s="580">
        <f t="shared" si="470"/>
        <v>0</v>
      </c>
    </row>
    <row r="5519" spans="28:34">
      <c r="AB5519" s="580">
        <f>HLOOKUP("*"&amp;'Output annual'!$AC$2&amp;'Output annual'!$AD$2&amp;"*Zone People Number Of Occupants [](Hourly)",'Eplus results'!$1:$1048576,ROW(),FALSE)</f>
        <v>0</v>
      </c>
      <c r="AC5519" s="580">
        <f>HLOOKUP("*"&amp;'Output annual'!$AC$2&amp;'Output annual'!$AD$2&amp;"*FangerPMV(Hourly)",'Eplus results'!$1:$1048576,ROW(),FALSE)</f>
        <v>0</v>
      </c>
      <c r="AD5519" s="580">
        <f t="shared" si="466"/>
        <v>5</v>
      </c>
      <c r="AE5519" s="580">
        <f t="shared" si="467"/>
        <v>2.5</v>
      </c>
      <c r="AF5519" s="580">
        <f t="shared" si="468"/>
        <v>2.5</v>
      </c>
      <c r="AG5519" s="580">
        <f t="shared" si="469"/>
        <v>0</v>
      </c>
      <c r="AH5519" s="580">
        <f t="shared" si="470"/>
        <v>0</v>
      </c>
    </row>
    <row r="5520" spans="28:34">
      <c r="AB5520" s="580">
        <f>HLOOKUP("*"&amp;'Output annual'!$AC$2&amp;'Output annual'!$AD$2&amp;"*Zone People Number Of Occupants [](Hourly)",'Eplus results'!$1:$1048576,ROW(),FALSE)</f>
        <v>0</v>
      </c>
      <c r="AC5520" s="580">
        <f>HLOOKUP("*"&amp;'Output annual'!$AC$2&amp;'Output annual'!$AD$2&amp;"*FangerPMV(Hourly)",'Eplus results'!$1:$1048576,ROW(),FALSE)</f>
        <v>0</v>
      </c>
      <c r="AD5520" s="580">
        <f t="shared" si="466"/>
        <v>5</v>
      </c>
      <c r="AE5520" s="580">
        <f t="shared" si="467"/>
        <v>2.5</v>
      </c>
      <c r="AF5520" s="580">
        <f t="shared" si="468"/>
        <v>2.5</v>
      </c>
      <c r="AG5520" s="580">
        <f t="shared" si="469"/>
        <v>0</v>
      </c>
      <c r="AH5520" s="580">
        <f t="shared" si="470"/>
        <v>0</v>
      </c>
    </row>
    <row r="5521" spans="28:34">
      <c r="AB5521" s="580">
        <f>HLOOKUP("*"&amp;'Output annual'!$AC$2&amp;'Output annual'!$AD$2&amp;"*Zone People Number Of Occupants [](Hourly)",'Eplus results'!$1:$1048576,ROW(),FALSE)</f>
        <v>0</v>
      </c>
      <c r="AC5521" s="580">
        <f>HLOOKUP("*"&amp;'Output annual'!$AC$2&amp;'Output annual'!$AD$2&amp;"*FangerPMV(Hourly)",'Eplus results'!$1:$1048576,ROW(),FALSE)</f>
        <v>0</v>
      </c>
      <c r="AD5521" s="580">
        <f t="shared" si="466"/>
        <v>5</v>
      </c>
      <c r="AE5521" s="580">
        <f t="shared" si="467"/>
        <v>2.5</v>
      </c>
      <c r="AF5521" s="580">
        <f t="shared" si="468"/>
        <v>2.5</v>
      </c>
      <c r="AG5521" s="580">
        <f t="shared" si="469"/>
        <v>0</v>
      </c>
      <c r="AH5521" s="580">
        <f t="shared" si="470"/>
        <v>0</v>
      </c>
    </row>
    <row r="5522" spans="28:34">
      <c r="AB5522" s="580">
        <f>HLOOKUP("*"&amp;'Output annual'!$AC$2&amp;'Output annual'!$AD$2&amp;"*Zone People Number Of Occupants [](Hourly)",'Eplus results'!$1:$1048576,ROW(),FALSE)</f>
        <v>0</v>
      </c>
      <c r="AC5522" s="580">
        <f>HLOOKUP("*"&amp;'Output annual'!$AC$2&amp;'Output annual'!$AD$2&amp;"*FangerPMV(Hourly)",'Eplus results'!$1:$1048576,ROW(),FALSE)</f>
        <v>0</v>
      </c>
      <c r="AD5522" s="580">
        <f t="shared" si="466"/>
        <v>5</v>
      </c>
      <c r="AE5522" s="580">
        <f t="shared" si="467"/>
        <v>2.5</v>
      </c>
      <c r="AF5522" s="580">
        <f t="shared" si="468"/>
        <v>2.5</v>
      </c>
      <c r="AG5522" s="580">
        <f t="shared" si="469"/>
        <v>0</v>
      </c>
      <c r="AH5522" s="580">
        <f t="shared" si="470"/>
        <v>0</v>
      </c>
    </row>
    <row r="5523" spans="28:34">
      <c r="AB5523" s="580">
        <f>HLOOKUP("*"&amp;'Output annual'!$AC$2&amp;'Output annual'!$AD$2&amp;"*Zone People Number Of Occupants [](Hourly)",'Eplus results'!$1:$1048576,ROW(),FALSE)</f>
        <v>0</v>
      </c>
      <c r="AC5523" s="580">
        <f>HLOOKUP("*"&amp;'Output annual'!$AC$2&amp;'Output annual'!$AD$2&amp;"*FangerPMV(Hourly)",'Eplus results'!$1:$1048576,ROW(),FALSE)</f>
        <v>0</v>
      </c>
      <c r="AD5523" s="580">
        <f t="shared" si="466"/>
        <v>5</v>
      </c>
      <c r="AE5523" s="580">
        <f t="shared" si="467"/>
        <v>2.5</v>
      </c>
      <c r="AF5523" s="580">
        <f t="shared" si="468"/>
        <v>2.5</v>
      </c>
      <c r="AG5523" s="580">
        <f t="shared" si="469"/>
        <v>0</v>
      </c>
      <c r="AH5523" s="580">
        <f t="shared" si="470"/>
        <v>0</v>
      </c>
    </row>
    <row r="5524" spans="28:34">
      <c r="AB5524" s="580">
        <f>HLOOKUP("*"&amp;'Output annual'!$AC$2&amp;'Output annual'!$AD$2&amp;"*Zone People Number Of Occupants [](Hourly)",'Eplus results'!$1:$1048576,ROW(),FALSE)</f>
        <v>0</v>
      </c>
      <c r="AC5524" s="580">
        <f>HLOOKUP("*"&amp;'Output annual'!$AC$2&amp;'Output annual'!$AD$2&amp;"*FangerPMV(Hourly)",'Eplus results'!$1:$1048576,ROW(),FALSE)</f>
        <v>0</v>
      </c>
      <c r="AD5524" s="580">
        <f t="shared" si="466"/>
        <v>5</v>
      </c>
      <c r="AE5524" s="580">
        <f t="shared" si="467"/>
        <v>2.5</v>
      </c>
      <c r="AF5524" s="580">
        <f t="shared" si="468"/>
        <v>2.5</v>
      </c>
      <c r="AG5524" s="580">
        <f t="shared" si="469"/>
        <v>0</v>
      </c>
      <c r="AH5524" s="580">
        <f t="shared" si="470"/>
        <v>0</v>
      </c>
    </row>
    <row r="5525" spans="28:34">
      <c r="AB5525" s="580">
        <f>HLOOKUP("*"&amp;'Output annual'!$AC$2&amp;'Output annual'!$AD$2&amp;"*Zone People Number Of Occupants [](Hourly)",'Eplus results'!$1:$1048576,ROW(),FALSE)</f>
        <v>0</v>
      </c>
      <c r="AC5525" s="580">
        <f>HLOOKUP("*"&amp;'Output annual'!$AC$2&amp;'Output annual'!$AD$2&amp;"*FangerPMV(Hourly)",'Eplus results'!$1:$1048576,ROW(),FALSE)</f>
        <v>0</v>
      </c>
      <c r="AD5525" s="580">
        <f t="shared" si="466"/>
        <v>5</v>
      </c>
      <c r="AE5525" s="580">
        <f t="shared" si="467"/>
        <v>2.5</v>
      </c>
      <c r="AF5525" s="580">
        <f t="shared" si="468"/>
        <v>2.5</v>
      </c>
      <c r="AG5525" s="580">
        <f t="shared" si="469"/>
        <v>0</v>
      </c>
      <c r="AH5525" s="580">
        <f t="shared" si="470"/>
        <v>0</v>
      </c>
    </row>
    <row r="5526" spans="28:34">
      <c r="AB5526" s="580">
        <f>HLOOKUP("*"&amp;'Output annual'!$AC$2&amp;'Output annual'!$AD$2&amp;"*Zone People Number Of Occupants [](Hourly)",'Eplus results'!$1:$1048576,ROW(),FALSE)</f>
        <v>0</v>
      </c>
      <c r="AC5526" s="580">
        <f>HLOOKUP("*"&amp;'Output annual'!$AC$2&amp;'Output annual'!$AD$2&amp;"*FangerPMV(Hourly)",'Eplus results'!$1:$1048576,ROW(),FALSE)</f>
        <v>0</v>
      </c>
      <c r="AD5526" s="580">
        <f t="shared" si="466"/>
        <v>5</v>
      </c>
      <c r="AE5526" s="580">
        <f t="shared" si="467"/>
        <v>2.5</v>
      </c>
      <c r="AF5526" s="580">
        <f t="shared" si="468"/>
        <v>2.5</v>
      </c>
      <c r="AG5526" s="580">
        <f t="shared" si="469"/>
        <v>0</v>
      </c>
      <c r="AH5526" s="580">
        <f t="shared" si="470"/>
        <v>0</v>
      </c>
    </row>
    <row r="5527" spans="28:34">
      <c r="AB5527" s="580">
        <f>HLOOKUP("*"&amp;'Output annual'!$AC$2&amp;'Output annual'!$AD$2&amp;"*Zone People Number Of Occupants [](Hourly)",'Eplus results'!$1:$1048576,ROW(),FALSE)</f>
        <v>0</v>
      </c>
      <c r="AC5527" s="580">
        <f>HLOOKUP("*"&amp;'Output annual'!$AC$2&amp;'Output annual'!$AD$2&amp;"*FangerPMV(Hourly)",'Eplus results'!$1:$1048576,ROW(),FALSE)</f>
        <v>0</v>
      </c>
      <c r="AD5527" s="580">
        <f t="shared" si="466"/>
        <v>5</v>
      </c>
      <c r="AE5527" s="580">
        <f t="shared" si="467"/>
        <v>2.5</v>
      </c>
      <c r="AF5527" s="580">
        <f t="shared" si="468"/>
        <v>2.5</v>
      </c>
      <c r="AG5527" s="580">
        <f t="shared" si="469"/>
        <v>0</v>
      </c>
      <c r="AH5527" s="580">
        <f t="shared" si="470"/>
        <v>0</v>
      </c>
    </row>
    <row r="5528" spans="28:34">
      <c r="AB5528" s="580">
        <f>HLOOKUP("*"&amp;'Output annual'!$AC$2&amp;'Output annual'!$AD$2&amp;"*Zone People Number Of Occupants [](Hourly)",'Eplus results'!$1:$1048576,ROW(),FALSE)</f>
        <v>0</v>
      </c>
      <c r="AC5528" s="580">
        <f>HLOOKUP("*"&amp;'Output annual'!$AC$2&amp;'Output annual'!$AD$2&amp;"*FangerPMV(Hourly)",'Eplus results'!$1:$1048576,ROW(),FALSE)</f>
        <v>0</v>
      </c>
      <c r="AD5528" s="580">
        <f t="shared" si="466"/>
        <v>5</v>
      </c>
      <c r="AE5528" s="580">
        <f t="shared" si="467"/>
        <v>2.5</v>
      </c>
      <c r="AF5528" s="580">
        <f t="shared" si="468"/>
        <v>2.5</v>
      </c>
      <c r="AG5528" s="580">
        <f t="shared" si="469"/>
        <v>0</v>
      </c>
      <c r="AH5528" s="580">
        <f t="shared" si="470"/>
        <v>0</v>
      </c>
    </row>
    <row r="5529" spans="28:34">
      <c r="AB5529" s="580">
        <f>HLOOKUP("*"&amp;'Output annual'!$AC$2&amp;'Output annual'!$AD$2&amp;"*Zone People Number Of Occupants [](Hourly)",'Eplus results'!$1:$1048576,ROW(),FALSE)</f>
        <v>0</v>
      </c>
      <c r="AC5529" s="580">
        <f>HLOOKUP("*"&amp;'Output annual'!$AC$2&amp;'Output annual'!$AD$2&amp;"*FangerPMV(Hourly)",'Eplus results'!$1:$1048576,ROW(),FALSE)</f>
        <v>0</v>
      </c>
      <c r="AD5529" s="580">
        <f t="shared" si="466"/>
        <v>5</v>
      </c>
      <c r="AE5529" s="580">
        <f t="shared" si="467"/>
        <v>2.5</v>
      </c>
      <c r="AF5529" s="580">
        <f t="shared" si="468"/>
        <v>2.5</v>
      </c>
      <c r="AG5529" s="580">
        <f t="shared" si="469"/>
        <v>0</v>
      </c>
      <c r="AH5529" s="580">
        <f t="shared" si="470"/>
        <v>0</v>
      </c>
    </row>
    <row r="5530" spans="28:34">
      <c r="AB5530" s="580">
        <f>HLOOKUP("*"&amp;'Output annual'!$AC$2&amp;'Output annual'!$AD$2&amp;"*Zone People Number Of Occupants [](Hourly)",'Eplus results'!$1:$1048576,ROW(),FALSE)</f>
        <v>0</v>
      </c>
      <c r="AC5530" s="580">
        <f>HLOOKUP("*"&amp;'Output annual'!$AC$2&amp;'Output annual'!$AD$2&amp;"*FangerPMV(Hourly)",'Eplus results'!$1:$1048576,ROW(),FALSE)</f>
        <v>0</v>
      </c>
      <c r="AD5530" s="580">
        <f t="shared" si="466"/>
        <v>5</v>
      </c>
      <c r="AE5530" s="580">
        <f t="shared" si="467"/>
        <v>2.5</v>
      </c>
      <c r="AF5530" s="580">
        <f t="shared" si="468"/>
        <v>2.5</v>
      </c>
      <c r="AG5530" s="580">
        <f t="shared" si="469"/>
        <v>0</v>
      </c>
      <c r="AH5530" s="580">
        <f t="shared" si="470"/>
        <v>0</v>
      </c>
    </row>
    <row r="5531" spans="28:34">
      <c r="AB5531" s="580">
        <f>HLOOKUP("*"&amp;'Output annual'!$AC$2&amp;'Output annual'!$AD$2&amp;"*Zone People Number Of Occupants [](Hourly)",'Eplus results'!$1:$1048576,ROW(),FALSE)</f>
        <v>0</v>
      </c>
      <c r="AC5531" s="580">
        <f>HLOOKUP("*"&amp;'Output annual'!$AC$2&amp;'Output annual'!$AD$2&amp;"*FangerPMV(Hourly)",'Eplus results'!$1:$1048576,ROW(),FALSE)</f>
        <v>0</v>
      </c>
      <c r="AD5531" s="580">
        <f t="shared" si="466"/>
        <v>5</v>
      </c>
      <c r="AE5531" s="580">
        <f t="shared" si="467"/>
        <v>2.5</v>
      </c>
      <c r="AF5531" s="580">
        <f t="shared" si="468"/>
        <v>2.5</v>
      </c>
      <c r="AG5531" s="580">
        <f t="shared" si="469"/>
        <v>0</v>
      </c>
      <c r="AH5531" s="580">
        <f t="shared" si="470"/>
        <v>0</v>
      </c>
    </row>
    <row r="5532" spans="28:34">
      <c r="AB5532" s="580">
        <f>HLOOKUP("*"&amp;'Output annual'!$AC$2&amp;'Output annual'!$AD$2&amp;"*Zone People Number Of Occupants [](Hourly)",'Eplus results'!$1:$1048576,ROW(),FALSE)</f>
        <v>0</v>
      </c>
      <c r="AC5532" s="580">
        <f>HLOOKUP("*"&amp;'Output annual'!$AC$2&amp;'Output annual'!$AD$2&amp;"*FangerPMV(Hourly)",'Eplus results'!$1:$1048576,ROW(),FALSE)</f>
        <v>0</v>
      </c>
      <c r="AD5532" s="580">
        <f t="shared" si="466"/>
        <v>5</v>
      </c>
      <c r="AE5532" s="580">
        <f t="shared" si="467"/>
        <v>2.5</v>
      </c>
      <c r="AF5532" s="580">
        <f t="shared" si="468"/>
        <v>2.5</v>
      </c>
      <c r="AG5532" s="580">
        <f t="shared" si="469"/>
        <v>0</v>
      </c>
      <c r="AH5532" s="580">
        <f t="shared" si="470"/>
        <v>0</v>
      </c>
    </row>
    <row r="5533" spans="28:34">
      <c r="AB5533" s="580">
        <f>HLOOKUP("*"&amp;'Output annual'!$AC$2&amp;'Output annual'!$AD$2&amp;"*Zone People Number Of Occupants [](Hourly)",'Eplus results'!$1:$1048576,ROW(),FALSE)</f>
        <v>0</v>
      </c>
      <c r="AC5533" s="580">
        <f>HLOOKUP("*"&amp;'Output annual'!$AC$2&amp;'Output annual'!$AD$2&amp;"*FangerPMV(Hourly)",'Eplus results'!$1:$1048576,ROW(),FALSE)</f>
        <v>0</v>
      </c>
      <c r="AD5533" s="580">
        <f t="shared" si="466"/>
        <v>5</v>
      </c>
      <c r="AE5533" s="580">
        <f t="shared" si="467"/>
        <v>2.5</v>
      </c>
      <c r="AF5533" s="580">
        <f t="shared" si="468"/>
        <v>2.5</v>
      </c>
      <c r="AG5533" s="580">
        <f t="shared" si="469"/>
        <v>0</v>
      </c>
      <c r="AH5533" s="580">
        <f t="shared" si="470"/>
        <v>0</v>
      </c>
    </row>
    <row r="5534" spans="28:34">
      <c r="AB5534" s="580">
        <f>HLOOKUP("*"&amp;'Output annual'!$AC$2&amp;'Output annual'!$AD$2&amp;"*Zone People Number Of Occupants [](Hourly)",'Eplus results'!$1:$1048576,ROW(),FALSE)</f>
        <v>0</v>
      </c>
      <c r="AC5534" s="580">
        <f>HLOOKUP("*"&amp;'Output annual'!$AC$2&amp;'Output annual'!$AD$2&amp;"*FangerPMV(Hourly)",'Eplus results'!$1:$1048576,ROW(),FALSE)</f>
        <v>0</v>
      </c>
      <c r="AD5534" s="580">
        <f t="shared" si="466"/>
        <v>5</v>
      </c>
      <c r="AE5534" s="580">
        <f t="shared" si="467"/>
        <v>2.5</v>
      </c>
      <c r="AF5534" s="580">
        <f t="shared" si="468"/>
        <v>2.5</v>
      </c>
      <c r="AG5534" s="580">
        <f t="shared" si="469"/>
        <v>0</v>
      </c>
      <c r="AH5534" s="580">
        <f t="shared" si="470"/>
        <v>0</v>
      </c>
    </row>
    <row r="5535" spans="28:34">
      <c r="AB5535" s="580">
        <f>HLOOKUP("*"&amp;'Output annual'!$AC$2&amp;'Output annual'!$AD$2&amp;"*Zone People Number Of Occupants [](Hourly)",'Eplus results'!$1:$1048576,ROW(),FALSE)</f>
        <v>0</v>
      </c>
      <c r="AC5535" s="580">
        <f>HLOOKUP("*"&amp;'Output annual'!$AC$2&amp;'Output annual'!$AD$2&amp;"*FangerPMV(Hourly)",'Eplus results'!$1:$1048576,ROW(),FALSE)</f>
        <v>0</v>
      </c>
      <c r="AD5535" s="580">
        <f t="shared" si="466"/>
        <v>5</v>
      </c>
      <c r="AE5535" s="580">
        <f t="shared" si="467"/>
        <v>2.5</v>
      </c>
      <c r="AF5535" s="580">
        <f t="shared" si="468"/>
        <v>2.5</v>
      </c>
      <c r="AG5535" s="580">
        <f t="shared" si="469"/>
        <v>0</v>
      </c>
      <c r="AH5535" s="580">
        <f t="shared" si="470"/>
        <v>0</v>
      </c>
    </row>
    <row r="5536" spans="28:34">
      <c r="AB5536" s="580">
        <f>HLOOKUP("*"&amp;'Output annual'!$AC$2&amp;'Output annual'!$AD$2&amp;"*Zone People Number Of Occupants [](Hourly)",'Eplus results'!$1:$1048576,ROW(),FALSE)</f>
        <v>0</v>
      </c>
      <c r="AC5536" s="580">
        <f>HLOOKUP("*"&amp;'Output annual'!$AC$2&amp;'Output annual'!$AD$2&amp;"*FangerPMV(Hourly)",'Eplus results'!$1:$1048576,ROW(),FALSE)</f>
        <v>0</v>
      </c>
      <c r="AD5536" s="580">
        <f t="shared" si="466"/>
        <v>5</v>
      </c>
      <c r="AE5536" s="580">
        <f t="shared" si="467"/>
        <v>2.5</v>
      </c>
      <c r="AF5536" s="580">
        <f t="shared" si="468"/>
        <v>2.5</v>
      </c>
      <c r="AG5536" s="580">
        <f t="shared" si="469"/>
        <v>0</v>
      </c>
      <c r="AH5536" s="580">
        <f t="shared" si="470"/>
        <v>0</v>
      </c>
    </row>
    <row r="5537" spans="28:34">
      <c r="AB5537" s="580">
        <f>HLOOKUP("*"&amp;'Output annual'!$AC$2&amp;'Output annual'!$AD$2&amp;"*Zone People Number Of Occupants [](Hourly)",'Eplus results'!$1:$1048576,ROW(),FALSE)</f>
        <v>0</v>
      </c>
      <c r="AC5537" s="580">
        <f>HLOOKUP("*"&amp;'Output annual'!$AC$2&amp;'Output annual'!$AD$2&amp;"*FangerPMV(Hourly)",'Eplus results'!$1:$1048576,ROW(),FALSE)</f>
        <v>0</v>
      </c>
      <c r="AD5537" s="580">
        <f t="shared" si="466"/>
        <v>5</v>
      </c>
      <c r="AE5537" s="580">
        <f t="shared" si="467"/>
        <v>2.5</v>
      </c>
      <c r="AF5537" s="580">
        <f t="shared" si="468"/>
        <v>2.5</v>
      </c>
      <c r="AG5537" s="580">
        <f t="shared" si="469"/>
        <v>0</v>
      </c>
      <c r="AH5537" s="580">
        <f t="shared" si="470"/>
        <v>0</v>
      </c>
    </row>
    <row r="5538" spans="28:34">
      <c r="AB5538" s="580">
        <f>HLOOKUP("*"&amp;'Output annual'!$AC$2&amp;'Output annual'!$AD$2&amp;"*Zone People Number Of Occupants [](Hourly)",'Eplus results'!$1:$1048576,ROW(),FALSE)</f>
        <v>0</v>
      </c>
      <c r="AC5538" s="580">
        <f>HLOOKUP("*"&amp;'Output annual'!$AC$2&amp;'Output annual'!$AD$2&amp;"*FangerPMV(Hourly)",'Eplus results'!$1:$1048576,ROW(),FALSE)</f>
        <v>0</v>
      </c>
      <c r="AD5538" s="580">
        <f t="shared" si="466"/>
        <v>5</v>
      </c>
      <c r="AE5538" s="580">
        <f t="shared" si="467"/>
        <v>2.5</v>
      </c>
      <c r="AF5538" s="580">
        <f t="shared" si="468"/>
        <v>2.5</v>
      </c>
      <c r="AG5538" s="580">
        <f t="shared" si="469"/>
        <v>0</v>
      </c>
      <c r="AH5538" s="580">
        <f t="shared" si="470"/>
        <v>0</v>
      </c>
    </row>
    <row r="5539" spans="28:34">
      <c r="AB5539" s="580">
        <f>HLOOKUP("*"&amp;'Output annual'!$AC$2&amp;'Output annual'!$AD$2&amp;"*Zone People Number Of Occupants [](Hourly)",'Eplus results'!$1:$1048576,ROW(),FALSE)</f>
        <v>0</v>
      </c>
      <c r="AC5539" s="580">
        <f>HLOOKUP("*"&amp;'Output annual'!$AC$2&amp;'Output annual'!$AD$2&amp;"*FangerPMV(Hourly)",'Eplus results'!$1:$1048576,ROW(),FALSE)</f>
        <v>0</v>
      </c>
      <c r="AD5539" s="580">
        <f t="shared" si="466"/>
        <v>5</v>
      </c>
      <c r="AE5539" s="580">
        <f t="shared" si="467"/>
        <v>2.5</v>
      </c>
      <c r="AF5539" s="580">
        <f t="shared" si="468"/>
        <v>2.5</v>
      </c>
      <c r="AG5539" s="580">
        <f t="shared" si="469"/>
        <v>0</v>
      </c>
      <c r="AH5539" s="580">
        <f t="shared" si="470"/>
        <v>0</v>
      </c>
    </row>
    <row r="5540" spans="28:34">
      <c r="AB5540" s="580">
        <f>HLOOKUP("*"&amp;'Output annual'!$AC$2&amp;'Output annual'!$AD$2&amp;"*Zone People Number Of Occupants [](Hourly)",'Eplus results'!$1:$1048576,ROW(),FALSE)</f>
        <v>0</v>
      </c>
      <c r="AC5540" s="580">
        <f>HLOOKUP("*"&amp;'Output annual'!$AC$2&amp;'Output annual'!$AD$2&amp;"*FangerPMV(Hourly)",'Eplus results'!$1:$1048576,ROW(),FALSE)</f>
        <v>0</v>
      </c>
      <c r="AD5540" s="580">
        <f t="shared" si="466"/>
        <v>5</v>
      </c>
      <c r="AE5540" s="580">
        <f t="shared" si="467"/>
        <v>2.5</v>
      </c>
      <c r="AF5540" s="580">
        <f t="shared" si="468"/>
        <v>2.5</v>
      </c>
      <c r="AG5540" s="580">
        <f t="shared" si="469"/>
        <v>0</v>
      </c>
      <c r="AH5540" s="580">
        <f t="shared" si="470"/>
        <v>0</v>
      </c>
    </row>
    <row r="5541" spans="28:34">
      <c r="AB5541" s="580">
        <f>HLOOKUP("*"&amp;'Output annual'!$AC$2&amp;'Output annual'!$AD$2&amp;"*Zone People Number Of Occupants [](Hourly)",'Eplus results'!$1:$1048576,ROW(),FALSE)</f>
        <v>0</v>
      </c>
      <c r="AC5541" s="580">
        <f>HLOOKUP("*"&amp;'Output annual'!$AC$2&amp;'Output annual'!$AD$2&amp;"*FangerPMV(Hourly)",'Eplus results'!$1:$1048576,ROW(),FALSE)</f>
        <v>0</v>
      </c>
      <c r="AD5541" s="580">
        <f t="shared" si="466"/>
        <v>5</v>
      </c>
      <c r="AE5541" s="580">
        <f t="shared" si="467"/>
        <v>2.5</v>
      </c>
      <c r="AF5541" s="580">
        <f t="shared" si="468"/>
        <v>2.5</v>
      </c>
      <c r="AG5541" s="580">
        <f t="shared" si="469"/>
        <v>0</v>
      </c>
      <c r="AH5541" s="580">
        <f t="shared" si="470"/>
        <v>0</v>
      </c>
    </row>
    <row r="5542" spans="28:34">
      <c r="AB5542" s="580">
        <f>HLOOKUP("*"&amp;'Output annual'!$AC$2&amp;'Output annual'!$AD$2&amp;"*Zone People Number Of Occupants [](Hourly)",'Eplus results'!$1:$1048576,ROW(),FALSE)</f>
        <v>0</v>
      </c>
      <c r="AC5542" s="580">
        <f>HLOOKUP("*"&amp;'Output annual'!$AC$2&amp;'Output annual'!$AD$2&amp;"*FangerPMV(Hourly)",'Eplus results'!$1:$1048576,ROW(),FALSE)</f>
        <v>0</v>
      </c>
      <c r="AD5542" s="580">
        <f t="shared" si="466"/>
        <v>5</v>
      </c>
      <c r="AE5542" s="580">
        <f t="shared" si="467"/>
        <v>2.5</v>
      </c>
      <c r="AF5542" s="580">
        <f t="shared" si="468"/>
        <v>2.5</v>
      </c>
      <c r="AG5542" s="580">
        <f t="shared" si="469"/>
        <v>0</v>
      </c>
      <c r="AH5542" s="580">
        <f t="shared" si="470"/>
        <v>0</v>
      </c>
    </row>
    <row r="5543" spans="28:34">
      <c r="AB5543" s="580">
        <f>HLOOKUP("*"&amp;'Output annual'!$AC$2&amp;'Output annual'!$AD$2&amp;"*Zone People Number Of Occupants [](Hourly)",'Eplus results'!$1:$1048576,ROW(),FALSE)</f>
        <v>0</v>
      </c>
      <c r="AC5543" s="580">
        <f>HLOOKUP("*"&amp;'Output annual'!$AC$2&amp;'Output annual'!$AD$2&amp;"*FangerPMV(Hourly)",'Eplus results'!$1:$1048576,ROW(),FALSE)</f>
        <v>0</v>
      </c>
      <c r="AD5543" s="580">
        <f t="shared" si="466"/>
        <v>5</v>
      </c>
      <c r="AE5543" s="580">
        <f t="shared" si="467"/>
        <v>2.5</v>
      </c>
      <c r="AF5543" s="580">
        <f t="shared" si="468"/>
        <v>2.5</v>
      </c>
      <c r="AG5543" s="580">
        <f t="shared" si="469"/>
        <v>0</v>
      </c>
      <c r="AH5543" s="580">
        <f t="shared" si="470"/>
        <v>0</v>
      </c>
    </row>
    <row r="5544" spans="28:34">
      <c r="AB5544" s="580">
        <f>HLOOKUP("*"&amp;'Output annual'!$AC$2&amp;'Output annual'!$AD$2&amp;"*Zone People Number Of Occupants [](Hourly)",'Eplus results'!$1:$1048576,ROW(),FALSE)</f>
        <v>0</v>
      </c>
      <c r="AC5544" s="580">
        <f>HLOOKUP("*"&amp;'Output annual'!$AC$2&amp;'Output annual'!$AD$2&amp;"*FangerPMV(Hourly)",'Eplus results'!$1:$1048576,ROW(),FALSE)</f>
        <v>0</v>
      </c>
      <c r="AD5544" s="580">
        <f t="shared" si="466"/>
        <v>5</v>
      </c>
      <c r="AE5544" s="580">
        <f t="shared" si="467"/>
        <v>2.5</v>
      </c>
      <c r="AF5544" s="580">
        <f t="shared" si="468"/>
        <v>2.5</v>
      </c>
      <c r="AG5544" s="580">
        <f t="shared" si="469"/>
        <v>0</v>
      </c>
      <c r="AH5544" s="580">
        <f t="shared" si="470"/>
        <v>0</v>
      </c>
    </row>
    <row r="5545" spans="28:34">
      <c r="AB5545" s="580">
        <f>HLOOKUP("*"&amp;'Output annual'!$AC$2&amp;'Output annual'!$AD$2&amp;"*Zone People Number Of Occupants [](Hourly)",'Eplus results'!$1:$1048576,ROW(),FALSE)</f>
        <v>0</v>
      </c>
      <c r="AC5545" s="580">
        <f>HLOOKUP("*"&amp;'Output annual'!$AC$2&amp;'Output annual'!$AD$2&amp;"*FangerPMV(Hourly)",'Eplus results'!$1:$1048576,ROW(),FALSE)</f>
        <v>0</v>
      </c>
      <c r="AD5545" s="580">
        <f t="shared" si="466"/>
        <v>5</v>
      </c>
      <c r="AE5545" s="580">
        <f t="shared" si="467"/>
        <v>2.5</v>
      </c>
      <c r="AF5545" s="580">
        <f t="shared" si="468"/>
        <v>2.5</v>
      </c>
      <c r="AG5545" s="580">
        <f t="shared" si="469"/>
        <v>0</v>
      </c>
      <c r="AH5545" s="580">
        <f t="shared" si="470"/>
        <v>0</v>
      </c>
    </row>
    <row r="5546" spans="28:34">
      <c r="AB5546" s="580">
        <f>HLOOKUP("*"&amp;'Output annual'!$AC$2&amp;'Output annual'!$AD$2&amp;"*Zone People Number Of Occupants [](Hourly)",'Eplus results'!$1:$1048576,ROW(),FALSE)</f>
        <v>0</v>
      </c>
      <c r="AC5546" s="580">
        <f>HLOOKUP("*"&amp;'Output annual'!$AC$2&amp;'Output annual'!$AD$2&amp;"*FangerPMV(Hourly)",'Eplus results'!$1:$1048576,ROW(),FALSE)</f>
        <v>0</v>
      </c>
      <c r="AD5546" s="580">
        <f t="shared" si="466"/>
        <v>5</v>
      </c>
      <c r="AE5546" s="580">
        <f t="shared" si="467"/>
        <v>2.5</v>
      </c>
      <c r="AF5546" s="580">
        <f t="shared" si="468"/>
        <v>2.5</v>
      </c>
      <c r="AG5546" s="580">
        <f t="shared" si="469"/>
        <v>0</v>
      </c>
      <c r="AH5546" s="580">
        <f t="shared" si="470"/>
        <v>0</v>
      </c>
    </row>
    <row r="5547" spans="28:34">
      <c r="AB5547" s="580">
        <f>HLOOKUP("*"&amp;'Output annual'!$AC$2&amp;'Output annual'!$AD$2&amp;"*Zone People Number Of Occupants [](Hourly)",'Eplus results'!$1:$1048576,ROW(),FALSE)</f>
        <v>0</v>
      </c>
      <c r="AC5547" s="580">
        <f>HLOOKUP("*"&amp;'Output annual'!$AC$2&amp;'Output annual'!$AD$2&amp;"*FangerPMV(Hourly)",'Eplus results'!$1:$1048576,ROW(),FALSE)</f>
        <v>0</v>
      </c>
      <c r="AD5547" s="580">
        <f t="shared" si="466"/>
        <v>5</v>
      </c>
      <c r="AE5547" s="580">
        <f t="shared" si="467"/>
        <v>2.5</v>
      </c>
      <c r="AF5547" s="580">
        <f t="shared" si="468"/>
        <v>2.5</v>
      </c>
      <c r="AG5547" s="580">
        <f t="shared" si="469"/>
        <v>0</v>
      </c>
      <c r="AH5547" s="580">
        <f t="shared" si="470"/>
        <v>0</v>
      </c>
    </row>
    <row r="5548" spans="28:34">
      <c r="AB5548" s="580">
        <f>HLOOKUP("*"&amp;'Output annual'!$AC$2&amp;'Output annual'!$AD$2&amp;"*Zone People Number Of Occupants [](Hourly)",'Eplus results'!$1:$1048576,ROW(),FALSE)</f>
        <v>0</v>
      </c>
      <c r="AC5548" s="580">
        <f>HLOOKUP("*"&amp;'Output annual'!$AC$2&amp;'Output annual'!$AD$2&amp;"*FangerPMV(Hourly)",'Eplus results'!$1:$1048576,ROW(),FALSE)</f>
        <v>0</v>
      </c>
      <c r="AD5548" s="580">
        <f t="shared" si="466"/>
        <v>5</v>
      </c>
      <c r="AE5548" s="580">
        <f t="shared" si="467"/>
        <v>2.5</v>
      </c>
      <c r="AF5548" s="580">
        <f t="shared" si="468"/>
        <v>2.5</v>
      </c>
      <c r="AG5548" s="580">
        <f t="shared" si="469"/>
        <v>0</v>
      </c>
      <c r="AH5548" s="580">
        <f t="shared" si="470"/>
        <v>0</v>
      </c>
    </row>
    <row r="5549" spans="28:34">
      <c r="AB5549" s="580">
        <f>HLOOKUP("*"&amp;'Output annual'!$AC$2&amp;'Output annual'!$AD$2&amp;"*Zone People Number Of Occupants [](Hourly)",'Eplus results'!$1:$1048576,ROW(),FALSE)</f>
        <v>0</v>
      </c>
      <c r="AC5549" s="580">
        <f>HLOOKUP("*"&amp;'Output annual'!$AC$2&amp;'Output annual'!$AD$2&amp;"*FangerPMV(Hourly)",'Eplus results'!$1:$1048576,ROW(),FALSE)</f>
        <v>0</v>
      </c>
      <c r="AD5549" s="580">
        <f t="shared" si="466"/>
        <v>5</v>
      </c>
      <c r="AE5549" s="580">
        <f t="shared" si="467"/>
        <v>2.5</v>
      </c>
      <c r="AF5549" s="580">
        <f t="shared" si="468"/>
        <v>2.5</v>
      </c>
      <c r="AG5549" s="580">
        <f t="shared" si="469"/>
        <v>0</v>
      </c>
      <c r="AH5549" s="580">
        <f t="shared" si="470"/>
        <v>0</v>
      </c>
    </row>
    <row r="5550" spans="28:34">
      <c r="AB5550" s="580">
        <f>HLOOKUP("*"&amp;'Output annual'!$AC$2&amp;'Output annual'!$AD$2&amp;"*Zone People Number Of Occupants [](Hourly)",'Eplus results'!$1:$1048576,ROW(),FALSE)</f>
        <v>0</v>
      </c>
      <c r="AC5550" s="580">
        <f>HLOOKUP("*"&amp;'Output annual'!$AC$2&amp;'Output annual'!$AD$2&amp;"*FangerPMV(Hourly)",'Eplus results'!$1:$1048576,ROW(),FALSE)</f>
        <v>0</v>
      </c>
      <c r="AD5550" s="580">
        <f t="shared" si="466"/>
        <v>5</v>
      </c>
      <c r="AE5550" s="580">
        <f t="shared" si="467"/>
        <v>2.5</v>
      </c>
      <c r="AF5550" s="580">
        <f t="shared" si="468"/>
        <v>2.5</v>
      </c>
      <c r="AG5550" s="580">
        <f t="shared" si="469"/>
        <v>0</v>
      </c>
      <c r="AH5550" s="580">
        <f t="shared" si="470"/>
        <v>0</v>
      </c>
    </row>
    <row r="5551" spans="28:34">
      <c r="AB5551" s="580">
        <f>HLOOKUP("*"&amp;'Output annual'!$AC$2&amp;'Output annual'!$AD$2&amp;"*Zone People Number Of Occupants [](Hourly)",'Eplus results'!$1:$1048576,ROW(),FALSE)</f>
        <v>0</v>
      </c>
      <c r="AC5551" s="580">
        <f>HLOOKUP("*"&amp;'Output annual'!$AC$2&amp;'Output annual'!$AD$2&amp;"*FangerPMV(Hourly)",'Eplus results'!$1:$1048576,ROW(),FALSE)</f>
        <v>0</v>
      </c>
      <c r="AD5551" s="580">
        <f t="shared" si="466"/>
        <v>5</v>
      </c>
      <c r="AE5551" s="580">
        <f t="shared" si="467"/>
        <v>2.5</v>
      </c>
      <c r="AF5551" s="580">
        <f t="shared" si="468"/>
        <v>2.5</v>
      </c>
      <c r="AG5551" s="580">
        <f t="shared" si="469"/>
        <v>0</v>
      </c>
      <c r="AH5551" s="580">
        <f t="shared" si="470"/>
        <v>0</v>
      </c>
    </row>
    <row r="5552" spans="28:34">
      <c r="AB5552" s="580">
        <f>HLOOKUP("*"&amp;'Output annual'!$AC$2&amp;'Output annual'!$AD$2&amp;"*Zone People Number Of Occupants [](Hourly)",'Eplus results'!$1:$1048576,ROW(),FALSE)</f>
        <v>0</v>
      </c>
      <c r="AC5552" s="580">
        <f>HLOOKUP("*"&amp;'Output annual'!$AC$2&amp;'Output annual'!$AD$2&amp;"*FangerPMV(Hourly)",'Eplus results'!$1:$1048576,ROW(),FALSE)</f>
        <v>0</v>
      </c>
      <c r="AD5552" s="580">
        <f t="shared" si="466"/>
        <v>5</v>
      </c>
      <c r="AE5552" s="580">
        <f t="shared" si="467"/>
        <v>2.5</v>
      </c>
      <c r="AF5552" s="580">
        <f t="shared" si="468"/>
        <v>2.5</v>
      </c>
      <c r="AG5552" s="580">
        <f t="shared" si="469"/>
        <v>0</v>
      </c>
      <c r="AH5552" s="580">
        <f t="shared" si="470"/>
        <v>0</v>
      </c>
    </row>
    <row r="5553" spans="28:34">
      <c r="AB5553" s="580">
        <f>HLOOKUP("*"&amp;'Output annual'!$AC$2&amp;'Output annual'!$AD$2&amp;"*Zone People Number Of Occupants [](Hourly)",'Eplus results'!$1:$1048576,ROW(),FALSE)</f>
        <v>0</v>
      </c>
      <c r="AC5553" s="580">
        <f>HLOOKUP("*"&amp;'Output annual'!$AC$2&amp;'Output annual'!$AD$2&amp;"*FangerPMV(Hourly)",'Eplus results'!$1:$1048576,ROW(),FALSE)</f>
        <v>0</v>
      </c>
      <c r="AD5553" s="580">
        <f t="shared" si="466"/>
        <v>5</v>
      </c>
      <c r="AE5553" s="580">
        <f t="shared" si="467"/>
        <v>2.5</v>
      </c>
      <c r="AF5553" s="580">
        <f t="shared" si="468"/>
        <v>2.5</v>
      </c>
      <c r="AG5553" s="580">
        <f t="shared" si="469"/>
        <v>0</v>
      </c>
      <c r="AH5553" s="580">
        <f t="shared" si="470"/>
        <v>0</v>
      </c>
    </row>
    <row r="5554" spans="28:34">
      <c r="AB5554" s="580">
        <f>HLOOKUP("*"&amp;'Output annual'!$AC$2&amp;'Output annual'!$AD$2&amp;"*Zone People Number Of Occupants [](Hourly)",'Eplus results'!$1:$1048576,ROW(),FALSE)</f>
        <v>0</v>
      </c>
      <c r="AC5554" s="580">
        <f>HLOOKUP("*"&amp;'Output annual'!$AC$2&amp;'Output annual'!$AD$2&amp;"*FangerPMV(Hourly)",'Eplus results'!$1:$1048576,ROW(),FALSE)</f>
        <v>0</v>
      </c>
      <c r="AD5554" s="580">
        <f t="shared" si="466"/>
        <v>5</v>
      </c>
      <c r="AE5554" s="580">
        <f t="shared" si="467"/>
        <v>2.5</v>
      </c>
      <c r="AF5554" s="580">
        <f t="shared" si="468"/>
        <v>2.5</v>
      </c>
      <c r="AG5554" s="580">
        <f t="shared" si="469"/>
        <v>0</v>
      </c>
      <c r="AH5554" s="580">
        <f t="shared" si="470"/>
        <v>0</v>
      </c>
    </row>
    <row r="5555" spans="28:34">
      <c r="AB5555" s="580">
        <f>HLOOKUP("*"&amp;'Output annual'!$AC$2&amp;'Output annual'!$AD$2&amp;"*Zone People Number Of Occupants [](Hourly)",'Eplus results'!$1:$1048576,ROW(),FALSE)</f>
        <v>0</v>
      </c>
      <c r="AC5555" s="580">
        <f>HLOOKUP("*"&amp;'Output annual'!$AC$2&amp;'Output annual'!$AD$2&amp;"*FangerPMV(Hourly)",'Eplus results'!$1:$1048576,ROW(),FALSE)</f>
        <v>0</v>
      </c>
      <c r="AD5555" s="580">
        <f t="shared" si="466"/>
        <v>5</v>
      </c>
      <c r="AE5555" s="580">
        <f t="shared" si="467"/>
        <v>2.5</v>
      </c>
      <c r="AF5555" s="580">
        <f t="shared" si="468"/>
        <v>2.5</v>
      </c>
      <c r="AG5555" s="580">
        <f t="shared" si="469"/>
        <v>0</v>
      </c>
      <c r="AH5555" s="580">
        <f t="shared" si="470"/>
        <v>0</v>
      </c>
    </row>
    <row r="5556" spans="28:34">
      <c r="AB5556" s="580">
        <f>HLOOKUP("*"&amp;'Output annual'!$AC$2&amp;'Output annual'!$AD$2&amp;"*Zone People Number Of Occupants [](Hourly)",'Eplus results'!$1:$1048576,ROW(),FALSE)</f>
        <v>0</v>
      </c>
      <c r="AC5556" s="580">
        <f>HLOOKUP("*"&amp;'Output annual'!$AC$2&amp;'Output annual'!$AD$2&amp;"*FangerPMV(Hourly)",'Eplus results'!$1:$1048576,ROW(),FALSE)</f>
        <v>0</v>
      </c>
      <c r="AD5556" s="580">
        <f t="shared" si="466"/>
        <v>5</v>
      </c>
      <c r="AE5556" s="580">
        <f t="shared" si="467"/>
        <v>2.5</v>
      </c>
      <c r="AF5556" s="580">
        <f t="shared" si="468"/>
        <v>2.5</v>
      </c>
      <c r="AG5556" s="580">
        <f t="shared" si="469"/>
        <v>0</v>
      </c>
      <c r="AH5556" s="580">
        <f t="shared" si="470"/>
        <v>0</v>
      </c>
    </row>
    <row r="5557" spans="28:34">
      <c r="AB5557" s="580">
        <f>HLOOKUP("*"&amp;'Output annual'!$AC$2&amp;'Output annual'!$AD$2&amp;"*Zone People Number Of Occupants [](Hourly)",'Eplus results'!$1:$1048576,ROW(),FALSE)</f>
        <v>0</v>
      </c>
      <c r="AC5557" s="580">
        <f>HLOOKUP("*"&amp;'Output annual'!$AC$2&amp;'Output annual'!$AD$2&amp;"*FangerPMV(Hourly)",'Eplus results'!$1:$1048576,ROW(),FALSE)</f>
        <v>0</v>
      </c>
      <c r="AD5557" s="580">
        <f t="shared" si="466"/>
        <v>5</v>
      </c>
      <c r="AE5557" s="580">
        <f t="shared" si="467"/>
        <v>2.5</v>
      </c>
      <c r="AF5557" s="580">
        <f t="shared" si="468"/>
        <v>2.5</v>
      </c>
      <c r="AG5557" s="580">
        <f t="shared" si="469"/>
        <v>0</v>
      </c>
      <c r="AH5557" s="580">
        <f t="shared" si="470"/>
        <v>0</v>
      </c>
    </row>
    <row r="5558" spans="28:34">
      <c r="AB5558" s="580">
        <f>HLOOKUP("*"&amp;'Output annual'!$AC$2&amp;'Output annual'!$AD$2&amp;"*Zone People Number Of Occupants [](Hourly)",'Eplus results'!$1:$1048576,ROW(),FALSE)</f>
        <v>0</v>
      </c>
      <c r="AC5558" s="580">
        <f>HLOOKUP("*"&amp;'Output annual'!$AC$2&amp;'Output annual'!$AD$2&amp;"*FangerPMV(Hourly)",'Eplus results'!$1:$1048576,ROW(),FALSE)</f>
        <v>0</v>
      </c>
      <c r="AD5558" s="580">
        <f t="shared" si="466"/>
        <v>5</v>
      </c>
      <c r="AE5558" s="580">
        <f t="shared" si="467"/>
        <v>2.5</v>
      </c>
      <c r="AF5558" s="580">
        <f t="shared" si="468"/>
        <v>2.5</v>
      </c>
      <c r="AG5558" s="580">
        <f t="shared" si="469"/>
        <v>0</v>
      </c>
      <c r="AH5558" s="580">
        <f t="shared" si="470"/>
        <v>0</v>
      </c>
    </row>
    <row r="5559" spans="28:34">
      <c r="AB5559" s="580">
        <f>HLOOKUP("*"&amp;'Output annual'!$AC$2&amp;'Output annual'!$AD$2&amp;"*Zone People Number Of Occupants [](Hourly)",'Eplus results'!$1:$1048576,ROW(),FALSE)</f>
        <v>0</v>
      </c>
      <c r="AC5559" s="580">
        <f>HLOOKUP("*"&amp;'Output annual'!$AC$2&amp;'Output annual'!$AD$2&amp;"*FangerPMV(Hourly)",'Eplus results'!$1:$1048576,ROW(),FALSE)</f>
        <v>0</v>
      </c>
      <c r="AD5559" s="580">
        <f t="shared" si="466"/>
        <v>5</v>
      </c>
      <c r="AE5559" s="580">
        <f t="shared" si="467"/>
        <v>2.5</v>
      </c>
      <c r="AF5559" s="580">
        <f t="shared" si="468"/>
        <v>2.5</v>
      </c>
      <c r="AG5559" s="580">
        <f t="shared" si="469"/>
        <v>0</v>
      </c>
      <c r="AH5559" s="580">
        <f t="shared" si="470"/>
        <v>0</v>
      </c>
    </row>
    <row r="5560" spans="28:34">
      <c r="AB5560" s="580">
        <f>HLOOKUP("*"&amp;'Output annual'!$AC$2&amp;'Output annual'!$AD$2&amp;"*Zone People Number Of Occupants [](Hourly)",'Eplus results'!$1:$1048576,ROW(),FALSE)</f>
        <v>0</v>
      </c>
      <c r="AC5560" s="580">
        <f>HLOOKUP("*"&amp;'Output annual'!$AC$2&amp;'Output annual'!$AD$2&amp;"*FangerPMV(Hourly)",'Eplus results'!$1:$1048576,ROW(),FALSE)</f>
        <v>0</v>
      </c>
      <c r="AD5560" s="580">
        <f t="shared" si="466"/>
        <v>5</v>
      </c>
      <c r="AE5560" s="580">
        <f t="shared" si="467"/>
        <v>2.5</v>
      </c>
      <c r="AF5560" s="580">
        <f t="shared" si="468"/>
        <v>2.5</v>
      </c>
      <c r="AG5560" s="580">
        <f t="shared" si="469"/>
        <v>0</v>
      </c>
      <c r="AH5560" s="580">
        <f t="shared" si="470"/>
        <v>0</v>
      </c>
    </row>
    <row r="5561" spans="28:34">
      <c r="AB5561" s="580">
        <f>HLOOKUP("*"&amp;'Output annual'!$AC$2&amp;'Output annual'!$AD$2&amp;"*Zone People Number Of Occupants [](Hourly)",'Eplus results'!$1:$1048576,ROW(),FALSE)</f>
        <v>0</v>
      </c>
      <c r="AC5561" s="580">
        <f>HLOOKUP("*"&amp;'Output annual'!$AC$2&amp;'Output annual'!$AD$2&amp;"*FangerPMV(Hourly)",'Eplus results'!$1:$1048576,ROW(),FALSE)</f>
        <v>0</v>
      </c>
      <c r="AD5561" s="580">
        <f t="shared" si="466"/>
        <v>5</v>
      </c>
      <c r="AE5561" s="580">
        <f t="shared" si="467"/>
        <v>2.5</v>
      </c>
      <c r="AF5561" s="580">
        <f t="shared" si="468"/>
        <v>2.5</v>
      </c>
      <c r="AG5561" s="580">
        <f t="shared" si="469"/>
        <v>0</v>
      </c>
      <c r="AH5561" s="580">
        <f t="shared" si="470"/>
        <v>0</v>
      </c>
    </row>
    <row r="5562" spans="28:34">
      <c r="AB5562" s="580">
        <f>HLOOKUP("*"&amp;'Output annual'!$AC$2&amp;'Output annual'!$AD$2&amp;"*Zone People Number Of Occupants [](Hourly)",'Eplus results'!$1:$1048576,ROW(),FALSE)</f>
        <v>0</v>
      </c>
      <c r="AC5562" s="580">
        <f>HLOOKUP("*"&amp;'Output annual'!$AC$2&amp;'Output annual'!$AD$2&amp;"*FangerPMV(Hourly)",'Eplus results'!$1:$1048576,ROW(),FALSE)</f>
        <v>0</v>
      </c>
      <c r="AD5562" s="580">
        <f t="shared" si="466"/>
        <v>5</v>
      </c>
      <c r="AE5562" s="580">
        <f t="shared" si="467"/>
        <v>2.5</v>
      </c>
      <c r="AF5562" s="580">
        <f t="shared" si="468"/>
        <v>2.5</v>
      </c>
      <c r="AG5562" s="580">
        <f t="shared" si="469"/>
        <v>0</v>
      </c>
      <c r="AH5562" s="580">
        <f t="shared" si="470"/>
        <v>0</v>
      </c>
    </row>
    <row r="5563" spans="28:34">
      <c r="AB5563" s="580">
        <f>HLOOKUP("*"&amp;'Output annual'!$AC$2&amp;'Output annual'!$AD$2&amp;"*Zone People Number Of Occupants [](Hourly)",'Eplus results'!$1:$1048576,ROW(),FALSE)</f>
        <v>0</v>
      </c>
      <c r="AC5563" s="580">
        <f>HLOOKUP("*"&amp;'Output annual'!$AC$2&amp;'Output annual'!$AD$2&amp;"*FangerPMV(Hourly)",'Eplus results'!$1:$1048576,ROW(),FALSE)</f>
        <v>0</v>
      </c>
      <c r="AD5563" s="580">
        <f t="shared" si="466"/>
        <v>5</v>
      </c>
      <c r="AE5563" s="580">
        <f t="shared" si="467"/>
        <v>2.5</v>
      </c>
      <c r="AF5563" s="580">
        <f t="shared" si="468"/>
        <v>2.5</v>
      </c>
      <c r="AG5563" s="580">
        <f t="shared" si="469"/>
        <v>0</v>
      </c>
      <c r="AH5563" s="580">
        <f t="shared" si="470"/>
        <v>0</v>
      </c>
    </row>
    <row r="5564" spans="28:34">
      <c r="AB5564" s="580">
        <f>HLOOKUP("*"&amp;'Output annual'!$AC$2&amp;'Output annual'!$AD$2&amp;"*Zone People Number Of Occupants [](Hourly)",'Eplus results'!$1:$1048576,ROW(),FALSE)</f>
        <v>0</v>
      </c>
      <c r="AC5564" s="580">
        <f>HLOOKUP("*"&amp;'Output annual'!$AC$2&amp;'Output annual'!$AD$2&amp;"*FangerPMV(Hourly)",'Eplus results'!$1:$1048576,ROW(),FALSE)</f>
        <v>0</v>
      </c>
      <c r="AD5564" s="580">
        <f t="shared" si="466"/>
        <v>5</v>
      </c>
      <c r="AE5564" s="580">
        <f t="shared" si="467"/>
        <v>2.5</v>
      </c>
      <c r="AF5564" s="580">
        <f t="shared" si="468"/>
        <v>2.5</v>
      </c>
      <c r="AG5564" s="580">
        <f t="shared" si="469"/>
        <v>0</v>
      </c>
      <c r="AH5564" s="580">
        <f t="shared" si="470"/>
        <v>0</v>
      </c>
    </row>
    <row r="5565" spans="28:34">
      <c r="AB5565" s="580">
        <f>HLOOKUP("*"&amp;'Output annual'!$AC$2&amp;'Output annual'!$AD$2&amp;"*Zone People Number Of Occupants [](Hourly)",'Eplus results'!$1:$1048576,ROW(),FALSE)</f>
        <v>0</v>
      </c>
      <c r="AC5565" s="580">
        <f>HLOOKUP("*"&amp;'Output annual'!$AC$2&amp;'Output annual'!$AD$2&amp;"*FangerPMV(Hourly)",'Eplus results'!$1:$1048576,ROW(),FALSE)</f>
        <v>0</v>
      </c>
      <c r="AD5565" s="580">
        <f t="shared" si="466"/>
        <v>5</v>
      </c>
      <c r="AE5565" s="580">
        <f t="shared" si="467"/>
        <v>2.5</v>
      </c>
      <c r="AF5565" s="580">
        <f t="shared" si="468"/>
        <v>2.5</v>
      </c>
      <c r="AG5565" s="580">
        <f t="shared" si="469"/>
        <v>0</v>
      </c>
      <c r="AH5565" s="580">
        <f t="shared" si="470"/>
        <v>0</v>
      </c>
    </row>
    <row r="5566" spans="28:34">
      <c r="AB5566" s="580">
        <f>HLOOKUP("*"&amp;'Output annual'!$AC$2&amp;'Output annual'!$AD$2&amp;"*Zone People Number Of Occupants [](Hourly)",'Eplus results'!$1:$1048576,ROW(),FALSE)</f>
        <v>0</v>
      </c>
      <c r="AC5566" s="580">
        <f>HLOOKUP("*"&amp;'Output annual'!$AC$2&amp;'Output annual'!$AD$2&amp;"*FangerPMV(Hourly)",'Eplus results'!$1:$1048576,ROW(),FALSE)</f>
        <v>0</v>
      </c>
      <c r="AD5566" s="580">
        <f t="shared" si="466"/>
        <v>5</v>
      </c>
      <c r="AE5566" s="580">
        <f t="shared" si="467"/>
        <v>2.5</v>
      </c>
      <c r="AF5566" s="580">
        <f t="shared" si="468"/>
        <v>2.5</v>
      </c>
      <c r="AG5566" s="580">
        <f t="shared" si="469"/>
        <v>0</v>
      </c>
      <c r="AH5566" s="580">
        <f t="shared" si="470"/>
        <v>0</v>
      </c>
    </row>
    <row r="5567" spans="28:34">
      <c r="AB5567" s="580">
        <f>HLOOKUP("*"&amp;'Output annual'!$AC$2&amp;'Output annual'!$AD$2&amp;"*Zone People Number Of Occupants [](Hourly)",'Eplus results'!$1:$1048576,ROW(),FALSE)</f>
        <v>0</v>
      </c>
      <c r="AC5567" s="580">
        <f>HLOOKUP("*"&amp;'Output annual'!$AC$2&amp;'Output annual'!$AD$2&amp;"*FangerPMV(Hourly)",'Eplus results'!$1:$1048576,ROW(),FALSE)</f>
        <v>0</v>
      </c>
      <c r="AD5567" s="580">
        <f t="shared" si="466"/>
        <v>5</v>
      </c>
      <c r="AE5567" s="580">
        <f t="shared" si="467"/>
        <v>2.5</v>
      </c>
      <c r="AF5567" s="580">
        <f t="shared" si="468"/>
        <v>2.5</v>
      </c>
      <c r="AG5567" s="580">
        <f t="shared" si="469"/>
        <v>0</v>
      </c>
      <c r="AH5567" s="580">
        <f t="shared" si="470"/>
        <v>0</v>
      </c>
    </row>
    <row r="5568" spans="28:34">
      <c r="AB5568" s="580">
        <f>HLOOKUP("*"&amp;'Output annual'!$AC$2&amp;'Output annual'!$AD$2&amp;"*Zone People Number Of Occupants [](Hourly)",'Eplus results'!$1:$1048576,ROW(),FALSE)</f>
        <v>0</v>
      </c>
      <c r="AC5568" s="580">
        <f>HLOOKUP("*"&amp;'Output annual'!$AC$2&amp;'Output annual'!$AD$2&amp;"*FangerPMV(Hourly)",'Eplus results'!$1:$1048576,ROW(),FALSE)</f>
        <v>0</v>
      </c>
      <c r="AD5568" s="580">
        <f t="shared" si="466"/>
        <v>5</v>
      </c>
      <c r="AE5568" s="580">
        <f t="shared" si="467"/>
        <v>2.5</v>
      </c>
      <c r="AF5568" s="580">
        <f t="shared" si="468"/>
        <v>2.5</v>
      </c>
      <c r="AG5568" s="580">
        <f t="shared" si="469"/>
        <v>0</v>
      </c>
      <c r="AH5568" s="580">
        <f t="shared" si="470"/>
        <v>0</v>
      </c>
    </row>
    <row r="5569" spans="28:34">
      <c r="AB5569" s="580">
        <f>HLOOKUP("*"&amp;'Output annual'!$AC$2&amp;'Output annual'!$AD$2&amp;"*Zone People Number Of Occupants [](Hourly)",'Eplus results'!$1:$1048576,ROW(),FALSE)</f>
        <v>0</v>
      </c>
      <c r="AC5569" s="580">
        <f>HLOOKUP("*"&amp;'Output annual'!$AC$2&amp;'Output annual'!$AD$2&amp;"*FangerPMV(Hourly)",'Eplus results'!$1:$1048576,ROW(),FALSE)</f>
        <v>0</v>
      </c>
      <c r="AD5569" s="580">
        <f t="shared" si="466"/>
        <v>5</v>
      </c>
      <c r="AE5569" s="580">
        <f t="shared" si="467"/>
        <v>2.5</v>
      </c>
      <c r="AF5569" s="580">
        <f t="shared" si="468"/>
        <v>2.5</v>
      </c>
      <c r="AG5569" s="580">
        <f t="shared" si="469"/>
        <v>0</v>
      </c>
      <c r="AH5569" s="580">
        <f t="shared" si="470"/>
        <v>0</v>
      </c>
    </row>
    <row r="5570" spans="28:34">
      <c r="AB5570" s="580">
        <f>HLOOKUP("*"&amp;'Output annual'!$AC$2&amp;'Output annual'!$AD$2&amp;"*Zone People Number Of Occupants [](Hourly)",'Eplus results'!$1:$1048576,ROW(),FALSE)</f>
        <v>0</v>
      </c>
      <c r="AC5570" s="580">
        <f>HLOOKUP("*"&amp;'Output annual'!$AC$2&amp;'Output annual'!$AD$2&amp;"*FangerPMV(Hourly)",'Eplus results'!$1:$1048576,ROW(),FALSE)</f>
        <v>0</v>
      </c>
      <c r="AD5570" s="580">
        <f t="shared" si="466"/>
        <v>5</v>
      </c>
      <c r="AE5570" s="580">
        <f t="shared" si="467"/>
        <v>2.5</v>
      </c>
      <c r="AF5570" s="580">
        <f t="shared" si="468"/>
        <v>2.5</v>
      </c>
      <c r="AG5570" s="580">
        <f t="shared" si="469"/>
        <v>0</v>
      </c>
      <c r="AH5570" s="580">
        <f t="shared" si="470"/>
        <v>0</v>
      </c>
    </row>
    <row r="5571" spans="28:34">
      <c r="AB5571" s="580">
        <f>HLOOKUP("*"&amp;'Output annual'!$AC$2&amp;'Output annual'!$AD$2&amp;"*Zone People Number Of Occupants [](Hourly)",'Eplus results'!$1:$1048576,ROW(),FALSE)</f>
        <v>0</v>
      </c>
      <c r="AC5571" s="580">
        <f>HLOOKUP("*"&amp;'Output annual'!$AC$2&amp;'Output annual'!$AD$2&amp;"*FangerPMV(Hourly)",'Eplus results'!$1:$1048576,ROW(),FALSE)</f>
        <v>0</v>
      </c>
      <c r="AD5571" s="580">
        <f t="shared" ref="AD5571:AD5634" si="471">100-95*EXP(-0.03353*AC5571^4-0.2179*AC5571^2)</f>
        <v>5</v>
      </c>
      <c r="AE5571" s="580">
        <f t="shared" ref="AE5571:AE5634" si="472">AD5571*(1/(1+EXP(-6.3*$AC5571)))</f>
        <v>2.5</v>
      </c>
      <c r="AF5571" s="580">
        <f t="shared" ref="AF5571:AF5634" si="473">(AD5571-AE5571)</f>
        <v>2.5</v>
      </c>
      <c r="AG5571" s="580">
        <f t="shared" ref="AG5571:AG5634" si="474">AE5571*AB5571</f>
        <v>0</v>
      </c>
      <c r="AH5571" s="580">
        <f t="shared" ref="AH5571:AH5634" si="475">AF5571*AB5571</f>
        <v>0</v>
      </c>
    </row>
    <row r="5572" spans="28:34">
      <c r="AB5572" s="580">
        <f>HLOOKUP("*"&amp;'Output annual'!$AC$2&amp;'Output annual'!$AD$2&amp;"*Zone People Number Of Occupants [](Hourly)",'Eplus results'!$1:$1048576,ROW(),FALSE)</f>
        <v>0</v>
      </c>
      <c r="AC5572" s="580">
        <f>HLOOKUP("*"&amp;'Output annual'!$AC$2&amp;'Output annual'!$AD$2&amp;"*FangerPMV(Hourly)",'Eplus results'!$1:$1048576,ROW(),FALSE)</f>
        <v>0</v>
      </c>
      <c r="AD5572" s="580">
        <f t="shared" si="471"/>
        <v>5</v>
      </c>
      <c r="AE5572" s="580">
        <f t="shared" si="472"/>
        <v>2.5</v>
      </c>
      <c r="AF5572" s="580">
        <f t="shared" si="473"/>
        <v>2.5</v>
      </c>
      <c r="AG5572" s="580">
        <f t="shared" si="474"/>
        <v>0</v>
      </c>
      <c r="AH5572" s="580">
        <f t="shared" si="475"/>
        <v>0</v>
      </c>
    </row>
    <row r="5573" spans="28:34">
      <c r="AB5573" s="580">
        <f>HLOOKUP("*"&amp;'Output annual'!$AC$2&amp;'Output annual'!$AD$2&amp;"*Zone People Number Of Occupants [](Hourly)",'Eplus results'!$1:$1048576,ROW(),FALSE)</f>
        <v>0</v>
      </c>
      <c r="AC5573" s="580">
        <f>HLOOKUP("*"&amp;'Output annual'!$AC$2&amp;'Output annual'!$AD$2&amp;"*FangerPMV(Hourly)",'Eplus results'!$1:$1048576,ROW(),FALSE)</f>
        <v>0</v>
      </c>
      <c r="AD5573" s="580">
        <f t="shared" si="471"/>
        <v>5</v>
      </c>
      <c r="AE5573" s="580">
        <f t="shared" si="472"/>
        <v>2.5</v>
      </c>
      <c r="AF5573" s="580">
        <f t="shared" si="473"/>
        <v>2.5</v>
      </c>
      <c r="AG5573" s="580">
        <f t="shared" si="474"/>
        <v>0</v>
      </c>
      <c r="AH5573" s="580">
        <f t="shared" si="475"/>
        <v>0</v>
      </c>
    </row>
    <row r="5574" spans="28:34">
      <c r="AB5574" s="580">
        <f>HLOOKUP("*"&amp;'Output annual'!$AC$2&amp;'Output annual'!$AD$2&amp;"*Zone People Number Of Occupants [](Hourly)",'Eplus results'!$1:$1048576,ROW(),FALSE)</f>
        <v>0</v>
      </c>
      <c r="AC5574" s="580">
        <f>HLOOKUP("*"&amp;'Output annual'!$AC$2&amp;'Output annual'!$AD$2&amp;"*FangerPMV(Hourly)",'Eplus results'!$1:$1048576,ROW(),FALSE)</f>
        <v>0</v>
      </c>
      <c r="AD5574" s="580">
        <f t="shared" si="471"/>
        <v>5</v>
      </c>
      <c r="AE5574" s="580">
        <f t="shared" si="472"/>
        <v>2.5</v>
      </c>
      <c r="AF5574" s="580">
        <f t="shared" si="473"/>
        <v>2.5</v>
      </c>
      <c r="AG5574" s="580">
        <f t="shared" si="474"/>
        <v>0</v>
      </c>
      <c r="AH5574" s="580">
        <f t="shared" si="475"/>
        <v>0</v>
      </c>
    </row>
    <row r="5575" spans="28:34">
      <c r="AB5575" s="580">
        <f>HLOOKUP("*"&amp;'Output annual'!$AC$2&amp;'Output annual'!$AD$2&amp;"*Zone People Number Of Occupants [](Hourly)",'Eplus results'!$1:$1048576,ROW(),FALSE)</f>
        <v>0</v>
      </c>
      <c r="AC5575" s="580">
        <f>HLOOKUP("*"&amp;'Output annual'!$AC$2&amp;'Output annual'!$AD$2&amp;"*FangerPMV(Hourly)",'Eplus results'!$1:$1048576,ROW(),FALSE)</f>
        <v>0</v>
      </c>
      <c r="AD5575" s="580">
        <f t="shared" si="471"/>
        <v>5</v>
      </c>
      <c r="AE5575" s="580">
        <f t="shared" si="472"/>
        <v>2.5</v>
      </c>
      <c r="AF5575" s="580">
        <f t="shared" si="473"/>
        <v>2.5</v>
      </c>
      <c r="AG5575" s="580">
        <f t="shared" si="474"/>
        <v>0</v>
      </c>
      <c r="AH5575" s="580">
        <f t="shared" si="475"/>
        <v>0</v>
      </c>
    </row>
    <row r="5576" spans="28:34">
      <c r="AB5576" s="580">
        <f>HLOOKUP("*"&amp;'Output annual'!$AC$2&amp;'Output annual'!$AD$2&amp;"*Zone People Number Of Occupants [](Hourly)",'Eplus results'!$1:$1048576,ROW(),FALSE)</f>
        <v>0</v>
      </c>
      <c r="AC5576" s="580">
        <f>HLOOKUP("*"&amp;'Output annual'!$AC$2&amp;'Output annual'!$AD$2&amp;"*FangerPMV(Hourly)",'Eplus results'!$1:$1048576,ROW(),FALSE)</f>
        <v>0</v>
      </c>
      <c r="AD5576" s="580">
        <f t="shared" si="471"/>
        <v>5</v>
      </c>
      <c r="AE5576" s="580">
        <f t="shared" si="472"/>
        <v>2.5</v>
      </c>
      <c r="AF5576" s="580">
        <f t="shared" si="473"/>
        <v>2.5</v>
      </c>
      <c r="AG5576" s="580">
        <f t="shared" si="474"/>
        <v>0</v>
      </c>
      <c r="AH5576" s="580">
        <f t="shared" si="475"/>
        <v>0</v>
      </c>
    </row>
    <row r="5577" spans="28:34">
      <c r="AB5577" s="580">
        <f>HLOOKUP("*"&amp;'Output annual'!$AC$2&amp;'Output annual'!$AD$2&amp;"*Zone People Number Of Occupants [](Hourly)",'Eplus results'!$1:$1048576,ROW(),FALSE)</f>
        <v>0</v>
      </c>
      <c r="AC5577" s="580">
        <f>HLOOKUP("*"&amp;'Output annual'!$AC$2&amp;'Output annual'!$AD$2&amp;"*FangerPMV(Hourly)",'Eplus results'!$1:$1048576,ROW(),FALSE)</f>
        <v>0</v>
      </c>
      <c r="AD5577" s="580">
        <f t="shared" si="471"/>
        <v>5</v>
      </c>
      <c r="AE5577" s="580">
        <f t="shared" si="472"/>
        <v>2.5</v>
      </c>
      <c r="AF5577" s="580">
        <f t="shared" si="473"/>
        <v>2.5</v>
      </c>
      <c r="AG5577" s="580">
        <f t="shared" si="474"/>
        <v>0</v>
      </c>
      <c r="AH5577" s="580">
        <f t="shared" si="475"/>
        <v>0</v>
      </c>
    </row>
    <row r="5578" spans="28:34">
      <c r="AB5578" s="580">
        <f>HLOOKUP("*"&amp;'Output annual'!$AC$2&amp;'Output annual'!$AD$2&amp;"*Zone People Number Of Occupants [](Hourly)",'Eplus results'!$1:$1048576,ROW(),FALSE)</f>
        <v>0</v>
      </c>
      <c r="AC5578" s="580">
        <f>HLOOKUP("*"&amp;'Output annual'!$AC$2&amp;'Output annual'!$AD$2&amp;"*FangerPMV(Hourly)",'Eplus results'!$1:$1048576,ROW(),FALSE)</f>
        <v>0</v>
      </c>
      <c r="AD5578" s="580">
        <f t="shared" si="471"/>
        <v>5</v>
      </c>
      <c r="AE5578" s="580">
        <f t="shared" si="472"/>
        <v>2.5</v>
      </c>
      <c r="AF5578" s="580">
        <f t="shared" si="473"/>
        <v>2.5</v>
      </c>
      <c r="AG5578" s="580">
        <f t="shared" si="474"/>
        <v>0</v>
      </c>
      <c r="AH5578" s="580">
        <f t="shared" si="475"/>
        <v>0</v>
      </c>
    </row>
    <row r="5579" spans="28:34">
      <c r="AB5579" s="580">
        <f>HLOOKUP("*"&amp;'Output annual'!$AC$2&amp;'Output annual'!$AD$2&amp;"*Zone People Number Of Occupants [](Hourly)",'Eplus results'!$1:$1048576,ROW(),FALSE)</f>
        <v>0</v>
      </c>
      <c r="AC5579" s="580">
        <f>HLOOKUP("*"&amp;'Output annual'!$AC$2&amp;'Output annual'!$AD$2&amp;"*FangerPMV(Hourly)",'Eplus results'!$1:$1048576,ROW(),FALSE)</f>
        <v>0</v>
      </c>
      <c r="AD5579" s="580">
        <f t="shared" si="471"/>
        <v>5</v>
      </c>
      <c r="AE5579" s="580">
        <f t="shared" si="472"/>
        <v>2.5</v>
      </c>
      <c r="AF5579" s="580">
        <f t="shared" si="473"/>
        <v>2.5</v>
      </c>
      <c r="AG5579" s="580">
        <f t="shared" si="474"/>
        <v>0</v>
      </c>
      <c r="AH5579" s="580">
        <f t="shared" si="475"/>
        <v>0</v>
      </c>
    </row>
    <row r="5580" spans="28:34">
      <c r="AB5580" s="580">
        <f>HLOOKUP("*"&amp;'Output annual'!$AC$2&amp;'Output annual'!$AD$2&amp;"*Zone People Number Of Occupants [](Hourly)",'Eplus results'!$1:$1048576,ROW(),FALSE)</f>
        <v>0</v>
      </c>
      <c r="AC5580" s="580">
        <f>HLOOKUP("*"&amp;'Output annual'!$AC$2&amp;'Output annual'!$AD$2&amp;"*FangerPMV(Hourly)",'Eplus results'!$1:$1048576,ROW(),FALSE)</f>
        <v>0</v>
      </c>
      <c r="AD5580" s="580">
        <f t="shared" si="471"/>
        <v>5</v>
      </c>
      <c r="AE5580" s="580">
        <f t="shared" si="472"/>
        <v>2.5</v>
      </c>
      <c r="AF5580" s="580">
        <f t="shared" si="473"/>
        <v>2.5</v>
      </c>
      <c r="AG5580" s="580">
        <f t="shared" si="474"/>
        <v>0</v>
      </c>
      <c r="AH5580" s="580">
        <f t="shared" si="475"/>
        <v>0</v>
      </c>
    </row>
    <row r="5581" spans="28:34">
      <c r="AB5581" s="580">
        <f>HLOOKUP("*"&amp;'Output annual'!$AC$2&amp;'Output annual'!$AD$2&amp;"*Zone People Number Of Occupants [](Hourly)",'Eplus results'!$1:$1048576,ROW(),FALSE)</f>
        <v>0</v>
      </c>
      <c r="AC5581" s="580">
        <f>HLOOKUP("*"&amp;'Output annual'!$AC$2&amp;'Output annual'!$AD$2&amp;"*FangerPMV(Hourly)",'Eplus results'!$1:$1048576,ROW(),FALSE)</f>
        <v>0</v>
      </c>
      <c r="AD5581" s="580">
        <f t="shared" si="471"/>
        <v>5</v>
      </c>
      <c r="AE5581" s="580">
        <f t="shared" si="472"/>
        <v>2.5</v>
      </c>
      <c r="AF5581" s="580">
        <f t="shared" si="473"/>
        <v>2.5</v>
      </c>
      <c r="AG5581" s="580">
        <f t="shared" si="474"/>
        <v>0</v>
      </c>
      <c r="AH5581" s="580">
        <f t="shared" si="475"/>
        <v>0</v>
      </c>
    </row>
    <row r="5582" spans="28:34">
      <c r="AB5582" s="580">
        <f>HLOOKUP("*"&amp;'Output annual'!$AC$2&amp;'Output annual'!$AD$2&amp;"*Zone People Number Of Occupants [](Hourly)",'Eplus results'!$1:$1048576,ROW(),FALSE)</f>
        <v>0</v>
      </c>
      <c r="AC5582" s="580">
        <f>HLOOKUP("*"&amp;'Output annual'!$AC$2&amp;'Output annual'!$AD$2&amp;"*FangerPMV(Hourly)",'Eplus results'!$1:$1048576,ROW(),FALSE)</f>
        <v>0</v>
      </c>
      <c r="AD5582" s="580">
        <f t="shared" si="471"/>
        <v>5</v>
      </c>
      <c r="AE5582" s="580">
        <f t="shared" si="472"/>
        <v>2.5</v>
      </c>
      <c r="AF5582" s="580">
        <f t="shared" si="473"/>
        <v>2.5</v>
      </c>
      <c r="AG5582" s="580">
        <f t="shared" si="474"/>
        <v>0</v>
      </c>
      <c r="AH5582" s="580">
        <f t="shared" si="475"/>
        <v>0</v>
      </c>
    </row>
    <row r="5583" spans="28:34">
      <c r="AB5583" s="580">
        <f>HLOOKUP("*"&amp;'Output annual'!$AC$2&amp;'Output annual'!$AD$2&amp;"*Zone People Number Of Occupants [](Hourly)",'Eplus results'!$1:$1048576,ROW(),FALSE)</f>
        <v>0</v>
      </c>
      <c r="AC5583" s="580">
        <f>HLOOKUP("*"&amp;'Output annual'!$AC$2&amp;'Output annual'!$AD$2&amp;"*FangerPMV(Hourly)",'Eplus results'!$1:$1048576,ROW(),FALSE)</f>
        <v>0</v>
      </c>
      <c r="AD5583" s="580">
        <f t="shared" si="471"/>
        <v>5</v>
      </c>
      <c r="AE5583" s="580">
        <f t="shared" si="472"/>
        <v>2.5</v>
      </c>
      <c r="AF5583" s="580">
        <f t="shared" si="473"/>
        <v>2.5</v>
      </c>
      <c r="AG5583" s="580">
        <f t="shared" si="474"/>
        <v>0</v>
      </c>
      <c r="AH5583" s="580">
        <f t="shared" si="475"/>
        <v>0</v>
      </c>
    </row>
    <row r="5584" spans="28:34">
      <c r="AB5584" s="580">
        <f>HLOOKUP("*"&amp;'Output annual'!$AC$2&amp;'Output annual'!$AD$2&amp;"*Zone People Number Of Occupants [](Hourly)",'Eplus results'!$1:$1048576,ROW(),FALSE)</f>
        <v>0</v>
      </c>
      <c r="AC5584" s="580">
        <f>HLOOKUP("*"&amp;'Output annual'!$AC$2&amp;'Output annual'!$AD$2&amp;"*FangerPMV(Hourly)",'Eplus results'!$1:$1048576,ROW(),FALSE)</f>
        <v>0</v>
      </c>
      <c r="AD5584" s="580">
        <f t="shared" si="471"/>
        <v>5</v>
      </c>
      <c r="AE5584" s="580">
        <f t="shared" si="472"/>
        <v>2.5</v>
      </c>
      <c r="AF5584" s="580">
        <f t="shared" si="473"/>
        <v>2.5</v>
      </c>
      <c r="AG5584" s="580">
        <f t="shared" si="474"/>
        <v>0</v>
      </c>
      <c r="AH5584" s="580">
        <f t="shared" si="475"/>
        <v>0</v>
      </c>
    </row>
    <row r="5585" spans="28:34">
      <c r="AB5585" s="580">
        <f>HLOOKUP("*"&amp;'Output annual'!$AC$2&amp;'Output annual'!$AD$2&amp;"*Zone People Number Of Occupants [](Hourly)",'Eplus results'!$1:$1048576,ROW(),FALSE)</f>
        <v>0</v>
      </c>
      <c r="AC5585" s="580">
        <f>HLOOKUP("*"&amp;'Output annual'!$AC$2&amp;'Output annual'!$AD$2&amp;"*FangerPMV(Hourly)",'Eplus results'!$1:$1048576,ROW(),FALSE)</f>
        <v>0</v>
      </c>
      <c r="AD5585" s="580">
        <f t="shared" si="471"/>
        <v>5</v>
      </c>
      <c r="AE5585" s="580">
        <f t="shared" si="472"/>
        <v>2.5</v>
      </c>
      <c r="AF5585" s="580">
        <f t="shared" si="473"/>
        <v>2.5</v>
      </c>
      <c r="AG5585" s="580">
        <f t="shared" si="474"/>
        <v>0</v>
      </c>
      <c r="AH5585" s="580">
        <f t="shared" si="475"/>
        <v>0</v>
      </c>
    </row>
    <row r="5586" spans="28:34">
      <c r="AB5586" s="580">
        <f>HLOOKUP("*"&amp;'Output annual'!$AC$2&amp;'Output annual'!$AD$2&amp;"*Zone People Number Of Occupants [](Hourly)",'Eplus results'!$1:$1048576,ROW(),FALSE)</f>
        <v>0</v>
      </c>
      <c r="AC5586" s="580">
        <f>HLOOKUP("*"&amp;'Output annual'!$AC$2&amp;'Output annual'!$AD$2&amp;"*FangerPMV(Hourly)",'Eplus results'!$1:$1048576,ROW(),FALSE)</f>
        <v>0</v>
      </c>
      <c r="AD5586" s="580">
        <f t="shared" si="471"/>
        <v>5</v>
      </c>
      <c r="AE5586" s="580">
        <f t="shared" si="472"/>
        <v>2.5</v>
      </c>
      <c r="AF5586" s="580">
        <f t="shared" si="473"/>
        <v>2.5</v>
      </c>
      <c r="AG5586" s="580">
        <f t="shared" si="474"/>
        <v>0</v>
      </c>
      <c r="AH5586" s="580">
        <f t="shared" si="475"/>
        <v>0</v>
      </c>
    </row>
    <row r="5587" spans="28:34">
      <c r="AB5587" s="580">
        <f>HLOOKUP("*"&amp;'Output annual'!$AC$2&amp;'Output annual'!$AD$2&amp;"*Zone People Number Of Occupants [](Hourly)",'Eplus results'!$1:$1048576,ROW(),FALSE)</f>
        <v>0</v>
      </c>
      <c r="AC5587" s="580">
        <f>HLOOKUP("*"&amp;'Output annual'!$AC$2&amp;'Output annual'!$AD$2&amp;"*FangerPMV(Hourly)",'Eplus results'!$1:$1048576,ROW(),FALSE)</f>
        <v>0</v>
      </c>
      <c r="AD5587" s="580">
        <f t="shared" si="471"/>
        <v>5</v>
      </c>
      <c r="AE5587" s="580">
        <f t="shared" si="472"/>
        <v>2.5</v>
      </c>
      <c r="AF5587" s="580">
        <f t="shared" si="473"/>
        <v>2.5</v>
      </c>
      <c r="AG5587" s="580">
        <f t="shared" si="474"/>
        <v>0</v>
      </c>
      <c r="AH5587" s="580">
        <f t="shared" si="475"/>
        <v>0</v>
      </c>
    </row>
    <row r="5588" spans="28:34">
      <c r="AB5588" s="580">
        <f>HLOOKUP("*"&amp;'Output annual'!$AC$2&amp;'Output annual'!$AD$2&amp;"*Zone People Number Of Occupants [](Hourly)",'Eplus results'!$1:$1048576,ROW(),FALSE)</f>
        <v>0</v>
      </c>
      <c r="AC5588" s="580">
        <f>HLOOKUP("*"&amp;'Output annual'!$AC$2&amp;'Output annual'!$AD$2&amp;"*FangerPMV(Hourly)",'Eplus results'!$1:$1048576,ROW(),FALSE)</f>
        <v>0</v>
      </c>
      <c r="AD5588" s="580">
        <f t="shared" si="471"/>
        <v>5</v>
      </c>
      <c r="AE5588" s="580">
        <f t="shared" si="472"/>
        <v>2.5</v>
      </c>
      <c r="AF5588" s="580">
        <f t="shared" si="473"/>
        <v>2.5</v>
      </c>
      <c r="AG5588" s="580">
        <f t="shared" si="474"/>
        <v>0</v>
      </c>
      <c r="AH5588" s="580">
        <f t="shared" si="475"/>
        <v>0</v>
      </c>
    </row>
    <row r="5589" spans="28:34">
      <c r="AB5589" s="580">
        <f>HLOOKUP("*"&amp;'Output annual'!$AC$2&amp;'Output annual'!$AD$2&amp;"*Zone People Number Of Occupants [](Hourly)",'Eplus results'!$1:$1048576,ROW(),FALSE)</f>
        <v>0</v>
      </c>
      <c r="AC5589" s="580">
        <f>HLOOKUP("*"&amp;'Output annual'!$AC$2&amp;'Output annual'!$AD$2&amp;"*FangerPMV(Hourly)",'Eplus results'!$1:$1048576,ROW(),FALSE)</f>
        <v>0</v>
      </c>
      <c r="AD5589" s="580">
        <f t="shared" si="471"/>
        <v>5</v>
      </c>
      <c r="AE5589" s="580">
        <f t="shared" si="472"/>
        <v>2.5</v>
      </c>
      <c r="AF5589" s="580">
        <f t="shared" si="473"/>
        <v>2.5</v>
      </c>
      <c r="AG5589" s="580">
        <f t="shared" si="474"/>
        <v>0</v>
      </c>
      <c r="AH5589" s="580">
        <f t="shared" si="475"/>
        <v>0</v>
      </c>
    </row>
    <row r="5590" spans="28:34">
      <c r="AB5590" s="580">
        <f>HLOOKUP("*"&amp;'Output annual'!$AC$2&amp;'Output annual'!$AD$2&amp;"*Zone People Number Of Occupants [](Hourly)",'Eplus results'!$1:$1048576,ROW(),FALSE)</f>
        <v>0</v>
      </c>
      <c r="AC5590" s="580">
        <f>HLOOKUP("*"&amp;'Output annual'!$AC$2&amp;'Output annual'!$AD$2&amp;"*FangerPMV(Hourly)",'Eplus results'!$1:$1048576,ROW(),FALSE)</f>
        <v>0</v>
      </c>
      <c r="AD5590" s="580">
        <f t="shared" si="471"/>
        <v>5</v>
      </c>
      <c r="AE5590" s="580">
        <f t="shared" si="472"/>
        <v>2.5</v>
      </c>
      <c r="AF5590" s="580">
        <f t="shared" si="473"/>
        <v>2.5</v>
      </c>
      <c r="AG5590" s="580">
        <f t="shared" si="474"/>
        <v>0</v>
      </c>
      <c r="AH5590" s="580">
        <f t="shared" si="475"/>
        <v>0</v>
      </c>
    </row>
    <row r="5591" spans="28:34">
      <c r="AB5591" s="580">
        <f>HLOOKUP("*"&amp;'Output annual'!$AC$2&amp;'Output annual'!$AD$2&amp;"*Zone People Number Of Occupants [](Hourly)",'Eplus results'!$1:$1048576,ROW(),FALSE)</f>
        <v>0</v>
      </c>
      <c r="AC5591" s="580">
        <f>HLOOKUP("*"&amp;'Output annual'!$AC$2&amp;'Output annual'!$AD$2&amp;"*FangerPMV(Hourly)",'Eplus results'!$1:$1048576,ROW(),FALSE)</f>
        <v>0</v>
      </c>
      <c r="AD5591" s="580">
        <f t="shared" si="471"/>
        <v>5</v>
      </c>
      <c r="AE5591" s="580">
        <f t="shared" si="472"/>
        <v>2.5</v>
      </c>
      <c r="AF5591" s="580">
        <f t="shared" si="473"/>
        <v>2.5</v>
      </c>
      <c r="AG5591" s="580">
        <f t="shared" si="474"/>
        <v>0</v>
      </c>
      <c r="AH5591" s="580">
        <f t="shared" si="475"/>
        <v>0</v>
      </c>
    </row>
    <row r="5592" spans="28:34">
      <c r="AB5592" s="580">
        <f>HLOOKUP("*"&amp;'Output annual'!$AC$2&amp;'Output annual'!$AD$2&amp;"*Zone People Number Of Occupants [](Hourly)",'Eplus results'!$1:$1048576,ROW(),FALSE)</f>
        <v>0</v>
      </c>
      <c r="AC5592" s="580">
        <f>HLOOKUP("*"&amp;'Output annual'!$AC$2&amp;'Output annual'!$AD$2&amp;"*FangerPMV(Hourly)",'Eplus results'!$1:$1048576,ROW(),FALSE)</f>
        <v>0</v>
      </c>
      <c r="AD5592" s="580">
        <f t="shared" si="471"/>
        <v>5</v>
      </c>
      <c r="AE5592" s="580">
        <f t="shared" si="472"/>
        <v>2.5</v>
      </c>
      <c r="AF5592" s="580">
        <f t="shared" si="473"/>
        <v>2.5</v>
      </c>
      <c r="AG5592" s="580">
        <f t="shared" si="474"/>
        <v>0</v>
      </c>
      <c r="AH5592" s="580">
        <f t="shared" si="475"/>
        <v>0</v>
      </c>
    </row>
    <row r="5593" spans="28:34">
      <c r="AB5593" s="580">
        <f>HLOOKUP("*"&amp;'Output annual'!$AC$2&amp;'Output annual'!$AD$2&amp;"*Zone People Number Of Occupants [](Hourly)",'Eplus results'!$1:$1048576,ROW(),FALSE)</f>
        <v>0</v>
      </c>
      <c r="AC5593" s="580">
        <f>HLOOKUP("*"&amp;'Output annual'!$AC$2&amp;'Output annual'!$AD$2&amp;"*FangerPMV(Hourly)",'Eplus results'!$1:$1048576,ROW(),FALSE)</f>
        <v>0</v>
      </c>
      <c r="AD5593" s="580">
        <f t="shared" si="471"/>
        <v>5</v>
      </c>
      <c r="AE5593" s="580">
        <f t="shared" si="472"/>
        <v>2.5</v>
      </c>
      <c r="AF5593" s="580">
        <f t="shared" si="473"/>
        <v>2.5</v>
      </c>
      <c r="AG5593" s="580">
        <f t="shared" si="474"/>
        <v>0</v>
      </c>
      <c r="AH5593" s="580">
        <f t="shared" si="475"/>
        <v>0</v>
      </c>
    </row>
    <row r="5594" spans="28:34">
      <c r="AB5594" s="580">
        <f>HLOOKUP("*"&amp;'Output annual'!$AC$2&amp;'Output annual'!$AD$2&amp;"*Zone People Number Of Occupants [](Hourly)",'Eplus results'!$1:$1048576,ROW(),FALSE)</f>
        <v>0</v>
      </c>
      <c r="AC5594" s="580">
        <f>HLOOKUP("*"&amp;'Output annual'!$AC$2&amp;'Output annual'!$AD$2&amp;"*FangerPMV(Hourly)",'Eplus results'!$1:$1048576,ROW(),FALSE)</f>
        <v>0</v>
      </c>
      <c r="AD5594" s="580">
        <f t="shared" si="471"/>
        <v>5</v>
      </c>
      <c r="AE5594" s="580">
        <f t="shared" si="472"/>
        <v>2.5</v>
      </c>
      <c r="AF5594" s="580">
        <f t="shared" si="473"/>
        <v>2.5</v>
      </c>
      <c r="AG5594" s="580">
        <f t="shared" si="474"/>
        <v>0</v>
      </c>
      <c r="AH5594" s="580">
        <f t="shared" si="475"/>
        <v>0</v>
      </c>
    </row>
    <row r="5595" spans="28:34">
      <c r="AB5595" s="580">
        <f>HLOOKUP("*"&amp;'Output annual'!$AC$2&amp;'Output annual'!$AD$2&amp;"*Zone People Number Of Occupants [](Hourly)",'Eplus results'!$1:$1048576,ROW(),FALSE)</f>
        <v>0</v>
      </c>
      <c r="AC5595" s="580">
        <f>HLOOKUP("*"&amp;'Output annual'!$AC$2&amp;'Output annual'!$AD$2&amp;"*FangerPMV(Hourly)",'Eplus results'!$1:$1048576,ROW(),FALSE)</f>
        <v>0</v>
      </c>
      <c r="AD5595" s="580">
        <f t="shared" si="471"/>
        <v>5</v>
      </c>
      <c r="AE5595" s="580">
        <f t="shared" si="472"/>
        <v>2.5</v>
      </c>
      <c r="AF5595" s="580">
        <f t="shared" si="473"/>
        <v>2.5</v>
      </c>
      <c r="AG5595" s="580">
        <f t="shared" si="474"/>
        <v>0</v>
      </c>
      <c r="AH5595" s="580">
        <f t="shared" si="475"/>
        <v>0</v>
      </c>
    </row>
    <row r="5596" spans="28:34">
      <c r="AB5596" s="580">
        <f>HLOOKUP("*"&amp;'Output annual'!$AC$2&amp;'Output annual'!$AD$2&amp;"*Zone People Number Of Occupants [](Hourly)",'Eplus results'!$1:$1048576,ROW(),FALSE)</f>
        <v>0</v>
      </c>
      <c r="AC5596" s="580">
        <f>HLOOKUP("*"&amp;'Output annual'!$AC$2&amp;'Output annual'!$AD$2&amp;"*FangerPMV(Hourly)",'Eplus results'!$1:$1048576,ROW(),FALSE)</f>
        <v>0</v>
      </c>
      <c r="AD5596" s="580">
        <f t="shared" si="471"/>
        <v>5</v>
      </c>
      <c r="AE5596" s="580">
        <f t="shared" si="472"/>
        <v>2.5</v>
      </c>
      <c r="AF5596" s="580">
        <f t="shared" si="473"/>
        <v>2.5</v>
      </c>
      <c r="AG5596" s="580">
        <f t="shared" si="474"/>
        <v>0</v>
      </c>
      <c r="AH5596" s="580">
        <f t="shared" si="475"/>
        <v>0</v>
      </c>
    </row>
    <row r="5597" spans="28:34">
      <c r="AB5597" s="580">
        <f>HLOOKUP("*"&amp;'Output annual'!$AC$2&amp;'Output annual'!$AD$2&amp;"*Zone People Number Of Occupants [](Hourly)",'Eplus results'!$1:$1048576,ROW(),FALSE)</f>
        <v>0</v>
      </c>
      <c r="AC5597" s="580">
        <f>HLOOKUP("*"&amp;'Output annual'!$AC$2&amp;'Output annual'!$AD$2&amp;"*FangerPMV(Hourly)",'Eplus results'!$1:$1048576,ROW(),FALSE)</f>
        <v>0</v>
      </c>
      <c r="AD5597" s="580">
        <f t="shared" si="471"/>
        <v>5</v>
      </c>
      <c r="AE5597" s="580">
        <f t="shared" si="472"/>
        <v>2.5</v>
      </c>
      <c r="AF5597" s="580">
        <f t="shared" si="473"/>
        <v>2.5</v>
      </c>
      <c r="AG5597" s="580">
        <f t="shared" si="474"/>
        <v>0</v>
      </c>
      <c r="AH5597" s="580">
        <f t="shared" si="475"/>
        <v>0</v>
      </c>
    </row>
    <row r="5598" spans="28:34">
      <c r="AB5598" s="580">
        <f>HLOOKUP("*"&amp;'Output annual'!$AC$2&amp;'Output annual'!$AD$2&amp;"*Zone People Number Of Occupants [](Hourly)",'Eplus results'!$1:$1048576,ROW(),FALSE)</f>
        <v>0</v>
      </c>
      <c r="AC5598" s="580">
        <f>HLOOKUP("*"&amp;'Output annual'!$AC$2&amp;'Output annual'!$AD$2&amp;"*FangerPMV(Hourly)",'Eplus results'!$1:$1048576,ROW(),FALSE)</f>
        <v>0</v>
      </c>
      <c r="AD5598" s="580">
        <f t="shared" si="471"/>
        <v>5</v>
      </c>
      <c r="AE5598" s="580">
        <f t="shared" si="472"/>
        <v>2.5</v>
      </c>
      <c r="AF5598" s="580">
        <f t="shared" si="473"/>
        <v>2.5</v>
      </c>
      <c r="AG5598" s="580">
        <f t="shared" si="474"/>
        <v>0</v>
      </c>
      <c r="AH5598" s="580">
        <f t="shared" si="475"/>
        <v>0</v>
      </c>
    </row>
    <row r="5599" spans="28:34">
      <c r="AB5599" s="580">
        <f>HLOOKUP("*"&amp;'Output annual'!$AC$2&amp;'Output annual'!$AD$2&amp;"*Zone People Number Of Occupants [](Hourly)",'Eplus results'!$1:$1048576,ROW(),FALSE)</f>
        <v>0</v>
      </c>
      <c r="AC5599" s="580">
        <f>HLOOKUP("*"&amp;'Output annual'!$AC$2&amp;'Output annual'!$AD$2&amp;"*FangerPMV(Hourly)",'Eplus results'!$1:$1048576,ROW(),FALSE)</f>
        <v>0</v>
      </c>
      <c r="AD5599" s="580">
        <f t="shared" si="471"/>
        <v>5</v>
      </c>
      <c r="AE5599" s="580">
        <f t="shared" si="472"/>
        <v>2.5</v>
      </c>
      <c r="AF5599" s="580">
        <f t="shared" si="473"/>
        <v>2.5</v>
      </c>
      <c r="AG5599" s="580">
        <f t="shared" si="474"/>
        <v>0</v>
      </c>
      <c r="AH5599" s="580">
        <f t="shared" si="475"/>
        <v>0</v>
      </c>
    </row>
    <row r="5600" spans="28:34">
      <c r="AB5600" s="580">
        <f>HLOOKUP("*"&amp;'Output annual'!$AC$2&amp;'Output annual'!$AD$2&amp;"*Zone People Number Of Occupants [](Hourly)",'Eplus results'!$1:$1048576,ROW(),FALSE)</f>
        <v>0</v>
      </c>
      <c r="AC5600" s="580">
        <f>HLOOKUP("*"&amp;'Output annual'!$AC$2&amp;'Output annual'!$AD$2&amp;"*FangerPMV(Hourly)",'Eplus results'!$1:$1048576,ROW(),FALSE)</f>
        <v>0</v>
      </c>
      <c r="AD5600" s="580">
        <f t="shared" si="471"/>
        <v>5</v>
      </c>
      <c r="AE5600" s="580">
        <f t="shared" si="472"/>
        <v>2.5</v>
      </c>
      <c r="AF5600" s="580">
        <f t="shared" si="473"/>
        <v>2.5</v>
      </c>
      <c r="AG5600" s="580">
        <f t="shared" si="474"/>
        <v>0</v>
      </c>
      <c r="AH5600" s="580">
        <f t="shared" si="475"/>
        <v>0</v>
      </c>
    </row>
    <row r="5601" spans="28:34">
      <c r="AB5601" s="580">
        <f>HLOOKUP("*"&amp;'Output annual'!$AC$2&amp;'Output annual'!$AD$2&amp;"*Zone People Number Of Occupants [](Hourly)",'Eplus results'!$1:$1048576,ROW(),FALSE)</f>
        <v>0</v>
      </c>
      <c r="AC5601" s="580">
        <f>HLOOKUP("*"&amp;'Output annual'!$AC$2&amp;'Output annual'!$AD$2&amp;"*FangerPMV(Hourly)",'Eplus results'!$1:$1048576,ROW(),FALSE)</f>
        <v>0</v>
      </c>
      <c r="AD5601" s="580">
        <f t="shared" si="471"/>
        <v>5</v>
      </c>
      <c r="AE5601" s="580">
        <f t="shared" si="472"/>
        <v>2.5</v>
      </c>
      <c r="AF5601" s="580">
        <f t="shared" si="473"/>
        <v>2.5</v>
      </c>
      <c r="AG5601" s="580">
        <f t="shared" si="474"/>
        <v>0</v>
      </c>
      <c r="AH5601" s="580">
        <f t="shared" si="475"/>
        <v>0</v>
      </c>
    </row>
    <row r="5602" spans="28:34">
      <c r="AB5602" s="580">
        <f>HLOOKUP("*"&amp;'Output annual'!$AC$2&amp;'Output annual'!$AD$2&amp;"*Zone People Number Of Occupants [](Hourly)",'Eplus results'!$1:$1048576,ROW(),FALSE)</f>
        <v>0</v>
      </c>
      <c r="AC5602" s="580">
        <f>HLOOKUP("*"&amp;'Output annual'!$AC$2&amp;'Output annual'!$AD$2&amp;"*FangerPMV(Hourly)",'Eplus results'!$1:$1048576,ROW(),FALSE)</f>
        <v>0</v>
      </c>
      <c r="AD5602" s="580">
        <f t="shared" si="471"/>
        <v>5</v>
      </c>
      <c r="AE5602" s="580">
        <f t="shared" si="472"/>
        <v>2.5</v>
      </c>
      <c r="AF5602" s="580">
        <f t="shared" si="473"/>
        <v>2.5</v>
      </c>
      <c r="AG5602" s="580">
        <f t="shared" si="474"/>
        <v>0</v>
      </c>
      <c r="AH5602" s="580">
        <f t="shared" si="475"/>
        <v>0</v>
      </c>
    </row>
    <row r="5603" spans="28:34">
      <c r="AB5603" s="580">
        <f>HLOOKUP("*"&amp;'Output annual'!$AC$2&amp;'Output annual'!$AD$2&amp;"*Zone People Number Of Occupants [](Hourly)",'Eplus results'!$1:$1048576,ROW(),FALSE)</f>
        <v>0</v>
      </c>
      <c r="AC5603" s="580">
        <f>HLOOKUP("*"&amp;'Output annual'!$AC$2&amp;'Output annual'!$AD$2&amp;"*FangerPMV(Hourly)",'Eplus results'!$1:$1048576,ROW(),FALSE)</f>
        <v>0</v>
      </c>
      <c r="AD5603" s="580">
        <f t="shared" si="471"/>
        <v>5</v>
      </c>
      <c r="AE5603" s="580">
        <f t="shared" si="472"/>
        <v>2.5</v>
      </c>
      <c r="AF5603" s="580">
        <f t="shared" si="473"/>
        <v>2.5</v>
      </c>
      <c r="AG5603" s="580">
        <f t="shared" si="474"/>
        <v>0</v>
      </c>
      <c r="AH5603" s="580">
        <f t="shared" si="475"/>
        <v>0</v>
      </c>
    </row>
    <row r="5604" spans="28:34">
      <c r="AB5604" s="580">
        <f>HLOOKUP("*"&amp;'Output annual'!$AC$2&amp;'Output annual'!$AD$2&amp;"*Zone People Number Of Occupants [](Hourly)",'Eplus results'!$1:$1048576,ROW(),FALSE)</f>
        <v>0</v>
      </c>
      <c r="AC5604" s="580">
        <f>HLOOKUP("*"&amp;'Output annual'!$AC$2&amp;'Output annual'!$AD$2&amp;"*FangerPMV(Hourly)",'Eplus results'!$1:$1048576,ROW(),FALSE)</f>
        <v>0</v>
      </c>
      <c r="AD5604" s="580">
        <f t="shared" si="471"/>
        <v>5</v>
      </c>
      <c r="AE5604" s="580">
        <f t="shared" si="472"/>
        <v>2.5</v>
      </c>
      <c r="AF5604" s="580">
        <f t="shared" si="473"/>
        <v>2.5</v>
      </c>
      <c r="AG5604" s="580">
        <f t="shared" si="474"/>
        <v>0</v>
      </c>
      <c r="AH5604" s="580">
        <f t="shared" si="475"/>
        <v>0</v>
      </c>
    </row>
    <row r="5605" spans="28:34">
      <c r="AB5605" s="580">
        <f>HLOOKUP("*"&amp;'Output annual'!$AC$2&amp;'Output annual'!$AD$2&amp;"*Zone People Number Of Occupants [](Hourly)",'Eplus results'!$1:$1048576,ROW(),FALSE)</f>
        <v>0</v>
      </c>
      <c r="AC5605" s="580">
        <f>HLOOKUP("*"&amp;'Output annual'!$AC$2&amp;'Output annual'!$AD$2&amp;"*FangerPMV(Hourly)",'Eplus results'!$1:$1048576,ROW(),FALSE)</f>
        <v>0</v>
      </c>
      <c r="AD5605" s="580">
        <f t="shared" si="471"/>
        <v>5</v>
      </c>
      <c r="AE5605" s="580">
        <f t="shared" si="472"/>
        <v>2.5</v>
      </c>
      <c r="AF5605" s="580">
        <f t="shared" si="473"/>
        <v>2.5</v>
      </c>
      <c r="AG5605" s="580">
        <f t="shared" si="474"/>
        <v>0</v>
      </c>
      <c r="AH5605" s="580">
        <f t="shared" si="475"/>
        <v>0</v>
      </c>
    </row>
    <row r="5606" spans="28:34">
      <c r="AB5606" s="580">
        <f>HLOOKUP("*"&amp;'Output annual'!$AC$2&amp;'Output annual'!$AD$2&amp;"*Zone People Number Of Occupants [](Hourly)",'Eplus results'!$1:$1048576,ROW(),FALSE)</f>
        <v>0</v>
      </c>
      <c r="AC5606" s="580">
        <f>HLOOKUP("*"&amp;'Output annual'!$AC$2&amp;'Output annual'!$AD$2&amp;"*FangerPMV(Hourly)",'Eplus results'!$1:$1048576,ROW(),FALSE)</f>
        <v>0</v>
      </c>
      <c r="AD5606" s="580">
        <f t="shared" si="471"/>
        <v>5</v>
      </c>
      <c r="AE5606" s="580">
        <f t="shared" si="472"/>
        <v>2.5</v>
      </c>
      <c r="AF5606" s="580">
        <f t="shared" si="473"/>
        <v>2.5</v>
      </c>
      <c r="AG5606" s="580">
        <f t="shared" si="474"/>
        <v>0</v>
      </c>
      <c r="AH5606" s="580">
        <f t="shared" si="475"/>
        <v>0</v>
      </c>
    </row>
    <row r="5607" spans="28:34">
      <c r="AB5607" s="580">
        <f>HLOOKUP("*"&amp;'Output annual'!$AC$2&amp;'Output annual'!$AD$2&amp;"*Zone People Number Of Occupants [](Hourly)",'Eplus results'!$1:$1048576,ROW(),FALSE)</f>
        <v>0</v>
      </c>
      <c r="AC5607" s="580">
        <f>HLOOKUP("*"&amp;'Output annual'!$AC$2&amp;'Output annual'!$AD$2&amp;"*FangerPMV(Hourly)",'Eplus results'!$1:$1048576,ROW(),FALSE)</f>
        <v>0</v>
      </c>
      <c r="AD5607" s="580">
        <f t="shared" si="471"/>
        <v>5</v>
      </c>
      <c r="AE5607" s="580">
        <f t="shared" si="472"/>
        <v>2.5</v>
      </c>
      <c r="AF5607" s="580">
        <f t="shared" si="473"/>
        <v>2.5</v>
      </c>
      <c r="AG5607" s="580">
        <f t="shared" si="474"/>
        <v>0</v>
      </c>
      <c r="AH5607" s="580">
        <f t="shared" si="475"/>
        <v>0</v>
      </c>
    </row>
    <row r="5608" spans="28:34">
      <c r="AB5608" s="580">
        <f>HLOOKUP("*"&amp;'Output annual'!$AC$2&amp;'Output annual'!$AD$2&amp;"*Zone People Number Of Occupants [](Hourly)",'Eplus results'!$1:$1048576,ROW(),FALSE)</f>
        <v>0</v>
      </c>
      <c r="AC5608" s="580">
        <f>HLOOKUP("*"&amp;'Output annual'!$AC$2&amp;'Output annual'!$AD$2&amp;"*FangerPMV(Hourly)",'Eplus results'!$1:$1048576,ROW(),FALSE)</f>
        <v>0</v>
      </c>
      <c r="AD5608" s="580">
        <f t="shared" si="471"/>
        <v>5</v>
      </c>
      <c r="AE5608" s="580">
        <f t="shared" si="472"/>
        <v>2.5</v>
      </c>
      <c r="AF5608" s="580">
        <f t="shared" si="473"/>
        <v>2.5</v>
      </c>
      <c r="AG5608" s="580">
        <f t="shared" si="474"/>
        <v>0</v>
      </c>
      <c r="AH5608" s="580">
        <f t="shared" si="475"/>
        <v>0</v>
      </c>
    </row>
    <row r="5609" spans="28:34">
      <c r="AB5609" s="580">
        <f>HLOOKUP("*"&amp;'Output annual'!$AC$2&amp;'Output annual'!$AD$2&amp;"*Zone People Number Of Occupants [](Hourly)",'Eplus results'!$1:$1048576,ROW(),FALSE)</f>
        <v>0</v>
      </c>
      <c r="AC5609" s="580">
        <f>HLOOKUP("*"&amp;'Output annual'!$AC$2&amp;'Output annual'!$AD$2&amp;"*FangerPMV(Hourly)",'Eplus results'!$1:$1048576,ROW(),FALSE)</f>
        <v>0</v>
      </c>
      <c r="AD5609" s="580">
        <f t="shared" si="471"/>
        <v>5</v>
      </c>
      <c r="AE5609" s="580">
        <f t="shared" si="472"/>
        <v>2.5</v>
      </c>
      <c r="AF5609" s="580">
        <f t="shared" si="473"/>
        <v>2.5</v>
      </c>
      <c r="AG5609" s="580">
        <f t="shared" si="474"/>
        <v>0</v>
      </c>
      <c r="AH5609" s="580">
        <f t="shared" si="475"/>
        <v>0</v>
      </c>
    </row>
    <row r="5610" spans="28:34">
      <c r="AB5610" s="580">
        <f>HLOOKUP("*"&amp;'Output annual'!$AC$2&amp;'Output annual'!$AD$2&amp;"*Zone People Number Of Occupants [](Hourly)",'Eplus results'!$1:$1048576,ROW(),FALSE)</f>
        <v>0</v>
      </c>
      <c r="AC5610" s="580">
        <f>HLOOKUP("*"&amp;'Output annual'!$AC$2&amp;'Output annual'!$AD$2&amp;"*FangerPMV(Hourly)",'Eplus results'!$1:$1048576,ROW(),FALSE)</f>
        <v>0</v>
      </c>
      <c r="AD5610" s="580">
        <f t="shared" si="471"/>
        <v>5</v>
      </c>
      <c r="AE5610" s="580">
        <f t="shared" si="472"/>
        <v>2.5</v>
      </c>
      <c r="AF5610" s="580">
        <f t="shared" si="473"/>
        <v>2.5</v>
      </c>
      <c r="AG5610" s="580">
        <f t="shared" si="474"/>
        <v>0</v>
      </c>
      <c r="AH5610" s="580">
        <f t="shared" si="475"/>
        <v>0</v>
      </c>
    </row>
    <row r="5611" spans="28:34">
      <c r="AB5611" s="580">
        <f>HLOOKUP("*"&amp;'Output annual'!$AC$2&amp;'Output annual'!$AD$2&amp;"*Zone People Number Of Occupants [](Hourly)",'Eplus results'!$1:$1048576,ROW(),FALSE)</f>
        <v>0</v>
      </c>
      <c r="AC5611" s="580">
        <f>HLOOKUP("*"&amp;'Output annual'!$AC$2&amp;'Output annual'!$AD$2&amp;"*FangerPMV(Hourly)",'Eplus results'!$1:$1048576,ROW(),FALSE)</f>
        <v>0</v>
      </c>
      <c r="AD5611" s="580">
        <f t="shared" si="471"/>
        <v>5</v>
      </c>
      <c r="AE5611" s="580">
        <f t="shared" si="472"/>
        <v>2.5</v>
      </c>
      <c r="AF5611" s="580">
        <f t="shared" si="473"/>
        <v>2.5</v>
      </c>
      <c r="AG5611" s="580">
        <f t="shared" si="474"/>
        <v>0</v>
      </c>
      <c r="AH5611" s="580">
        <f t="shared" si="475"/>
        <v>0</v>
      </c>
    </row>
    <row r="5612" spans="28:34">
      <c r="AB5612" s="580">
        <f>HLOOKUP("*"&amp;'Output annual'!$AC$2&amp;'Output annual'!$AD$2&amp;"*Zone People Number Of Occupants [](Hourly)",'Eplus results'!$1:$1048576,ROW(),FALSE)</f>
        <v>0</v>
      </c>
      <c r="AC5612" s="580">
        <f>HLOOKUP("*"&amp;'Output annual'!$AC$2&amp;'Output annual'!$AD$2&amp;"*FangerPMV(Hourly)",'Eplus results'!$1:$1048576,ROW(),FALSE)</f>
        <v>0</v>
      </c>
      <c r="AD5612" s="580">
        <f t="shared" si="471"/>
        <v>5</v>
      </c>
      <c r="AE5612" s="580">
        <f t="shared" si="472"/>
        <v>2.5</v>
      </c>
      <c r="AF5612" s="580">
        <f t="shared" si="473"/>
        <v>2.5</v>
      </c>
      <c r="AG5612" s="580">
        <f t="shared" si="474"/>
        <v>0</v>
      </c>
      <c r="AH5612" s="580">
        <f t="shared" si="475"/>
        <v>0</v>
      </c>
    </row>
    <row r="5613" spans="28:34">
      <c r="AB5613" s="580">
        <f>HLOOKUP("*"&amp;'Output annual'!$AC$2&amp;'Output annual'!$AD$2&amp;"*Zone People Number Of Occupants [](Hourly)",'Eplus results'!$1:$1048576,ROW(),FALSE)</f>
        <v>0</v>
      </c>
      <c r="AC5613" s="580">
        <f>HLOOKUP("*"&amp;'Output annual'!$AC$2&amp;'Output annual'!$AD$2&amp;"*FangerPMV(Hourly)",'Eplus results'!$1:$1048576,ROW(),FALSE)</f>
        <v>0</v>
      </c>
      <c r="AD5613" s="580">
        <f t="shared" si="471"/>
        <v>5</v>
      </c>
      <c r="AE5613" s="580">
        <f t="shared" si="472"/>
        <v>2.5</v>
      </c>
      <c r="AF5613" s="580">
        <f t="shared" si="473"/>
        <v>2.5</v>
      </c>
      <c r="AG5613" s="580">
        <f t="shared" si="474"/>
        <v>0</v>
      </c>
      <c r="AH5613" s="580">
        <f t="shared" si="475"/>
        <v>0</v>
      </c>
    </row>
    <row r="5614" spans="28:34">
      <c r="AB5614" s="580">
        <f>HLOOKUP("*"&amp;'Output annual'!$AC$2&amp;'Output annual'!$AD$2&amp;"*Zone People Number Of Occupants [](Hourly)",'Eplus results'!$1:$1048576,ROW(),FALSE)</f>
        <v>0</v>
      </c>
      <c r="AC5614" s="580">
        <f>HLOOKUP("*"&amp;'Output annual'!$AC$2&amp;'Output annual'!$AD$2&amp;"*FangerPMV(Hourly)",'Eplus results'!$1:$1048576,ROW(),FALSE)</f>
        <v>0</v>
      </c>
      <c r="AD5614" s="580">
        <f t="shared" si="471"/>
        <v>5</v>
      </c>
      <c r="AE5614" s="580">
        <f t="shared" si="472"/>
        <v>2.5</v>
      </c>
      <c r="AF5614" s="580">
        <f t="shared" si="473"/>
        <v>2.5</v>
      </c>
      <c r="AG5614" s="580">
        <f t="shared" si="474"/>
        <v>0</v>
      </c>
      <c r="AH5614" s="580">
        <f t="shared" si="475"/>
        <v>0</v>
      </c>
    </row>
    <row r="5615" spans="28:34">
      <c r="AB5615" s="580">
        <f>HLOOKUP("*"&amp;'Output annual'!$AC$2&amp;'Output annual'!$AD$2&amp;"*Zone People Number Of Occupants [](Hourly)",'Eplus results'!$1:$1048576,ROW(),FALSE)</f>
        <v>0</v>
      </c>
      <c r="AC5615" s="580">
        <f>HLOOKUP("*"&amp;'Output annual'!$AC$2&amp;'Output annual'!$AD$2&amp;"*FangerPMV(Hourly)",'Eplus results'!$1:$1048576,ROW(),FALSE)</f>
        <v>0</v>
      </c>
      <c r="AD5615" s="580">
        <f t="shared" si="471"/>
        <v>5</v>
      </c>
      <c r="AE5615" s="580">
        <f t="shared" si="472"/>
        <v>2.5</v>
      </c>
      <c r="AF5615" s="580">
        <f t="shared" si="473"/>
        <v>2.5</v>
      </c>
      <c r="AG5615" s="580">
        <f t="shared" si="474"/>
        <v>0</v>
      </c>
      <c r="AH5615" s="580">
        <f t="shared" si="475"/>
        <v>0</v>
      </c>
    </row>
    <row r="5616" spans="28:34">
      <c r="AB5616" s="580">
        <f>HLOOKUP("*"&amp;'Output annual'!$AC$2&amp;'Output annual'!$AD$2&amp;"*Zone People Number Of Occupants [](Hourly)",'Eplus results'!$1:$1048576,ROW(),FALSE)</f>
        <v>0</v>
      </c>
      <c r="AC5616" s="580">
        <f>HLOOKUP("*"&amp;'Output annual'!$AC$2&amp;'Output annual'!$AD$2&amp;"*FangerPMV(Hourly)",'Eplus results'!$1:$1048576,ROW(),FALSE)</f>
        <v>0</v>
      </c>
      <c r="AD5616" s="580">
        <f t="shared" si="471"/>
        <v>5</v>
      </c>
      <c r="AE5616" s="580">
        <f t="shared" si="472"/>
        <v>2.5</v>
      </c>
      <c r="AF5616" s="580">
        <f t="shared" si="473"/>
        <v>2.5</v>
      </c>
      <c r="AG5616" s="580">
        <f t="shared" si="474"/>
        <v>0</v>
      </c>
      <c r="AH5616" s="580">
        <f t="shared" si="475"/>
        <v>0</v>
      </c>
    </row>
    <row r="5617" spans="28:34">
      <c r="AB5617" s="580">
        <f>HLOOKUP("*"&amp;'Output annual'!$AC$2&amp;'Output annual'!$AD$2&amp;"*Zone People Number Of Occupants [](Hourly)",'Eplus results'!$1:$1048576,ROW(),FALSE)</f>
        <v>0</v>
      </c>
      <c r="AC5617" s="580">
        <f>HLOOKUP("*"&amp;'Output annual'!$AC$2&amp;'Output annual'!$AD$2&amp;"*FangerPMV(Hourly)",'Eplus results'!$1:$1048576,ROW(),FALSE)</f>
        <v>0</v>
      </c>
      <c r="AD5617" s="580">
        <f t="shared" si="471"/>
        <v>5</v>
      </c>
      <c r="AE5617" s="580">
        <f t="shared" si="472"/>
        <v>2.5</v>
      </c>
      <c r="AF5617" s="580">
        <f t="shared" si="473"/>
        <v>2.5</v>
      </c>
      <c r="AG5617" s="580">
        <f t="shared" si="474"/>
        <v>0</v>
      </c>
      <c r="AH5617" s="580">
        <f t="shared" si="475"/>
        <v>0</v>
      </c>
    </row>
    <row r="5618" spans="28:34">
      <c r="AB5618" s="580">
        <f>HLOOKUP("*"&amp;'Output annual'!$AC$2&amp;'Output annual'!$AD$2&amp;"*Zone People Number Of Occupants [](Hourly)",'Eplus results'!$1:$1048576,ROW(),FALSE)</f>
        <v>0</v>
      </c>
      <c r="AC5618" s="580">
        <f>HLOOKUP("*"&amp;'Output annual'!$AC$2&amp;'Output annual'!$AD$2&amp;"*FangerPMV(Hourly)",'Eplus results'!$1:$1048576,ROW(),FALSE)</f>
        <v>0</v>
      </c>
      <c r="AD5618" s="580">
        <f t="shared" si="471"/>
        <v>5</v>
      </c>
      <c r="AE5618" s="580">
        <f t="shared" si="472"/>
        <v>2.5</v>
      </c>
      <c r="AF5618" s="580">
        <f t="shared" si="473"/>
        <v>2.5</v>
      </c>
      <c r="AG5618" s="580">
        <f t="shared" si="474"/>
        <v>0</v>
      </c>
      <c r="AH5618" s="580">
        <f t="shared" si="475"/>
        <v>0</v>
      </c>
    </row>
    <row r="5619" spans="28:34">
      <c r="AB5619" s="580">
        <f>HLOOKUP("*"&amp;'Output annual'!$AC$2&amp;'Output annual'!$AD$2&amp;"*Zone People Number Of Occupants [](Hourly)",'Eplus results'!$1:$1048576,ROW(),FALSE)</f>
        <v>0</v>
      </c>
      <c r="AC5619" s="580">
        <f>HLOOKUP("*"&amp;'Output annual'!$AC$2&amp;'Output annual'!$AD$2&amp;"*FangerPMV(Hourly)",'Eplus results'!$1:$1048576,ROW(),FALSE)</f>
        <v>0</v>
      </c>
      <c r="AD5619" s="580">
        <f t="shared" si="471"/>
        <v>5</v>
      </c>
      <c r="AE5619" s="580">
        <f t="shared" si="472"/>
        <v>2.5</v>
      </c>
      <c r="AF5619" s="580">
        <f t="shared" si="473"/>
        <v>2.5</v>
      </c>
      <c r="AG5619" s="580">
        <f t="shared" si="474"/>
        <v>0</v>
      </c>
      <c r="AH5619" s="580">
        <f t="shared" si="475"/>
        <v>0</v>
      </c>
    </row>
    <row r="5620" spans="28:34">
      <c r="AB5620" s="580">
        <f>HLOOKUP("*"&amp;'Output annual'!$AC$2&amp;'Output annual'!$AD$2&amp;"*Zone People Number Of Occupants [](Hourly)",'Eplus results'!$1:$1048576,ROW(),FALSE)</f>
        <v>0</v>
      </c>
      <c r="AC5620" s="580">
        <f>HLOOKUP("*"&amp;'Output annual'!$AC$2&amp;'Output annual'!$AD$2&amp;"*FangerPMV(Hourly)",'Eplus results'!$1:$1048576,ROW(),FALSE)</f>
        <v>0</v>
      </c>
      <c r="AD5620" s="580">
        <f t="shared" si="471"/>
        <v>5</v>
      </c>
      <c r="AE5620" s="580">
        <f t="shared" si="472"/>
        <v>2.5</v>
      </c>
      <c r="AF5620" s="580">
        <f t="shared" si="473"/>
        <v>2.5</v>
      </c>
      <c r="AG5620" s="580">
        <f t="shared" si="474"/>
        <v>0</v>
      </c>
      <c r="AH5620" s="580">
        <f t="shared" si="475"/>
        <v>0</v>
      </c>
    </row>
    <row r="5621" spans="28:34">
      <c r="AB5621" s="580">
        <f>HLOOKUP("*"&amp;'Output annual'!$AC$2&amp;'Output annual'!$AD$2&amp;"*Zone People Number Of Occupants [](Hourly)",'Eplus results'!$1:$1048576,ROW(),FALSE)</f>
        <v>0</v>
      </c>
      <c r="AC5621" s="580">
        <f>HLOOKUP("*"&amp;'Output annual'!$AC$2&amp;'Output annual'!$AD$2&amp;"*FangerPMV(Hourly)",'Eplus results'!$1:$1048576,ROW(),FALSE)</f>
        <v>0</v>
      </c>
      <c r="AD5621" s="580">
        <f t="shared" si="471"/>
        <v>5</v>
      </c>
      <c r="AE5621" s="580">
        <f t="shared" si="472"/>
        <v>2.5</v>
      </c>
      <c r="AF5621" s="580">
        <f t="shared" si="473"/>
        <v>2.5</v>
      </c>
      <c r="AG5621" s="580">
        <f t="shared" si="474"/>
        <v>0</v>
      </c>
      <c r="AH5621" s="580">
        <f t="shared" si="475"/>
        <v>0</v>
      </c>
    </row>
    <row r="5622" spans="28:34">
      <c r="AB5622" s="580">
        <f>HLOOKUP("*"&amp;'Output annual'!$AC$2&amp;'Output annual'!$AD$2&amp;"*Zone People Number Of Occupants [](Hourly)",'Eplus results'!$1:$1048576,ROW(),FALSE)</f>
        <v>0</v>
      </c>
      <c r="AC5622" s="580">
        <f>HLOOKUP("*"&amp;'Output annual'!$AC$2&amp;'Output annual'!$AD$2&amp;"*FangerPMV(Hourly)",'Eplus results'!$1:$1048576,ROW(),FALSE)</f>
        <v>0</v>
      </c>
      <c r="AD5622" s="580">
        <f t="shared" si="471"/>
        <v>5</v>
      </c>
      <c r="AE5622" s="580">
        <f t="shared" si="472"/>
        <v>2.5</v>
      </c>
      <c r="AF5622" s="580">
        <f t="shared" si="473"/>
        <v>2.5</v>
      </c>
      <c r="AG5622" s="580">
        <f t="shared" si="474"/>
        <v>0</v>
      </c>
      <c r="AH5622" s="580">
        <f t="shared" si="475"/>
        <v>0</v>
      </c>
    </row>
    <row r="5623" spans="28:34">
      <c r="AB5623" s="580">
        <f>HLOOKUP("*"&amp;'Output annual'!$AC$2&amp;'Output annual'!$AD$2&amp;"*Zone People Number Of Occupants [](Hourly)",'Eplus results'!$1:$1048576,ROW(),FALSE)</f>
        <v>0</v>
      </c>
      <c r="AC5623" s="580">
        <f>HLOOKUP("*"&amp;'Output annual'!$AC$2&amp;'Output annual'!$AD$2&amp;"*FangerPMV(Hourly)",'Eplus results'!$1:$1048576,ROW(),FALSE)</f>
        <v>0</v>
      </c>
      <c r="AD5623" s="580">
        <f t="shared" si="471"/>
        <v>5</v>
      </c>
      <c r="AE5623" s="580">
        <f t="shared" si="472"/>
        <v>2.5</v>
      </c>
      <c r="AF5623" s="580">
        <f t="shared" si="473"/>
        <v>2.5</v>
      </c>
      <c r="AG5623" s="580">
        <f t="shared" si="474"/>
        <v>0</v>
      </c>
      <c r="AH5623" s="580">
        <f t="shared" si="475"/>
        <v>0</v>
      </c>
    </row>
    <row r="5624" spans="28:34">
      <c r="AB5624" s="580">
        <f>HLOOKUP("*"&amp;'Output annual'!$AC$2&amp;'Output annual'!$AD$2&amp;"*Zone People Number Of Occupants [](Hourly)",'Eplus results'!$1:$1048576,ROW(),FALSE)</f>
        <v>0</v>
      </c>
      <c r="AC5624" s="580">
        <f>HLOOKUP("*"&amp;'Output annual'!$AC$2&amp;'Output annual'!$AD$2&amp;"*FangerPMV(Hourly)",'Eplus results'!$1:$1048576,ROW(),FALSE)</f>
        <v>0</v>
      </c>
      <c r="AD5624" s="580">
        <f t="shared" si="471"/>
        <v>5</v>
      </c>
      <c r="AE5624" s="580">
        <f t="shared" si="472"/>
        <v>2.5</v>
      </c>
      <c r="AF5624" s="580">
        <f t="shared" si="473"/>
        <v>2.5</v>
      </c>
      <c r="AG5624" s="580">
        <f t="shared" si="474"/>
        <v>0</v>
      </c>
      <c r="AH5624" s="580">
        <f t="shared" si="475"/>
        <v>0</v>
      </c>
    </row>
    <row r="5625" spans="28:34">
      <c r="AB5625" s="580">
        <f>HLOOKUP("*"&amp;'Output annual'!$AC$2&amp;'Output annual'!$AD$2&amp;"*Zone People Number Of Occupants [](Hourly)",'Eplus results'!$1:$1048576,ROW(),FALSE)</f>
        <v>0</v>
      </c>
      <c r="AC5625" s="580">
        <f>HLOOKUP("*"&amp;'Output annual'!$AC$2&amp;'Output annual'!$AD$2&amp;"*FangerPMV(Hourly)",'Eplus results'!$1:$1048576,ROW(),FALSE)</f>
        <v>0</v>
      </c>
      <c r="AD5625" s="580">
        <f t="shared" si="471"/>
        <v>5</v>
      </c>
      <c r="AE5625" s="580">
        <f t="shared" si="472"/>
        <v>2.5</v>
      </c>
      <c r="AF5625" s="580">
        <f t="shared" si="473"/>
        <v>2.5</v>
      </c>
      <c r="AG5625" s="580">
        <f t="shared" si="474"/>
        <v>0</v>
      </c>
      <c r="AH5625" s="580">
        <f t="shared" si="475"/>
        <v>0</v>
      </c>
    </row>
    <row r="5626" spans="28:34">
      <c r="AB5626" s="580">
        <f>HLOOKUP("*"&amp;'Output annual'!$AC$2&amp;'Output annual'!$AD$2&amp;"*Zone People Number Of Occupants [](Hourly)",'Eplus results'!$1:$1048576,ROW(),FALSE)</f>
        <v>0</v>
      </c>
      <c r="AC5626" s="580">
        <f>HLOOKUP("*"&amp;'Output annual'!$AC$2&amp;'Output annual'!$AD$2&amp;"*FangerPMV(Hourly)",'Eplus results'!$1:$1048576,ROW(),FALSE)</f>
        <v>0</v>
      </c>
      <c r="AD5626" s="580">
        <f t="shared" si="471"/>
        <v>5</v>
      </c>
      <c r="AE5626" s="580">
        <f t="shared" si="472"/>
        <v>2.5</v>
      </c>
      <c r="AF5626" s="580">
        <f t="shared" si="473"/>
        <v>2.5</v>
      </c>
      <c r="AG5626" s="580">
        <f t="shared" si="474"/>
        <v>0</v>
      </c>
      <c r="AH5626" s="580">
        <f t="shared" si="475"/>
        <v>0</v>
      </c>
    </row>
    <row r="5627" spans="28:34">
      <c r="AB5627" s="580">
        <f>HLOOKUP("*"&amp;'Output annual'!$AC$2&amp;'Output annual'!$AD$2&amp;"*Zone People Number Of Occupants [](Hourly)",'Eplus results'!$1:$1048576,ROW(),FALSE)</f>
        <v>0</v>
      </c>
      <c r="AC5627" s="580">
        <f>HLOOKUP("*"&amp;'Output annual'!$AC$2&amp;'Output annual'!$AD$2&amp;"*FangerPMV(Hourly)",'Eplus results'!$1:$1048576,ROW(),FALSE)</f>
        <v>0</v>
      </c>
      <c r="AD5627" s="580">
        <f t="shared" si="471"/>
        <v>5</v>
      </c>
      <c r="AE5627" s="580">
        <f t="shared" si="472"/>
        <v>2.5</v>
      </c>
      <c r="AF5627" s="580">
        <f t="shared" si="473"/>
        <v>2.5</v>
      </c>
      <c r="AG5627" s="580">
        <f t="shared" si="474"/>
        <v>0</v>
      </c>
      <c r="AH5627" s="580">
        <f t="shared" si="475"/>
        <v>0</v>
      </c>
    </row>
    <row r="5628" spans="28:34">
      <c r="AB5628" s="580">
        <f>HLOOKUP("*"&amp;'Output annual'!$AC$2&amp;'Output annual'!$AD$2&amp;"*Zone People Number Of Occupants [](Hourly)",'Eplus results'!$1:$1048576,ROW(),FALSE)</f>
        <v>0</v>
      </c>
      <c r="AC5628" s="580">
        <f>HLOOKUP("*"&amp;'Output annual'!$AC$2&amp;'Output annual'!$AD$2&amp;"*FangerPMV(Hourly)",'Eplus results'!$1:$1048576,ROW(),FALSE)</f>
        <v>0</v>
      </c>
      <c r="AD5628" s="580">
        <f t="shared" si="471"/>
        <v>5</v>
      </c>
      <c r="AE5628" s="580">
        <f t="shared" si="472"/>
        <v>2.5</v>
      </c>
      <c r="AF5628" s="580">
        <f t="shared" si="473"/>
        <v>2.5</v>
      </c>
      <c r="AG5628" s="580">
        <f t="shared" si="474"/>
        <v>0</v>
      </c>
      <c r="AH5628" s="580">
        <f t="shared" si="475"/>
        <v>0</v>
      </c>
    </row>
    <row r="5629" spans="28:34">
      <c r="AB5629" s="580">
        <f>HLOOKUP("*"&amp;'Output annual'!$AC$2&amp;'Output annual'!$AD$2&amp;"*Zone People Number Of Occupants [](Hourly)",'Eplus results'!$1:$1048576,ROW(),FALSE)</f>
        <v>0</v>
      </c>
      <c r="AC5629" s="580">
        <f>HLOOKUP("*"&amp;'Output annual'!$AC$2&amp;'Output annual'!$AD$2&amp;"*FangerPMV(Hourly)",'Eplus results'!$1:$1048576,ROW(),FALSE)</f>
        <v>0</v>
      </c>
      <c r="AD5629" s="580">
        <f t="shared" si="471"/>
        <v>5</v>
      </c>
      <c r="AE5629" s="580">
        <f t="shared" si="472"/>
        <v>2.5</v>
      </c>
      <c r="AF5629" s="580">
        <f t="shared" si="473"/>
        <v>2.5</v>
      </c>
      <c r="AG5629" s="580">
        <f t="shared" si="474"/>
        <v>0</v>
      </c>
      <c r="AH5629" s="580">
        <f t="shared" si="475"/>
        <v>0</v>
      </c>
    </row>
    <row r="5630" spans="28:34">
      <c r="AB5630" s="580">
        <f>HLOOKUP("*"&amp;'Output annual'!$AC$2&amp;'Output annual'!$AD$2&amp;"*Zone People Number Of Occupants [](Hourly)",'Eplus results'!$1:$1048576,ROW(),FALSE)</f>
        <v>0</v>
      </c>
      <c r="AC5630" s="580">
        <f>HLOOKUP("*"&amp;'Output annual'!$AC$2&amp;'Output annual'!$AD$2&amp;"*FangerPMV(Hourly)",'Eplus results'!$1:$1048576,ROW(),FALSE)</f>
        <v>0</v>
      </c>
      <c r="AD5630" s="580">
        <f t="shared" si="471"/>
        <v>5</v>
      </c>
      <c r="AE5630" s="580">
        <f t="shared" si="472"/>
        <v>2.5</v>
      </c>
      <c r="AF5630" s="580">
        <f t="shared" si="473"/>
        <v>2.5</v>
      </c>
      <c r="AG5630" s="580">
        <f t="shared" si="474"/>
        <v>0</v>
      </c>
      <c r="AH5630" s="580">
        <f t="shared" si="475"/>
        <v>0</v>
      </c>
    </row>
    <row r="5631" spans="28:34">
      <c r="AB5631" s="580">
        <f>HLOOKUP("*"&amp;'Output annual'!$AC$2&amp;'Output annual'!$AD$2&amp;"*Zone People Number Of Occupants [](Hourly)",'Eplus results'!$1:$1048576,ROW(),FALSE)</f>
        <v>0</v>
      </c>
      <c r="AC5631" s="580">
        <f>HLOOKUP("*"&amp;'Output annual'!$AC$2&amp;'Output annual'!$AD$2&amp;"*FangerPMV(Hourly)",'Eplus results'!$1:$1048576,ROW(),FALSE)</f>
        <v>0</v>
      </c>
      <c r="AD5631" s="580">
        <f t="shared" si="471"/>
        <v>5</v>
      </c>
      <c r="AE5631" s="580">
        <f t="shared" si="472"/>
        <v>2.5</v>
      </c>
      <c r="AF5631" s="580">
        <f t="shared" si="473"/>
        <v>2.5</v>
      </c>
      <c r="AG5631" s="580">
        <f t="shared" si="474"/>
        <v>0</v>
      </c>
      <c r="AH5631" s="580">
        <f t="shared" si="475"/>
        <v>0</v>
      </c>
    </row>
    <row r="5632" spans="28:34">
      <c r="AB5632" s="580">
        <f>HLOOKUP("*"&amp;'Output annual'!$AC$2&amp;'Output annual'!$AD$2&amp;"*Zone People Number Of Occupants [](Hourly)",'Eplus results'!$1:$1048576,ROW(),FALSE)</f>
        <v>0</v>
      </c>
      <c r="AC5632" s="580">
        <f>HLOOKUP("*"&amp;'Output annual'!$AC$2&amp;'Output annual'!$AD$2&amp;"*FangerPMV(Hourly)",'Eplus results'!$1:$1048576,ROW(),FALSE)</f>
        <v>0</v>
      </c>
      <c r="AD5632" s="580">
        <f t="shared" si="471"/>
        <v>5</v>
      </c>
      <c r="AE5632" s="580">
        <f t="shared" si="472"/>
        <v>2.5</v>
      </c>
      <c r="AF5632" s="580">
        <f t="shared" si="473"/>
        <v>2.5</v>
      </c>
      <c r="AG5632" s="580">
        <f t="shared" si="474"/>
        <v>0</v>
      </c>
      <c r="AH5632" s="580">
        <f t="shared" si="475"/>
        <v>0</v>
      </c>
    </row>
    <row r="5633" spans="28:34">
      <c r="AB5633" s="580">
        <f>HLOOKUP("*"&amp;'Output annual'!$AC$2&amp;'Output annual'!$AD$2&amp;"*Zone People Number Of Occupants [](Hourly)",'Eplus results'!$1:$1048576,ROW(),FALSE)</f>
        <v>0</v>
      </c>
      <c r="AC5633" s="580">
        <f>HLOOKUP("*"&amp;'Output annual'!$AC$2&amp;'Output annual'!$AD$2&amp;"*FangerPMV(Hourly)",'Eplus results'!$1:$1048576,ROW(),FALSE)</f>
        <v>0</v>
      </c>
      <c r="AD5633" s="580">
        <f t="shared" si="471"/>
        <v>5</v>
      </c>
      <c r="AE5633" s="580">
        <f t="shared" si="472"/>
        <v>2.5</v>
      </c>
      <c r="AF5633" s="580">
        <f t="shared" si="473"/>
        <v>2.5</v>
      </c>
      <c r="AG5633" s="580">
        <f t="shared" si="474"/>
        <v>0</v>
      </c>
      <c r="AH5633" s="580">
        <f t="shared" si="475"/>
        <v>0</v>
      </c>
    </row>
    <row r="5634" spans="28:34">
      <c r="AB5634" s="580">
        <f>HLOOKUP("*"&amp;'Output annual'!$AC$2&amp;'Output annual'!$AD$2&amp;"*Zone People Number Of Occupants [](Hourly)",'Eplus results'!$1:$1048576,ROW(),FALSE)</f>
        <v>0</v>
      </c>
      <c r="AC5634" s="580">
        <f>HLOOKUP("*"&amp;'Output annual'!$AC$2&amp;'Output annual'!$AD$2&amp;"*FangerPMV(Hourly)",'Eplus results'!$1:$1048576,ROW(),FALSE)</f>
        <v>0</v>
      </c>
      <c r="AD5634" s="580">
        <f t="shared" si="471"/>
        <v>5</v>
      </c>
      <c r="AE5634" s="580">
        <f t="shared" si="472"/>
        <v>2.5</v>
      </c>
      <c r="AF5634" s="580">
        <f t="shared" si="473"/>
        <v>2.5</v>
      </c>
      <c r="AG5634" s="580">
        <f t="shared" si="474"/>
        <v>0</v>
      </c>
      <c r="AH5634" s="580">
        <f t="shared" si="475"/>
        <v>0</v>
      </c>
    </row>
    <row r="5635" spans="28:34">
      <c r="AB5635" s="580">
        <f>HLOOKUP("*"&amp;'Output annual'!$AC$2&amp;'Output annual'!$AD$2&amp;"*Zone People Number Of Occupants [](Hourly)",'Eplus results'!$1:$1048576,ROW(),FALSE)</f>
        <v>0</v>
      </c>
      <c r="AC5635" s="580">
        <f>HLOOKUP("*"&amp;'Output annual'!$AC$2&amp;'Output annual'!$AD$2&amp;"*FangerPMV(Hourly)",'Eplus results'!$1:$1048576,ROW(),FALSE)</f>
        <v>0</v>
      </c>
      <c r="AD5635" s="580">
        <f t="shared" ref="AD5635:AD5698" si="476">100-95*EXP(-0.03353*AC5635^4-0.2179*AC5635^2)</f>
        <v>5</v>
      </c>
      <c r="AE5635" s="580">
        <f t="shared" ref="AE5635:AE5698" si="477">AD5635*(1/(1+EXP(-6.3*$AC5635)))</f>
        <v>2.5</v>
      </c>
      <c r="AF5635" s="580">
        <f t="shared" ref="AF5635:AF5698" si="478">(AD5635-AE5635)</f>
        <v>2.5</v>
      </c>
      <c r="AG5635" s="580">
        <f t="shared" ref="AG5635:AG5698" si="479">AE5635*AB5635</f>
        <v>0</v>
      </c>
      <c r="AH5635" s="580">
        <f t="shared" ref="AH5635:AH5698" si="480">AF5635*AB5635</f>
        <v>0</v>
      </c>
    </row>
    <row r="5636" spans="28:34">
      <c r="AB5636" s="580">
        <f>HLOOKUP("*"&amp;'Output annual'!$AC$2&amp;'Output annual'!$AD$2&amp;"*Zone People Number Of Occupants [](Hourly)",'Eplus results'!$1:$1048576,ROW(),FALSE)</f>
        <v>0</v>
      </c>
      <c r="AC5636" s="580">
        <f>HLOOKUP("*"&amp;'Output annual'!$AC$2&amp;'Output annual'!$AD$2&amp;"*FangerPMV(Hourly)",'Eplus results'!$1:$1048576,ROW(),FALSE)</f>
        <v>0</v>
      </c>
      <c r="AD5636" s="580">
        <f t="shared" si="476"/>
        <v>5</v>
      </c>
      <c r="AE5636" s="580">
        <f t="shared" si="477"/>
        <v>2.5</v>
      </c>
      <c r="AF5636" s="580">
        <f t="shared" si="478"/>
        <v>2.5</v>
      </c>
      <c r="AG5636" s="580">
        <f t="shared" si="479"/>
        <v>0</v>
      </c>
      <c r="AH5636" s="580">
        <f t="shared" si="480"/>
        <v>0</v>
      </c>
    </row>
    <row r="5637" spans="28:34">
      <c r="AB5637" s="580">
        <f>HLOOKUP("*"&amp;'Output annual'!$AC$2&amp;'Output annual'!$AD$2&amp;"*Zone People Number Of Occupants [](Hourly)",'Eplus results'!$1:$1048576,ROW(),FALSE)</f>
        <v>0</v>
      </c>
      <c r="AC5637" s="580">
        <f>HLOOKUP("*"&amp;'Output annual'!$AC$2&amp;'Output annual'!$AD$2&amp;"*FangerPMV(Hourly)",'Eplus results'!$1:$1048576,ROW(),FALSE)</f>
        <v>0</v>
      </c>
      <c r="AD5637" s="580">
        <f t="shared" si="476"/>
        <v>5</v>
      </c>
      <c r="AE5637" s="580">
        <f t="shared" si="477"/>
        <v>2.5</v>
      </c>
      <c r="AF5637" s="580">
        <f t="shared" si="478"/>
        <v>2.5</v>
      </c>
      <c r="AG5637" s="580">
        <f t="shared" si="479"/>
        <v>0</v>
      </c>
      <c r="AH5637" s="580">
        <f t="shared" si="480"/>
        <v>0</v>
      </c>
    </row>
    <row r="5638" spans="28:34">
      <c r="AB5638" s="580">
        <f>HLOOKUP("*"&amp;'Output annual'!$AC$2&amp;'Output annual'!$AD$2&amp;"*Zone People Number Of Occupants [](Hourly)",'Eplus results'!$1:$1048576,ROW(),FALSE)</f>
        <v>0</v>
      </c>
      <c r="AC5638" s="580">
        <f>HLOOKUP("*"&amp;'Output annual'!$AC$2&amp;'Output annual'!$AD$2&amp;"*FangerPMV(Hourly)",'Eplus results'!$1:$1048576,ROW(),FALSE)</f>
        <v>0</v>
      </c>
      <c r="AD5638" s="580">
        <f t="shared" si="476"/>
        <v>5</v>
      </c>
      <c r="AE5638" s="580">
        <f t="shared" si="477"/>
        <v>2.5</v>
      </c>
      <c r="AF5638" s="580">
        <f t="shared" si="478"/>
        <v>2.5</v>
      </c>
      <c r="AG5638" s="580">
        <f t="shared" si="479"/>
        <v>0</v>
      </c>
      <c r="AH5638" s="580">
        <f t="shared" si="480"/>
        <v>0</v>
      </c>
    </row>
    <row r="5639" spans="28:34">
      <c r="AB5639" s="580">
        <f>HLOOKUP("*"&amp;'Output annual'!$AC$2&amp;'Output annual'!$AD$2&amp;"*Zone People Number Of Occupants [](Hourly)",'Eplus results'!$1:$1048576,ROW(),FALSE)</f>
        <v>0</v>
      </c>
      <c r="AC5639" s="580">
        <f>HLOOKUP("*"&amp;'Output annual'!$AC$2&amp;'Output annual'!$AD$2&amp;"*FangerPMV(Hourly)",'Eplus results'!$1:$1048576,ROW(),FALSE)</f>
        <v>0</v>
      </c>
      <c r="AD5639" s="580">
        <f t="shared" si="476"/>
        <v>5</v>
      </c>
      <c r="AE5639" s="580">
        <f t="shared" si="477"/>
        <v>2.5</v>
      </c>
      <c r="AF5639" s="580">
        <f t="shared" si="478"/>
        <v>2.5</v>
      </c>
      <c r="AG5639" s="580">
        <f t="shared" si="479"/>
        <v>0</v>
      </c>
      <c r="AH5639" s="580">
        <f t="shared" si="480"/>
        <v>0</v>
      </c>
    </row>
    <row r="5640" spans="28:34">
      <c r="AB5640" s="580">
        <f>HLOOKUP("*"&amp;'Output annual'!$AC$2&amp;'Output annual'!$AD$2&amp;"*Zone People Number Of Occupants [](Hourly)",'Eplus results'!$1:$1048576,ROW(),FALSE)</f>
        <v>0</v>
      </c>
      <c r="AC5640" s="580">
        <f>HLOOKUP("*"&amp;'Output annual'!$AC$2&amp;'Output annual'!$AD$2&amp;"*FangerPMV(Hourly)",'Eplus results'!$1:$1048576,ROW(),FALSE)</f>
        <v>0</v>
      </c>
      <c r="AD5640" s="580">
        <f t="shared" si="476"/>
        <v>5</v>
      </c>
      <c r="AE5640" s="580">
        <f t="shared" si="477"/>
        <v>2.5</v>
      </c>
      <c r="AF5640" s="580">
        <f t="shared" si="478"/>
        <v>2.5</v>
      </c>
      <c r="AG5640" s="580">
        <f t="shared" si="479"/>
        <v>0</v>
      </c>
      <c r="AH5640" s="580">
        <f t="shared" si="480"/>
        <v>0</v>
      </c>
    </row>
    <row r="5641" spans="28:34">
      <c r="AB5641" s="580">
        <f>HLOOKUP("*"&amp;'Output annual'!$AC$2&amp;'Output annual'!$AD$2&amp;"*Zone People Number Of Occupants [](Hourly)",'Eplus results'!$1:$1048576,ROW(),FALSE)</f>
        <v>0</v>
      </c>
      <c r="AC5641" s="580">
        <f>HLOOKUP("*"&amp;'Output annual'!$AC$2&amp;'Output annual'!$AD$2&amp;"*FangerPMV(Hourly)",'Eplus results'!$1:$1048576,ROW(),FALSE)</f>
        <v>0</v>
      </c>
      <c r="AD5641" s="580">
        <f t="shared" si="476"/>
        <v>5</v>
      </c>
      <c r="AE5641" s="580">
        <f t="shared" si="477"/>
        <v>2.5</v>
      </c>
      <c r="AF5641" s="580">
        <f t="shared" si="478"/>
        <v>2.5</v>
      </c>
      <c r="AG5641" s="580">
        <f t="shared" si="479"/>
        <v>0</v>
      </c>
      <c r="AH5641" s="580">
        <f t="shared" si="480"/>
        <v>0</v>
      </c>
    </row>
    <row r="5642" spans="28:34">
      <c r="AB5642" s="580">
        <f>HLOOKUP("*"&amp;'Output annual'!$AC$2&amp;'Output annual'!$AD$2&amp;"*Zone People Number Of Occupants [](Hourly)",'Eplus results'!$1:$1048576,ROW(),FALSE)</f>
        <v>0</v>
      </c>
      <c r="AC5642" s="580">
        <f>HLOOKUP("*"&amp;'Output annual'!$AC$2&amp;'Output annual'!$AD$2&amp;"*FangerPMV(Hourly)",'Eplus results'!$1:$1048576,ROW(),FALSE)</f>
        <v>0</v>
      </c>
      <c r="AD5642" s="580">
        <f t="shared" si="476"/>
        <v>5</v>
      </c>
      <c r="AE5642" s="580">
        <f t="shared" si="477"/>
        <v>2.5</v>
      </c>
      <c r="AF5642" s="580">
        <f t="shared" si="478"/>
        <v>2.5</v>
      </c>
      <c r="AG5642" s="580">
        <f t="shared" si="479"/>
        <v>0</v>
      </c>
      <c r="AH5642" s="580">
        <f t="shared" si="480"/>
        <v>0</v>
      </c>
    </row>
    <row r="5643" spans="28:34">
      <c r="AB5643" s="580">
        <f>HLOOKUP("*"&amp;'Output annual'!$AC$2&amp;'Output annual'!$AD$2&amp;"*Zone People Number Of Occupants [](Hourly)",'Eplus results'!$1:$1048576,ROW(),FALSE)</f>
        <v>0</v>
      </c>
      <c r="AC5643" s="580">
        <f>HLOOKUP("*"&amp;'Output annual'!$AC$2&amp;'Output annual'!$AD$2&amp;"*FangerPMV(Hourly)",'Eplus results'!$1:$1048576,ROW(),FALSE)</f>
        <v>0</v>
      </c>
      <c r="AD5643" s="580">
        <f t="shared" si="476"/>
        <v>5</v>
      </c>
      <c r="AE5643" s="580">
        <f t="shared" si="477"/>
        <v>2.5</v>
      </c>
      <c r="AF5643" s="580">
        <f t="shared" si="478"/>
        <v>2.5</v>
      </c>
      <c r="AG5643" s="580">
        <f t="shared" si="479"/>
        <v>0</v>
      </c>
      <c r="AH5643" s="580">
        <f t="shared" si="480"/>
        <v>0</v>
      </c>
    </row>
    <row r="5644" spans="28:34">
      <c r="AB5644" s="580">
        <f>HLOOKUP("*"&amp;'Output annual'!$AC$2&amp;'Output annual'!$AD$2&amp;"*Zone People Number Of Occupants [](Hourly)",'Eplus results'!$1:$1048576,ROW(),FALSE)</f>
        <v>0</v>
      </c>
      <c r="AC5644" s="580">
        <f>HLOOKUP("*"&amp;'Output annual'!$AC$2&amp;'Output annual'!$AD$2&amp;"*FangerPMV(Hourly)",'Eplus results'!$1:$1048576,ROW(),FALSE)</f>
        <v>0</v>
      </c>
      <c r="AD5644" s="580">
        <f t="shared" si="476"/>
        <v>5</v>
      </c>
      <c r="AE5644" s="580">
        <f t="shared" si="477"/>
        <v>2.5</v>
      </c>
      <c r="AF5644" s="580">
        <f t="shared" si="478"/>
        <v>2.5</v>
      </c>
      <c r="AG5644" s="580">
        <f t="shared" si="479"/>
        <v>0</v>
      </c>
      <c r="AH5644" s="580">
        <f t="shared" si="480"/>
        <v>0</v>
      </c>
    </row>
    <row r="5645" spans="28:34">
      <c r="AB5645" s="580">
        <f>HLOOKUP("*"&amp;'Output annual'!$AC$2&amp;'Output annual'!$AD$2&amp;"*Zone People Number Of Occupants [](Hourly)",'Eplus results'!$1:$1048576,ROW(),FALSE)</f>
        <v>0</v>
      </c>
      <c r="AC5645" s="580">
        <f>HLOOKUP("*"&amp;'Output annual'!$AC$2&amp;'Output annual'!$AD$2&amp;"*FangerPMV(Hourly)",'Eplus results'!$1:$1048576,ROW(),FALSE)</f>
        <v>0</v>
      </c>
      <c r="AD5645" s="580">
        <f t="shared" si="476"/>
        <v>5</v>
      </c>
      <c r="AE5645" s="580">
        <f t="shared" si="477"/>
        <v>2.5</v>
      </c>
      <c r="AF5645" s="580">
        <f t="shared" si="478"/>
        <v>2.5</v>
      </c>
      <c r="AG5645" s="580">
        <f t="shared" si="479"/>
        <v>0</v>
      </c>
      <c r="AH5645" s="580">
        <f t="shared" si="480"/>
        <v>0</v>
      </c>
    </row>
    <row r="5646" spans="28:34">
      <c r="AB5646" s="580">
        <f>HLOOKUP("*"&amp;'Output annual'!$AC$2&amp;'Output annual'!$AD$2&amp;"*Zone People Number Of Occupants [](Hourly)",'Eplus results'!$1:$1048576,ROW(),FALSE)</f>
        <v>0</v>
      </c>
      <c r="AC5646" s="580">
        <f>HLOOKUP("*"&amp;'Output annual'!$AC$2&amp;'Output annual'!$AD$2&amp;"*FangerPMV(Hourly)",'Eplus results'!$1:$1048576,ROW(),FALSE)</f>
        <v>0</v>
      </c>
      <c r="AD5646" s="580">
        <f t="shared" si="476"/>
        <v>5</v>
      </c>
      <c r="AE5646" s="580">
        <f t="shared" si="477"/>
        <v>2.5</v>
      </c>
      <c r="AF5646" s="580">
        <f t="shared" si="478"/>
        <v>2.5</v>
      </c>
      <c r="AG5646" s="580">
        <f t="shared" si="479"/>
        <v>0</v>
      </c>
      <c r="AH5646" s="580">
        <f t="shared" si="480"/>
        <v>0</v>
      </c>
    </row>
    <row r="5647" spans="28:34">
      <c r="AB5647" s="580">
        <f>HLOOKUP("*"&amp;'Output annual'!$AC$2&amp;'Output annual'!$AD$2&amp;"*Zone People Number Of Occupants [](Hourly)",'Eplus results'!$1:$1048576,ROW(),FALSE)</f>
        <v>0</v>
      </c>
      <c r="AC5647" s="580">
        <f>HLOOKUP("*"&amp;'Output annual'!$AC$2&amp;'Output annual'!$AD$2&amp;"*FangerPMV(Hourly)",'Eplus results'!$1:$1048576,ROW(),FALSE)</f>
        <v>0</v>
      </c>
      <c r="AD5647" s="580">
        <f t="shared" si="476"/>
        <v>5</v>
      </c>
      <c r="AE5647" s="580">
        <f t="shared" si="477"/>
        <v>2.5</v>
      </c>
      <c r="AF5647" s="580">
        <f t="shared" si="478"/>
        <v>2.5</v>
      </c>
      <c r="AG5647" s="580">
        <f t="shared" si="479"/>
        <v>0</v>
      </c>
      <c r="AH5647" s="580">
        <f t="shared" si="480"/>
        <v>0</v>
      </c>
    </row>
    <row r="5648" spans="28:34">
      <c r="AB5648" s="580">
        <f>HLOOKUP("*"&amp;'Output annual'!$AC$2&amp;'Output annual'!$AD$2&amp;"*Zone People Number Of Occupants [](Hourly)",'Eplus results'!$1:$1048576,ROW(),FALSE)</f>
        <v>0</v>
      </c>
      <c r="AC5648" s="580">
        <f>HLOOKUP("*"&amp;'Output annual'!$AC$2&amp;'Output annual'!$AD$2&amp;"*FangerPMV(Hourly)",'Eplus results'!$1:$1048576,ROW(),FALSE)</f>
        <v>0</v>
      </c>
      <c r="AD5648" s="580">
        <f t="shared" si="476"/>
        <v>5</v>
      </c>
      <c r="AE5648" s="580">
        <f t="shared" si="477"/>
        <v>2.5</v>
      </c>
      <c r="AF5648" s="580">
        <f t="shared" si="478"/>
        <v>2.5</v>
      </c>
      <c r="AG5648" s="580">
        <f t="shared" si="479"/>
        <v>0</v>
      </c>
      <c r="AH5648" s="580">
        <f t="shared" si="480"/>
        <v>0</v>
      </c>
    </row>
    <row r="5649" spans="28:34">
      <c r="AB5649" s="580">
        <f>HLOOKUP("*"&amp;'Output annual'!$AC$2&amp;'Output annual'!$AD$2&amp;"*Zone People Number Of Occupants [](Hourly)",'Eplus results'!$1:$1048576,ROW(),FALSE)</f>
        <v>0</v>
      </c>
      <c r="AC5649" s="580">
        <f>HLOOKUP("*"&amp;'Output annual'!$AC$2&amp;'Output annual'!$AD$2&amp;"*FangerPMV(Hourly)",'Eplus results'!$1:$1048576,ROW(),FALSE)</f>
        <v>0</v>
      </c>
      <c r="AD5649" s="580">
        <f t="shared" si="476"/>
        <v>5</v>
      </c>
      <c r="AE5649" s="580">
        <f t="shared" si="477"/>
        <v>2.5</v>
      </c>
      <c r="AF5649" s="580">
        <f t="shared" si="478"/>
        <v>2.5</v>
      </c>
      <c r="AG5649" s="580">
        <f t="shared" si="479"/>
        <v>0</v>
      </c>
      <c r="AH5649" s="580">
        <f t="shared" si="480"/>
        <v>0</v>
      </c>
    </row>
    <row r="5650" spans="28:34">
      <c r="AB5650" s="580">
        <f>HLOOKUP("*"&amp;'Output annual'!$AC$2&amp;'Output annual'!$AD$2&amp;"*Zone People Number Of Occupants [](Hourly)",'Eplus results'!$1:$1048576,ROW(),FALSE)</f>
        <v>0</v>
      </c>
      <c r="AC5650" s="580">
        <f>HLOOKUP("*"&amp;'Output annual'!$AC$2&amp;'Output annual'!$AD$2&amp;"*FangerPMV(Hourly)",'Eplus results'!$1:$1048576,ROW(),FALSE)</f>
        <v>0</v>
      </c>
      <c r="AD5650" s="580">
        <f t="shared" si="476"/>
        <v>5</v>
      </c>
      <c r="AE5650" s="580">
        <f t="shared" si="477"/>
        <v>2.5</v>
      </c>
      <c r="AF5650" s="580">
        <f t="shared" si="478"/>
        <v>2.5</v>
      </c>
      <c r="AG5650" s="580">
        <f t="shared" si="479"/>
        <v>0</v>
      </c>
      <c r="AH5650" s="580">
        <f t="shared" si="480"/>
        <v>0</v>
      </c>
    </row>
    <row r="5651" spans="28:34">
      <c r="AB5651" s="580">
        <f>HLOOKUP("*"&amp;'Output annual'!$AC$2&amp;'Output annual'!$AD$2&amp;"*Zone People Number Of Occupants [](Hourly)",'Eplus results'!$1:$1048576,ROW(),FALSE)</f>
        <v>0</v>
      </c>
      <c r="AC5651" s="580">
        <f>HLOOKUP("*"&amp;'Output annual'!$AC$2&amp;'Output annual'!$AD$2&amp;"*FangerPMV(Hourly)",'Eplus results'!$1:$1048576,ROW(),FALSE)</f>
        <v>0</v>
      </c>
      <c r="AD5651" s="580">
        <f t="shared" si="476"/>
        <v>5</v>
      </c>
      <c r="AE5651" s="580">
        <f t="shared" si="477"/>
        <v>2.5</v>
      </c>
      <c r="AF5651" s="580">
        <f t="shared" si="478"/>
        <v>2.5</v>
      </c>
      <c r="AG5651" s="580">
        <f t="shared" si="479"/>
        <v>0</v>
      </c>
      <c r="AH5651" s="580">
        <f t="shared" si="480"/>
        <v>0</v>
      </c>
    </row>
    <row r="5652" spans="28:34">
      <c r="AB5652" s="580">
        <f>HLOOKUP("*"&amp;'Output annual'!$AC$2&amp;'Output annual'!$AD$2&amp;"*Zone People Number Of Occupants [](Hourly)",'Eplus results'!$1:$1048576,ROW(),FALSE)</f>
        <v>0</v>
      </c>
      <c r="AC5652" s="580">
        <f>HLOOKUP("*"&amp;'Output annual'!$AC$2&amp;'Output annual'!$AD$2&amp;"*FangerPMV(Hourly)",'Eplus results'!$1:$1048576,ROW(),FALSE)</f>
        <v>0</v>
      </c>
      <c r="AD5652" s="580">
        <f t="shared" si="476"/>
        <v>5</v>
      </c>
      <c r="AE5652" s="580">
        <f t="shared" si="477"/>
        <v>2.5</v>
      </c>
      <c r="AF5652" s="580">
        <f t="shared" si="478"/>
        <v>2.5</v>
      </c>
      <c r="AG5652" s="580">
        <f t="shared" si="479"/>
        <v>0</v>
      </c>
      <c r="AH5652" s="580">
        <f t="shared" si="480"/>
        <v>0</v>
      </c>
    </row>
    <row r="5653" spans="28:34">
      <c r="AB5653" s="580">
        <f>HLOOKUP("*"&amp;'Output annual'!$AC$2&amp;'Output annual'!$AD$2&amp;"*Zone People Number Of Occupants [](Hourly)",'Eplus results'!$1:$1048576,ROW(),FALSE)</f>
        <v>0</v>
      </c>
      <c r="AC5653" s="580">
        <f>HLOOKUP("*"&amp;'Output annual'!$AC$2&amp;'Output annual'!$AD$2&amp;"*FangerPMV(Hourly)",'Eplus results'!$1:$1048576,ROW(),FALSE)</f>
        <v>0</v>
      </c>
      <c r="AD5653" s="580">
        <f t="shared" si="476"/>
        <v>5</v>
      </c>
      <c r="AE5653" s="580">
        <f t="shared" si="477"/>
        <v>2.5</v>
      </c>
      <c r="AF5653" s="580">
        <f t="shared" si="478"/>
        <v>2.5</v>
      </c>
      <c r="AG5653" s="580">
        <f t="shared" si="479"/>
        <v>0</v>
      </c>
      <c r="AH5653" s="580">
        <f t="shared" si="480"/>
        <v>0</v>
      </c>
    </row>
    <row r="5654" spans="28:34">
      <c r="AB5654" s="580">
        <f>HLOOKUP("*"&amp;'Output annual'!$AC$2&amp;'Output annual'!$AD$2&amp;"*Zone People Number Of Occupants [](Hourly)",'Eplus results'!$1:$1048576,ROW(),FALSE)</f>
        <v>0</v>
      </c>
      <c r="AC5654" s="580">
        <f>HLOOKUP("*"&amp;'Output annual'!$AC$2&amp;'Output annual'!$AD$2&amp;"*FangerPMV(Hourly)",'Eplus results'!$1:$1048576,ROW(),FALSE)</f>
        <v>0</v>
      </c>
      <c r="AD5654" s="580">
        <f t="shared" si="476"/>
        <v>5</v>
      </c>
      <c r="AE5654" s="580">
        <f t="shared" si="477"/>
        <v>2.5</v>
      </c>
      <c r="AF5654" s="580">
        <f t="shared" si="478"/>
        <v>2.5</v>
      </c>
      <c r="AG5654" s="580">
        <f t="shared" si="479"/>
        <v>0</v>
      </c>
      <c r="AH5654" s="580">
        <f t="shared" si="480"/>
        <v>0</v>
      </c>
    </row>
    <row r="5655" spans="28:34">
      <c r="AB5655" s="580">
        <f>HLOOKUP("*"&amp;'Output annual'!$AC$2&amp;'Output annual'!$AD$2&amp;"*Zone People Number Of Occupants [](Hourly)",'Eplus results'!$1:$1048576,ROW(),FALSE)</f>
        <v>0</v>
      </c>
      <c r="AC5655" s="580">
        <f>HLOOKUP("*"&amp;'Output annual'!$AC$2&amp;'Output annual'!$AD$2&amp;"*FangerPMV(Hourly)",'Eplus results'!$1:$1048576,ROW(),FALSE)</f>
        <v>0</v>
      </c>
      <c r="AD5655" s="580">
        <f t="shared" si="476"/>
        <v>5</v>
      </c>
      <c r="AE5655" s="580">
        <f t="shared" si="477"/>
        <v>2.5</v>
      </c>
      <c r="AF5655" s="580">
        <f t="shared" si="478"/>
        <v>2.5</v>
      </c>
      <c r="AG5655" s="580">
        <f t="shared" si="479"/>
        <v>0</v>
      </c>
      <c r="AH5655" s="580">
        <f t="shared" si="480"/>
        <v>0</v>
      </c>
    </row>
    <row r="5656" spans="28:34">
      <c r="AB5656" s="580">
        <f>HLOOKUP("*"&amp;'Output annual'!$AC$2&amp;'Output annual'!$AD$2&amp;"*Zone People Number Of Occupants [](Hourly)",'Eplus results'!$1:$1048576,ROW(),FALSE)</f>
        <v>0</v>
      </c>
      <c r="AC5656" s="580">
        <f>HLOOKUP("*"&amp;'Output annual'!$AC$2&amp;'Output annual'!$AD$2&amp;"*FangerPMV(Hourly)",'Eplus results'!$1:$1048576,ROW(),FALSE)</f>
        <v>0</v>
      </c>
      <c r="AD5656" s="580">
        <f t="shared" si="476"/>
        <v>5</v>
      </c>
      <c r="AE5656" s="580">
        <f t="shared" si="477"/>
        <v>2.5</v>
      </c>
      <c r="AF5656" s="580">
        <f t="shared" si="478"/>
        <v>2.5</v>
      </c>
      <c r="AG5656" s="580">
        <f t="shared" si="479"/>
        <v>0</v>
      </c>
      <c r="AH5656" s="580">
        <f t="shared" si="480"/>
        <v>0</v>
      </c>
    </row>
    <row r="5657" spans="28:34">
      <c r="AB5657" s="580">
        <f>HLOOKUP("*"&amp;'Output annual'!$AC$2&amp;'Output annual'!$AD$2&amp;"*Zone People Number Of Occupants [](Hourly)",'Eplus results'!$1:$1048576,ROW(),FALSE)</f>
        <v>0</v>
      </c>
      <c r="AC5657" s="580">
        <f>HLOOKUP("*"&amp;'Output annual'!$AC$2&amp;'Output annual'!$AD$2&amp;"*FangerPMV(Hourly)",'Eplus results'!$1:$1048576,ROW(),FALSE)</f>
        <v>0</v>
      </c>
      <c r="AD5657" s="580">
        <f t="shared" si="476"/>
        <v>5</v>
      </c>
      <c r="AE5657" s="580">
        <f t="shared" si="477"/>
        <v>2.5</v>
      </c>
      <c r="AF5657" s="580">
        <f t="shared" si="478"/>
        <v>2.5</v>
      </c>
      <c r="AG5657" s="580">
        <f t="shared" si="479"/>
        <v>0</v>
      </c>
      <c r="AH5657" s="580">
        <f t="shared" si="480"/>
        <v>0</v>
      </c>
    </row>
    <row r="5658" spans="28:34">
      <c r="AB5658" s="580">
        <f>HLOOKUP("*"&amp;'Output annual'!$AC$2&amp;'Output annual'!$AD$2&amp;"*Zone People Number Of Occupants [](Hourly)",'Eplus results'!$1:$1048576,ROW(),FALSE)</f>
        <v>0</v>
      </c>
      <c r="AC5658" s="580">
        <f>HLOOKUP("*"&amp;'Output annual'!$AC$2&amp;'Output annual'!$AD$2&amp;"*FangerPMV(Hourly)",'Eplus results'!$1:$1048576,ROW(),FALSE)</f>
        <v>0</v>
      </c>
      <c r="AD5658" s="580">
        <f t="shared" si="476"/>
        <v>5</v>
      </c>
      <c r="AE5658" s="580">
        <f t="shared" si="477"/>
        <v>2.5</v>
      </c>
      <c r="AF5658" s="580">
        <f t="shared" si="478"/>
        <v>2.5</v>
      </c>
      <c r="AG5658" s="580">
        <f t="shared" si="479"/>
        <v>0</v>
      </c>
      <c r="AH5658" s="580">
        <f t="shared" si="480"/>
        <v>0</v>
      </c>
    </row>
    <row r="5659" spans="28:34">
      <c r="AB5659" s="580">
        <f>HLOOKUP("*"&amp;'Output annual'!$AC$2&amp;'Output annual'!$AD$2&amp;"*Zone People Number Of Occupants [](Hourly)",'Eplus results'!$1:$1048576,ROW(),FALSE)</f>
        <v>0</v>
      </c>
      <c r="AC5659" s="580">
        <f>HLOOKUP("*"&amp;'Output annual'!$AC$2&amp;'Output annual'!$AD$2&amp;"*FangerPMV(Hourly)",'Eplus results'!$1:$1048576,ROW(),FALSE)</f>
        <v>0</v>
      </c>
      <c r="AD5659" s="580">
        <f t="shared" si="476"/>
        <v>5</v>
      </c>
      <c r="AE5659" s="580">
        <f t="shared" si="477"/>
        <v>2.5</v>
      </c>
      <c r="AF5659" s="580">
        <f t="shared" si="478"/>
        <v>2.5</v>
      </c>
      <c r="AG5659" s="580">
        <f t="shared" si="479"/>
        <v>0</v>
      </c>
      <c r="AH5659" s="580">
        <f t="shared" si="480"/>
        <v>0</v>
      </c>
    </row>
    <row r="5660" spans="28:34">
      <c r="AB5660" s="580">
        <f>HLOOKUP("*"&amp;'Output annual'!$AC$2&amp;'Output annual'!$AD$2&amp;"*Zone People Number Of Occupants [](Hourly)",'Eplus results'!$1:$1048576,ROW(),FALSE)</f>
        <v>0</v>
      </c>
      <c r="AC5660" s="580">
        <f>HLOOKUP("*"&amp;'Output annual'!$AC$2&amp;'Output annual'!$AD$2&amp;"*FangerPMV(Hourly)",'Eplus results'!$1:$1048576,ROW(),FALSE)</f>
        <v>0</v>
      </c>
      <c r="AD5660" s="580">
        <f t="shared" si="476"/>
        <v>5</v>
      </c>
      <c r="AE5660" s="580">
        <f t="shared" si="477"/>
        <v>2.5</v>
      </c>
      <c r="AF5660" s="580">
        <f t="shared" si="478"/>
        <v>2.5</v>
      </c>
      <c r="AG5660" s="580">
        <f t="shared" si="479"/>
        <v>0</v>
      </c>
      <c r="AH5660" s="580">
        <f t="shared" si="480"/>
        <v>0</v>
      </c>
    </row>
    <row r="5661" spans="28:34">
      <c r="AB5661" s="580">
        <f>HLOOKUP("*"&amp;'Output annual'!$AC$2&amp;'Output annual'!$AD$2&amp;"*Zone People Number Of Occupants [](Hourly)",'Eplus results'!$1:$1048576,ROW(),FALSE)</f>
        <v>0</v>
      </c>
      <c r="AC5661" s="580">
        <f>HLOOKUP("*"&amp;'Output annual'!$AC$2&amp;'Output annual'!$AD$2&amp;"*FangerPMV(Hourly)",'Eplus results'!$1:$1048576,ROW(),FALSE)</f>
        <v>0</v>
      </c>
      <c r="AD5661" s="580">
        <f t="shared" si="476"/>
        <v>5</v>
      </c>
      <c r="AE5661" s="580">
        <f t="shared" si="477"/>
        <v>2.5</v>
      </c>
      <c r="AF5661" s="580">
        <f t="shared" si="478"/>
        <v>2.5</v>
      </c>
      <c r="AG5661" s="580">
        <f t="shared" si="479"/>
        <v>0</v>
      </c>
      <c r="AH5661" s="580">
        <f t="shared" si="480"/>
        <v>0</v>
      </c>
    </row>
    <row r="5662" spans="28:34">
      <c r="AB5662" s="580">
        <f>HLOOKUP("*"&amp;'Output annual'!$AC$2&amp;'Output annual'!$AD$2&amp;"*Zone People Number Of Occupants [](Hourly)",'Eplus results'!$1:$1048576,ROW(),FALSE)</f>
        <v>0</v>
      </c>
      <c r="AC5662" s="580">
        <f>HLOOKUP("*"&amp;'Output annual'!$AC$2&amp;'Output annual'!$AD$2&amp;"*FangerPMV(Hourly)",'Eplus results'!$1:$1048576,ROW(),FALSE)</f>
        <v>0</v>
      </c>
      <c r="AD5662" s="580">
        <f t="shared" si="476"/>
        <v>5</v>
      </c>
      <c r="AE5662" s="580">
        <f t="shared" si="477"/>
        <v>2.5</v>
      </c>
      <c r="AF5662" s="580">
        <f t="shared" si="478"/>
        <v>2.5</v>
      </c>
      <c r="AG5662" s="580">
        <f t="shared" si="479"/>
        <v>0</v>
      </c>
      <c r="AH5662" s="580">
        <f t="shared" si="480"/>
        <v>0</v>
      </c>
    </row>
    <row r="5663" spans="28:34">
      <c r="AB5663" s="580">
        <f>HLOOKUP("*"&amp;'Output annual'!$AC$2&amp;'Output annual'!$AD$2&amp;"*Zone People Number Of Occupants [](Hourly)",'Eplus results'!$1:$1048576,ROW(),FALSE)</f>
        <v>0</v>
      </c>
      <c r="AC5663" s="580">
        <f>HLOOKUP("*"&amp;'Output annual'!$AC$2&amp;'Output annual'!$AD$2&amp;"*FangerPMV(Hourly)",'Eplus results'!$1:$1048576,ROW(),FALSE)</f>
        <v>0</v>
      </c>
      <c r="AD5663" s="580">
        <f t="shared" si="476"/>
        <v>5</v>
      </c>
      <c r="AE5663" s="580">
        <f t="shared" si="477"/>
        <v>2.5</v>
      </c>
      <c r="AF5663" s="580">
        <f t="shared" si="478"/>
        <v>2.5</v>
      </c>
      <c r="AG5663" s="580">
        <f t="shared" si="479"/>
        <v>0</v>
      </c>
      <c r="AH5663" s="580">
        <f t="shared" si="480"/>
        <v>0</v>
      </c>
    </row>
    <row r="5664" spans="28:34">
      <c r="AB5664" s="580">
        <f>HLOOKUP("*"&amp;'Output annual'!$AC$2&amp;'Output annual'!$AD$2&amp;"*Zone People Number Of Occupants [](Hourly)",'Eplus results'!$1:$1048576,ROW(),FALSE)</f>
        <v>0</v>
      </c>
      <c r="AC5664" s="580">
        <f>HLOOKUP("*"&amp;'Output annual'!$AC$2&amp;'Output annual'!$AD$2&amp;"*FangerPMV(Hourly)",'Eplus results'!$1:$1048576,ROW(),FALSE)</f>
        <v>0</v>
      </c>
      <c r="AD5664" s="580">
        <f t="shared" si="476"/>
        <v>5</v>
      </c>
      <c r="AE5664" s="580">
        <f t="shared" si="477"/>
        <v>2.5</v>
      </c>
      <c r="AF5664" s="580">
        <f t="shared" si="478"/>
        <v>2.5</v>
      </c>
      <c r="AG5664" s="580">
        <f t="shared" si="479"/>
        <v>0</v>
      </c>
      <c r="AH5664" s="580">
        <f t="shared" si="480"/>
        <v>0</v>
      </c>
    </row>
    <row r="5665" spans="28:34">
      <c r="AB5665" s="580">
        <f>HLOOKUP("*"&amp;'Output annual'!$AC$2&amp;'Output annual'!$AD$2&amp;"*Zone People Number Of Occupants [](Hourly)",'Eplus results'!$1:$1048576,ROW(),FALSE)</f>
        <v>0</v>
      </c>
      <c r="AC5665" s="580">
        <f>HLOOKUP("*"&amp;'Output annual'!$AC$2&amp;'Output annual'!$AD$2&amp;"*FangerPMV(Hourly)",'Eplus results'!$1:$1048576,ROW(),FALSE)</f>
        <v>0</v>
      </c>
      <c r="AD5665" s="580">
        <f t="shared" si="476"/>
        <v>5</v>
      </c>
      <c r="AE5665" s="580">
        <f t="shared" si="477"/>
        <v>2.5</v>
      </c>
      <c r="AF5665" s="580">
        <f t="shared" si="478"/>
        <v>2.5</v>
      </c>
      <c r="AG5665" s="580">
        <f t="shared" si="479"/>
        <v>0</v>
      </c>
      <c r="AH5665" s="580">
        <f t="shared" si="480"/>
        <v>0</v>
      </c>
    </row>
    <row r="5666" spans="28:34">
      <c r="AB5666" s="580">
        <f>HLOOKUP("*"&amp;'Output annual'!$AC$2&amp;'Output annual'!$AD$2&amp;"*Zone People Number Of Occupants [](Hourly)",'Eplus results'!$1:$1048576,ROW(),FALSE)</f>
        <v>0</v>
      </c>
      <c r="AC5666" s="580">
        <f>HLOOKUP("*"&amp;'Output annual'!$AC$2&amp;'Output annual'!$AD$2&amp;"*FangerPMV(Hourly)",'Eplus results'!$1:$1048576,ROW(),FALSE)</f>
        <v>0</v>
      </c>
      <c r="AD5666" s="580">
        <f t="shared" si="476"/>
        <v>5</v>
      </c>
      <c r="AE5666" s="580">
        <f t="shared" si="477"/>
        <v>2.5</v>
      </c>
      <c r="AF5666" s="580">
        <f t="shared" si="478"/>
        <v>2.5</v>
      </c>
      <c r="AG5666" s="580">
        <f t="shared" si="479"/>
        <v>0</v>
      </c>
      <c r="AH5666" s="580">
        <f t="shared" si="480"/>
        <v>0</v>
      </c>
    </row>
    <row r="5667" spans="28:34">
      <c r="AB5667" s="580">
        <f>HLOOKUP("*"&amp;'Output annual'!$AC$2&amp;'Output annual'!$AD$2&amp;"*Zone People Number Of Occupants [](Hourly)",'Eplus results'!$1:$1048576,ROW(),FALSE)</f>
        <v>0</v>
      </c>
      <c r="AC5667" s="580">
        <f>HLOOKUP("*"&amp;'Output annual'!$AC$2&amp;'Output annual'!$AD$2&amp;"*FangerPMV(Hourly)",'Eplus results'!$1:$1048576,ROW(),FALSE)</f>
        <v>0</v>
      </c>
      <c r="AD5667" s="580">
        <f t="shared" si="476"/>
        <v>5</v>
      </c>
      <c r="AE5667" s="580">
        <f t="shared" si="477"/>
        <v>2.5</v>
      </c>
      <c r="AF5667" s="580">
        <f t="shared" si="478"/>
        <v>2.5</v>
      </c>
      <c r="AG5667" s="580">
        <f t="shared" si="479"/>
        <v>0</v>
      </c>
      <c r="AH5667" s="580">
        <f t="shared" si="480"/>
        <v>0</v>
      </c>
    </row>
    <row r="5668" spans="28:34">
      <c r="AB5668" s="580">
        <f>HLOOKUP("*"&amp;'Output annual'!$AC$2&amp;'Output annual'!$AD$2&amp;"*Zone People Number Of Occupants [](Hourly)",'Eplus results'!$1:$1048576,ROW(),FALSE)</f>
        <v>0</v>
      </c>
      <c r="AC5668" s="580">
        <f>HLOOKUP("*"&amp;'Output annual'!$AC$2&amp;'Output annual'!$AD$2&amp;"*FangerPMV(Hourly)",'Eplus results'!$1:$1048576,ROW(),FALSE)</f>
        <v>0</v>
      </c>
      <c r="AD5668" s="580">
        <f t="shared" si="476"/>
        <v>5</v>
      </c>
      <c r="AE5668" s="580">
        <f t="shared" si="477"/>
        <v>2.5</v>
      </c>
      <c r="AF5668" s="580">
        <f t="shared" si="478"/>
        <v>2.5</v>
      </c>
      <c r="AG5668" s="580">
        <f t="shared" si="479"/>
        <v>0</v>
      </c>
      <c r="AH5668" s="580">
        <f t="shared" si="480"/>
        <v>0</v>
      </c>
    </row>
    <row r="5669" spans="28:34">
      <c r="AB5669" s="580">
        <f>HLOOKUP("*"&amp;'Output annual'!$AC$2&amp;'Output annual'!$AD$2&amp;"*Zone People Number Of Occupants [](Hourly)",'Eplus results'!$1:$1048576,ROW(),FALSE)</f>
        <v>0</v>
      </c>
      <c r="AC5669" s="580">
        <f>HLOOKUP("*"&amp;'Output annual'!$AC$2&amp;'Output annual'!$AD$2&amp;"*FangerPMV(Hourly)",'Eplus results'!$1:$1048576,ROW(),FALSE)</f>
        <v>0</v>
      </c>
      <c r="AD5669" s="580">
        <f t="shared" si="476"/>
        <v>5</v>
      </c>
      <c r="AE5669" s="580">
        <f t="shared" si="477"/>
        <v>2.5</v>
      </c>
      <c r="AF5669" s="580">
        <f t="shared" si="478"/>
        <v>2.5</v>
      </c>
      <c r="AG5669" s="580">
        <f t="shared" si="479"/>
        <v>0</v>
      </c>
      <c r="AH5669" s="580">
        <f t="shared" si="480"/>
        <v>0</v>
      </c>
    </row>
    <row r="5670" spans="28:34">
      <c r="AB5670" s="580">
        <f>HLOOKUP("*"&amp;'Output annual'!$AC$2&amp;'Output annual'!$AD$2&amp;"*Zone People Number Of Occupants [](Hourly)",'Eplus results'!$1:$1048576,ROW(),FALSE)</f>
        <v>0</v>
      </c>
      <c r="AC5670" s="580">
        <f>HLOOKUP("*"&amp;'Output annual'!$AC$2&amp;'Output annual'!$AD$2&amp;"*FangerPMV(Hourly)",'Eplus results'!$1:$1048576,ROW(),FALSE)</f>
        <v>0</v>
      </c>
      <c r="AD5670" s="580">
        <f t="shared" si="476"/>
        <v>5</v>
      </c>
      <c r="AE5670" s="580">
        <f t="shared" si="477"/>
        <v>2.5</v>
      </c>
      <c r="AF5670" s="580">
        <f t="shared" si="478"/>
        <v>2.5</v>
      </c>
      <c r="AG5670" s="580">
        <f t="shared" si="479"/>
        <v>0</v>
      </c>
      <c r="AH5670" s="580">
        <f t="shared" si="480"/>
        <v>0</v>
      </c>
    </row>
    <row r="5671" spans="28:34">
      <c r="AB5671" s="580">
        <f>HLOOKUP("*"&amp;'Output annual'!$AC$2&amp;'Output annual'!$AD$2&amp;"*Zone People Number Of Occupants [](Hourly)",'Eplus results'!$1:$1048576,ROW(),FALSE)</f>
        <v>0</v>
      </c>
      <c r="AC5671" s="580">
        <f>HLOOKUP("*"&amp;'Output annual'!$AC$2&amp;'Output annual'!$AD$2&amp;"*FangerPMV(Hourly)",'Eplus results'!$1:$1048576,ROW(),FALSE)</f>
        <v>0</v>
      </c>
      <c r="AD5671" s="580">
        <f t="shared" si="476"/>
        <v>5</v>
      </c>
      <c r="AE5671" s="580">
        <f t="shared" si="477"/>
        <v>2.5</v>
      </c>
      <c r="AF5671" s="580">
        <f t="shared" si="478"/>
        <v>2.5</v>
      </c>
      <c r="AG5671" s="580">
        <f t="shared" si="479"/>
        <v>0</v>
      </c>
      <c r="AH5671" s="580">
        <f t="shared" si="480"/>
        <v>0</v>
      </c>
    </row>
    <row r="5672" spans="28:34">
      <c r="AB5672" s="580">
        <f>HLOOKUP("*"&amp;'Output annual'!$AC$2&amp;'Output annual'!$AD$2&amp;"*Zone People Number Of Occupants [](Hourly)",'Eplus results'!$1:$1048576,ROW(),FALSE)</f>
        <v>0</v>
      </c>
      <c r="AC5672" s="580">
        <f>HLOOKUP("*"&amp;'Output annual'!$AC$2&amp;'Output annual'!$AD$2&amp;"*FangerPMV(Hourly)",'Eplus results'!$1:$1048576,ROW(),FALSE)</f>
        <v>0</v>
      </c>
      <c r="AD5672" s="580">
        <f t="shared" si="476"/>
        <v>5</v>
      </c>
      <c r="AE5672" s="580">
        <f t="shared" si="477"/>
        <v>2.5</v>
      </c>
      <c r="AF5672" s="580">
        <f t="shared" si="478"/>
        <v>2.5</v>
      </c>
      <c r="AG5672" s="580">
        <f t="shared" si="479"/>
        <v>0</v>
      </c>
      <c r="AH5672" s="580">
        <f t="shared" si="480"/>
        <v>0</v>
      </c>
    </row>
    <row r="5673" spans="28:34">
      <c r="AB5673" s="580">
        <f>HLOOKUP("*"&amp;'Output annual'!$AC$2&amp;'Output annual'!$AD$2&amp;"*Zone People Number Of Occupants [](Hourly)",'Eplus results'!$1:$1048576,ROW(),FALSE)</f>
        <v>0</v>
      </c>
      <c r="AC5673" s="580">
        <f>HLOOKUP("*"&amp;'Output annual'!$AC$2&amp;'Output annual'!$AD$2&amp;"*FangerPMV(Hourly)",'Eplus results'!$1:$1048576,ROW(),FALSE)</f>
        <v>0</v>
      </c>
      <c r="AD5673" s="580">
        <f t="shared" si="476"/>
        <v>5</v>
      </c>
      <c r="AE5673" s="580">
        <f t="shared" si="477"/>
        <v>2.5</v>
      </c>
      <c r="AF5673" s="580">
        <f t="shared" si="478"/>
        <v>2.5</v>
      </c>
      <c r="AG5673" s="580">
        <f t="shared" si="479"/>
        <v>0</v>
      </c>
      <c r="AH5673" s="580">
        <f t="shared" si="480"/>
        <v>0</v>
      </c>
    </row>
    <row r="5674" spans="28:34">
      <c r="AB5674" s="580">
        <f>HLOOKUP("*"&amp;'Output annual'!$AC$2&amp;'Output annual'!$AD$2&amp;"*Zone People Number Of Occupants [](Hourly)",'Eplus results'!$1:$1048576,ROW(),FALSE)</f>
        <v>0</v>
      </c>
      <c r="AC5674" s="580">
        <f>HLOOKUP("*"&amp;'Output annual'!$AC$2&amp;'Output annual'!$AD$2&amp;"*FangerPMV(Hourly)",'Eplus results'!$1:$1048576,ROW(),FALSE)</f>
        <v>0</v>
      </c>
      <c r="AD5674" s="580">
        <f t="shared" si="476"/>
        <v>5</v>
      </c>
      <c r="AE5674" s="580">
        <f t="shared" si="477"/>
        <v>2.5</v>
      </c>
      <c r="AF5674" s="580">
        <f t="shared" si="478"/>
        <v>2.5</v>
      </c>
      <c r="AG5674" s="580">
        <f t="shared" si="479"/>
        <v>0</v>
      </c>
      <c r="AH5674" s="580">
        <f t="shared" si="480"/>
        <v>0</v>
      </c>
    </row>
    <row r="5675" spans="28:34">
      <c r="AB5675" s="580">
        <f>HLOOKUP("*"&amp;'Output annual'!$AC$2&amp;'Output annual'!$AD$2&amp;"*Zone People Number Of Occupants [](Hourly)",'Eplus results'!$1:$1048576,ROW(),FALSE)</f>
        <v>0</v>
      </c>
      <c r="AC5675" s="580">
        <f>HLOOKUP("*"&amp;'Output annual'!$AC$2&amp;'Output annual'!$AD$2&amp;"*FangerPMV(Hourly)",'Eplus results'!$1:$1048576,ROW(),FALSE)</f>
        <v>0</v>
      </c>
      <c r="AD5675" s="580">
        <f t="shared" si="476"/>
        <v>5</v>
      </c>
      <c r="AE5675" s="580">
        <f t="shared" si="477"/>
        <v>2.5</v>
      </c>
      <c r="AF5675" s="580">
        <f t="shared" si="478"/>
        <v>2.5</v>
      </c>
      <c r="AG5675" s="580">
        <f t="shared" si="479"/>
        <v>0</v>
      </c>
      <c r="AH5675" s="580">
        <f t="shared" si="480"/>
        <v>0</v>
      </c>
    </row>
    <row r="5676" spans="28:34">
      <c r="AB5676" s="580">
        <f>HLOOKUP("*"&amp;'Output annual'!$AC$2&amp;'Output annual'!$AD$2&amp;"*Zone People Number Of Occupants [](Hourly)",'Eplus results'!$1:$1048576,ROW(),FALSE)</f>
        <v>0</v>
      </c>
      <c r="AC5676" s="580">
        <f>HLOOKUP("*"&amp;'Output annual'!$AC$2&amp;'Output annual'!$AD$2&amp;"*FangerPMV(Hourly)",'Eplus results'!$1:$1048576,ROW(),FALSE)</f>
        <v>0</v>
      </c>
      <c r="AD5676" s="580">
        <f t="shared" si="476"/>
        <v>5</v>
      </c>
      <c r="AE5676" s="580">
        <f t="shared" si="477"/>
        <v>2.5</v>
      </c>
      <c r="AF5676" s="580">
        <f t="shared" si="478"/>
        <v>2.5</v>
      </c>
      <c r="AG5676" s="580">
        <f t="shared" si="479"/>
        <v>0</v>
      </c>
      <c r="AH5676" s="580">
        <f t="shared" si="480"/>
        <v>0</v>
      </c>
    </row>
    <row r="5677" spans="28:34">
      <c r="AB5677" s="580">
        <f>HLOOKUP("*"&amp;'Output annual'!$AC$2&amp;'Output annual'!$AD$2&amp;"*Zone People Number Of Occupants [](Hourly)",'Eplus results'!$1:$1048576,ROW(),FALSE)</f>
        <v>0</v>
      </c>
      <c r="AC5677" s="580">
        <f>HLOOKUP("*"&amp;'Output annual'!$AC$2&amp;'Output annual'!$AD$2&amp;"*FangerPMV(Hourly)",'Eplus results'!$1:$1048576,ROW(),FALSE)</f>
        <v>0</v>
      </c>
      <c r="AD5677" s="580">
        <f t="shared" si="476"/>
        <v>5</v>
      </c>
      <c r="AE5677" s="580">
        <f t="shared" si="477"/>
        <v>2.5</v>
      </c>
      <c r="AF5677" s="580">
        <f t="shared" si="478"/>
        <v>2.5</v>
      </c>
      <c r="AG5677" s="580">
        <f t="shared" si="479"/>
        <v>0</v>
      </c>
      <c r="AH5677" s="580">
        <f t="shared" si="480"/>
        <v>0</v>
      </c>
    </row>
    <row r="5678" spans="28:34">
      <c r="AB5678" s="580">
        <f>HLOOKUP("*"&amp;'Output annual'!$AC$2&amp;'Output annual'!$AD$2&amp;"*Zone People Number Of Occupants [](Hourly)",'Eplus results'!$1:$1048576,ROW(),FALSE)</f>
        <v>0</v>
      </c>
      <c r="AC5678" s="580">
        <f>HLOOKUP("*"&amp;'Output annual'!$AC$2&amp;'Output annual'!$AD$2&amp;"*FangerPMV(Hourly)",'Eplus results'!$1:$1048576,ROW(),FALSE)</f>
        <v>0</v>
      </c>
      <c r="AD5678" s="580">
        <f t="shared" si="476"/>
        <v>5</v>
      </c>
      <c r="AE5678" s="580">
        <f t="shared" si="477"/>
        <v>2.5</v>
      </c>
      <c r="AF5678" s="580">
        <f t="shared" si="478"/>
        <v>2.5</v>
      </c>
      <c r="AG5678" s="580">
        <f t="shared" si="479"/>
        <v>0</v>
      </c>
      <c r="AH5678" s="580">
        <f t="shared" si="480"/>
        <v>0</v>
      </c>
    </row>
    <row r="5679" spans="28:34">
      <c r="AB5679" s="580">
        <f>HLOOKUP("*"&amp;'Output annual'!$AC$2&amp;'Output annual'!$AD$2&amp;"*Zone People Number Of Occupants [](Hourly)",'Eplus results'!$1:$1048576,ROW(),FALSE)</f>
        <v>0</v>
      </c>
      <c r="AC5679" s="580">
        <f>HLOOKUP("*"&amp;'Output annual'!$AC$2&amp;'Output annual'!$AD$2&amp;"*FangerPMV(Hourly)",'Eplus results'!$1:$1048576,ROW(),FALSE)</f>
        <v>0</v>
      </c>
      <c r="AD5679" s="580">
        <f t="shared" si="476"/>
        <v>5</v>
      </c>
      <c r="AE5679" s="580">
        <f t="shared" si="477"/>
        <v>2.5</v>
      </c>
      <c r="AF5679" s="580">
        <f t="shared" si="478"/>
        <v>2.5</v>
      </c>
      <c r="AG5679" s="580">
        <f t="shared" si="479"/>
        <v>0</v>
      </c>
      <c r="AH5679" s="580">
        <f t="shared" si="480"/>
        <v>0</v>
      </c>
    </row>
    <row r="5680" spans="28:34">
      <c r="AB5680" s="580">
        <f>HLOOKUP("*"&amp;'Output annual'!$AC$2&amp;'Output annual'!$AD$2&amp;"*Zone People Number Of Occupants [](Hourly)",'Eplus results'!$1:$1048576,ROW(),FALSE)</f>
        <v>0</v>
      </c>
      <c r="AC5680" s="580">
        <f>HLOOKUP("*"&amp;'Output annual'!$AC$2&amp;'Output annual'!$AD$2&amp;"*FangerPMV(Hourly)",'Eplus results'!$1:$1048576,ROW(),FALSE)</f>
        <v>0</v>
      </c>
      <c r="AD5680" s="580">
        <f t="shared" si="476"/>
        <v>5</v>
      </c>
      <c r="AE5680" s="580">
        <f t="shared" si="477"/>
        <v>2.5</v>
      </c>
      <c r="AF5680" s="580">
        <f t="shared" si="478"/>
        <v>2.5</v>
      </c>
      <c r="AG5680" s="580">
        <f t="shared" si="479"/>
        <v>0</v>
      </c>
      <c r="AH5680" s="580">
        <f t="shared" si="480"/>
        <v>0</v>
      </c>
    </row>
    <row r="5681" spans="28:34">
      <c r="AB5681" s="580">
        <f>HLOOKUP("*"&amp;'Output annual'!$AC$2&amp;'Output annual'!$AD$2&amp;"*Zone People Number Of Occupants [](Hourly)",'Eplus results'!$1:$1048576,ROW(),FALSE)</f>
        <v>0</v>
      </c>
      <c r="AC5681" s="580">
        <f>HLOOKUP("*"&amp;'Output annual'!$AC$2&amp;'Output annual'!$AD$2&amp;"*FangerPMV(Hourly)",'Eplus results'!$1:$1048576,ROW(),FALSE)</f>
        <v>0</v>
      </c>
      <c r="AD5681" s="580">
        <f t="shared" si="476"/>
        <v>5</v>
      </c>
      <c r="AE5681" s="580">
        <f t="shared" si="477"/>
        <v>2.5</v>
      </c>
      <c r="AF5681" s="580">
        <f t="shared" si="478"/>
        <v>2.5</v>
      </c>
      <c r="AG5681" s="580">
        <f t="shared" si="479"/>
        <v>0</v>
      </c>
      <c r="AH5681" s="580">
        <f t="shared" si="480"/>
        <v>0</v>
      </c>
    </row>
    <row r="5682" spans="28:34">
      <c r="AB5682" s="580">
        <f>HLOOKUP("*"&amp;'Output annual'!$AC$2&amp;'Output annual'!$AD$2&amp;"*Zone People Number Of Occupants [](Hourly)",'Eplus results'!$1:$1048576,ROW(),FALSE)</f>
        <v>0</v>
      </c>
      <c r="AC5682" s="580">
        <f>HLOOKUP("*"&amp;'Output annual'!$AC$2&amp;'Output annual'!$AD$2&amp;"*FangerPMV(Hourly)",'Eplus results'!$1:$1048576,ROW(),FALSE)</f>
        <v>0</v>
      </c>
      <c r="AD5682" s="580">
        <f t="shared" si="476"/>
        <v>5</v>
      </c>
      <c r="AE5682" s="580">
        <f t="shared" si="477"/>
        <v>2.5</v>
      </c>
      <c r="AF5682" s="580">
        <f t="shared" si="478"/>
        <v>2.5</v>
      </c>
      <c r="AG5682" s="580">
        <f t="shared" si="479"/>
        <v>0</v>
      </c>
      <c r="AH5682" s="580">
        <f t="shared" si="480"/>
        <v>0</v>
      </c>
    </row>
    <row r="5683" spans="28:34">
      <c r="AB5683" s="580">
        <f>HLOOKUP("*"&amp;'Output annual'!$AC$2&amp;'Output annual'!$AD$2&amp;"*Zone People Number Of Occupants [](Hourly)",'Eplus results'!$1:$1048576,ROW(),FALSE)</f>
        <v>0</v>
      </c>
      <c r="AC5683" s="580">
        <f>HLOOKUP("*"&amp;'Output annual'!$AC$2&amp;'Output annual'!$AD$2&amp;"*FangerPMV(Hourly)",'Eplus results'!$1:$1048576,ROW(),FALSE)</f>
        <v>0</v>
      </c>
      <c r="AD5683" s="580">
        <f t="shared" si="476"/>
        <v>5</v>
      </c>
      <c r="AE5683" s="580">
        <f t="shared" si="477"/>
        <v>2.5</v>
      </c>
      <c r="AF5683" s="580">
        <f t="shared" si="478"/>
        <v>2.5</v>
      </c>
      <c r="AG5683" s="580">
        <f t="shared" si="479"/>
        <v>0</v>
      </c>
      <c r="AH5683" s="580">
        <f t="shared" si="480"/>
        <v>0</v>
      </c>
    </row>
    <row r="5684" spans="28:34">
      <c r="AB5684" s="580">
        <f>HLOOKUP("*"&amp;'Output annual'!$AC$2&amp;'Output annual'!$AD$2&amp;"*Zone People Number Of Occupants [](Hourly)",'Eplus results'!$1:$1048576,ROW(),FALSE)</f>
        <v>0</v>
      </c>
      <c r="AC5684" s="580">
        <f>HLOOKUP("*"&amp;'Output annual'!$AC$2&amp;'Output annual'!$AD$2&amp;"*FangerPMV(Hourly)",'Eplus results'!$1:$1048576,ROW(),FALSE)</f>
        <v>0</v>
      </c>
      <c r="AD5684" s="580">
        <f t="shared" si="476"/>
        <v>5</v>
      </c>
      <c r="AE5684" s="580">
        <f t="shared" si="477"/>
        <v>2.5</v>
      </c>
      <c r="AF5684" s="580">
        <f t="shared" si="478"/>
        <v>2.5</v>
      </c>
      <c r="AG5684" s="580">
        <f t="shared" si="479"/>
        <v>0</v>
      </c>
      <c r="AH5684" s="580">
        <f t="shared" si="480"/>
        <v>0</v>
      </c>
    </row>
    <row r="5685" spans="28:34">
      <c r="AB5685" s="580">
        <f>HLOOKUP("*"&amp;'Output annual'!$AC$2&amp;'Output annual'!$AD$2&amp;"*Zone People Number Of Occupants [](Hourly)",'Eplus results'!$1:$1048576,ROW(),FALSE)</f>
        <v>0</v>
      </c>
      <c r="AC5685" s="580">
        <f>HLOOKUP("*"&amp;'Output annual'!$AC$2&amp;'Output annual'!$AD$2&amp;"*FangerPMV(Hourly)",'Eplus results'!$1:$1048576,ROW(),FALSE)</f>
        <v>0</v>
      </c>
      <c r="AD5685" s="580">
        <f t="shared" si="476"/>
        <v>5</v>
      </c>
      <c r="AE5685" s="580">
        <f t="shared" si="477"/>
        <v>2.5</v>
      </c>
      <c r="AF5685" s="580">
        <f t="shared" si="478"/>
        <v>2.5</v>
      </c>
      <c r="AG5685" s="580">
        <f t="shared" si="479"/>
        <v>0</v>
      </c>
      <c r="AH5685" s="580">
        <f t="shared" si="480"/>
        <v>0</v>
      </c>
    </row>
    <row r="5686" spans="28:34">
      <c r="AB5686" s="580">
        <f>HLOOKUP("*"&amp;'Output annual'!$AC$2&amp;'Output annual'!$AD$2&amp;"*Zone People Number Of Occupants [](Hourly)",'Eplus results'!$1:$1048576,ROW(),FALSE)</f>
        <v>0</v>
      </c>
      <c r="AC5686" s="580">
        <f>HLOOKUP("*"&amp;'Output annual'!$AC$2&amp;'Output annual'!$AD$2&amp;"*FangerPMV(Hourly)",'Eplus results'!$1:$1048576,ROW(),FALSE)</f>
        <v>0</v>
      </c>
      <c r="AD5686" s="580">
        <f t="shared" si="476"/>
        <v>5</v>
      </c>
      <c r="AE5686" s="580">
        <f t="shared" si="477"/>
        <v>2.5</v>
      </c>
      <c r="AF5686" s="580">
        <f t="shared" si="478"/>
        <v>2.5</v>
      </c>
      <c r="AG5686" s="580">
        <f t="shared" si="479"/>
        <v>0</v>
      </c>
      <c r="AH5686" s="580">
        <f t="shared" si="480"/>
        <v>0</v>
      </c>
    </row>
    <row r="5687" spans="28:34">
      <c r="AB5687" s="580">
        <f>HLOOKUP("*"&amp;'Output annual'!$AC$2&amp;'Output annual'!$AD$2&amp;"*Zone People Number Of Occupants [](Hourly)",'Eplus results'!$1:$1048576,ROW(),FALSE)</f>
        <v>0</v>
      </c>
      <c r="AC5687" s="580">
        <f>HLOOKUP("*"&amp;'Output annual'!$AC$2&amp;'Output annual'!$AD$2&amp;"*FangerPMV(Hourly)",'Eplus results'!$1:$1048576,ROW(),FALSE)</f>
        <v>0</v>
      </c>
      <c r="AD5687" s="580">
        <f t="shared" si="476"/>
        <v>5</v>
      </c>
      <c r="AE5687" s="580">
        <f t="shared" si="477"/>
        <v>2.5</v>
      </c>
      <c r="AF5687" s="580">
        <f t="shared" si="478"/>
        <v>2.5</v>
      </c>
      <c r="AG5687" s="580">
        <f t="shared" si="479"/>
        <v>0</v>
      </c>
      <c r="AH5687" s="580">
        <f t="shared" si="480"/>
        <v>0</v>
      </c>
    </row>
    <row r="5688" spans="28:34">
      <c r="AB5688" s="580">
        <f>HLOOKUP("*"&amp;'Output annual'!$AC$2&amp;'Output annual'!$AD$2&amp;"*Zone People Number Of Occupants [](Hourly)",'Eplus results'!$1:$1048576,ROW(),FALSE)</f>
        <v>0</v>
      </c>
      <c r="AC5688" s="580">
        <f>HLOOKUP("*"&amp;'Output annual'!$AC$2&amp;'Output annual'!$AD$2&amp;"*FangerPMV(Hourly)",'Eplus results'!$1:$1048576,ROW(),FALSE)</f>
        <v>0</v>
      </c>
      <c r="AD5688" s="580">
        <f t="shared" si="476"/>
        <v>5</v>
      </c>
      <c r="AE5688" s="580">
        <f t="shared" si="477"/>
        <v>2.5</v>
      </c>
      <c r="AF5688" s="580">
        <f t="shared" si="478"/>
        <v>2.5</v>
      </c>
      <c r="AG5688" s="580">
        <f t="shared" si="479"/>
        <v>0</v>
      </c>
      <c r="AH5688" s="580">
        <f t="shared" si="480"/>
        <v>0</v>
      </c>
    </row>
    <row r="5689" spans="28:34">
      <c r="AB5689" s="580">
        <f>HLOOKUP("*"&amp;'Output annual'!$AC$2&amp;'Output annual'!$AD$2&amp;"*Zone People Number Of Occupants [](Hourly)",'Eplus results'!$1:$1048576,ROW(),FALSE)</f>
        <v>0</v>
      </c>
      <c r="AC5689" s="580">
        <f>HLOOKUP("*"&amp;'Output annual'!$AC$2&amp;'Output annual'!$AD$2&amp;"*FangerPMV(Hourly)",'Eplus results'!$1:$1048576,ROW(),FALSE)</f>
        <v>0</v>
      </c>
      <c r="AD5689" s="580">
        <f t="shared" si="476"/>
        <v>5</v>
      </c>
      <c r="AE5689" s="580">
        <f t="shared" si="477"/>
        <v>2.5</v>
      </c>
      <c r="AF5689" s="580">
        <f t="shared" si="478"/>
        <v>2.5</v>
      </c>
      <c r="AG5689" s="580">
        <f t="shared" si="479"/>
        <v>0</v>
      </c>
      <c r="AH5689" s="580">
        <f t="shared" si="480"/>
        <v>0</v>
      </c>
    </row>
    <row r="5690" spans="28:34">
      <c r="AB5690" s="580">
        <f>HLOOKUP("*"&amp;'Output annual'!$AC$2&amp;'Output annual'!$AD$2&amp;"*Zone People Number Of Occupants [](Hourly)",'Eplus results'!$1:$1048576,ROW(),FALSE)</f>
        <v>0</v>
      </c>
      <c r="AC5690" s="580">
        <f>HLOOKUP("*"&amp;'Output annual'!$AC$2&amp;'Output annual'!$AD$2&amp;"*FangerPMV(Hourly)",'Eplus results'!$1:$1048576,ROW(),FALSE)</f>
        <v>0</v>
      </c>
      <c r="AD5690" s="580">
        <f t="shared" si="476"/>
        <v>5</v>
      </c>
      <c r="AE5690" s="580">
        <f t="shared" si="477"/>
        <v>2.5</v>
      </c>
      <c r="AF5690" s="580">
        <f t="shared" si="478"/>
        <v>2.5</v>
      </c>
      <c r="AG5690" s="580">
        <f t="shared" si="479"/>
        <v>0</v>
      </c>
      <c r="AH5690" s="580">
        <f t="shared" si="480"/>
        <v>0</v>
      </c>
    </row>
    <row r="5691" spans="28:34">
      <c r="AB5691" s="580">
        <f>HLOOKUP("*"&amp;'Output annual'!$AC$2&amp;'Output annual'!$AD$2&amp;"*Zone People Number Of Occupants [](Hourly)",'Eplus results'!$1:$1048576,ROW(),FALSE)</f>
        <v>0</v>
      </c>
      <c r="AC5691" s="580">
        <f>HLOOKUP("*"&amp;'Output annual'!$AC$2&amp;'Output annual'!$AD$2&amp;"*FangerPMV(Hourly)",'Eplus results'!$1:$1048576,ROW(),FALSE)</f>
        <v>0</v>
      </c>
      <c r="AD5691" s="580">
        <f t="shared" si="476"/>
        <v>5</v>
      </c>
      <c r="AE5691" s="580">
        <f t="shared" si="477"/>
        <v>2.5</v>
      </c>
      <c r="AF5691" s="580">
        <f t="shared" si="478"/>
        <v>2.5</v>
      </c>
      <c r="AG5691" s="580">
        <f t="shared" si="479"/>
        <v>0</v>
      </c>
      <c r="AH5691" s="580">
        <f t="shared" si="480"/>
        <v>0</v>
      </c>
    </row>
    <row r="5692" spans="28:34">
      <c r="AB5692" s="580">
        <f>HLOOKUP("*"&amp;'Output annual'!$AC$2&amp;'Output annual'!$AD$2&amp;"*Zone People Number Of Occupants [](Hourly)",'Eplus results'!$1:$1048576,ROW(),FALSE)</f>
        <v>0</v>
      </c>
      <c r="AC5692" s="580">
        <f>HLOOKUP("*"&amp;'Output annual'!$AC$2&amp;'Output annual'!$AD$2&amp;"*FangerPMV(Hourly)",'Eplus results'!$1:$1048576,ROW(),FALSE)</f>
        <v>0</v>
      </c>
      <c r="AD5692" s="580">
        <f t="shared" si="476"/>
        <v>5</v>
      </c>
      <c r="AE5692" s="580">
        <f t="shared" si="477"/>
        <v>2.5</v>
      </c>
      <c r="AF5692" s="580">
        <f t="shared" si="478"/>
        <v>2.5</v>
      </c>
      <c r="AG5692" s="580">
        <f t="shared" si="479"/>
        <v>0</v>
      </c>
      <c r="AH5692" s="580">
        <f t="shared" si="480"/>
        <v>0</v>
      </c>
    </row>
    <row r="5693" spans="28:34">
      <c r="AB5693" s="580">
        <f>HLOOKUP("*"&amp;'Output annual'!$AC$2&amp;'Output annual'!$AD$2&amp;"*Zone People Number Of Occupants [](Hourly)",'Eplus results'!$1:$1048576,ROW(),FALSE)</f>
        <v>0</v>
      </c>
      <c r="AC5693" s="580">
        <f>HLOOKUP("*"&amp;'Output annual'!$AC$2&amp;'Output annual'!$AD$2&amp;"*FangerPMV(Hourly)",'Eplus results'!$1:$1048576,ROW(),FALSE)</f>
        <v>0</v>
      </c>
      <c r="AD5693" s="580">
        <f t="shared" si="476"/>
        <v>5</v>
      </c>
      <c r="AE5693" s="580">
        <f t="shared" si="477"/>
        <v>2.5</v>
      </c>
      <c r="AF5693" s="580">
        <f t="shared" si="478"/>
        <v>2.5</v>
      </c>
      <c r="AG5693" s="580">
        <f t="shared" si="479"/>
        <v>0</v>
      </c>
      <c r="AH5693" s="580">
        <f t="shared" si="480"/>
        <v>0</v>
      </c>
    </row>
    <row r="5694" spans="28:34">
      <c r="AB5694" s="580">
        <f>HLOOKUP("*"&amp;'Output annual'!$AC$2&amp;'Output annual'!$AD$2&amp;"*Zone People Number Of Occupants [](Hourly)",'Eplus results'!$1:$1048576,ROW(),FALSE)</f>
        <v>0</v>
      </c>
      <c r="AC5694" s="580">
        <f>HLOOKUP("*"&amp;'Output annual'!$AC$2&amp;'Output annual'!$AD$2&amp;"*FangerPMV(Hourly)",'Eplus results'!$1:$1048576,ROW(),FALSE)</f>
        <v>0</v>
      </c>
      <c r="AD5694" s="580">
        <f t="shared" si="476"/>
        <v>5</v>
      </c>
      <c r="AE5694" s="580">
        <f t="shared" si="477"/>
        <v>2.5</v>
      </c>
      <c r="AF5694" s="580">
        <f t="shared" si="478"/>
        <v>2.5</v>
      </c>
      <c r="AG5694" s="580">
        <f t="shared" si="479"/>
        <v>0</v>
      </c>
      <c r="AH5694" s="580">
        <f t="shared" si="480"/>
        <v>0</v>
      </c>
    </row>
    <row r="5695" spans="28:34">
      <c r="AB5695" s="580">
        <f>HLOOKUP("*"&amp;'Output annual'!$AC$2&amp;'Output annual'!$AD$2&amp;"*Zone People Number Of Occupants [](Hourly)",'Eplus results'!$1:$1048576,ROW(),FALSE)</f>
        <v>0</v>
      </c>
      <c r="AC5695" s="580">
        <f>HLOOKUP("*"&amp;'Output annual'!$AC$2&amp;'Output annual'!$AD$2&amp;"*FangerPMV(Hourly)",'Eplus results'!$1:$1048576,ROW(),FALSE)</f>
        <v>0</v>
      </c>
      <c r="AD5695" s="580">
        <f t="shared" si="476"/>
        <v>5</v>
      </c>
      <c r="AE5695" s="580">
        <f t="shared" si="477"/>
        <v>2.5</v>
      </c>
      <c r="AF5695" s="580">
        <f t="shared" si="478"/>
        <v>2.5</v>
      </c>
      <c r="AG5695" s="580">
        <f t="shared" si="479"/>
        <v>0</v>
      </c>
      <c r="AH5695" s="580">
        <f t="shared" si="480"/>
        <v>0</v>
      </c>
    </row>
    <row r="5696" spans="28:34">
      <c r="AB5696" s="580">
        <f>HLOOKUP("*"&amp;'Output annual'!$AC$2&amp;'Output annual'!$AD$2&amp;"*Zone People Number Of Occupants [](Hourly)",'Eplus results'!$1:$1048576,ROW(),FALSE)</f>
        <v>0</v>
      </c>
      <c r="AC5696" s="580">
        <f>HLOOKUP("*"&amp;'Output annual'!$AC$2&amp;'Output annual'!$AD$2&amp;"*FangerPMV(Hourly)",'Eplus results'!$1:$1048576,ROW(),FALSE)</f>
        <v>0</v>
      </c>
      <c r="AD5696" s="580">
        <f t="shared" si="476"/>
        <v>5</v>
      </c>
      <c r="AE5696" s="580">
        <f t="shared" si="477"/>
        <v>2.5</v>
      </c>
      <c r="AF5696" s="580">
        <f t="shared" si="478"/>
        <v>2.5</v>
      </c>
      <c r="AG5696" s="580">
        <f t="shared" si="479"/>
        <v>0</v>
      </c>
      <c r="AH5696" s="580">
        <f t="shared" si="480"/>
        <v>0</v>
      </c>
    </row>
    <row r="5697" spans="28:34">
      <c r="AB5697" s="580">
        <f>HLOOKUP("*"&amp;'Output annual'!$AC$2&amp;'Output annual'!$AD$2&amp;"*Zone People Number Of Occupants [](Hourly)",'Eplus results'!$1:$1048576,ROW(),FALSE)</f>
        <v>0</v>
      </c>
      <c r="AC5697" s="580">
        <f>HLOOKUP("*"&amp;'Output annual'!$AC$2&amp;'Output annual'!$AD$2&amp;"*FangerPMV(Hourly)",'Eplus results'!$1:$1048576,ROW(),FALSE)</f>
        <v>0</v>
      </c>
      <c r="AD5697" s="580">
        <f t="shared" si="476"/>
        <v>5</v>
      </c>
      <c r="AE5697" s="580">
        <f t="shared" si="477"/>
        <v>2.5</v>
      </c>
      <c r="AF5697" s="580">
        <f t="shared" si="478"/>
        <v>2.5</v>
      </c>
      <c r="AG5697" s="580">
        <f t="shared" si="479"/>
        <v>0</v>
      </c>
      <c r="AH5697" s="580">
        <f t="shared" si="480"/>
        <v>0</v>
      </c>
    </row>
    <row r="5698" spans="28:34">
      <c r="AB5698" s="580">
        <f>HLOOKUP("*"&amp;'Output annual'!$AC$2&amp;'Output annual'!$AD$2&amp;"*Zone People Number Of Occupants [](Hourly)",'Eplus results'!$1:$1048576,ROW(),FALSE)</f>
        <v>0</v>
      </c>
      <c r="AC5698" s="580">
        <f>HLOOKUP("*"&amp;'Output annual'!$AC$2&amp;'Output annual'!$AD$2&amp;"*FangerPMV(Hourly)",'Eplus results'!$1:$1048576,ROW(),FALSE)</f>
        <v>0</v>
      </c>
      <c r="AD5698" s="580">
        <f t="shared" si="476"/>
        <v>5</v>
      </c>
      <c r="AE5698" s="580">
        <f t="shared" si="477"/>
        <v>2.5</v>
      </c>
      <c r="AF5698" s="580">
        <f t="shared" si="478"/>
        <v>2.5</v>
      </c>
      <c r="AG5698" s="580">
        <f t="shared" si="479"/>
        <v>0</v>
      </c>
      <c r="AH5698" s="580">
        <f t="shared" si="480"/>
        <v>0</v>
      </c>
    </row>
    <row r="5699" spans="28:34">
      <c r="AB5699" s="580">
        <f>HLOOKUP("*"&amp;'Output annual'!$AC$2&amp;'Output annual'!$AD$2&amp;"*Zone People Number Of Occupants [](Hourly)",'Eplus results'!$1:$1048576,ROW(),FALSE)</f>
        <v>0</v>
      </c>
      <c r="AC5699" s="580">
        <f>HLOOKUP("*"&amp;'Output annual'!$AC$2&amp;'Output annual'!$AD$2&amp;"*FangerPMV(Hourly)",'Eplus results'!$1:$1048576,ROW(),FALSE)</f>
        <v>0</v>
      </c>
      <c r="AD5699" s="580">
        <f t="shared" ref="AD5699:AD5762" si="481">100-95*EXP(-0.03353*AC5699^4-0.2179*AC5699^2)</f>
        <v>5</v>
      </c>
      <c r="AE5699" s="580">
        <f t="shared" ref="AE5699:AE5762" si="482">AD5699*(1/(1+EXP(-6.3*$AC5699)))</f>
        <v>2.5</v>
      </c>
      <c r="AF5699" s="580">
        <f t="shared" ref="AF5699:AF5762" si="483">(AD5699-AE5699)</f>
        <v>2.5</v>
      </c>
      <c r="AG5699" s="580">
        <f t="shared" ref="AG5699:AG5762" si="484">AE5699*AB5699</f>
        <v>0</v>
      </c>
      <c r="AH5699" s="580">
        <f t="shared" ref="AH5699:AH5762" si="485">AF5699*AB5699</f>
        <v>0</v>
      </c>
    </row>
    <row r="5700" spans="28:34">
      <c r="AB5700" s="580">
        <f>HLOOKUP("*"&amp;'Output annual'!$AC$2&amp;'Output annual'!$AD$2&amp;"*Zone People Number Of Occupants [](Hourly)",'Eplus results'!$1:$1048576,ROW(),FALSE)</f>
        <v>0</v>
      </c>
      <c r="AC5700" s="580">
        <f>HLOOKUP("*"&amp;'Output annual'!$AC$2&amp;'Output annual'!$AD$2&amp;"*FangerPMV(Hourly)",'Eplus results'!$1:$1048576,ROW(),FALSE)</f>
        <v>0</v>
      </c>
      <c r="AD5700" s="580">
        <f t="shared" si="481"/>
        <v>5</v>
      </c>
      <c r="AE5700" s="580">
        <f t="shared" si="482"/>
        <v>2.5</v>
      </c>
      <c r="AF5700" s="580">
        <f t="shared" si="483"/>
        <v>2.5</v>
      </c>
      <c r="AG5700" s="580">
        <f t="shared" si="484"/>
        <v>0</v>
      </c>
      <c r="AH5700" s="580">
        <f t="shared" si="485"/>
        <v>0</v>
      </c>
    </row>
    <row r="5701" spans="28:34">
      <c r="AB5701" s="580">
        <f>HLOOKUP("*"&amp;'Output annual'!$AC$2&amp;'Output annual'!$AD$2&amp;"*Zone People Number Of Occupants [](Hourly)",'Eplus results'!$1:$1048576,ROW(),FALSE)</f>
        <v>0</v>
      </c>
      <c r="AC5701" s="580">
        <f>HLOOKUP("*"&amp;'Output annual'!$AC$2&amp;'Output annual'!$AD$2&amp;"*FangerPMV(Hourly)",'Eplus results'!$1:$1048576,ROW(),FALSE)</f>
        <v>0</v>
      </c>
      <c r="AD5701" s="580">
        <f t="shared" si="481"/>
        <v>5</v>
      </c>
      <c r="AE5701" s="580">
        <f t="shared" si="482"/>
        <v>2.5</v>
      </c>
      <c r="AF5701" s="580">
        <f t="shared" si="483"/>
        <v>2.5</v>
      </c>
      <c r="AG5701" s="580">
        <f t="shared" si="484"/>
        <v>0</v>
      </c>
      <c r="AH5701" s="580">
        <f t="shared" si="485"/>
        <v>0</v>
      </c>
    </row>
    <row r="5702" spans="28:34">
      <c r="AB5702" s="580">
        <f>HLOOKUP("*"&amp;'Output annual'!$AC$2&amp;'Output annual'!$AD$2&amp;"*Zone People Number Of Occupants [](Hourly)",'Eplus results'!$1:$1048576,ROW(),FALSE)</f>
        <v>0</v>
      </c>
      <c r="AC5702" s="580">
        <f>HLOOKUP("*"&amp;'Output annual'!$AC$2&amp;'Output annual'!$AD$2&amp;"*FangerPMV(Hourly)",'Eplus results'!$1:$1048576,ROW(),FALSE)</f>
        <v>0</v>
      </c>
      <c r="AD5702" s="580">
        <f t="shared" si="481"/>
        <v>5</v>
      </c>
      <c r="AE5702" s="580">
        <f t="shared" si="482"/>
        <v>2.5</v>
      </c>
      <c r="AF5702" s="580">
        <f t="shared" si="483"/>
        <v>2.5</v>
      </c>
      <c r="AG5702" s="580">
        <f t="shared" si="484"/>
        <v>0</v>
      </c>
      <c r="AH5702" s="580">
        <f t="shared" si="485"/>
        <v>0</v>
      </c>
    </row>
    <row r="5703" spans="28:34">
      <c r="AB5703" s="580">
        <f>HLOOKUP("*"&amp;'Output annual'!$AC$2&amp;'Output annual'!$AD$2&amp;"*Zone People Number Of Occupants [](Hourly)",'Eplus results'!$1:$1048576,ROW(),FALSE)</f>
        <v>0</v>
      </c>
      <c r="AC5703" s="580">
        <f>HLOOKUP("*"&amp;'Output annual'!$AC$2&amp;'Output annual'!$AD$2&amp;"*FangerPMV(Hourly)",'Eplus results'!$1:$1048576,ROW(),FALSE)</f>
        <v>0</v>
      </c>
      <c r="AD5703" s="580">
        <f t="shared" si="481"/>
        <v>5</v>
      </c>
      <c r="AE5703" s="580">
        <f t="shared" si="482"/>
        <v>2.5</v>
      </c>
      <c r="AF5703" s="580">
        <f t="shared" si="483"/>
        <v>2.5</v>
      </c>
      <c r="AG5703" s="580">
        <f t="shared" si="484"/>
        <v>0</v>
      </c>
      <c r="AH5703" s="580">
        <f t="shared" si="485"/>
        <v>0</v>
      </c>
    </row>
    <row r="5704" spans="28:34">
      <c r="AB5704" s="580">
        <f>HLOOKUP("*"&amp;'Output annual'!$AC$2&amp;'Output annual'!$AD$2&amp;"*Zone People Number Of Occupants [](Hourly)",'Eplus results'!$1:$1048576,ROW(),FALSE)</f>
        <v>0</v>
      </c>
      <c r="AC5704" s="580">
        <f>HLOOKUP("*"&amp;'Output annual'!$AC$2&amp;'Output annual'!$AD$2&amp;"*FangerPMV(Hourly)",'Eplus results'!$1:$1048576,ROW(),FALSE)</f>
        <v>0</v>
      </c>
      <c r="AD5704" s="580">
        <f t="shared" si="481"/>
        <v>5</v>
      </c>
      <c r="AE5704" s="580">
        <f t="shared" si="482"/>
        <v>2.5</v>
      </c>
      <c r="AF5704" s="580">
        <f t="shared" si="483"/>
        <v>2.5</v>
      </c>
      <c r="AG5704" s="580">
        <f t="shared" si="484"/>
        <v>0</v>
      </c>
      <c r="AH5704" s="580">
        <f t="shared" si="485"/>
        <v>0</v>
      </c>
    </row>
    <row r="5705" spans="28:34">
      <c r="AB5705" s="580">
        <f>HLOOKUP("*"&amp;'Output annual'!$AC$2&amp;'Output annual'!$AD$2&amp;"*Zone People Number Of Occupants [](Hourly)",'Eplus results'!$1:$1048576,ROW(),FALSE)</f>
        <v>0</v>
      </c>
      <c r="AC5705" s="580">
        <f>HLOOKUP("*"&amp;'Output annual'!$AC$2&amp;'Output annual'!$AD$2&amp;"*FangerPMV(Hourly)",'Eplus results'!$1:$1048576,ROW(),FALSE)</f>
        <v>0</v>
      </c>
      <c r="AD5705" s="580">
        <f t="shared" si="481"/>
        <v>5</v>
      </c>
      <c r="AE5705" s="580">
        <f t="shared" si="482"/>
        <v>2.5</v>
      </c>
      <c r="AF5705" s="580">
        <f t="shared" si="483"/>
        <v>2.5</v>
      </c>
      <c r="AG5705" s="580">
        <f t="shared" si="484"/>
        <v>0</v>
      </c>
      <c r="AH5705" s="580">
        <f t="shared" si="485"/>
        <v>0</v>
      </c>
    </row>
    <row r="5706" spans="28:34">
      <c r="AB5706" s="580">
        <f>HLOOKUP("*"&amp;'Output annual'!$AC$2&amp;'Output annual'!$AD$2&amp;"*Zone People Number Of Occupants [](Hourly)",'Eplus results'!$1:$1048576,ROW(),FALSE)</f>
        <v>0</v>
      </c>
      <c r="AC5706" s="580">
        <f>HLOOKUP("*"&amp;'Output annual'!$AC$2&amp;'Output annual'!$AD$2&amp;"*FangerPMV(Hourly)",'Eplus results'!$1:$1048576,ROW(),FALSE)</f>
        <v>0</v>
      </c>
      <c r="AD5706" s="580">
        <f t="shared" si="481"/>
        <v>5</v>
      </c>
      <c r="AE5706" s="580">
        <f t="shared" si="482"/>
        <v>2.5</v>
      </c>
      <c r="AF5706" s="580">
        <f t="shared" si="483"/>
        <v>2.5</v>
      </c>
      <c r="AG5706" s="580">
        <f t="shared" si="484"/>
        <v>0</v>
      </c>
      <c r="AH5706" s="580">
        <f t="shared" si="485"/>
        <v>0</v>
      </c>
    </row>
    <row r="5707" spans="28:34">
      <c r="AB5707" s="580">
        <f>HLOOKUP("*"&amp;'Output annual'!$AC$2&amp;'Output annual'!$AD$2&amp;"*Zone People Number Of Occupants [](Hourly)",'Eplus results'!$1:$1048576,ROW(),FALSE)</f>
        <v>0</v>
      </c>
      <c r="AC5707" s="580">
        <f>HLOOKUP("*"&amp;'Output annual'!$AC$2&amp;'Output annual'!$AD$2&amp;"*FangerPMV(Hourly)",'Eplus results'!$1:$1048576,ROW(),FALSE)</f>
        <v>0</v>
      </c>
      <c r="AD5707" s="580">
        <f t="shared" si="481"/>
        <v>5</v>
      </c>
      <c r="AE5707" s="580">
        <f t="shared" si="482"/>
        <v>2.5</v>
      </c>
      <c r="AF5707" s="580">
        <f t="shared" si="483"/>
        <v>2.5</v>
      </c>
      <c r="AG5707" s="580">
        <f t="shared" si="484"/>
        <v>0</v>
      </c>
      <c r="AH5707" s="580">
        <f t="shared" si="485"/>
        <v>0</v>
      </c>
    </row>
    <row r="5708" spans="28:34">
      <c r="AB5708" s="580">
        <f>HLOOKUP("*"&amp;'Output annual'!$AC$2&amp;'Output annual'!$AD$2&amp;"*Zone People Number Of Occupants [](Hourly)",'Eplus results'!$1:$1048576,ROW(),FALSE)</f>
        <v>0</v>
      </c>
      <c r="AC5708" s="580">
        <f>HLOOKUP("*"&amp;'Output annual'!$AC$2&amp;'Output annual'!$AD$2&amp;"*FangerPMV(Hourly)",'Eplus results'!$1:$1048576,ROW(),FALSE)</f>
        <v>0</v>
      </c>
      <c r="AD5708" s="580">
        <f t="shared" si="481"/>
        <v>5</v>
      </c>
      <c r="AE5708" s="580">
        <f t="shared" si="482"/>
        <v>2.5</v>
      </c>
      <c r="AF5708" s="580">
        <f t="shared" si="483"/>
        <v>2.5</v>
      </c>
      <c r="AG5708" s="580">
        <f t="shared" si="484"/>
        <v>0</v>
      </c>
      <c r="AH5708" s="580">
        <f t="shared" si="485"/>
        <v>0</v>
      </c>
    </row>
    <row r="5709" spans="28:34">
      <c r="AB5709" s="580">
        <f>HLOOKUP("*"&amp;'Output annual'!$AC$2&amp;'Output annual'!$AD$2&amp;"*Zone People Number Of Occupants [](Hourly)",'Eplus results'!$1:$1048576,ROW(),FALSE)</f>
        <v>0</v>
      </c>
      <c r="AC5709" s="580">
        <f>HLOOKUP("*"&amp;'Output annual'!$AC$2&amp;'Output annual'!$AD$2&amp;"*FangerPMV(Hourly)",'Eplus results'!$1:$1048576,ROW(),FALSE)</f>
        <v>0</v>
      </c>
      <c r="AD5709" s="580">
        <f t="shared" si="481"/>
        <v>5</v>
      </c>
      <c r="AE5709" s="580">
        <f t="shared" si="482"/>
        <v>2.5</v>
      </c>
      <c r="AF5709" s="580">
        <f t="shared" si="483"/>
        <v>2.5</v>
      </c>
      <c r="AG5709" s="580">
        <f t="shared" si="484"/>
        <v>0</v>
      </c>
      <c r="AH5709" s="580">
        <f t="shared" si="485"/>
        <v>0</v>
      </c>
    </row>
    <row r="5710" spans="28:34">
      <c r="AB5710" s="580">
        <f>HLOOKUP("*"&amp;'Output annual'!$AC$2&amp;'Output annual'!$AD$2&amp;"*Zone People Number Of Occupants [](Hourly)",'Eplus results'!$1:$1048576,ROW(),FALSE)</f>
        <v>0</v>
      </c>
      <c r="AC5710" s="580">
        <f>HLOOKUP("*"&amp;'Output annual'!$AC$2&amp;'Output annual'!$AD$2&amp;"*FangerPMV(Hourly)",'Eplus results'!$1:$1048576,ROW(),FALSE)</f>
        <v>0</v>
      </c>
      <c r="AD5710" s="580">
        <f t="shared" si="481"/>
        <v>5</v>
      </c>
      <c r="AE5710" s="580">
        <f t="shared" si="482"/>
        <v>2.5</v>
      </c>
      <c r="AF5710" s="580">
        <f t="shared" si="483"/>
        <v>2.5</v>
      </c>
      <c r="AG5710" s="580">
        <f t="shared" si="484"/>
        <v>0</v>
      </c>
      <c r="AH5710" s="580">
        <f t="shared" si="485"/>
        <v>0</v>
      </c>
    </row>
    <row r="5711" spans="28:34">
      <c r="AB5711" s="580">
        <f>HLOOKUP("*"&amp;'Output annual'!$AC$2&amp;'Output annual'!$AD$2&amp;"*Zone People Number Of Occupants [](Hourly)",'Eplus results'!$1:$1048576,ROW(),FALSE)</f>
        <v>0</v>
      </c>
      <c r="AC5711" s="580">
        <f>HLOOKUP("*"&amp;'Output annual'!$AC$2&amp;'Output annual'!$AD$2&amp;"*FangerPMV(Hourly)",'Eplus results'!$1:$1048576,ROW(),FALSE)</f>
        <v>0</v>
      </c>
      <c r="AD5711" s="580">
        <f t="shared" si="481"/>
        <v>5</v>
      </c>
      <c r="AE5711" s="580">
        <f t="shared" si="482"/>
        <v>2.5</v>
      </c>
      <c r="AF5711" s="580">
        <f t="shared" si="483"/>
        <v>2.5</v>
      </c>
      <c r="AG5711" s="580">
        <f t="shared" si="484"/>
        <v>0</v>
      </c>
      <c r="AH5711" s="580">
        <f t="shared" si="485"/>
        <v>0</v>
      </c>
    </row>
    <row r="5712" spans="28:34">
      <c r="AB5712" s="580">
        <f>HLOOKUP("*"&amp;'Output annual'!$AC$2&amp;'Output annual'!$AD$2&amp;"*Zone People Number Of Occupants [](Hourly)",'Eplus results'!$1:$1048576,ROW(),FALSE)</f>
        <v>0</v>
      </c>
      <c r="AC5712" s="580">
        <f>HLOOKUP("*"&amp;'Output annual'!$AC$2&amp;'Output annual'!$AD$2&amp;"*FangerPMV(Hourly)",'Eplus results'!$1:$1048576,ROW(),FALSE)</f>
        <v>0</v>
      </c>
      <c r="AD5712" s="580">
        <f t="shared" si="481"/>
        <v>5</v>
      </c>
      <c r="AE5712" s="580">
        <f t="shared" si="482"/>
        <v>2.5</v>
      </c>
      <c r="AF5712" s="580">
        <f t="shared" si="483"/>
        <v>2.5</v>
      </c>
      <c r="AG5712" s="580">
        <f t="shared" si="484"/>
        <v>0</v>
      </c>
      <c r="AH5712" s="580">
        <f t="shared" si="485"/>
        <v>0</v>
      </c>
    </row>
    <row r="5713" spans="28:34">
      <c r="AB5713" s="580">
        <f>HLOOKUP("*"&amp;'Output annual'!$AC$2&amp;'Output annual'!$AD$2&amp;"*Zone People Number Of Occupants [](Hourly)",'Eplus results'!$1:$1048576,ROW(),FALSE)</f>
        <v>0</v>
      </c>
      <c r="AC5713" s="580">
        <f>HLOOKUP("*"&amp;'Output annual'!$AC$2&amp;'Output annual'!$AD$2&amp;"*FangerPMV(Hourly)",'Eplus results'!$1:$1048576,ROW(),FALSE)</f>
        <v>0</v>
      </c>
      <c r="AD5713" s="580">
        <f t="shared" si="481"/>
        <v>5</v>
      </c>
      <c r="AE5713" s="580">
        <f t="shared" si="482"/>
        <v>2.5</v>
      </c>
      <c r="AF5713" s="580">
        <f t="shared" si="483"/>
        <v>2.5</v>
      </c>
      <c r="AG5713" s="580">
        <f t="shared" si="484"/>
        <v>0</v>
      </c>
      <c r="AH5713" s="580">
        <f t="shared" si="485"/>
        <v>0</v>
      </c>
    </row>
    <row r="5714" spans="28:34">
      <c r="AB5714" s="580">
        <f>HLOOKUP("*"&amp;'Output annual'!$AC$2&amp;'Output annual'!$AD$2&amp;"*Zone People Number Of Occupants [](Hourly)",'Eplus results'!$1:$1048576,ROW(),FALSE)</f>
        <v>0</v>
      </c>
      <c r="AC5714" s="580">
        <f>HLOOKUP("*"&amp;'Output annual'!$AC$2&amp;'Output annual'!$AD$2&amp;"*FangerPMV(Hourly)",'Eplus results'!$1:$1048576,ROW(),FALSE)</f>
        <v>0</v>
      </c>
      <c r="AD5714" s="580">
        <f t="shared" si="481"/>
        <v>5</v>
      </c>
      <c r="AE5714" s="580">
        <f t="shared" si="482"/>
        <v>2.5</v>
      </c>
      <c r="AF5714" s="580">
        <f t="shared" si="483"/>
        <v>2.5</v>
      </c>
      <c r="AG5714" s="580">
        <f t="shared" si="484"/>
        <v>0</v>
      </c>
      <c r="AH5714" s="580">
        <f t="shared" si="485"/>
        <v>0</v>
      </c>
    </row>
    <row r="5715" spans="28:34">
      <c r="AB5715" s="580">
        <f>HLOOKUP("*"&amp;'Output annual'!$AC$2&amp;'Output annual'!$AD$2&amp;"*Zone People Number Of Occupants [](Hourly)",'Eplus results'!$1:$1048576,ROW(),FALSE)</f>
        <v>0</v>
      </c>
      <c r="AC5715" s="580">
        <f>HLOOKUP("*"&amp;'Output annual'!$AC$2&amp;'Output annual'!$AD$2&amp;"*FangerPMV(Hourly)",'Eplus results'!$1:$1048576,ROW(),FALSE)</f>
        <v>0</v>
      </c>
      <c r="AD5715" s="580">
        <f t="shared" si="481"/>
        <v>5</v>
      </c>
      <c r="AE5715" s="580">
        <f t="shared" si="482"/>
        <v>2.5</v>
      </c>
      <c r="AF5715" s="580">
        <f t="shared" si="483"/>
        <v>2.5</v>
      </c>
      <c r="AG5715" s="580">
        <f t="shared" si="484"/>
        <v>0</v>
      </c>
      <c r="AH5715" s="580">
        <f t="shared" si="485"/>
        <v>0</v>
      </c>
    </row>
    <row r="5716" spans="28:34">
      <c r="AB5716" s="580">
        <f>HLOOKUP("*"&amp;'Output annual'!$AC$2&amp;'Output annual'!$AD$2&amp;"*Zone People Number Of Occupants [](Hourly)",'Eplus results'!$1:$1048576,ROW(),FALSE)</f>
        <v>0</v>
      </c>
      <c r="AC5716" s="580">
        <f>HLOOKUP("*"&amp;'Output annual'!$AC$2&amp;'Output annual'!$AD$2&amp;"*FangerPMV(Hourly)",'Eplus results'!$1:$1048576,ROW(),FALSE)</f>
        <v>0</v>
      </c>
      <c r="AD5716" s="580">
        <f t="shared" si="481"/>
        <v>5</v>
      </c>
      <c r="AE5716" s="580">
        <f t="shared" si="482"/>
        <v>2.5</v>
      </c>
      <c r="AF5716" s="580">
        <f t="shared" si="483"/>
        <v>2.5</v>
      </c>
      <c r="AG5716" s="580">
        <f t="shared" si="484"/>
        <v>0</v>
      </c>
      <c r="AH5716" s="580">
        <f t="shared" si="485"/>
        <v>0</v>
      </c>
    </row>
    <row r="5717" spans="28:34">
      <c r="AB5717" s="580">
        <f>HLOOKUP("*"&amp;'Output annual'!$AC$2&amp;'Output annual'!$AD$2&amp;"*Zone People Number Of Occupants [](Hourly)",'Eplus results'!$1:$1048576,ROW(),FALSE)</f>
        <v>0</v>
      </c>
      <c r="AC5717" s="580">
        <f>HLOOKUP("*"&amp;'Output annual'!$AC$2&amp;'Output annual'!$AD$2&amp;"*FangerPMV(Hourly)",'Eplus results'!$1:$1048576,ROW(),FALSE)</f>
        <v>0</v>
      </c>
      <c r="AD5717" s="580">
        <f t="shared" si="481"/>
        <v>5</v>
      </c>
      <c r="AE5717" s="580">
        <f t="shared" si="482"/>
        <v>2.5</v>
      </c>
      <c r="AF5717" s="580">
        <f t="shared" si="483"/>
        <v>2.5</v>
      </c>
      <c r="AG5717" s="580">
        <f t="shared" si="484"/>
        <v>0</v>
      </c>
      <c r="AH5717" s="580">
        <f t="shared" si="485"/>
        <v>0</v>
      </c>
    </row>
    <row r="5718" spans="28:34">
      <c r="AB5718" s="580">
        <f>HLOOKUP("*"&amp;'Output annual'!$AC$2&amp;'Output annual'!$AD$2&amp;"*Zone People Number Of Occupants [](Hourly)",'Eplus results'!$1:$1048576,ROW(),FALSE)</f>
        <v>0</v>
      </c>
      <c r="AC5718" s="580">
        <f>HLOOKUP("*"&amp;'Output annual'!$AC$2&amp;'Output annual'!$AD$2&amp;"*FangerPMV(Hourly)",'Eplus results'!$1:$1048576,ROW(),FALSE)</f>
        <v>0</v>
      </c>
      <c r="AD5718" s="580">
        <f t="shared" si="481"/>
        <v>5</v>
      </c>
      <c r="AE5718" s="580">
        <f t="shared" si="482"/>
        <v>2.5</v>
      </c>
      <c r="AF5718" s="580">
        <f t="shared" si="483"/>
        <v>2.5</v>
      </c>
      <c r="AG5718" s="580">
        <f t="shared" si="484"/>
        <v>0</v>
      </c>
      <c r="AH5718" s="580">
        <f t="shared" si="485"/>
        <v>0</v>
      </c>
    </row>
    <row r="5719" spans="28:34">
      <c r="AB5719" s="580">
        <f>HLOOKUP("*"&amp;'Output annual'!$AC$2&amp;'Output annual'!$AD$2&amp;"*Zone People Number Of Occupants [](Hourly)",'Eplus results'!$1:$1048576,ROW(),FALSE)</f>
        <v>0</v>
      </c>
      <c r="AC5719" s="580">
        <f>HLOOKUP("*"&amp;'Output annual'!$AC$2&amp;'Output annual'!$AD$2&amp;"*FangerPMV(Hourly)",'Eplus results'!$1:$1048576,ROW(),FALSE)</f>
        <v>0</v>
      </c>
      <c r="AD5719" s="580">
        <f t="shared" si="481"/>
        <v>5</v>
      </c>
      <c r="AE5719" s="580">
        <f t="shared" si="482"/>
        <v>2.5</v>
      </c>
      <c r="AF5719" s="580">
        <f t="shared" si="483"/>
        <v>2.5</v>
      </c>
      <c r="AG5719" s="580">
        <f t="shared" si="484"/>
        <v>0</v>
      </c>
      <c r="AH5719" s="580">
        <f t="shared" si="485"/>
        <v>0</v>
      </c>
    </row>
    <row r="5720" spans="28:34">
      <c r="AB5720" s="580">
        <f>HLOOKUP("*"&amp;'Output annual'!$AC$2&amp;'Output annual'!$AD$2&amp;"*Zone People Number Of Occupants [](Hourly)",'Eplus results'!$1:$1048576,ROW(),FALSE)</f>
        <v>0</v>
      </c>
      <c r="AC5720" s="580">
        <f>HLOOKUP("*"&amp;'Output annual'!$AC$2&amp;'Output annual'!$AD$2&amp;"*FangerPMV(Hourly)",'Eplus results'!$1:$1048576,ROW(),FALSE)</f>
        <v>0</v>
      </c>
      <c r="AD5720" s="580">
        <f t="shared" si="481"/>
        <v>5</v>
      </c>
      <c r="AE5720" s="580">
        <f t="shared" si="482"/>
        <v>2.5</v>
      </c>
      <c r="AF5720" s="580">
        <f t="shared" si="483"/>
        <v>2.5</v>
      </c>
      <c r="AG5720" s="580">
        <f t="shared" si="484"/>
        <v>0</v>
      </c>
      <c r="AH5720" s="580">
        <f t="shared" si="485"/>
        <v>0</v>
      </c>
    </row>
    <row r="5721" spans="28:34">
      <c r="AB5721" s="580">
        <f>HLOOKUP("*"&amp;'Output annual'!$AC$2&amp;'Output annual'!$AD$2&amp;"*Zone People Number Of Occupants [](Hourly)",'Eplus results'!$1:$1048576,ROW(),FALSE)</f>
        <v>0</v>
      </c>
      <c r="AC5721" s="580">
        <f>HLOOKUP("*"&amp;'Output annual'!$AC$2&amp;'Output annual'!$AD$2&amp;"*FangerPMV(Hourly)",'Eplus results'!$1:$1048576,ROW(),FALSE)</f>
        <v>0</v>
      </c>
      <c r="AD5721" s="580">
        <f t="shared" si="481"/>
        <v>5</v>
      </c>
      <c r="AE5721" s="580">
        <f t="shared" si="482"/>
        <v>2.5</v>
      </c>
      <c r="AF5721" s="580">
        <f t="shared" si="483"/>
        <v>2.5</v>
      </c>
      <c r="AG5721" s="580">
        <f t="shared" si="484"/>
        <v>0</v>
      </c>
      <c r="AH5721" s="580">
        <f t="shared" si="485"/>
        <v>0</v>
      </c>
    </row>
    <row r="5722" spans="28:34">
      <c r="AB5722" s="580">
        <f>HLOOKUP("*"&amp;'Output annual'!$AC$2&amp;'Output annual'!$AD$2&amp;"*Zone People Number Of Occupants [](Hourly)",'Eplus results'!$1:$1048576,ROW(),FALSE)</f>
        <v>0</v>
      </c>
      <c r="AC5722" s="580">
        <f>HLOOKUP("*"&amp;'Output annual'!$AC$2&amp;'Output annual'!$AD$2&amp;"*FangerPMV(Hourly)",'Eplus results'!$1:$1048576,ROW(),FALSE)</f>
        <v>0</v>
      </c>
      <c r="AD5722" s="580">
        <f t="shared" si="481"/>
        <v>5</v>
      </c>
      <c r="AE5722" s="580">
        <f t="shared" si="482"/>
        <v>2.5</v>
      </c>
      <c r="AF5722" s="580">
        <f t="shared" si="483"/>
        <v>2.5</v>
      </c>
      <c r="AG5722" s="580">
        <f t="shared" si="484"/>
        <v>0</v>
      </c>
      <c r="AH5722" s="580">
        <f t="shared" si="485"/>
        <v>0</v>
      </c>
    </row>
    <row r="5723" spans="28:34">
      <c r="AB5723" s="580">
        <f>HLOOKUP("*"&amp;'Output annual'!$AC$2&amp;'Output annual'!$AD$2&amp;"*Zone People Number Of Occupants [](Hourly)",'Eplus results'!$1:$1048576,ROW(),FALSE)</f>
        <v>0</v>
      </c>
      <c r="AC5723" s="580">
        <f>HLOOKUP("*"&amp;'Output annual'!$AC$2&amp;'Output annual'!$AD$2&amp;"*FangerPMV(Hourly)",'Eplus results'!$1:$1048576,ROW(),FALSE)</f>
        <v>0</v>
      </c>
      <c r="AD5723" s="580">
        <f t="shared" si="481"/>
        <v>5</v>
      </c>
      <c r="AE5723" s="580">
        <f t="shared" si="482"/>
        <v>2.5</v>
      </c>
      <c r="AF5723" s="580">
        <f t="shared" si="483"/>
        <v>2.5</v>
      </c>
      <c r="AG5723" s="580">
        <f t="shared" si="484"/>
        <v>0</v>
      </c>
      <c r="AH5723" s="580">
        <f t="shared" si="485"/>
        <v>0</v>
      </c>
    </row>
    <row r="5724" spans="28:34">
      <c r="AB5724" s="580">
        <f>HLOOKUP("*"&amp;'Output annual'!$AC$2&amp;'Output annual'!$AD$2&amp;"*Zone People Number Of Occupants [](Hourly)",'Eplus results'!$1:$1048576,ROW(),FALSE)</f>
        <v>0</v>
      </c>
      <c r="AC5724" s="580">
        <f>HLOOKUP("*"&amp;'Output annual'!$AC$2&amp;'Output annual'!$AD$2&amp;"*FangerPMV(Hourly)",'Eplus results'!$1:$1048576,ROW(),FALSE)</f>
        <v>0</v>
      </c>
      <c r="AD5724" s="580">
        <f t="shared" si="481"/>
        <v>5</v>
      </c>
      <c r="AE5724" s="580">
        <f t="shared" si="482"/>
        <v>2.5</v>
      </c>
      <c r="AF5724" s="580">
        <f t="shared" si="483"/>
        <v>2.5</v>
      </c>
      <c r="AG5724" s="580">
        <f t="shared" si="484"/>
        <v>0</v>
      </c>
      <c r="AH5724" s="580">
        <f t="shared" si="485"/>
        <v>0</v>
      </c>
    </row>
    <row r="5725" spans="28:34">
      <c r="AB5725" s="580">
        <f>HLOOKUP("*"&amp;'Output annual'!$AC$2&amp;'Output annual'!$AD$2&amp;"*Zone People Number Of Occupants [](Hourly)",'Eplus results'!$1:$1048576,ROW(),FALSE)</f>
        <v>0</v>
      </c>
      <c r="AC5725" s="580">
        <f>HLOOKUP("*"&amp;'Output annual'!$AC$2&amp;'Output annual'!$AD$2&amp;"*FangerPMV(Hourly)",'Eplus results'!$1:$1048576,ROW(),FALSE)</f>
        <v>0</v>
      </c>
      <c r="AD5725" s="580">
        <f t="shared" si="481"/>
        <v>5</v>
      </c>
      <c r="AE5725" s="580">
        <f t="shared" si="482"/>
        <v>2.5</v>
      </c>
      <c r="AF5725" s="580">
        <f t="shared" si="483"/>
        <v>2.5</v>
      </c>
      <c r="AG5725" s="580">
        <f t="shared" si="484"/>
        <v>0</v>
      </c>
      <c r="AH5725" s="580">
        <f t="shared" si="485"/>
        <v>0</v>
      </c>
    </row>
    <row r="5726" spans="28:34">
      <c r="AB5726" s="580">
        <f>HLOOKUP("*"&amp;'Output annual'!$AC$2&amp;'Output annual'!$AD$2&amp;"*Zone People Number Of Occupants [](Hourly)",'Eplus results'!$1:$1048576,ROW(),FALSE)</f>
        <v>0</v>
      </c>
      <c r="AC5726" s="580">
        <f>HLOOKUP("*"&amp;'Output annual'!$AC$2&amp;'Output annual'!$AD$2&amp;"*FangerPMV(Hourly)",'Eplus results'!$1:$1048576,ROW(),FALSE)</f>
        <v>0</v>
      </c>
      <c r="AD5726" s="580">
        <f t="shared" si="481"/>
        <v>5</v>
      </c>
      <c r="AE5726" s="580">
        <f t="shared" si="482"/>
        <v>2.5</v>
      </c>
      <c r="AF5726" s="580">
        <f t="shared" si="483"/>
        <v>2.5</v>
      </c>
      <c r="AG5726" s="580">
        <f t="shared" si="484"/>
        <v>0</v>
      </c>
      <c r="AH5726" s="580">
        <f t="shared" si="485"/>
        <v>0</v>
      </c>
    </row>
    <row r="5727" spans="28:34">
      <c r="AB5727" s="580">
        <f>HLOOKUP("*"&amp;'Output annual'!$AC$2&amp;'Output annual'!$AD$2&amp;"*Zone People Number Of Occupants [](Hourly)",'Eplus results'!$1:$1048576,ROW(),FALSE)</f>
        <v>0</v>
      </c>
      <c r="AC5727" s="580">
        <f>HLOOKUP("*"&amp;'Output annual'!$AC$2&amp;'Output annual'!$AD$2&amp;"*FangerPMV(Hourly)",'Eplus results'!$1:$1048576,ROW(),FALSE)</f>
        <v>0</v>
      </c>
      <c r="AD5727" s="580">
        <f t="shared" si="481"/>
        <v>5</v>
      </c>
      <c r="AE5727" s="580">
        <f t="shared" si="482"/>
        <v>2.5</v>
      </c>
      <c r="AF5727" s="580">
        <f t="shared" si="483"/>
        <v>2.5</v>
      </c>
      <c r="AG5727" s="580">
        <f t="shared" si="484"/>
        <v>0</v>
      </c>
      <c r="AH5727" s="580">
        <f t="shared" si="485"/>
        <v>0</v>
      </c>
    </row>
    <row r="5728" spans="28:34">
      <c r="AB5728" s="580">
        <f>HLOOKUP("*"&amp;'Output annual'!$AC$2&amp;'Output annual'!$AD$2&amp;"*Zone People Number Of Occupants [](Hourly)",'Eplus results'!$1:$1048576,ROW(),FALSE)</f>
        <v>0</v>
      </c>
      <c r="AC5728" s="580">
        <f>HLOOKUP("*"&amp;'Output annual'!$AC$2&amp;'Output annual'!$AD$2&amp;"*FangerPMV(Hourly)",'Eplus results'!$1:$1048576,ROW(),FALSE)</f>
        <v>0</v>
      </c>
      <c r="AD5728" s="580">
        <f t="shared" si="481"/>
        <v>5</v>
      </c>
      <c r="AE5728" s="580">
        <f t="shared" si="482"/>
        <v>2.5</v>
      </c>
      <c r="AF5728" s="580">
        <f t="shared" si="483"/>
        <v>2.5</v>
      </c>
      <c r="AG5728" s="580">
        <f t="shared" si="484"/>
        <v>0</v>
      </c>
      <c r="AH5728" s="580">
        <f t="shared" si="485"/>
        <v>0</v>
      </c>
    </row>
    <row r="5729" spans="28:34">
      <c r="AB5729" s="580">
        <f>HLOOKUP("*"&amp;'Output annual'!$AC$2&amp;'Output annual'!$AD$2&amp;"*Zone People Number Of Occupants [](Hourly)",'Eplus results'!$1:$1048576,ROW(),FALSE)</f>
        <v>0</v>
      </c>
      <c r="AC5729" s="580">
        <f>HLOOKUP("*"&amp;'Output annual'!$AC$2&amp;'Output annual'!$AD$2&amp;"*FangerPMV(Hourly)",'Eplus results'!$1:$1048576,ROW(),FALSE)</f>
        <v>0</v>
      </c>
      <c r="AD5729" s="580">
        <f t="shared" si="481"/>
        <v>5</v>
      </c>
      <c r="AE5729" s="580">
        <f t="shared" si="482"/>
        <v>2.5</v>
      </c>
      <c r="AF5729" s="580">
        <f t="shared" si="483"/>
        <v>2.5</v>
      </c>
      <c r="AG5729" s="580">
        <f t="shared" si="484"/>
        <v>0</v>
      </c>
      <c r="AH5729" s="580">
        <f t="shared" si="485"/>
        <v>0</v>
      </c>
    </row>
    <row r="5730" spans="28:34">
      <c r="AB5730" s="580">
        <f>HLOOKUP("*"&amp;'Output annual'!$AC$2&amp;'Output annual'!$AD$2&amp;"*Zone People Number Of Occupants [](Hourly)",'Eplus results'!$1:$1048576,ROW(),FALSE)</f>
        <v>0</v>
      </c>
      <c r="AC5730" s="580">
        <f>HLOOKUP("*"&amp;'Output annual'!$AC$2&amp;'Output annual'!$AD$2&amp;"*FangerPMV(Hourly)",'Eplus results'!$1:$1048576,ROW(),FALSE)</f>
        <v>0</v>
      </c>
      <c r="AD5730" s="580">
        <f t="shared" si="481"/>
        <v>5</v>
      </c>
      <c r="AE5730" s="580">
        <f t="shared" si="482"/>
        <v>2.5</v>
      </c>
      <c r="AF5730" s="580">
        <f t="shared" si="483"/>
        <v>2.5</v>
      </c>
      <c r="AG5730" s="580">
        <f t="shared" si="484"/>
        <v>0</v>
      </c>
      <c r="AH5730" s="580">
        <f t="shared" si="485"/>
        <v>0</v>
      </c>
    </row>
    <row r="5731" spans="28:34">
      <c r="AB5731" s="580">
        <f>HLOOKUP("*"&amp;'Output annual'!$AC$2&amp;'Output annual'!$AD$2&amp;"*Zone People Number Of Occupants [](Hourly)",'Eplus results'!$1:$1048576,ROW(),FALSE)</f>
        <v>0</v>
      </c>
      <c r="AC5731" s="580">
        <f>HLOOKUP("*"&amp;'Output annual'!$AC$2&amp;'Output annual'!$AD$2&amp;"*FangerPMV(Hourly)",'Eplus results'!$1:$1048576,ROW(),FALSE)</f>
        <v>0</v>
      </c>
      <c r="AD5731" s="580">
        <f t="shared" si="481"/>
        <v>5</v>
      </c>
      <c r="AE5731" s="580">
        <f t="shared" si="482"/>
        <v>2.5</v>
      </c>
      <c r="AF5731" s="580">
        <f t="shared" si="483"/>
        <v>2.5</v>
      </c>
      <c r="AG5731" s="580">
        <f t="shared" si="484"/>
        <v>0</v>
      </c>
      <c r="AH5731" s="580">
        <f t="shared" si="485"/>
        <v>0</v>
      </c>
    </row>
    <row r="5732" spans="28:34">
      <c r="AB5732" s="580">
        <f>HLOOKUP("*"&amp;'Output annual'!$AC$2&amp;'Output annual'!$AD$2&amp;"*Zone People Number Of Occupants [](Hourly)",'Eplus results'!$1:$1048576,ROW(),FALSE)</f>
        <v>0</v>
      </c>
      <c r="AC5732" s="580">
        <f>HLOOKUP("*"&amp;'Output annual'!$AC$2&amp;'Output annual'!$AD$2&amp;"*FangerPMV(Hourly)",'Eplus results'!$1:$1048576,ROW(),FALSE)</f>
        <v>0</v>
      </c>
      <c r="AD5732" s="580">
        <f t="shared" si="481"/>
        <v>5</v>
      </c>
      <c r="AE5732" s="580">
        <f t="shared" si="482"/>
        <v>2.5</v>
      </c>
      <c r="AF5732" s="580">
        <f t="shared" si="483"/>
        <v>2.5</v>
      </c>
      <c r="AG5732" s="580">
        <f t="shared" si="484"/>
        <v>0</v>
      </c>
      <c r="AH5732" s="580">
        <f t="shared" si="485"/>
        <v>0</v>
      </c>
    </row>
    <row r="5733" spans="28:34">
      <c r="AB5733" s="580">
        <f>HLOOKUP("*"&amp;'Output annual'!$AC$2&amp;'Output annual'!$AD$2&amp;"*Zone People Number Of Occupants [](Hourly)",'Eplus results'!$1:$1048576,ROW(),FALSE)</f>
        <v>0</v>
      </c>
      <c r="AC5733" s="580">
        <f>HLOOKUP("*"&amp;'Output annual'!$AC$2&amp;'Output annual'!$AD$2&amp;"*FangerPMV(Hourly)",'Eplus results'!$1:$1048576,ROW(),FALSE)</f>
        <v>0</v>
      </c>
      <c r="AD5733" s="580">
        <f t="shared" si="481"/>
        <v>5</v>
      </c>
      <c r="AE5733" s="580">
        <f t="shared" si="482"/>
        <v>2.5</v>
      </c>
      <c r="AF5733" s="580">
        <f t="shared" si="483"/>
        <v>2.5</v>
      </c>
      <c r="AG5733" s="580">
        <f t="shared" si="484"/>
        <v>0</v>
      </c>
      <c r="AH5733" s="580">
        <f t="shared" si="485"/>
        <v>0</v>
      </c>
    </row>
    <row r="5734" spans="28:34">
      <c r="AB5734" s="580">
        <f>HLOOKUP("*"&amp;'Output annual'!$AC$2&amp;'Output annual'!$AD$2&amp;"*Zone People Number Of Occupants [](Hourly)",'Eplus results'!$1:$1048576,ROW(),FALSE)</f>
        <v>0</v>
      </c>
      <c r="AC5734" s="580">
        <f>HLOOKUP("*"&amp;'Output annual'!$AC$2&amp;'Output annual'!$AD$2&amp;"*FangerPMV(Hourly)",'Eplus results'!$1:$1048576,ROW(),FALSE)</f>
        <v>0</v>
      </c>
      <c r="AD5734" s="580">
        <f t="shared" si="481"/>
        <v>5</v>
      </c>
      <c r="AE5734" s="580">
        <f t="shared" si="482"/>
        <v>2.5</v>
      </c>
      <c r="AF5734" s="580">
        <f t="shared" si="483"/>
        <v>2.5</v>
      </c>
      <c r="AG5734" s="580">
        <f t="shared" si="484"/>
        <v>0</v>
      </c>
      <c r="AH5734" s="580">
        <f t="shared" si="485"/>
        <v>0</v>
      </c>
    </row>
    <row r="5735" spans="28:34">
      <c r="AB5735" s="580">
        <f>HLOOKUP("*"&amp;'Output annual'!$AC$2&amp;'Output annual'!$AD$2&amp;"*Zone People Number Of Occupants [](Hourly)",'Eplus results'!$1:$1048576,ROW(),FALSE)</f>
        <v>0</v>
      </c>
      <c r="AC5735" s="580">
        <f>HLOOKUP("*"&amp;'Output annual'!$AC$2&amp;'Output annual'!$AD$2&amp;"*FangerPMV(Hourly)",'Eplus results'!$1:$1048576,ROW(),FALSE)</f>
        <v>0</v>
      </c>
      <c r="AD5735" s="580">
        <f t="shared" si="481"/>
        <v>5</v>
      </c>
      <c r="AE5735" s="580">
        <f t="shared" si="482"/>
        <v>2.5</v>
      </c>
      <c r="AF5735" s="580">
        <f t="shared" si="483"/>
        <v>2.5</v>
      </c>
      <c r="AG5735" s="580">
        <f t="shared" si="484"/>
        <v>0</v>
      </c>
      <c r="AH5735" s="580">
        <f t="shared" si="485"/>
        <v>0</v>
      </c>
    </row>
    <row r="5736" spans="28:34">
      <c r="AB5736" s="580">
        <f>HLOOKUP("*"&amp;'Output annual'!$AC$2&amp;'Output annual'!$AD$2&amp;"*Zone People Number Of Occupants [](Hourly)",'Eplus results'!$1:$1048576,ROW(),FALSE)</f>
        <v>0</v>
      </c>
      <c r="AC5736" s="580">
        <f>HLOOKUP("*"&amp;'Output annual'!$AC$2&amp;'Output annual'!$AD$2&amp;"*FangerPMV(Hourly)",'Eplus results'!$1:$1048576,ROW(),FALSE)</f>
        <v>0</v>
      </c>
      <c r="AD5736" s="580">
        <f t="shared" si="481"/>
        <v>5</v>
      </c>
      <c r="AE5736" s="580">
        <f t="shared" si="482"/>
        <v>2.5</v>
      </c>
      <c r="AF5736" s="580">
        <f t="shared" si="483"/>
        <v>2.5</v>
      </c>
      <c r="AG5736" s="580">
        <f t="shared" si="484"/>
        <v>0</v>
      </c>
      <c r="AH5736" s="580">
        <f t="shared" si="485"/>
        <v>0</v>
      </c>
    </row>
    <row r="5737" spans="28:34">
      <c r="AB5737" s="580">
        <f>HLOOKUP("*"&amp;'Output annual'!$AC$2&amp;'Output annual'!$AD$2&amp;"*Zone People Number Of Occupants [](Hourly)",'Eplus results'!$1:$1048576,ROW(),FALSE)</f>
        <v>0</v>
      </c>
      <c r="AC5737" s="580">
        <f>HLOOKUP("*"&amp;'Output annual'!$AC$2&amp;'Output annual'!$AD$2&amp;"*FangerPMV(Hourly)",'Eplus results'!$1:$1048576,ROW(),FALSE)</f>
        <v>0</v>
      </c>
      <c r="AD5737" s="580">
        <f t="shared" si="481"/>
        <v>5</v>
      </c>
      <c r="AE5737" s="580">
        <f t="shared" si="482"/>
        <v>2.5</v>
      </c>
      <c r="AF5737" s="580">
        <f t="shared" si="483"/>
        <v>2.5</v>
      </c>
      <c r="AG5737" s="580">
        <f t="shared" si="484"/>
        <v>0</v>
      </c>
      <c r="AH5737" s="580">
        <f t="shared" si="485"/>
        <v>0</v>
      </c>
    </row>
    <row r="5738" spans="28:34">
      <c r="AB5738" s="580">
        <f>HLOOKUP("*"&amp;'Output annual'!$AC$2&amp;'Output annual'!$AD$2&amp;"*Zone People Number Of Occupants [](Hourly)",'Eplus results'!$1:$1048576,ROW(),FALSE)</f>
        <v>0</v>
      </c>
      <c r="AC5738" s="580">
        <f>HLOOKUP("*"&amp;'Output annual'!$AC$2&amp;'Output annual'!$AD$2&amp;"*FangerPMV(Hourly)",'Eplus results'!$1:$1048576,ROW(),FALSE)</f>
        <v>0</v>
      </c>
      <c r="AD5738" s="580">
        <f t="shared" si="481"/>
        <v>5</v>
      </c>
      <c r="AE5738" s="580">
        <f t="shared" si="482"/>
        <v>2.5</v>
      </c>
      <c r="AF5738" s="580">
        <f t="shared" si="483"/>
        <v>2.5</v>
      </c>
      <c r="AG5738" s="580">
        <f t="shared" si="484"/>
        <v>0</v>
      </c>
      <c r="AH5738" s="580">
        <f t="shared" si="485"/>
        <v>0</v>
      </c>
    </row>
    <row r="5739" spans="28:34">
      <c r="AB5739" s="580">
        <f>HLOOKUP("*"&amp;'Output annual'!$AC$2&amp;'Output annual'!$AD$2&amp;"*Zone People Number Of Occupants [](Hourly)",'Eplus results'!$1:$1048576,ROW(),FALSE)</f>
        <v>0</v>
      </c>
      <c r="AC5739" s="580">
        <f>HLOOKUP("*"&amp;'Output annual'!$AC$2&amp;'Output annual'!$AD$2&amp;"*FangerPMV(Hourly)",'Eplus results'!$1:$1048576,ROW(),FALSE)</f>
        <v>0</v>
      </c>
      <c r="AD5739" s="580">
        <f t="shared" si="481"/>
        <v>5</v>
      </c>
      <c r="AE5739" s="580">
        <f t="shared" si="482"/>
        <v>2.5</v>
      </c>
      <c r="AF5739" s="580">
        <f t="shared" si="483"/>
        <v>2.5</v>
      </c>
      <c r="AG5739" s="580">
        <f t="shared" si="484"/>
        <v>0</v>
      </c>
      <c r="AH5739" s="580">
        <f t="shared" si="485"/>
        <v>0</v>
      </c>
    </row>
    <row r="5740" spans="28:34">
      <c r="AB5740" s="580">
        <f>HLOOKUP("*"&amp;'Output annual'!$AC$2&amp;'Output annual'!$AD$2&amp;"*Zone People Number Of Occupants [](Hourly)",'Eplus results'!$1:$1048576,ROW(),FALSE)</f>
        <v>0</v>
      </c>
      <c r="AC5740" s="580">
        <f>HLOOKUP("*"&amp;'Output annual'!$AC$2&amp;'Output annual'!$AD$2&amp;"*FangerPMV(Hourly)",'Eplus results'!$1:$1048576,ROW(),FALSE)</f>
        <v>0</v>
      </c>
      <c r="AD5740" s="580">
        <f t="shared" si="481"/>
        <v>5</v>
      </c>
      <c r="AE5740" s="580">
        <f t="shared" si="482"/>
        <v>2.5</v>
      </c>
      <c r="AF5740" s="580">
        <f t="shared" si="483"/>
        <v>2.5</v>
      </c>
      <c r="AG5740" s="580">
        <f t="shared" si="484"/>
        <v>0</v>
      </c>
      <c r="AH5740" s="580">
        <f t="shared" si="485"/>
        <v>0</v>
      </c>
    </row>
    <row r="5741" spans="28:34">
      <c r="AB5741" s="580">
        <f>HLOOKUP("*"&amp;'Output annual'!$AC$2&amp;'Output annual'!$AD$2&amp;"*Zone People Number Of Occupants [](Hourly)",'Eplus results'!$1:$1048576,ROW(),FALSE)</f>
        <v>0</v>
      </c>
      <c r="AC5741" s="580">
        <f>HLOOKUP("*"&amp;'Output annual'!$AC$2&amp;'Output annual'!$AD$2&amp;"*FangerPMV(Hourly)",'Eplus results'!$1:$1048576,ROW(),FALSE)</f>
        <v>0</v>
      </c>
      <c r="AD5741" s="580">
        <f t="shared" si="481"/>
        <v>5</v>
      </c>
      <c r="AE5741" s="580">
        <f t="shared" si="482"/>
        <v>2.5</v>
      </c>
      <c r="AF5741" s="580">
        <f t="shared" si="483"/>
        <v>2.5</v>
      </c>
      <c r="AG5741" s="580">
        <f t="shared" si="484"/>
        <v>0</v>
      </c>
      <c r="AH5741" s="580">
        <f t="shared" si="485"/>
        <v>0</v>
      </c>
    </row>
    <row r="5742" spans="28:34">
      <c r="AB5742" s="580">
        <f>HLOOKUP("*"&amp;'Output annual'!$AC$2&amp;'Output annual'!$AD$2&amp;"*Zone People Number Of Occupants [](Hourly)",'Eplus results'!$1:$1048576,ROW(),FALSE)</f>
        <v>0</v>
      </c>
      <c r="AC5742" s="580">
        <f>HLOOKUP("*"&amp;'Output annual'!$AC$2&amp;'Output annual'!$AD$2&amp;"*FangerPMV(Hourly)",'Eplus results'!$1:$1048576,ROW(),FALSE)</f>
        <v>0</v>
      </c>
      <c r="AD5742" s="580">
        <f t="shared" si="481"/>
        <v>5</v>
      </c>
      <c r="AE5742" s="580">
        <f t="shared" si="482"/>
        <v>2.5</v>
      </c>
      <c r="AF5742" s="580">
        <f t="shared" si="483"/>
        <v>2.5</v>
      </c>
      <c r="AG5742" s="580">
        <f t="shared" si="484"/>
        <v>0</v>
      </c>
      <c r="AH5742" s="580">
        <f t="shared" si="485"/>
        <v>0</v>
      </c>
    </row>
    <row r="5743" spans="28:34">
      <c r="AB5743" s="580">
        <f>HLOOKUP("*"&amp;'Output annual'!$AC$2&amp;'Output annual'!$AD$2&amp;"*Zone People Number Of Occupants [](Hourly)",'Eplus results'!$1:$1048576,ROW(),FALSE)</f>
        <v>0</v>
      </c>
      <c r="AC5743" s="580">
        <f>HLOOKUP("*"&amp;'Output annual'!$AC$2&amp;'Output annual'!$AD$2&amp;"*FangerPMV(Hourly)",'Eplus results'!$1:$1048576,ROW(),FALSE)</f>
        <v>0</v>
      </c>
      <c r="AD5743" s="580">
        <f t="shared" si="481"/>
        <v>5</v>
      </c>
      <c r="AE5743" s="580">
        <f t="shared" si="482"/>
        <v>2.5</v>
      </c>
      <c r="AF5743" s="580">
        <f t="shared" si="483"/>
        <v>2.5</v>
      </c>
      <c r="AG5743" s="580">
        <f t="shared" si="484"/>
        <v>0</v>
      </c>
      <c r="AH5743" s="580">
        <f t="shared" si="485"/>
        <v>0</v>
      </c>
    </row>
    <row r="5744" spans="28:34">
      <c r="AB5744" s="580">
        <f>HLOOKUP("*"&amp;'Output annual'!$AC$2&amp;'Output annual'!$AD$2&amp;"*Zone People Number Of Occupants [](Hourly)",'Eplus results'!$1:$1048576,ROW(),FALSE)</f>
        <v>0</v>
      </c>
      <c r="AC5744" s="580">
        <f>HLOOKUP("*"&amp;'Output annual'!$AC$2&amp;'Output annual'!$AD$2&amp;"*FangerPMV(Hourly)",'Eplus results'!$1:$1048576,ROW(),FALSE)</f>
        <v>0</v>
      </c>
      <c r="AD5744" s="580">
        <f t="shared" si="481"/>
        <v>5</v>
      </c>
      <c r="AE5744" s="580">
        <f t="shared" si="482"/>
        <v>2.5</v>
      </c>
      <c r="AF5744" s="580">
        <f t="shared" si="483"/>
        <v>2.5</v>
      </c>
      <c r="AG5744" s="580">
        <f t="shared" si="484"/>
        <v>0</v>
      </c>
      <c r="AH5744" s="580">
        <f t="shared" si="485"/>
        <v>0</v>
      </c>
    </row>
    <row r="5745" spans="28:34">
      <c r="AB5745" s="580">
        <f>HLOOKUP("*"&amp;'Output annual'!$AC$2&amp;'Output annual'!$AD$2&amp;"*Zone People Number Of Occupants [](Hourly)",'Eplus results'!$1:$1048576,ROW(),FALSE)</f>
        <v>0</v>
      </c>
      <c r="AC5745" s="580">
        <f>HLOOKUP("*"&amp;'Output annual'!$AC$2&amp;'Output annual'!$AD$2&amp;"*FangerPMV(Hourly)",'Eplus results'!$1:$1048576,ROW(),FALSE)</f>
        <v>0</v>
      </c>
      <c r="AD5745" s="580">
        <f t="shared" si="481"/>
        <v>5</v>
      </c>
      <c r="AE5745" s="580">
        <f t="shared" si="482"/>
        <v>2.5</v>
      </c>
      <c r="AF5745" s="580">
        <f t="shared" si="483"/>
        <v>2.5</v>
      </c>
      <c r="AG5745" s="580">
        <f t="shared" si="484"/>
        <v>0</v>
      </c>
      <c r="AH5745" s="580">
        <f t="shared" si="485"/>
        <v>0</v>
      </c>
    </row>
    <row r="5746" spans="28:34">
      <c r="AB5746" s="580">
        <f>HLOOKUP("*"&amp;'Output annual'!$AC$2&amp;'Output annual'!$AD$2&amp;"*Zone People Number Of Occupants [](Hourly)",'Eplus results'!$1:$1048576,ROW(),FALSE)</f>
        <v>0</v>
      </c>
      <c r="AC5746" s="580">
        <f>HLOOKUP("*"&amp;'Output annual'!$AC$2&amp;'Output annual'!$AD$2&amp;"*FangerPMV(Hourly)",'Eplus results'!$1:$1048576,ROW(),FALSE)</f>
        <v>0</v>
      </c>
      <c r="AD5746" s="580">
        <f t="shared" si="481"/>
        <v>5</v>
      </c>
      <c r="AE5746" s="580">
        <f t="shared" si="482"/>
        <v>2.5</v>
      </c>
      <c r="AF5746" s="580">
        <f t="shared" si="483"/>
        <v>2.5</v>
      </c>
      <c r="AG5746" s="580">
        <f t="shared" si="484"/>
        <v>0</v>
      </c>
      <c r="AH5746" s="580">
        <f t="shared" si="485"/>
        <v>0</v>
      </c>
    </row>
    <row r="5747" spans="28:34">
      <c r="AB5747" s="580">
        <f>HLOOKUP("*"&amp;'Output annual'!$AC$2&amp;'Output annual'!$AD$2&amp;"*Zone People Number Of Occupants [](Hourly)",'Eplus results'!$1:$1048576,ROW(),FALSE)</f>
        <v>0</v>
      </c>
      <c r="AC5747" s="580">
        <f>HLOOKUP("*"&amp;'Output annual'!$AC$2&amp;'Output annual'!$AD$2&amp;"*FangerPMV(Hourly)",'Eplus results'!$1:$1048576,ROW(),FALSE)</f>
        <v>0</v>
      </c>
      <c r="AD5747" s="580">
        <f t="shared" si="481"/>
        <v>5</v>
      </c>
      <c r="AE5747" s="580">
        <f t="shared" si="482"/>
        <v>2.5</v>
      </c>
      <c r="AF5747" s="580">
        <f t="shared" si="483"/>
        <v>2.5</v>
      </c>
      <c r="AG5747" s="580">
        <f t="shared" si="484"/>
        <v>0</v>
      </c>
      <c r="AH5747" s="580">
        <f t="shared" si="485"/>
        <v>0</v>
      </c>
    </row>
    <row r="5748" spans="28:34">
      <c r="AB5748" s="580">
        <f>HLOOKUP("*"&amp;'Output annual'!$AC$2&amp;'Output annual'!$AD$2&amp;"*Zone People Number Of Occupants [](Hourly)",'Eplus results'!$1:$1048576,ROW(),FALSE)</f>
        <v>0</v>
      </c>
      <c r="AC5748" s="580">
        <f>HLOOKUP("*"&amp;'Output annual'!$AC$2&amp;'Output annual'!$AD$2&amp;"*FangerPMV(Hourly)",'Eplus results'!$1:$1048576,ROW(),FALSE)</f>
        <v>0</v>
      </c>
      <c r="AD5748" s="580">
        <f t="shared" si="481"/>
        <v>5</v>
      </c>
      <c r="AE5748" s="580">
        <f t="shared" si="482"/>
        <v>2.5</v>
      </c>
      <c r="AF5748" s="580">
        <f t="shared" si="483"/>
        <v>2.5</v>
      </c>
      <c r="AG5748" s="580">
        <f t="shared" si="484"/>
        <v>0</v>
      </c>
      <c r="AH5748" s="580">
        <f t="shared" si="485"/>
        <v>0</v>
      </c>
    </row>
    <row r="5749" spans="28:34">
      <c r="AB5749" s="580">
        <f>HLOOKUP("*"&amp;'Output annual'!$AC$2&amp;'Output annual'!$AD$2&amp;"*Zone People Number Of Occupants [](Hourly)",'Eplus results'!$1:$1048576,ROW(),FALSE)</f>
        <v>0</v>
      </c>
      <c r="AC5749" s="580">
        <f>HLOOKUP("*"&amp;'Output annual'!$AC$2&amp;'Output annual'!$AD$2&amp;"*FangerPMV(Hourly)",'Eplus results'!$1:$1048576,ROW(),FALSE)</f>
        <v>0</v>
      </c>
      <c r="AD5749" s="580">
        <f t="shared" si="481"/>
        <v>5</v>
      </c>
      <c r="AE5749" s="580">
        <f t="shared" si="482"/>
        <v>2.5</v>
      </c>
      <c r="AF5749" s="580">
        <f t="shared" si="483"/>
        <v>2.5</v>
      </c>
      <c r="AG5749" s="580">
        <f t="shared" si="484"/>
        <v>0</v>
      </c>
      <c r="AH5749" s="580">
        <f t="shared" si="485"/>
        <v>0</v>
      </c>
    </row>
    <row r="5750" spans="28:34">
      <c r="AB5750" s="580">
        <f>HLOOKUP("*"&amp;'Output annual'!$AC$2&amp;'Output annual'!$AD$2&amp;"*Zone People Number Of Occupants [](Hourly)",'Eplus results'!$1:$1048576,ROW(),FALSE)</f>
        <v>0</v>
      </c>
      <c r="AC5750" s="580">
        <f>HLOOKUP("*"&amp;'Output annual'!$AC$2&amp;'Output annual'!$AD$2&amp;"*FangerPMV(Hourly)",'Eplus results'!$1:$1048576,ROW(),FALSE)</f>
        <v>0</v>
      </c>
      <c r="AD5750" s="580">
        <f t="shared" si="481"/>
        <v>5</v>
      </c>
      <c r="AE5750" s="580">
        <f t="shared" si="482"/>
        <v>2.5</v>
      </c>
      <c r="AF5750" s="580">
        <f t="shared" si="483"/>
        <v>2.5</v>
      </c>
      <c r="AG5750" s="580">
        <f t="shared" si="484"/>
        <v>0</v>
      </c>
      <c r="AH5750" s="580">
        <f t="shared" si="485"/>
        <v>0</v>
      </c>
    </row>
    <row r="5751" spans="28:34">
      <c r="AB5751" s="580">
        <f>HLOOKUP("*"&amp;'Output annual'!$AC$2&amp;'Output annual'!$AD$2&amp;"*Zone People Number Of Occupants [](Hourly)",'Eplus results'!$1:$1048576,ROW(),FALSE)</f>
        <v>0</v>
      </c>
      <c r="AC5751" s="580">
        <f>HLOOKUP("*"&amp;'Output annual'!$AC$2&amp;'Output annual'!$AD$2&amp;"*FangerPMV(Hourly)",'Eplus results'!$1:$1048576,ROW(),FALSE)</f>
        <v>0</v>
      </c>
      <c r="AD5751" s="580">
        <f t="shared" si="481"/>
        <v>5</v>
      </c>
      <c r="AE5751" s="580">
        <f t="shared" si="482"/>
        <v>2.5</v>
      </c>
      <c r="AF5751" s="580">
        <f t="shared" si="483"/>
        <v>2.5</v>
      </c>
      <c r="AG5751" s="580">
        <f t="shared" si="484"/>
        <v>0</v>
      </c>
      <c r="AH5751" s="580">
        <f t="shared" si="485"/>
        <v>0</v>
      </c>
    </row>
    <row r="5752" spans="28:34">
      <c r="AB5752" s="580">
        <f>HLOOKUP("*"&amp;'Output annual'!$AC$2&amp;'Output annual'!$AD$2&amp;"*Zone People Number Of Occupants [](Hourly)",'Eplus results'!$1:$1048576,ROW(),FALSE)</f>
        <v>0</v>
      </c>
      <c r="AC5752" s="580">
        <f>HLOOKUP("*"&amp;'Output annual'!$AC$2&amp;'Output annual'!$AD$2&amp;"*FangerPMV(Hourly)",'Eplus results'!$1:$1048576,ROW(),FALSE)</f>
        <v>0</v>
      </c>
      <c r="AD5752" s="580">
        <f t="shared" si="481"/>
        <v>5</v>
      </c>
      <c r="AE5752" s="580">
        <f t="shared" si="482"/>
        <v>2.5</v>
      </c>
      <c r="AF5752" s="580">
        <f t="shared" si="483"/>
        <v>2.5</v>
      </c>
      <c r="AG5752" s="580">
        <f t="shared" si="484"/>
        <v>0</v>
      </c>
      <c r="AH5752" s="580">
        <f t="shared" si="485"/>
        <v>0</v>
      </c>
    </row>
    <row r="5753" spans="28:34">
      <c r="AB5753" s="580">
        <f>HLOOKUP("*"&amp;'Output annual'!$AC$2&amp;'Output annual'!$AD$2&amp;"*Zone People Number Of Occupants [](Hourly)",'Eplus results'!$1:$1048576,ROW(),FALSE)</f>
        <v>0</v>
      </c>
      <c r="AC5753" s="580">
        <f>HLOOKUP("*"&amp;'Output annual'!$AC$2&amp;'Output annual'!$AD$2&amp;"*FangerPMV(Hourly)",'Eplus results'!$1:$1048576,ROW(),FALSE)</f>
        <v>0</v>
      </c>
      <c r="AD5753" s="580">
        <f t="shared" si="481"/>
        <v>5</v>
      </c>
      <c r="AE5753" s="580">
        <f t="shared" si="482"/>
        <v>2.5</v>
      </c>
      <c r="AF5753" s="580">
        <f t="shared" si="483"/>
        <v>2.5</v>
      </c>
      <c r="AG5753" s="580">
        <f t="shared" si="484"/>
        <v>0</v>
      </c>
      <c r="AH5753" s="580">
        <f t="shared" si="485"/>
        <v>0</v>
      </c>
    </row>
    <row r="5754" spans="28:34">
      <c r="AB5754" s="580">
        <f>HLOOKUP("*"&amp;'Output annual'!$AC$2&amp;'Output annual'!$AD$2&amp;"*Zone People Number Of Occupants [](Hourly)",'Eplus results'!$1:$1048576,ROW(),FALSE)</f>
        <v>0</v>
      </c>
      <c r="AC5754" s="580">
        <f>HLOOKUP("*"&amp;'Output annual'!$AC$2&amp;'Output annual'!$AD$2&amp;"*FangerPMV(Hourly)",'Eplus results'!$1:$1048576,ROW(),FALSE)</f>
        <v>0</v>
      </c>
      <c r="AD5754" s="580">
        <f t="shared" si="481"/>
        <v>5</v>
      </c>
      <c r="AE5754" s="580">
        <f t="shared" si="482"/>
        <v>2.5</v>
      </c>
      <c r="AF5754" s="580">
        <f t="shared" si="483"/>
        <v>2.5</v>
      </c>
      <c r="AG5754" s="580">
        <f t="shared" si="484"/>
        <v>0</v>
      </c>
      <c r="AH5754" s="580">
        <f t="shared" si="485"/>
        <v>0</v>
      </c>
    </row>
    <row r="5755" spans="28:34">
      <c r="AB5755" s="580">
        <f>HLOOKUP("*"&amp;'Output annual'!$AC$2&amp;'Output annual'!$AD$2&amp;"*Zone People Number Of Occupants [](Hourly)",'Eplus results'!$1:$1048576,ROW(),FALSE)</f>
        <v>0</v>
      </c>
      <c r="AC5755" s="580">
        <f>HLOOKUP("*"&amp;'Output annual'!$AC$2&amp;'Output annual'!$AD$2&amp;"*FangerPMV(Hourly)",'Eplus results'!$1:$1048576,ROW(),FALSE)</f>
        <v>0</v>
      </c>
      <c r="AD5755" s="580">
        <f t="shared" si="481"/>
        <v>5</v>
      </c>
      <c r="AE5755" s="580">
        <f t="shared" si="482"/>
        <v>2.5</v>
      </c>
      <c r="AF5755" s="580">
        <f t="shared" si="483"/>
        <v>2.5</v>
      </c>
      <c r="AG5755" s="580">
        <f t="shared" si="484"/>
        <v>0</v>
      </c>
      <c r="AH5755" s="580">
        <f t="shared" si="485"/>
        <v>0</v>
      </c>
    </row>
    <row r="5756" spans="28:34">
      <c r="AB5756" s="580">
        <f>HLOOKUP("*"&amp;'Output annual'!$AC$2&amp;'Output annual'!$AD$2&amp;"*Zone People Number Of Occupants [](Hourly)",'Eplus results'!$1:$1048576,ROW(),FALSE)</f>
        <v>0</v>
      </c>
      <c r="AC5756" s="580">
        <f>HLOOKUP("*"&amp;'Output annual'!$AC$2&amp;'Output annual'!$AD$2&amp;"*FangerPMV(Hourly)",'Eplus results'!$1:$1048576,ROW(),FALSE)</f>
        <v>0</v>
      </c>
      <c r="AD5756" s="580">
        <f t="shared" si="481"/>
        <v>5</v>
      </c>
      <c r="AE5756" s="580">
        <f t="shared" si="482"/>
        <v>2.5</v>
      </c>
      <c r="AF5756" s="580">
        <f t="shared" si="483"/>
        <v>2.5</v>
      </c>
      <c r="AG5756" s="580">
        <f t="shared" si="484"/>
        <v>0</v>
      </c>
      <c r="AH5756" s="580">
        <f t="shared" si="485"/>
        <v>0</v>
      </c>
    </row>
    <row r="5757" spans="28:34">
      <c r="AB5757" s="580">
        <f>HLOOKUP("*"&amp;'Output annual'!$AC$2&amp;'Output annual'!$AD$2&amp;"*Zone People Number Of Occupants [](Hourly)",'Eplus results'!$1:$1048576,ROW(),FALSE)</f>
        <v>0</v>
      </c>
      <c r="AC5757" s="580">
        <f>HLOOKUP("*"&amp;'Output annual'!$AC$2&amp;'Output annual'!$AD$2&amp;"*FangerPMV(Hourly)",'Eplus results'!$1:$1048576,ROW(),FALSE)</f>
        <v>0</v>
      </c>
      <c r="AD5757" s="580">
        <f t="shared" si="481"/>
        <v>5</v>
      </c>
      <c r="AE5757" s="580">
        <f t="shared" si="482"/>
        <v>2.5</v>
      </c>
      <c r="AF5757" s="580">
        <f t="shared" si="483"/>
        <v>2.5</v>
      </c>
      <c r="AG5757" s="580">
        <f t="shared" si="484"/>
        <v>0</v>
      </c>
      <c r="AH5757" s="580">
        <f t="shared" si="485"/>
        <v>0</v>
      </c>
    </row>
    <row r="5758" spans="28:34">
      <c r="AB5758" s="580">
        <f>HLOOKUP("*"&amp;'Output annual'!$AC$2&amp;'Output annual'!$AD$2&amp;"*Zone People Number Of Occupants [](Hourly)",'Eplus results'!$1:$1048576,ROW(),FALSE)</f>
        <v>0</v>
      </c>
      <c r="AC5758" s="580">
        <f>HLOOKUP("*"&amp;'Output annual'!$AC$2&amp;'Output annual'!$AD$2&amp;"*FangerPMV(Hourly)",'Eplus results'!$1:$1048576,ROW(),FALSE)</f>
        <v>0</v>
      </c>
      <c r="AD5758" s="580">
        <f t="shared" si="481"/>
        <v>5</v>
      </c>
      <c r="AE5758" s="580">
        <f t="shared" si="482"/>
        <v>2.5</v>
      </c>
      <c r="AF5758" s="580">
        <f t="shared" si="483"/>
        <v>2.5</v>
      </c>
      <c r="AG5758" s="580">
        <f t="shared" si="484"/>
        <v>0</v>
      </c>
      <c r="AH5758" s="580">
        <f t="shared" si="485"/>
        <v>0</v>
      </c>
    </row>
    <row r="5759" spans="28:34">
      <c r="AB5759" s="580">
        <f>HLOOKUP("*"&amp;'Output annual'!$AC$2&amp;'Output annual'!$AD$2&amp;"*Zone People Number Of Occupants [](Hourly)",'Eplus results'!$1:$1048576,ROW(),FALSE)</f>
        <v>0</v>
      </c>
      <c r="AC5759" s="580">
        <f>HLOOKUP("*"&amp;'Output annual'!$AC$2&amp;'Output annual'!$AD$2&amp;"*FangerPMV(Hourly)",'Eplus results'!$1:$1048576,ROW(),FALSE)</f>
        <v>0</v>
      </c>
      <c r="AD5759" s="580">
        <f t="shared" si="481"/>
        <v>5</v>
      </c>
      <c r="AE5759" s="580">
        <f t="shared" si="482"/>
        <v>2.5</v>
      </c>
      <c r="AF5759" s="580">
        <f t="shared" si="483"/>
        <v>2.5</v>
      </c>
      <c r="AG5759" s="580">
        <f t="shared" si="484"/>
        <v>0</v>
      </c>
      <c r="AH5759" s="580">
        <f t="shared" si="485"/>
        <v>0</v>
      </c>
    </row>
    <row r="5760" spans="28:34">
      <c r="AB5760" s="580">
        <f>HLOOKUP("*"&amp;'Output annual'!$AC$2&amp;'Output annual'!$AD$2&amp;"*Zone People Number Of Occupants [](Hourly)",'Eplus results'!$1:$1048576,ROW(),FALSE)</f>
        <v>0</v>
      </c>
      <c r="AC5760" s="580">
        <f>HLOOKUP("*"&amp;'Output annual'!$AC$2&amp;'Output annual'!$AD$2&amp;"*FangerPMV(Hourly)",'Eplus results'!$1:$1048576,ROW(),FALSE)</f>
        <v>0</v>
      </c>
      <c r="AD5760" s="580">
        <f t="shared" si="481"/>
        <v>5</v>
      </c>
      <c r="AE5760" s="580">
        <f t="shared" si="482"/>
        <v>2.5</v>
      </c>
      <c r="AF5760" s="580">
        <f t="shared" si="483"/>
        <v>2.5</v>
      </c>
      <c r="AG5760" s="580">
        <f t="shared" si="484"/>
        <v>0</v>
      </c>
      <c r="AH5760" s="580">
        <f t="shared" si="485"/>
        <v>0</v>
      </c>
    </row>
    <row r="5761" spans="28:34">
      <c r="AB5761" s="580">
        <f>HLOOKUP("*"&amp;'Output annual'!$AC$2&amp;'Output annual'!$AD$2&amp;"*Zone People Number Of Occupants [](Hourly)",'Eplus results'!$1:$1048576,ROW(),FALSE)</f>
        <v>0</v>
      </c>
      <c r="AC5761" s="580">
        <f>HLOOKUP("*"&amp;'Output annual'!$AC$2&amp;'Output annual'!$AD$2&amp;"*FangerPMV(Hourly)",'Eplus results'!$1:$1048576,ROW(),FALSE)</f>
        <v>0</v>
      </c>
      <c r="AD5761" s="580">
        <f t="shared" si="481"/>
        <v>5</v>
      </c>
      <c r="AE5761" s="580">
        <f t="shared" si="482"/>
        <v>2.5</v>
      </c>
      <c r="AF5761" s="580">
        <f t="shared" si="483"/>
        <v>2.5</v>
      </c>
      <c r="AG5761" s="580">
        <f t="shared" si="484"/>
        <v>0</v>
      </c>
      <c r="AH5761" s="580">
        <f t="shared" si="485"/>
        <v>0</v>
      </c>
    </row>
    <row r="5762" spans="28:34">
      <c r="AB5762" s="580">
        <f>HLOOKUP("*"&amp;'Output annual'!$AC$2&amp;'Output annual'!$AD$2&amp;"*Zone People Number Of Occupants [](Hourly)",'Eplus results'!$1:$1048576,ROW(),FALSE)</f>
        <v>0</v>
      </c>
      <c r="AC5762" s="580">
        <f>HLOOKUP("*"&amp;'Output annual'!$AC$2&amp;'Output annual'!$AD$2&amp;"*FangerPMV(Hourly)",'Eplus results'!$1:$1048576,ROW(),FALSE)</f>
        <v>0</v>
      </c>
      <c r="AD5762" s="580">
        <f t="shared" si="481"/>
        <v>5</v>
      </c>
      <c r="AE5762" s="580">
        <f t="shared" si="482"/>
        <v>2.5</v>
      </c>
      <c r="AF5762" s="580">
        <f t="shared" si="483"/>
        <v>2.5</v>
      </c>
      <c r="AG5762" s="580">
        <f t="shared" si="484"/>
        <v>0</v>
      </c>
      <c r="AH5762" s="580">
        <f t="shared" si="485"/>
        <v>0</v>
      </c>
    </row>
    <row r="5763" spans="28:34">
      <c r="AB5763" s="580">
        <f>HLOOKUP("*"&amp;'Output annual'!$AC$2&amp;'Output annual'!$AD$2&amp;"*Zone People Number Of Occupants [](Hourly)",'Eplus results'!$1:$1048576,ROW(),FALSE)</f>
        <v>0</v>
      </c>
      <c r="AC5763" s="580">
        <f>HLOOKUP("*"&amp;'Output annual'!$AC$2&amp;'Output annual'!$AD$2&amp;"*FangerPMV(Hourly)",'Eplus results'!$1:$1048576,ROW(),FALSE)</f>
        <v>0</v>
      </c>
      <c r="AD5763" s="580">
        <f t="shared" ref="AD5763:AD5826" si="486">100-95*EXP(-0.03353*AC5763^4-0.2179*AC5763^2)</f>
        <v>5</v>
      </c>
      <c r="AE5763" s="580">
        <f t="shared" ref="AE5763:AE5826" si="487">AD5763*(1/(1+EXP(-6.3*$AC5763)))</f>
        <v>2.5</v>
      </c>
      <c r="AF5763" s="580">
        <f t="shared" ref="AF5763:AF5826" si="488">(AD5763-AE5763)</f>
        <v>2.5</v>
      </c>
      <c r="AG5763" s="580">
        <f t="shared" ref="AG5763:AG5826" si="489">AE5763*AB5763</f>
        <v>0</v>
      </c>
      <c r="AH5763" s="580">
        <f t="shared" ref="AH5763:AH5826" si="490">AF5763*AB5763</f>
        <v>0</v>
      </c>
    </row>
    <row r="5764" spans="28:34">
      <c r="AB5764" s="580">
        <f>HLOOKUP("*"&amp;'Output annual'!$AC$2&amp;'Output annual'!$AD$2&amp;"*Zone People Number Of Occupants [](Hourly)",'Eplus results'!$1:$1048576,ROW(),FALSE)</f>
        <v>0</v>
      </c>
      <c r="AC5764" s="580">
        <f>HLOOKUP("*"&amp;'Output annual'!$AC$2&amp;'Output annual'!$AD$2&amp;"*FangerPMV(Hourly)",'Eplus results'!$1:$1048576,ROW(),FALSE)</f>
        <v>0</v>
      </c>
      <c r="AD5764" s="580">
        <f t="shared" si="486"/>
        <v>5</v>
      </c>
      <c r="AE5764" s="580">
        <f t="shared" si="487"/>
        <v>2.5</v>
      </c>
      <c r="AF5764" s="580">
        <f t="shared" si="488"/>
        <v>2.5</v>
      </c>
      <c r="AG5764" s="580">
        <f t="shared" si="489"/>
        <v>0</v>
      </c>
      <c r="AH5764" s="580">
        <f t="shared" si="490"/>
        <v>0</v>
      </c>
    </row>
    <row r="5765" spans="28:34">
      <c r="AB5765" s="580">
        <f>HLOOKUP("*"&amp;'Output annual'!$AC$2&amp;'Output annual'!$AD$2&amp;"*Zone People Number Of Occupants [](Hourly)",'Eplus results'!$1:$1048576,ROW(),FALSE)</f>
        <v>0</v>
      </c>
      <c r="AC5765" s="580">
        <f>HLOOKUP("*"&amp;'Output annual'!$AC$2&amp;'Output annual'!$AD$2&amp;"*FangerPMV(Hourly)",'Eplus results'!$1:$1048576,ROW(),FALSE)</f>
        <v>0</v>
      </c>
      <c r="AD5765" s="580">
        <f t="shared" si="486"/>
        <v>5</v>
      </c>
      <c r="AE5765" s="580">
        <f t="shared" si="487"/>
        <v>2.5</v>
      </c>
      <c r="AF5765" s="580">
        <f t="shared" si="488"/>
        <v>2.5</v>
      </c>
      <c r="AG5765" s="580">
        <f t="shared" si="489"/>
        <v>0</v>
      </c>
      <c r="AH5765" s="580">
        <f t="shared" si="490"/>
        <v>0</v>
      </c>
    </row>
    <row r="5766" spans="28:34">
      <c r="AB5766" s="580">
        <f>HLOOKUP("*"&amp;'Output annual'!$AC$2&amp;'Output annual'!$AD$2&amp;"*Zone People Number Of Occupants [](Hourly)",'Eplus results'!$1:$1048576,ROW(),FALSE)</f>
        <v>0</v>
      </c>
      <c r="AC5766" s="580">
        <f>HLOOKUP("*"&amp;'Output annual'!$AC$2&amp;'Output annual'!$AD$2&amp;"*FangerPMV(Hourly)",'Eplus results'!$1:$1048576,ROW(),FALSE)</f>
        <v>0</v>
      </c>
      <c r="AD5766" s="580">
        <f t="shared" si="486"/>
        <v>5</v>
      </c>
      <c r="AE5766" s="580">
        <f t="shared" si="487"/>
        <v>2.5</v>
      </c>
      <c r="AF5766" s="580">
        <f t="shared" si="488"/>
        <v>2.5</v>
      </c>
      <c r="AG5766" s="580">
        <f t="shared" si="489"/>
        <v>0</v>
      </c>
      <c r="AH5766" s="580">
        <f t="shared" si="490"/>
        <v>0</v>
      </c>
    </row>
    <row r="5767" spans="28:34">
      <c r="AB5767" s="580">
        <f>HLOOKUP("*"&amp;'Output annual'!$AC$2&amp;'Output annual'!$AD$2&amp;"*Zone People Number Of Occupants [](Hourly)",'Eplus results'!$1:$1048576,ROW(),FALSE)</f>
        <v>0</v>
      </c>
      <c r="AC5767" s="580">
        <f>HLOOKUP("*"&amp;'Output annual'!$AC$2&amp;'Output annual'!$AD$2&amp;"*FangerPMV(Hourly)",'Eplus results'!$1:$1048576,ROW(),FALSE)</f>
        <v>0</v>
      </c>
      <c r="AD5767" s="580">
        <f t="shared" si="486"/>
        <v>5</v>
      </c>
      <c r="AE5767" s="580">
        <f t="shared" si="487"/>
        <v>2.5</v>
      </c>
      <c r="AF5767" s="580">
        <f t="shared" si="488"/>
        <v>2.5</v>
      </c>
      <c r="AG5767" s="580">
        <f t="shared" si="489"/>
        <v>0</v>
      </c>
      <c r="AH5767" s="580">
        <f t="shared" si="490"/>
        <v>0</v>
      </c>
    </row>
    <row r="5768" spans="28:34">
      <c r="AB5768" s="580">
        <f>HLOOKUP("*"&amp;'Output annual'!$AC$2&amp;'Output annual'!$AD$2&amp;"*Zone People Number Of Occupants [](Hourly)",'Eplus results'!$1:$1048576,ROW(),FALSE)</f>
        <v>0</v>
      </c>
      <c r="AC5768" s="580">
        <f>HLOOKUP("*"&amp;'Output annual'!$AC$2&amp;'Output annual'!$AD$2&amp;"*FangerPMV(Hourly)",'Eplus results'!$1:$1048576,ROW(),FALSE)</f>
        <v>0</v>
      </c>
      <c r="AD5768" s="580">
        <f t="shared" si="486"/>
        <v>5</v>
      </c>
      <c r="AE5768" s="580">
        <f t="shared" si="487"/>
        <v>2.5</v>
      </c>
      <c r="AF5768" s="580">
        <f t="shared" si="488"/>
        <v>2.5</v>
      </c>
      <c r="AG5768" s="580">
        <f t="shared" si="489"/>
        <v>0</v>
      </c>
      <c r="AH5768" s="580">
        <f t="shared" si="490"/>
        <v>0</v>
      </c>
    </row>
    <row r="5769" spans="28:34">
      <c r="AB5769" s="580">
        <f>HLOOKUP("*"&amp;'Output annual'!$AC$2&amp;'Output annual'!$AD$2&amp;"*Zone People Number Of Occupants [](Hourly)",'Eplus results'!$1:$1048576,ROW(),FALSE)</f>
        <v>0</v>
      </c>
      <c r="AC5769" s="580">
        <f>HLOOKUP("*"&amp;'Output annual'!$AC$2&amp;'Output annual'!$AD$2&amp;"*FangerPMV(Hourly)",'Eplus results'!$1:$1048576,ROW(),FALSE)</f>
        <v>0</v>
      </c>
      <c r="AD5769" s="580">
        <f t="shared" si="486"/>
        <v>5</v>
      </c>
      <c r="AE5769" s="580">
        <f t="shared" si="487"/>
        <v>2.5</v>
      </c>
      <c r="AF5769" s="580">
        <f t="shared" si="488"/>
        <v>2.5</v>
      </c>
      <c r="AG5769" s="580">
        <f t="shared" si="489"/>
        <v>0</v>
      </c>
      <c r="AH5769" s="580">
        <f t="shared" si="490"/>
        <v>0</v>
      </c>
    </row>
    <row r="5770" spans="28:34">
      <c r="AB5770" s="580">
        <f>HLOOKUP("*"&amp;'Output annual'!$AC$2&amp;'Output annual'!$AD$2&amp;"*Zone People Number Of Occupants [](Hourly)",'Eplus results'!$1:$1048576,ROW(),FALSE)</f>
        <v>0</v>
      </c>
      <c r="AC5770" s="580">
        <f>HLOOKUP("*"&amp;'Output annual'!$AC$2&amp;'Output annual'!$AD$2&amp;"*FangerPMV(Hourly)",'Eplus results'!$1:$1048576,ROW(),FALSE)</f>
        <v>0</v>
      </c>
      <c r="AD5770" s="580">
        <f t="shared" si="486"/>
        <v>5</v>
      </c>
      <c r="AE5770" s="580">
        <f t="shared" si="487"/>
        <v>2.5</v>
      </c>
      <c r="AF5770" s="580">
        <f t="shared" si="488"/>
        <v>2.5</v>
      </c>
      <c r="AG5770" s="580">
        <f t="shared" si="489"/>
        <v>0</v>
      </c>
      <c r="AH5770" s="580">
        <f t="shared" si="490"/>
        <v>0</v>
      </c>
    </row>
    <row r="5771" spans="28:34">
      <c r="AB5771" s="580">
        <f>HLOOKUP("*"&amp;'Output annual'!$AC$2&amp;'Output annual'!$AD$2&amp;"*Zone People Number Of Occupants [](Hourly)",'Eplus results'!$1:$1048576,ROW(),FALSE)</f>
        <v>0</v>
      </c>
      <c r="AC5771" s="580">
        <f>HLOOKUP("*"&amp;'Output annual'!$AC$2&amp;'Output annual'!$AD$2&amp;"*FangerPMV(Hourly)",'Eplus results'!$1:$1048576,ROW(),FALSE)</f>
        <v>0</v>
      </c>
      <c r="AD5771" s="580">
        <f t="shared" si="486"/>
        <v>5</v>
      </c>
      <c r="AE5771" s="580">
        <f t="shared" si="487"/>
        <v>2.5</v>
      </c>
      <c r="AF5771" s="580">
        <f t="shared" si="488"/>
        <v>2.5</v>
      </c>
      <c r="AG5771" s="580">
        <f t="shared" si="489"/>
        <v>0</v>
      </c>
      <c r="AH5771" s="580">
        <f t="shared" si="490"/>
        <v>0</v>
      </c>
    </row>
    <row r="5772" spans="28:34">
      <c r="AB5772" s="580">
        <f>HLOOKUP("*"&amp;'Output annual'!$AC$2&amp;'Output annual'!$AD$2&amp;"*Zone People Number Of Occupants [](Hourly)",'Eplus results'!$1:$1048576,ROW(),FALSE)</f>
        <v>0</v>
      </c>
      <c r="AC5772" s="580">
        <f>HLOOKUP("*"&amp;'Output annual'!$AC$2&amp;'Output annual'!$AD$2&amp;"*FangerPMV(Hourly)",'Eplus results'!$1:$1048576,ROW(),FALSE)</f>
        <v>0</v>
      </c>
      <c r="AD5772" s="580">
        <f t="shared" si="486"/>
        <v>5</v>
      </c>
      <c r="AE5772" s="580">
        <f t="shared" si="487"/>
        <v>2.5</v>
      </c>
      <c r="AF5772" s="580">
        <f t="shared" si="488"/>
        <v>2.5</v>
      </c>
      <c r="AG5772" s="580">
        <f t="shared" si="489"/>
        <v>0</v>
      </c>
      <c r="AH5772" s="580">
        <f t="shared" si="490"/>
        <v>0</v>
      </c>
    </row>
    <row r="5773" spans="28:34">
      <c r="AB5773" s="580">
        <f>HLOOKUP("*"&amp;'Output annual'!$AC$2&amp;'Output annual'!$AD$2&amp;"*Zone People Number Of Occupants [](Hourly)",'Eplus results'!$1:$1048576,ROW(),FALSE)</f>
        <v>0</v>
      </c>
      <c r="AC5773" s="580">
        <f>HLOOKUP("*"&amp;'Output annual'!$AC$2&amp;'Output annual'!$AD$2&amp;"*FangerPMV(Hourly)",'Eplus results'!$1:$1048576,ROW(),FALSE)</f>
        <v>0</v>
      </c>
      <c r="AD5773" s="580">
        <f t="shared" si="486"/>
        <v>5</v>
      </c>
      <c r="AE5773" s="580">
        <f t="shared" si="487"/>
        <v>2.5</v>
      </c>
      <c r="AF5773" s="580">
        <f t="shared" si="488"/>
        <v>2.5</v>
      </c>
      <c r="AG5773" s="580">
        <f t="shared" si="489"/>
        <v>0</v>
      </c>
      <c r="AH5773" s="580">
        <f t="shared" si="490"/>
        <v>0</v>
      </c>
    </row>
    <row r="5774" spans="28:34">
      <c r="AB5774" s="580">
        <f>HLOOKUP("*"&amp;'Output annual'!$AC$2&amp;'Output annual'!$AD$2&amp;"*Zone People Number Of Occupants [](Hourly)",'Eplus results'!$1:$1048576,ROW(),FALSE)</f>
        <v>0</v>
      </c>
      <c r="AC5774" s="580">
        <f>HLOOKUP("*"&amp;'Output annual'!$AC$2&amp;'Output annual'!$AD$2&amp;"*FangerPMV(Hourly)",'Eplus results'!$1:$1048576,ROW(),FALSE)</f>
        <v>0</v>
      </c>
      <c r="AD5774" s="580">
        <f t="shared" si="486"/>
        <v>5</v>
      </c>
      <c r="AE5774" s="580">
        <f t="shared" si="487"/>
        <v>2.5</v>
      </c>
      <c r="AF5774" s="580">
        <f t="shared" si="488"/>
        <v>2.5</v>
      </c>
      <c r="AG5774" s="580">
        <f t="shared" si="489"/>
        <v>0</v>
      </c>
      <c r="AH5774" s="580">
        <f t="shared" si="490"/>
        <v>0</v>
      </c>
    </row>
    <row r="5775" spans="28:34">
      <c r="AB5775" s="580">
        <f>HLOOKUP("*"&amp;'Output annual'!$AC$2&amp;'Output annual'!$AD$2&amp;"*Zone People Number Of Occupants [](Hourly)",'Eplus results'!$1:$1048576,ROW(),FALSE)</f>
        <v>0</v>
      </c>
      <c r="AC5775" s="580">
        <f>HLOOKUP("*"&amp;'Output annual'!$AC$2&amp;'Output annual'!$AD$2&amp;"*FangerPMV(Hourly)",'Eplus results'!$1:$1048576,ROW(),FALSE)</f>
        <v>0</v>
      </c>
      <c r="AD5775" s="580">
        <f t="shared" si="486"/>
        <v>5</v>
      </c>
      <c r="AE5775" s="580">
        <f t="shared" si="487"/>
        <v>2.5</v>
      </c>
      <c r="AF5775" s="580">
        <f t="shared" si="488"/>
        <v>2.5</v>
      </c>
      <c r="AG5775" s="580">
        <f t="shared" si="489"/>
        <v>0</v>
      </c>
      <c r="AH5775" s="580">
        <f t="shared" si="490"/>
        <v>0</v>
      </c>
    </row>
    <row r="5776" spans="28:34">
      <c r="AB5776" s="580">
        <f>HLOOKUP("*"&amp;'Output annual'!$AC$2&amp;'Output annual'!$AD$2&amp;"*Zone People Number Of Occupants [](Hourly)",'Eplus results'!$1:$1048576,ROW(),FALSE)</f>
        <v>0</v>
      </c>
      <c r="AC5776" s="580">
        <f>HLOOKUP("*"&amp;'Output annual'!$AC$2&amp;'Output annual'!$AD$2&amp;"*FangerPMV(Hourly)",'Eplus results'!$1:$1048576,ROW(),FALSE)</f>
        <v>0</v>
      </c>
      <c r="AD5776" s="580">
        <f t="shared" si="486"/>
        <v>5</v>
      </c>
      <c r="AE5776" s="580">
        <f t="shared" si="487"/>
        <v>2.5</v>
      </c>
      <c r="AF5776" s="580">
        <f t="shared" si="488"/>
        <v>2.5</v>
      </c>
      <c r="AG5776" s="580">
        <f t="shared" si="489"/>
        <v>0</v>
      </c>
      <c r="AH5776" s="580">
        <f t="shared" si="490"/>
        <v>0</v>
      </c>
    </row>
    <row r="5777" spans="28:34">
      <c r="AB5777" s="580">
        <f>HLOOKUP("*"&amp;'Output annual'!$AC$2&amp;'Output annual'!$AD$2&amp;"*Zone People Number Of Occupants [](Hourly)",'Eplus results'!$1:$1048576,ROW(),FALSE)</f>
        <v>0</v>
      </c>
      <c r="AC5777" s="580">
        <f>HLOOKUP("*"&amp;'Output annual'!$AC$2&amp;'Output annual'!$AD$2&amp;"*FangerPMV(Hourly)",'Eplus results'!$1:$1048576,ROW(),FALSE)</f>
        <v>0</v>
      </c>
      <c r="AD5777" s="580">
        <f t="shared" si="486"/>
        <v>5</v>
      </c>
      <c r="AE5777" s="580">
        <f t="shared" si="487"/>
        <v>2.5</v>
      </c>
      <c r="AF5777" s="580">
        <f t="shared" si="488"/>
        <v>2.5</v>
      </c>
      <c r="AG5777" s="580">
        <f t="shared" si="489"/>
        <v>0</v>
      </c>
      <c r="AH5777" s="580">
        <f t="shared" si="490"/>
        <v>0</v>
      </c>
    </row>
    <row r="5778" spans="28:34">
      <c r="AB5778" s="580">
        <f>HLOOKUP("*"&amp;'Output annual'!$AC$2&amp;'Output annual'!$AD$2&amp;"*Zone People Number Of Occupants [](Hourly)",'Eplus results'!$1:$1048576,ROW(),FALSE)</f>
        <v>0</v>
      </c>
      <c r="AC5778" s="580">
        <f>HLOOKUP("*"&amp;'Output annual'!$AC$2&amp;'Output annual'!$AD$2&amp;"*FangerPMV(Hourly)",'Eplus results'!$1:$1048576,ROW(),FALSE)</f>
        <v>0</v>
      </c>
      <c r="AD5778" s="580">
        <f t="shared" si="486"/>
        <v>5</v>
      </c>
      <c r="AE5778" s="580">
        <f t="shared" si="487"/>
        <v>2.5</v>
      </c>
      <c r="AF5778" s="580">
        <f t="shared" si="488"/>
        <v>2.5</v>
      </c>
      <c r="AG5778" s="580">
        <f t="shared" si="489"/>
        <v>0</v>
      </c>
      <c r="AH5778" s="580">
        <f t="shared" si="490"/>
        <v>0</v>
      </c>
    </row>
    <row r="5779" spans="28:34">
      <c r="AB5779" s="580">
        <f>HLOOKUP("*"&amp;'Output annual'!$AC$2&amp;'Output annual'!$AD$2&amp;"*Zone People Number Of Occupants [](Hourly)",'Eplus results'!$1:$1048576,ROW(),FALSE)</f>
        <v>0</v>
      </c>
      <c r="AC5779" s="580">
        <f>HLOOKUP("*"&amp;'Output annual'!$AC$2&amp;'Output annual'!$AD$2&amp;"*FangerPMV(Hourly)",'Eplus results'!$1:$1048576,ROW(),FALSE)</f>
        <v>0</v>
      </c>
      <c r="AD5779" s="580">
        <f t="shared" si="486"/>
        <v>5</v>
      </c>
      <c r="AE5779" s="580">
        <f t="shared" si="487"/>
        <v>2.5</v>
      </c>
      <c r="AF5779" s="580">
        <f t="shared" si="488"/>
        <v>2.5</v>
      </c>
      <c r="AG5779" s="580">
        <f t="shared" si="489"/>
        <v>0</v>
      </c>
      <c r="AH5779" s="580">
        <f t="shared" si="490"/>
        <v>0</v>
      </c>
    </row>
    <row r="5780" spans="28:34">
      <c r="AB5780" s="580">
        <f>HLOOKUP("*"&amp;'Output annual'!$AC$2&amp;'Output annual'!$AD$2&amp;"*Zone People Number Of Occupants [](Hourly)",'Eplus results'!$1:$1048576,ROW(),FALSE)</f>
        <v>0</v>
      </c>
      <c r="AC5780" s="580">
        <f>HLOOKUP("*"&amp;'Output annual'!$AC$2&amp;'Output annual'!$AD$2&amp;"*FangerPMV(Hourly)",'Eplus results'!$1:$1048576,ROW(),FALSE)</f>
        <v>0</v>
      </c>
      <c r="AD5780" s="580">
        <f t="shared" si="486"/>
        <v>5</v>
      </c>
      <c r="AE5780" s="580">
        <f t="shared" si="487"/>
        <v>2.5</v>
      </c>
      <c r="AF5780" s="580">
        <f t="shared" si="488"/>
        <v>2.5</v>
      </c>
      <c r="AG5780" s="580">
        <f t="shared" si="489"/>
        <v>0</v>
      </c>
      <c r="AH5780" s="580">
        <f t="shared" si="490"/>
        <v>0</v>
      </c>
    </row>
    <row r="5781" spans="28:34">
      <c r="AB5781" s="580">
        <f>HLOOKUP("*"&amp;'Output annual'!$AC$2&amp;'Output annual'!$AD$2&amp;"*Zone People Number Of Occupants [](Hourly)",'Eplus results'!$1:$1048576,ROW(),FALSE)</f>
        <v>0</v>
      </c>
      <c r="AC5781" s="580">
        <f>HLOOKUP("*"&amp;'Output annual'!$AC$2&amp;'Output annual'!$AD$2&amp;"*FangerPMV(Hourly)",'Eplus results'!$1:$1048576,ROW(),FALSE)</f>
        <v>0</v>
      </c>
      <c r="AD5781" s="580">
        <f t="shared" si="486"/>
        <v>5</v>
      </c>
      <c r="AE5781" s="580">
        <f t="shared" si="487"/>
        <v>2.5</v>
      </c>
      <c r="AF5781" s="580">
        <f t="shared" si="488"/>
        <v>2.5</v>
      </c>
      <c r="AG5781" s="580">
        <f t="shared" si="489"/>
        <v>0</v>
      </c>
      <c r="AH5781" s="580">
        <f t="shared" si="490"/>
        <v>0</v>
      </c>
    </row>
    <row r="5782" spans="28:34">
      <c r="AB5782" s="580">
        <f>HLOOKUP("*"&amp;'Output annual'!$AC$2&amp;'Output annual'!$AD$2&amp;"*Zone People Number Of Occupants [](Hourly)",'Eplus results'!$1:$1048576,ROW(),FALSE)</f>
        <v>0</v>
      </c>
      <c r="AC5782" s="580">
        <f>HLOOKUP("*"&amp;'Output annual'!$AC$2&amp;'Output annual'!$AD$2&amp;"*FangerPMV(Hourly)",'Eplus results'!$1:$1048576,ROW(),FALSE)</f>
        <v>0</v>
      </c>
      <c r="AD5782" s="580">
        <f t="shared" si="486"/>
        <v>5</v>
      </c>
      <c r="AE5782" s="580">
        <f t="shared" si="487"/>
        <v>2.5</v>
      </c>
      <c r="AF5782" s="580">
        <f t="shared" si="488"/>
        <v>2.5</v>
      </c>
      <c r="AG5782" s="580">
        <f t="shared" si="489"/>
        <v>0</v>
      </c>
      <c r="AH5782" s="580">
        <f t="shared" si="490"/>
        <v>0</v>
      </c>
    </row>
    <row r="5783" spans="28:34">
      <c r="AB5783" s="580">
        <f>HLOOKUP("*"&amp;'Output annual'!$AC$2&amp;'Output annual'!$AD$2&amp;"*Zone People Number Of Occupants [](Hourly)",'Eplus results'!$1:$1048576,ROW(),FALSE)</f>
        <v>0</v>
      </c>
      <c r="AC5783" s="580">
        <f>HLOOKUP("*"&amp;'Output annual'!$AC$2&amp;'Output annual'!$AD$2&amp;"*FangerPMV(Hourly)",'Eplus results'!$1:$1048576,ROW(),FALSE)</f>
        <v>0</v>
      </c>
      <c r="AD5783" s="580">
        <f t="shared" si="486"/>
        <v>5</v>
      </c>
      <c r="AE5783" s="580">
        <f t="shared" si="487"/>
        <v>2.5</v>
      </c>
      <c r="AF5783" s="580">
        <f t="shared" si="488"/>
        <v>2.5</v>
      </c>
      <c r="AG5783" s="580">
        <f t="shared" si="489"/>
        <v>0</v>
      </c>
      <c r="AH5783" s="580">
        <f t="shared" si="490"/>
        <v>0</v>
      </c>
    </row>
    <row r="5784" spans="28:34">
      <c r="AB5784" s="580">
        <f>HLOOKUP("*"&amp;'Output annual'!$AC$2&amp;'Output annual'!$AD$2&amp;"*Zone People Number Of Occupants [](Hourly)",'Eplus results'!$1:$1048576,ROW(),FALSE)</f>
        <v>0</v>
      </c>
      <c r="AC5784" s="580">
        <f>HLOOKUP("*"&amp;'Output annual'!$AC$2&amp;'Output annual'!$AD$2&amp;"*FangerPMV(Hourly)",'Eplus results'!$1:$1048576,ROW(),FALSE)</f>
        <v>0</v>
      </c>
      <c r="AD5784" s="580">
        <f t="shared" si="486"/>
        <v>5</v>
      </c>
      <c r="AE5784" s="580">
        <f t="shared" si="487"/>
        <v>2.5</v>
      </c>
      <c r="AF5784" s="580">
        <f t="shared" si="488"/>
        <v>2.5</v>
      </c>
      <c r="AG5784" s="580">
        <f t="shared" si="489"/>
        <v>0</v>
      </c>
      <c r="AH5784" s="580">
        <f t="shared" si="490"/>
        <v>0</v>
      </c>
    </row>
    <row r="5785" spans="28:34">
      <c r="AB5785" s="580">
        <f>HLOOKUP("*"&amp;'Output annual'!$AC$2&amp;'Output annual'!$AD$2&amp;"*Zone People Number Of Occupants [](Hourly)",'Eplus results'!$1:$1048576,ROW(),FALSE)</f>
        <v>0</v>
      </c>
      <c r="AC5785" s="580">
        <f>HLOOKUP("*"&amp;'Output annual'!$AC$2&amp;'Output annual'!$AD$2&amp;"*FangerPMV(Hourly)",'Eplus results'!$1:$1048576,ROW(),FALSE)</f>
        <v>0</v>
      </c>
      <c r="AD5785" s="580">
        <f t="shared" si="486"/>
        <v>5</v>
      </c>
      <c r="AE5785" s="580">
        <f t="shared" si="487"/>
        <v>2.5</v>
      </c>
      <c r="AF5785" s="580">
        <f t="shared" si="488"/>
        <v>2.5</v>
      </c>
      <c r="AG5785" s="580">
        <f t="shared" si="489"/>
        <v>0</v>
      </c>
      <c r="AH5785" s="580">
        <f t="shared" si="490"/>
        <v>0</v>
      </c>
    </row>
    <row r="5786" spans="28:34">
      <c r="AB5786" s="580">
        <f>HLOOKUP("*"&amp;'Output annual'!$AC$2&amp;'Output annual'!$AD$2&amp;"*Zone People Number Of Occupants [](Hourly)",'Eplus results'!$1:$1048576,ROW(),FALSE)</f>
        <v>0</v>
      </c>
      <c r="AC5786" s="580">
        <f>HLOOKUP("*"&amp;'Output annual'!$AC$2&amp;'Output annual'!$AD$2&amp;"*FangerPMV(Hourly)",'Eplus results'!$1:$1048576,ROW(),FALSE)</f>
        <v>0</v>
      </c>
      <c r="AD5786" s="580">
        <f t="shared" si="486"/>
        <v>5</v>
      </c>
      <c r="AE5786" s="580">
        <f t="shared" si="487"/>
        <v>2.5</v>
      </c>
      <c r="AF5786" s="580">
        <f t="shared" si="488"/>
        <v>2.5</v>
      </c>
      <c r="AG5786" s="580">
        <f t="shared" si="489"/>
        <v>0</v>
      </c>
      <c r="AH5786" s="580">
        <f t="shared" si="490"/>
        <v>0</v>
      </c>
    </row>
    <row r="5787" spans="28:34">
      <c r="AB5787" s="580">
        <f>HLOOKUP("*"&amp;'Output annual'!$AC$2&amp;'Output annual'!$AD$2&amp;"*Zone People Number Of Occupants [](Hourly)",'Eplus results'!$1:$1048576,ROW(),FALSE)</f>
        <v>0</v>
      </c>
      <c r="AC5787" s="580">
        <f>HLOOKUP("*"&amp;'Output annual'!$AC$2&amp;'Output annual'!$AD$2&amp;"*FangerPMV(Hourly)",'Eplus results'!$1:$1048576,ROW(),FALSE)</f>
        <v>0</v>
      </c>
      <c r="AD5787" s="580">
        <f t="shared" si="486"/>
        <v>5</v>
      </c>
      <c r="AE5787" s="580">
        <f t="shared" si="487"/>
        <v>2.5</v>
      </c>
      <c r="AF5787" s="580">
        <f t="shared" si="488"/>
        <v>2.5</v>
      </c>
      <c r="AG5787" s="580">
        <f t="shared" si="489"/>
        <v>0</v>
      </c>
      <c r="AH5787" s="580">
        <f t="shared" si="490"/>
        <v>0</v>
      </c>
    </row>
    <row r="5788" spans="28:34">
      <c r="AB5788" s="580">
        <f>HLOOKUP("*"&amp;'Output annual'!$AC$2&amp;'Output annual'!$AD$2&amp;"*Zone People Number Of Occupants [](Hourly)",'Eplus results'!$1:$1048576,ROW(),FALSE)</f>
        <v>0</v>
      </c>
      <c r="AC5788" s="580">
        <f>HLOOKUP("*"&amp;'Output annual'!$AC$2&amp;'Output annual'!$AD$2&amp;"*FangerPMV(Hourly)",'Eplus results'!$1:$1048576,ROW(),FALSE)</f>
        <v>0</v>
      </c>
      <c r="AD5788" s="580">
        <f t="shared" si="486"/>
        <v>5</v>
      </c>
      <c r="AE5788" s="580">
        <f t="shared" si="487"/>
        <v>2.5</v>
      </c>
      <c r="AF5788" s="580">
        <f t="shared" si="488"/>
        <v>2.5</v>
      </c>
      <c r="AG5788" s="580">
        <f t="shared" si="489"/>
        <v>0</v>
      </c>
      <c r="AH5788" s="580">
        <f t="shared" si="490"/>
        <v>0</v>
      </c>
    </row>
    <row r="5789" spans="28:34">
      <c r="AB5789" s="580">
        <f>HLOOKUP("*"&amp;'Output annual'!$AC$2&amp;'Output annual'!$AD$2&amp;"*Zone People Number Of Occupants [](Hourly)",'Eplus results'!$1:$1048576,ROW(),FALSE)</f>
        <v>0</v>
      </c>
      <c r="AC5789" s="580">
        <f>HLOOKUP("*"&amp;'Output annual'!$AC$2&amp;'Output annual'!$AD$2&amp;"*FangerPMV(Hourly)",'Eplus results'!$1:$1048576,ROW(),FALSE)</f>
        <v>0</v>
      </c>
      <c r="AD5789" s="580">
        <f t="shared" si="486"/>
        <v>5</v>
      </c>
      <c r="AE5789" s="580">
        <f t="shared" si="487"/>
        <v>2.5</v>
      </c>
      <c r="AF5789" s="580">
        <f t="shared" si="488"/>
        <v>2.5</v>
      </c>
      <c r="AG5789" s="580">
        <f t="shared" si="489"/>
        <v>0</v>
      </c>
      <c r="AH5789" s="580">
        <f t="shared" si="490"/>
        <v>0</v>
      </c>
    </row>
    <row r="5790" spans="28:34">
      <c r="AB5790" s="580">
        <f>HLOOKUP("*"&amp;'Output annual'!$AC$2&amp;'Output annual'!$AD$2&amp;"*Zone People Number Of Occupants [](Hourly)",'Eplus results'!$1:$1048576,ROW(),FALSE)</f>
        <v>0</v>
      </c>
      <c r="AC5790" s="580">
        <f>HLOOKUP("*"&amp;'Output annual'!$AC$2&amp;'Output annual'!$AD$2&amp;"*FangerPMV(Hourly)",'Eplus results'!$1:$1048576,ROW(),FALSE)</f>
        <v>0</v>
      </c>
      <c r="AD5790" s="580">
        <f t="shared" si="486"/>
        <v>5</v>
      </c>
      <c r="AE5790" s="580">
        <f t="shared" si="487"/>
        <v>2.5</v>
      </c>
      <c r="AF5790" s="580">
        <f t="shared" si="488"/>
        <v>2.5</v>
      </c>
      <c r="AG5790" s="580">
        <f t="shared" si="489"/>
        <v>0</v>
      </c>
      <c r="AH5790" s="580">
        <f t="shared" si="490"/>
        <v>0</v>
      </c>
    </row>
    <row r="5791" spans="28:34">
      <c r="AB5791" s="580">
        <f>HLOOKUP("*"&amp;'Output annual'!$AC$2&amp;'Output annual'!$AD$2&amp;"*Zone People Number Of Occupants [](Hourly)",'Eplus results'!$1:$1048576,ROW(),FALSE)</f>
        <v>0</v>
      </c>
      <c r="AC5791" s="580">
        <f>HLOOKUP("*"&amp;'Output annual'!$AC$2&amp;'Output annual'!$AD$2&amp;"*FangerPMV(Hourly)",'Eplus results'!$1:$1048576,ROW(),FALSE)</f>
        <v>0</v>
      </c>
      <c r="AD5791" s="580">
        <f t="shared" si="486"/>
        <v>5</v>
      </c>
      <c r="AE5791" s="580">
        <f t="shared" si="487"/>
        <v>2.5</v>
      </c>
      <c r="AF5791" s="580">
        <f t="shared" si="488"/>
        <v>2.5</v>
      </c>
      <c r="AG5791" s="580">
        <f t="shared" si="489"/>
        <v>0</v>
      </c>
      <c r="AH5791" s="580">
        <f t="shared" si="490"/>
        <v>0</v>
      </c>
    </row>
    <row r="5792" spans="28:34">
      <c r="AB5792" s="580">
        <f>HLOOKUP("*"&amp;'Output annual'!$AC$2&amp;'Output annual'!$AD$2&amp;"*Zone People Number Of Occupants [](Hourly)",'Eplus results'!$1:$1048576,ROW(),FALSE)</f>
        <v>0</v>
      </c>
      <c r="AC5792" s="580">
        <f>HLOOKUP("*"&amp;'Output annual'!$AC$2&amp;'Output annual'!$AD$2&amp;"*FangerPMV(Hourly)",'Eplus results'!$1:$1048576,ROW(),FALSE)</f>
        <v>0</v>
      </c>
      <c r="AD5792" s="580">
        <f t="shared" si="486"/>
        <v>5</v>
      </c>
      <c r="AE5792" s="580">
        <f t="shared" si="487"/>
        <v>2.5</v>
      </c>
      <c r="AF5792" s="580">
        <f t="shared" si="488"/>
        <v>2.5</v>
      </c>
      <c r="AG5792" s="580">
        <f t="shared" si="489"/>
        <v>0</v>
      </c>
      <c r="AH5792" s="580">
        <f t="shared" si="490"/>
        <v>0</v>
      </c>
    </row>
    <row r="5793" spans="28:34">
      <c r="AB5793" s="580">
        <f>HLOOKUP("*"&amp;'Output annual'!$AC$2&amp;'Output annual'!$AD$2&amp;"*Zone People Number Of Occupants [](Hourly)",'Eplus results'!$1:$1048576,ROW(),FALSE)</f>
        <v>0</v>
      </c>
      <c r="AC5793" s="580">
        <f>HLOOKUP("*"&amp;'Output annual'!$AC$2&amp;'Output annual'!$AD$2&amp;"*FangerPMV(Hourly)",'Eplus results'!$1:$1048576,ROW(),FALSE)</f>
        <v>0</v>
      </c>
      <c r="AD5793" s="580">
        <f t="shared" si="486"/>
        <v>5</v>
      </c>
      <c r="AE5793" s="580">
        <f t="shared" si="487"/>
        <v>2.5</v>
      </c>
      <c r="AF5793" s="580">
        <f t="shared" si="488"/>
        <v>2.5</v>
      </c>
      <c r="AG5793" s="580">
        <f t="shared" si="489"/>
        <v>0</v>
      </c>
      <c r="AH5793" s="580">
        <f t="shared" si="490"/>
        <v>0</v>
      </c>
    </row>
    <row r="5794" spans="28:34">
      <c r="AB5794" s="580">
        <f>HLOOKUP("*"&amp;'Output annual'!$AC$2&amp;'Output annual'!$AD$2&amp;"*Zone People Number Of Occupants [](Hourly)",'Eplus results'!$1:$1048576,ROW(),FALSE)</f>
        <v>0</v>
      </c>
      <c r="AC5794" s="580">
        <f>HLOOKUP("*"&amp;'Output annual'!$AC$2&amp;'Output annual'!$AD$2&amp;"*FangerPMV(Hourly)",'Eplus results'!$1:$1048576,ROW(),FALSE)</f>
        <v>0</v>
      </c>
      <c r="AD5794" s="580">
        <f t="shared" si="486"/>
        <v>5</v>
      </c>
      <c r="AE5794" s="580">
        <f t="shared" si="487"/>
        <v>2.5</v>
      </c>
      <c r="AF5794" s="580">
        <f t="shared" si="488"/>
        <v>2.5</v>
      </c>
      <c r="AG5794" s="580">
        <f t="shared" si="489"/>
        <v>0</v>
      </c>
      <c r="AH5794" s="580">
        <f t="shared" si="490"/>
        <v>0</v>
      </c>
    </row>
    <row r="5795" spans="28:34">
      <c r="AB5795" s="580">
        <f>HLOOKUP("*"&amp;'Output annual'!$AC$2&amp;'Output annual'!$AD$2&amp;"*Zone People Number Of Occupants [](Hourly)",'Eplus results'!$1:$1048576,ROW(),FALSE)</f>
        <v>0</v>
      </c>
      <c r="AC5795" s="580">
        <f>HLOOKUP("*"&amp;'Output annual'!$AC$2&amp;'Output annual'!$AD$2&amp;"*FangerPMV(Hourly)",'Eplus results'!$1:$1048576,ROW(),FALSE)</f>
        <v>0</v>
      </c>
      <c r="AD5795" s="580">
        <f t="shared" si="486"/>
        <v>5</v>
      </c>
      <c r="AE5795" s="580">
        <f t="shared" si="487"/>
        <v>2.5</v>
      </c>
      <c r="AF5795" s="580">
        <f t="shared" si="488"/>
        <v>2.5</v>
      </c>
      <c r="AG5795" s="580">
        <f t="shared" si="489"/>
        <v>0</v>
      </c>
      <c r="AH5795" s="580">
        <f t="shared" si="490"/>
        <v>0</v>
      </c>
    </row>
    <row r="5796" spans="28:34">
      <c r="AB5796" s="580">
        <f>HLOOKUP("*"&amp;'Output annual'!$AC$2&amp;'Output annual'!$AD$2&amp;"*Zone People Number Of Occupants [](Hourly)",'Eplus results'!$1:$1048576,ROW(),FALSE)</f>
        <v>0</v>
      </c>
      <c r="AC5796" s="580">
        <f>HLOOKUP("*"&amp;'Output annual'!$AC$2&amp;'Output annual'!$AD$2&amp;"*FangerPMV(Hourly)",'Eplus results'!$1:$1048576,ROW(),FALSE)</f>
        <v>0</v>
      </c>
      <c r="AD5796" s="580">
        <f t="shared" si="486"/>
        <v>5</v>
      </c>
      <c r="AE5796" s="580">
        <f t="shared" si="487"/>
        <v>2.5</v>
      </c>
      <c r="AF5796" s="580">
        <f t="shared" si="488"/>
        <v>2.5</v>
      </c>
      <c r="AG5796" s="580">
        <f t="shared" si="489"/>
        <v>0</v>
      </c>
      <c r="AH5796" s="580">
        <f t="shared" si="490"/>
        <v>0</v>
      </c>
    </row>
    <row r="5797" spans="28:34">
      <c r="AB5797" s="580">
        <f>HLOOKUP("*"&amp;'Output annual'!$AC$2&amp;'Output annual'!$AD$2&amp;"*Zone People Number Of Occupants [](Hourly)",'Eplus results'!$1:$1048576,ROW(),FALSE)</f>
        <v>0</v>
      </c>
      <c r="AC5797" s="580">
        <f>HLOOKUP("*"&amp;'Output annual'!$AC$2&amp;'Output annual'!$AD$2&amp;"*FangerPMV(Hourly)",'Eplus results'!$1:$1048576,ROW(),FALSE)</f>
        <v>0</v>
      </c>
      <c r="AD5797" s="580">
        <f t="shared" si="486"/>
        <v>5</v>
      </c>
      <c r="AE5797" s="580">
        <f t="shared" si="487"/>
        <v>2.5</v>
      </c>
      <c r="AF5797" s="580">
        <f t="shared" si="488"/>
        <v>2.5</v>
      </c>
      <c r="AG5797" s="580">
        <f t="shared" si="489"/>
        <v>0</v>
      </c>
      <c r="AH5797" s="580">
        <f t="shared" si="490"/>
        <v>0</v>
      </c>
    </row>
    <row r="5798" spans="28:34">
      <c r="AB5798" s="580">
        <f>HLOOKUP("*"&amp;'Output annual'!$AC$2&amp;'Output annual'!$AD$2&amp;"*Zone People Number Of Occupants [](Hourly)",'Eplus results'!$1:$1048576,ROW(),FALSE)</f>
        <v>0</v>
      </c>
      <c r="AC5798" s="580">
        <f>HLOOKUP("*"&amp;'Output annual'!$AC$2&amp;'Output annual'!$AD$2&amp;"*FangerPMV(Hourly)",'Eplus results'!$1:$1048576,ROW(),FALSE)</f>
        <v>0</v>
      </c>
      <c r="AD5798" s="580">
        <f t="shared" si="486"/>
        <v>5</v>
      </c>
      <c r="AE5798" s="580">
        <f t="shared" si="487"/>
        <v>2.5</v>
      </c>
      <c r="AF5798" s="580">
        <f t="shared" si="488"/>
        <v>2.5</v>
      </c>
      <c r="AG5798" s="580">
        <f t="shared" si="489"/>
        <v>0</v>
      </c>
      <c r="AH5798" s="580">
        <f t="shared" si="490"/>
        <v>0</v>
      </c>
    </row>
    <row r="5799" spans="28:34">
      <c r="AB5799" s="580">
        <f>HLOOKUP("*"&amp;'Output annual'!$AC$2&amp;'Output annual'!$AD$2&amp;"*Zone People Number Of Occupants [](Hourly)",'Eplus results'!$1:$1048576,ROW(),FALSE)</f>
        <v>0</v>
      </c>
      <c r="AC5799" s="580">
        <f>HLOOKUP("*"&amp;'Output annual'!$AC$2&amp;'Output annual'!$AD$2&amp;"*FangerPMV(Hourly)",'Eplus results'!$1:$1048576,ROW(),FALSE)</f>
        <v>0</v>
      </c>
      <c r="AD5799" s="580">
        <f t="shared" si="486"/>
        <v>5</v>
      </c>
      <c r="AE5799" s="580">
        <f t="shared" si="487"/>
        <v>2.5</v>
      </c>
      <c r="AF5799" s="580">
        <f t="shared" si="488"/>
        <v>2.5</v>
      </c>
      <c r="AG5799" s="580">
        <f t="shared" si="489"/>
        <v>0</v>
      </c>
      <c r="AH5799" s="580">
        <f t="shared" si="490"/>
        <v>0</v>
      </c>
    </row>
    <row r="5800" spans="28:34">
      <c r="AB5800" s="580">
        <f>HLOOKUP("*"&amp;'Output annual'!$AC$2&amp;'Output annual'!$AD$2&amp;"*Zone People Number Of Occupants [](Hourly)",'Eplus results'!$1:$1048576,ROW(),FALSE)</f>
        <v>0</v>
      </c>
      <c r="AC5800" s="580">
        <f>HLOOKUP("*"&amp;'Output annual'!$AC$2&amp;'Output annual'!$AD$2&amp;"*FangerPMV(Hourly)",'Eplus results'!$1:$1048576,ROW(),FALSE)</f>
        <v>0</v>
      </c>
      <c r="AD5800" s="580">
        <f t="shared" si="486"/>
        <v>5</v>
      </c>
      <c r="AE5800" s="580">
        <f t="shared" si="487"/>
        <v>2.5</v>
      </c>
      <c r="AF5800" s="580">
        <f t="shared" si="488"/>
        <v>2.5</v>
      </c>
      <c r="AG5800" s="580">
        <f t="shared" si="489"/>
        <v>0</v>
      </c>
      <c r="AH5800" s="580">
        <f t="shared" si="490"/>
        <v>0</v>
      </c>
    </row>
    <row r="5801" spans="28:34">
      <c r="AB5801" s="580">
        <f>HLOOKUP("*"&amp;'Output annual'!$AC$2&amp;'Output annual'!$AD$2&amp;"*Zone People Number Of Occupants [](Hourly)",'Eplus results'!$1:$1048576,ROW(),FALSE)</f>
        <v>0</v>
      </c>
      <c r="AC5801" s="580">
        <f>HLOOKUP("*"&amp;'Output annual'!$AC$2&amp;'Output annual'!$AD$2&amp;"*FangerPMV(Hourly)",'Eplus results'!$1:$1048576,ROW(),FALSE)</f>
        <v>0</v>
      </c>
      <c r="AD5801" s="580">
        <f t="shared" si="486"/>
        <v>5</v>
      </c>
      <c r="AE5801" s="580">
        <f t="shared" si="487"/>
        <v>2.5</v>
      </c>
      <c r="AF5801" s="580">
        <f t="shared" si="488"/>
        <v>2.5</v>
      </c>
      <c r="AG5801" s="580">
        <f t="shared" si="489"/>
        <v>0</v>
      </c>
      <c r="AH5801" s="580">
        <f t="shared" si="490"/>
        <v>0</v>
      </c>
    </row>
    <row r="5802" spans="28:34">
      <c r="AB5802" s="580">
        <f>HLOOKUP("*"&amp;'Output annual'!$AC$2&amp;'Output annual'!$AD$2&amp;"*Zone People Number Of Occupants [](Hourly)",'Eplus results'!$1:$1048576,ROW(),FALSE)</f>
        <v>0</v>
      </c>
      <c r="AC5802" s="580">
        <f>HLOOKUP("*"&amp;'Output annual'!$AC$2&amp;'Output annual'!$AD$2&amp;"*FangerPMV(Hourly)",'Eplus results'!$1:$1048576,ROW(),FALSE)</f>
        <v>0</v>
      </c>
      <c r="AD5802" s="580">
        <f t="shared" si="486"/>
        <v>5</v>
      </c>
      <c r="AE5802" s="580">
        <f t="shared" si="487"/>
        <v>2.5</v>
      </c>
      <c r="AF5802" s="580">
        <f t="shared" si="488"/>
        <v>2.5</v>
      </c>
      <c r="AG5802" s="580">
        <f t="shared" si="489"/>
        <v>0</v>
      </c>
      <c r="AH5802" s="580">
        <f t="shared" si="490"/>
        <v>0</v>
      </c>
    </row>
    <row r="5803" spans="28:34">
      <c r="AB5803" s="580">
        <f>HLOOKUP("*"&amp;'Output annual'!$AC$2&amp;'Output annual'!$AD$2&amp;"*Zone People Number Of Occupants [](Hourly)",'Eplus results'!$1:$1048576,ROW(),FALSE)</f>
        <v>0</v>
      </c>
      <c r="AC5803" s="580">
        <f>HLOOKUP("*"&amp;'Output annual'!$AC$2&amp;'Output annual'!$AD$2&amp;"*FangerPMV(Hourly)",'Eplus results'!$1:$1048576,ROW(),FALSE)</f>
        <v>0</v>
      </c>
      <c r="AD5803" s="580">
        <f t="shared" si="486"/>
        <v>5</v>
      </c>
      <c r="AE5803" s="580">
        <f t="shared" si="487"/>
        <v>2.5</v>
      </c>
      <c r="AF5803" s="580">
        <f t="shared" si="488"/>
        <v>2.5</v>
      </c>
      <c r="AG5803" s="580">
        <f t="shared" si="489"/>
        <v>0</v>
      </c>
      <c r="AH5803" s="580">
        <f t="shared" si="490"/>
        <v>0</v>
      </c>
    </row>
    <row r="5804" spans="28:34">
      <c r="AB5804" s="580">
        <f>HLOOKUP("*"&amp;'Output annual'!$AC$2&amp;'Output annual'!$AD$2&amp;"*Zone People Number Of Occupants [](Hourly)",'Eplus results'!$1:$1048576,ROW(),FALSE)</f>
        <v>0</v>
      </c>
      <c r="AC5804" s="580">
        <f>HLOOKUP("*"&amp;'Output annual'!$AC$2&amp;'Output annual'!$AD$2&amp;"*FangerPMV(Hourly)",'Eplus results'!$1:$1048576,ROW(),FALSE)</f>
        <v>0</v>
      </c>
      <c r="AD5804" s="580">
        <f t="shared" si="486"/>
        <v>5</v>
      </c>
      <c r="AE5804" s="580">
        <f t="shared" si="487"/>
        <v>2.5</v>
      </c>
      <c r="AF5804" s="580">
        <f t="shared" si="488"/>
        <v>2.5</v>
      </c>
      <c r="AG5804" s="580">
        <f t="shared" si="489"/>
        <v>0</v>
      </c>
      <c r="AH5804" s="580">
        <f t="shared" si="490"/>
        <v>0</v>
      </c>
    </row>
    <row r="5805" spans="28:34">
      <c r="AB5805" s="580">
        <f>HLOOKUP("*"&amp;'Output annual'!$AC$2&amp;'Output annual'!$AD$2&amp;"*Zone People Number Of Occupants [](Hourly)",'Eplus results'!$1:$1048576,ROW(),FALSE)</f>
        <v>0</v>
      </c>
      <c r="AC5805" s="580">
        <f>HLOOKUP("*"&amp;'Output annual'!$AC$2&amp;'Output annual'!$AD$2&amp;"*FangerPMV(Hourly)",'Eplus results'!$1:$1048576,ROW(),FALSE)</f>
        <v>0</v>
      </c>
      <c r="AD5805" s="580">
        <f t="shared" si="486"/>
        <v>5</v>
      </c>
      <c r="AE5805" s="580">
        <f t="shared" si="487"/>
        <v>2.5</v>
      </c>
      <c r="AF5805" s="580">
        <f t="shared" si="488"/>
        <v>2.5</v>
      </c>
      <c r="AG5805" s="580">
        <f t="shared" si="489"/>
        <v>0</v>
      </c>
      <c r="AH5805" s="580">
        <f t="shared" si="490"/>
        <v>0</v>
      </c>
    </row>
    <row r="5806" spans="28:34">
      <c r="AB5806" s="580">
        <f>HLOOKUP("*"&amp;'Output annual'!$AC$2&amp;'Output annual'!$AD$2&amp;"*Zone People Number Of Occupants [](Hourly)",'Eplus results'!$1:$1048576,ROW(),FALSE)</f>
        <v>0</v>
      </c>
      <c r="AC5806" s="580">
        <f>HLOOKUP("*"&amp;'Output annual'!$AC$2&amp;'Output annual'!$AD$2&amp;"*FangerPMV(Hourly)",'Eplus results'!$1:$1048576,ROW(),FALSE)</f>
        <v>0</v>
      </c>
      <c r="AD5806" s="580">
        <f t="shared" si="486"/>
        <v>5</v>
      </c>
      <c r="AE5806" s="580">
        <f t="shared" si="487"/>
        <v>2.5</v>
      </c>
      <c r="AF5806" s="580">
        <f t="shared" si="488"/>
        <v>2.5</v>
      </c>
      <c r="AG5806" s="580">
        <f t="shared" si="489"/>
        <v>0</v>
      </c>
      <c r="AH5806" s="580">
        <f t="shared" si="490"/>
        <v>0</v>
      </c>
    </row>
    <row r="5807" spans="28:34">
      <c r="AB5807" s="580">
        <f>HLOOKUP("*"&amp;'Output annual'!$AC$2&amp;'Output annual'!$AD$2&amp;"*Zone People Number Of Occupants [](Hourly)",'Eplus results'!$1:$1048576,ROW(),FALSE)</f>
        <v>0</v>
      </c>
      <c r="AC5807" s="580">
        <f>HLOOKUP("*"&amp;'Output annual'!$AC$2&amp;'Output annual'!$AD$2&amp;"*FangerPMV(Hourly)",'Eplus results'!$1:$1048576,ROW(),FALSE)</f>
        <v>0</v>
      </c>
      <c r="AD5807" s="580">
        <f t="shared" si="486"/>
        <v>5</v>
      </c>
      <c r="AE5807" s="580">
        <f t="shared" si="487"/>
        <v>2.5</v>
      </c>
      <c r="AF5807" s="580">
        <f t="shared" si="488"/>
        <v>2.5</v>
      </c>
      <c r="AG5807" s="580">
        <f t="shared" si="489"/>
        <v>0</v>
      </c>
      <c r="AH5807" s="580">
        <f t="shared" si="490"/>
        <v>0</v>
      </c>
    </row>
    <row r="5808" spans="28:34">
      <c r="AB5808" s="580">
        <f>HLOOKUP("*"&amp;'Output annual'!$AC$2&amp;'Output annual'!$AD$2&amp;"*Zone People Number Of Occupants [](Hourly)",'Eplus results'!$1:$1048576,ROW(),FALSE)</f>
        <v>0</v>
      </c>
      <c r="AC5808" s="580">
        <f>HLOOKUP("*"&amp;'Output annual'!$AC$2&amp;'Output annual'!$AD$2&amp;"*FangerPMV(Hourly)",'Eplus results'!$1:$1048576,ROW(),FALSE)</f>
        <v>0</v>
      </c>
      <c r="AD5808" s="580">
        <f t="shared" si="486"/>
        <v>5</v>
      </c>
      <c r="AE5808" s="580">
        <f t="shared" si="487"/>
        <v>2.5</v>
      </c>
      <c r="AF5808" s="580">
        <f t="shared" si="488"/>
        <v>2.5</v>
      </c>
      <c r="AG5808" s="580">
        <f t="shared" si="489"/>
        <v>0</v>
      </c>
      <c r="AH5808" s="580">
        <f t="shared" si="490"/>
        <v>0</v>
      </c>
    </row>
    <row r="5809" spans="28:34">
      <c r="AB5809" s="580">
        <f>HLOOKUP("*"&amp;'Output annual'!$AC$2&amp;'Output annual'!$AD$2&amp;"*Zone People Number Of Occupants [](Hourly)",'Eplus results'!$1:$1048576,ROW(),FALSE)</f>
        <v>0</v>
      </c>
      <c r="AC5809" s="580">
        <f>HLOOKUP("*"&amp;'Output annual'!$AC$2&amp;'Output annual'!$AD$2&amp;"*FangerPMV(Hourly)",'Eplus results'!$1:$1048576,ROW(),FALSE)</f>
        <v>0</v>
      </c>
      <c r="AD5809" s="580">
        <f t="shared" si="486"/>
        <v>5</v>
      </c>
      <c r="AE5809" s="580">
        <f t="shared" si="487"/>
        <v>2.5</v>
      </c>
      <c r="AF5809" s="580">
        <f t="shared" si="488"/>
        <v>2.5</v>
      </c>
      <c r="AG5809" s="580">
        <f t="shared" si="489"/>
        <v>0</v>
      </c>
      <c r="AH5809" s="580">
        <f t="shared" si="490"/>
        <v>0</v>
      </c>
    </row>
    <row r="5810" spans="28:34">
      <c r="AB5810" s="580">
        <f>HLOOKUP("*"&amp;'Output annual'!$AC$2&amp;'Output annual'!$AD$2&amp;"*Zone People Number Of Occupants [](Hourly)",'Eplus results'!$1:$1048576,ROW(),FALSE)</f>
        <v>0</v>
      </c>
      <c r="AC5810" s="580">
        <f>HLOOKUP("*"&amp;'Output annual'!$AC$2&amp;'Output annual'!$AD$2&amp;"*FangerPMV(Hourly)",'Eplus results'!$1:$1048576,ROW(),FALSE)</f>
        <v>0</v>
      </c>
      <c r="AD5810" s="580">
        <f t="shared" si="486"/>
        <v>5</v>
      </c>
      <c r="AE5810" s="580">
        <f t="shared" si="487"/>
        <v>2.5</v>
      </c>
      <c r="AF5810" s="580">
        <f t="shared" si="488"/>
        <v>2.5</v>
      </c>
      <c r="AG5810" s="580">
        <f t="shared" si="489"/>
        <v>0</v>
      </c>
      <c r="AH5810" s="580">
        <f t="shared" si="490"/>
        <v>0</v>
      </c>
    </row>
    <row r="5811" spans="28:34">
      <c r="AB5811" s="580">
        <f>HLOOKUP("*"&amp;'Output annual'!$AC$2&amp;'Output annual'!$AD$2&amp;"*Zone People Number Of Occupants [](Hourly)",'Eplus results'!$1:$1048576,ROW(),FALSE)</f>
        <v>0</v>
      </c>
      <c r="AC5811" s="580">
        <f>HLOOKUP("*"&amp;'Output annual'!$AC$2&amp;'Output annual'!$AD$2&amp;"*FangerPMV(Hourly)",'Eplus results'!$1:$1048576,ROW(),FALSE)</f>
        <v>0</v>
      </c>
      <c r="AD5811" s="580">
        <f t="shared" si="486"/>
        <v>5</v>
      </c>
      <c r="AE5811" s="580">
        <f t="shared" si="487"/>
        <v>2.5</v>
      </c>
      <c r="AF5811" s="580">
        <f t="shared" si="488"/>
        <v>2.5</v>
      </c>
      <c r="AG5811" s="580">
        <f t="shared" si="489"/>
        <v>0</v>
      </c>
      <c r="AH5811" s="580">
        <f t="shared" si="490"/>
        <v>0</v>
      </c>
    </row>
    <row r="5812" spans="28:34">
      <c r="AB5812" s="580">
        <f>HLOOKUP("*"&amp;'Output annual'!$AC$2&amp;'Output annual'!$AD$2&amp;"*Zone People Number Of Occupants [](Hourly)",'Eplus results'!$1:$1048576,ROW(),FALSE)</f>
        <v>0</v>
      </c>
      <c r="AC5812" s="580">
        <f>HLOOKUP("*"&amp;'Output annual'!$AC$2&amp;'Output annual'!$AD$2&amp;"*FangerPMV(Hourly)",'Eplus results'!$1:$1048576,ROW(),FALSE)</f>
        <v>0</v>
      </c>
      <c r="AD5812" s="580">
        <f t="shared" si="486"/>
        <v>5</v>
      </c>
      <c r="AE5812" s="580">
        <f t="shared" si="487"/>
        <v>2.5</v>
      </c>
      <c r="AF5812" s="580">
        <f t="shared" si="488"/>
        <v>2.5</v>
      </c>
      <c r="AG5812" s="580">
        <f t="shared" si="489"/>
        <v>0</v>
      </c>
      <c r="AH5812" s="580">
        <f t="shared" si="490"/>
        <v>0</v>
      </c>
    </row>
    <row r="5813" spans="28:34">
      <c r="AB5813" s="580">
        <f>HLOOKUP("*"&amp;'Output annual'!$AC$2&amp;'Output annual'!$AD$2&amp;"*Zone People Number Of Occupants [](Hourly)",'Eplus results'!$1:$1048576,ROW(),FALSE)</f>
        <v>0</v>
      </c>
      <c r="AC5813" s="580">
        <f>HLOOKUP("*"&amp;'Output annual'!$AC$2&amp;'Output annual'!$AD$2&amp;"*FangerPMV(Hourly)",'Eplus results'!$1:$1048576,ROW(),FALSE)</f>
        <v>0</v>
      </c>
      <c r="AD5813" s="580">
        <f t="shared" si="486"/>
        <v>5</v>
      </c>
      <c r="AE5813" s="580">
        <f t="shared" si="487"/>
        <v>2.5</v>
      </c>
      <c r="AF5813" s="580">
        <f t="shared" si="488"/>
        <v>2.5</v>
      </c>
      <c r="AG5813" s="580">
        <f t="shared" si="489"/>
        <v>0</v>
      </c>
      <c r="AH5813" s="580">
        <f t="shared" si="490"/>
        <v>0</v>
      </c>
    </row>
    <row r="5814" spans="28:34">
      <c r="AB5814" s="580">
        <f>HLOOKUP("*"&amp;'Output annual'!$AC$2&amp;'Output annual'!$AD$2&amp;"*Zone People Number Of Occupants [](Hourly)",'Eplus results'!$1:$1048576,ROW(),FALSE)</f>
        <v>0</v>
      </c>
      <c r="AC5814" s="580">
        <f>HLOOKUP("*"&amp;'Output annual'!$AC$2&amp;'Output annual'!$AD$2&amp;"*FangerPMV(Hourly)",'Eplus results'!$1:$1048576,ROW(),FALSE)</f>
        <v>0</v>
      </c>
      <c r="AD5814" s="580">
        <f t="shared" si="486"/>
        <v>5</v>
      </c>
      <c r="AE5814" s="580">
        <f t="shared" si="487"/>
        <v>2.5</v>
      </c>
      <c r="AF5814" s="580">
        <f t="shared" si="488"/>
        <v>2.5</v>
      </c>
      <c r="AG5814" s="580">
        <f t="shared" si="489"/>
        <v>0</v>
      </c>
      <c r="AH5814" s="580">
        <f t="shared" si="490"/>
        <v>0</v>
      </c>
    </row>
    <row r="5815" spans="28:34">
      <c r="AB5815" s="580">
        <f>HLOOKUP("*"&amp;'Output annual'!$AC$2&amp;'Output annual'!$AD$2&amp;"*Zone People Number Of Occupants [](Hourly)",'Eplus results'!$1:$1048576,ROW(),FALSE)</f>
        <v>0</v>
      </c>
      <c r="AC5815" s="580">
        <f>HLOOKUP("*"&amp;'Output annual'!$AC$2&amp;'Output annual'!$AD$2&amp;"*FangerPMV(Hourly)",'Eplus results'!$1:$1048576,ROW(),FALSE)</f>
        <v>0</v>
      </c>
      <c r="AD5815" s="580">
        <f t="shared" si="486"/>
        <v>5</v>
      </c>
      <c r="AE5815" s="580">
        <f t="shared" si="487"/>
        <v>2.5</v>
      </c>
      <c r="AF5815" s="580">
        <f t="shared" si="488"/>
        <v>2.5</v>
      </c>
      <c r="AG5815" s="580">
        <f t="shared" si="489"/>
        <v>0</v>
      </c>
      <c r="AH5815" s="580">
        <f t="shared" si="490"/>
        <v>0</v>
      </c>
    </row>
    <row r="5816" spans="28:34">
      <c r="AB5816" s="580">
        <f>HLOOKUP("*"&amp;'Output annual'!$AC$2&amp;'Output annual'!$AD$2&amp;"*Zone People Number Of Occupants [](Hourly)",'Eplus results'!$1:$1048576,ROW(),FALSE)</f>
        <v>0</v>
      </c>
      <c r="AC5816" s="580">
        <f>HLOOKUP("*"&amp;'Output annual'!$AC$2&amp;'Output annual'!$AD$2&amp;"*FangerPMV(Hourly)",'Eplus results'!$1:$1048576,ROW(),FALSE)</f>
        <v>0</v>
      </c>
      <c r="AD5816" s="580">
        <f t="shared" si="486"/>
        <v>5</v>
      </c>
      <c r="AE5816" s="580">
        <f t="shared" si="487"/>
        <v>2.5</v>
      </c>
      <c r="AF5816" s="580">
        <f t="shared" si="488"/>
        <v>2.5</v>
      </c>
      <c r="AG5816" s="580">
        <f t="shared" si="489"/>
        <v>0</v>
      </c>
      <c r="AH5816" s="580">
        <f t="shared" si="490"/>
        <v>0</v>
      </c>
    </row>
    <row r="5817" spans="28:34">
      <c r="AB5817" s="580">
        <f>HLOOKUP("*"&amp;'Output annual'!$AC$2&amp;'Output annual'!$AD$2&amp;"*Zone People Number Of Occupants [](Hourly)",'Eplus results'!$1:$1048576,ROW(),FALSE)</f>
        <v>0</v>
      </c>
      <c r="AC5817" s="580">
        <f>HLOOKUP("*"&amp;'Output annual'!$AC$2&amp;'Output annual'!$AD$2&amp;"*FangerPMV(Hourly)",'Eplus results'!$1:$1048576,ROW(),FALSE)</f>
        <v>0</v>
      </c>
      <c r="AD5817" s="580">
        <f t="shared" si="486"/>
        <v>5</v>
      </c>
      <c r="AE5817" s="580">
        <f t="shared" si="487"/>
        <v>2.5</v>
      </c>
      <c r="AF5817" s="580">
        <f t="shared" si="488"/>
        <v>2.5</v>
      </c>
      <c r="AG5817" s="580">
        <f t="shared" si="489"/>
        <v>0</v>
      </c>
      <c r="AH5817" s="580">
        <f t="shared" si="490"/>
        <v>0</v>
      </c>
    </row>
    <row r="5818" spans="28:34">
      <c r="AB5818" s="580">
        <f>HLOOKUP("*"&amp;'Output annual'!$AC$2&amp;'Output annual'!$AD$2&amp;"*Zone People Number Of Occupants [](Hourly)",'Eplus results'!$1:$1048576,ROW(),FALSE)</f>
        <v>0</v>
      </c>
      <c r="AC5818" s="580">
        <f>HLOOKUP("*"&amp;'Output annual'!$AC$2&amp;'Output annual'!$AD$2&amp;"*FangerPMV(Hourly)",'Eplus results'!$1:$1048576,ROW(),FALSE)</f>
        <v>0</v>
      </c>
      <c r="AD5818" s="580">
        <f t="shared" si="486"/>
        <v>5</v>
      </c>
      <c r="AE5818" s="580">
        <f t="shared" si="487"/>
        <v>2.5</v>
      </c>
      <c r="AF5818" s="580">
        <f t="shared" si="488"/>
        <v>2.5</v>
      </c>
      <c r="AG5818" s="580">
        <f t="shared" si="489"/>
        <v>0</v>
      </c>
      <c r="AH5818" s="580">
        <f t="shared" si="490"/>
        <v>0</v>
      </c>
    </row>
    <row r="5819" spans="28:34">
      <c r="AB5819" s="580">
        <f>HLOOKUP("*"&amp;'Output annual'!$AC$2&amp;'Output annual'!$AD$2&amp;"*Zone People Number Of Occupants [](Hourly)",'Eplus results'!$1:$1048576,ROW(),FALSE)</f>
        <v>0</v>
      </c>
      <c r="AC5819" s="580">
        <f>HLOOKUP("*"&amp;'Output annual'!$AC$2&amp;'Output annual'!$AD$2&amp;"*FangerPMV(Hourly)",'Eplus results'!$1:$1048576,ROW(),FALSE)</f>
        <v>0</v>
      </c>
      <c r="AD5819" s="580">
        <f t="shared" si="486"/>
        <v>5</v>
      </c>
      <c r="AE5819" s="580">
        <f t="shared" si="487"/>
        <v>2.5</v>
      </c>
      <c r="AF5819" s="580">
        <f t="shared" si="488"/>
        <v>2.5</v>
      </c>
      <c r="AG5819" s="580">
        <f t="shared" si="489"/>
        <v>0</v>
      </c>
      <c r="AH5819" s="580">
        <f t="shared" si="490"/>
        <v>0</v>
      </c>
    </row>
    <row r="5820" spans="28:34">
      <c r="AB5820" s="580">
        <f>HLOOKUP("*"&amp;'Output annual'!$AC$2&amp;'Output annual'!$AD$2&amp;"*Zone People Number Of Occupants [](Hourly)",'Eplus results'!$1:$1048576,ROW(),FALSE)</f>
        <v>0</v>
      </c>
      <c r="AC5820" s="580">
        <f>HLOOKUP("*"&amp;'Output annual'!$AC$2&amp;'Output annual'!$AD$2&amp;"*FangerPMV(Hourly)",'Eplus results'!$1:$1048576,ROW(),FALSE)</f>
        <v>0</v>
      </c>
      <c r="AD5820" s="580">
        <f t="shared" si="486"/>
        <v>5</v>
      </c>
      <c r="AE5820" s="580">
        <f t="shared" si="487"/>
        <v>2.5</v>
      </c>
      <c r="AF5820" s="580">
        <f t="shared" si="488"/>
        <v>2.5</v>
      </c>
      <c r="AG5820" s="580">
        <f t="shared" si="489"/>
        <v>0</v>
      </c>
      <c r="AH5820" s="580">
        <f t="shared" si="490"/>
        <v>0</v>
      </c>
    </row>
    <row r="5821" spans="28:34">
      <c r="AB5821" s="580">
        <f>HLOOKUP("*"&amp;'Output annual'!$AC$2&amp;'Output annual'!$AD$2&amp;"*Zone People Number Of Occupants [](Hourly)",'Eplus results'!$1:$1048576,ROW(),FALSE)</f>
        <v>0</v>
      </c>
      <c r="AC5821" s="580">
        <f>HLOOKUP("*"&amp;'Output annual'!$AC$2&amp;'Output annual'!$AD$2&amp;"*FangerPMV(Hourly)",'Eplus results'!$1:$1048576,ROW(),FALSE)</f>
        <v>0</v>
      </c>
      <c r="AD5821" s="580">
        <f t="shared" si="486"/>
        <v>5</v>
      </c>
      <c r="AE5821" s="580">
        <f t="shared" si="487"/>
        <v>2.5</v>
      </c>
      <c r="AF5821" s="580">
        <f t="shared" si="488"/>
        <v>2.5</v>
      </c>
      <c r="AG5821" s="580">
        <f t="shared" si="489"/>
        <v>0</v>
      </c>
      <c r="AH5821" s="580">
        <f t="shared" si="490"/>
        <v>0</v>
      </c>
    </row>
    <row r="5822" spans="28:34">
      <c r="AB5822" s="580">
        <f>HLOOKUP("*"&amp;'Output annual'!$AC$2&amp;'Output annual'!$AD$2&amp;"*Zone People Number Of Occupants [](Hourly)",'Eplus results'!$1:$1048576,ROW(),FALSE)</f>
        <v>0</v>
      </c>
      <c r="AC5822" s="580">
        <f>HLOOKUP("*"&amp;'Output annual'!$AC$2&amp;'Output annual'!$AD$2&amp;"*FangerPMV(Hourly)",'Eplus results'!$1:$1048576,ROW(),FALSE)</f>
        <v>0</v>
      </c>
      <c r="AD5822" s="580">
        <f t="shared" si="486"/>
        <v>5</v>
      </c>
      <c r="AE5822" s="580">
        <f t="shared" si="487"/>
        <v>2.5</v>
      </c>
      <c r="AF5822" s="580">
        <f t="shared" si="488"/>
        <v>2.5</v>
      </c>
      <c r="AG5822" s="580">
        <f t="shared" si="489"/>
        <v>0</v>
      </c>
      <c r="AH5822" s="580">
        <f t="shared" si="490"/>
        <v>0</v>
      </c>
    </row>
    <row r="5823" spans="28:34">
      <c r="AB5823" s="580">
        <f>HLOOKUP("*"&amp;'Output annual'!$AC$2&amp;'Output annual'!$AD$2&amp;"*Zone People Number Of Occupants [](Hourly)",'Eplus results'!$1:$1048576,ROW(),FALSE)</f>
        <v>0</v>
      </c>
      <c r="AC5823" s="580">
        <f>HLOOKUP("*"&amp;'Output annual'!$AC$2&amp;'Output annual'!$AD$2&amp;"*FangerPMV(Hourly)",'Eplus results'!$1:$1048576,ROW(),FALSE)</f>
        <v>0</v>
      </c>
      <c r="AD5823" s="580">
        <f t="shared" si="486"/>
        <v>5</v>
      </c>
      <c r="AE5823" s="580">
        <f t="shared" si="487"/>
        <v>2.5</v>
      </c>
      <c r="AF5823" s="580">
        <f t="shared" si="488"/>
        <v>2.5</v>
      </c>
      <c r="AG5823" s="580">
        <f t="shared" si="489"/>
        <v>0</v>
      </c>
      <c r="AH5823" s="580">
        <f t="shared" si="490"/>
        <v>0</v>
      </c>
    </row>
    <row r="5824" spans="28:34">
      <c r="AB5824" s="580">
        <f>HLOOKUP("*"&amp;'Output annual'!$AC$2&amp;'Output annual'!$AD$2&amp;"*Zone People Number Of Occupants [](Hourly)",'Eplus results'!$1:$1048576,ROW(),FALSE)</f>
        <v>0</v>
      </c>
      <c r="AC5824" s="580">
        <f>HLOOKUP("*"&amp;'Output annual'!$AC$2&amp;'Output annual'!$AD$2&amp;"*FangerPMV(Hourly)",'Eplus results'!$1:$1048576,ROW(),FALSE)</f>
        <v>0</v>
      </c>
      <c r="AD5824" s="580">
        <f t="shared" si="486"/>
        <v>5</v>
      </c>
      <c r="AE5824" s="580">
        <f t="shared" si="487"/>
        <v>2.5</v>
      </c>
      <c r="AF5824" s="580">
        <f t="shared" si="488"/>
        <v>2.5</v>
      </c>
      <c r="AG5824" s="580">
        <f t="shared" si="489"/>
        <v>0</v>
      </c>
      <c r="AH5824" s="580">
        <f t="shared" si="490"/>
        <v>0</v>
      </c>
    </row>
    <row r="5825" spans="28:34">
      <c r="AB5825" s="580">
        <f>HLOOKUP("*"&amp;'Output annual'!$AC$2&amp;'Output annual'!$AD$2&amp;"*Zone People Number Of Occupants [](Hourly)",'Eplus results'!$1:$1048576,ROW(),FALSE)</f>
        <v>0</v>
      </c>
      <c r="AC5825" s="580">
        <f>HLOOKUP("*"&amp;'Output annual'!$AC$2&amp;'Output annual'!$AD$2&amp;"*FangerPMV(Hourly)",'Eplus results'!$1:$1048576,ROW(),FALSE)</f>
        <v>0</v>
      </c>
      <c r="AD5825" s="580">
        <f t="shared" si="486"/>
        <v>5</v>
      </c>
      <c r="AE5825" s="580">
        <f t="shared" si="487"/>
        <v>2.5</v>
      </c>
      <c r="AF5825" s="580">
        <f t="shared" si="488"/>
        <v>2.5</v>
      </c>
      <c r="AG5825" s="580">
        <f t="shared" si="489"/>
        <v>0</v>
      </c>
      <c r="AH5825" s="580">
        <f t="shared" si="490"/>
        <v>0</v>
      </c>
    </row>
    <row r="5826" spans="28:34">
      <c r="AB5826" s="580">
        <f>HLOOKUP("*"&amp;'Output annual'!$AC$2&amp;'Output annual'!$AD$2&amp;"*Zone People Number Of Occupants [](Hourly)",'Eplus results'!$1:$1048576,ROW(),FALSE)</f>
        <v>0</v>
      </c>
      <c r="AC5826" s="580">
        <f>HLOOKUP("*"&amp;'Output annual'!$AC$2&amp;'Output annual'!$AD$2&amp;"*FangerPMV(Hourly)",'Eplus results'!$1:$1048576,ROW(),FALSE)</f>
        <v>0</v>
      </c>
      <c r="AD5826" s="580">
        <f t="shared" si="486"/>
        <v>5</v>
      </c>
      <c r="AE5826" s="580">
        <f t="shared" si="487"/>
        <v>2.5</v>
      </c>
      <c r="AF5826" s="580">
        <f t="shared" si="488"/>
        <v>2.5</v>
      </c>
      <c r="AG5826" s="580">
        <f t="shared" si="489"/>
        <v>0</v>
      </c>
      <c r="AH5826" s="580">
        <f t="shared" si="490"/>
        <v>0</v>
      </c>
    </row>
    <row r="5827" spans="28:34">
      <c r="AB5827" s="580">
        <f>HLOOKUP("*"&amp;'Output annual'!$AC$2&amp;'Output annual'!$AD$2&amp;"*Zone People Number Of Occupants [](Hourly)",'Eplus results'!$1:$1048576,ROW(),FALSE)</f>
        <v>0</v>
      </c>
      <c r="AC5827" s="580">
        <f>HLOOKUP("*"&amp;'Output annual'!$AC$2&amp;'Output annual'!$AD$2&amp;"*FangerPMV(Hourly)",'Eplus results'!$1:$1048576,ROW(),FALSE)</f>
        <v>0</v>
      </c>
      <c r="AD5827" s="580">
        <f t="shared" ref="AD5827:AD5890" si="491">100-95*EXP(-0.03353*AC5827^4-0.2179*AC5827^2)</f>
        <v>5</v>
      </c>
      <c r="AE5827" s="580">
        <f t="shared" ref="AE5827:AE5890" si="492">AD5827*(1/(1+EXP(-6.3*$AC5827)))</f>
        <v>2.5</v>
      </c>
      <c r="AF5827" s="580">
        <f t="shared" ref="AF5827:AF5890" si="493">(AD5827-AE5827)</f>
        <v>2.5</v>
      </c>
      <c r="AG5827" s="580">
        <f t="shared" ref="AG5827:AG5890" si="494">AE5827*AB5827</f>
        <v>0</v>
      </c>
      <c r="AH5827" s="580">
        <f t="shared" ref="AH5827:AH5890" si="495">AF5827*AB5827</f>
        <v>0</v>
      </c>
    </row>
    <row r="5828" spans="28:34">
      <c r="AB5828" s="580">
        <f>HLOOKUP("*"&amp;'Output annual'!$AC$2&amp;'Output annual'!$AD$2&amp;"*Zone People Number Of Occupants [](Hourly)",'Eplus results'!$1:$1048576,ROW(),FALSE)</f>
        <v>0</v>
      </c>
      <c r="AC5828" s="580">
        <f>HLOOKUP("*"&amp;'Output annual'!$AC$2&amp;'Output annual'!$AD$2&amp;"*FangerPMV(Hourly)",'Eplus results'!$1:$1048576,ROW(),FALSE)</f>
        <v>0</v>
      </c>
      <c r="AD5828" s="580">
        <f t="shared" si="491"/>
        <v>5</v>
      </c>
      <c r="AE5828" s="580">
        <f t="shared" si="492"/>
        <v>2.5</v>
      </c>
      <c r="AF5828" s="580">
        <f t="shared" si="493"/>
        <v>2.5</v>
      </c>
      <c r="AG5828" s="580">
        <f t="shared" si="494"/>
        <v>0</v>
      </c>
      <c r="AH5828" s="580">
        <f t="shared" si="495"/>
        <v>0</v>
      </c>
    </row>
    <row r="5829" spans="28:34">
      <c r="AB5829" s="580">
        <f>HLOOKUP("*"&amp;'Output annual'!$AC$2&amp;'Output annual'!$AD$2&amp;"*Zone People Number Of Occupants [](Hourly)",'Eplus results'!$1:$1048576,ROW(),FALSE)</f>
        <v>0</v>
      </c>
      <c r="AC5829" s="580">
        <f>HLOOKUP("*"&amp;'Output annual'!$AC$2&amp;'Output annual'!$AD$2&amp;"*FangerPMV(Hourly)",'Eplus results'!$1:$1048576,ROW(),FALSE)</f>
        <v>0</v>
      </c>
      <c r="AD5829" s="580">
        <f t="shared" si="491"/>
        <v>5</v>
      </c>
      <c r="AE5829" s="580">
        <f t="shared" si="492"/>
        <v>2.5</v>
      </c>
      <c r="AF5829" s="580">
        <f t="shared" si="493"/>
        <v>2.5</v>
      </c>
      <c r="AG5829" s="580">
        <f t="shared" si="494"/>
        <v>0</v>
      </c>
      <c r="AH5829" s="580">
        <f t="shared" si="495"/>
        <v>0</v>
      </c>
    </row>
    <row r="5830" spans="28:34">
      <c r="AB5830" s="580">
        <f>HLOOKUP("*"&amp;'Output annual'!$AC$2&amp;'Output annual'!$AD$2&amp;"*Zone People Number Of Occupants [](Hourly)",'Eplus results'!$1:$1048576,ROW(),FALSE)</f>
        <v>0</v>
      </c>
      <c r="AC5830" s="580">
        <f>HLOOKUP("*"&amp;'Output annual'!$AC$2&amp;'Output annual'!$AD$2&amp;"*FangerPMV(Hourly)",'Eplus results'!$1:$1048576,ROW(),FALSE)</f>
        <v>0</v>
      </c>
      <c r="AD5830" s="580">
        <f t="shared" si="491"/>
        <v>5</v>
      </c>
      <c r="AE5830" s="580">
        <f t="shared" si="492"/>
        <v>2.5</v>
      </c>
      <c r="AF5830" s="580">
        <f t="shared" si="493"/>
        <v>2.5</v>
      </c>
      <c r="AG5830" s="580">
        <f t="shared" si="494"/>
        <v>0</v>
      </c>
      <c r="AH5830" s="580">
        <f t="shared" si="495"/>
        <v>0</v>
      </c>
    </row>
    <row r="5831" spans="28:34">
      <c r="AB5831" s="580">
        <f>HLOOKUP("*"&amp;'Output annual'!$AC$2&amp;'Output annual'!$AD$2&amp;"*Zone People Number Of Occupants [](Hourly)",'Eplus results'!$1:$1048576,ROW(),FALSE)</f>
        <v>0</v>
      </c>
      <c r="AC5831" s="580">
        <f>HLOOKUP("*"&amp;'Output annual'!$AC$2&amp;'Output annual'!$AD$2&amp;"*FangerPMV(Hourly)",'Eplus results'!$1:$1048576,ROW(),FALSE)</f>
        <v>0</v>
      </c>
      <c r="AD5831" s="580">
        <f t="shared" si="491"/>
        <v>5</v>
      </c>
      <c r="AE5831" s="580">
        <f t="shared" si="492"/>
        <v>2.5</v>
      </c>
      <c r="AF5831" s="580">
        <f t="shared" si="493"/>
        <v>2.5</v>
      </c>
      <c r="AG5831" s="580">
        <f t="shared" si="494"/>
        <v>0</v>
      </c>
      <c r="AH5831" s="580">
        <f t="shared" si="495"/>
        <v>0</v>
      </c>
    </row>
    <row r="5832" spans="28:34">
      <c r="AB5832" s="580">
        <f>HLOOKUP("*"&amp;'Output annual'!$AC$2&amp;'Output annual'!$AD$2&amp;"*Zone People Number Of Occupants [](Hourly)",'Eplus results'!$1:$1048576,ROW(),FALSE)</f>
        <v>0</v>
      </c>
      <c r="AC5832" s="580">
        <f>HLOOKUP("*"&amp;'Output annual'!$AC$2&amp;'Output annual'!$AD$2&amp;"*FangerPMV(Hourly)",'Eplus results'!$1:$1048576,ROW(),FALSE)</f>
        <v>0</v>
      </c>
      <c r="AD5832" s="580">
        <f t="shared" si="491"/>
        <v>5</v>
      </c>
      <c r="AE5832" s="580">
        <f t="shared" si="492"/>
        <v>2.5</v>
      </c>
      <c r="AF5832" s="580">
        <f t="shared" si="493"/>
        <v>2.5</v>
      </c>
      <c r="AG5832" s="580">
        <f t="shared" si="494"/>
        <v>0</v>
      </c>
      <c r="AH5832" s="580">
        <f t="shared" si="495"/>
        <v>0</v>
      </c>
    </row>
    <row r="5833" spans="28:34">
      <c r="AB5833" s="580">
        <f>HLOOKUP("*"&amp;'Output annual'!$AC$2&amp;'Output annual'!$AD$2&amp;"*Zone People Number Of Occupants [](Hourly)",'Eplus results'!$1:$1048576,ROW(),FALSE)</f>
        <v>0</v>
      </c>
      <c r="AC5833" s="580">
        <f>HLOOKUP("*"&amp;'Output annual'!$AC$2&amp;'Output annual'!$AD$2&amp;"*FangerPMV(Hourly)",'Eplus results'!$1:$1048576,ROW(),FALSE)</f>
        <v>0</v>
      </c>
      <c r="AD5833" s="580">
        <f t="shared" si="491"/>
        <v>5</v>
      </c>
      <c r="AE5833" s="580">
        <f t="shared" si="492"/>
        <v>2.5</v>
      </c>
      <c r="AF5833" s="580">
        <f t="shared" si="493"/>
        <v>2.5</v>
      </c>
      <c r="AG5833" s="580">
        <f t="shared" si="494"/>
        <v>0</v>
      </c>
      <c r="AH5833" s="580">
        <f t="shared" si="495"/>
        <v>0</v>
      </c>
    </row>
    <row r="5834" spans="28:34">
      <c r="AB5834" s="580">
        <f>HLOOKUP("*"&amp;'Output annual'!$AC$2&amp;'Output annual'!$AD$2&amp;"*Zone People Number Of Occupants [](Hourly)",'Eplus results'!$1:$1048576,ROW(),FALSE)</f>
        <v>0</v>
      </c>
      <c r="AC5834" s="580">
        <f>HLOOKUP("*"&amp;'Output annual'!$AC$2&amp;'Output annual'!$AD$2&amp;"*FangerPMV(Hourly)",'Eplus results'!$1:$1048576,ROW(),FALSE)</f>
        <v>0</v>
      </c>
      <c r="AD5834" s="580">
        <f t="shared" si="491"/>
        <v>5</v>
      </c>
      <c r="AE5834" s="580">
        <f t="shared" si="492"/>
        <v>2.5</v>
      </c>
      <c r="AF5834" s="580">
        <f t="shared" si="493"/>
        <v>2.5</v>
      </c>
      <c r="AG5834" s="580">
        <f t="shared" si="494"/>
        <v>0</v>
      </c>
      <c r="AH5834" s="580">
        <f t="shared" si="495"/>
        <v>0</v>
      </c>
    </row>
    <row r="5835" spans="28:34">
      <c r="AB5835" s="580">
        <f>HLOOKUP("*"&amp;'Output annual'!$AC$2&amp;'Output annual'!$AD$2&amp;"*Zone People Number Of Occupants [](Hourly)",'Eplus results'!$1:$1048576,ROW(),FALSE)</f>
        <v>0</v>
      </c>
      <c r="AC5835" s="580">
        <f>HLOOKUP("*"&amp;'Output annual'!$AC$2&amp;'Output annual'!$AD$2&amp;"*FangerPMV(Hourly)",'Eplus results'!$1:$1048576,ROW(),FALSE)</f>
        <v>0</v>
      </c>
      <c r="AD5835" s="580">
        <f t="shared" si="491"/>
        <v>5</v>
      </c>
      <c r="AE5835" s="580">
        <f t="shared" si="492"/>
        <v>2.5</v>
      </c>
      <c r="AF5835" s="580">
        <f t="shared" si="493"/>
        <v>2.5</v>
      </c>
      <c r="AG5835" s="580">
        <f t="shared" si="494"/>
        <v>0</v>
      </c>
      <c r="AH5835" s="580">
        <f t="shared" si="495"/>
        <v>0</v>
      </c>
    </row>
    <row r="5836" spans="28:34">
      <c r="AB5836" s="580">
        <f>HLOOKUP("*"&amp;'Output annual'!$AC$2&amp;'Output annual'!$AD$2&amp;"*Zone People Number Of Occupants [](Hourly)",'Eplus results'!$1:$1048576,ROW(),FALSE)</f>
        <v>0</v>
      </c>
      <c r="AC5836" s="580">
        <f>HLOOKUP("*"&amp;'Output annual'!$AC$2&amp;'Output annual'!$AD$2&amp;"*FangerPMV(Hourly)",'Eplus results'!$1:$1048576,ROW(),FALSE)</f>
        <v>0</v>
      </c>
      <c r="AD5836" s="580">
        <f t="shared" si="491"/>
        <v>5</v>
      </c>
      <c r="AE5836" s="580">
        <f t="shared" si="492"/>
        <v>2.5</v>
      </c>
      <c r="AF5836" s="580">
        <f t="shared" si="493"/>
        <v>2.5</v>
      </c>
      <c r="AG5836" s="580">
        <f t="shared" si="494"/>
        <v>0</v>
      </c>
      <c r="AH5836" s="580">
        <f t="shared" si="495"/>
        <v>0</v>
      </c>
    </row>
    <row r="5837" spans="28:34">
      <c r="AB5837" s="580">
        <f>HLOOKUP("*"&amp;'Output annual'!$AC$2&amp;'Output annual'!$AD$2&amp;"*Zone People Number Of Occupants [](Hourly)",'Eplus results'!$1:$1048576,ROW(),FALSE)</f>
        <v>0</v>
      </c>
      <c r="AC5837" s="580">
        <f>HLOOKUP("*"&amp;'Output annual'!$AC$2&amp;'Output annual'!$AD$2&amp;"*FangerPMV(Hourly)",'Eplus results'!$1:$1048576,ROW(),FALSE)</f>
        <v>0</v>
      </c>
      <c r="AD5837" s="580">
        <f t="shared" si="491"/>
        <v>5</v>
      </c>
      <c r="AE5837" s="580">
        <f t="shared" si="492"/>
        <v>2.5</v>
      </c>
      <c r="AF5837" s="580">
        <f t="shared" si="493"/>
        <v>2.5</v>
      </c>
      <c r="AG5837" s="580">
        <f t="shared" si="494"/>
        <v>0</v>
      </c>
      <c r="AH5837" s="580">
        <f t="shared" si="495"/>
        <v>0</v>
      </c>
    </row>
    <row r="5838" spans="28:34">
      <c r="AB5838" s="580">
        <f>HLOOKUP("*"&amp;'Output annual'!$AC$2&amp;'Output annual'!$AD$2&amp;"*Zone People Number Of Occupants [](Hourly)",'Eplus results'!$1:$1048576,ROW(),FALSE)</f>
        <v>0</v>
      </c>
      <c r="AC5838" s="580">
        <f>HLOOKUP("*"&amp;'Output annual'!$AC$2&amp;'Output annual'!$AD$2&amp;"*FangerPMV(Hourly)",'Eplus results'!$1:$1048576,ROW(),FALSE)</f>
        <v>0</v>
      </c>
      <c r="AD5838" s="580">
        <f t="shared" si="491"/>
        <v>5</v>
      </c>
      <c r="AE5838" s="580">
        <f t="shared" si="492"/>
        <v>2.5</v>
      </c>
      <c r="AF5838" s="580">
        <f t="shared" si="493"/>
        <v>2.5</v>
      </c>
      <c r="AG5838" s="580">
        <f t="shared" si="494"/>
        <v>0</v>
      </c>
      <c r="AH5838" s="580">
        <f t="shared" si="495"/>
        <v>0</v>
      </c>
    </row>
    <row r="5839" spans="28:34">
      <c r="AB5839" s="580">
        <f>HLOOKUP("*"&amp;'Output annual'!$AC$2&amp;'Output annual'!$AD$2&amp;"*Zone People Number Of Occupants [](Hourly)",'Eplus results'!$1:$1048576,ROW(),FALSE)</f>
        <v>0</v>
      </c>
      <c r="AC5839" s="580">
        <f>HLOOKUP("*"&amp;'Output annual'!$AC$2&amp;'Output annual'!$AD$2&amp;"*FangerPMV(Hourly)",'Eplus results'!$1:$1048576,ROW(),FALSE)</f>
        <v>0</v>
      </c>
      <c r="AD5839" s="580">
        <f t="shared" si="491"/>
        <v>5</v>
      </c>
      <c r="AE5839" s="580">
        <f t="shared" si="492"/>
        <v>2.5</v>
      </c>
      <c r="AF5839" s="580">
        <f t="shared" si="493"/>
        <v>2.5</v>
      </c>
      <c r="AG5839" s="580">
        <f t="shared" si="494"/>
        <v>0</v>
      </c>
      <c r="AH5839" s="580">
        <f t="shared" si="495"/>
        <v>0</v>
      </c>
    </row>
    <row r="5840" spans="28:34">
      <c r="AB5840" s="580">
        <f>HLOOKUP("*"&amp;'Output annual'!$AC$2&amp;'Output annual'!$AD$2&amp;"*Zone People Number Of Occupants [](Hourly)",'Eplus results'!$1:$1048576,ROW(),FALSE)</f>
        <v>0</v>
      </c>
      <c r="AC5840" s="580">
        <f>HLOOKUP("*"&amp;'Output annual'!$AC$2&amp;'Output annual'!$AD$2&amp;"*FangerPMV(Hourly)",'Eplus results'!$1:$1048576,ROW(),FALSE)</f>
        <v>0</v>
      </c>
      <c r="AD5840" s="580">
        <f t="shared" si="491"/>
        <v>5</v>
      </c>
      <c r="AE5840" s="580">
        <f t="shared" si="492"/>
        <v>2.5</v>
      </c>
      <c r="AF5840" s="580">
        <f t="shared" si="493"/>
        <v>2.5</v>
      </c>
      <c r="AG5840" s="580">
        <f t="shared" si="494"/>
        <v>0</v>
      </c>
      <c r="AH5840" s="580">
        <f t="shared" si="495"/>
        <v>0</v>
      </c>
    </row>
    <row r="5841" spans="28:34">
      <c r="AB5841" s="580">
        <f>HLOOKUP("*"&amp;'Output annual'!$AC$2&amp;'Output annual'!$AD$2&amp;"*Zone People Number Of Occupants [](Hourly)",'Eplus results'!$1:$1048576,ROW(),FALSE)</f>
        <v>0</v>
      </c>
      <c r="AC5841" s="580">
        <f>HLOOKUP("*"&amp;'Output annual'!$AC$2&amp;'Output annual'!$AD$2&amp;"*FangerPMV(Hourly)",'Eplus results'!$1:$1048576,ROW(),FALSE)</f>
        <v>0</v>
      </c>
      <c r="AD5841" s="580">
        <f t="shared" si="491"/>
        <v>5</v>
      </c>
      <c r="AE5841" s="580">
        <f t="shared" si="492"/>
        <v>2.5</v>
      </c>
      <c r="AF5841" s="580">
        <f t="shared" si="493"/>
        <v>2.5</v>
      </c>
      <c r="AG5841" s="580">
        <f t="shared" si="494"/>
        <v>0</v>
      </c>
      <c r="AH5841" s="580">
        <f t="shared" si="495"/>
        <v>0</v>
      </c>
    </row>
    <row r="5842" spans="28:34">
      <c r="AB5842" s="580">
        <f>HLOOKUP("*"&amp;'Output annual'!$AC$2&amp;'Output annual'!$AD$2&amp;"*Zone People Number Of Occupants [](Hourly)",'Eplus results'!$1:$1048576,ROW(),FALSE)</f>
        <v>0</v>
      </c>
      <c r="AC5842" s="580">
        <f>HLOOKUP("*"&amp;'Output annual'!$AC$2&amp;'Output annual'!$AD$2&amp;"*FangerPMV(Hourly)",'Eplus results'!$1:$1048576,ROW(),FALSE)</f>
        <v>0</v>
      </c>
      <c r="AD5842" s="580">
        <f t="shared" si="491"/>
        <v>5</v>
      </c>
      <c r="AE5842" s="580">
        <f t="shared" si="492"/>
        <v>2.5</v>
      </c>
      <c r="AF5842" s="580">
        <f t="shared" si="493"/>
        <v>2.5</v>
      </c>
      <c r="AG5842" s="580">
        <f t="shared" si="494"/>
        <v>0</v>
      </c>
      <c r="AH5842" s="580">
        <f t="shared" si="495"/>
        <v>0</v>
      </c>
    </row>
    <row r="5843" spans="28:34">
      <c r="AB5843" s="580">
        <f>HLOOKUP("*"&amp;'Output annual'!$AC$2&amp;'Output annual'!$AD$2&amp;"*Zone People Number Of Occupants [](Hourly)",'Eplus results'!$1:$1048576,ROW(),FALSE)</f>
        <v>0</v>
      </c>
      <c r="AC5843" s="580">
        <f>HLOOKUP("*"&amp;'Output annual'!$AC$2&amp;'Output annual'!$AD$2&amp;"*FangerPMV(Hourly)",'Eplus results'!$1:$1048576,ROW(),FALSE)</f>
        <v>0</v>
      </c>
      <c r="AD5843" s="580">
        <f t="shared" si="491"/>
        <v>5</v>
      </c>
      <c r="AE5843" s="580">
        <f t="shared" si="492"/>
        <v>2.5</v>
      </c>
      <c r="AF5843" s="580">
        <f t="shared" si="493"/>
        <v>2.5</v>
      </c>
      <c r="AG5843" s="580">
        <f t="shared" si="494"/>
        <v>0</v>
      </c>
      <c r="AH5843" s="580">
        <f t="shared" si="495"/>
        <v>0</v>
      </c>
    </row>
    <row r="5844" spans="28:34">
      <c r="AB5844" s="580">
        <f>HLOOKUP("*"&amp;'Output annual'!$AC$2&amp;'Output annual'!$AD$2&amp;"*Zone People Number Of Occupants [](Hourly)",'Eplus results'!$1:$1048576,ROW(),FALSE)</f>
        <v>0</v>
      </c>
      <c r="AC5844" s="580">
        <f>HLOOKUP("*"&amp;'Output annual'!$AC$2&amp;'Output annual'!$AD$2&amp;"*FangerPMV(Hourly)",'Eplus results'!$1:$1048576,ROW(),FALSE)</f>
        <v>0</v>
      </c>
      <c r="AD5844" s="580">
        <f t="shared" si="491"/>
        <v>5</v>
      </c>
      <c r="AE5844" s="580">
        <f t="shared" si="492"/>
        <v>2.5</v>
      </c>
      <c r="AF5844" s="580">
        <f t="shared" si="493"/>
        <v>2.5</v>
      </c>
      <c r="AG5844" s="580">
        <f t="shared" si="494"/>
        <v>0</v>
      </c>
      <c r="AH5844" s="580">
        <f t="shared" si="495"/>
        <v>0</v>
      </c>
    </row>
    <row r="5845" spans="28:34">
      <c r="AB5845" s="580">
        <f>HLOOKUP("*"&amp;'Output annual'!$AC$2&amp;'Output annual'!$AD$2&amp;"*Zone People Number Of Occupants [](Hourly)",'Eplus results'!$1:$1048576,ROW(),FALSE)</f>
        <v>0</v>
      </c>
      <c r="AC5845" s="580">
        <f>HLOOKUP("*"&amp;'Output annual'!$AC$2&amp;'Output annual'!$AD$2&amp;"*FangerPMV(Hourly)",'Eplus results'!$1:$1048576,ROW(),FALSE)</f>
        <v>0</v>
      </c>
      <c r="AD5845" s="580">
        <f t="shared" si="491"/>
        <v>5</v>
      </c>
      <c r="AE5845" s="580">
        <f t="shared" si="492"/>
        <v>2.5</v>
      </c>
      <c r="AF5845" s="580">
        <f t="shared" si="493"/>
        <v>2.5</v>
      </c>
      <c r="AG5845" s="580">
        <f t="shared" si="494"/>
        <v>0</v>
      </c>
      <c r="AH5845" s="580">
        <f t="shared" si="495"/>
        <v>0</v>
      </c>
    </row>
    <row r="5846" spans="28:34">
      <c r="AB5846" s="580">
        <f>HLOOKUP("*"&amp;'Output annual'!$AC$2&amp;'Output annual'!$AD$2&amp;"*Zone People Number Of Occupants [](Hourly)",'Eplus results'!$1:$1048576,ROW(),FALSE)</f>
        <v>0</v>
      </c>
      <c r="AC5846" s="580">
        <f>HLOOKUP("*"&amp;'Output annual'!$AC$2&amp;'Output annual'!$AD$2&amp;"*FangerPMV(Hourly)",'Eplus results'!$1:$1048576,ROW(),FALSE)</f>
        <v>0</v>
      </c>
      <c r="AD5846" s="580">
        <f t="shared" si="491"/>
        <v>5</v>
      </c>
      <c r="AE5846" s="580">
        <f t="shared" si="492"/>
        <v>2.5</v>
      </c>
      <c r="AF5846" s="580">
        <f t="shared" si="493"/>
        <v>2.5</v>
      </c>
      <c r="AG5846" s="580">
        <f t="shared" si="494"/>
        <v>0</v>
      </c>
      <c r="AH5846" s="580">
        <f t="shared" si="495"/>
        <v>0</v>
      </c>
    </row>
    <row r="5847" spans="28:34">
      <c r="AB5847" s="580">
        <f>HLOOKUP("*"&amp;'Output annual'!$AC$2&amp;'Output annual'!$AD$2&amp;"*Zone People Number Of Occupants [](Hourly)",'Eplus results'!$1:$1048576,ROW(),FALSE)</f>
        <v>0</v>
      </c>
      <c r="AC5847" s="580">
        <f>HLOOKUP("*"&amp;'Output annual'!$AC$2&amp;'Output annual'!$AD$2&amp;"*FangerPMV(Hourly)",'Eplus results'!$1:$1048576,ROW(),FALSE)</f>
        <v>0</v>
      </c>
      <c r="AD5847" s="580">
        <f t="shared" si="491"/>
        <v>5</v>
      </c>
      <c r="AE5847" s="580">
        <f t="shared" si="492"/>
        <v>2.5</v>
      </c>
      <c r="AF5847" s="580">
        <f t="shared" si="493"/>
        <v>2.5</v>
      </c>
      <c r="AG5847" s="580">
        <f t="shared" si="494"/>
        <v>0</v>
      </c>
      <c r="AH5847" s="580">
        <f t="shared" si="495"/>
        <v>0</v>
      </c>
    </row>
    <row r="5848" spans="28:34">
      <c r="AB5848" s="580">
        <f>HLOOKUP("*"&amp;'Output annual'!$AC$2&amp;'Output annual'!$AD$2&amp;"*Zone People Number Of Occupants [](Hourly)",'Eplus results'!$1:$1048576,ROW(),FALSE)</f>
        <v>0</v>
      </c>
      <c r="AC5848" s="580">
        <f>HLOOKUP("*"&amp;'Output annual'!$AC$2&amp;'Output annual'!$AD$2&amp;"*FangerPMV(Hourly)",'Eplus results'!$1:$1048576,ROW(),FALSE)</f>
        <v>0</v>
      </c>
      <c r="AD5848" s="580">
        <f t="shared" si="491"/>
        <v>5</v>
      </c>
      <c r="AE5848" s="580">
        <f t="shared" si="492"/>
        <v>2.5</v>
      </c>
      <c r="AF5848" s="580">
        <f t="shared" si="493"/>
        <v>2.5</v>
      </c>
      <c r="AG5848" s="580">
        <f t="shared" si="494"/>
        <v>0</v>
      </c>
      <c r="AH5848" s="580">
        <f t="shared" si="495"/>
        <v>0</v>
      </c>
    </row>
    <row r="5849" spans="28:34">
      <c r="AB5849" s="580">
        <f>HLOOKUP("*"&amp;'Output annual'!$AC$2&amp;'Output annual'!$AD$2&amp;"*Zone People Number Of Occupants [](Hourly)",'Eplus results'!$1:$1048576,ROW(),FALSE)</f>
        <v>0</v>
      </c>
      <c r="AC5849" s="580">
        <f>HLOOKUP("*"&amp;'Output annual'!$AC$2&amp;'Output annual'!$AD$2&amp;"*FangerPMV(Hourly)",'Eplus results'!$1:$1048576,ROW(),FALSE)</f>
        <v>0</v>
      </c>
      <c r="AD5849" s="580">
        <f t="shared" si="491"/>
        <v>5</v>
      </c>
      <c r="AE5849" s="580">
        <f t="shared" si="492"/>
        <v>2.5</v>
      </c>
      <c r="AF5849" s="580">
        <f t="shared" si="493"/>
        <v>2.5</v>
      </c>
      <c r="AG5849" s="580">
        <f t="shared" si="494"/>
        <v>0</v>
      </c>
      <c r="AH5849" s="580">
        <f t="shared" si="495"/>
        <v>0</v>
      </c>
    </row>
    <row r="5850" spans="28:34">
      <c r="AB5850" s="580">
        <f>HLOOKUP("*"&amp;'Output annual'!$AC$2&amp;'Output annual'!$AD$2&amp;"*Zone People Number Of Occupants [](Hourly)",'Eplus results'!$1:$1048576,ROW(),FALSE)</f>
        <v>0</v>
      </c>
      <c r="AC5850" s="580">
        <f>HLOOKUP("*"&amp;'Output annual'!$AC$2&amp;'Output annual'!$AD$2&amp;"*FangerPMV(Hourly)",'Eplus results'!$1:$1048576,ROW(),FALSE)</f>
        <v>0</v>
      </c>
      <c r="AD5850" s="580">
        <f t="shared" si="491"/>
        <v>5</v>
      </c>
      <c r="AE5850" s="580">
        <f t="shared" si="492"/>
        <v>2.5</v>
      </c>
      <c r="AF5850" s="580">
        <f t="shared" si="493"/>
        <v>2.5</v>
      </c>
      <c r="AG5850" s="580">
        <f t="shared" si="494"/>
        <v>0</v>
      </c>
      <c r="AH5850" s="580">
        <f t="shared" si="495"/>
        <v>0</v>
      </c>
    </row>
    <row r="5851" spans="28:34">
      <c r="AB5851" s="580">
        <f>HLOOKUP("*"&amp;'Output annual'!$AC$2&amp;'Output annual'!$AD$2&amp;"*Zone People Number Of Occupants [](Hourly)",'Eplus results'!$1:$1048576,ROW(),FALSE)</f>
        <v>0</v>
      </c>
      <c r="AC5851" s="580">
        <f>HLOOKUP("*"&amp;'Output annual'!$AC$2&amp;'Output annual'!$AD$2&amp;"*FangerPMV(Hourly)",'Eplus results'!$1:$1048576,ROW(),FALSE)</f>
        <v>0</v>
      </c>
      <c r="AD5851" s="580">
        <f t="shared" si="491"/>
        <v>5</v>
      </c>
      <c r="AE5851" s="580">
        <f t="shared" si="492"/>
        <v>2.5</v>
      </c>
      <c r="AF5851" s="580">
        <f t="shared" si="493"/>
        <v>2.5</v>
      </c>
      <c r="AG5851" s="580">
        <f t="shared" si="494"/>
        <v>0</v>
      </c>
      <c r="AH5851" s="580">
        <f t="shared" si="495"/>
        <v>0</v>
      </c>
    </row>
    <row r="5852" spans="28:34">
      <c r="AB5852" s="580">
        <f>HLOOKUP("*"&amp;'Output annual'!$AC$2&amp;'Output annual'!$AD$2&amp;"*Zone People Number Of Occupants [](Hourly)",'Eplus results'!$1:$1048576,ROW(),FALSE)</f>
        <v>0</v>
      </c>
      <c r="AC5852" s="580">
        <f>HLOOKUP("*"&amp;'Output annual'!$AC$2&amp;'Output annual'!$AD$2&amp;"*FangerPMV(Hourly)",'Eplus results'!$1:$1048576,ROW(),FALSE)</f>
        <v>0</v>
      </c>
      <c r="AD5852" s="580">
        <f t="shared" si="491"/>
        <v>5</v>
      </c>
      <c r="AE5852" s="580">
        <f t="shared" si="492"/>
        <v>2.5</v>
      </c>
      <c r="AF5852" s="580">
        <f t="shared" si="493"/>
        <v>2.5</v>
      </c>
      <c r="AG5852" s="580">
        <f t="shared" si="494"/>
        <v>0</v>
      </c>
      <c r="AH5852" s="580">
        <f t="shared" si="495"/>
        <v>0</v>
      </c>
    </row>
    <row r="5853" spans="28:34">
      <c r="AB5853" s="580">
        <f>HLOOKUP("*"&amp;'Output annual'!$AC$2&amp;'Output annual'!$AD$2&amp;"*Zone People Number Of Occupants [](Hourly)",'Eplus results'!$1:$1048576,ROW(),FALSE)</f>
        <v>0</v>
      </c>
      <c r="AC5853" s="580">
        <f>HLOOKUP("*"&amp;'Output annual'!$AC$2&amp;'Output annual'!$AD$2&amp;"*FangerPMV(Hourly)",'Eplus results'!$1:$1048576,ROW(),FALSE)</f>
        <v>0</v>
      </c>
      <c r="AD5853" s="580">
        <f t="shared" si="491"/>
        <v>5</v>
      </c>
      <c r="AE5853" s="580">
        <f t="shared" si="492"/>
        <v>2.5</v>
      </c>
      <c r="AF5853" s="580">
        <f t="shared" si="493"/>
        <v>2.5</v>
      </c>
      <c r="AG5853" s="580">
        <f t="shared" si="494"/>
        <v>0</v>
      </c>
      <c r="AH5853" s="580">
        <f t="shared" si="495"/>
        <v>0</v>
      </c>
    </row>
    <row r="5854" spans="28:34">
      <c r="AB5854" s="580">
        <f>HLOOKUP("*"&amp;'Output annual'!$AC$2&amp;'Output annual'!$AD$2&amp;"*Zone People Number Of Occupants [](Hourly)",'Eplus results'!$1:$1048576,ROW(),FALSE)</f>
        <v>0</v>
      </c>
      <c r="AC5854" s="580">
        <f>HLOOKUP("*"&amp;'Output annual'!$AC$2&amp;'Output annual'!$AD$2&amp;"*FangerPMV(Hourly)",'Eplus results'!$1:$1048576,ROW(),FALSE)</f>
        <v>0</v>
      </c>
      <c r="AD5854" s="580">
        <f t="shared" si="491"/>
        <v>5</v>
      </c>
      <c r="AE5854" s="580">
        <f t="shared" si="492"/>
        <v>2.5</v>
      </c>
      <c r="AF5854" s="580">
        <f t="shared" si="493"/>
        <v>2.5</v>
      </c>
      <c r="AG5854" s="580">
        <f t="shared" si="494"/>
        <v>0</v>
      </c>
      <c r="AH5854" s="580">
        <f t="shared" si="495"/>
        <v>0</v>
      </c>
    </row>
    <row r="5855" spans="28:34">
      <c r="AB5855" s="580">
        <f>HLOOKUP("*"&amp;'Output annual'!$AC$2&amp;'Output annual'!$AD$2&amp;"*Zone People Number Of Occupants [](Hourly)",'Eplus results'!$1:$1048576,ROW(),FALSE)</f>
        <v>0</v>
      </c>
      <c r="AC5855" s="580">
        <f>HLOOKUP("*"&amp;'Output annual'!$AC$2&amp;'Output annual'!$AD$2&amp;"*FangerPMV(Hourly)",'Eplus results'!$1:$1048576,ROW(),FALSE)</f>
        <v>0</v>
      </c>
      <c r="AD5855" s="580">
        <f t="shared" si="491"/>
        <v>5</v>
      </c>
      <c r="AE5855" s="580">
        <f t="shared" si="492"/>
        <v>2.5</v>
      </c>
      <c r="AF5855" s="580">
        <f t="shared" si="493"/>
        <v>2.5</v>
      </c>
      <c r="AG5855" s="580">
        <f t="shared" si="494"/>
        <v>0</v>
      </c>
      <c r="AH5855" s="580">
        <f t="shared" si="495"/>
        <v>0</v>
      </c>
    </row>
    <row r="5856" spans="28:34">
      <c r="AB5856" s="580">
        <f>HLOOKUP("*"&amp;'Output annual'!$AC$2&amp;'Output annual'!$AD$2&amp;"*Zone People Number Of Occupants [](Hourly)",'Eplus results'!$1:$1048576,ROW(),FALSE)</f>
        <v>0</v>
      </c>
      <c r="AC5856" s="580">
        <f>HLOOKUP("*"&amp;'Output annual'!$AC$2&amp;'Output annual'!$AD$2&amp;"*FangerPMV(Hourly)",'Eplus results'!$1:$1048576,ROW(),FALSE)</f>
        <v>0</v>
      </c>
      <c r="AD5856" s="580">
        <f t="shared" si="491"/>
        <v>5</v>
      </c>
      <c r="AE5856" s="580">
        <f t="shared" si="492"/>
        <v>2.5</v>
      </c>
      <c r="AF5856" s="580">
        <f t="shared" si="493"/>
        <v>2.5</v>
      </c>
      <c r="AG5856" s="580">
        <f t="shared" si="494"/>
        <v>0</v>
      </c>
      <c r="AH5856" s="580">
        <f t="shared" si="495"/>
        <v>0</v>
      </c>
    </row>
    <row r="5857" spans="28:34">
      <c r="AB5857" s="580">
        <f>HLOOKUP("*"&amp;'Output annual'!$AC$2&amp;'Output annual'!$AD$2&amp;"*Zone People Number Of Occupants [](Hourly)",'Eplus results'!$1:$1048576,ROW(),FALSE)</f>
        <v>0</v>
      </c>
      <c r="AC5857" s="580">
        <f>HLOOKUP("*"&amp;'Output annual'!$AC$2&amp;'Output annual'!$AD$2&amp;"*FangerPMV(Hourly)",'Eplus results'!$1:$1048576,ROW(),FALSE)</f>
        <v>0</v>
      </c>
      <c r="AD5857" s="580">
        <f t="shared" si="491"/>
        <v>5</v>
      </c>
      <c r="AE5857" s="580">
        <f t="shared" si="492"/>
        <v>2.5</v>
      </c>
      <c r="AF5857" s="580">
        <f t="shared" si="493"/>
        <v>2.5</v>
      </c>
      <c r="AG5857" s="580">
        <f t="shared" si="494"/>
        <v>0</v>
      </c>
      <c r="AH5857" s="580">
        <f t="shared" si="495"/>
        <v>0</v>
      </c>
    </row>
    <row r="5858" spans="28:34">
      <c r="AB5858" s="580">
        <f>HLOOKUP("*"&amp;'Output annual'!$AC$2&amp;'Output annual'!$AD$2&amp;"*Zone People Number Of Occupants [](Hourly)",'Eplus results'!$1:$1048576,ROW(),FALSE)</f>
        <v>0</v>
      </c>
      <c r="AC5858" s="580">
        <f>HLOOKUP("*"&amp;'Output annual'!$AC$2&amp;'Output annual'!$AD$2&amp;"*FangerPMV(Hourly)",'Eplus results'!$1:$1048576,ROW(),FALSE)</f>
        <v>0</v>
      </c>
      <c r="AD5858" s="580">
        <f t="shared" si="491"/>
        <v>5</v>
      </c>
      <c r="AE5858" s="580">
        <f t="shared" si="492"/>
        <v>2.5</v>
      </c>
      <c r="AF5858" s="580">
        <f t="shared" si="493"/>
        <v>2.5</v>
      </c>
      <c r="AG5858" s="580">
        <f t="shared" si="494"/>
        <v>0</v>
      </c>
      <c r="AH5858" s="580">
        <f t="shared" si="495"/>
        <v>0</v>
      </c>
    </row>
    <row r="5859" spans="28:34">
      <c r="AB5859" s="580">
        <f>HLOOKUP("*"&amp;'Output annual'!$AC$2&amp;'Output annual'!$AD$2&amp;"*Zone People Number Of Occupants [](Hourly)",'Eplus results'!$1:$1048576,ROW(),FALSE)</f>
        <v>0</v>
      </c>
      <c r="AC5859" s="580">
        <f>HLOOKUP("*"&amp;'Output annual'!$AC$2&amp;'Output annual'!$AD$2&amp;"*FangerPMV(Hourly)",'Eplus results'!$1:$1048576,ROW(),FALSE)</f>
        <v>0</v>
      </c>
      <c r="AD5859" s="580">
        <f t="shared" si="491"/>
        <v>5</v>
      </c>
      <c r="AE5859" s="580">
        <f t="shared" si="492"/>
        <v>2.5</v>
      </c>
      <c r="AF5859" s="580">
        <f t="shared" si="493"/>
        <v>2.5</v>
      </c>
      <c r="AG5859" s="580">
        <f t="shared" si="494"/>
        <v>0</v>
      </c>
      <c r="AH5859" s="580">
        <f t="shared" si="495"/>
        <v>0</v>
      </c>
    </row>
    <row r="5860" spans="28:34">
      <c r="AB5860" s="580">
        <f>HLOOKUP("*"&amp;'Output annual'!$AC$2&amp;'Output annual'!$AD$2&amp;"*Zone People Number Of Occupants [](Hourly)",'Eplus results'!$1:$1048576,ROW(),FALSE)</f>
        <v>0</v>
      </c>
      <c r="AC5860" s="580">
        <f>HLOOKUP("*"&amp;'Output annual'!$AC$2&amp;'Output annual'!$AD$2&amp;"*FangerPMV(Hourly)",'Eplus results'!$1:$1048576,ROW(),FALSE)</f>
        <v>0</v>
      </c>
      <c r="AD5860" s="580">
        <f t="shared" si="491"/>
        <v>5</v>
      </c>
      <c r="AE5860" s="580">
        <f t="shared" si="492"/>
        <v>2.5</v>
      </c>
      <c r="AF5860" s="580">
        <f t="shared" si="493"/>
        <v>2.5</v>
      </c>
      <c r="AG5860" s="580">
        <f t="shared" si="494"/>
        <v>0</v>
      </c>
      <c r="AH5860" s="580">
        <f t="shared" si="495"/>
        <v>0</v>
      </c>
    </row>
    <row r="5861" spans="28:34">
      <c r="AB5861" s="580">
        <f>HLOOKUP("*"&amp;'Output annual'!$AC$2&amp;'Output annual'!$AD$2&amp;"*Zone People Number Of Occupants [](Hourly)",'Eplus results'!$1:$1048576,ROW(),FALSE)</f>
        <v>0</v>
      </c>
      <c r="AC5861" s="580">
        <f>HLOOKUP("*"&amp;'Output annual'!$AC$2&amp;'Output annual'!$AD$2&amp;"*FangerPMV(Hourly)",'Eplus results'!$1:$1048576,ROW(),FALSE)</f>
        <v>0</v>
      </c>
      <c r="AD5861" s="580">
        <f t="shared" si="491"/>
        <v>5</v>
      </c>
      <c r="AE5861" s="580">
        <f t="shared" si="492"/>
        <v>2.5</v>
      </c>
      <c r="AF5861" s="580">
        <f t="shared" si="493"/>
        <v>2.5</v>
      </c>
      <c r="AG5861" s="580">
        <f t="shared" si="494"/>
        <v>0</v>
      </c>
      <c r="AH5861" s="580">
        <f t="shared" si="495"/>
        <v>0</v>
      </c>
    </row>
    <row r="5862" spans="28:34">
      <c r="AB5862" s="580">
        <f>HLOOKUP("*"&amp;'Output annual'!$AC$2&amp;'Output annual'!$AD$2&amp;"*Zone People Number Of Occupants [](Hourly)",'Eplus results'!$1:$1048576,ROW(),FALSE)</f>
        <v>0</v>
      </c>
      <c r="AC5862" s="580">
        <f>HLOOKUP("*"&amp;'Output annual'!$AC$2&amp;'Output annual'!$AD$2&amp;"*FangerPMV(Hourly)",'Eplus results'!$1:$1048576,ROW(),FALSE)</f>
        <v>0</v>
      </c>
      <c r="AD5862" s="580">
        <f t="shared" si="491"/>
        <v>5</v>
      </c>
      <c r="AE5862" s="580">
        <f t="shared" si="492"/>
        <v>2.5</v>
      </c>
      <c r="AF5862" s="580">
        <f t="shared" si="493"/>
        <v>2.5</v>
      </c>
      <c r="AG5862" s="580">
        <f t="shared" si="494"/>
        <v>0</v>
      </c>
      <c r="AH5862" s="580">
        <f t="shared" si="495"/>
        <v>0</v>
      </c>
    </row>
    <row r="5863" spans="28:34">
      <c r="AB5863" s="580">
        <f>HLOOKUP("*"&amp;'Output annual'!$AC$2&amp;'Output annual'!$AD$2&amp;"*Zone People Number Of Occupants [](Hourly)",'Eplus results'!$1:$1048576,ROW(),FALSE)</f>
        <v>0</v>
      </c>
      <c r="AC5863" s="580">
        <f>HLOOKUP("*"&amp;'Output annual'!$AC$2&amp;'Output annual'!$AD$2&amp;"*FangerPMV(Hourly)",'Eplus results'!$1:$1048576,ROW(),FALSE)</f>
        <v>0</v>
      </c>
      <c r="AD5863" s="580">
        <f t="shared" si="491"/>
        <v>5</v>
      </c>
      <c r="AE5863" s="580">
        <f t="shared" si="492"/>
        <v>2.5</v>
      </c>
      <c r="AF5863" s="580">
        <f t="shared" si="493"/>
        <v>2.5</v>
      </c>
      <c r="AG5863" s="580">
        <f t="shared" si="494"/>
        <v>0</v>
      </c>
      <c r="AH5863" s="580">
        <f t="shared" si="495"/>
        <v>0</v>
      </c>
    </row>
    <row r="5864" spans="28:34">
      <c r="AB5864" s="580">
        <f>HLOOKUP("*"&amp;'Output annual'!$AC$2&amp;'Output annual'!$AD$2&amp;"*Zone People Number Of Occupants [](Hourly)",'Eplus results'!$1:$1048576,ROW(),FALSE)</f>
        <v>0</v>
      </c>
      <c r="AC5864" s="580">
        <f>HLOOKUP("*"&amp;'Output annual'!$AC$2&amp;'Output annual'!$AD$2&amp;"*FangerPMV(Hourly)",'Eplus results'!$1:$1048576,ROW(),FALSE)</f>
        <v>0</v>
      </c>
      <c r="AD5864" s="580">
        <f t="shared" si="491"/>
        <v>5</v>
      </c>
      <c r="AE5864" s="580">
        <f t="shared" si="492"/>
        <v>2.5</v>
      </c>
      <c r="AF5864" s="580">
        <f t="shared" si="493"/>
        <v>2.5</v>
      </c>
      <c r="AG5864" s="580">
        <f t="shared" si="494"/>
        <v>0</v>
      </c>
      <c r="AH5864" s="580">
        <f t="shared" si="495"/>
        <v>0</v>
      </c>
    </row>
    <row r="5865" spans="28:34">
      <c r="AB5865" s="580">
        <f>HLOOKUP("*"&amp;'Output annual'!$AC$2&amp;'Output annual'!$AD$2&amp;"*Zone People Number Of Occupants [](Hourly)",'Eplus results'!$1:$1048576,ROW(),FALSE)</f>
        <v>0</v>
      </c>
      <c r="AC5865" s="580">
        <f>HLOOKUP("*"&amp;'Output annual'!$AC$2&amp;'Output annual'!$AD$2&amp;"*FangerPMV(Hourly)",'Eplus results'!$1:$1048576,ROW(),FALSE)</f>
        <v>0</v>
      </c>
      <c r="AD5865" s="580">
        <f t="shared" si="491"/>
        <v>5</v>
      </c>
      <c r="AE5865" s="580">
        <f t="shared" si="492"/>
        <v>2.5</v>
      </c>
      <c r="AF5865" s="580">
        <f t="shared" si="493"/>
        <v>2.5</v>
      </c>
      <c r="AG5865" s="580">
        <f t="shared" si="494"/>
        <v>0</v>
      </c>
      <c r="AH5865" s="580">
        <f t="shared" si="495"/>
        <v>0</v>
      </c>
    </row>
    <row r="5866" spans="28:34">
      <c r="AB5866" s="580">
        <f>HLOOKUP("*"&amp;'Output annual'!$AC$2&amp;'Output annual'!$AD$2&amp;"*Zone People Number Of Occupants [](Hourly)",'Eplus results'!$1:$1048576,ROW(),FALSE)</f>
        <v>0</v>
      </c>
      <c r="AC5866" s="580">
        <f>HLOOKUP("*"&amp;'Output annual'!$AC$2&amp;'Output annual'!$AD$2&amp;"*FangerPMV(Hourly)",'Eplus results'!$1:$1048576,ROW(),FALSE)</f>
        <v>0</v>
      </c>
      <c r="AD5866" s="580">
        <f t="shared" si="491"/>
        <v>5</v>
      </c>
      <c r="AE5866" s="580">
        <f t="shared" si="492"/>
        <v>2.5</v>
      </c>
      <c r="AF5866" s="580">
        <f t="shared" si="493"/>
        <v>2.5</v>
      </c>
      <c r="AG5866" s="580">
        <f t="shared" si="494"/>
        <v>0</v>
      </c>
      <c r="AH5866" s="580">
        <f t="shared" si="495"/>
        <v>0</v>
      </c>
    </row>
    <row r="5867" spans="28:34">
      <c r="AB5867" s="580">
        <f>HLOOKUP("*"&amp;'Output annual'!$AC$2&amp;'Output annual'!$AD$2&amp;"*Zone People Number Of Occupants [](Hourly)",'Eplus results'!$1:$1048576,ROW(),FALSE)</f>
        <v>0</v>
      </c>
      <c r="AC5867" s="580">
        <f>HLOOKUP("*"&amp;'Output annual'!$AC$2&amp;'Output annual'!$AD$2&amp;"*FangerPMV(Hourly)",'Eplus results'!$1:$1048576,ROW(),FALSE)</f>
        <v>0</v>
      </c>
      <c r="AD5867" s="580">
        <f t="shared" si="491"/>
        <v>5</v>
      </c>
      <c r="AE5867" s="580">
        <f t="shared" si="492"/>
        <v>2.5</v>
      </c>
      <c r="AF5867" s="580">
        <f t="shared" si="493"/>
        <v>2.5</v>
      </c>
      <c r="AG5867" s="580">
        <f t="shared" si="494"/>
        <v>0</v>
      </c>
      <c r="AH5867" s="580">
        <f t="shared" si="495"/>
        <v>0</v>
      </c>
    </row>
    <row r="5868" spans="28:34">
      <c r="AB5868" s="580">
        <f>HLOOKUP("*"&amp;'Output annual'!$AC$2&amp;'Output annual'!$AD$2&amp;"*Zone People Number Of Occupants [](Hourly)",'Eplus results'!$1:$1048576,ROW(),FALSE)</f>
        <v>0</v>
      </c>
      <c r="AC5868" s="580">
        <f>HLOOKUP("*"&amp;'Output annual'!$AC$2&amp;'Output annual'!$AD$2&amp;"*FangerPMV(Hourly)",'Eplus results'!$1:$1048576,ROW(),FALSE)</f>
        <v>0</v>
      </c>
      <c r="AD5868" s="580">
        <f t="shared" si="491"/>
        <v>5</v>
      </c>
      <c r="AE5868" s="580">
        <f t="shared" si="492"/>
        <v>2.5</v>
      </c>
      <c r="AF5868" s="580">
        <f t="shared" si="493"/>
        <v>2.5</v>
      </c>
      <c r="AG5868" s="580">
        <f t="shared" si="494"/>
        <v>0</v>
      </c>
      <c r="AH5868" s="580">
        <f t="shared" si="495"/>
        <v>0</v>
      </c>
    </row>
    <row r="5869" spans="28:34">
      <c r="AB5869" s="580">
        <f>HLOOKUP("*"&amp;'Output annual'!$AC$2&amp;'Output annual'!$AD$2&amp;"*Zone People Number Of Occupants [](Hourly)",'Eplus results'!$1:$1048576,ROW(),FALSE)</f>
        <v>0</v>
      </c>
      <c r="AC5869" s="580">
        <f>HLOOKUP("*"&amp;'Output annual'!$AC$2&amp;'Output annual'!$AD$2&amp;"*FangerPMV(Hourly)",'Eplus results'!$1:$1048576,ROW(),FALSE)</f>
        <v>0</v>
      </c>
      <c r="AD5869" s="580">
        <f t="shared" si="491"/>
        <v>5</v>
      </c>
      <c r="AE5869" s="580">
        <f t="shared" si="492"/>
        <v>2.5</v>
      </c>
      <c r="AF5869" s="580">
        <f t="shared" si="493"/>
        <v>2.5</v>
      </c>
      <c r="AG5869" s="580">
        <f t="shared" si="494"/>
        <v>0</v>
      </c>
      <c r="AH5869" s="580">
        <f t="shared" si="495"/>
        <v>0</v>
      </c>
    </row>
    <row r="5870" spans="28:34">
      <c r="AB5870" s="580">
        <f>HLOOKUP("*"&amp;'Output annual'!$AC$2&amp;'Output annual'!$AD$2&amp;"*Zone People Number Of Occupants [](Hourly)",'Eplus results'!$1:$1048576,ROW(),FALSE)</f>
        <v>0</v>
      </c>
      <c r="AC5870" s="580">
        <f>HLOOKUP("*"&amp;'Output annual'!$AC$2&amp;'Output annual'!$AD$2&amp;"*FangerPMV(Hourly)",'Eplus results'!$1:$1048576,ROW(),FALSE)</f>
        <v>0</v>
      </c>
      <c r="AD5870" s="580">
        <f t="shared" si="491"/>
        <v>5</v>
      </c>
      <c r="AE5870" s="580">
        <f t="shared" si="492"/>
        <v>2.5</v>
      </c>
      <c r="AF5870" s="580">
        <f t="shared" si="493"/>
        <v>2.5</v>
      </c>
      <c r="AG5870" s="580">
        <f t="shared" si="494"/>
        <v>0</v>
      </c>
      <c r="AH5870" s="580">
        <f t="shared" si="495"/>
        <v>0</v>
      </c>
    </row>
    <row r="5871" spans="28:34">
      <c r="AB5871" s="580">
        <f>HLOOKUP("*"&amp;'Output annual'!$AC$2&amp;'Output annual'!$AD$2&amp;"*Zone People Number Of Occupants [](Hourly)",'Eplus results'!$1:$1048576,ROW(),FALSE)</f>
        <v>0</v>
      </c>
      <c r="AC5871" s="580">
        <f>HLOOKUP("*"&amp;'Output annual'!$AC$2&amp;'Output annual'!$AD$2&amp;"*FangerPMV(Hourly)",'Eplus results'!$1:$1048576,ROW(),FALSE)</f>
        <v>0</v>
      </c>
      <c r="AD5871" s="580">
        <f t="shared" si="491"/>
        <v>5</v>
      </c>
      <c r="AE5871" s="580">
        <f t="shared" si="492"/>
        <v>2.5</v>
      </c>
      <c r="AF5871" s="580">
        <f t="shared" si="493"/>
        <v>2.5</v>
      </c>
      <c r="AG5871" s="580">
        <f t="shared" si="494"/>
        <v>0</v>
      </c>
      <c r="AH5871" s="580">
        <f t="shared" si="495"/>
        <v>0</v>
      </c>
    </row>
    <row r="5872" spans="28:34">
      <c r="AB5872" s="580">
        <f>HLOOKUP("*"&amp;'Output annual'!$AC$2&amp;'Output annual'!$AD$2&amp;"*Zone People Number Of Occupants [](Hourly)",'Eplus results'!$1:$1048576,ROW(),FALSE)</f>
        <v>0</v>
      </c>
      <c r="AC5872" s="580">
        <f>HLOOKUP("*"&amp;'Output annual'!$AC$2&amp;'Output annual'!$AD$2&amp;"*FangerPMV(Hourly)",'Eplus results'!$1:$1048576,ROW(),FALSE)</f>
        <v>0</v>
      </c>
      <c r="AD5872" s="580">
        <f t="shared" si="491"/>
        <v>5</v>
      </c>
      <c r="AE5872" s="580">
        <f t="shared" si="492"/>
        <v>2.5</v>
      </c>
      <c r="AF5872" s="580">
        <f t="shared" si="493"/>
        <v>2.5</v>
      </c>
      <c r="AG5872" s="580">
        <f t="shared" si="494"/>
        <v>0</v>
      </c>
      <c r="AH5872" s="580">
        <f t="shared" si="495"/>
        <v>0</v>
      </c>
    </row>
    <row r="5873" spans="28:34">
      <c r="AB5873" s="580">
        <f>HLOOKUP("*"&amp;'Output annual'!$AC$2&amp;'Output annual'!$AD$2&amp;"*Zone People Number Of Occupants [](Hourly)",'Eplus results'!$1:$1048576,ROW(),FALSE)</f>
        <v>0</v>
      </c>
      <c r="AC5873" s="580">
        <f>HLOOKUP("*"&amp;'Output annual'!$AC$2&amp;'Output annual'!$AD$2&amp;"*FangerPMV(Hourly)",'Eplus results'!$1:$1048576,ROW(),FALSE)</f>
        <v>0</v>
      </c>
      <c r="AD5873" s="580">
        <f t="shared" si="491"/>
        <v>5</v>
      </c>
      <c r="AE5873" s="580">
        <f t="shared" si="492"/>
        <v>2.5</v>
      </c>
      <c r="AF5873" s="580">
        <f t="shared" si="493"/>
        <v>2.5</v>
      </c>
      <c r="AG5873" s="580">
        <f t="shared" si="494"/>
        <v>0</v>
      </c>
      <c r="AH5873" s="580">
        <f t="shared" si="495"/>
        <v>0</v>
      </c>
    </row>
    <row r="5874" spans="28:34">
      <c r="AB5874" s="580">
        <f>HLOOKUP("*"&amp;'Output annual'!$AC$2&amp;'Output annual'!$AD$2&amp;"*Zone People Number Of Occupants [](Hourly)",'Eplus results'!$1:$1048576,ROW(),FALSE)</f>
        <v>0</v>
      </c>
      <c r="AC5874" s="580">
        <f>HLOOKUP("*"&amp;'Output annual'!$AC$2&amp;'Output annual'!$AD$2&amp;"*FangerPMV(Hourly)",'Eplus results'!$1:$1048576,ROW(),FALSE)</f>
        <v>0</v>
      </c>
      <c r="AD5874" s="580">
        <f t="shared" si="491"/>
        <v>5</v>
      </c>
      <c r="AE5874" s="580">
        <f t="shared" si="492"/>
        <v>2.5</v>
      </c>
      <c r="AF5874" s="580">
        <f t="shared" si="493"/>
        <v>2.5</v>
      </c>
      <c r="AG5874" s="580">
        <f t="shared" si="494"/>
        <v>0</v>
      </c>
      <c r="AH5874" s="580">
        <f t="shared" si="495"/>
        <v>0</v>
      </c>
    </row>
    <row r="5875" spans="28:34">
      <c r="AB5875" s="580">
        <f>HLOOKUP("*"&amp;'Output annual'!$AC$2&amp;'Output annual'!$AD$2&amp;"*Zone People Number Of Occupants [](Hourly)",'Eplus results'!$1:$1048576,ROW(),FALSE)</f>
        <v>0</v>
      </c>
      <c r="AC5875" s="580">
        <f>HLOOKUP("*"&amp;'Output annual'!$AC$2&amp;'Output annual'!$AD$2&amp;"*FangerPMV(Hourly)",'Eplus results'!$1:$1048576,ROW(),FALSE)</f>
        <v>0</v>
      </c>
      <c r="AD5875" s="580">
        <f t="shared" si="491"/>
        <v>5</v>
      </c>
      <c r="AE5875" s="580">
        <f t="shared" si="492"/>
        <v>2.5</v>
      </c>
      <c r="AF5875" s="580">
        <f t="shared" si="493"/>
        <v>2.5</v>
      </c>
      <c r="AG5875" s="580">
        <f t="shared" si="494"/>
        <v>0</v>
      </c>
      <c r="AH5875" s="580">
        <f t="shared" si="495"/>
        <v>0</v>
      </c>
    </row>
    <row r="5876" spans="28:34">
      <c r="AB5876" s="580">
        <f>HLOOKUP("*"&amp;'Output annual'!$AC$2&amp;'Output annual'!$AD$2&amp;"*Zone People Number Of Occupants [](Hourly)",'Eplus results'!$1:$1048576,ROW(),FALSE)</f>
        <v>0</v>
      </c>
      <c r="AC5876" s="580">
        <f>HLOOKUP("*"&amp;'Output annual'!$AC$2&amp;'Output annual'!$AD$2&amp;"*FangerPMV(Hourly)",'Eplus results'!$1:$1048576,ROW(),FALSE)</f>
        <v>0</v>
      </c>
      <c r="AD5876" s="580">
        <f t="shared" si="491"/>
        <v>5</v>
      </c>
      <c r="AE5876" s="580">
        <f t="shared" si="492"/>
        <v>2.5</v>
      </c>
      <c r="AF5876" s="580">
        <f t="shared" si="493"/>
        <v>2.5</v>
      </c>
      <c r="AG5876" s="580">
        <f t="shared" si="494"/>
        <v>0</v>
      </c>
      <c r="AH5876" s="580">
        <f t="shared" si="495"/>
        <v>0</v>
      </c>
    </row>
    <row r="5877" spans="28:34">
      <c r="AB5877" s="580">
        <f>HLOOKUP("*"&amp;'Output annual'!$AC$2&amp;'Output annual'!$AD$2&amp;"*Zone People Number Of Occupants [](Hourly)",'Eplus results'!$1:$1048576,ROW(),FALSE)</f>
        <v>0</v>
      </c>
      <c r="AC5877" s="580">
        <f>HLOOKUP("*"&amp;'Output annual'!$AC$2&amp;'Output annual'!$AD$2&amp;"*FangerPMV(Hourly)",'Eplus results'!$1:$1048576,ROW(),FALSE)</f>
        <v>0</v>
      </c>
      <c r="AD5877" s="580">
        <f t="shared" si="491"/>
        <v>5</v>
      </c>
      <c r="AE5877" s="580">
        <f t="shared" si="492"/>
        <v>2.5</v>
      </c>
      <c r="AF5877" s="580">
        <f t="shared" si="493"/>
        <v>2.5</v>
      </c>
      <c r="AG5877" s="580">
        <f t="shared" si="494"/>
        <v>0</v>
      </c>
      <c r="AH5877" s="580">
        <f t="shared" si="495"/>
        <v>0</v>
      </c>
    </row>
    <row r="5878" spans="28:34">
      <c r="AB5878" s="580">
        <f>HLOOKUP("*"&amp;'Output annual'!$AC$2&amp;'Output annual'!$AD$2&amp;"*Zone People Number Of Occupants [](Hourly)",'Eplus results'!$1:$1048576,ROW(),FALSE)</f>
        <v>0</v>
      </c>
      <c r="AC5878" s="580">
        <f>HLOOKUP("*"&amp;'Output annual'!$AC$2&amp;'Output annual'!$AD$2&amp;"*FangerPMV(Hourly)",'Eplus results'!$1:$1048576,ROW(),FALSE)</f>
        <v>0</v>
      </c>
      <c r="AD5878" s="580">
        <f t="shared" si="491"/>
        <v>5</v>
      </c>
      <c r="AE5878" s="580">
        <f t="shared" si="492"/>
        <v>2.5</v>
      </c>
      <c r="AF5878" s="580">
        <f t="shared" si="493"/>
        <v>2.5</v>
      </c>
      <c r="AG5878" s="580">
        <f t="shared" si="494"/>
        <v>0</v>
      </c>
      <c r="AH5878" s="580">
        <f t="shared" si="495"/>
        <v>0</v>
      </c>
    </row>
    <row r="5879" spans="28:34">
      <c r="AB5879" s="580">
        <f>HLOOKUP("*"&amp;'Output annual'!$AC$2&amp;'Output annual'!$AD$2&amp;"*Zone People Number Of Occupants [](Hourly)",'Eplus results'!$1:$1048576,ROW(),FALSE)</f>
        <v>0</v>
      </c>
      <c r="AC5879" s="580">
        <f>HLOOKUP("*"&amp;'Output annual'!$AC$2&amp;'Output annual'!$AD$2&amp;"*FangerPMV(Hourly)",'Eplus results'!$1:$1048576,ROW(),FALSE)</f>
        <v>0</v>
      </c>
      <c r="AD5879" s="580">
        <f t="shared" si="491"/>
        <v>5</v>
      </c>
      <c r="AE5879" s="580">
        <f t="shared" si="492"/>
        <v>2.5</v>
      </c>
      <c r="AF5879" s="580">
        <f t="shared" si="493"/>
        <v>2.5</v>
      </c>
      <c r="AG5879" s="580">
        <f t="shared" si="494"/>
        <v>0</v>
      </c>
      <c r="AH5879" s="580">
        <f t="shared" si="495"/>
        <v>0</v>
      </c>
    </row>
    <row r="5880" spans="28:34">
      <c r="AB5880" s="580">
        <f>HLOOKUP("*"&amp;'Output annual'!$AC$2&amp;'Output annual'!$AD$2&amp;"*Zone People Number Of Occupants [](Hourly)",'Eplus results'!$1:$1048576,ROW(),FALSE)</f>
        <v>0</v>
      </c>
      <c r="AC5880" s="580">
        <f>HLOOKUP("*"&amp;'Output annual'!$AC$2&amp;'Output annual'!$AD$2&amp;"*FangerPMV(Hourly)",'Eplus results'!$1:$1048576,ROW(),FALSE)</f>
        <v>0</v>
      </c>
      <c r="AD5880" s="580">
        <f t="shared" si="491"/>
        <v>5</v>
      </c>
      <c r="AE5880" s="580">
        <f t="shared" si="492"/>
        <v>2.5</v>
      </c>
      <c r="AF5880" s="580">
        <f t="shared" si="493"/>
        <v>2.5</v>
      </c>
      <c r="AG5880" s="580">
        <f t="shared" si="494"/>
        <v>0</v>
      </c>
      <c r="AH5880" s="580">
        <f t="shared" si="495"/>
        <v>0</v>
      </c>
    </row>
    <row r="5881" spans="28:34">
      <c r="AB5881" s="580">
        <f>HLOOKUP("*"&amp;'Output annual'!$AC$2&amp;'Output annual'!$AD$2&amp;"*Zone People Number Of Occupants [](Hourly)",'Eplus results'!$1:$1048576,ROW(),FALSE)</f>
        <v>0</v>
      </c>
      <c r="AC5881" s="580">
        <f>HLOOKUP("*"&amp;'Output annual'!$AC$2&amp;'Output annual'!$AD$2&amp;"*FangerPMV(Hourly)",'Eplus results'!$1:$1048576,ROW(),FALSE)</f>
        <v>0</v>
      </c>
      <c r="AD5881" s="580">
        <f t="shared" si="491"/>
        <v>5</v>
      </c>
      <c r="AE5881" s="580">
        <f t="shared" si="492"/>
        <v>2.5</v>
      </c>
      <c r="AF5881" s="580">
        <f t="shared" si="493"/>
        <v>2.5</v>
      </c>
      <c r="AG5881" s="580">
        <f t="shared" si="494"/>
        <v>0</v>
      </c>
      <c r="AH5881" s="580">
        <f t="shared" si="495"/>
        <v>0</v>
      </c>
    </row>
    <row r="5882" spans="28:34">
      <c r="AB5882" s="580">
        <f>HLOOKUP("*"&amp;'Output annual'!$AC$2&amp;'Output annual'!$AD$2&amp;"*Zone People Number Of Occupants [](Hourly)",'Eplus results'!$1:$1048576,ROW(),FALSE)</f>
        <v>0</v>
      </c>
      <c r="AC5882" s="580">
        <f>HLOOKUP("*"&amp;'Output annual'!$AC$2&amp;'Output annual'!$AD$2&amp;"*FangerPMV(Hourly)",'Eplus results'!$1:$1048576,ROW(),FALSE)</f>
        <v>0</v>
      </c>
      <c r="AD5882" s="580">
        <f t="shared" si="491"/>
        <v>5</v>
      </c>
      <c r="AE5882" s="580">
        <f t="shared" si="492"/>
        <v>2.5</v>
      </c>
      <c r="AF5882" s="580">
        <f t="shared" si="493"/>
        <v>2.5</v>
      </c>
      <c r="AG5882" s="580">
        <f t="shared" si="494"/>
        <v>0</v>
      </c>
      <c r="AH5882" s="580">
        <f t="shared" si="495"/>
        <v>0</v>
      </c>
    </row>
    <row r="5883" spans="28:34">
      <c r="AB5883" s="580">
        <f>HLOOKUP("*"&amp;'Output annual'!$AC$2&amp;'Output annual'!$AD$2&amp;"*Zone People Number Of Occupants [](Hourly)",'Eplus results'!$1:$1048576,ROW(),FALSE)</f>
        <v>0</v>
      </c>
      <c r="AC5883" s="580">
        <f>HLOOKUP("*"&amp;'Output annual'!$AC$2&amp;'Output annual'!$AD$2&amp;"*FangerPMV(Hourly)",'Eplus results'!$1:$1048576,ROW(),FALSE)</f>
        <v>0</v>
      </c>
      <c r="AD5883" s="580">
        <f t="shared" si="491"/>
        <v>5</v>
      </c>
      <c r="AE5883" s="580">
        <f t="shared" si="492"/>
        <v>2.5</v>
      </c>
      <c r="AF5883" s="580">
        <f t="shared" si="493"/>
        <v>2.5</v>
      </c>
      <c r="AG5883" s="580">
        <f t="shared" si="494"/>
        <v>0</v>
      </c>
      <c r="AH5883" s="580">
        <f t="shared" si="495"/>
        <v>0</v>
      </c>
    </row>
    <row r="5884" spans="28:34">
      <c r="AB5884" s="580">
        <f>HLOOKUP("*"&amp;'Output annual'!$AC$2&amp;'Output annual'!$AD$2&amp;"*Zone People Number Of Occupants [](Hourly)",'Eplus results'!$1:$1048576,ROW(),FALSE)</f>
        <v>0</v>
      </c>
      <c r="AC5884" s="580">
        <f>HLOOKUP("*"&amp;'Output annual'!$AC$2&amp;'Output annual'!$AD$2&amp;"*FangerPMV(Hourly)",'Eplus results'!$1:$1048576,ROW(),FALSE)</f>
        <v>0</v>
      </c>
      <c r="AD5884" s="580">
        <f t="shared" si="491"/>
        <v>5</v>
      </c>
      <c r="AE5884" s="580">
        <f t="shared" si="492"/>
        <v>2.5</v>
      </c>
      <c r="AF5884" s="580">
        <f t="shared" si="493"/>
        <v>2.5</v>
      </c>
      <c r="AG5884" s="580">
        <f t="shared" si="494"/>
        <v>0</v>
      </c>
      <c r="AH5884" s="580">
        <f t="shared" si="495"/>
        <v>0</v>
      </c>
    </row>
    <row r="5885" spans="28:34">
      <c r="AB5885" s="580">
        <f>HLOOKUP("*"&amp;'Output annual'!$AC$2&amp;'Output annual'!$AD$2&amp;"*Zone People Number Of Occupants [](Hourly)",'Eplus results'!$1:$1048576,ROW(),FALSE)</f>
        <v>0</v>
      </c>
      <c r="AC5885" s="580">
        <f>HLOOKUP("*"&amp;'Output annual'!$AC$2&amp;'Output annual'!$AD$2&amp;"*FangerPMV(Hourly)",'Eplus results'!$1:$1048576,ROW(),FALSE)</f>
        <v>0</v>
      </c>
      <c r="AD5885" s="580">
        <f t="shared" si="491"/>
        <v>5</v>
      </c>
      <c r="AE5885" s="580">
        <f t="shared" si="492"/>
        <v>2.5</v>
      </c>
      <c r="AF5885" s="580">
        <f t="shared" si="493"/>
        <v>2.5</v>
      </c>
      <c r="AG5885" s="580">
        <f t="shared" si="494"/>
        <v>0</v>
      </c>
      <c r="AH5885" s="580">
        <f t="shared" si="495"/>
        <v>0</v>
      </c>
    </row>
    <row r="5886" spans="28:34">
      <c r="AB5886" s="580">
        <f>HLOOKUP("*"&amp;'Output annual'!$AC$2&amp;'Output annual'!$AD$2&amp;"*Zone People Number Of Occupants [](Hourly)",'Eplus results'!$1:$1048576,ROW(),FALSE)</f>
        <v>0</v>
      </c>
      <c r="AC5886" s="580">
        <f>HLOOKUP("*"&amp;'Output annual'!$AC$2&amp;'Output annual'!$AD$2&amp;"*FangerPMV(Hourly)",'Eplus results'!$1:$1048576,ROW(),FALSE)</f>
        <v>0</v>
      </c>
      <c r="AD5886" s="580">
        <f t="shared" si="491"/>
        <v>5</v>
      </c>
      <c r="AE5886" s="580">
        <f t="shared" si="492"/>
        <v>2.5</v>
      </c>
      <c r="AF5886" s="580">
        <f t="shared" si="493"/>
        <v>2.5</v>
      </c>
      <c r="AG5886" s="580">
        <f t="shared" si="494"/>
        <v>0</v>
      </c>
      <c r="AH5886" s="580">
        <f t="shared" si="495"/>
        <v>0</v>
      </c>
    </row>
    <row r="5887" spans="28:34">
      <c r="AB5887" s="580">
        <f>HLOOKUP("*"&amp;'Output annual'!$AC$2&amp;'Output annual'!$AD$2&amp;"*Zone People Number Of Occupants [](Hourly)",'Eplus results'!$1:$1048576,ROW(),FALSE)</f>
        <v>0</v>
      </c>
      <c r="AC5887" s="580">
        <f>HLOOKUP("*"&amp;'Output annual'!$AC$2&amp;'Output annual'!$AD$2&amp;"*FangerPMV(Hourly)",'Eplus results'!$1:$1048576,ROW(),FALSE)</f>
        <v>0</v>
      </c>
      <c r="AD5887" s="580">
        <f t="shared" si="491"/>
        <v>5</v>
      </c>
      <c r="AE5887" s="580">
        <f t="shared" si="492"/>
        <v>2.5</v>
      </c>
      <c r="AF5887" s="580">
        <f t="shared" si="493"/>
        <v>2.5</v>
      </c>
      <c r="AG5887" s="580">
        <f t="shared" si="494"/>
        <v>0</v>
      </c>
      <c r="AH5887" s="580">
        <f t="shared" si="495"/>
        <v>0</v>
      </c>
    </row>
    <row r="5888" spans="28:34">
      <c r="AB5888" s="580">
        <f>HLOOKUP("*"&amp;'Output annual'!$AC$2&amp;'Output annual'!$AD$2&amp;"*Zone People Number Of Occupants [](Hourly)",'Eplus results'!$1:$1048576,ROW(),FALSE)</f>
        <v>0</v>
      </c>
      <c r="AC5888" s="580">
        <f>HLOOKUP("*"&amp;'Output annual'!$AC$2&amp;'Output annual'!$AD$2&amp;"*FangerPMV(Hourly)",'Eplus results'!$1:$1048576,ROW(),FALSE)</f>
        <v>0</v>
      </c>
      <c r="AD5888" s="580">
        <f t="shared" si="491"/>
        <v>5</v>
      </c>
      <c r="AE5888" s="580">
        <f t="shared" si="492"/>
        <v>2.5</v>
      </c>
      <c r="AF5888" s="580">
        <f t="shared" si="493"/>
        <v>2.5</v>
      </c>
      <c r="AG5888" s="580">
        <f t="shared" si="494"/>
        <v>0</v>
      </c>
      <c r="AH5888" s="580">
        <f t="shared" si="495"/>
        <v>0</v>
      </c>
    </row>
    <row r="5889" spans="28:34">
      <c r="AB5889" s="580">
        <f>HLOOKUP("*"&amp;'Output annual'!$AC$2&amp;'Output annual'!$AD$2&amp;"*Zone People Number Of Occupants [](Hourly)",'Eplus results'!$1:$1048576,ROW(),FALSE)</f>
        <v>0</v>
      </c>
      <c r="AC5889" s="580">
        <f>HLOOKUP("*"&amp;'Output annual'!$AC$2&amp;'Output annual'!$AD$2&amp;"*FangerPMV(Hourly)",'Eplus results'!$1:$1048576,ROW(),FALSE)</f>
        <v>0</v>
      </c>
      <c r="AD5889" s="580">
        <f t="shared" si="491"/>
        <v>5</v>
      </c>
      <c r="AE5889" s="580">
        <f t="shared" si="492"/>
        <v>2.5</v>
      </c>
      <c r="AF5889" s="580">
        <f t="shared" si="493"/>
        <v>2.5</v>
      </c>
      <c r="AG5889" s="580">
        <f t="shared" si="494"/>
        <v>0</v>
      </c>
      <c r="AH5889" s="580">
        <f t="shared" si="495"/>
        <v>0</v>
      </c>
    </row>
    <row r="5890" spans="28:34">
      <c r="AB5890" s="580">
        <f>HLOOKUP("*"&amp;'Output annual'!$AC$2&amp;'Output annual'!$AD$2&amp;"*Zone People Number Of Occupants [](Hourly)",'Eplus results'!$1:$1048576,ROW(),FALSE)</f>
        <v>0</v>
      </c>
      <c r="AC5890" s="580">
        <f>HLOOKUP("*"&amp;'Output annual'!$AC$2&amp;'Output annual'!$AD$2&amp;"*FangerPMV(Hourly)",'Eplus results'!$1:$1048576,ROW(),FALSE)</f>
        <v>0</v>
      </c>
      <c r="AD5890" s="580">
        <f t="shared" si="491"/>
        <v>5</v>
      </c>
      <c r="AE5890" s="580">
        <f t="shared" si="492"/>
        <v>2.5</v>
      </c>
      <c r="AF5890" s="580">
        <f t="shared" si="493"/>
        <v>2.5</v>
      </c>
      <c r="AG5890" s="580">
        <f t="shared" si="494"/>
        <v>0</v>
      </c>
      <c r="AH5890" s="580">
        <f t="shared" si="495"/>
        <v>0</v>
      </c>
    </row>
    <row r="5891" spans="28:34">
      <c r="AB5891" s="580">
        <f>HLOOKUP("*"&amp;'Output annual'!$AC$2&amp;'Output annual'!$AD$2&amp;"*Zone People Number Of Occupants [](Hourly)",'Eplus results'!$1:$1048576,ROW(),FALSE)</f>
        <v>0</v>
      </c>
      <c r="AC5891" s="580">
        <f>HLOOKUP("*"&amp;'Output annual'!$AC$2&amp;'Output annual'!$AD$2&amp;"*FangerPMV(Hourly)",'Eplus results'!$1:$1048576,ROW(),FALSE)</f>
        <v>0</v>
      </c>
      <c r="AD5891" s="580">
        <f t="shared" ref="AD5891:AD5954" si="496">100-95*EXP(-0.03353*AC5891^4-0.2179*AC5891^2)</f>
        <v>5</v>
      </c>
      <c r="AE5891" s="580">
        <f t="shared" ref="AE5891:AE5954" si="497">AD5891*(1/(1+EXP(-6.3*$AC5891)))</f>
        <v>2.5</v>
      </c>
      <c r="AF5891" s="580">
        <f t="shared" ref="AF5891:AF5954" si="498">(AD5891-AE5891)</f>
        <v>2.5</v>
      </c>
      <c r="AG5891" s="580">
        <f t="shared" ref="AG5891:AG5954" si="499">AE5891*AB5891</f>
        <v>0</v>
      </c>
      <c r="AH5891" s="580">
        <f t="shared" ref="AH5891:AH5954" si="500">AF5891*AB5891</f>
        <v>0</v>
      </c>
    </row>
    <row r="5892" spans="28:34">
      <c r="AB5892" s="580">
        <f>HLOOKUP("*"&amp;'Output annual'!$AC$2&amp;'Output annual'!$AD$2&amp;"*Zone People Number Of Occupants [](Hourly)",'Eplus results'!$1:$1048576,ROW(),FALSE)</f>
        <v>0</v>
      </c>
      <c r="AC5892" s="580">
        <f>HLOOKUP("*"&amp;'Output annual'!$AC$2&amp;'Output annual'!$AD$2&amp;"*FangerPMV(Hourly)",'Eplus results'!$1:$1048576,ROW(),FALSE)</f>
        <v>0</v>
      </c>
      <c r="AD5892" s="580">
        <f t="shared" si="496"/>
        <v>5</v>
      </c>
      <c r="AE5892" s="580">
        <f t="shared" si="497"/>
        <v>2.5</v>
      </c>
      <c r="AF5892" s="580">
        <f t="shared" si="498"/>
        <v>2.5</v>
      </c>
      <c r="AG5892" s="580">
        <f t="shared" si="499"/>
        <v>0</v>
      </c>
      <c r="AH5892" s="580">
        <f t="shared" si="500"/>
        <v>0</v>
      </c>
    </row>
    <row r="5893" spans="28:34">
      <c r="AB5893" s="580">
        <f>HLOOKUP("*"&amp;'Output annual'!$AC$2&amp;'Output annual'!$AD$2&amp;"*Zone People Number Of Occupants [](Hourly)",'Eplus results'!$1:$1048576,ROW(),FALSE)</f>
        <v>0</v>
      </c>
      <c r="AC5893" s="580">
        <f>HLOOKUP("*"&amp;'Output annual'!$AC$2&amp;'Output annual'!$AD$2&amp;"*FangerPMV(Hourly)",'Eplus results'!$1:$1048576,ROW(),FALSE)</f>
        <v>0</v>
      </c>
      <c r="AD5893" s="580">
        <f t="shared" si="496"/>
        <v>5</v>
      </c>
      <c r="AE5893" s="580">
        <f t="shared" si="497"/>
        <v>2.5</v>
      </c>
      <c r="AF5893" s="580">
        <f t="shared" si="498"/>
        <v>2.5</v>
      </c>
      <c r="AG5893" s="580">
        <f t="shared" si="499"/>
        <v>0</v>
      </c>
      <c r="AH5893" s="580">
        <f t="shared" si="500"/>
        <v>0</v>
      </c>
    </row>
    <row r="5894" spans="28:34">
      <c r="AB5894" s="580">
        <f>HLOOKUP("*"&amp;'Output annual'!$AC$2&amp;'Output annual'!$AD$2&amp;"*Zone People Number Of Occupants [](Hourly)",'Eplus results'!$1:$1048576,ROW(),FALSE)</f>
        <v>0</v>
      </c>
      <c r="AC5894" s="580">
        <f>HLOOKUP("*"&amp;'Output annual'!$AC$2&amp;'Output annual'!$AD$2&amp;"*FangerPMV(Hourly)",'Eplus results'!$1:$1048576,ROW(),FALSE)</f>
        <v>0</v>
      </c>
      <c r="AD5894" s="580">
        <f t="shared" si="496"/>
        <v>5</v>
      </c>
      <c r="AE5894" s="580">
        <f t="shared" si="497"/>
        <v>2.5</v>
      </c>
      <c r="AF5894" s="580">
        <f t="shared" si="498"/>
        <v>2.5</v>
      </c>
      <c r="AG5894" s="580">
        <f t="shared" si="499"/>
        <v>0</v>
      </c>
      <c r="AH5894" s="580">
        <f t="shared" si="500"/>
        <v>0</v>
      </c>
    </row>
    <row r="5895" spans="28:34">
      <c r="AB5895" s="580">
        <f>HLOOKUP("*"&amp;'Output annual'!$AC$2&amp;'Output annual'!$AD$2&amp;"*Zone People Number Of Occupants [](Hourly)",'Eplus results'!$1:$1048576,ROW(),FALSE)</f>
        <v>0</v>
      </c>
      <c r="AC5895" s="580">
        <f>HLOOKUP("*"&amp;'Output annual'!$AC$2&amp;'Output annual'!$AD$2&amp;"*FangerPMV(Hourly)",'Eplus results'!$1:$1048576,ROW(),FALSE)</f>
        <v>0</v>
      </c>
      <c r="AD5895" s="580">
        <f t="shared" si="496"/>
        <v>5</v>
      </c>
      <c r="AE5895" s="580">
        <f t="shared" si="497"/>
        <v>2.5</v>
      </c>
      <c r="AF5895" s="580">
        <f t="shared" si="498"/>
        <v>2.5</v>
      </c>
      <c r="AG5895" s="580">
        <f t="shared" si="499"/>
        <v>0</v>
      </c>
      <c r="AH5895" s="580">
        <f t="shared" si="500"/>
        <v>0</v>
      </c>
    </row>
    <row r="5896" spans="28:34">
      <c r="AB5896" s="580">
        <f>HLOOKUP("*"&amp;'Output annual'!$AC$2&amp;'Output annual'!$AD$2&amp;"*Zone People Number Of Occupants [](Hourly)",'Eplus results'!$1:$1048576,ROW(),FALSE)</f>
        <v>0</v>
      </c>
      <c r="AC5896" s="580">
        <f>HLOOKUP("*"&amp;'Output annual'!$AC$2&amp;'Output annual'!$AD$2&amp;"*FangerPMV(Hourly)",'Eplus results'!$1:$1048576,ROW(),FALSE)</f>
        <v>0</v>
      </c>
      <c r="AD5896" s="580">
        <f t="shared" si="496"/>
        <v>5</v>
      </c>
      <c r="AE5896" s="580">
        <f t="shared" si="497"/>
        <v>2.5</v>
      </c>
      <c r="AF5896" s="580">
        <f t="shared" si="498"/>
        <v>2.5</v>
      </c>
      <c r="AG5896" s="580">
        <f t="shared" si="499"/>
        <v>0</v>
      </c>
      <c r="AH5896" s="580">
        <f t="shared" si="500"/>
        <v>0</v>
      </c>
    </row>
    <row r="5897" spans="28:34">
      <c r="AB5897" s="580">
        <f>HLOOKUP("*"&amp;'Output annual'!$AC$2&amp;'Output annual'!$AD$2&amp;"*Zone People Number Of Occupants [](Hourly)",'Eplus results'!$1:$1048576,ROW(),FALSE)</f>
        <v>0</v>
      </c>
      <c r="AC5897" s="580">
        <f>HLOOKUP("*"&amp;'Output annual'!$AC$2&amp;'Output annual'!$AD$2&amp;"*FangerPMV(Hourly)",'Eplus results'!$1:$1048576,ROW(),FALSE)</f>
        <v>0</v>
      </c>
      <c r="AD5897" s="580">
        <f t="shared" si="496"/>
        <v>5</v>
      </c>
      <c r="AE5897" s="580">
        <f t="shared" si="497"/>
        <v>2.5</v>
      </c>
      <c r="AF5897" s="580">
        <f t="shared" si="498"/>
        <v>2.5</v>
      </c>
      <c r="AG5897" s="580">
        <f t="shared" si="499"/>
        <v>0</v>
      </c>
      <c r="AH5897" s="580">
        <f t="shared" si="500"/>
        <v>0</v>
      </c>
    </row>
    <row r="5898" spans="28:34">
      <c r="AB5898" s="580">
        <f>HLOOKUP("*"&amp;'Output annual'!$AC$2&amp;'Output annual'!$AD$2&amp;"*Zone People Number Of Occupants [](Hourly)",'Eplus results'!$1:$1048576,ROW(),FALSE)</f>
        <v>0</v>
      </c>
      <c r="AC5898" s="580">
        <f>HLOOKUP("*"&amp;'Output annual'!$AC$2&amp;'Output annual'!$AD$2&amp;"*FangerPMV(Hourly)",'Eplus results'!$1:$1048576,ROW(),FALSE)</f>
        <v>0</v>
      </c>
      <c r="AD5898" s="580">
        <f t="shared" si="496"/>
        <v>5</v>
      </c>
      <c r="AE5898" s="580">
        <f t="shared" si="497"/>
        <v>2.5</v>
      </c>
      <c r="AF5898" s="580">
        <f t="shared" si="498"/>
        <v>2.5</v>
      </c>
      <c r="AG5898" s="580">
        <f t="shared" si="499"/>
        <v>0</v>
      </c>
      <c r="AH5898" s="580">
        <f t="shared" si="500"/>
        <v>0</v>
      </c>
    </row>
    <row r="5899" spans="28:34">
      <c r="AB5899" s="580">
        <f>HLOOKUP("*"&amp;'Output annual'!$AC$2&amp;'Output annual'!$AD$2&amp;"*Zone People Number Of Occupants [](Hourly)",'Eplus results'!$1:$1048576,ROW(),FALSE)</f>
        <v>0</v>
      </c>
      <c r="AC5899" s="580">
        <f>HLOOKUP("*"&amp;'Output annual'!$AC$2&amp;'Output annual'!$AD$2&amp;"*FangerPMV(Hourly)",'Eplus results'!$1:$1048576,ROW(),FALSE)</f>
        <v>0</v>
      </c>
      <c r="AD5899" s="580">
        <f t="shared" si="496"/>
        <v>5</v>
      </c>
      <c r="AE5899" s="580">
        <f t="shared" si="497"/>
        <v>2.5</v>
      </c>
      <c r="AF5899" s="580">
        <f t="shared" si="498"/>
        <v>2.5</v>
      </c>
      <c r="AG5899" s="580">
        <f t="shared" si="499"/>
        <v>0</v>
      </c>
      <c r="AH5899" s="580">
        <f t="shared" si="500"/>
        <v>0</v>
      </c>
    </row>
    <row r="5900" spans="28:34">
      <c r="AB5900" s="580">
        <f>HLOOKUP("*"&amp;'Output annual'!$AC$2&amp;'Output annual'!$AD$2&amp;"*Zone People Number Of Occupants [](Hourly)",'Eplus results'!$1:$1048576,ROW(),FALSE)</f>
        <v>0</v>
      </c>
      <c r="AC5900" s="580">
        <f>HLOOKUP("*"&amp;'Output annual'!$AC$2&amp;'Output annual'!$AD$2&amp;"*FangerPMV(Hourly)",'Eplus results'!$1:$1048576,ROW(),FALSE)</f>
        <v>0</v>
      </c>
      <c r="AD5900" s="580">
        <f t="shared" si="496"/>
        <v>5</v>
      </c>
      <c r="AE5900" s="580">
        <f t="shared" si="497"/>
        <v>2.5</v>
      </c>
      <c r="AF5900" s="580">
        <f t="shared" si="498"/>
        <v>2.5</v>
      </c>
      <c r="AG5900" s="580">
        <f t="shared" si="499"/>
        <v>0</v>
      </c>
      <c r="AH5900" s="580">
        <f t="shared" si="500"/>
        <v>0</v>
      </c>
    </row>
    <row r="5901" spans="28:34">
      <c r="AB5901" s="580">
        <f>HLOOKUP("*"&amp;'Output annual'!$AC$2&amp;'Output annual'!$AD$2&amp;"*Zone People Number Of Occupants [](Hourly)",'Eplus results'!$1:$1048576,ROW(),FALSE)</f>
        <v>0</v>
      </c>
      <c r="AC5901" s="580">
        <f>HLOOKUP("*"&amp;'Output annual'!$AC$2&amp;'Output annual'!$AD$2&amp;"*FangerPMV(Hourly)",'Eplus results'!$1:$1048576,ROW(),FALSE)</f>
        <v>0</v>
      </c>
      <c r="AD5901" s="580">
        <f t="shared" si="496"/>
        <v>5</v>
      </c>
      <c r="AE5901" s="580">
        <f t="shared" si="497"/>
        <v>2.5</v>
      </c>
      <c r="AF5901" s="580">
        <f t="shared" si="498"/>
        <v>2.5</v>
      </c>
      <c r="AG5901" s="580">
        <f t="shared" si="499"/>
        <v>0</v>
      </c>
      <c r="AH5901" s="580">
        <f t="shared" si="500"/>
        <v>0</v>
      </c>
    </row>
    <row r="5902" spans="28:34">
      <c r="AB5902" s="580">
        <f>HLOOKUP("*"&amp;'Output annual'!$AC$2&amp;'Output annual'!$AD$2&amp;"*Zone People Number Of Occupants [](Hourly)",'Eplus results'!$1:$1048576,ROW(),FALSE)</f>
        <v>0</v>
      </c>
      <c r="AC5902" s="580">
        <f>HLOOKUP("*"&amp;'Output annual'!$AC$2&amp;'Output annual'!$AD$2&amp;"*FangerPMV(Hourly)",'Eplus results'!$1:$1048576,ROW(),FALSE)</f>
        <v>0</v>
      </c>
      <c r="AD5902" s="580">
        <f t="shared" si="496"/>
        <v>5</v>
      </c>
      <c r="AE5902" s="580">
        <f t="shared" si="497"/>
        <v>2.5</v>
      </c>
      <c r="AF5902" s="580">
        <f t="shared" si="498"/>
        <v>2.5</v>
      </c>
      <c r="AG5902" s="580">
        <f t="shared" si="499"/>
        <v>0</v>
      </c>
      <c r="AH5902" s="580">
        <f t="shared" si="500"/>
        <v>0</v>
      </c>
    </row>
    <row r="5903" spans="28:34">
      <c r="AB5903" s="580">
        <f>HLOOKUP("*"&amp;'Output annual'!$AC$2&amp;'Output annual'!$AD$2&amp;"*Zone People Number Of Occupants [](Hourly)",'Eplus results'!$1:$1048576,ROW(),FALSE)</f>
        <v>0</v>
      </c>
      <c r="AC5903" s="580">
        <f>HLOOKUP("*"&amp;'Output annual'!$AC$2&amp;'Output annual'!$AD$2&amp;"*FangerPMV(Hourly)",'Eplus results'!$1:$1048576,ROW(),FALSE)</f>
        <v>0</v>
      </c>
      <c r="AD5903" s="580">
        <f t="shared" si="496"/>
        <v>5</v>
      </c>
      <c r="AE5903" s="580">
        <f t="shared" si="497"/>
        <v>2.5</v>
      </c>
      <c r="AF5903" s="580">
        <f t="shared" si="498"/>
        <v>2.5</v>
      </c>
      <c r="AG5903" s="580">
        <f t="shared" si="499"/>
        <v>0</v>
      </c>
      <c r="AH5903" s="580">
        <f t="shared" si="500"/>
        <v>0</v>
      </c>
    </row>
    <row r="5904" spans="28:34">
      <c r="AB5904" s="580">
        <f>HLOOKUP("*"&amp;'Output annual'!$AC$2&amp;'Output annual'!$AD$2&amp;"*Zone People Number Of Occupants [](Hourly)",'Eplus results'!$1:$1048576,ROW(),FALSE)</f>
        <v>0</v>
      </c>
      <c r="AC5904" s="580">
        <f>HLOOKUP("*"&amp;'Output annual'!$AC$2&amp;'Output annual'!$AD$2&amp;"*FangerPMV(Hourly)",'Eplus results'!$1:$1048576,ROW(),FALSE)</f>
        <v>0</v>
      </c>
      <c r="AD5904" s="580">
        <f t="shared" si="496"/>
        <v>5</v>
      </c>
      <c r="AE5904" s="580">
        <f t="shared" si="497"/>
        <v>2.5</v>
      </c>
      <c r="AF5904" s="580">
        <f t="shared" si="498"/>
        <v>2.5</v>
      </c>
      <c r="AG5904" s="580">
        <f t="shared" si="499"/>
        <v>0</v>
      </c>
      <c r="AH5904" s="580">
        <f t="shared" si="500"/>
        <v>0</v>
      </c>
    </row>
    <row r="5905" spans="28:34">
      <c r="AB5905" s="580">
        <f>HLOOKUP("*"&amp;'Output annual'!$AC$2&amp;'Output annual'!$AD$2&amp;"*Zone People Number Of Occupants [](Hourly)",'Eplus results'!$1:$1048576,ROW(),FALSE)</f>
        <v>0</v>
      </c>
      <c r="AC5905" s="580">
        <f>HLOOKUP("*"&amp;'Output annual'!$AC$2&amp;'Output annual'!$AD$2&amp;"*FangerPMV(Hourly)",'Eplus results'!$1:$1048576,ROW(),FALSE)</f>
        <v>0</v>
      </c>
      <c r="AD5905" s="580">
        <f t="shared" si="496"/>
        <v>5</v>
      </c>
      <c r="AE5905" s="580">
        <f t="shared" si="497"/>
        <v>2.5</v>
      </c>
      <c r="AF5905" s="580">
        <f t="shared" si="498"/>
        <v>2.5</v>
      </c>
      <c r="AG5905" s="580">
        <f t="shared" si="499"/>
        <v>0</v>
      </c>
      <c r="AH5905" s="580">
        <f t="shared" si="500"/>
        <v>0</v>
      </c>
    </row>
    <row r="5906" spans="28:34">
      <c r="AB5906" s="580">
        <f>HLOOKUP("*"&amp;'Output annual'!$AC$2&amp;'Output annual'!$AD$2&amp;"*Zone People Number Of Occupants [](Hourly)",'Eplus results'!$1:$1048576,ROW(),FALSE)</f>
        <v>0</v>
      </c>
      <c r="AC5906" s="580">
        <f>HLOOKUP("*"&amp;'Output annual'!$AC$2&amp;'Output annual'!$AD$2&amp;"*FangerPMV(Hourly)",'Eplus results'!$1:$1048576,ROW(),FALSE)</f>
        <v>0</v>
      </c>
      <c r="AD5906" s="580">
        <f t="shared" si="496"/>
        <v>5</v>
      </c>
      <c r="AE5906" s="580">
        <f t="shared" si="497"/>
        <v>2.5</v>
      </c>
      <c r="AF5906" s="580">
        <f t="shared" si="498"/>
        <v>2.5</v>
      </c>
      <c r="AG5906" s="580">
        <f t="shared" si="499"/>
        <v>0</v>
      </c>
      <c r="AH5906" s="580">
        <f t="shared" si="500"/>
        <v>0</v>
      </c>
    </row>
    <row r="5907" spans="28:34">
      <c r="AB5907" s="580">
        <f>HLOOKUP("*"&amp;'Output annual'!$AC$2&amp;'Output annual'!$AD$2&amp;"*Zone People Number Of Occupants [](Hourly)",'Eplus results'!$1:$1048576,ROW(),FALSE)</f>
        <v>0</v>
      </c>
      <c r="AC5907" s="580">
        <f>HLOOKUP("*"&amp;'Output annual'!$AC$2&amp;'Output annual'!$AD$2&amp;"*FangerPMV(Hourly)",'Eplus results'!$1:$1048576,ROW(),FALSE)</f>
        <v>0</v>
      </c>
      <c r="AD5907" s="580">
        <f t="shared" si="496"/>
        <v>5</v>
      </c>
      <c r="AE5907" s="580">
        <f t="shared" si="497"/>
        <v>2.5</v>
      </c>
      <c r="AF5907" s="580">
        <f t="shared" si="498"/>
        <v>2.5</v>
      </c>
      <c r="AG5907" s="580">
        <f t="shared" si="499"/>
        <v>0</v>
      </c>
      <c r="AH5907" s="580">
        <f t="shared" si="500"/>
        <v>0</v>
      </c>
    </row>
    <row r="5908" spans="28:34">
      <c r="AB5908" s="580">
        <f>HLOOKUP("*"&amp;'Output annual'!$AC$2&amp;'Output annual'!$AD$2&amp;"*Zone People Number Of Occupants [](Hourly)",'Eplus results'!$1:$1048576,ROW(),FALSE)</f>
        <v>0</v>
      </c>
      <c r="AC5908" s="580">
        <f>HLOOKUP("*"&amp;'Output annual'!$AC$2&amp;'Output annual'!$AD$2&amp;"*FangerPMV(Hourly)",'Eplus results'!$1:$1048576,ROW(),FALSE)</f>
        <v>0</v>
      </c>
      <c r="AD5908" s="580">
        <f t="shared" si="496"/>
        <v>5</v>
      </c>
      <c r="AE5908" s="580">
        <f t="shared" si="497"/>
        <v>2.5</v>
      </c>
      <c r="AF5908" s="580">
        <f t="shared" si="498"/>
        <v>2.5</v>
      </c>
      <c r="AG5908" s="580">
        <f t="shared" si="499"/>
        <v>0</v>
      </c>
      <c r="AH5908" s="580">
        <f t="shared" si="500"/>
        <v>0</v>
      </c>
    </row>
    <row r="5909" spans="28:34">
      <c r="AB5909" s="580">
        <f>HLOOKUP("*"&amp;'Output annual'!$AC$2&amp;'Output annual'!$AD$2&amp;"*Zone People Number Of Occupants [](Hourly)",'Eplus results'!$1:$1048576,ROW(),FALSE)</f>
        <v>0</v>
      </c>
      <c r="AC5909" s="580">
        <f>HLOOKUP("*"&amp;'Output annual'!$AC$2&amp;'Output annual'!$AD$2&amp;"*FangerPMV(Hourly)",'Eplus results'!$1:$1048576,ROW(),FALSE)</f>
        <v>0</v>
      </c>
      <c r="AD5909" s="580">
        <f t="shared" si="496"/>
        <v>5</v>
      </c>
      <c r="AE5909" s="580">
        <f t="shared" si="497"/>
        <v>2.5</v>
      </c>
      <c r="AF5909" s="580">
        <f t="shared" si="498"/>
        <v>2.5</v>
      </c>
      <c r="AG5909" s="580">
        <f t="shared" si="499"/>
        <v>0</v>
      </c>
      <c r="AH5909" s="580">
        <f t="shared" si="500"/>
        <v>0</v>
      </c>
    </row>
    <row r="5910" spans="28:34">
      <c r="AB5910" s="580">
        <f>HLOOKUP("*"&amp;'Output annual'!$AC$2&amp;'Output annual'!$AD$2&amp;"*Zone People Number Of Occupants [](Hourly)",'Eplus results'!$1:$1048576,ROW(),FALSE)</f>
        <v>0</v>
      </c>
      <c r="AC5910" s="580">
        <f>HLOOKUP("*"&amp;'Output annual'!$AC$2&amp;'Output annual'!$AD$2&amp;"*FangerPMV(Hourly)",'Eplus results'!$1:$1048576,ROW(),FALSE)</f>
        <v>0</v>
      </c>
      <c r="AD5910" s="580">
        <f t="shared" si="496"/>
        <v>5</v>
      </c>
      <c r="AE5910" s="580">
        <f t="shared" si="497"/>
        <v>2.5</v>
      </c>
      <c r="AF5910" s="580">
        <f t="shared" si="498"/>
        <v>2.5</v>
      </c>
      <c r="AG5910" s="580">
        <f t="shared" si="499"/>
        <v>0</v>
      </c>
      <c r="AH5910" s="580">
        <f t="shared" si="500"/>
        <v>0</v>
      </c>
    </row>
    <row r="5911" spans="28:34">
      <c r="AB5911" s="580">
        <f>HLOOKUP("*"&amp;'Output annual'!$AC$2&amp;'Output annual'!$AD$2&amp;"*Zone People Number Of Occupants [](Hourly)",'Eplus results'!$1:$1048576,ROW(),FALSE)</f>
        <v>0</v>
      </c>
      <c r="AC5911" s="580">
        <f>HLOOKUP("*"&amp;'Output annual'!$AC$2&amp;'Output annual'!$AD$2&amp;"*FangerPMV(Hourly)",'Eplus results'!$1:$1048576,ROW(),FALSE)</f>
        <v>0</v>
      </c>
      <c r="AD5911" s="580">
        <f t="shared" si="496"/>
        <v>5</v>
      </c>
      <c r="AE5911" s="580">
        <f t="shared" si="497"/>
        <v>2.5</v>
      </c>
      <c r="AF5911" s="580">
        <f t="shared" si="498"/>
        <v>2.5</v>
      </c>
      <c r="AG5911" s="580">
        <f t="shared" si="499"/>
        <v>0</v>
      </c>
      <c r="AH5911" s="580">
        <f t="shared" si="500"/>
        <v>0</v>
      </c>
    </row>
    <row r="5912" spans="28:34">
      <c r="AB5912" s="580">
        <f>HLOOKUP("*"&amp;'Output annual'!$AC$2&amp;'Output annual'!$AD$2&amp;"*Zone People Number Of Occupants [](Hourly)",'Eplus results'!$1:$1048576,ROW(),FALSE)</f>
        <v>0</v>
      </c>
      <c r="AC5912" s="580">
        <f>HLOOKUP("*"&amp;'Output annual'!$AC$2&amp;'Output annual'!$AD$2&amp;"*FangerPMV(Hourly)",'Eplus results'!$1:$1048576,ROW(),FALSE)</f>
        <v>0</v>
      </c>
      <c r="AD5912" s="580">
        <f t="shared" si="496"/>
        <v>5</v>
      </c>
      <c r="AE5912" s="580">
        <f t="shared" si="497"/>
        <v>2.5</v>
      </c>
      <c r="AF5912" s="580">
        <f t="shared" si="498"/>
        <v>2.5</v>
      </c>
      <c r="AG5912" s="580">
        <f t="shared" si="499"/>
        <v>0</v>
      </c>
      <c r="AH5912" s="580">
        <f t="shared" si="500"/>
        <v>0</v>
      </c>
    </row>
    <row r="5913" spans="28:34">
      <c r="AB5913" s="580">
        <f>HLOOKUP("*"&amp;'Output annual'!$AC$2&amp;'Output annual'!$AD$2&amp;"*Zone People Number Of Occupants [](Hourly)",'Eplus results'!$1:$1048576,ROW(),FALSE)</f>
        <v>0</v>
      </c>
      <c r="AC5913" s="580">
        <f>HLOOKUP("*"&amp;'Output annual'!$AC$2&amp;'Output annual'!$AD$2&amp;"*FangerPMV(Hourly)",'Eplus results'!$1:$1048576,ROW(),FALSE)</f>
        <v>0</v>
      </c>
      <c r="AD5913" s="580">
        <f t="shared" si="496"/>
        <v>5</v>
      </c>
      <c r="AE5913" s="580">
        <f t="shared" si="497"/>
        <v>2.5</v>
      </c>
      <c r="AF5913" s="580">
        <f t="shared" si="498"/>
        <v>2.5</v>
      </c>
      <c r="AG5913" s="580">
        <f t="shared" si="499"/>
        <v>0</v>
      </c>
      <c r="AH5913" s="580">
        <f t="shared" si="500"/>
        <v>0</v>
      </c>
    </row>
    <row r="5914" spans="28:34">
      <c r="AB5914" s="580">
        <f>HLOOKUP("*"&amp;'Output annual'!$AC$2&amp;'Output annual'!$AD$2&amp;"*Zone People Number Of Occupants [](Hourly)",'Eplus results'!$1:$1048576,ROW(),FALSE)</f>
        <v>0</v>
      </c>
      <c r="AC5914" s="580">
        <f>HLOOKUP("*"&amp;'Output annual'!$AC$2&amp;'Output annual'!$AD$2&amp;"*FangerPMV(Hourly)",'Eplus results'!$1:$1048576,ROW(),FALSE)</f>
        <v>0</v>
      </c>
      <c r="AD5914" s="580">
        <f t="shared" si="496"/>
        <v>5</v>
      </c>
      <c r="AE5914" s="580">
        <f t="shared" si="497"/>
        <v>2.5</v>
      </c>
      <c r="AF5914" s="580">
        <f t="shared" si="498"/>
        <v>2.5</v>
      </c>
      <c r="AG5914" s="580">
        <f t="shared" si="499"/>
        <v>0</v>
      </c>
      <c r="AH5914" s="580">
        <f t="shared" si="500"/>
        <v>0</v>
      </c>
    </row>
    <row r="5915" spans="28:34">
      <c r="AB5915" s="580">
        <f>HLOOKUP("*"&amp;'Output annual'!$AC$2&amp;'Output annual'!$AD$2&amp;"*Zone People Number Of Occupants [](Hourly)",'Eplus results'!$1:$1048576,ROW(),FALSE)</f>
        <v>0</v>
      </c>
      <c r="AC5915" s="580">
        <f>HLOOKUP("*"&amp;'Output annual'!$AC$2&amp;'Output annual'!$AD$2&amp;"*FangerPMV(Hourly)",'Eplus results'!$1:$1048576,ROW(),FALSE)</f>
        <v>0</v>
      </c>
      <c r="AD5915" s="580">
        <f t="shared" si="496"/>
        <v>5</v>
      </c>
      <c r="AE5915" s="580">
        <f t="shared" si="497"/>
        <v>2.5</v>
      </c>
      <c r="AF5915" s="580">
        <f t="shared" si="498"/>
        <v>2.5</v>
      </c>
      <c r="AG5915" s="580">
        <f t="shared" si="499"/>
        <v>0</v>
      </c>
      <c r="AH5915" s="580">
        <f t="shared" si="500"/>
        <v>0</v>
      </c>
    </row>
    <row r="5916" spans="28:34">
      <c r="AB5916" s="580">
        <f>HLOOKUP("*"&amp;'Output annual'!$AC$2&amp;'Output annual'!$AD$2&amp;"*Zone People Number Of Occupants [](Hourly)",'Eplus results'!$1:$1048576,ROW(),FALSE)</f>
        <v>0</v>
      </c>
      <c r="AC5916" s="580">
        <f>HLOOKUP("*"&amp;'Output annual'!$AC$2&amp;'Output annual'!$AD$2&amp;"*FangerPMV(Hourly)",'Eplus results'!$1:$1048576,ROW(),FALSE)</f>
        <v>0</v>
      </c>
      <c r="AD5916" s="580">
        <f t="shared" si="496"/>
        <v>5</v>
      </c>
      <c r="AE5916" s="580">
        <f t="shared" si="497"/>
        <v>2.5</v>
      </c>
      <c r="AF5916" s="580">
        <f t="shared" si="498"/>
        <v>2.5</v>
      </c>
      <c r="AG5916" s="580">
        <f t="shared" si="499"/>
        <v>0</v>
      </c>
      <c r="AH5916" s="580">
        <f t="shared" si="500"/>
        <v>0</v>
      </c>
    </row>
    <row r="5917" spans="28:34">
      <c r="AB5917" s="580">
        <f>HLOOKUP("*"&amp;'Output annual'!$AC$2&amp;'Output annual'!$AD$2&amp;"*Zone People Number Of Occupants [](Hourly)",'Eplus results'!$1:$1048576,ROW(),FALSE)</f>
        <v>0</v>
      </c>
      <c r="AC5917" s="580">
        <f>HLOOKUP("*"&amp;'Output annual'!$AC$2&amp;'Output annual'!$AD$2&amp;"*FangerPMV(Hourly)",'Eplus results'!$1:$1048576,ROW(),FALSE)</f>
        <v>0</v>
      </c>
      <c r="AD5917" s="580">
        <f t="shared" si="496"/>
        <v>5</v>
      </c>
      <c r="AE5917" s="580">
        <f t="shared" si="497"/>
        <v>2.5</v>
      </c>
      <c r="AF5917" s="580">
        <f t="shared" si="498"/>
        <v>2.5</v>
      </c>
      <c r="AG5917" s="580">
        <f t="shared" si="499"/>
        <v>0</v>
      </c>
      <c r="AH5917" s="580">
        <f t="shared" si="500"/>
        <v>0</v>
      </c>
    </row>
    <row r="5918" spans="28:34">
      <c r="AB5918" s="580">
        <f>HLOOKUP("*"&amp;'Output annual'!$AC$2&amp;'Output annual'!$AD$2&amp;"*Zone People Number Of Occupants [](Hourly)",'Eplus results'!$1:$1048576,ROW(),FALSE)</f>
        <v>0</v>
      </c>
      <c r="AC5918" s="580">
        <f>HLOOKUP("*"&amp;'Output annual'!$AC$2&amp;'Output annual'!$AD$2&amp;"*FangerPMV(Hourly)",'Eplus results'!$1:$1048576,ROW(),FALSE)</f>
        <v>0</v>
      </c>
      <c r="AD5918" s="580">
        <f t="shared" si="496"/>
        <v>5</v>
      </c>
      <c r="AE5918" s="580">
        <f t="shared" si="497"/>
        <v>2.5</v>
      </c>
      <c r="AF5918" s="580">
        <f t="shared" si="498"/>
        <v>2.5</v>
      </c>
      <c r="AG5918" s="580">
        <f t="shared" si="499"/>
        <v>0</v>
      </c>
      <c r="AH5918" s="580">
        <f t="shared" si="500"/>
        <v>0</v>
      </c>
    </row>
    <row r="5919" spans="28:34">
      <c r="AB5919" s="580">
        <f>HLOOKUP("*"&amp;'Output annual'!$AC$2&amp;'Output annual'!$AD$2&amp;"*Zone People Number Of Occupants [](Hourly)",'Eplus results'!$1:$1048576,ROW(),FALSE)</f>
        <v>0</v>
      </c>
      <c r="AC5919" s="580">
        <f>HLOOKUP("*"&amp;'Output annual'!$AC$2&amp;'Output annual'!$AD$2&amp;"*FangerPMV(Hourly)",'Eplus results'!$1:$1048576,ROW(),FALSE)</f>
        <v>0</v>
      </c>
      <c r="AD5919" s="580">
        <f t="shared" si="496"/>
        <v>5</v>
      </c>
      <c r="AE5919" s="580">
        <f t="shared" si="497"/>
        <v>2.5</v>
      </c>
      <c r="AF5919" s="580">
        <f t="shared" si="498"/>
        <v>2.5</v>
      </c>
      <c r="AG5919" s="580">
        <f t="shared" si="499"/>
        <v>0</v>
      </c>
      <c r="AH5919" s="580">
        <f t="shared" si="500"/>
        <v>0</v>
      </c>
    </row>
    <row r="5920" spans="28:34">
      <c r="AB5920" s="580">
        <f>HLOOKUP("*"&amp;'Output annual'!$AC$2&amp;'Output annual'!$AD$2&amp;"*Zone People Number Of Occupants [](Hourly)",'Eplus results'!$1:$1048576,ROW(),FALSE)</f>
        <v>0</v>
      </c>
      <c r="AC5920" s="580">
        <f>HLOOKUP("*"&amp;'Output annual'!$AC$2&amp;'Output annual'!$AD$2&amp;"*FangerPMV(Hourly)",'Eplus results'!$1:$1048576,ROW(),FALSE)</f>
        <v>0</v>
      </c>
      <c r="AD5920" s="580">
        <f t="shared" si="496"/>
        <v>5</v>
      </c>
      <c r="AE5920" s="580">
        <f t="shared" si="497"/>
        <v>2.5</v>
      </c>
      <c r="AF5920" s="580">
        <f t="shared" si="498"/>
        <v>2.5</v>
      </c>
      <c r="AG5920" s="580">
        <f t="shared" si="499"/>
        <v>0</v>
      </c>
      <c r="AH5920" s="580">
        <f t="shared" si="500"/>
        <v>0</v>
      </c>
    </row>
    <row r="5921" spans="28:34">
      <c r="AB5921" s="580">
        <f>HLOOKUP("*"&amp;'Output annual'!$AC$2&amp;'Output annual'!$AD$2&amp;"*Zone People Number Of Occupants [](Hourly)",'Eplus results'!$1:$1048576,ROW(),FALSE)</f>
        <v>0</v>
      </c>
      <c r="AC5921" s="580">
        <f>HLOOKUP("*"&amp;'Output annual'!$AC$2&amp;'Output annual'!$AD$2&amp;"*FangerPMV(Hourly)",'Eplus results'!$1:$1048576,ROW(),FALSE)</f>
        <v>0</v>
      </c>
      <c r="AD5921" s="580">
        <f t="shared" si="496"/>
        <v>5</v>
      </c>
      <c r="AE5921" s="580">
        <f t="shared" si="497"/>
        <v>2.5</v>
      </c>
      <c r="AF5921" s="580">
        <f t="shared" si="498"/>
        <v>2.5</v>
      </c>
      <c r="AG5921" s="580">
        <f t="shared" si="499"/>
        <v>0</v>
      </c>
      <c r="AH5921" s="580">
        <f t="shared" si="500"/>
        <v>0</v>
      </c>
    </row>
    <row r="5922" spans="28:34">
      <c r="AB5922" s="580">
        <f>HLOOKUP("*"&amp;'Output annual'!$AC$2&amp;'Output annual'!$AD$2&amp;"*Zone People Number Of Occupants [](Hourly)",'Eplus results'!$1:$1048576,ROW(),FALSE)</f>
        <v>0</v>
      </c>
      <c r="AC5922" s="580">
        <f>HLOOKUP("*"&amp;'Output annual'!$AC$2&amp;'Output annual'!$AD$2&amp;"*FangerPMV(Hourly)",'Eplus results'!$1:$1048576,ROW(),FALSE)</f>
        <v>0</v>
      </c>
      <c r="AD5922" s="580">
        <f t="shared" si="496"/>
        <v>5</v>
      </c>
      <c r="AE5922" s="580">
        <f t="shared" si="497"/>
        <v>2.5</v>
      </c>
      <c r="AF5922" s="580">
        <f t="shared" si="498"/>
        <v>2.5</v>
      </c>
      <c r="AG5922" s="580">
        <f t="shared" si="499"/>
        <v>0</v>
      </c>
      <c r="AH5922" s="580">
        <f t="shared" si="500"/>
        <v>0</v>
      </c>
    </row>
    <row r="5923" spans="28:34">
      <c r="AB5923" s="580">
        <f>HLOOKUP("*"&amp;'Output annual'!$AC$2&amp;'Output annual'!$AD$2&amp;"*Zone People Number Of Occupants [](Hourly)",'Eplus results'!$1:$1048576,ROW(),FALSE)</f>
        <v>0</v>
      </c>
      <c r="AC5923" s="580">
        <f>HLOOKUP("*"&amp;'Output annual'!$AC$2&amp;'Output annual'!$AD$2&amp;"*FangerPMV(Hourly)",'Eplus results'!$1:$1048576,ROW(),FALSE)</f>
        <v>0</v>
      </c>
      <c r="AD5923" s="580">
        <f t="shared" si="496"/>
        <v>5</v>
      </c>
      <c r="AE5923" s="580">
        <f t="shared" si="497"/>
        <v>2.5</v>
      </c>
      <c r="AF5923" s="580">
        <f t="shared" si="498"/>
        <v>2.5</v>
      </c>
      <c r="AG5923" s="580">
        <f t="shared" si="499"/>
        <v>0</v>
      </c>
      <c r="AH5923" s="580">
        <f t="shared" si="500"/>
        <v>0</v>
      </c>
    </row>
    <row r="5924" spans="28:34">
      <c r="AB5924" s="580">
        <f>HLOOKUP("*"&amp;'Output annual'!$AC$2&amp;'Output annual'!$AD$2&amp;"*Zone People Number Of Occupants [](Hourly)",'Eplus results'!$1:$1048576,ROW(),FALSE)</f>
        <v>0</v>
      </c>
      <c r="AC5924" s="580">
        <f>HLOOKUP("*"&amp;'Output annual'!$AC$2&amp;'Output annual'!$AD$2&amp;"*FangerPMV(Hourly)",'Eplus results'!$1:$1048576,ROW(),FALSE)</f>
        <v>0</v>
      </c>
      <c r="AD5924" s="580">
        <f t="shared" si="496"/>
        <v>5</v>
      </c>
      <c r="AE5924" s="580">
        <f t="shared" si="497"/>
        <v>2.5</v>
      </c>
      <c r="AF5924" s="580">
        <f t="shared" si="498"/>
        <v>2.5</v>
      </c>
      <c r="AG5924" s="580">
        <f t="shared" si="499"/>
        <v>0</v>
      </c>
      <c r="AH5924" s="580">
        <f t="shared" si="500"/>
        <v>0</v>
      </c>
    </row>
    <row r="5925" spans="28:34">
      <c r="AB5925" s="580">
        <f>HLOOKUP("*"&amp;'Output annual'!$AC$2&amp;'Output annual'!$AD$2&amp;"*Zone People Number Of Occupants [](Hourly)",'Eplus results'!$1:$1048576,ROW(),FALSE)</f>
        <v>0</v>
      </c>
      <c r="AC5925" s="580">
        <f>HLOOKUP("*"&amp;'Output annual'!$AC$2&amp;'Output annual'!$AD$2&amp;"*FangerPMV(Hourly)",'Eplus results'!$1:$1048576,ROW(),FALSE)</f>
        <v>0</v>
      </c>
      <c r="AD5925" s="580">
        <f t="shared" si="496"/>
        <v>5</v>
      </c>
      <c r="AE5925" s="580">
        <f t="shared" si="497"/>
        <v>2.5</v>
      </c>
      <c r="AF5925" s="580">
        <f t="shared" si="498"/>
        <v>2.5</v>
      </c>
      <c r="AG5925" s="580">
        <f t="shared" si="499"/>
        <v>0</v>
      </c>
      <c r="AH5925" s="580">
        <f t="shared" si="500"/>
        <v>0</v>
      </c>
    </row>
    <row r="5926" spans="28:34">
      <c r="AB5926" s="580">
        <f>HLOOKUP("*"&amp;'Output annual'!$AC$2&amp;'Output annual'!$AD$2&amp;"*Zone People Number Of Occupants [](Hourly)",'Eplus results'!$1:$1048576,ROW(),FALSE)</f>
        <v>0</v>
      </c>
      <c r="AC5926" s="580">
        <f>HLOOKUP("*"&amp;'Output annual'!$AC$2&amp;'Output annual'!$AD$2&amp;"*FangerPMV(Hourly)",'Eplus results'!$1:$1048576,ROW(),FALSE)</f>
        <v>0</v>
      </c>
      <c r="AD5926" s="580">
        <f t="shared" si="496"/>
        <v>5</v>
      </c>
      <c r="AE5926" s="580">
        <f t="shared" si="497"/>
        <v>2.5</v>
      </c>
      <c r="AF5926" s="580">
        <f t="shared" si="498"/>
        <v>2.5</v>
      </c>
      <c r="AG5926" s="580">
        <f t="shared" si="499"/>
        <v>0</v>
      </c>
      <c r="AH5926" s="580">
        <f t="shared" si="500"/>
        <v>0</v>
      </c>
    </row>
    <row r="5927" spans="28:34">
      <c r="AB5927" s="580">
        <f>HLOOKUP("*"&amp;'Output annual'!$AC$2&amp;'Output annual'!$AD$2&amp;"*Zone People Number Of Occupants [](Hourly)",'Eplus results'!$1:$1048576,ROW(),FALSE)</f>
        <v>0</v>
      </c>
      <c r="AC5927" s="580">
        <f>HLOOKUP("*"&amp;'Output annual'!$AC$2&amp;'Output annual'!$AD$2&amp;"*FangerPMV(Hourly)",'Eplus results'!$1:$1048576,ROW(),FALSE)</f>
        <v>0</v>
      </c>
      <c r="AD5927" s="580">
        <f t="shared" si="496"/>
        <v>5</v>
      </c>
      <c r="AE5927" s="580">
        <f t="shared" si="497"/>
        <v>2.5</v>
      </c>
      <c r="AF5927" s="580">
        <f t="shared" si="498"/>
        <v>2.5</v>
      </c>
      <c r="AG5927" s="580">
        <f t="shared" si="499"/>
        <v>0</v>
      </c>
      <c r="AH5927" s="580">
        <f t="shared" si="500"/>
        <v>0</v>
      </c>
    </row>
    <row r="5928" spans="28:34">
      <c r="AB5928" s="580">
        <f>HLOOKUP("*"&amp;'Output annual'!$AC$2&amp;'Output annual'!$AD$2&amp;"*Zone People Number Of Occupants [](Hourly)",'Eplus results'!$1:$1048576,ROW(),FALSE)</f>
        <v>0</v>
      </c>
      <c r="AC5928" s="580">
        <f>HLOOKUP("*"&amp;'Output annual'!$AC$2&amp;'Output annual'!$AD$2&amp;"*FangerPMV(Hourly)",'Eplus results'!$1:$1048576,ROW(),FALSE)</f>
        <v>0</v>
      </c>
      <c r="AD5928" s="580">
        <f t="shared" si="496"/>
        <v>5</v>
      </c>
      <c r="AE5928" s="580">
        <f t="shared" si="497"/>
        <v>2.5</v>
      </c>
      <c r="AF5928" s="580">
        <f t="shared" si="498"/>
        <v>2.5</v>
      </c>
      <c r="AG5928" s="580">
        <f t="shared" si="499"/>
        <v>0</v>
      </c>
      <c r="AH5928" s="580">
        <f t="shared" si="500"/>
        <v>0</v>
      </c>
    </row>
    <row r="5929" spans="28:34">
      <c r="AB5929" s="580">
        <f>HLOOKUP("*"&amp;'Output annual'!$AC$2&amp;'Output annual'!$AD$2&amp;"*Zone People Number Of Occupants [](Hourly)",'Eplus results'!$1:$1048576,ROW(),FALSE)</f>
        <v>0</v>
      </c>
      <c r="AC5929" s="580">
        <f>HLOOKUP("*"&amp;'Output annual'!$AC$2&amp;'Output annual'!$AD$2&amp;"*FangerPMV(Hourly)",'Eplus results'!$1:$1048576,ROW(),FALSE)</f>
        <v>0</v>
      </c>
      <c r="AD5929" s="580">
        <f t="shared" si="496"/>
        <v>5</v>
      </c>
      <c r="AE5929" s="580">
        <f t="shared" si="497"/>
        <v>2.5</v>
      </c>
      <c r="AF5929" s="580">
        <f t="shared" si="498"/>
        <v>2.5</v>
      </c>
      <c r="AG5929" s="580">
        <f t="shared" si="499"/>
        <v>0</v>
      </c>
      <c r="AH5929" s="580">
        <f t="shared" si="500"/>
        <v>0</v>
      </c>
    </row>
    <row r="5930" spans="28:34">
      <c r="AB5930" s="580">
        <f>HLOOKUP("*"&amp;'Output annual'!$AC$2&amp;'Output annual'!$AD$2&amp;"*Zone People Number Of Occupants [](Hourly)",'Eplus results'!$1:$1048576,ROW(),FALSE)</f>
        <v>0</v>
      </c>
      <c r="AC5930" s="580">
        <f>HLOOKUP("*"&amp;'Output annual'!$AC$2&amp;'Output annual'!$AD$2&amp;"*FangerPMV(Hourly)",'Eplus results'!$1:$1048576,ROW(),FALSE)</f>
        <v>0</v>
      </c>
      <c r="AD5930" s="580">
        <f t="shared" si="496"/>
        <v>5</v>
      </c>
      <c r="AE5930" s="580">
        <f t="shared" si="497"/>
        <v>2.5</v>
      </c>
      <c r="AF5930" s="580">
        <f t="shared" si="498"/>
        <v>2.5</v>
      </c>
      <c r="AG5930" s="580">
        <f t="shared" si="499"/>
        <v>0</v>
      </c>
      <c r="AH5930" s="580">
        <f t="shared" si="500"/>
        <v>0</v>
      </c>
    </row>
    <row r="5931" spans="28:34">
      <c r="AB5931" s="580">
        <f>HLOOKUP("*"&amp;'Output annual'!$AC$2&amp;'Output annual'!$AD$2&amp;"*Zone People Number Of Occupants [](Hourly)",'Eplus results'!$1:$1048576,ROW(),FALSE)</f>
        <v>0</v>
      </c>
      <c r="AC5931" s="580">
        <f>HLOOKUP("*"&amp;'Output annual'!$AC$2&amp;'Output annual'!$AD$2&amp;"*FangerPMV(Hourly)",'Eplus results'!$1:$1048576,ROW(),FALSE)</f>
        <v>0</v>
      </c>
      <c r="AD5931" s="580">
        <f t="shared" si="496"/>
        <v>5</v>
      </c>
      <c r="AE5931" s="580">
        <f t="shared" si="497"/>
        <v>2.5</v>
      </c>
      <c r="AF5931" s="580">
        <f t="shared" si="498"/>
        <v>2.5</v>
      </c>
      <c r="AG5931" s="580">
        <f t="shared" si="499"/>
        <v>0</v>
      </c>
      <c r="AH5931" s="580">
        <f t="shared" si="500"/>
        <v>0</v>
      </c>
    </row>
    <row r="5932" spans="28:34">
      <c r="AB5932" s="580">
        <f>HLOOKUP("*"&amp;'Output annual'!$AC$2&amp;'Output annual'!$AD$2&amp;"*Zone People Number Of Occupants [](Hourly)",'Eplus results'!$1:$1048576,ROW(),FALSE)</f>
        <v>0</v>
      </c>
      <c r="AC5932" s="580">
        <f>HLOOKUP("*"&amp;'Output annual'!$AC$2&amp;'Output annual'!$AD$2&amp;"*FangerPMV(Hourly)",'Eplus results'!$1:$1048576,ROW(),FALSE)</f>
        <v>0</v>
      </c>
      <c r="AD5932" s="580">
        <f t="shared" si="496"/>
        <v>5</v>
      </c>
      <c r="AE5932" s="580">
        <f t="shared" si="497"/>
        <v>2.5</v>
      </c>
      <c r="AF5932" s="580">
        <f t="shared" si="498"/>
        <v>2.5</v>
      </c>
      <c r="AG5932" s="580">
        <f t="shared" si="499"/>
        <v>0</v>
      </c>
      <c r="AH5932" s="580">
        <f t="shared" si="500"/>
        <v>0</v>
      </c>
    </row>
    <row r="5933" spans="28:34">
      <c r="AB5933" s="580">
        <f>HLOOKUP("*"&amp;'Output annual'!$AC$2&amp;'Output annual'!$AD$2&amp;"*Zone People Number Of Occupants [](Hourly)",'Eplus results'!$1:$1048576,ROW(),FALSE)</f>
        <v>0</v>
      </c>
      <c r="AC5933" s="580">
        <f>HLOOKUP("*"&amp;'Output annual'!$AC$2&amp;'Output annual'!$AD$2&amp;"*FangerPMV(Hourly)",'Eplus results'!$1:$1048576,ROW(),FALSE)</f>
        <v>0</v>
      </c>
      <c r="AD5933" s="580">
        <f t="shared" si="496"/>
        <v>5</v>
      </c>
      <c r="AE5933" s="580">
        <f t="shared" si="497"/>
        <v>2.5</v>
      </c>
      <c r="AF5933" s="580">
        <f t="shared" si="498"/>
        <v>2.5</v>
      </c>
      <c r="AG5933" s="580">
        <f t="shared" si="499"/>
        <v>0</v>
      </c>
      <c r="AH5933" s="580">
        <f t="shared" si="500"/>
        <v>0</v>
      </c>
    </row>
    <row r="5934" spans="28:34">
      <c r="AB5934" s="580">
        <f>HLOOKUP("*"&amp;'Output annual'!$AC$2&amp;'Output annual'!$AD$2&amp;"*Zone People Number Of Occupants [](Hourly)",'Eplus results'!$1:$1048576,ROW(),FALSE)</f>
        <v>0</v>
      </c>
      <c r="AC5934" s="580">
        <f>HLOOKUP("*"&amp;'Output annual'!$AC$2&amp;'Output annual'!$AD$2&amp;"*FangerPMV(Hourly)",'Eplus results'!$1:$1048576,ROW(),FALSE)</f>
        <v>0</v>
      </c>
      <c r="AD5934" s="580">
        <f t="shared" si="496"/>
        <v>5</v>
      </c>
      <c r="AE5934" s="580">
        <f t="shared" si="497"/>
        <v>2.5</v>
      </c>
      <c r="AF5934" s="580">
        <f t="shared" si="498"/>
        <v>2.5</v>
      </c>
      <c r="AG5934" s="580">
        <f t="shared" si="499"/>
        <v>0</v>
      </c>
      <c r="AH5934" s="580">
        <f t="shared" si="500"/>
        <v>0</v>
      </c>
    </row>
    <row r="5935" spans="28:34">
      <c r="AB5935" s="580">
        <f>HLOOKUP("*"&amp;'Output annual'!$AC$2&amp;'Output annual'!$AD$2&amp;"*Zone People Number Of Occupants [](Hourly)",'Eplus results'!$1:$1048576,ROW(),FALSE)</f>
        <v>0</v>
      </c>
      <c r="AC5935" s="580">
        <f>HLOOKUP("*"&amp;'Output annual'!$AC$2&amp;'Output annual'!$AD$2&amp;"*FangerPMV(Hourly)",'Eplus results'!$1:$1048576,ROW(),FALSE)</f>
        <v>0</v>
      </c>
      <c r="AD5935" s="580">
        <f t="shared" si="496"/>
        <v>5</v>
      </c>
      <c r="AE5935" s="580">
        <f t="shared" si="497"/>
        <v>2.5</v>
      </c>
      <c r="AF5935" s="580">
        <f t="shared" si="498"/>
        <v>2.5</v>
      </c>
      <c r="AG5935" s="580">
        <f t="shared" si="499"/>
        <v>0</v>
      </c>
      <c r="AH5935" s="580">
        <f t="shared" si="500"/>
        <v>0</v>
      </c>
    </row>
    <row r="5936" spans="28:34">
      <c r="AB5936" s="580">
        <f>HLOOKUP("*"&amp;'Output annual'!$AC$2&amp;'Output annual'!$AD$2&amp;"*Zone People Number Of Occupants [](Hourly)",'Eplus results'!$1:$1048576,ROW(),FALSE)</f>
        <v>0</v>
      </c>
      <c r="AC5936" s="580">
        <f>HLOOKUP("*"&amp;'Output annual'!$AC$2&amp;'Output annual'!$AD$2&amp;"*FangerPMV(Hourly)",'Eplus results'!$1:$1048576,ROW(),FALSE)</f>
        <v>0</v>
      </c>
      <c r="AD5936" s="580">
        <f t="shared" si="496"/>
        <v>5</v>
      </c>
      <c r="AE5936" s="580">
        <f t="shared" si="497"/>
        <v>2.5</v>
      </c>
      <c r="AF5936" s="580">
        <f t="shared" si="498"/>
        <v>2.5</v>
      </c>
      <c r="AG5936" s="580">
        <f t="shared" si="499"/>
        <v>0</v>
      </c>
      <c r="AH5936" s="580">
        <f t="shared" si="500"/>
        <v>0</v>
      </c>
    </row>
    <row r="5937" spans="28:34">
      <c r="AB5937" s="580">
        <f>HLOOKUP("*"&amp;'Output annual'!$AC$2&amp;'Output annual'!$AD$2&amp;"*Zone People Number Of Occupants [](Hourly)",'Eplus results'!$1:$1048576,ROW(),FALSE)</f>
        <v>0</v>
      </c>
      <c r="AC5937" s="580">
        <f>HLOOKUP("*"&amp;'Output annual'!$AC$2&amp;'Output annual'!$AD$2&amp;"*FangerPMV(Hourly)",'Eplus results'!$1:$1048576,ROW(),FALSE)</f>
        <v>0</v>
      </c>
      <c r="AD5937" s="580">
        <f t="shared" si="496"/>
        <v>5</v>
      </c>
      <c r="AE5937" s="580">
        <f t="shared" si="497"/>
        <v>2.5</v>
      </c>
      <c r="AF5937" s="580">
        <f t="shared" si="498"/>
        <v>2.5</v>
      </c>
      <c r="AG5937" s="580">
        <f t="shared" si="499"/>
        <v>0</v>
      </c>
      <c r="AH5937" s="580">
        <f t="shared" si="500"/>
        <v>0</v>
      </c>
    </row>
    <row r="5938" spans="28:34">
      <c r="AB5938" s="580">
        <f>HLOOKUP("*"&amp;'Output annual'!$AC$2&amp;'Output annual'!$AD$2&amp;"*Zone People Number Of Occupants [](Hourly)",'Eplus results'!$1:$1048576,ROW(),FALSE)</f>
        <v>0</v>
      </c>
      <c r="AC5938" s="580">
        <f>HLOOKUP("*"&amp;'Output annual'!$AC$2&amp;'Output annual'!$AD$2&amp;"*FangerPMV(Hourly)",'Eplus results'!$1:$1048576,ROW(),FALSE)</f>
        <v>0</v>
      </c>
      <c r="AD5938" s="580">
        <f t="shared" si="496"/>
        <v>5</v>
      </c>
      <c r="AE5938" s="580">
        <f t="shared" si="497"/>
        <v>2.5</v>
      </c>
      <c r="AF5938" s="580">
        <f t="shared" si="498"/>
        <v>2.5</v>
      </c>
      <c r="AG5938" s="580">
        <f t="shared" si="499"/>
        <v>0</v>
      </c>
      <c r="AH5938" s="580">
        <f t="shared" si="500"/>
        <v>0</v>
      </c>
    </row>
    <row r="5939" spans="28:34">
      <c r="AB5939" s="580">
        <f>HLOOKUP("*"&amp;'Output annual'!$AC$2&amp;'Output annual'!$AD$2&amp;"*Zone People Number Of Occupants [](Hourly)",'Eplus results'!$1:$1048576,ROW(),FALSE)</f>
        <v>0</v>
      </c>
      <c r="AC5939" s="580">
        <f>HLOOKUP("*"&amp;'Output annual'!$AC$2&amp;'Output annual'!$AD$2&amp;"*FangerPMV(Hourly)",'Eplus results'!$1:$1048576,ROW(),FALSE)</f>
        <v>0</v>
      </c>
      <c r="AD5939" s="580">
        <f t="shared" si="496"/>
        <v>5</v>
      </c>
      <c r="AE5939" s="580">
        <f t="shared" si="497"/>
        <v>2.5</v>
      </c>
      <c r="AF5939" s="580">
        <f t="shared" si="498"/>
        <v>2.5</v>
      </c>
      <c r="AG5939" s="580">
        <f t="shared" si="499"/>
        <v>0</v>
      </c>
      <c r="AH5939" s="580">
        <f t="shared" si="500"/>
        <v>0</v>
      </c>
    </row>
    <row r="5940" spans="28:34">
      <c r="AB5940" s="580">
        <f>HLOOKUP("*"&amp;'Output annual'!$AC$2&amp;'Output annual'!$AD$2&amp;"*Zone People Number Of Occupants [](Hourly)",'Eplus results'!$1:$1048576,ROW(),FALSE)</f>
        <v>0</v>
      </c>
      <c r="AC5940" s="580">
        <f>HLOOKUP("*"&amp;'Output annual'!$AC$2&amp;'Output annual'!$AD$2&amp;"*FangerPMV(Hourly)",'Eplus results'!$1:$1048576,ROW(),FALSE)</f>
        <v>0</v>
      </c>
      <c r="AD5940" s="580">
        <f t="shared" si="496"/>
        <v>5</v>
      </c>
      <c r="AE5940" s="580">
        <f t="shared" si="497"/>
        <v>2.5</v>
      </c>
      <c r="AF5940" s="580">
        <f t="shared" si="498"/>
        <v>2.5</v>
      </c>
      <c r="AG5940" s="580">
        <f t="shared" si="499"/>
        <v>0</v>
      </c>
      <c r="AH5940" s="580">
        <f t="shared" si="500"/>
        <v>0</v>
      </c>
    </row>
    <row r="5941" spans="28:34">
      <c r="AB5941" s="580">
        <f>HLOOKUP("*"&amp;'Output annual'!$AC$2&amp;'Output annual'!$AD$2&amp;"*Zone People Number Of Occupants [](Hourly)",'Eplus results'!$1:$1048576,ROW(),FALSE)</f>
        <v>0</v>
      </c>
      <c r="AC5941" s="580">
        <f>HLOOKUP("*"&amp;'Output annual'!$AC$2&amp;'Output annual'!$AD$2&amp;"*FangerPMV(Hourly)",'Eplus results'!$1:$1048576,ROW(),FALSE)</f>
        <v>0</v>
      </c>
      <c r="AD5941" s="580">
        <f t="shared" si="496"/>
        <v>5</v>
      </c>
      <c r="AE5941" s="580">
        <f t="shared" si="497"/>
        <v>2.5</v>
      </c>
      <c r="AF5941" s="580">
        <f t="shared" si="498"/>
        <v>2.5</v>
      </c>
      <c r="AG5941" s="580">
        <f t="shared" si="499"/>
        <v>0</v>
      </c>
      <c r="AH5941" s="580">
        <f t="shared" si="500"/>
        <v>0</v>
      </c>
    </row>
    <row r="5942" spans="28:34">
      <c r="AB5942" s="580">
        <f>HLOOKUP("*"&amp;'Output annual'!$AC$2&amp;'Output annual'!$AD$2&amp;"*Zone People Number Of Occupants [](Hourly)",'Eplus results'!$1:$1048576,ROW(),FALSE)</f>
        <v>0</v>
      </c>
      <c r="AC5942" s="580">
        <f>HLOOKUP("*"&amp;'Output annual'!$AC$2&amp;'Output annual'!$AD$2&amp;"*FangerPMV(Hourly)",'Eplus results'!$1:$1048576,ROW(),FALSE)</f>
        <v>0</v>
      </c>
      <c r="AD5942" s="580">
        <f t="shared" si="496"/>
        <v>5</v>
      </c>
      <c r="AE5942" s="580">
        <f t="shared" si="497"/>
        <v>2.5</v>
      </c>
      <c r="AF5942" s="580">
        <f t="shared" si="498"/>
        <v>2.5</v>
      </c>
      <c r="AG5942" s="580">
        <f t="shared" si="499"/>
        <v>0</v>
      </c>
      <c r="AH5942" s="580">
        <f t="shared" si="500"/>
        <v>0</v>
      </c>
    </row>
    <row r="5943" spans="28:34">
      <c r="AB5943" s="580">
        <f>HLOOKUP("*"&amp;'Output annual'!$AC$2&amp;'Output annual'!$AD$2&amp;"*Zone People Number Of Occupants [](Hourly)",'Eplus results'!$1:$1048576,ROW(),FALSE)</f>
        <v>0</v>
      </c>
      <c r="AC5943" s="580">
        <f>HLOOKUP("*"&amp;'Output annual'!$AC$2&amp;'Output annual'!$AD$2&amp;"*FangerPMV(Hourly)",'Eplus results'!$1:$1048576,ROW(),FALSE)</f>
        <v>0</v>
      </c>
      <c r="AD5943" s="580">
        <f t="shared" si="496"/>
        <v>5</v>
      </c>
      <c r="AE5943" s="580">
        <f t="shared" si="497"/>
        <v>2.5</v>
      </c>
      <c r="AF5943" s="580">
        <f t="shared" si="498"/>
        <v>2.5</v>
      </c>
      <c r="AG5943" s="580">
        <f t="shared" si="499"/>
        <v>0</v>
      </c>
      <c r="AH5943" s="580">
        <f t="shared" si="500"/>
        <v>0</v>
      </c>
    </row>
    <row r="5944" spans="28:34">
      <c r="AB5944" s="580">
        <f>HLOOKUP("*"&amp;'Output annual'!$AC$2&amp;'Output annual'!$AD$2&amp;"*Zone People Number Of Occupants [](Hourly)",'Eplus results'!$1:$1048576,ROW(),FALSE)</f>
        <v>0</v>
      </c>
      <c r="AC5944" s="580">
        <f>HLOOKUP("*"&amp;'Output annual'!$AC$2&amp;'Output annual'!$AD$2&amp;"*FangerPMV(Hourly)",'Eplus results'!$1:$1048576,ROW(),FALSE)</f>
        <v>0</v>
      </c>
      <c r="AD5944" s="580">
        <f t="shared" si="496"/>
        <v>5</v>
      </c>
      <c r="AE5944" s="580">
        <f t="shared" si="497"/>
        <v>2.5</v>
      </c>
      <c r="AF5944" s="580">
        <f t="shared" si="498"/>
        <v>2.5</v>
      </c>
      <c r="AG5944" s="580">
        <f t="shared" si="499"/>
        <v>0</v>
      </c>
      <c r="AH5944" s="580">
        <f t="shared" si="500"/>
        <v>0</v>
      </c>
    </row>
    <row r="5945" spans="28:34">
      <c r="AB5945" s="580">
        <f>HLOOKUP("*"&amp;'Output annual'!$AC$2&amp;'Output annual'!$AD$2&amp;"*Zone People Number Of Occupants [](Hourly)",'Eplus results'!$1:$1048576,ROW(),FALSE)</f>
        <v>0</v>
      </c>
      <c r="AC5945" s="580">
        <f>HLOOKUP("*"&amp;'Output annual'!$AC$2&amp;'Output annual'!$AD$2&amp;"*FangerPMV(Hourly)",'Eplus results'!$1:$1048576,ROW(),FALSE)</f>
        <v>0</v>
      </c>
      <c r="AD5945" s="580">
        <f t="shared" si="496"/>
        <v>5</v>
      </c>
      <c r="AE5945" s="580">
        <f t="shared" si="497"/>
        <v>2.5</v>
      </c>
      <c r="AF5945" s="580">
        <f t="shared" si="498"/>
        <v>2.5</v>
      </c>
      <c r="AG5945" s="580">
        <f t="shared" si="499"/>
        <v>0</v>
      </c>
      <c r="AH5945" s="580">
        <f t="shared" si="500"/>
        <v>0</v>
      </c>
    </row>
    <row r="5946" spans="28:34">
      <c r="AB5946" s="580">
        <f>HLOOKUP("*"&amp;'Output annual'!$AC$2&amp;'Output annual'!$AD$2&amp;"*Zone People Number Of Occupants [](Hourly)",'Eplus results'!$1:$1048576,ROW(),FALSE)</f>
        <v>0</v>
      </c>
      <c r="AC5946" s="580">
        <f>HLOOKUP("*"&amp;'Output annual'!$AC$2&amp;'Output annual'!$AD$2&amp;"*FangerPMV(Hourly)",'Eplus results'!$1:$1048576,ROW(),FALSE)</f>
        <v>0</v>
      </c>
      <c r="AD5946" s="580">
        <f t="shared" si="496"/>
        <v>5</v>
      </c>
      <c r="AE5946" s="580">
        <f t="shared" si="497"/>
        <v>2.5</v>
      </c>
      <c r="AF5946" s="580">
        <f t="shared" si="498"/>
        <v>2.5</v>
      </c>
      <c r="AG5946" s="580">
        <f t="shared" si="499"/>
        <v>0</v>
      </c>
      <c r="AH5946" s="580">
        <f t="shared" si="500"/>
        <v>0</v>
      </c>
    </row>
    <row r="5947" spans="28:34">
      <c r="AB5947" s="580">
        <f>HLOOKUP("*"&amp;'Output annual'!$AC$2&amp;'Output annual'!$AD$2&amp;"*Zone People Number Of Occupants [](Hourly)",'Eplus results'!$1:$1048576,ROW(),FALSE)</f>
        <v>0</v>
      </c>
      <c r="AC5947" s="580">
        <f>HLOOKUP("*"&amp;'Output annual'!$AC$2&amp;'Output annual'!$AD$2&amp;"*FangerPMV(Hourly)",'Eplus results'!$1:$1048576,ROW(),FALSE)</f>
        <v>0</v>
      </c>
      <c r="AD5947" s="580">
        <f t="shared" si="496"/>
        <v>5</v>
      </c>
      <c r="AE5947" s="580">
        <f t="shared" si="497"/>
        <v>2.5</v>
      </c>
      <c r="AF5947" s="580">
        <f t="shared" si="498"/>
        <v>2.5</v>
      </c>
      <c r="AG5947" s="580">
        <f t="shared" si="499"/>
        <v>0</v>
      </c>
      <c r="AH5947" s="580">
        <f t="shared" si="500"/>
        <v>0</v>
      </c>
    </row>
    <row r="5948" spans="28:34">
      <c r="AB5948" s="580">
        <f>HLOOKUP("*"&amp;'Output annual'!$AC$2&amp;'Output annual'!$AD$2&amp;"*Zone People Number Of Occupants [](Hourly)",'Eplus results'!$1:$1048576,ROW(),FALSE)</f>
        <v>0</v>
      </c>
      <c r="AC5948" s="580">
        <f>HLOOKUP("*"&amp;'Output annual'!$AC$2&amp;'Output annual'!$AD$2&amp;"*FangerPMV(Hourly)",'Eplus results'!$1:$1048576,ROW(),FALSE)</f>
        <v>0</v>
      </c>
      <c r="AD5948" s="580">
        <f t="shared" si="496"/>
        <v>5</v>
      </c>
      <c r="AE5948" s="580">
        <f t="shared" si="497"/>
        <v>2.5</v>
      </c>
      <c r="AF5948" s="580">
        <f t="shared" si="498"/>
        <v>2.5</v>
      </c>
      <c r="AG5948" s="580">
        <f t="shared" si="499"/>
        <v>0</v>
      </c>
      <c r="AH5948" s="580">
        <f t="shared" si="500"/>
        <v>0</v>
      </c>
    </row>
    <row r="5949" spans="28:34">
      <c r="AB5949" s="580">
        <f>HLOOKUP("*"&amp;'Output annual'!$AC$2&amp;'Output annual'!$AD$2&amp;"*Zone People Number Of Occupants [](Hourly)",'Eplus results'!$1:$1048576,ROW(),FALSE)</f>
        <v>0</v>
      </c>
      <c r="AC5949" s="580">
        <f>HLOOKUP("*"&amp;'Output annual'!$AC$2&amp;'Output annual'!$AD$2&amp;"*FangerPMV(Hourly)",'Eplus results'!$1:$1048576,ROW(),FALSE)</f>
        <v>0</v>
      </c>
      <c r="AD5949" s="580">
        <f t="shared" si="496"/>
        <v>5</v>
      </c>
      <c r="AE5949" s="580">
        <f t="shared" si="497"/>
        <v>2.5</v>
      </c>
      <c r="AF5949" s="580">
        <f t="shared" si="498"/>
        <v>2.5</v>
      </c>
      <c r="AG5949" s="580">
        <f t="shared" si="499"/>
        <v>0</v>
      </c>
      <c r="AH5949" s="580">
        <f t="shared" si="500"/>
        <v>0</v>
      </c>
    </row>
    <row r="5950" spans="28:34">
      <c r="AB5950" s="580">
        <f>HLOOKUP("*"&amp;'Output annual'!$AC$2&amp;'Output annual'!$AD$2&amp;"*Zone People Number Of Occupants [](Hourly)",'Eplus results'!$1:$1048576,ROW(),FALSE)</f>
        <v>0</v>
      </c>
      <c r="AC5950" s="580">
        <f>HLOOKUP("*"&amp;'Output annual'!$AC$2&amp;'Output annual'!$AD$2&amp;"*FangerPMV(Hourly)",'Eplus results'!$1:$1048576,ROW(),FALSE)</f>
        <v>0</v>
      </c>
      <c r="AD5950" s="580">
        <f t="shared" si="496"/>
        <v>5</v>
      </c>
      <c r="AE5950" s="580">
        <f t="shared" si="497"/>
        <v>2.5</v>
      </c>
      <c r="AF5950" s="580">
        <f t="shared" si="498"/>
        <v>2.5</v>
      </c>
      <c r="AG5950" s="580">
        <f t="shared" si="499"/>
        <v>0</v>
      </c>
      <c r="AH5950" s="580">
        <f t="shared" si="500"/>
        <v>0</v>
      </c>
    </row>
    <row r="5951" spans="28:34">
      <c r="AB5951" s="580">
        <f>HLOOKUP("*"&amp;'Output annual'!$AC$2&amp;'Output annual'!$AD$2&amp;"*Zone People Number Of Occupants [](Hourly)",'Eplus results'!$1:$1048576,ROW(),FALSE)</f>
        <v>0</v>
      </c>
      <c r="AC5951" s="580">
        <f>HLOOKUP("*"&amp;'Output annual'!$AC$2&amp;'Output annual'!$AD$2&amp;"*FangerPMV(Hourly)",'Eplus results'!$1:$1048576,ROW(),FALSE)</f>
        <v>0</v>
      </c>
      <c r="AD5951" s="580">
        <f t="shared" si="496"/>
        <v>5</v>
      </c>
      <c r="AE5951" s="580">
        <f t="shared" si="497"/>
        <v>2.5</v>
      </c>
      <c r="AF5951" s="580">
        <f t="shared" si="498"/>
        <v>2.5</v>
      </c>
      <c r="AG5951" s="580">
        <f t="shared" si="499"/>
        <v>0</v>
      </c>
      <c r="AH5951" s="580">
        <f t="shared" si="500"/>
        <v>0</v>
      </c>
    </row>
    <row r="5952" spans="28:34">
      <c r="AB5952" s="580">
        <f>HLOOKUP("*"&amp;'Output annual'!$AC$2&amp;'Output annual'!$AD$2&amp;"*Zone People Number Of Occupants [](Hourly)",'Eplus results'!$1:$1048576,ROW(),FALSE)</f>
        <v>0</v>
      </c>
      <c r="AC5952" s="580">
        <f>HLOOKUP("*"&amp;'Output annual'!$AC$2&amp;'Output annual'!$AD$2&amp;"*FangerPMV(Hourly)",'Eplus results'!$1:$1048576,ROW(),FALSE)</f>
        <v>0</v>
      </c>
      <c r="AD5952" s="580">
        <f t="shared" si="496"/>
        <v>5</v>
      </c>
      <c r="AE5952" s="580">
        <f t="shared" si="497"/>
        <v>2.5</v>
      </c>
      <c r="AF5952" s="580">
        <f t="shared" si="498"/>
        <v>2.5</v>
      </c>
      <c r="AG5952" s="580">
        <f t="shared" si="499"/>
        <v>0</v>
      </c>
      <c r="AH5952" s="580">
        <f t="shared" si="500"/>
        <v>0</v>
      </c>
    </row>
    <row r="5953" spans="28:34">
      <c r="AB5953" s="580">
        <f>HLOOKUP("*"&amp;'Output annual'!$AC$2&amp;'Output annual'!$AD$2&amp;"*Zone People Number Of Occupants [](Hourly)",'Eplus results'!$1:$1048576,ROW(),FALSE)</f>
        <v>0</v>
      </c>
      <c r="AC5953" s="580">
        <f>HLOOKUP("*"&amp;'Output annual'!$AC$2&amp;'Output annual'!$AD$2&amp;"*FangerPMV(Hourly)",'Eplus results'!$1:$1048576,ROW(),FALSE)</f>
        <v>0</v>
      </c>
      <c r="AD5953" s="580">
        <f t="shared" si="496"/>
        <v>5</v>
      </c>
      <c r="AE5953" s="580">
        <f t="shared" si="497"/>
        <v>2.5</v>
      </c>
      <c r="AF5953" s="580">
        <f t="shared" si="498"/>
        <v>2.5</v>
      </c>
      <c r="AG5953" s="580">
        <f t="shared" si="499"/>
        <v>0</v>
      </c>
      <c r="AH5953" s="580">
        <f t="shared" si="500"/>
        <v>0</v>
      </c>
    </row>
    <row r="5954" spans="28:34">
      <c r="AB5954" s="580">
        <f>HLOOKUP("*"&amp;'Output annual'!$AC$2&amp;'Output annual'!$AD$2&amp;"*Zone People Number Of Occupants [](Hourly)",'Eplus results'!$1:$1048576,ROW(),FALSE)</f>
        <v>0</v>
      </c>
      <c r="AC5954" s="580">
        <f>HLOOKUP("*"&amp;'Output annual'!$AC$2&amp;'Output annual'!$AD$2&amp;"*FangerPMV(Hourly)",'Eplus results'!$1:$1048576,ROW(),FALSE)</f>
        <v>0</v>
      </c>
      <c r="AD5954" s="580">
        <f t="shared" si="496"/>
        <v>5</v>
      </c>
      <c r="AE5954" s="580">
        <f t="shared" si="497"/>
        <v>2.5</v>
      </c>
      <c r="AF5954" s="580">
        <f t="shared" si="498"/>
        <v>2.5</v>
      </c>
      <c r="AG5954" s="580">
        <f t="shared" si="499"/>
        <v>0</v>
      </c>
      <c r="AH5954" s="580">
        <f t="shared" si="500"/>
        <v>0</v>
      </c>
    </row>
    <row r="5955" spans="28:34">
      <c r="AB5955" s="580">
        <f>HLOOKUP("*"&amp;'Output annual'!$AC$2&amp;'Output annual'!$AD$2&amp;"*Zone People Number Of Occupants [](Hourly)",'Eplus results'!$1:$1048576,ROW(),FALSE)</f>
        <v>0</v>
      </c>
      <c r="AC5955" s="580">
        <f>HLOOKUP("*"&amp;'Output annual'!$AC$2&amp;'Output annual'!$AD$2&amp;"*FangerPMV(Hourly)",'Eplus results'!$1:$1048576,ROW(),FALSE)</f>
        <v>0</v>
      </c>
      <c r="AD5955" s="580">
        <f t="shared" ref="AD5955:AD6018" si="501">100-95*EXP(-0.03353*AC5955^4-0.2179*AC5955^2)</f>
        <v>5</v>
      </c>
      <c r="AE5955" s="580">
        <f t="shared" ref="AE5955:AE6018" si="502">AD5955*(1/(1+EXP(-6.3*$AC5955)))</f>
        <v>2.5</v>
      </c>
      <c r="AF5955" s="580">
        <f t="shared" ref="AF5955:AF6018" si="503">(AD5955-AE5955)</f>
        <v>2.5</v>
      </c>
      <c r="AG5955" s="580">
        <f t="shared" ref="AG5955:AG6018" si="504">AE5955*AB5955</f>
        <v>0</v>
      </c>
      <c r="AH5955" s="580">
        <f t="shared" ref="AH5955:AH6018" si="505">AF5955*AB5955</f>
        <v>0</v>
      </c>
    </row>
    <row r="5956" spans="28:34">
      <c r="AB5956" s="580">
        <f>HLOOKUP("*"&amp;'Output annual'!$AC$2&amp;'Output annual'!$AD$2&amp;"*Zone People Number Of Occupants [](Hourly)",'Eplus results'!$1:$1048576,ROW(),FALSE)</f>
        <v>0</v>
      </c>
      <c r="AC5956" s="580">
        <f>HLOOKUP("*"&amp;'Output annual'!$AC$2&amp;'Output annual'!$AD$2&amp;"*FangerPMV(Hourly)",'Eplus results'!$1:$1048576,ROW(),FALSE)</f>
        <v>0</v>
      </c>
      <c r="AD5956" s="580">
        <f t="shared" si="501"/>
        <v>5</v>
      </c>
      <c r="AE5956" s="580">
        <f t="shared" si="502"/>
        <v>2.5</v>
      </c>
      <c r="AF5956" s="580">
        <f t="shared" si="503"/>
        <v>2.5</v>
      </c>
      <c r="AG5956" s="580">
        <f t="shared" si="504"/>
        <v>0</v>
      </c>
      <c r="AH5956" s="580">
        <f t="shared" si="505"/>
        <v>0</v>
      </c>
    </row>
    <row r="5957" spans="28:34">
      <c r="AB5957" s="580">
        <f>HLOOKUP("*"&amp;'Output annual'!$AC$2&amp;'Output annual'!$AD$2&amp;"*Zone People Number Of Occupants [](Hourly)",'Eplus results'!$1:$1048576,ROW(),FALSE)</f>
        <v>0</v>
      </c>
      <c r="AC5957" s="580">
        <f>HLOOKUP("*"&amp;'Output annual'!$AC$2&amp;'Output annual'!$AD$2&amp;"*FangerPMV(Hourly)",'Eplus results'!$1:$1048576,ROW(),FALSE)</f>
        <v>0</v>
      </c>
      <c r="AD5957" s="580">
        <f t="shared" si="501"/>
        <v>5</v>
      </c>
      <c r="AE5957" s="580">
        <f t="shared" si="502"/>
        <v>2.5</v>
      </c>
      <c r="AF5957" s="580">
        <f t="shared" si="503"/>
        <v>2.5</v>
      </c>
      <c r="AG5957" s="580">
        <f t="shared" si="504"/>
        <v>0</v>
      </c>
      <c r="AH5957" s="580">
        <f t="shared" si="505"/>
        <v>0</v>
      </c>
    </row>
    <row r="5958" spans="28:34">
      <c r="AB5958" s="580">
        <f>HLOOKUP("*"&amp;'Output annual'!$AC$2&amp;'Output annual'!$AD$2&amp;"*Zone People Number Of Occupants [](Hourly)",'Eplus results'!$1:$1048576,ROW(),FALSE)</f>
        <v>0</v>
      </c>
      <c r="AC5958" s="580">
        <f>HLOOKUP("*"&amp;'Output annual'!$AC$2&amp;'Output annual'!$AD$2&amp;"*FangerPMV(Hourly)",'Eplus results'!$1:$1048576,ROW(),FALSE)</f>
        <v>0</v>
      </c>
      <c r="AD5958" s="580">
        <f t="shared" si="501"/>
        <v>5</v>
      </c>
      <c r="AE5958" s="580">
        <f t="shared" si="502"/>
        <v>2.5</v>
      </c>
      <c r="AF5958" s="580">
        <f t="shared" si="503"/>
        <v>2.5</v>
      </c>
      <c r="AG5958" s="580">
        <f t="shared" si="504"/>
        <v>0</v>
      </c>
      <c r="AH5958" s="580">
        <f t="shared" si="505"/>
        <v>0</v>
      </c>
    </row>
    <row r="5959" spans="28:34">
      <c r="AB5959" s="580">
        <f>HLOOKUP("*"&amp;'Output annual'!$AC$2&amp;'Output annual'!$AD$2&amp;"*Zone People Number Of Occupants [](Hourly)",'Eplus results'!$1:$1048576,ROW(),FALSE)</f>
        <v>0</v>
      </c>
      <c r="AC5959" s="580">
        <f>HLOOKUP("*"&amp;'Output annual'!$AC$2&amp;'Output annual'!$AD$2&amp;"*FangerPMV(Hourly)",'Eplus results'!$1:$1048576,ROW(),FALSE)</f>
        <v>0</v>
      </c>
      <c r="AD5959" s="580">
        <f t="shared" si="501"/>
        <v>5</v>
      </c>
      <c r="AE5959" s="580">
        <f t="shared" si="502"/>
        <v>2.5</v>
      </c>
      <c r="AF5959" s="580">
        <f t="shared" si="503"/>
        <v>2.5</v>
      </c>
      <c r="AG5959" s="580">
        <f t="shared" si="504"/>
        <v>0</v>
      </c>
      <c r="AH5959" s="580">
        <f t="shared" si="505"/>
        <v>0</v>
      </c>
    </row>
    <row r="5960" spans="28:34">
      <c r="AB5960" s="580">
        <f>HLOOKUP("*"&amp;'Output annual'!$AC$2&amp;'Output annual'!$AD$2&amp;"*Zone People Number Of Occupants [](Hourly)",'Eplus results'!$1:$1048576,ROW(),FALSE)</f>
        <v>0</v>
      </c>
      <c r="AC5960" s="580">
        <f>HLOOKUP("*"&amp;'Output annual'!$AC$2&amp;'Output annual'!$AD$2&amp;"*FangerPMV(Hourly)",'Eplus results'!$1:$1048576,ROW(),FALSE)</f>
        <v>0</v>
      </c>
      <c r="AD5960" s="580">
        <f t="shared" si="501"/>
        <v>5</v>
      </c>
      <c r="AE5960" s="580">
        <f t="shared" si="502"/>
        <v>2.5</v>
      </c>
      <c r="AF5960" s="580">
        <f t="shared" si="503"/>
        <v>2.5</v>
      </c>
      <c r="AG5960" s="580">
        <f t="shared" si="504"/>
        <v>0</v>
      </c>
      <c r="AH5960" s="580">
        <f t="shared" si="505"/>
        <v>0</v>
      </c>
    </row>
    <row r="5961" spans="28:34">
      <c r="AB5961" s="580">
        <f>HLOOKUP("*"&amp;'Output annual'!$AC$2&amp;'Output annual'!$AD$2&amp;"*Zone People Number Of Occupants [](Hourly)",'Eplus results'!$1:$1048576,ROW(),FALSE)</f>
        <v>0</v>
      </c>
      <c r="AC5961" s="580">
        <f>HLOOKUP("*"&amp;'Output annual'!$AC$2&amp;'Output annual'!$AD$2&amp;"*FangerPMV(Hourly)",'Eplus results'!$1:$1048576,ROW(),FALSE)</f>
        <v>0</v>
      </c>
      <c r="AD5961" s="580">
        <f t="shared" si="501"/>
        <v>5</v>
      </c>
      <c r="AE5961" s="580">
        <f t="shared" si="502"/>
        <v>2.5</v>
      </c>
      <c r="AF5961" s="580">
        <f t="shared" si="503"/>
        <v>2.5</v>
      </c>
      <c r="AG5961" s="580">
        <f t="shared" si="504"/>
        <v>0</v>
      </c>
      <c r="AH5961" s="580">
        <f t="shared" si="505"/>
        <v>0</v>
      </c>
    </row>
    <row r="5962" spans="28:34">
      <c r="AB5962" s="580">
        <f>HLOOKUP("*"&amp;'Output annual'!$AC$2&amp;'Output annual'!$AD$2&amp;"*Zone People Number Of Occupants [](Hourly)",'Eplus results'!$1:$1048576,ROW(),FALSE)</f>
        <v>0</v>
      </c>
      <c r="AC5962" s="580">
        <f>HLOOKUP("*"&amp;'Output annual'!$AC$2&amp;'Output annual'!$AD$2&amp;"*FangerPMV(Hourly)",'Eplus results'!$1:$1048576,ROW(),FALSE)</f>
        <v>0</v>
      </c>
      <c r="AD5962" s="580">
        <f t="shared" si="501"/>
        <v>5</v>
      </c>
      <c r="AE5962" s="580">
        <f t="shared" si="502"/>
        <v>2.5</v>
      </c>
      <c r="AF5962" s="580">
        <f t="shared" si="503"/>
        <v>2.5</v>
      </c>
      <c r="AG5962" s="580">
        <f t="shared" si="504"/>
        <v>0</v>
      </c>
      <c r="AH5962" s="580">
        <f t="shared" si="505"/>
        <v>0</v>
      </c>
    </row>
    <row r="5963" spans="28:34">
      <c r="AB5963" s="580">
        <f>HLOOKUP("*"&amp;'Output annual'!$AC$2&amp;'Output annual'!$AD$2&amp;"*Zone People Number Of Occupants [](Hourly)",'Eplus results'!$1:$1048576,ROW(),FALSE)</f>
        <v>0</v>
      </c>
      <c r="AC5963" s="580">
        <f>HLOOKUP("*"&amp;'Output annual'!$AC$2&amp;'Output annual'!$AD$2&amp;"*FangerPMV(Hourly)",'Eplus results'!$1:$1048576,ROW(),FALSE)</f>
        <v>0</v>
      </c>
      <c r="AD5963" s="580">
        <f t="shared" si="501"/>
        <v>5</v>
      </c>
      <c r="AE5963" s="580">
        <f t="shared" si="502"/>
        <v>2.5</v>
      </c>
      <c r="AF5963" s="580">
        <f t="shared" si="503"/>
        <v>2.5</v>
      </c>
      <c r="AG5963" s="580">
        <f t="shared" si="504"/>
        <v>0</v>
      </c>
      <c r="AH5963" s="580">
        <f t="shared" si="505"/>
        <v>0</v>
      </c>
    </row>
    <row r="5964" spans="28:34">
      <c r="AB5964" s="580">
        <f>HLOOKUP("*"&amp;'Output annual'!$AC$2&amp;'Output annual'!$AD$2&amp;"*Zone People Number Of Occupants [](Hourly)",'Eplus results'!$1:$1048576,ROW(),FALSE)</f>
        <v>0</v>
      </c>
      <c r="AC5964" s="580">
        <f>HLOOKUP("*"&amp;'Output annual'!$AC$2&amp;'Output annual'!$AD$2&amp;"*FangerPMV(Hourly)",'Eplus results'!$1:$1048576,ROW(),FALSE)</f>
        <v>0</v>
      </c>
      <c r="AD5964" s="580">
        <f t="shared" si="501"/>
        <v>5</v>
      </c>
      <c r="AE5964" s="580">
        <f t="shared" si="502"/>
        <v>2.5</v>
      </c>
      <c r="AF5964" s="580">
        <f t="shared" si="503"/>
        <v>2.5</v>
      </c>
      <c r="AG5964" s="580">
        <f t="shared" si="504"/>
        <v>0</v>
      </c>
      <c r="AH5964" s="580">
        <f t="shared" si="505"/>
        <v>0</v>
      </c>
    </row>
    <row r="5965" spans="28:34">
      <c r="AB5965" s="580">
        <f>HLOOKUP("*"&amp;'Output annual'!$AC$2&amp;'Output annual'!$AD$2&amp;"*Zone People Number Of Occupants [](Hourly)",'Eplus results'!$1:$1048576,ROW(),FALSE)</f>
        <v>0</v>
      </c>
      <c r="AC5965" s="580">
        <f>HLOOKUP("*"&amp;'Output annual'!$AC$2&amp;'Output annual'!$AD$2&amp;"*FangerPMV(Hourly)",'Eplus results'!$1:$1048576,ROW(),FALSE)</f>
        <v>0</v>
      </c>
      <c r="AD5965" s="580">
        <f t="shared" si="501"/>
        <v>5</v>
      </c>
      <c r="AE5965" s="580">
        <f t="shared" si="502"/>
        <v>2.5</v>
      </c>
      <c r="AF5965" s="580">
        <f t="shared" si="503"/>
        <v>2.5</v>
      </c>
      <c r="AG5965" s="580">
        <f t="shared" si="504"/>
        <v>0</v>
      </c>
      <c r="AH5965" s="580">
        <f t="shared" si="505"/>
        <v>0</v>
      </c>
    </row>
    <row r="5966" spans="28:34">
      <c r="AB5966" s="580">
        <f>HLOOKUP("*"&amp;'Output annual'!$AC$2&amp;'Output annual'!$AD$2&amp;"*Zone People Number Of Occupants [](Hourly)",'Eplus results'!$1:$1048576,ROW(),FALSE)</f>
        <v>0</v>
      </c>
      <c r="AC5966" s="580">
        <f>HLOOKUP("*"&amp;'Output annual'!$AC$2&amp;'Output annual'!$AD$2&amp;"*FangerPMV(Hourly)",'Eplus results'!$1:$1048576,ROW(),FALSE)</f>
        <v>0</v>
      </c>
      <c r="AD5966" s="580">
        <f t="shared" si="501"/>
        <v>5</v>
      </c>
      <c r="AE5966" s="580">
        <f t="shared" si="502"/>
        <v>2.5</v>
      </c>
      <c r="AF5966" s="580">
        <f t="shared" si="503"/>
        <v>2.5</v>
      </c>
      <c r="AG5966" s="580">
        <f t="shared" si="504"/>
        <v>0</v>
      </c>
      <c r="AH5966" s="580">
        <f t="shared" si="505"/>
        <v>0</v>
      </c>
    </row>
    <row r="5967" spans="28:34">
      <c r="AB5967" s="580">
        <f>HLOOKUP("*"&amp;'Output annual'!$AC$2&amp;'Output annual'!$AD$2&amp;"*Zone People Number Of Occupants [](Hourly)",'Eplus results'!$1:$1048576,ROW(),FALSE)</f>
        <v>0</v>
      </c>
      <c r="AC5967" s="580">
        <f>HLOOKUP("*"&amp;'Output annual'!$AC$2&amp;'Output annual'!$AD$2&amp;"*FangerPMV(Hourly)",'Eplus results'!$1:$1048576,ROW(),FALSE)</f>
        <v>0</v>
      </c>
      <c r="AD5967" s="580">
        <f t="shared" si="501"/>
        <v>5</v>
      </c>
      <c r="AE5967" s="580">
        <f t="shared" si="502"/>
        <v>2.5</v>
      </c>
      <c r="AF5967" s="580">
        <f t="shared" si="503"/>
        <v>2.5</v>
      </c>
      <c r="AG5967" s="580">
        <f t="shared" si="504"/>
        <v>0</v>
      </c>
      <c r="AH5967" s="580">
        <f t="shared" si="505"/>
        <v>0</v>
      </c>
    </row>
    <row r="5968" spans="28:34">
      <c r="AB5968" s="580">
        <f>HLOOKUP("*"&amp;'Output annual'!$AC$2&amp;'Output annual'!$AD$2&amp;"*Zone People Number Of Occupants [](Hourly)",'Eplus results'!$1:$1048576,ROW(),FALSE)</f>
        <v>0</v>
      </c>
      <c r="AC5968" s="580">
        <f>HLOOKUP("*"&amp;'Output annual'!$AC$2&amp;'Output annual'!$AD$2&amp;"*FangerPMV(Hourly)",'Eplus results'!$1:$1048576,ROW(),FALSE)</f>
        <v>0</v>
      </c>
      <c r="AD5968" s="580">
        <f t="shared" si="501"/>
        <v>5</v>
      </c>
      <c r="AE5968" s="580">
        <f t="shared" si="502"/>
        <v>2.5</v>
      </c>
      <c r="AF5968" s="580">
        <f t="shared" si="503"/>
        <v>2.5</v>
      </c>
      <c r="AG5968" s="580">
        <f t="shared" si="504"/>
        <v>0</v>
      </c>
      <c r="AH5968" s="580">
        <f t="shared" si="505"/>
        <v>0</v>
      </c>
    </row>
    <row r="5969" spans="28:34">
      <c r="AB5969" s="580">
        <f>HLOOKUP("*"&amp;'Output annual'!$AC$2&amp;'Output annual'!$AD$2&amp;"*Zone People Number Of Occupants [](Hourly)",'Eplus results'!$1:$1048576,ROW(),FALSE)</f>
        <v>0</v>
      </c>
      <c r="AC5969" s="580">
        <f>HLOOKUP("*"&amp;'Output annual'!$AC$2&amp;'Output annual'!$AD$2&amp;"*FangerPMV(Hourly)",'Eplus results'!$1:$1048576,ROW(),FALSE)</f>
        <v>0</v>
      </c>
      <c r="AD5969" s="580">
        <f t="shared" si="501"/>
        <v>5</v>
      </c>
      <c r="AE5969" s="580">
        <f t="shared" si="502"/>
        <v>2.5</v>
      </c>
      <c r="AF5969" s="580">
        <f t="shared" si="503"/>
        <v>2.5</v>
      </c>
      <c r="AG5969" s="580">
        <f t="shared" si="504"/>
        <v>0</v>
      </c>
      <c r="AH5969" s="580">
        <f t="shared" si="505"/>
        <v>0</v>
      </c>
    </row>
    <row r="5970" spans="28:34">
      <c r="AB5970" s="580">
        <f>HLOOKUP("*"&amp;'Output annual'!$AC$2&amp;'Output annual'!$AD$2&amp;"*Zone People Number Of Occupants [](Hourly)",'Eplus results'!$1:$1048576,ROW(),FALSE)</f>
        <v>0</v>
      </c>
      <c r="AC5970" s="580">
        <f>HLOOKUP("*"&amp;'Output annual'!$AC$2&amp;'Output annual'!$AD$2&amp;"*FangerPMV(Hourly)",'Eplus results'!$1:$1048576,ROW(),FALSE)</f>
        <v>0</v>
      </c>
      <c r="AD5970" s="580">
        <f t="shared" si="501"/>
        <v>5</v>
      </c>
      <c r="AE5970" s="580">
        <f t="shared" si="502"/>
        <v>2.5</v>
      </c>
      <c r="AF5970" s="580">
        <f t="shared" si="503"/>
        <v>2.5</v>
      </c>
      <c r="AG5970" s="580">
        <f t="shared" si="504"/>
        <v>0</v>
      </c>
      <c r="AH5970" s="580">
        <f t="shared" si="505"/>
        <v>0</v>
      </c>
    </row>
    <row r="5971" spans="28:34">
      <c r="AB5971" s="580">
        <f>HLOOKUP("*"&amp;'Output annual'!$AC$2&amp;'Output annual'!$AD$2&amp;"*Zone People Number Of Occupants [](Hourly)",'Eplus results'!$1:$1048576,ROW(),FALSE)</f>
        <v>0</v>
      </c>
      <c r="AC5971" s="580">
        <f>HLOOKUP("*"&amp;'Output annual'!$AC$2&amp;'Output annual'!$AD$2&amp;"*FangerPMV(Hourly)",'Eplus results'!$1:$1048576,ROW(),FALSE)</f>
        <v>0</v>
      </c>
      <c r="AD5971" s="580">
        <f t="shared" si="501"/>
        <v>5</v>
      </c>
      <c r="AE5971" s="580">
        <f t="shared" si="502"/>
        <v>2.5</v>
      </c>
      <c r="AF5971" s="580">
        <f t="shared" si="503"/>
        <v>2.5</v>
      </c>
      <c r="AG5971" s="580">
        <f t="shared" si="504"/>
        <v>0</v>
      </c>
      <c r="AH5971" s="580">
        <f t="shared" si="505"/>
        <v>0</v>
      </c>
    </row>
    <row r="5972" spans="28:34">
      <c r="AB5972" s="580">
        <f>HLOOKUP("*"&amp;'Output annual'!$AC$2&amp;'Output annual'!$AD$2&amp;"*Zone People Number Of Occupants [](Hourly)",'Eplus results'!$1:$1048576,ROW(),FALSE)</f>
        <v>0</v>
      </c>
      <c r="AC5972" s="580">
        <f>HLOOKUP("*"&amp;'Output annual'!$AC$2&amp;'Output annual'!$AD$2&amp;"*FangerPMV(Hourly)",'Eplus results'!$1:$1048576,ROW(),FALSE)</f>
        <v>0</v>
      </c>
      <c r="AD5972" s="580">
        <f t="shared" si="501"/>
        <v>5</v>
      </c>
      <c r="AE5972" s="580">
        <f t="shared" si="502"/>
        <v>2.5</v>
      </c>
      <c r="AF5972" s="580">
        <f t="shared" si="503"/>
        <v>2.5</v>
      </c>
      <c r="AG5972" s="580">
        <f t="shared" si="504"/>
        <v>0</v>
      </c>
      <c r="AH5972" s="580">
        <f t="shared" si="505"/>
        <v>0</v>
      </c>
    </row>
    <row r="5973" spans="28:34">
      <c r="AB5973" s="580">
        <f>HLOOKUP("*"&amp;'Output annual'!$AC$2&amp;'Output annual'!$AD$2&amp;"*Zone People Number Of Occupants [](Hourly)",'Eplus results'!$1:$1048576,ROW(),FALSE)</f>
        <v>0</v>
      </c>
      <c r="AC5973" s="580">
        <f>HLOOKUP("*"&amp;'Output annual'!$AC$2&amp;'Output annual'!$AD$2&amp;"*FangerPMV(Hourly)",'Eplus results'!$1:$1048576,ROW(),FALSE)</f>
        <v>0</v>
      </c>
      <c r="AD5973" s="580">
        <f t="shared" si="501"/>
        <v>5</v>
      </c>
      <c r="AE5973" s="580">
        <f t="shared" si="502"/>
        <v>2.5</v>
      </c>
      <c r="AF5973" s="580">
        <f t="shared" si="503"/>
        <v>2.5</v>
      </c>
      <c r="AG5973" s="580">
        <f t="shared" si="504"/>
        <v>0</v>
      </c>
      <c r="AH5973" s="580">
        <f t="shared" si="505"/>
        <v>0</v>
      </c>
    </row>
    <row r="5974" spans="28:34">
      <c r="AB5974" s="580">
        <f>HLOOKUP("*"&amp;'Output annual'!$AC$2&amp;'Output annual'!$AD$2&amp;"*Zone People Number Of Occupants [](Hourly)",'Eplus results'!$1:$1048576,ROW(),FALSE)</f>
        <v>0</v>
      </c>
      <c r="AC5974" s="580">
        <f>HLOOKUP("*"&amp;'Output annual'!$AC$2&amp;'Output annual'!$AD$2&amp;"*FangerPMV(Hourly)",'Eplus results'!$1:$1048576,ROW(),FALSE)</f>
        <v>0</v>
      </c>
      <c r="AD5974" s="580">
        <f t="shared" si="501"/>
        <v>5</v>
      </c>
      <c r="AE5974" s="580">
        <f t="shared" si="502"/>
        <v>2.5</v>
      </c>
      <c r="AF5974" s="580">
        <f t="shared" si="503"/>
        <v>2.5</v>
      </c>
      <c r="AG5974" s="580">
        <f t="shared" si="504"/>
        <v>0</v>
      </c>
      <c r="AH5974" s="580">
        <f t="shared" si="505"/>
        <v>0</v>
      </c>
    </row>
    <row r="5975" spans="28:34">
      <c r="AB5975" s="580">
        <f>HLOOKUP("*"&amp;'Output annual'!$AC$2&amp;'Output annual'!$AD$2&amp;"*Zone People Number Of Occupants [](Hourly)",'Eplus results'!$1:$1048576,ROW(),FALSE)</f>
        <v>0</v>
      </c>
      <c r="AC5975" s="580">
        <f>HLOOKUP("*"&amp;'Output annual'!$AC$2&amp;'Output annual'!$AD$2&amp;"*FangerPMV(Hourly)",'Eplus results'!$1:$1048576,ROW(),FALSE)</f>
        <v>0</v>
      </c>
      <c r="AD5975" s="580">
        <f t="shared" si="501"/>
        <v>5</v>
      </c>
      <c r="AE5975" s="580">
        <f t="shared" si="502"/>
        <v>2.5</v>
      </c>
      <c r="AF5975" s="580">
        <f t="shared" si="503"/>
        <v>2.5</v>
      </c>
      <c r="AG5975" s="580">
        <f t="shared" si="504"/>
        <v>0</v>
      </c>
      <c r="AH5975" s="580">
        <f t="shared" si="505"/>
        <v>0</v>
      </c>
    </row>
    <row r="5976" spans="28:34">
      <c r="AB5976" s="580">
        <f>HLOOKUP("*"&amp;'Output annual'!$AC$2&amp;'Output annual'!$AD$2&amp;"*Zone People Number Of Occupants [](Hourly)",'Eplus results'!$1:$1048576,ROW(),FALSE)</f>
        <v>0</v>
      </c>
      <c r="AC5976" s="580">
        <f>HLOOKUP("*"&amp;'Output annual'!$AC$2&amp;'Output annual'!$AD$2&amp;"*FangerPMV(Hourly)",'Eplus results'!$1:$1048576,ROW(),FALSE)</f>
        <v>0</v>
      </c>
      <c r="AD5976" s="580">
        <f t="shared" si="501"/>
        <v>5</v>
      </c>
      <c r="AE5976" s="580">
        <f t="shared" si="502"/>
        <v>2.5</v>
      </c>
      <c r="AF5976" s="580">
        <f t="shared" si="503"/>
        <v>2.5</v>
      </c>
      <c r="AG5976" s="580">
        <f t="shared" si="504"/>
        <v>0</v>
      </c>
      <c r="AH5976" s="580">
        <f t="shared" si="505"/>
        <v>0</v>
      </c>
    </row>
    <row r="5977" spans="28:34">
      <c r="AB5977" s="580">
        <f>HLOOKUP("*"&amp;'Output annual'!$AC$2&amp;'Output annual'!$AD$2&amp;"*Zone People Number Of Occupants [](Hourly)",'Eplus results'!$1:$1048576,ROW(),FALSE)</f>
        <v>0</v>
      </c>
      <c r="AC5977" s="580">
        <f>HLOOKUP("*"&amp;'Output annual'!$AC$2&amp;'Output annual'!$AD$2&amp;"*FangerPMV(Hourly)",'Eplus results'!$1:$1048576,ROW(),FALSE)</f>
        <v>0</v>
      </c>
      <c r="AD5977" s="580">
        <f t="shared" si="501"/>
        <v>5</v>
      </c>
      <c r="AE5977" s="580">
        <f t="shared" si="502"/>
        <v>2.5</v>
      </c>
      <c r="AF5977" s="580">
        <f t="shared" si="503"/>
        <v>2.5</v>
      </c>
      <c r="AG5977" s="580">
        <f t="shared" si="504"/>
        <v>0</v>
      </c>
      <c r="AH5977" s="580">
        <f t="shared" si="505"/>
        <v>0</v>
      </c>
    </row>
    <row r="5978" spans="28:34">
      <c r="AB5978" s="580">
        <f>HLOOKUP("*"&amp;'Output annual'!$AC$2&amp;'Output annual'!$AD$2&amp;"*Zone People Number Of Occupants [](Hourly)",'Eplus results'!$1:$1048576,ROW(),FALSE)</f>
        <v>0</v>
      </c>
      <c r="AC5978" s="580">
        <f>HLOOKUP("*"&amp;'Output annual'!$AC$2&amp;'Output annual'!$AD$2&amp;"*FangerPMV(Hourly)",'Eplus results'!$1:$1048576,ROW(),FALSE)</f>
        <v>0</v>
      </c>
      <c r="AD5978" s="580">
        <f t="shared" si="501"/>
        <v>5</v>
      </c>
      <c r="AE5978" s="580">
        <f t="shared" si="502"/>
        <v>2.5</v>
      </c>
      <c r="AF5978" s="580">
        <f t="shared" si="503"/>
        <v>2.5</v>
      </c>
      <c r="AG5978" s="580">
        <f t="shared" si="504"/>
        <v>0</v>
      </c>
      <c r="AH5978" s="580">
        <f t="shared" si="505"/>
        <v>0</v>
      </c>
    </row>
    <row r="5979" spans="28:34">
      <c r="AB5979" s="580">
        <f>HLOOKUP("*"&amp;'Output annual'!$AC$2&amp;'Output annual'!$AD$2&amp;"*Zone People Number Of Occupants [](Hourly)",'Eplus results'!$1:$1048576,ROW(),FALSE)</f>
        <v>0</v>
      </c>
      <c r="AC5979" s="580">
        <f>HLOOKUP("*"&amp;'Output annual'!$AC$2&amp;'Output annual'!$AD$2&amp;"*FangerPMV(Hourly)",'Eplus results'!$1:$1048576,ROW(),FALSE)</f>
        <v>0</v>
      </c>
      <c r="AD5979" s="580">
        <f t="shared" si="501"/>
        <v>5</v>
      </c>
      <c r="AE5979" s="580">
        <f t="shared" si="502"/>
        <v>2.5</v>
      </c>
      <c r="AF5979" s="580">
        <f t="shared" si="503"/>
        <v>2.5</v>
      </c>
      <c r="AG5979" s="580">
        <f t="shared" si="504"/>
        <v>0</v>
      </c>
      <c r="AH5979" s="580">
        <f t="shared" si="505"/>
        <v>0</v>
      </c>
    </row>
    <row r="5980" spans="28:34">
      <c r="AB5980" s="580">
        <f>HLOOKUP("*"&amp;'Output annual'!$AC$2&amp;'Output annual'!$AD$2&amp;"*Zone People Number Of Occupants [](Hourly)",'Eplus results'!$1:$1048576,ROW(),FALSE)</f>
        <v>0</v>
      </c>
      <c r="AC5980" s="580">
        <f>HLOOKUP("*"&amp;'Output annual'!$AC$2&amp;'Output annual'!$AD$2&amp;"*FangerPMV(Hourly)",'Eplus results'!$1:$1048576,ROW(),FALSE)</f>
        <v>0</v>
      </c>
      <c r="AD5980" s="580">
        <f t="shared" si="501"/>
        <v>5</v>
      </c>
      <c r="AE5980" s="580">
        <f t="shared" si="502"/>
        <v>2.5</v>
      </c>
      <c r="AF5980" s="580">
        <f t="shared" si="503"/>
        <v>2.5</v>
      </c>
      <c r="AG5980" s="580">
        <f t="shared" si="504"/>
        <v>0</v>
      </c>
      <c r="AH5980" s="580">
        <f t="shared" si="505"/>
        <v>0</v>
      </c>
    </row>
    <row r="5981" spans="28:34">
      <c r="AB5981" s="580">
        <f>HLOOKUP("*"&amp;'Output annual'!$AC$2&amp;'Output annual'!$AD$2&amp;"*Zone People Number Of Occupants [](Hourly)",'Eplus results'!$1:$1048576,ROW(),FALSE)</f>
        <v>0</v>
      </c>
      <c r="AC5981" s="580">
        <f>HLOOKUP("*"&amp;'Output annual'!$AC$2&amp;'Output annual'!$AD$2&amp;"*FangerPMV(Hourly)",'Eplus results'!$1:$1048576,ROW(),FALSE)</f>
        <v>0</v>
      </c>
      <c r="AD5981" s="580">
        <f t="shared" si="501"/>
        <v>5</v>
      </c>
      <c r="AE5981" s="580">
        <f t="shared" si="502"/>
        <v>2.5</v>
      </c>
      <c r="AF5981" s="580">
        <f t="shared" si="503"/>
        <v>2.5</v>
      </c>
      <c r="AG5981" s="580">
        <f t="shared" si="504"/>
        <v>0</v>
      </c>
      <c r="AH5981" s="580">
        <f t="shared" si="505"/>
        <v>0</v>
      </c>
    </row>
    <row r="5982" spans="28:34">
      <c r="AB5982" s="580">
        <f>HLOOKUP("*"&amp;'Output annual'!$AC$2&amp;'Output annual'!$AD$2&amp;"*Zone People Number Of Occupants [](Hourly)",'Eplus results'!$1:$1048576,ROW(),FALSE)</f>
        <v>0</v>
      </c>
      <c r="AC5982" s="580">
        <f>HLOOKUP("*"&amp;'Output annual'!$AC$2&amp;'Output annual'!$AD$2&amp;"*FangerPMV(Hourly)",'Eplus results'!$1:$1048576,ROW(),FALSE)</f>
        <v>0</v>
      </c>
      <c r="AD5982" s="580">
        <f t="shared" si="501"/>
        <v>5</v>
      </c>
      <c r="AE5982" s="580">
        <f t="shared" si="502"/>
        <v>2.5</v>
      </c>
      <c r="AF5982" s="580">
        <f t="shared" si="503"/>
        <v>2.5</v>
      </c>
      <c r="AG5982" s="580">
        <f t="shared" si="504"/>
        <v>0</v>
      </c>
      <c r="AH5982" s="580">
        <f t="shared" si="505"/>
        <v>0</v>
      </c>
    </row>
    <row r="5983" spans="28:34">
      <c r="AB5983" s="580">
        <f>HLOOKUP("*"&amp;'Output annual'!$AC$2&amp;'Output annual'!$AD$2&amp;"*Zone People Number Of Occupants [](Hourly)",'Eplus results'!$1:$1048576,ROW(),FALSE)</f>
        <v>0</v>
      </c>
      <c r="AC5983" s="580">
        <f>HLOOKUP("*"&amp;'Output annual'!$AC$2&amp;'Output annual'!$AD$2&amp;"*FangerPMV(Hourly)",'Eplus results'!$1:$1048576,ROW(),FALSE)</f>
        <v>0</v>
      </c>
      <c r="AD5983" s="580">
        <f t="shared" si="501"/>
        <v>5</v>
      </c>
      <c r="AE5983" s="580">
        <f t="shared" si="502"/>
        <v>2.5</v>
      </c>
      <c r="AF5983" s="580">
        <f t="shared" si="503"/>
        <v>2.5</v>
      </c>
      <c r="AG5983" s="580">
        <f t="shared" si="504"/>
        <v>0</v>
      </c>
      <c r="AH5983" s="580">
        <f t="shared" si="505"/>
        <v>0</v>
      </c>
    </row>
    <row r="5984" spans="28:34">
      <c r="AB5984" s="580">
        <f>HLOOKUP("*"&amp;'Output annual'!$AC$2&amp;'Output annual'!$AD$2&amp;"*Zone People Number Of Occupants [](Hourly)",'Eplus results'!$1:$1048576,ROW(),FALSE)</f>
        <v>0</v>
      </c>
      <c r="AC5984" s="580">
        <f>HLOOKUP("*"&amp;'Output annual'!$AC$2&amp;'Output annual'!$AD$2&amp;"*FangerPMV(Hourly)",'Eplus results'!$1:$1048576,ROW(),FALSE)</f>
        <v>0</v>
      </c>
      <c r="AD5984" s="580">
        <f t="shared" si="501"/>
        <v>5</v>
      </c>
      <c r="AE5984" s="580">
        <f t="shared" si="502"/>
        <v>2.5</v>
      </c>
      <c r="AF5984" s="580">
        <f t="shared" si="503"/>
        <v>2.5</v>
      </c>
      <c r="AG5984" s="580">
        <f t="shared" si="504"/>
        <v>0</v>
      </c>
      <c r="AH5984" s="580">
        <f t="shared" si="505"/>
        <v>0</v>
      </c>
    </row>
    <row r="5985" spans="28:34">
      <c r="AB5985" s="580">
        <f>HLOOKUP("*"&amp;'Output annual'!$AC$2&amp;'Output annual'!$AD$2&amp;"*Zone People Number Of Occupants [](Hourly)",'Eplus results'!$1:$1048576,ROW(),FALSE)</f>
        <v>0</v>
      </c>
      <c r="AC5985" s="580">
        <f>HLOOKUP("*"&amp;'Output annual'!$AC$2&amp;'Output annual'!$AD$2&amp;"*FangerPMV(Hourly)",'Eplus results'!$1:$1048576,ROW(),FALSE)</f>
        <v>0</v>
      </c>
      <c r="AD5985" s="580">
        <f t="shared" si="501"/>
        <v>5</v>
      </c>
      <c r="AE5985" s="580">
        <f t="shared" si="502"/>
        <v>2.5</v>
      </c>
      <c r="AF5985" s="580">
        <f t="shared" si="503"/>
        <v>2.5</v>
      </c>
      <c r="AG5985" s="580">
        <f t="shared" si="504"/>
        <v>0</v>
      </c>
      <c r="AH5985" s="580">
        <f t="shared" si="505"/>
        <v>0</v>
      </c>
    </row>
    <row r="5986" spans="28:34">
      <c r="AB5986" s="580">
        <f>HLOOKUP("*"&amp;'Output annual'!$AC$2&amp;'Output annual'!$AD$2&amp;"*Zone People Number Of Occupants [](Hourly)",'Eplus results'!$1:$1048576,ROW(),FALSE)</f>
        <v>0</v>
      </c>
      <c r="AC5986" s="580">
        <f>HLOOKUP("*"&amp;'Output annual'!$AC$2&amp;'Output annual'!$AD$2&amp;"*FangerPMV(Hourly)",'Eplus results'!$1:$1048576,ROW(),FALSE)</f>
        <v>0</v>
      </c>
      <c r="AD5986" s="580">
        <f t="shared" si="501"/>
        <v>5</v>
      </c>
      <c r="AE5986" s="580">
        <f t="shared" si="502"/>
        <v>2.5</v>
      </c>
      <c r="AF5986" s="580">
        <f t="shared" si="503"/>
        <v>2.5</v>
      </c>
      <c r="AG5986" s="580">
        <f t="shared" si="504"/>
        <v>0</v>
      </c>
      <c r="AH5986" s="580">
        <f t="shared" si="505"/>
        <v>0</v>
      </c>
    </row>
    <row r="5987" spans="28:34">
      <c r="AB5987" s="580">
        <f>HLOOKUP("*"&amp;'Output annual'!$AC$2&amp;'Output annual'!$AD$2&amp;"*Zone People Number Of Occupants [](Hourly)",'Eplus results'!$1:$1048576,ROW(),FALSE)</f>
        <v>0</v>
      </c>
      <c r="AC5987" s="580">
        <f>HLOOKUP("*"&amp;'Output annual'!$AC$2&amp;'Output annual'!$AD$2&amp;"*FangerPMV(Hourly)",'Eplus results'!$1:$1048576,ROW(),FALSE)</f>
        <v>0</v>
      </c>
      <c r="AD5987" s="580">
        <f t="shared" si="501"/>
        <v>5</v>
      </c>
      <c r="AE5987" s="580">
        <f t="shared" si="502"/>
        <v>2.5</v>
      </c>
      <c r="AF5987" s="580">
        <f t="shared" si="503"/>
        <v>2.5</v>
      </c>
      <c r="AG5987" s="580">
        <f t="shared" si="504"/>
        <v>0</v>
      </c>
      <c r="AH5987" s="580">
        <f t="shared" si="505"/>
        <v>0</v>
      </c>
    </row>
    <row r="5988" spans="28:34">
      <c r="AB5988" s="580">
        <f>HLOOKUP("*"&amp;'Output annual'!$AC$2&amp;'Output annual'!$AD$2&amp;"*Zone People Number Of Occupants [](Hourly)",'Eplus results'!$1:$1048576,ROW(),FALSE)</f>
        <v>0</v>
      </c>
      <c r="AC5988" s="580">
        <f>HLOOKUP("*"&amp;'Output annual'!$AC$2&amp;'Output annual'!$AD$2&amp;"*FangerPMV(Hourly)",'Eplus results'!$1:$1048576,ROW(),FALSE)</f>
        <v>0</v>
      </c>
      <c r="AD5988" s="580">
        <f t="shared" si="501"/>
        <v>5</v>
      </c>
      <c r="AE5988" s="580">
        <f t="shared" si="502"/>
        <v>2.5</v>
      </c>
      <c r="AF5988" s="580">
        <f t="shared" si="503"/>
        <v>2.5</v>
      </c>
      <c r="AG5988" s="580">
        <f t="shared" si="504"/>
        <v>0</v>
      </c>
      <c r="AH5988" s="580">
        <f t="shared" si="505"/>
        <v>0</v>
      </c>
    </row>
    <row r="5989" spans="28:34">
      <c r="AB5989" s="580">
        <f>HLOOKUP("*"&amp;'Output annual'!$AC$2&amp;'Output annual'!$AD$2&amp;"*Zone People Number Of Occupants [](Hourly)",'Eplus results'!$1:$1048576,ROW(),FALSE)</f>
        <v>0</v>
      </c>
      <c r="AC5989" s="580">
        <f>HLOOKUP("*"&amp;'Output annual'!$AC$2&amp;'Output annual'!$AD$2&amp;"*FangerPMV(Hourly)",'Eplus results'!$1:$1048576,ROW(),FALSE)</f>
        <v>0</v>
      </c>
      <c r="AD5989" s="580">
        <f t="shared" si="501"/>
        <v>5</v>
      </c>
      <c r="AE5989" s="580">
        <f t="shared" si="502"/>
        <v>2.5</v>
      </c>
      <c r="AF5989" s="580">
        <f t="shared" si="503"/>
        <v>2.5</v>
      </c>
      <c r="AG5989" s="580">
        <f t="shared" si="504"/>
        <v>0</v>
      </c>
      <c r="AH5989" s="580">
        <f t="shared" si="505"/>
        <v>0</v>
      </c>
    </row>
    <row r="5990" spans="28:34">
      <c r="AB5990" s="580">
        <f>HLOOKUP("*"&amp;'Output annual'!$AC$2&amp;'Output annual'!$AD$2&amp;"*Zone People Number Of Occupants [](Hourly)",'Eplus results'!$1:$1048576,ROW(),FALSE)</f>
        <v>0</v>
      </c>
      <c r="AC5990" s="580">
        <f>HLOOKUP("*"&amp;'Output annual'!$AC$2&amp;'Output annual'!$AD$2&amp;"*FangerPMV(Hourly)",'Eplus results'!$1:$1048576,ROW(),FALSE)</f>
        <v>0</v>
      </c>
      <c r="AD5990" s="580">
        <f t="shared" si="501"/>
        <v>5</v>
      </c>
      <c r="AE5990" s="580">
        <f t="shared" si="502"/>
        <v>2.5</v>
      </c>
      <c r="AF5990" s="580">
        <f t="shared" si="503"/>
        <v>2.5</v>
      </c>
      <c r="AG5990" s="580">
        <f t="shared" si="504"/>
        <v>0</v>
      </c>
      <c r="AH5990" s="580">
        <f t="shared" si="505"/>
        <v>0</v>
      </c>
    </row>
    <row r="5991" spans="28:34">
      <c r="AB5991" s="580">
        <f>HLOOKUP("*"&amp;'Output annual'!$AC$2&amp;'Output annual'!$AD$2&amp;"*Zone People Number Of Occupants [](Hourly)",'Eplus results'!$1:$1048576,ROW(),FALSE)</f>
        <v>0</v>
      </c>
      <c r="AC5991" s="580">
        <f>HLOOKUP("*"&amp;'Output annual'!$AC$2&amp;'Output annual'!$AD$2&amp;"*FangerPMV(Hourly)",'Eplus results'!$1:$1048576,ROW(),FALSE)</f>
        <v>0</v>
      </c>
      <c r="AD5991" s="580">
        <f t="shared" si="501"/>
        <v>5</v>
      </c>
      <c r="AE5991" s="580">
        <f t="shared" si="502"/>
        <v>2.5</v>
      </c>
      <c r="AF5991" s="580">
        <f t="shared" si="503"/>
        <v>2.5</v>
      </c>
      <c r="AG5991" s="580">
        <f t="shared" si="504"/>
        <v>0</v>
      </c>
      <c r="AH5991" s="580">
        <f t="shared" si="505"/>
        <v>0</v>
      </c>
    </row>
    <row r="5992" spans="28:34">
      <c r="AB5992" s="580">
        <f>HLOOKUP("*"&amp;'Output annual'!$AC$2&amp;'Output annual'!$AD$2&amp;"*Zone People Number Of Occupants [](Hourly)",'Eplus results'!$1:$1048576,ROW(),FALSE)</f>
        <v>0</v>
      </c>
      <c r="AC5992" s="580">
        <f>HLOOKUP("*"&amp;'Output annual'!$AC$2&amp;'Output annual'!$AD$2&amp;"*FangerPMV(Hourly)",'Eplus results'!$1:$1048576,ROW(),FALSE)</f>
        <v>0</v>
      </c>
      <c r="AD5992" s="580">
        <f t="shared" si="501"/>
        <v>5</v>
      </c>
      <c r="AE5992" s="580">
        <f t="shared" si="502"/>
        <v>2.5</v>
      </c>
      <c r="AF5992" s="580">
        <f t="shared" si="503"/>
        <v>2.5</v>
      </c>
      <c r="AG5992" s="580">
        <f t="shared" si="504"/>
        <v>0</v>
      </c>
      <c r="AH5992" s="580">
        <f t="shared" si="505"/>
        <v>0</v>
      </c>
    </row>
    <row r="5993" spans="28:34">
      <c r="AB5993" s="580">
        <f>HLOOKUP("*"&amp;'Output annual'!$AC$2&amp;'Output annual'!$AD$2&amp;"*Zone People Number Of Occupants [](Hourly)",'Eplus results'!$1:$1048576,ROW(),FALSE)</f>
        <v>0</v>
      </c>
      <c r="AC5993" s="580">
        <f>HLOOKUP("*"&amp;'Output annual'!$AC$2&amp;'Output annual'!$AD$2&amp;"*FangerPMV(Hourly)",'Eplus results'!$1:$1048576,ROW(),FALSE)</f>
        <v>0</v>
      </c>
      <c r="AD5993" s="580">
        <f t="shared" si="501"/>
        <v>5</v>
      </c>
      <c r="AE5993" s="580">
        <f t="shared" si="502"/>
        <v>2.5</v>
      </c>
      <c r="AF5993" s="580">
        <f t="shared" si="503"/>
        <v>2.5</v>
      </c>
      <c r="AG5993" s="580">
        <f t="shared" si="504"/>
        <v>0</v>
      </c>
      <c r="AH5993" s="580">
        <f t="shared" si="505"/>
        <v>0</v>
      </c>
    </row>
    <row r="5994" spans="28:34">
      <c r="AB5994" s="580">
        <f>HLOOKUP("*"&amp;'Output annual'!$AC$2&amp;'Output annual'!$AD$2&amp;"*Zone People Number Of Occupants [](Hourly)",'Eplus results'!$1:$1048576,ROW(),FALSE)</f>
        <v>0</v>
      </c>
      <c r="AC5994" s="580">
        <f>HLOOKUP("*"&amp;'Output annual'!$AC$2&amp;'Output annual'!$AD$2&amp;"*FangerPMV(Hourly)",'Eplus results'!$1:$1048576,ROW(),FALSE)</f>
        <v>0</v>
      </c>
      <c r="AD5994" s="580">
        <f t="shared" si="501"/>
        <v>5</v>
      </c>
      <c r="AE5994" s="580">
        <f t="shared" si="502"/>
        <v>2.5</v>
      </c>
      <c r="AF5994" s="580">
        <f t="shared" si="503"/>
        <v>2.5</v>
      </c>
      <c r="AG5994" s="580">
        <f t="shared" si="504"/>
        <v>0</v>
      </c>
      <c r="AH5994" s="580">
        <f t="shared" si="505"/>
        <v>0</v>
      </c>
    </row>
    <row r="5995" spans="28:34">
      <c r="AB5995" s="580">
        <f>HLOOKUP("*"&amp;'Output annual'!$AC$2&amp;'Output annual'!$AD$2&amp;"*Zone People Number Of Occupants [](Hourly)",'Eplus results'!$1:$1048576,ROW(),FALSE)</f>
        <v>0</v>
      </c>
      <c r="AC5995" s="580">
        <f>HLOOKUP("*"&amp;'Output annual'!$AC$2&amp;'Output annual'!$AD$2&amp;"*FangerPMV(Hourly)",'Eplus results'!$1:$1048576,ROW(),FALSE)</f>
        <v>0</v>
      </c>
      <c r="AD5995" s="580">
        <f t="shared" si="501"/>
        <v>5</v>
      </c>
      <c r="AE5995" s="580">
        <f t="shared" si="502"/>
        <v>2.5</v>
      </c>
      <c r="AF5995" s="580">
        <f t="shared" si="503"/>
        <v>2.5</v>
      </c>
      <c r="AG5995" s="580">
        <f t="shared" si="504"/>
        <v>0</v>
      </c>
      <c r="AH5995" s="580">
        <f t="shared" si="505"/>
        <v>0</v>
      </c>
    </row>
    <row r="5996" spans="28:34">
      <c r="AB5996" s="580">
        <f>HLOOKUP("*"&amp;'Output annual'!$AC$2&amp;'Output annual'!$AD$2&amp;"*Zone People Number Of Occupants [](Hourly)",'Eplus results'!$1:$1048576,ROW(),FALSE)</f>
        <v>0</v>
      </c>
      <c r="AC5996" s="580">
        <f>HLOOKUP("*"&amp;'Output annual'!$AC$2&amp;'Output annual'!$AD$2&amp;"*FangerPMV(Hourly)",'Eplus results'!$1:$1048576,ROW(),FALSE)</f>
        <v>0</v>
      </c>
      <c r="AD5996" s="580">
        <f t="shared" si="501"/>
        <v>5</v>
      </c>
      <c r="AE5996" s="580">
        <f t="shared" si="502"/>
        <v>2.5</v>
      </c>
      <c r="AF5996" s="580">
        <f t="shared" si="503"/>
        <v>2.5</v>
      </c>
      <c r="AG5996" s="580">
        <f t="shared" si="504"/>
        <v>0</v>
      </c>
      <c r="AH5996" s="580">
        <f t="shared" si="505"/>
        <v>0</v>
      </c>
    </row>
    <row r="5997" spans="28:34">
      <c r="AB5997" s="580">
        <f>HLOOKUP("*"&amp;'Output annual'!$AC$2&amp;'Output annual'!$AD$2&amp;"*Zone People Number Of Occupants [](Hourly)",'Eplus results'!$1:$1048576,ROW(),FALSE)</f>
        <v>0</v>
      </c>
      <c r="AC5997" s="580">
        <f>HLOOKUP("*"&amp;'Output annual'!$AC$2&amp;'Output annual'!$AD$2&amp;"*FangerPMV(Hourly)",'Eplus results'!$1:$1048576,ROW(),FALSE)</f>
        <v>0</v>
      </c>
      <c r="AD5997" s="580">
        <f t="shared" si="501"/>
        <v>5</v>
      </c>
      <c r="AE5997" s="580">
        <f t="shared" si="502"/>
        <v>2.5</v>
      </c>
      <c r="AF5997" s="580">
        <f t="shared" si="503"/>
        <v>2.5</v>
      </c>
      <c r="AG5997" s="580">
        <f t="shared" si="504"/>
        <v>0</v>
      </c>
      <c r="AH5997" s="580">
        <f t="shared" si="505"/>
        <v>0</v>
      </c>
    </row>
    <row r="5998" spans="28:34">
      <c r="AB5998" s="580">
        <f>HLOOKUP("*"&amp;'Output annual'!$AC$2&amp;'Output annual'!$AD$2&amp;"*Zone People Number Of Occupants [](Hourly)",'Eplus results'!$1:$1048576,ROW(),FALSE)</f>
        <v>0</v>
      </c>
      <c r="AC5998" s="580">
        <f>HLOOKUP("*"&amp;'Output annual'!$AC$2&amp;'Output annual'!$AD$2&amp;"*FangerPMV(Hourly)",'Eplus results'!$1:$1048576,ROW(),FALSE)</f>
        <v>0</v>
      </c>
      <c r="AD5998" s="580">
        <f t="shared" si="501"/>
        <v>5</v>
      </c>
      <c r="AE5998" s="580">
        <f t="shared" si="502"/>
        <v>2.5</v>
      </c>
      <c r="AF5998" s="580">
        <f t="shared" si="503"/>
        <v>2.5</v>
      </c>
      <c r="AG5998" s="580">
        <f t="shared" si="504"/>
        <v>0</v>
      </c>
      <c r="AH5998" s="580">
        <f t="shared" si="505"/>
        <v>0</v>
      </c>
    </row>
    <row r="5999" spans="28:34">
      <c r="AB5999" s="580">
        <f>HLOOKUP("*"&amp;'Output annual'!$AC$2&amp;'Output annual'!$AD$2&amp;"*Zone People Number Of Occupants [](Hourly)",'Eplus results'!$1:$1048576,ROW(),FALSE)</f>
        <v>0</v>
      </c>
      <c r="AC5999" s="580">
        <f>HLOOKUP("*"&amp;'Output annual'!$AC$2&amp;'Output annual'!$AD$2&amp;"*FangerPMV(Hourly)",'Eplus results'!$1:$1048576,ROW(),FALSE)</f>
        <v>0</v>
      </c>
      <c r="AD5999" s="580">
        <f t="shared" si="501"/>
        <v>5</v>
      </c>
      <c r="AE5999" s="580">
        <f t="shared" si="502"/>
        <v>2.5</v>
      </c>
      <c r="AF5999" s="580">
        <f t="shared" si="503"/>
        <v>2.5</v>
      </c>
      <c r="AG5999" s="580">
        <f t="shared" si="504"/>
        <v>0</v>
      </c>
      <c r="AH5999" s="580">
        <f t="shared" si="505"/>
        <v>0</v>
      </c>
    </row>
    <row r="6000" spans="28:34">
      <c r="AB6000" s="580">
        <f>HLOOKUP("*"&amp;'Output annual'!$AC$2&amp;'Output annual'!$AD$2&amp;"*Zone People Number Of Occupants [](Hourly)",'Eplus results'!$1:$1048576,ROW(),FALSE)</f>
        <v>0</v>
      </c>
      <c r="AC6000" s="580">
        <f>HLOOKUP("*"&amp;'Output annual'!$AC$2&amp;'Output annual'!$AD$2&amp;"*FangerPMV(Hourly)",'Eplus results'!$1:$1048576,ROW(),FALSE)</f>
        <v>0</v>
      </c>
      <c r="AD6000" s="580">
        <f t="shared" si="501"/>
        <v>5</v>
      </c>
      <c r="AE6000" s="580">
        <f t="shared" si="502"/>
        <v>2.5</v>
      </c>
      <c r="AF6000" s="580">
        <f t="shared" si="503"/>
        <v>2.5</v>
      </c>
      <c r="AG6000" s="580">
        <f t="shared" si="504"/>
        <v>0</v>
      </c>
      <c r="AH6000" s="580">
        <f t="shared" si="505"/>
        <v>0</v>
      </c>
    </row>
    <row r="6001" spans="28:34">
      <c r="AB6001" s="580">
        <f>HLOOKUP("*"&amp;'Output annual'!$AC$2&amp;'Output annual'!$AD$2&amp;"*Zone People Number Of Occupants [](Hourly)",'Eplus results'!$1:$1048576,ROW(),FALSE)</f>
        <v>0</v>
      </c>
      <c r="AC6001" s="580">
        <f>HLOOKUP("*"&amp;'Output annual'!$AC$2&amp;'Output annual'!$AD$2&amp;"*FangerPMV(Hourly)",'Eplus results'!$1:$1048576,ROW(),FALSE)</f>
        <v>0</v>
      </c>
      <c r="AD6001" s="580">
        <f t="shared" si="501"/>
        <v>5</v>
      </c>
      <c r="AE6001" s="580">
        <f t="shared" si="502"/>
        <v>2.5</v>
      </c>
      <c r="AF6001" s="580">
        <f t="shared" si="503"/>
        <v>2.5</v>
      </c>
      <c r="AG6001" s="580">
        <f t="shared" si="504"/>
        <v>0</v>
      </c>
      <c r="AH6001" s="580">
        <f t="shared" si="505"/>
        <v>0</v>
      </c>
    </row>
    <row r="6002" spans="28:34">
      <c r="AB6002" s="580">
        <f>HLOOKUP("*"&amp;'Output annual'!$AC$2&amp;'Output annual'!$AD$2&amp;"*Zone People Number Of Occupants [](Hourly)",'Eplus results'!$1:$1048576,ROW(),FALSE)</f>
        <v>0</v>
      </c>
      <c r="AC6002" s="580">
        <f>HLOOKUP("*"&amp;'Output annual'!$AC$2&amp;'Output annual'!$AD$2&amp;"*FangerPMV(Hourly)",'Eplus results'!$1:$1048576,ROW(),FALSE)</f>
        <v>0</v>
      </c>
      <c r="AD6002" s="580">
        <f t="shared" si="501"/>
        <v>5</v>
      </c>
      <c r="AE6002" s="580">
        <f t="shared" si="502"/>
        <v>2.5</v>
      </c>
      <c r="AF6002" s="580">
        <f t="shared" si="503"/>
        <v>2.5</v>
      </c>
      <c r="AG6002" s="580">
        <f t="shared" si="504"/>
        <v>0</v>
      </c>
      <c r="AH6002" s="580">
        <f t="shared" si="505"/>
        <v>0</v>
      </c>
    </row>
    <row r="6003" spans="28:34">
      <c r="AB6003" s="580">
        <f>HLOOKUP("*"&amp;'Output annual'!$AC$2&amp;'Output annual'!$AD$2&amp;"*Zone People Number Of Occupants [](Hourly)",'Eplus results'!$1:$1048576,ROW(),FALSE)</f>
        <v>0</v>
      </c>
      <c r="AC6003" s="580">
        <f>HLOOKUP("*"&amp;'Output annual'!$AC$2&amp;'Output annual'!$AD$2&amp;"*FangerPMV(Hourly)",'Eplus results'!$1:$1048576,ROW(),FALSE)</f>
        <v>0</v>
      </c>
      <c r="AD6003" s="580">
        <f t="shared" si="501"/>
        <v>5</v>
      </c>
      <c r="AE6003" s="580">
        <f t="shared" si="502"/>
        <v>2.5</v>
      </c>
      <c r="AF6003" s="580">
        <f t="shared" si="503"/>
        <v>2.5</v>
      </c>
      <c r="AG6003" s="580">
        <f t="shared" si="504"/>
        <v>0</v>
      </c>
      <c r="AH6003" s="580">
        <f t="shared" si="505"/>
        <v>0</v>
      </c>
    </row>
    <row r="6004" spans="28:34">
      <c r="AB6004" s="580">
        <f>HLOOKUP("*"&amp;'Output annual'!$AC$2&amp;'Output annual'!$AD$2&amp;"*Zone People Number Of Occupants [](Hourly)",'Eplus results'!$1:$1048576,ROW(),FALSE)</f>
        <v>0</v>
      </c>
      <c r="AC6004" s="580">
        <f>HLOOKUP("*"&amp;'Output annual'!$AC$2&amp;'Output annual'!$AD$2&amp;"*FangerPMV(Hourly)",'Eplus results'!$1:$1048576,ROW(),FALSE)</f>
        <v>0</v>
      </c>
      <c r="AD6004" s="580">
        <f t="shared" si="501"/>
        <v>5</v>
      </c>
      <c r="AE6004" s="580">
        <f t="shared" si="502"/>
        <v>2.5</v>
      </c>
      <c r="AF6004" s="580">
        <f t="shared" si="503"/>
        <v>2.5</v>
      </c>
      <c r="AG6004" s="580">
        <f t="shared" si="504"/>
        <v>0</v>
      </c>
      <c r="AH6004" s="580">
        <f t="shared" si="505"/>
        <v>0</v>
      </c>
    </row>
    <row r="6005" spans="28:34">
      <c r="AB6005" s="580">
        <f>HLOOKUP("*"&amp;'Output annual'!$AC$2&amp;'Output annual'!$AD$2&amp;"*Zone People Number Of Occupants [](Hourly)",'Eplus results'!$1:$1048576,ROW(),FALSE)</f>
        <v>0</v>
      </c>
      <c r="AC6005" s="580">
        <f>HLOOKUP("*"&amp;'Output annual'!$AC$2&amp;'Output annual'!$AD$2&amp;"*FangerPMV(Hourly)",'Eplus results'!$1:$1048576,ROW(),FALSE)</f>
        <v>0</v>
      </c>
      <c r="AD6005" s="580">
        <f t="shared" si="501"/>
        <v>5</v>
      </c>
      <c r="AE6005" s="580">
        <f t="shared" si="502"/>
        <v>2.5</v>
      </c>
      <c r="AF6005" s="580">
        <f t="shared" si="503"/>
        <v>2.5</v>
      </c>
      <c r="AG6005" s="580">
        <f t="shared" si="504"/>
        <v>0</v>
      </c>
      <c r="AH6005" s="580">
        <f t="shared" si="505"/>
        <v>0</v>
      </c>
    </row>
    <row r="6006" spans="28:34">
      <c r="AB6006" s="580">
        <f>HLOOKUP("*"&amp;'Output annual'!$AC$2&amp;'Output annual'!$AD$2&amp;"*Zone People Number Of Occupants [](Hourly)",'Eplus results'!$1:$1048576,ROW(),FALSE)</f>
        <v>0</v>
      </c>
      <c r="AC6006" s="580">
        <f>HLOOKUP("*"&amp;'Output annual'!$AC$2&amp;'Output annual'!$AD$2&amp;"*FangerPMV(Hourly)",'Eplus results'!$1:$1048576,ROW(),FALSE)</f>
        <v>0</v>
      </c>
      <c r="AD6006" s="580">
        <f t="shared" si="501"/>
        <v>5</v>
      </c>
      <c r="AE6006" s="580">
        <f t="shared" si="502"/>
        <v>2.5</v>
      </c>
      <c r="AF6006" s="580">
        <f t="shared" si="503"/>
        <v>2.5</v>
      </c>
      <c r="AG6006" s="580">
        <f t="shared" si="504"/>
        <v>0</v>
      </c>
      <c r="AH6006" s="580">
        <f t="shared" si="505"/>
        <v>0</v>
      </c>
    </row>
    <row r="6007" spans="28:34">
      <c r="AB6007" s="580">
        <f>HLOOKUP("*"&amp;'Output annual'!$AC$2&amp;'Output annual'!$AD$2&amp;"*Zone People Number Of Occupants [](Hourly)",'Eplus results'!$1:$1048576,ROW(),FALSE)</f>
        <v>0</v>
      </c>
      <c r="AC6007" s="580">
        <f>HLOOKUP("*"&amp;'Output annual'!$AC$2&amp;'Output annual'!$AD$2&amp;"*FangerPMV(Hourly)",'Eplus results'!$1:$1048576,ROW(),FALSE)</f>
        <v>0</v>
      </c>
      <c r="AD6007" s="580">
        <f t="shared" si="501"/>
        <v>5</v>
      </c>
      <c r="AE6007" s="580">
        <f t="shared" si="502"/>
        <v>2.5</v>
      </c>
      <c r="AF6007" s="580">
        <f t="shared" si="503"/>
        <v>2.5</v>
      </c>
      <c r="AG6007" s="580">
        <f t="shared" si="504"/>
        <v>0</v>
      </c>
      <c r="AH6007" s="580">
        <f t="shared" si="505"/>
        <v>0</v>
      </c>
    </row>
    <row r="6008" spans="28:34">
      <c r="AB6008" s="580">
        <f>HLOOKUP("*"&amp;'Output annual'!$AC$2&amp;'Output annual'!$AD$2&amp;"*Zone People Number Of Occupants [](Hourly)",'Eplus results'!$1:$1048576,ROW(),FALSE)</f>
        <v>0</v>
      </c>
      <c r="AC6008" s="580">
        <f>HLOOKUP("*"&amp;'Output annual'!$AC$2&amp;'Output annual'!$AD$2&amp;"*FangerPMV(Hourly)",'Eplus results'!$1:$1048576,ROW(),FALSE)</f>
        <v>0</v>
      </c>
      <c r="AD6008" s="580">
        <f t="shared" si="501"/>
        <v>5</v>
      </c>
      <c r="AE6008" s="580">
        <f t="shared" si="502"/>
        <v>2.5</v>
      </c>
      <c r="AF6008" s="580">
        <f t="shared" si="503"/>
        <v>2.5</v>
      </c>
      <c r="AG6008" s="580">
        <f t="shared" si="504"/>
        <v>0</v>
      </c>
      <c r="AH6008" s="580">
        <f t="shared" si="505"/>
        <v>0</v>
      </c>
    </row>
    <row r="6009" spans="28:34">
      <c r="AB6009" s="580">
        <f>HLOOKUP("*"&amp;'Output annual'!$AC$2&amp;'Output annual'!$AD$2&amp;"*Zone People Number Of Occupants [](Hourly)",'Eplus results'!$1:$1048576,ROW(),FALSE)</f>
        <v>0</v>
      </c>
      <c r="AC6009" s="580">
        <f>HLOOKUP("*"&amp;'Output annual'!$AC$2&amp;'Output annual'!$AD$2&amp;"*FangerPMV(Hourly)",'Eplus results'!$1:$1048576,ROW(),FALSE)</f>
        <v>0</v>
      </c>
      <c r="AD6009" s="580">
        <f t="shared" si="501"/>
        <v>5</v>
      </c>
      <c r="AE6009" s="580">
        <f t="shared" si="502"/>
        <v>2.5</v>
      </c>
      <c r="AF6009" s="580">
        <f t="shared" si="503"/>
        <v>2.5</v>
      </c>
      <c r="AG6009" s="580">
        <f t="shared" si="504"/>
        <v>0</v>
      </c>
      <c r="AH6009" s="580">
        <f t="shared" si="505"/>
        <v>0</v>
      </c>
    </row>
    <row r="6010" spans="28:34">
      <c r="AB6010" s="580">
        <f>HLOOKUP("*"&amp;'Output annual'!$AC$2&amp;'Output annual'!$AD$2&amp;"*Zone People Number Of Occupants [](Hourly)",'Eplus results'!$1:$1048576,ROW(),FALSE)</f>
        <v>0</v>
      </c>
      <c r="AC6010" s="580">
        <f>HLOOKUP("*"&amp;'Output annual'!$AC$2&amp;'Output annual'!$AD$2&amp;"*FangerPMV(Hourly)",'Eplus results'!$1:$1048576,ROW(),FALSE)</f>
        <v>0</v>
      </c>
      <c r="AD6010" s="580">
        <f t="shared" si="501"/>
        <v>5</v>
      </c>
      <c r="AE6010" s="580">
        <f t="shared" si="502"/>
        <v>2.5</v>
      </c>
      <c r="AF6010" s="580">
        <f t="shared" si="503"/>
        <v>2.5</v>
      </c>
      <c r="AG6010" s="580">
        <f t="shared" si="504"/>
        <v>0</v>
      </c>
      <c r="AH6010" s="580">
        <f t="shared" si="505"/>
        <v>0</v>
      </c>
    </row>
    <row r="6011" spans="28:34">
      <c r="AB6011" s="580">
        <f>HLOOKUP("*"&amp;'Output annual'!$AC$2&amp;'Output annual'!$AD$2&amp;"*Zone People Number Of Occupants [](Hourly)",'Eplus results'!$1:$1048576,ROW(),FALSE)</f>
        <v>0</v>
      </c>
      <c r="AC6011" s="580">
        <f>HLOOKUP("*"&amp;'Output annual'!$AC$2&amp;'Output annual'!$AD$2&amp;"*FangerPMV(Hourly)",'Eplus results'!$1:$1048576,ROW(),FALSE)</f>
        <v>0</v>
      </c>
      <c r="AD6011" s="580">
        <f t="shared" si="501"/>
        <v>5</v>
      </c>
      <c r="AE6011" s="580">
        <f t="shared" si="502"/>
        <v>2.5</v>
      </c>
      <c r="AF6011" s="580">
        <f t="shared" si="503"/>
        <v>2.5</v>
      </c>
      <c r="AG6011" s="580">
        <f t="shared" si="504"/>
        <v>0</v>
      </c>
      <c r="AH6011" s="580">
        <f t="shared" si="505"/>
        <v>0</v>
      </c>
    </row>
    <row r="6012" spans="28:34">
      <c r="AB6012" s="580">
        <f>HLOOKUP("*"&amp;'Output annual'!$AC$2&amp;'Output annual'!$AD$2&amp;"*Zone People Number Of Occupants [](Hourly)",'Eplus results'!$1:$1048576,ROW(),FALSE)</f>
        <v>0</v>
      </c>
      <c r="AC6012" s="580">
        <f>HLOOKUP("*"&amp;'Output annual'!$AC$2&amp;'Output annual'!$AD$2&amp;"*FangerPMV(Hourly)",'Eplus results'!$1:$1048576,ROW(),FALSE)</f>
        <v>0</v>
      </c>
      <c r="AD6012" s="580">
        <f t="shared" si="501"/>
        <v>5</v>
      </c>
      <c r="AE6012" s="580">
        <f t="shared" si="502"/>
        <v>2.5</v>
      </c>
      <c r="AF6012" s="580">
        <f t="shared" si="503"/>
        <v>2.5</v>
      </c>
      <c r="AG6012" s="580">
        <f t="shared" si="504"/>
        <v>0</v>
      </c>
      <c r="AH6012" s="580">
        <f t="shared" si="505"/>
        <v>0</v>
      </c>
    </row>
    <row r="6013" spans="28:34">
      <c r="AB6013" s="580">
        <f>HLOOKUP("*"&amp;'Output annual'!$AC$2&amp;'Output annual'!$AD$2&amp;"*Zone People Number Of Occupants [](Hourly)",'Eplus results'!$1:$1048576,ROW(),FALSE)</f>
        <v>0</v>
      </c>
      <c r="AC6013" s="580">
        <f>HLOOKUP("*"&amp;'Output annual'!$AC$2&amp;'Output annual'!$AD$2&amp;"*FangerPMV(Hourly)",'Eplus results'!$1:$1048576,ROW(),FALSE)</f>
        <v>0</v>
      </c>
      <c r="AD6013" s="580">
        <f t="shared" si="501"/>
        <v>5</v>
      </c>
      <c r="AE6013" s="580">
        <f t="shared" si="502"/>
        <v>2.5</v>
      </c>
      <c r="AF6013" s="580">
        <f t="shared" si="503"/>
        <v>2.5</v>
      </c>
      <c r="AG6013" s="580">
        <f t="shared" si="504"/>
        <v>0</v>
      </c>
      <c r="AH6013" s="580">
        <f t="shared" si="505"/>
        <v>0</v>
      </c>
    </row>
    <row r="6014" spans="28:34">
      <c r="AB6014" s="580">
        <f>HLOOKUP("*"&amp;'Output annual'!$AC$2&amp;'Output annual'!$AD$2&amp;"*Zone People Number Of Occupants [](Hourly)",'Eplus results'!$1:$1048576,ROW(),FALSE)</f>
        <v>0</v>
      </c>
      <c r="AC6014" s="580">
        <f>HLOOKUP("*"&amp;'Output annual'!$AC$2&amp;'Output annual'!$AD$2&amp;"*FangerPMV(Hourly)",'Eplus results'!$1:$1048576,ROW(),FALSE)</f>
        <v>0</v>
      </c>
      <c r="AD6014" s="580">
        <f t="shared" si="501"/>
        <v>5</v>
      </c>
      <c r="AE6014" s="580">
        <f t="shared" si="502"/>
        <v>2.5</v>
      </c>
      <c r="AF6014" s="580">
        <f t="shared" si="503"/>
        <v>2.5</v>
      </c>
      <c r="AG6014" s="580">
        <f t="shared" si="504"/>
        <v>0</v>
      </c>
      <c r="AH6014" s="580">
        <f t="shared" si="505"/>
        <v>0</v>
      </c>
    </row>
    <row r="6015" spans="28:34">
      <c r="AB6015" s="580">
        <f>HLOOKUP("*"&amp;'Output annual'!$AC$2&amp;'Output annual'!$AD$2&amp;"*Zone People Number Of Occupants [](Hourly)",'Eplus results'!$1:$1048576,ROW(),FALSE)</f>
        <v>0</v>
      </c>
      <c r="AC6015" s="580">
        <f>HLOOKUP("*"&amp;'Output annual'!$AC$2&amp;'Output annual'!$AD$2&amp;"*FangerPMV(Hourly)",'Eplus results'!$1:$1048576,ROW(),FALSE)</f>
        <v>0</v>
      </c>
      <c r="AD6015" s="580">
        <f t="shared" si="501"/>
        <v>5</v>
      </c>
      <c r="AE6015" s="580">
        <f t="shared" si="502"/>
        <v>2.5</v>
      </c>
      <c r="AF6015" s="580">
        <f t="shared" si="503"/>
        <v>2.5</v>
      </c>
      <c r="AG6015" s="580">
        <f t="shared" si="504"/>
        <v>0</v>
      </c>
      <c r="AH6015" s="580">
        <f t="shared" si="505"/>
        <v>0</v>
      </c>
    </row>
    <row r="6016" spans="28:34">
      <c r="AB6016" s="580">
        <f>HLOOKUP("*"&amp;'Output annual'!$AC$2&amp;'Output annual'!$AD$2&amp;"*Zone People Number Of Occupants [](Hourly)",'Eplus results'!$1:$1048576,ROW(),FALSE)</f>
        <v>0</v>
      </c>
      <c r="AC6016" s="580">
        <f>HLOOKUP("*"&amp;'Output annual'!$AC$2&amp;'Output annual'!$AD$2&amp;"*FangerPMV(Hourly)",'Eplus results'!$1:$1048576,ROW(),FALSE)</f>
        <v>0</v>
      </c>
      <c r="AD6016" s="580">
        <f t="shared" si="501"/>
        <v>5</v>
      </c>
      <c r="AE6016" s="580">
        <f t="shared" si="502"/>
        <v>2.5</v>
      </c>
      <c r="AF6016" s="580">
        <f t="shared" si="503"/>
        <v>2.5</v>
      </c>
      <c r="AG6016" s="580">
        <f t="shared" si="504"/>
        <v>0</v>
      </c>
      <c r="AH6016" s="580">
        <f t="shared" si="505"/>
        <v>0</v>
      </c>
    </row>
    <row r="6017" spans="28:34">
      <c r="AB6017" s="580">
        <f>HLOOKUP("*"&amp;'Output annual'!$AC$2&amp;'Output annual'!$AD$2&amp;"*Zone People Number Of Occupants [](Hourly)",'Eplus results'!$1:$1048576,ROW(),FALSE)</f>
        <v>0</v>
      </c>
      <c r="AC6017" s="580">
        <f>HLOOKUP("*"&amp;'Output annual'!$AC$2&amp;'Output annual'!$AD$2&amp;"*FangerPMV(Hourly)",'Eplus results'!$1:$1048576,ROW(),FALSE)</f>
        <v>0</v>
      </c>
      <c r="AD6017" s="580">
        <f t="shared" si="501"/>
        <v>5</v>
      </c>
      <c r="AE6017" s="580">
        <f t="shared" si="502"/>
        <v>2.5</v>
      </c>
      <c r="AF6017" s="580">
        <f t="shared" si="503"/>
        <v>2.5</v>
      </c>
      <c r="AG6017" s="580">
        <f t="shared" si="504"/>
        <v>0</v>
      </c>
      <c r="AH6017" s="580">
        <f t="shared" si="505"/>
        <v>0</v>
      </c>
    </row>
    <row r="6018" spans="28:34">
      <c r="AB6018" s="580">
        <f>HLOOKUP("*"&amp;'Output annual'!$AC$2&amp;'Output annual'!$AD$2&amp;"*Zone People Number Of Occupants [](Hourly)",'Eplus results'!$1:$1048576,ROW(),FALSE)</f>
        <v>0</v>
      </c>
      <c r="AC6018" s="580">
        <f>HLOOKUP("*"&amp;'Output annual'!$AC$2&amp;'Output annual'!$AD$2&amp;"*FangerPMV(Hourly)",'Eplus results'!$1:$1048576,ROW(),FALSE)</f>
        <v>0</v>
      </c>
      <c r="AD6018" s="580">
        <f t="shared" si="501"/>
        <v>5</v>
      </c>
      <c r="AE6018" s="580">
        <f t="shared" si="502"/>
        <v>2.5</v>
      </c>
      <c r="AF6018" s="580">
        <f t="shared" si="503"/>
        <v>2.5</v>
      </c>
      <c r="AG6018" s="580">
        <f t="shared" si="504"/>
        <v>0</v>
      </c>
      <c r="AH6018" s="580">
        <f t="shared" si="505"/>
        <v>0</v>
      </c>
    </row>
    <row r="6019" spans="28:34">
      <c r="AB6019" s="580">
        <f>HLOOKUP("*"&amp;'Output annual'!$AC$2&amp;'Output annual'!$AD$2&amp;"*Zone People Number Of Occupants [](Hourly)",'Eplus results'!$1:$1048576,ROW(),FALSE)</f>
        <v>0</v>
      </c>
      <c r="AC6019" s="580">
        <f>HLOOKUP("*"&amp;'Output annual'!$AC$2&amp;'Output annual'!$AD$2&amp;"*FangerPMV(Hourly)",'Eplus results'!$1:$1048576,ROW(),FALSE)</f>
        <v>0</v>
      </c>
      <c r="AD6019" s="580">
        <f t="shared" ref="AD6019:AD6082" si="506">100-95*EXP(-0.03353*AC6019^4-0.2179*AC6019^2)</f>
        <v>5</v>
      </c>
      <c r="AE6019" s="580">
        <f t="shared" ref="AE6019:AE6082" si="507">AD6019*(1/(1+EXP(-6.3*$AC6019)))</f>
        <v>2.5</v>
      </c>
      <c r="AF6019" s="580">
        <f t="shared" ref="AF6019:AF6082" si="508">(AD6019-AE6019)</f>
        <v>2.5</v>
      </c>
      <c r="AG6019" s="580">
        <f t="shared" ref="AG6019:AG6082" si="509">AE6019*AB6019</f>
        <v>0</v>
      </c>
      <c r="AH6019" s="580">
        <f t="shared" ref="AH6019:AH6082" si="510">AF6019*AB6019</f>
        <v>0</v>
      </c>
    </row>
    <row r="6020" spans="28:34">
      <c r="AB6020" s="580">
        <f>HLOOKUP("*"&amp;'Output annual'!$AC$2&amp;'Output annual'!$AD$2&amp;"*Zone People Number Of Occupants [](Hourly)",'Eplus results'!$1:$1048576,ROW(),FALSE)</f>
        <v>0</v>
      </c>
      <c r="AC6020" s="580">
        <f>HLOOKUP("*"&amp;'Output annual'!$AC$2&amp;'Output annual'!$AD$2&amp;"*FangerPMV(Hourly)",'Eplus results'!$1:$1048576,ROW(),FALSE)</f>
        <v>0</v>
      </c>
      <c r="AD6020" s="580">
        <f t="shared" si="506"/>
        <v>5</v>
      </c>
      <c r="AE6020" s="580">
        <f t="shared" si="507"/>
        <v>2.5</v>
      </c>
      <c r="AF6020" s="580">
        <f t="shared" si="508"/>
        <v>2.5</v>
      </c>
      <c r="AG6020" s="580">
        <f t="shared" si="509"/>
        <v>0</v>
      </c>
      <c r="AH6020" s="580">
        <f t="shared" si="510"/>
        <v>0</v>
      </c>
    </row>
    <row r="6021" spans="28:34">
      <c r="AB6021" s="580">
        <f>HLOOKUP("*"&amp;'Output annual'!$AC$2&amp;'Output annual'!$AD$2&amp;"*Zone People Number Of Occupants [](Hourly)",'Eplus results'!$1:$1048576,ROW(),FALSE)</f>
        <v>0</v>
      </c>
      <c r="AC6021" s="580">
        <f>HLOOKUP("*"&amp;'Output annual'!$AC$2&amp;'Output annual'!$AD$2&amp;"*FangerPMV(Hourly)",'Eplus results'!$1:$1048576,ROW(),FALSE)</f>
        <v>0</v>
      </c>
      <c r="AD6021" s="580">
        <f t="shared" si="506"/>
        <v>5</v>
      </c>
      <c r="AE6021" s="580">
        <f t="shared" si="507"/>
        <v>2.5</v>
      </c>
      <c r="AF6021" s="580">
        <f t="shared" si="508"/>
        <v>2.5</v>
      </c>
      <c r="AG6021" s="580">
        <f t="shared" si="509"/>
        <v>0</v>
      </c>
      <c r="AH6021" s="580">
        <f t="shared" si="510"/>
        <v>0</v>
      </c>
    </row>
    <row r="6022" spans="28:34">
      <c r="AB6022" s="580">
        <f>HLOOKUP("*"&amp;'Output annual'!$AC$2&amp;'Output annual'!$AD$2&amp;"*Zone People Number Of Occupants [](Hourly)",'Eplus results'!$1:$1048576,ROW(),FALSE)</f>
        <v>0</v>
      </c>
      <c r="AC6022" s="580">
        <f>HLOOKUP("*"&amp;'Output annual'!$AC$2&amp;'Output annual'!$AD$2&amp;"*FangerPMV(Hourly)",'Eplus results'!$1:$1048576,ROW(),FALSE)</f>
        <v>0</v>
      </c>
      <c r="AD6022" s="580">
        <f t="shared" si="506"/>
        <v>5</v>
      </c>
      <c r="AE6022" s="580">
        <f t="shared" si="507"/>
        <v>2.5</v>
      </c>
      <c r="AF6022" s="580">
        <f t="shared" si="508"/>
        <v>2.5</v>
      </c>
      <c r="AG6022" s="580">
        <f t="shared" si="509"/>
        <v>0</v>
      </c>
      <c r="AH6022" s="580">
        <f t="shared" si="510"/>
        <v>0</v>
      </c>
    </row>
    <row r="6023" spans="28:34">
      <c r="AB6023" s="580">
        <f>HLOOKUP("*"&amp;'Output annual'!$AC$2&amp;'Output annual'!$AD$2&amp;"*Zone People Number Of Occupants [](Hourly)",'Eplus results'!$1:$1048576,ROW(),FALSE)</f>
        <v>0</v>
      </c>
      <c r="AC6023" s="580">
        <f>HLOOKUP("*"&amp;'Output annual'!$AC$2&amp;'Output annual'!$AD$2&amp;"*FangerPMV(Hourly)",'Eplus results'!$1:$1048576,ROW(),FALSE)</f>
        <v>0</v>
      </c>
      <c r="AD6023" s="580">
        <f t="shared" si="506"/>
        <v>5</v>
      </c>
      <c r="AE6023" s="580">
        <f t="shared" si="507"/>
        <v>2.5</v>
      </c>
      <c r="AF6023" s="580">
        <f t="shared" si="508"/>
        <v>2.5</v>
      </c>
      <c r="AG6023" s="580">
        <f t="shared" si="509"/>
        <v>0</v>
      </c>
      <c r="AH6023" s="580">
        <f t="shared" si="510"/>
        <v>0</v>
      </c>
    </row>
    <row r="6024" spans="28:34">
      <c r="AB6024" s="580">
        <f>HLOOKUP("*"&amp;'Output annual'!$AC$2&amp;'Output annual'!$AD$2&amp;"*Zone People Number Of Occupants [](Hourly)",'Eplus results'!$1:$1048576,ROW(),FALSE)</f>
        <v>0</v>
      </c>
      <c r="AC6024" s="580">
        <f>HLOOKUP("*"&amp;'Output annual'!$AC$2&amp;'Output annual'!$AD$2&amp;"*FangerPMV(Hourly)",'Eplus results'!$1:$1048576,ROW(),FALSE)</f>
        <v>0</v>
      </c>
      <c r="AD6024" s="580">
        <f t="shared" si="506"/>
        <v>5</v>
      </c>
      <c r="AE6024" s="580">
        <f t="shared" si="507"/>
        <v>2.5</v>
      </c>
      <c r="AF6024" s="580">
        <f t="shared" si="508"/>
        <v>2.5</v>
      </c>
      <c r="AG6024" s="580">
        <f t="shared" si="509"/>
        <v>0</v>
      </c>
      <c r="AH6024" s="580">
        <f t="shared" si="510"/>
        <v>0</v>
      </c>
    </row>
    <row r="6025" spans="28:34">
      <c r="AB6025" s="580">
        <f>HLOOKUP("*"&amp;'Output annual'!$AC$2&amp;'Output annual'!$AD$2&amp;"*Zone People Number Of Occupants [](Hourly)",'Eplus results'!$1:$1048576,ROW(),FALSE)</f>
        <v>0</v>
      </c>
      <c r="AC6025" s="580">
        <f>HLOOKUP("*"&amp;'Output annual'!$AC$2&amp;'Output annual'!$AD$2&amp;"*FangerPMV(Hourly)",'Eplus results'!$1:$1048576,ROW(),FALSE)</f>
        <v>0</v>
      </c>
      <c r="AD6025" s="580">
        <f t="shared" si="506"/>
        <v>5</v>
      </c>
      <c r="AE6025" s="580">
        <f t="shared" si="507"/>
        <v>2.5</v>
      </c>
      <c r="AF6025" s="580">
        <f t="shared" si="508"/>
        <v>2.5</v>
      </c>
      <c r="AG6025" s="580">
        <f t="shared" si="509"/>
        <v>0</v>
      </c>
      <c r="AH6025" s="580">
        <f t="shared" si="510"/>
        <v>0</v>
      </c>
    </row>
    <row r="6026" spans="28:34">
      <c r="AB6026" s="580">
        <f>HLOOKUP("*"&amp;'Output annual'!$AC$2&amp;'Output annual'!$AD$2&amp;"*Zone People Number Of Occupants [](Hourly)",'Eplus results'!$1:$1048576,ROW(),FALSE)</f>
        <v>0</v>
      </c>
      <c r="AC6026" s="580">
        <f>HLOOKUP("*"&amp;'Output annual'!$AC$2&amp;'Output annual'!$AD$2&amp;"*FangerPMV(Hourly)",'Eplus results'!$1:$1048576,ROW(),FALSE)</f>
        <v>0</v>
      </c>
      <c r="AD6026" s="580">
        <f t="shared" si="506"/>
        <v>5</v>
      </c>
      <c r="AE6026" s="580">
        <f t="shared" si="507"/>
        <v>2.5</v>
      </c>
      <c r="AF6026" s="580">
        <f t="shared" si="508"/>
        <v>2.5</v>
      </c>
      <c r="AG6026" s="580">
        <f t="shared" si="509"/>
        <v>0</v>
      </c>
      <c r="AH6026" s="580">
        <f t="shared" si="510"/>
        <v>0</v>
      </c>
    </row>
    <row r="6027" spans="28:34">
      <c r="AB6027" s="580">
        <f>HLOOKUP("*"&amp;'Output annual'!$AC$2&amp;'Output annual'!$AD$2&amp;"*Zone People Number Of Occupants [](Hourly)",'Eplus results'!$1:$1048576,ROW(),FALSE)</f>
        <v>0</v>
      </c>
      <c r="AC6027" s="580">
        <f>HLOOKUP("*"&amp;'Output annual'!$AC$2&amp;'Output annual'!$AD$2&amp;"*FangerPMV(Hourly)",'Eplus results'!$1:$1048576,ROW(),FALSE)</f>
        <v>0</v>
      </c>
      <c r="AD6027" s="580">
        <f t="shared" si="506"/>
        <v>5</v>
      </c>
      <c r="AE6027" s="580">
        <f t="shared" si="507"/>
        <v>2.5</v>
      </c>
      <c r="AF6027" s="580">
        <f t="shared" si="508"/>
        <v>2.5</v>
      </c>
      <c r="AG6027" s="580">
        <f t="shared" si="509"/>
        <v>0</v>
      </c>
      <c r="AH6027" s="580">
        <f t="shared" si="510"/>
        <v>0</v>
      </c>
    </row>
    <row r="6028" spans="28:34">
      <c r="AB6028" s="580">
        <f>HLOOKUP("*"&amp;'Output annual'!$AC$2&amp;'Output annual'!$AD$2&amp;"*Zone People Number Of Occupants [](Hourly)",'Eplus results'!$1:$1048576,ROW(),FALSE)</f>
        <v>0</v>
      </c>
      <c r="AC6028" s="580">
        <f>HLOOKUP("*"&amp;'Output annual'!$AC$2&amp;'Output annual'!$AD$2&amp;"*FangerPMV(Hourly)",'Eplus results'!$1:$1048576,ROW(),FALSE)</f>
        <v>0</v>
      </c>
      <c r="AD6028" s="580">
        <f t="shared" si="506"/>
        <v>5</v>
      </c>
      <c r="AE6028" s="580">
        <f t="shared" si="507"/>
        <v>2.5</v>
      </c>
      <c r="AF6028" s="580">
        <f t="shared" si="508"/>
        <v>2.5</v>
      </c>
      <c r="AG6028" s="580">
        <f t="shared" si="509"/>
        <v>0</v>
      </c>
      <c r="AH6028" s="580">
        <f t="shared" si="510"/>
        <v>0</v>
      </c>
    </row>
    <row r="6029" spans="28:34">
      <c r="AB6029" s="580">
        <f>HLOOKUP("*"&amp;'Output annual'!$AC$2&amp;'Output annual'!$AD$2&amp;"*Zone People Number Of Occupants [](Hourly)",'Eplus results'!$1:$1048576,ROW(),FALSE)</f>
        <v>0</v>
      </c>
      <c r="AC6029" s="580">
        <f>HLOOKUP("*"&amp;'Output annual'!$AC$2&amp;'Output annual'!$AD$2&amp;"*FangerPMV(Hourly)",'Eplus results'!$1:$1048576,ROW(),FALSE)</f>
        <v>0</v>
      </c>
      <c r="AD6029" s="580">
        <f t="shared" si="506"/>
        <v>5</v>
      </c>
      <c r="AE6029" s="580">
        <f t="shared" si="507"/>
        <v>2.5</v>
      </c>
      <c r="AF6029" s="580">
        <f t="shared" si="508"/>
        <v>2.5</v>
      </c>
      <c r="AG6029" s="580">
        <f t="shared" si="509"/>
        <v>0</v>
      </c>
      <c r="AH6029" s="580">
        <f t="shared" si="510"/>
        <v>0</v>
      </c>
    </row>
    <row r="6030" spans="28:34">
      <c r="AB6030" s="580">
        <f>HLOOKUP("*"&amp;'Output annual'!$AC$2&amp;'Output annual'!$AD$2&amp;"*Zone People Number Of Occupants [](Hourly)",'Eplus results'!$1:$1048576,ROW(),FALSE)</f>
        <v>0</v>
      </c>
      <c r="AC6030" s="580">
        <f>HLOOKUP("*"&amp;'Output annual'!$AC$2&amp;'Output annual'!$AD$2&amp;"*FangerPMV(Hourly)",'Eplus results'!$1:$1048576,ROW(),FALSE)</f>
        <v>0</v>
      </c>
      <c r="AD6030" s="580">
        <f t="shared" si="506"/>
        <v>5</v>
      </c>
      <c r="AE6030" s="580">
        <f t="shared" si="507"/>
        <v>2.5</v>
      </c>
      <c r="AF6030" s="580">
        <f t="shared" si="508"/>
        <v>2.5</v>
      </c>
      <c r="AG6030" s="580">
        <f t="shared" si="509"/>
        <v>0</v>
      </c>
      <c r="AH6030" s="580">
        <f t="shared" si="510"/>
        <v>0</v>
      </c>
    </row>
    <row r="6031" spans="28:34">
      <c r="AB6031" s="580">
        <f>HLOOKUP("*"&amp;'Output annual'!$AC$2&amp;'Output annual'!$AD$2&amp;"*Zone People Number Of Occupants [](Hourly)",'Eplus results'!$1:$1048576,ROW(),FALSE)</f>
        <v>0</v>
      </c>
      <c r="AC6031" s="580">
        <f>HLOOKUP("*"&amp;'Output annual'!$AC$2&amp;'Output annual'!$AD$2&amp;"*FangerPMV(Hourly)",'Eplus results'!$1:$1048576,ROW(),FALSE)</f>
        <v>0</v>
      </c>
      <c r="AD6031" s="580">
        <f t="shared" si="506"/>
        <v>5</v>
      </c>
      <c r="AE6031" s="580">
        <f t="shared" si="507"/>
        <v>2.5</v>
      </c>
      <c r="AF6031" s="580">
        <f t="shared" si="508"/>
        <v>2.5</v>
      </c>
      <c r="AG6031" s="580">
        <f t="shared" si="509"/>
        <v>0</v>
      </c>
      <c r="AH6031" s="580">
        <f t="shared" si="510"/>
        <v>0</v>
      </c>
    </row>
    <row r="6032" spans="28:34">
      <c r="AB6032" s="580">
        <f>HLOOKUP("*"&amp;'Output annual'!$AC$2&amp;'Output annual'!$AD$2&amp;"*Zone People Number Of Occupants [](Hourly)",'Eplus results'!$1:$1048576,ROW(),FALSE)</f>
        <v>0</v>
      </c>
      <c r="AC6032" s="580">
        <f>HLOOKUP("*"&amp;'Output annual'!$AC$2&amp;'Output annual'!$AD$2&amp;"*FangerPMV(Hourly)",'Eplus results'!$1:$1048576,ROW(),FALSE)</f>
        <v>0</v>
      </c>
      <c r="AD6032" s="580">
        <f t="shared" si="506"/>
        <v>5</v>
      </c>
      <c r="AE6032" s="580">
        <f t="shared" si="507"/>
        <v>2.5</v>
      </c>
      <c r="AF6032" s="580">
        <f t="shared" si="508"/>
        <v>2.5</v>
      </c>
      <c r="AG6032" s="580">
        <f t="shared" si="509"/>
        <v>0</v>
      </c>
      <c r="AH6032" s="580">
        <f t="shared" si="510"/>
        <v>0</v>
      </c>
    </row>
    <row r="6033" spans="28:34">
      <c r="AB6033" s="580">
        <f>HLOOKUP("*"&amp;'Output annual'!$AC$2&amp;'Output annual'!$AD$2&amp;"*Zone People Number Of Occupants [](Hourly)",'Eplus results'!$1:$1048576,ROW(),FALSE)</f>
        <v>0</v>
      </c>
      <c r="AC6033" s="580">
        <f>HLOOKUP("*"&amp;'Output annual'!$AC$2&amp;'Output annual'!$AD$2&amp;"*FangerPMV(Hourly)",'Eplus results'!$1:$1048576,ROW(),FALSE)</f>
        <v>0</v>
      </c>
      <c r="AD6033" s="580">
        <f t="shared" si="506"/>
        <v>5</v>
      </c>
      <c r="AE6033" s="580">
        <f t="shared" si="507"/>
        <v>2.5</v>
      </c>
      <c r="AF6033" s="580">
        <f t="shared" si="508"/>
        <v>2.5</v>
      </c>
      <c r="AG6033" s="580">
        <f t="shared" si="509"/>
        <v>0</v>
      </c>
      <c r="AH6033" s="580">
        <f t="shared" si="510"/>
        <v>0</v>
      </c>
    </row>
    <row r="6034" spans="28:34">
      <c r="AB6034" s="580">
        <f>HLOOKUP("*"&amp;'Output annual'!$AC$2&amp;'Output annual'!$AD$2&amp;"*Zone People Number Of Occupants [](Hourly)",'Eplus results'!$1:$1048576,ROW(),FALSE)</f>
        <v>0</v>
      </c>
      <c r="AC6034" s="580">
        <f>HLOOKUP("*"&amp;'Output annual'!$AC$2&amp;'Output annual'!$AD$2&amp;"*FangerPMV(Hourly)",'Eplus results'!$1:$1048576,ROW(),FALSE)</f>
        <v>0</v>
      </c>
      <c r="AD6034" s="580">
        <f t="shared" si="506"/>
        <v>5</v>
      </c>
      <c r="AE6034" s="580">
        <f t="shared" si="507"/>
        <v>2.5</v>
      </c>
      <c r="AF6034" s="580">
        <f t="shared" si="508"/>
        <v>2.5</v>
      </c>
      <c r="AG6034" s="580">
        <f t="shared" si="509"/>
        <v>0</v>
      </c>
      <c r="AH6034" s="580">
        <f t="shared" si="510"/>
        <v>0</v>
      </c>
    </row>
    <row r="6035" spans="28:34">
      <c r="AB6035" s="580">
        <f>HLOOKUP("*"&amp;'Output annual'!$AC$2&amp;'Output annual'!$AD$2&amp;"*Zone People Number Of Occupants [](Hourly)",'Eplus results'!$1:$1048576,ROW(),FALSE)</f>
        <v>0</v>
      </c>
      <c r="AC6035" s="580">
        <f>HLOOKUP("*"&amp;'Output annual'!$AC$2&amp;'Output annual'!$AD$2&amp;"*FangerPMV(Hourly)",'Eplus results'!$1:$1048576,ROW(),FALSE)</f>
        <v>0</v>
      </c>
      <c r="AD6035" s="580">
        <f t="shared" si="506"/>
        <v>5</v>
      </c>
      <c r="AE6035" s="580">
        <f t="shared" si="507"/>
        <v>2.5</v>
      </c>
      <c r="AF6035" s="580">
        <f t="shared" si="508"/>
        <v>2.5</v>
      </c>
      <c r="AG6035" s="580">
        <f t="shared" si="509"/>
        <v>0</v>
      </c>
      <c r="AH6035" s="580">
        <f t="shared" si="510"/>
        <v>0</v>
      </c>
    </row>
    <row r="6036" spans="28:34">
      <c r="AB6036" s="580">
        <f>HLOOKUP("*"&amp;'Output annual'!$AC$2&amp;'Output annual'!$AD$2&amp;"*Zone People Number Of Occupants [](Hourly)",'Eplus results'!$1:$1048576,ROW(),FALSE)</f>
        <v>0</v>
      </c>
      <c r="AC6036" s="580">
        <f>HLOOKUP("*"&amp;'Output annual'!$AC$2&amp;'Output annual'!$AD$2&amp;"*FangerPMV(Hourly)",'Eplus results'!$1:$1048576,ROW(),FALSE)</f>
        <v>0</v>
      </c>
      <c r="AD6036" s="580">
        <f t="shared" si="506"/>
        <v>5</v>
      </c>
      <c r="AE6036" s="580">
        <f t="shared" si="507"/>
        <v>2.5</v>
      </c>
      <c r="AF6036" s="580">
        <f t="shared" si="508"/>
        <v>2.5</v>
      </c>
      <c r="AG6036" s="580">
        <f t="shared" si="509"/>
        <v>0</v>
      </c>
      <c r="AH6036" s="580">
        <f t="shared" si="510"/>
        <v>0</v>
      </c>
    </row>
    <row r="6037" spans="28:34">
      <c r="AB6037" s="580">
        <f>HLOOKUP("*"&amp;'Output annual'!$AC$2&amp;'Output annual'!$AD$2&amp;"*Zone People Number Of Occupants [](Hourly)",'Eplus results'!$1:$1048576,ROW(),FALSE)</f>
        <v>0</v>
      </c>
      <c r="AC6037" s="580">
        <f>HLOOKUP("*"&amp;'Output annual'!$AC$2&amp;'Output annual'!$AD$2&amp;"*FangerPMV(Hourly)",'Eplus results'!$1:$1048576,ROW(),FALSE)</f>
        <v>0</v>
      </c>
      <c r="AD6037" s="580">
        <f t="shared" si="506"/>
        <v>5</v>
      </c>
      <c r="AE6037" s="580">
        <f t="shared" si="507"/>
        <v>2.5</v>
      </c>
      <c r="AF6037" s="580">
        <f t="shared" si="508"/>
        <v>2.5</v>
      </c>
      <c r="AG6037" s="580">
        <f t="shared" si="509"/>
        <v>0</v>
      </c>
      <c r="AH6037" s="580">
        <f t="shared" si="510"/>
        <v>0</v>
      </c>
    </row>
    <row r="6038" spans="28:34">
      <c r="AB6038" s="580">
        <f>HLOOKUP("*"&amp;'Output annual'!$AC$2&amp;'Output annual'!$AD$2&amp;"*Zone People Number Of Occupants [](Hourly)",'Eplus results'!$1:$1048576,ROW(),FALSE)</f>
        <v>0</v>
      </c>
      <c r="AC6038" s="580">
        <f>HLOOKUP("*"&amp;'Output annual'!$AC$2&amp;'Output annual'!$AD$2&amp;"*FangerPMV(Hourly)",'Eplus results'!$1:$1048576,ROW(),FALSE)</f>
        <v>0</v>
      </c>
      <c r="AD6038" s="580">
        <f t="shared" si="506"/>
        <v>5</v>
      </c>
      <c r="AE6038" s="580">
        <f t="shared" si="507"/>
        <v>2.5</v>
      </c>
      <c r="AF6038" s="580">
        <f t="shared" si="508"/>
        <v>2.5</v>
      </c>
      <c r="AG6038" s="580">
        <f t="shared" si="509"/>
        <v>0</v>
      </c>
      <c r="AH6038" s="580">
        <f t="shared" si="510"/>
        <v>0</v>
      </c>
    </row>
    <row r="6039" spans="28:34">
      <c r="AB6039" s="580">
        <f>HLOOKUP("*"&amp;'Output annual'!$AC$2&amp;'Output annual'!$AD$2&amp;"*Zone People Number Of Occupants [](Hourly)",'Eplus results'!$1:$1048576,ROW(),FALSE)</f>
        <v>0</v>
      </c>
      <c r="AC6039" s="580">
        <f>HLOOKUP("*"&amp;'Output annual'!$AC$2&amp;'Output annual'!$AD$2&amp;"*FangerPMV(Hourly)",'Eplus results'!$1:$1048576,ROW(),FALSE)</f>
        <v>0</v>
      </c>
      <c r="AD6039" s="580">
        <f t="shared" si="506"/>
        <v>5</v>
      </c>
      <c r="AE6039" s="580">
        <f t="shared" si="507"/>
        <v>2.5</v>
      </c>
      <c r="AF6039" s="580">
        <f t="shared" si="508"/>
        <v>2.5</v>
      </c>
      <c r="AG6039" s="580">
        <f t="shared" si="509"/>
        <v>0</v>
      </c>
      <c r="AH6039" s="580">
        <f t="shared" si="510"/>
        <v>0</v>
      </c>
    </row>
    <row r="6040" spans="28:34">
      <c r="AB6040" s="580">
        <f>HLOOKUP("*"&amp;'Output annual'!$AC$2&amp;'Output annual'!$AD$2&amp;"*Zone People Number Of Occupants [](Hourly)",'Eplus results'!$1:$1048576,ROW(),FALSE)</f>
        <v>0</v>
      </c>
      <c r="AC6040" s="580">
        <f>HLOOKUP("*"&amp;'Output annual'!$AC$2&amp;'Output annual'!$AD$2&amp;"*FangerPMV(Hourly)",'Eplus results'!$1:$1048576,ROW(),FALSE)</f>
        <v>0</v>
      </c>
      <c r="AD6040" s="580">
        <f t="shared" si="506"/>
        <v>5</v>
      </c>
      <c r="AE6040" s="580">
        <f t="shared" si="507"/>
        <v>2.5</v>
      </c>
      <c r="AF6040" s="580">
        <f t="shared" si="508"/>
        <v>2.5</v>
      </c>
      <c r="AG6040" s="580">
        <f t="shared" si="509"/>
        <v>0</v>
      </c>
      <c r="AH6040" s="580">
        <f t="shared" si="510"/>
        <v>0</v>
      </c>
    </row>
    <row r="6041" spans="28:34">
      <c r="AB6041" s="580">
        <f>HLOOKUP("*"&amp;'Output annual'!$AC$2&amp;'Output annual'!$AD$2&amp;"*Zone People Number Of Occupants [](Hourly)",'Eplus results'!$1:$1048576,ROW(),FALSE)</f>
        <v>0</v>
      </c>
      <c r="AC6041" s="580">
        <f>HLOOKUP("*"&amp;'Output annual'!$AC$2&amp;'Output annual'!$AD$2&amp;"*FangerPMV(Hourly)",'Eplus results'!$1:$1048576,ROW(),FALSE)</f>
        <v>0</v>
      </c>
      <c r="AD6041" s="580">
        <f t="shared" si="506"/>
        <v>5</v>
      </c>
      <c r="AE6041" s="580">
        <f t="shared" si="507"/>
        <v>2.5</v>
      </c>
      <c r="AF6041" s="580">
        <f t="shared" si="508"/>
        <v>2.5</v>
      </c>
      <c r="AG6041" s="580">
        <f t="shared" si="509"/>
        <v>0</v>
      </c>
      <c r="AH6041" s="580">
        <f t="shared" si="510"/>
        <v>0</v>
      </c>
    </row>
    <row r="6042" spans="28:34">
      <c r="AB6042" s="580">
        <f>HLOOKUP("*"&amp;'Output annual'!$AC$2&amp;'Output annual'!$AD$2&amp;"*Zone People Number Of Occupants [](Hourly)",'Eplus results'!$1:$1048576,ROW(),FALSE)</f>
        <v>0</v>
      </c>
      <c r="AC6042" s="580">
        <f>HLOOKUP("*"&amp;'Output annual'!$AC$2&amp;'Output annual'!$AD$2&amp;"*FangerPMV(Hourly)",'Eplus results'!$1:$1048576,ROW(),FALSE)</f>
        <v>0</v>
      </c>
      <c r="AD6042" s="580">
        <f t="shared" si="506"/>
        <v>5</v>
      </c>
      <c r="AE6042" s="580">
        <f t="shared" si="507"/>
        <v>2.5</v>
      </c>
      <c r="AF6042" s="580">
        <f t="shared" si="508"/>
        <v>2.5</v>
      </c>
      <c r="AG6042" s="580">
        <f t="shared" si="509"/>
        <v>0</v>
      </c>
      <c r="AH6042" s="580">
        <f t="shared" si="510"/>
        <v>0</v>
      </c>
    </row>
    <row r="6043" spans="28:34">
      <c r="AB6043" s="580">
        <f>HLOOKUP("*"&amp;'Output annual'!$AC$2&amp;'Output annual'!$AD$2&amp;"*Zone People Number Of Occupants [](Hourly)",'Eplus results'!$1:$1048576,ROW(),FALSE)</f>
        <v>0</v>
      </c>
      <c r="AC6043" s="580">
        <f>HLOOKUP("*"&amp;'Output annual'!$AC$2&amp;'Output annual'!$AD$2&amp;"*FangerPMV(Hourly)",'Eplus results'!$1:$1048576,ROW(),FALSE)</f>
        <v>0</v>
      </c>
      <c r="AD6043" s="580">
        <f t="shared" si="506"/>
        <v>5</v>
      </c>
      <c r="AE6043" s="580">
        <f t="shared" si="507"/>
        <v>2.5</v>
      </c>
      <c r="AF6043" s="580">
        <f t="shared" si="508"/>
        <v>2.5</v>
      </c>
      <c r="AG6043" s="580">
        <f t="shared" si="509"/>
        <v>0</v>
      </c>
      <c r="AH6043" s="580">
        <f t="shared" si="510"/>
        <v>0</v>
      </c>
    </row>
    <row r="6044" spans="28:34">
      <c r="AB6044" s="580">
        <f>HLOOKUP("*"&amp;'Output annual'!$AC$2&amp;'Output annual'!$AD$2&amp;"*Zone People Number Of Occupants [](Hourly)",'Eplus results'!$1:$1048576,ROW(),FALSE)</f>
        <v>0</v>
      </c>
      <c r="AC6044" s="580">
        <f>HLOOKUP("*"&amp;'Output annual'!$AC$2&amp;'Output annual'!$AD$2&amp;"*FangerPMV(Hourly)",'Eplus results'!$1:$1048576,ROW(),FALSE)</f>
        <v>0</v>
      </c>
      <c r="AD6044" s="580">
        <f t="shared" si="506"/>
        <v>5</v>
      </c>
      <c r="AE6044" s="580">
        <f t="shared" si="507"/>
        <v>2.5</v>
      </c>
      <c r="AF6044" s="580">
        <f t="shared" si="508"/>
        <v>2.5</v>
      </c>
      <c r="AG6044" s="580">
        <f t="shared" si="509"/>
        <v>0</v>
      </c>
      <c r="AH6044" s="580">
        <f t="shared" si="510"/>
        <v>0</v>
      </c>
    </row>
    <row r="6045" spans="28:34">
      <c r="AB6045" s="580">
        <f>HLOOKUP("*"&amp;'Output annual'!$AC$2&amp;'Output annual'!$AD$2&amp;"*Zone People Number Of Occupants [](Hourly)",'Eplus results'!$1:$1048576,ROW(),FALSE)</f>
        <v>0</v>
      </c>
      <c r="AC6045" s="580">
        <f>HLOOKUP("*"&amp;'Output annual'!$AC$2&amp;'Output annual'!$AD$2&amp;"*FangerPMV(Hourly)",'Eplus results'!$1:$1048576,ROW(),FALSE)</f>
        <v>0</v>
      </c>
      <c r="AD6045" s="580">
        <f t="shared" si="506"/>
        <v>5</v>
      </c>
      <c r="AE6045" s="580">
        <f t="shared" si="507"/>
        <v>2.5</v>
      </c>
      <c r="AF6045" s="580">
        <f t="shared" si="508"/>
        <v>2.5</v>
      </c>
      <c r="AG6045" s="580">
        <f t="shared" si="509"/>
        <v>0</v>
      </c>
      <c r="AH6045" s="580">
        <f t="shared" si="510"/>
        <v>0</v>
      </c>
    </row>
    <row r="6046" spans="28:34">
      <c r="AB6046" s="580">
        <f>HLOOKUP("*"&amp;'Output annual'!$AC$2&amp;'Output annual'!$AD$2&amp;"*Zone People Number Of Occupants [](Hourly)",'Eplus results'!$1:$1048576,ROW(),FALSE)</f>
        <v>0</v>
      </c>
      <c r="AC6046" s="580">
        <f>HLOOKUP("*"&amp;'Output annual'!$AC$2&amp;'Output annual'!$AD$2&amp;"*FangerPMV(Hourly)",'Eplus results'!$1:$1048576,ROW(),FALSE)</f>
        <v>0</v>
      </c>
      <c r="AD6046" s="580">
        <f t="shared" si="506"/>
        <v>5</v>
      </c>
      <c r="AE6046" s="580">
        <f t="shared" si="507"/>
        <v>2.5</v>
      </c>
      <c r="AF6046" s="580">
        <f t="shared" si="508"/>
        <v>2.5</v>
      </c>
      <c r="AG6046" s="580">
        <f t="shared" si="509"/>
        <v>0</v>
      </c>
      <c r="AH6046" s="580">
        <f t="shared" si="510"/>
        <v>0</v>
      </c>
    </row>
    <row r="6047" spans="28:34">
      <c r="AB6047" s="580">
        <f>HLOOKUP("*"&amp;'Output annual'!$AC$2&amp;'Output annual'!$AD$2&amp;"*Zone People Number Of Occupants [](Hourly)",'Eplus results'!$1:$1048576,ROW(),FALSE)</f>
        <v>0</v>
      </c>
      <c r="AC6047" s="580">
        <f>HLOOKUP("*"&amp;'Output annual'!$AC$2&amp;'Output annual'!$AD$2&amp;"*FangerPMV(Hourly)",'Eplus results'!$1:$1048576,ROW(),FALSE)</f>
        <v>0</v>
      </c>
      <c r="AD6047" s="580">
        <f t="shared" si="506"/>
        <v>5</v>
      </c>
      <c r="AE6047" s="580">
        <f t="shared" si="507"/>
        <v>2.5</v>
      </c>
      <c r="AF6047" s="580">
        <f t="shared" si="508"/>
        <v>2.5</v>
      </c>
      <c r="AG6047" s="580">
        <f t="shared" si="509"/>
        <v>0</v>
      </c>
      <c r="AH6047" s="580">
        <f t="shared" si="510"/>
        <v>0</v>
      </c>
    </row>
    <row r="6048" spans="28:34">
      <c r="AB6048" s="580">
        <f>HLOOKUP("*"&amp;'Output annual'!$AC$2&amp;'Output annual'!$AD$2&amp;"*Zone People Number Of Occupants [](Hourly)",'Eplus results'!$1:$1048576,ROW(),FALSE)</f>
        <v>0</v>
      </c>
      <c r="AC6048" s="580">
        <f>HLOOKUP("*"&amp;'Output annual'!$AC$2&amp;'Output annual'!$AD$2&amp;"*FangerPMV(Hourly)",'Eplus results'!$1:$1048576,ROW(),FALSE)</f>
        <v>0</v>
      </c>
      <c r="AD6048" s="580">
        <f t="shared" si="506"/>
        <v>5</v>
      </c>
      <c r="AE6048" s="580">
        <f t="shared" si="507"/>
        <v>2.5</v>
      </c>
      <c r="AF6048" s="580">
        <f t="shared" si="508"/>
        <v>2.5</v>
      </c>
      <c r="AG6048" s="580">
        <f t="shared" si="509"/>
        <v>0</v>
      </c>
      <c r="AH6048" s="580">
        <f t="shared" si="510"/>
        <v>0</v>
      </c>
    </row>
    <row r="6049" spans="28:34">
      <c r="AB6049" s="580">
        <f>HLOOKUP("*"&amp;'Output annual'!$AC$2&amp;'Output annual'!$AD$2&amp;"*Zone People Number Of Occupants [](Hourly)",'Eplus results'!$1:$1048576,ROW(),FALSE)</f>
        <v>0</v>
      </c>
      <c r="AC6049" s="580">
        <f>HLOOKUP("*"&amp;'Output annual'!$AC$2&amp;'Output annual'!$AD$2&amp;"*FangerPMV(Hourly)",'Eplus results'!$1:$1048576,ROW(),FALSE)</f>
        <v>0</v>
      </c>
      <c r="AD6049" s="580">
        <f t="shared" si="506"/>
        <v>5</v>
      </c>
      <c r="AE6049" s="580">
        <f t="shared" si="507"/>
        <v>2.5</v>
      </c>
      <c r="AF6049" s="580">
        <f t="shared" si="508"/>
        <v>2.5</v>
      </c>
      <c r="AG6049" s="580">
        <f t="shared" si="509"/>
        <v>0</v>
      </c>
      <c r="AH6049" s="580">
        <f t="shared" si="510"/>
        <v>0</v>
      </c>
    </row>
    <row r="6050" spans="28:34">
      <c r="AB6050" s="580">
        <f>HLOOKUP("*"&amp;'Output annual'!$AC$2&amp;'Output annual'!$AD$2&amp;"*Zone People Number Of Occupants [](Hourly)",'Eplus results'!$1:$1048576,ROW(),FALSE)</f>
        <v>0</v>
      </c>
      <c r="AC6050" s="580">
        <f>HLOOKUP("*"&amp;'Output annual'!$AC$2&amp;'Output annual'!$AD$2&amp;"*FangerPMV(Hourly)",'Eplus results'!$1:$1048576,ROW(),FALSE)</f>
        <v>0</v>
      </c>
      <c r="AD6050" s="580">
        <f t="shared" si="506"/>
        <v>5</v>
      </c>
      <c r="AE6050" s="580">
        <f t="shared" si="507"/>
        <v>2.5</v>
      </c>
      <c r="AF6050" s="580">
        <f t="shared" si="508"/>
        <v>2.5</v>
      </c>
      <c r="AG6050" s="580">
        <f t="shared" si="509"/>
        <v>0</v>
      </c>
      <c r="AH6050" s="580">
        <f t="shared" si="510"/>
        <v>0</v>
      </c>
    </row>
    <row r="6051" spans="28:34">
      <c r="AB6051" s="580">
        <f>HLOOKUP("*"&amp;'Output annual'!$AC$2&amp;'Output annual'!$AD$2&amp;"*Zone People Number Of Occupants [](Hourly)",'Eplus results'!$1:$1048576,ROW(),FALSE)</f>
        <v>0</v>
      </c>
      <c r="AC6051" s="580">
        <f>HLOOKUP("*"&amp;'Output annual'!$AC$2&amp;'Output annual'!$AD$2&amp;"*FangerPMV(Hourly)",'Eplus results'!$1:$1048576,ROW(),FALSE)</f>
        <v>0</v>
      </c>
      <c r="AD6051" s="580">
        <f t="shared" si="506"/>
        <v>5</v>
      </c>
      <c r="AE6051" s="580">
        <f t="shared" si="507"/>
        <v>2.5</v>
      </c>
      <c r="AF6051" s="580">
        <f t="shared" si="508"/>
        <v>2.5</v>
      </c>
      <c r="AG6051" s="580">
        <f t="shared" si="509"/>
        <v>0</v>
      </c>
      <c r="AH6051" s="580">
        <f t="shared" si="510"/>
        <v>0</v>
      </c>
    </row>
    <row r="6052" spans="28:34">
      <c r="AB6052" s="580">
        <f>HLOOKUP("*"&amp;'Output annual'!$AC$2&amp;'Output annual'!$AD$2&amp;"*Zone People Number Of Occupants [](Hourly)",'Eplus results'!$1:$1048576,ROW(),FALSE)</f>
        <v>0</v>
      </c>
      <c r="AC6052" s="580">
        <f>HLOOKUP("*"&amp;'Output annual'!$AC$2&amp;'Output annual'!$AD$2&amp;"*FangerPMV(Hourly)",'Eplus results'!$1:$1048576,ROW(),FALSE)</f>
        <v>0</v>
      </c>
      <c r="AD6052" s="580">
        <f t="shared" si="506"/>
        <v>5</v>
      </c>
      <c r="AE6052" s="580">
        <f t="shared" si="507"/>
        <v>2.5</v>
      </c>
      <c r="AF6052" s="580">
        <f t="shared" si="508"/>
        <v>2.5</v>
      </c>
      <c r="AG6052" s="580">
        <f t="shared" si="509"/>
        <v>0</v>
      </c>
      <c r="AH6052" s="580">
        <f t="shared" si="510"/>
        <v>0</v>
      </c>
    </row>
    <row r="6053" spans="28:34">
      <c r="AB6053" s="580">
        <f>HLOOKUP("*"&amp;'Output annual'!$AC$2&amp;'Output annual'!$AD$2&amp;"*Zone People Number Of Occupants [](Hourly)",'Eplus results'!$1:$1048576,ROW(),FALSE)</f>
        <v>0</v>
      </c>
      <c r="AC6053" s="580">
        <f>HLOOKUP("*"&amp;'Output annual'!$AC$2&amp;'Output annual'!$AD$2&amp;"*FangerPMV(Hourly)",'Eplus results'!$1:$1048576,ROW(),FALSE)</f>
        <v>0</v>
      </c>
      <c r="AD6053" s="580">
        <f t="shared" si="506"/>
        <v>5</v>
      </c>
      <c r="AE6053" s="580">
        <f t="shared" si="507"/>
        <v>2.5</v>
      </c>
      <c r="AF6053" s="580">
        <f t="shared" si="508"/>
        <v>2.5</v>
      </c>
      <c r="AG6053" s="580">
        <f t="shared" si="509"/>
        <v>0</v>
      </c>
      <c r="AH6053" s="580">
        <f t="shared" si="510"/>
        <v>0</v>
      </c>
    </row>
    <row r="6054" spans="28:34">
      <c r="AB6054" s="580">
        <f>HLOOKUP("*"&amp;'Output annual'!$AC$2&amp;'Output annual'!$AD$2&amp;"*Zone People Number Of Occupants [](Hourly)",'Eplus results'!$1:$1048576,ROW(),FALSE)</f>
        <v>0</v>
      </c>
      <c r="AC6054" s="580">
        <f>HLOOKUP("*"&amp;'Output annual'!$AC$2&amp;'Output annual'!$AD$2&amp;"*FangerPMV(Hourly)",'Eplus results'!$1:$1048576,ROW(),FALSE)</f>
        <v>0</v>
      </c>
      <c r="AD6054" s="580">
        <f t="shared" si="506"/>
        <v>5</v>
      </c>
      <c r="AE6054" s="580">
        <f t="shared" si="507"/>
        <v>2.5</v>
      </c>
      <c r="AF6054" s="580">
        <f t="shared" si="508"/>
        <v>2.5</v>
      </c>
      <c r="AG6054" s="580">
        <f t="shared" si="509"/>
        <v>0</v>
      </c>
      <c r="AH6054" s="580">
        <f t="shared" si="510"/>
        <v>0</v>
      </c>
    </row>
    <row r="6055" spans="28:34">
      <c r="AB6055" s="580">
        <f>HLOOKUP("*"&amp;'Output annual'!$AC$2&amp;'Output annual'!$AD$2&amp;"*Zone People Number Of Occupants [](Hourly)",'Eplus results'!$1:$1048576,ROW(),FALSE)</f>
        <v>0</v>
      </c>
      <c r="AC6055" s="580">
        <f>HLOOKUP("*"&amp;'Output annual'!$AC$2&amp;'Output annual'!$AD$2&amp;"*FangerPMV(Hourly)",'Eplus results'!$1:$1048576,ROW(),FALSE)</f>
        <v>0</v>
      </c>
      <c r="AD6055" s="580">
        <f t="shared" si="506"/>
        <v>5</v>
      </c>
      <c r="AE6055" s="580">
        <f t="shared" si="507"/>
        <v>2.5</v>
      </c>
      <c r="AF6055" s="580">
        <f t="shared" si="508"/>
        <v>2.5</v>
      </c>
      <c r="AG6055" s="580">
        <f t="shared" si="509"/>
        <v>0</v>
      </c>
      <c r="AH6055" s="580">
        <f t="shared" si="510"/>
        <v>0</v>
      </c>
    </row>
    <row r="6056" spans="28:34">
      <c r="AB6056" s="580">
        <f>HLOOKUP("*"&amp;'Output annual'!$AC$2&amp;'Output annual'!$AD$2&amp;"*Zone People Number Of Occupants [](Hourly)",'Eplus results'!$1:$1048576,ROW(),FALSE)</f>
        <v>0</v>
      </c>
      <c r="AC6056" s="580">
        <f>HLOOKUP("*"&amp;'Output annual'!$AC$2&amp;'Output annual'!$AD$2&amp;"*FangerPMV(Hourly)",'Eplus results'!$1:$1048576,ROW(),FALSE)</f>
        <v>0</v>
      </c>
      <c r="AD6056" s="580">
        <f t="shared" si="506"/>
        <v>5</v>
      </c>
      <c r="AE6056" s="580">
        <f t="shared" si="507"/>
        <v>2.5</v>
      </c>
      <c r="AF6056" s="580">
        <f t="shared" si="508"/>
        <v>2.5</v>
      </c>
      <c r="AG6056" s="580">
        <f t="shared" si="509"/>
        <v>0</v>
      </c>
      <c r="AH6056" s="580">
        <f t="shared" si="510"/>
        <v>0</v>
      </c>
    </row>
    <row r="6057" spans="28:34">
      <c r="AB6057" s="580">
        <f>HLOOKUP("*"&amp;'Output annual'!$AC$2&amp;'Output annual'!$AD$2&amp;"*Zone People Number Of Occupants [](Hourly)",'Eplus results'!$1:$1048576,ROW(),FALSE)</f>
        <v>0</v>
      </c>
      <c r="AC6057" s="580">
        <f>HLOOKUP("*"&amp;'Output annual'!$AC$2&amp;'Output annual'!$AD$2&amp;"*FangerPMV(Hourly)",'Eplus results'!$1:$1048576,ROW(),FALSE)</f>
        <v>0</v>
      </c>
      <c r="AD6057" s="580">
        <f t="shared" si="506"/>
        <v>5</v>
      </c>
      <c r="AE6057" s="580">
        <f t="shared" si="507"/>
        <v>2.5</v>
      </c>
      <c r="AF6057" s="580">
        <f t="shared" si="508"/>
        <v>2.5</v>
      </c>
      <c r="AG6057" s="580">
        <f t="shared" si="509"/>
        <v>0</v>
      </c>
      <c r="AH6057" s="580">
        <f t="shared" si="510"/>
        <v>0</v>
      </c>
    </row>
    <row r="6058" spans="28:34">
      <c r="AB6058" s="580">
        <f>HLOOKUP("*"&amp;'Output annual'!$AC$2&amp;'Output annual'!$AD$2&amp;"*Zone People Number Of Occupants [](Hourly)",'Eplus results'!$1:$1048576,ROW(),FALSE)</f>
        <v>0</v>
      </c>
      <c r="AC6058" s="580">
        <f>HLOOKUP("*"&amp;'Output annual'!$AC$2&amp;'Output annual'!$AD$2&amp;"*FangerPMV(Hourly)",'Eplus results'!$1:$1048576,ROW(),FALSE)</f>
        <v>0</v>
      </c>
      <c r="AD6058" s="580">
        <f t="shared" si="506"/>
        <v>5</v>
      </c>
      <c r="AE6058" s="580">
        <f t="shared" si="507"/>
        <v>2.5</v>
      </c>
      <c r="AF6058" s="580">
        <f t="shared" si="508"/>
        <v>2.5</v>
      </c>
      <c r="AG6058" s="580">
        <f t="shared" si="509"/>
        <v>0</v>
      </c>
      <c r="AH6058" s="580">
        <f t="shared" si="510"/>
        <v>0</v>
      </c>
    </row>
    <row r="6059" spans="28:34">
      <c r="AB6059" s="580">
        <f>HLOOKUP("*"&amp;'Output annual'!$AC$2&amp;'Output annual'!$AD$2&amp;"*Zone People Number Of Occupants [](Hourly)",'Eplus results'!$1:$1048576,ROW(),FALSE)</f>
        <v>0</v>
      </c>
      <c r="AC6059" s="580">
        <f>HLOOKUP("*"&amp;'Output annual'!$AC$2&amp;'Output annual'!$AD$2&amp;"*FangerPMV(Hourly)",'Eplus results'!$1:$1048576,ROW(),FALSE)</f>
        <v>0</v>
      </c>
      <c r="AD6059" s="580">
        <f t="shared" si="506"/>
        <v>5</v>
      </c>
      <c r="AE6059" s="580">
        <f t="shared" si="507"/>
        <v>2.5</v>
      </c>
      <c r="AF6059" s="580">
        <f t="shared" si="508"/>
        <v>2.5</v>
      </c>
      <c r="AG6059" s="580">
        <f t="shared" si="509"/>
        <v>0</v>
      </c>
      <c r="AH6059" s="580">
        <f t="shared" si="510"/>
        <v>0</v>
      </c>
    </row>
    <row r="6060" spans="28:34">
      <c r="AB6060" s="580">
        <f>HLOOKUP("*"&amp;'Output annual'!$AC$2&amp;'Output annual'!$AD$2&amp;"*Zone People Number Of Occupants [](Hourly)",'Eplus results'!$1:$1048576,ROW(),FALSE)</f>
        <v>0</v>
      </c>
      <c r="AC6060" s="580">
        <f>HLOOKUP("*"&amp;'Output annual'!$AC$2&amp;'Output annual'!$AD$2&amp;"*FangerPMV(Hourly)",'Eplus results'!$1:$1048576,ROW(),FALSE)</f>
        <v>0</v>
      </c>
      <c r="AD6060" s="580">
        <f t="shared" si="506"/>
        <v>5</v>
      </c>
      <c r="AE6060" s="580">
        <f t="shared" si="507"/>
        <v>2.5</v>
      </c>
      <c r="AF6060" s="580">
        <f t="shared" si="508"/>
        <v>2.5</v>
      </c>
      <c r="AG6060" s="580">
        <f t="shared" si="509"/>
        <v>0</v>
      </c>
      <c r="AH6060" s="580">
        <f t="shared" si="510"/>
        <v>0</v>
      </c>
    </row>
    <row r="6061" spans="28:34">
      <c r="AB6061" s="580">
        <f>HLOOKUP("*"&amp;'Output annual'!$AC$2&amp;'Output annual'!$AD$2&amp;"*Zone People Number Of Occupants [](Hourly)",'Eplus results'!$1:$1048576,ROW(),FALSE)</f>
        <v>0</v>
      </c>
      <c r="AC6061" s="580">
        <f>HLOOKUP("*"&amp;'Output annual'!$AC$2&amp;'Output annual'!$AD$2&amp;"*FangerPMV(Hourly)",'Eplus results'!$1:$1048576,ROW(),FALSE)</f>
        <v>0</v>
      </c>
      <c r="AD6061" s="580">
        <f t="shared" si="506"/>
        <v>5</v>
      </c>
      <c r="AE6061" s="580">
        <f t="shared" si="507"/>
        <v>2.5</v>
      </c>
      <c r="AF6061" s="580">
        <f t="shared" si="508"/>
        <v>2.5</v>
      </c>
      <c r="AG6061" s="580">
        <f t="shared" si="509"/>
        <v>0</v>
      </c>
      <c r="AH6061" s="580">
        <f t="shared" si="510"/>
        <v>0</v>
      </c>
    </row>
    <row r="6062" spans="28:34">
      <c r="AB6062" s="580">
        <f>HLOOKUP("*"&amp;'Output annual'!$AC$2&amp;'Output annual'!$AD$2&amp;"*Zone People Number Of Occupants [](Hourly)",'Eplus results'!$1:$1048576,ROW(),FALSE)</f>
        <v>0</v>
      </c>
      <c r="AC6062" s="580">
        <f>HLOOKUP("*"&amp;'Output annual'!$AC$2&amp;'Output annual'!$AD$2&amp;"*FangerPMV(Hourly)",'Eplus results'!$1:$1048576,ROW(),FALSE)</f>
        <v>0</v>
      </c>
      <c r="AD6062" s="580">
        <f t="shared" si="506"/>
        <v>5</v>
      </c>
      <c r="AE6062" s="580">
        <f t="shared" si="507"/>
        <v>2.5</v>
      </c>
      <c r="AF6062" s="580">
        <f t="shared" si="508"/>
        <v>2.5</v>
      </c>
      <c r="AG6062" s="580">
        <f t="shared" si="509"/>
        <v>0</v>
      </c>
      <c r="AH6062" s="580">
        <f t="shared" si="510"/>
        <v>0</v>
      </c>
    </row>
    <row r="6063" spans="28:34">
      <c r="AB6063" s="580">
        <f>HLOOKUP("*"&amp;'Output annual'!$AC$2&amp;'Output annual'!$AD$2&amp;"*Zone People Number Of Occupants [](Hourly)",'Eplus results'!$1:$1048576,ROW(),FALSE)</f>
        <v>0</v>
      </c>
      <c r="AC6063" s="580">
        <f>HLOOKUP("*"&amp;'Output annual'!$AC$2&amp;'Output annual'!$AD$2&amp;"*FangerPMV(Hourly)",'Eplus results'!$1:$1048576,ROW(),FALSE)</f>
        <v>0</v>
      </c>
      <c r="AD6063" s="580">
        <f t="shared" si="506"/>
        <v>5</v>
      </c>
      <c r="AE6063" s="580">
        <f t="shared" si="507"/>
        <v>2.5</v>
      </c>
      <c r="AF6063" s="580">
        <f t="shared" si="508"/>
        <v>2.5</v>
      </c>
      <c r="AG6063" s="580">
        <f t="shared" si="509"/>
        <v>0</v>
      </c>
      <c r="AH6063" s="580">
        <f t="shared" si="510"/>
        <v>0</v>
      </c>
    </row>
    <row r="6064" spans="28:34">
      <c r="AB6064" s="580">
        <f>HLOOKUP("*"&amp;'Output annual'!$AC$2&amp;'Output annual'!$AD$2&amp;"*Zone People Number Of Occupants [](Hourly)",'Eplus results'!$1:$1048576,ROW(),FALSE)</f>
        <v>0</v>
      </c>
      <c r="AC6064" s="580">
        <f>HLOOKUP("*"&amp;'Output annual'!$AC$2&amp;'Output annual'!$AD$2&amp;"*FangerPMV(Hourly)",'Eplus results'!$1:$1048576,ROW(),FALSE)</f>
        <v>0</v>
      </c>
      <c r="AD6064" s="580">
        <f t="shared" si="506"/>
        <v>5</v>
      </c>
      <c r="AE6064" s="580">
        <f t="shared" si="507"/>
        <v>2.5</v>
      </c>
      <c r="AF6064" s="580">
        <f t="shared" si="508"/>
        <v>2.5</v>
      </c>
      <c r="AG6064" s="580">
        <f t="shared" si="509"/>
        <v>0</v>
      </c>
      <c r="AH6064" s="580">
        <f t="shared" si="510"/>
        <v>0</v>
      </c>
    </row>
    <row r="6065" spans="28:34">
      <c r="AB6065" s="580">
        <f>HLOOKUP("*"&amp;'Output annual'!$AC$2&amp;'Output annual'!$AD$2&amp;"*Zone People Number Of Occupants [](Hourly)",'Eplus results'!$1:$1048576,ROW(),FALSE)</f>
        <v>0</v>
      </c>
      <c r="AC6065" s="580">
        <f>HLOOKUP("*"&amp;'Output annual'!$AC$2&amp;'Output annual'!$AD$2&amp;"*FangerPMV(Hourly)",'Eplus results'!$1:$1048576,ROW(),FALSE)</f>
        <v>0</v>
      </c>
      <c r="AD6065" s="580">
        <f t="shared" si="506"/>
        <v>5</v>
      </c>
      <c r="AE6065" s="580">
        <f t="shared" si="507"/>
        <v>2.5</v>
      </c>
      <c r="AF6065" s="580">
        <f t="shared" si="508"/>
        <v>2.5</v>
      </c>
      <c r="AG6065" s="580">
        <f t="shared" si="509"/>
        <v>0</v>
      </c>
      <c r="AH6065" s="580">
        <f t="shared" si="510"/>
        <v>0</v>
      </c>
    </row>
    <row r="6066" spans="28:34">
      <c r="AB6066" s="580">
        <f>HLOOKUP("*"&amp;'Output annual'!$AC$2&amp;'Output annual'!$AD$2&amp;"*Zone People Number Of Occupants [](Hourly)",'Eplus results'!$1:$1048576,ROW(),FALSE)</f>
        <v>0</v>
      </c>
      <c r="AC6066" s="580">
        <f>HLOOKUP("*"&amp;'Output annual'!$AC$2&amp;'Output annual'!$AD$2&amp;"*FangerPMV(Hourly)",'Eplus results'!$1:$1048576,ROW(),FALSE)</f>
        <v>0</v>
      </c>
      <c r="AD6066" s="580">
        <f t="shared" si="506"/>
        <v>5</v>
      </c>
      <c r="AE6066" s="580">
        <f t="shared" si="507"/>
        <v>2.5</v>
      </c>
      <c r="AF6066" s="580">
        <f t="shared" si="508"/>
        <v>2.5</v>
      </c>
      <c r="AG6066" s="580">
        <f t="shared" si="509"/>
        <v>0</v>
      </c>
      <c r="AH6066" s="580">
        <f t="shared" si="510"/>
        <v>0</v>
      </c>
    </row>
    <row r="6067" spans="28:34">
      <c r="AB6067" s="580">
        <f>HLOOKUP("*"&amp;'Output annual'!$AC$2&amp;'Output annual'!$AD$2&amp;"*Zone People Number Of Occupants [](Hourly)",'Eplus results'!$1:$1048576,ROW(),FALSE)</f>
        <v>0</v>
      </c>
      <c r="AC6067" s="580">
        <f>HLOOKUP("*"&amp;'Output annual'!$AC$2&amp;'Output annual'!$AD$2&amp;"*FangerPMV(Hourly)",'Eplus results'!$1:$1048576,ROW(),FALSE)</f>
        <v>0</v>
      </c>
      <c r="AD6067" s="580">
        <f t="shared" si="506"/>
        <v>5</v>
      </c>
      <c r="AE6067" s="580">
        <f t="shared" si="507"/>
        <v>2.5</v>
      </c>
      <c r="AF6067" s="580">
        <f t="shared" si="508"/>
        <v>2.5</v>
      </c>
      <c r="AG6067" s="580">
        <f t="shared" si="509"/>
        <v>0</v>
      </c>
      <c r="AH6067" s="580">
        <f t="shared" si="510"/>
        <v>0</v>
      </c>
    </row>
    <row r="6068" spans="28:34">
      <c r="AB6068" s="580">
        <f>HLOOKUP("*"&amp;'Output annual'!$AC$2&amp;'Output annual'!$AD$2&amp;"*Zone People Number Of Occupants [](Hourly)",'Eplus results'!$1:$1048576,ROW(),FALSE)</f>
        <v>0</v>
      </c>
      <c r="AC6068" s="580">
        <f>HLOOKUP("*"&amp;'Output annual'!$AC$2&amp;'Output annual'!$AD$2&amp;"*FangerPMV(Hourly)",'Eplus results'!$1:$1048576,ROW(),FALSE)</f>
        <v>0</v>
      </c>
      <c r="AD6068" s="580">
        <f t="shared" si="506"/>
        <v>5</v>
      </c>
      <c r="AE6068" s="580">
        <f t="shared" si="507"/>
        <v>2.5</v>
      </c>
      <c r="AF6068" s="580">
        <f t="shared" si="508"/>
        <v>2.5</v>
      </c>
      <c r="AG6068" s="580">
        <f t="shared" si="509"/>
        <v>0</v>
      </c>
      <c r="AH6068" s="580">
        <f t="shared" si="510"/>
        <v>0</v>
      </c>
    </row>
    <row r="6069" spans="28:34">
      <c r="AB6069" s="580">
        <f>HLOOKUP("*"&amp;'Output annual'!$AC$2&amp;'Output annual'!$AD$2&amp;"*Zone People Number Of Occupants [](Hourly)",'Eplus results'!$1:$1048576,ROW(),FALSE)</f>
        <v>0</v>
      </c>
      <c r="AC6069" s="580">
        <f>HLOOKUP("*"&amp;'Output annual'!$AC$2&amp;'Output annual'!$AD$2&amp;"*FangerPMV(Hourly)",'Eplus results'!$1:$1048576,ROW(),FALSE)</f>
        <v>0</v>
      </c>
      <c r="AD6069" s="580">
        <f t="shared" si="506"/>
        <v>5</v>
      </c>
      <c r="AE6069" s="580">
        <f t="shared" si="507"/>
        <v>2.5</v>
      </c>
      <c r="AF6069" s="580">
        <f t="shared" si="508"/>
        <v>2.5</v>
      </c>
      <c r="AG6069" s="580">
        <f t="shared" si="509"/>
        <v>0</v>
      </c>
      <c r="AH6069" s="580">
        <f t="shared" si="510"/>
        <v>0</v>
      </c>
    </row>
    <row r="6070" spans="28:34">
      <c r="AB6070" s="580">
        <f>HLOOKUP("*"&amp;'Output annual'!$AC$2&amp;'Output annual'!$AD$2&amp;"*Zone People Number Of Occupants [](Hourly)",'Eplus results'!$1:$1048576,ROW(),FALSE)</f>
        <v>0</v>
      </c>
      <c r="AC6070" s="580">
        <f>HLOOKUP("*"&amp;'Output annual'!$AC$2&amp;'Output annual'!$AD$2&amp;"*FangerPMV(Hourly)",'Eplus results'!$1:$1048576,ROW(),FALSE)</f>
        <v>0</v>
      </c>
      <c r="AD6070" s="580">
        <f t="shared" si="506"/>
        <v>5</v>
      </c>
      <c r="AE6070" s="580">
        <f t="shared" si="507"/>
        <v>2.5</v>
      </c>
      <c r="AF6070" s="580">
        <f t="shared" si="508"/>
        <v>2.5</v>
      </c>
      <c r="AG6070" s="580">
        <f t="shared" si="509"/>
        <v>0</v>
      </c>
      <c r="AH6070" s="580">
        <f t="shared" si="510"/>
        <v>0</v>
      </c>
    </row>
    <row r="6071" spans="28:34">
      <c r="AB6071" s="580">
        <f>HLOOKUP("*"&amp;'Output annual'!$AC$2&amp;'Output annual'!$AD$2&amp;"*Zone People Number Of Occupants [](Hourly)",'Eplus results'!$1:$1048576,ROW(),FALSE)</f>
        <v>0</v>
      </c>
      <c r="AC6071" s="580">
        <f>HLOOKUP("*"&amp;'Output annual'!$AC$2&amp;'Output annual'!$AD$2&amp;"*FangerPMV(Hourly)",'Eplus results'!$1:$1048576,ROW(),FALSE)</f>
        <v>0</v>
      </c>
      <c r="AD6071" s="580">
        <f t="shared" si="506"/>
        <v>5</v>
      </c>
      <c r="AE6071" s="580">
        <f t="shared" si="507"/>
        <v>2.5</v>
      </c>
      <c r="AF6071" s="580">
        <f t="shared" si="508"/>
        <v>2.5</v>
      </c>
      <c r="AG6071" s="580">
        <f t="shared" si="509"/>
        <v>0</v>
      </c>
      <c r="AH6071" s="580">
        <f t="shared" si="510"/>
        <v>0</v>
      </c>
    </row>
    <row r="6072" spans="28:34">
      <c r="AB6072" s="580">
        <f>HLOOKUP("*"&amp;'Output annual'!$AC$2&amp;'Output annual'!$AD$2&amp;"*Zone People Number Of Occupants [](Hourly)",'Eplus results'!$1:$1048576,ROW(),FALSE)</f>
        <v>0</v>
      </c>
      <c r="AC6072" s="580">
        <f>HLOOKUP("*"&amp;'Output annual'!$AC$2&amp;'Output annual'!$AD$2&amp;"*FangerPMV(Hourly)",'Eplus results'!$1:$1048576,ROW(),FALSE)</f>
        <v>0</v>
      </c>
      <c r="AD6072" s="580">
        <f t="shared" si="506"/>
        <v>5</v>
      </c>
      <c r="AE6072" s="580">
        <f t="shared" si="507"/>
        <v>2.5</v>
      </c>
      <c r="AF6072" s="580">
        <f t="shared" si="508"/>
        <v>2.5</v>
      </c>
      <c r="AG6072" s="580">
        <f t="shared" si="509"/>
        <v>0</v>
      </c>
      <c r="AH6072" s="580">
        <f t="shared" si="510"/>
        <v>0</v>
      </c>
    </row>
    <row r="6073" spans="28:34">
      <c r="AB6073" s="580">
        <f>HLOOKUP("*"&amp;'Output annual'!$AC$2&amp;'Output annual'!$AD$2&amp;"*Zone People Number Of Occupants [](Hourly)",'Eplus results'!$1:$1048576,ROW(),FALSE)</f>
        <v>0</v>
      </c>
      <c r="AC6073" s="580">
        <f>HLOOKUP("*"&amp;'Output annual'!$AC$2&amp;'Output annual'!$AD$2&amp;"*FangerPMV(Hourly)",'Eplus results'!$1:$1048576,ROW(),FALSE)</f>
        <v>0</v>
      </c>
      <c r="AD6073" s="580">
        <f t="shared" si="506"/>
        <v>5</v>
      </c>
      <c r="AE6073" s="580">
        <f t="shared" si="507"/>
        <v>2.5</v>
      </c>
      <c r="AF6073" s="580">
        <f t="shared" si="508"/>
        <v>2.5</v>
      </c>
      <c r="AG6073" s="580">
        <f t="shared" si="509"/>
        <v>0</v>
      </c>
      <c r="AH6073" s="580">
        <f t="shared" si="510"/>
        <v>0</v>
      </c>
    </row>
    <row r="6074" spans="28:34">
      <c r="AB6074" s="580">
        <f>HLOOKUP("*"&amp;'Output annual'!$AC$2&amp;'Output annual'!$AD$2&amp;"*Zone People Number Of Occupants [](Hourly)",'Eplus results'!$1:$1048576,ROW(),FALSE)</f>
        <v>0</v>
      </c>
      <c r="AC6074" s="580">
        <f>HLOOKUP("*"&amp;'Output annual'!$AC$2&amp;'Output annual'!$AD$2&amp;"*FangerPMV(Hourly)",'Eplus results'!$1:$1048576,ROW(),FALSE)</f>
        <v>0</v>
      </c>
      <c r="AD6074" s="580">
        <f t="shared" si="506"/>
        <v>5</v>
      </c>
      <c r="AE6074" s="580">
        <f t="shared" si="507"/>
        <v>2.5</v>
      </c>
      <c r="AF6074" s="580">
        <f t="shared" si="508"/>
        <v>2.5</v>
      </c>
      <c r="AG6074" s="580">
        <f t="shared" si="509"/>
        <v>0</v>
      </c>
      <c r="AH6074" s="580">
        <f t="shared" si="510"/>
        <v>0</v>
      </c>
    </row>
    <row r="6075" spans="28:34">
      <c r="AB6075" s="580">
        <f>HLOOKUP("*"&amp;'Output annual'!$AC$2&amp;'Output annual'!$AD$2&amp;"*Zone People Number Of Occupants [](Hourly)",'Eplus results'!$1:$1048576,ROW(),FALSE)</f>
        <v>0</v>
      </c>
      <c r="AC6075" s="580">
        <f>HLOOKUP("*"&amp;'Output annual'!$AC$2&amp;'Output annual'!$AD$2&amp;"*FangerPMV(Hourly)",'Eplus results'!$1:$1048576,ROW(),FALSE)</f>
        <v>0</v>
      </c>
      <c r="AD6075" s="580">
        <f t="shared" si="506"/>
        <v>5</v>
      </c>
      <c r="AE6075" s="580">
        <f t="shared" si="507"/>
        <v>2.5</v>
      </c>
      <c r="AF6075" s="580">
        <f t="shared" si="508"/>
        <v>2.5</v>
      </c>
      <c r="AG6075" s="580">
        <f t="shared" si="509"/>
        <v>0</v>
      </c>
      <c r="AH6075" s="580">
        <f t="shared" si="510"/>
        <v>0</v>
      </c>
    </row>
    <row r="6076" spans="28:34">
      <c r="AB6076" s="580">
        <f>HLOOKUP("*"&amp;'Output annual'!$AC$2&amp;'Output annual'!$AD$2&amp;"*Zone People Number Of Occupants [](Hourly)",'Eplus results'!$1:$1048576,ROW(),FALSE)</f>
        <v>0</v>
      </c>
      <c r="AC6076" s="580">
        <f>HLOOKUP("*"&amp;'Output annual'!$AC$2&amp;'Output annual'!$AD$2&amp;"*FangerPMV(Hourly)",'Eplus results'!$1:$1048576,ROW(),FALSE)</f>
        <v>0</v>
      </c>
      <c r="AD6076" s="580">
        <f t="shared" si="506"/>
        <v>5</v>
      </c>
      <c r="AE6076" s="580">
        <f t="shared" si="507"/>
        <v>2.5</v>
      </c>
      <c r="AF6076" s="580">
        <f t="shared" si="508"/>
        <v>2.5</v>
      </c>
      <c r="AG6076" s="580">
        <f t="shared" si="509"/>
        <v>0</v>
      </c>
      <c r="AH6076" s="580">
        <f t="shared" si="510"/>
        <v>0</v>
      </c>
    </row>
    <row r="6077" spans="28:34">
      <c r="AB6077" s="580">
        <f>HLOOKUP("*"&amp;'Output annual'!$AC$2&amp;'Output annual'!$AD$2&amp;"*Zone People Number Of Occupants [](Hourly)",'Eplus results'!$1:$1048576,ROW(),FALSE)</f>
        <v>0</v>
      </c>
      <c r="AC6077" s="580">
        <f>HLOOKUP("*"&amp;'Output annual'!$AC$2&amp;'Output annual'!$AD$2&amp;"*FangerPMV(Hourly)",'Eplus results'!$1:$1048576,ROW(),FALSE)</f>
        <v>0</v>
      </c>
      <c r="AD6077" s="580">
        <f t="shared" si="506"/>
        <v>5</v>
      </c>
      <c r="AE6077" s="580">
        <f t="shared" si="507"/>
        <v>2.5</v>
      </c>
      <c r="AF6077" s="580">
        <f t="shared" si="508"/>
        <v>2.5</v>
      </c>
      <c r="AG6077" s="580">
        <f t="shared" si="509"/>
        <v>0</v>
      </c>
      <c r="AH6077" s="580">
        <f t="shared" si="510"/>
        <v>0</v>
      </c>
    </row>
    <row r="6078" spans="28:34">
      <c r="AB6078" s="580">
        <f>HLOOKUP("*"&amp;'Output annual'!$AC$2&amp;'Output annual'!$AD$2&amp;"*Zone People Number Of Occupants [](Hourly)",'Eplus results'!$1:$1048576,ROW(),FALSE)</f>
        <v>0</v>
      </c>
      <c r="AC6078" s="580">
        <f>HLOOKUP("*"&amp;'Output annual'!$AC$2&amp;'Output annual'!$AD$2&amp;"*FangerPMV(Hourly)",'Eplus results'!$1:$1048576,ROW(),FALSE)</f>
        <v>0</v>
      </c>
      <c r="AD6078" s="580">
        <f t="shared" si="506"/>
        <v>5</v>
      </c>
      <c r="AE6078" s="580">
        <f t="shared" si="507"/>
        <v>2.5</v>
      </c>
      <c r="AF6078" s="580">
        <f t="shared" si="508"/>
        <v>2.5</v>
      </c>
      <c r="AG6078" s="580">
        <f t="shared" si="509"/>
        <v>0</v>
      </c>
      <c r="AH6078" s="580">
        <f t="shared" si="510"/>
        <v>0</v>
      </c>
    </row>
    <row r="6079" spans="28:34">
      <c r="AB6079" s="580">
        <f>HLOOKUP("*"&amp;'Output annual'!$AC$2&amp;'Output annual'!$AD$2&amp;"*Zone People Number Of Occupants [](Hourly)",'Eplus results'!$1:$1048576,ROW(),FALSE)</f>
        <v>0</v>
      </c>
      <c r="AC6079" s="580">
        <f>HLOOKUP("*"&amp;'Output annual'!$AC$2&amp;'Output annual'!$AD$2&amp;"*FangerPMV(Hourly)",'Eplus results'!$1:$1048576,ROW(),FALSE)</f>
        <v>0</v>
      </c>
      <c r="AD6079" s="580">
        <f t="shared" si="506"/>
        <v>5</v>
      </c>
      <c r="AE6079" s="580">
        <f t="shared" si="507"/>
        <v>2.5</v>
      </c>
      <c r="AF6079" s="580">
        <f t="shared" si="508"/>
        <v>2.5</v>
      </c>
      <c r="AG6079" s="580">
        <f t="shared" si="509"/>
        <v>0</v>
      </c>
      <c r="AH6079" s="580">
        <f t="shared" si="510"/>
        <v>0</v>
      </c>
    </row>
    <row r="6080" spans="28:34">
      <c r="AB6080" s="580">
        <f>HLOOKUP("*"&amp;'Output annual'!$AC$2&amp;'Output annual'!$AD$2&amp;"*Zone People Number Of Occupants [](Hourly)",'Eplus results'!$1:$1048576,ROW(),FALSE)</f>
        <v>0</v>
      </c>
      <c r="AC6080" s="580">
        <f>HLOOKUP("*"&amp;'Output annual'!$AC$2&amp;'Output annual'!$AD$2&amp;"*FangerPMV(Hourly)",'Eplus results'!$1:$1048576,ROW(),FALSE)</f>
        <v>0</v>
      </c>
      <c r="AD6080" s="580">
        <f t="shared" si="506"/>
        <v>5</v>
      </c>
      <c r="AE6080" s="580">
        <f t="shared" si="507"/>
        <v>2.5</v>
      </c>
      <c r="AF6080" s="580">
        <f t="shared" si="508"/>
        <v>2.5</v>
      </c>
      <c r="AG6080" s="580">
        <f t="shared" si="509"/>
        <v>0</v>
      </c>
      <c r="AH6080" s="580">
        <f t="shared" si="510"/>
        <v>0</v>
      </c>
    </row>
    <row r="6081" spans="28:34">
      <c r="AB6081" s="580">
        <f>HLOOKUP("*"&amp;'Output annual'!$AC$2&amp;'Output annual'!$AD$2&amp;"*Zone People Number Of Occupants [](Hourly)",'Eplus results'!$1:$1048576,ROW(),FALSE)</f>
        <v>0</v>
      </c>
      <c r="AC6081" s="580">
        <f>HLOOKUP("*"&amp;'Output annual'!$AC$2&amp;'Output annual'!$AD$2&amp;"*FangerPMV(Hourly)",'Eplus results'!$1:$1048576,ROW(),FALSE)</f>
        <v>0</v>
      </c>
      <c r="AD6081" s="580">
        <f t="shared" si="506"/>
        <v>5</v>
      </c>
      <c r="AE6081" s="580">
        <f t="shared" si="507"/>
        <v>2.5</v>
      </c>
      <c r="AF6081" s="580">
        <f t="shared" si="508"/>
        <v>2.5</v>
      </c>
      <c r="AG6081" s="580">
        <f t="shared" si="509"/>
        <v>0</v>
      </c>
      <c r="AH6081" s="580">
        <f t="shared" si="510"/>
        <v>0</v>
      </c>
    </row>
    <row r="6082" spans="28:34">
      <c r="AB6082" s="580">
        <f>HLOOKUP("*"&amp;'Output annual'!$AC$2&amp;'Output annual'!$AD$2&amp;"*Zone People Number Of Occupants [](Hourly)",'Eplus results'!$1:$1048576,ROW(),FALSE)</f>
        <v>0</v>
      </c>
      <c r="AC6082" s="580">
        <f>HLOOKUP("*"&amp;'Output annual'!$AC$2&amp;'Output annual'!$AD$2&amp;"*FangerPMV(Hourly)",'Eplus results'!$1:$1048576,ROW(),FALSE)</f>
        <v>0</v>
      </c>
      <c r="AD6082" s="580">
        <f t="shared" si="506"/>
        <v>5</v>
      </c>
      <c r="AE6082" s="580">
        <f t="shared" si="507"/>
        <v>2.5</v>
      </c>
      <c r="AF6082" s="580">
        <f t="shared" si="508"/>
        <v>2.5</v>
      </c>
      <c r="AG6082" s="580">
        <f t="shared" si="509"/>
        <v>0</v>
      </c>
      <c r="AH6082" s="580">
        <f t="shared" si="510"/>
        <v>0</v>
      </c>
    </row>
    <row r="6083" spans="28:34">
      <c r="AB6083" s="580">
        <f>HLOOKUP("*"&amp;'Output annual'!$AC$2&amp;'Output annual'!$AD$2&amp;"*Zone People Number Of Occupants [](Hourly)",'Eplus results'!$1:$1048576,ROW(),FALSE)</f>
        <v>0</v>
      </c>
      <c r="AC6083" s="580">
        <f>HLOOKUP("*"&amp;'Output annual'!$AC$2&amp;'Output annual'!$AD$2&amp;"*FangerPMV(Hourly)",'Eplus results'!$1:$1048576,ROW(),FALSE)</f>
        <v>0</v>
      </c>
      <c r="AD6083" s="580">
        <f t="shared" ref="AD6083:AD6146" si="511">100-95*EXP(-0.03353*AC6083^4-0.2179*AC6083^2)</f>
        <v>5</v>
      </c>
      <c r="AE6083" s="580">
        <f t="shared" ref="AE6083:AE6146" si="512">AD6083*(1/(1+EXP(-6.3*$AC6083)))</f>
        <v>2.5</v>
      </c>
      <c r="AF6083" s="580">
        <f t="shared" ref="AF6083:AF6146" si="513">(AD6083-AE6083)</f>
        <v>2.5</v>
      </c>
      <c r="AG6083" s="580">
        <f t="shared" ref="AG6083:AG6146" si="514">AE6083*AB6083</f>
        <v>0</v>
      </c>
      <c r="AH6083" s="580">
        <f t="shared" ref="AH6083:AH6146" si="515">AF6083*AB6083</f>
        <v>0</v>
      </c>
    </row>
    <row r="6084" spans="28:34">
      <c r="AB6084" s="580">
        <f>HLOOKUP("*"&amp;'Output annual'!$AC$2&amp;'Output annual'!$AD$2&amp;"*Zone People Number Of Occupants [](Hourly)",'Eplus results'!$1:$1048576,ROW(),FALSE)</f>
        <v>0</v>
      </c>
      <c r="AC6084" s="580">
        <f>HLOOKUP("*"&amp;'Output annual'!$AC$2&amp;'Output annual'!$AD$2&amp;"*FangerPMV(Hourly)",'Eplus results'!$1:$1048576,ROW(),FALSE)</f>
        <v>0</v>
      </c>
      <c r="AD6084" s="580">
        <f t="shared" si="511"/>
        <v>5</v>
      </c>
      <c r="AE6084" s="580">
        <f t="shared" si="512"/>
        <v>2.5</v>
      </c>
      <c r="AF6084" s="580">
        <f t="shared" si="513"/>
        <v>2.5</v>
      </c>
      <c r="AG6084" s="580">
        <f t="shared" si="514"/>
        <v>0</v>
      </c>
      <c r="AH6084" s="580">
        <f t="shared" si="515"/>
        <v>0</v>
      </c>
    </row>
    <row r="6085" spans="28:34">
      <c r="AB6085" s="580">
        <f>HLOOKUP("*"&amp;'Output annual'!$AC$2&amp;'Output annual'!$AD$2&amp;"*Zone People Number Of Occupants [](Hourly)",'Eplus results'!$1:$1048576,ROW(),FALSE)</f>
        <v>0</v>
      </c>
      <c r="AC6085" s="580">
        <f>HLOOKUP("*"&amp;'Output annual'!$AC$2&amp;'Output annual'!$AD$2&amp;"*FangerPMV(Hourly)",'Eplus results'!$1:$1048576,ROW(),FALSE)</f>
        <v>0</v>
      </c>
      <c r="AD6085" s="580">
        <f t="shared" si="511"/>
        <v>5</v>
      </c>
      <c r="AE6085" s="580">
        <f t="shared" si="512"/>
        <v>2.5</v>
      </c>
      <c r="AF6085" s="580">
        <f t="shared" si="513"/>
        <v>2.5</v>
      </c>
      <c r="AG6085" s="580">
        <f t="shared" si="514"/>
        <v>0</v>
      </c>
      <c r="AH6085" s="580">
        <f t="shared" si="515"/>
        <v>0</v>
      </c>
    </row>
    <row r="6086" spans="28:34">
      <c r="AB6086" s="580">
        <f>HLOOKUP("*"&amp;'Output annual'!$AC$2&amp;'Output annual'!$AD$2&amp;"*Zone People Number Of Occupants [](Hourly)",'Eplus results'!$1:$1048576,ROW(),FALSE)</f>
        <v>0</v>
      </c>
      <c r="AC6086" s="580">
        <f>HLOOKUP("*"&amp;'Output annual'!$AC$2&amp;'Output annual'!$AD$2&amp;"*FangerPMV(Hourly)",'Eplus results'!$1:$1048576,ROW(),FALSE)</f>
        <v>0</v>
      </c>
      <c r="AD6086" s="580">
        <f t="shared" si="511"/>
        <v>5</v>
      </c>
      <c r="AE6086" s="580">
        <f t="shared" si="512"/>
        <v>2.5</v>
      </c>
      <c r="AF6086" s="580">
        <f t="shared" si="513"/>
        <v>2.5</v>
      </c>
      <c r="AG6086" s="580">
        <f t="shared" si="514"/>
        <v>0</v>
      </c>
      <c r="AH6086" s="580">
        <f t="shared" si="515"/>
        <v>0</v>
      </c>
    </row>
    <row r="6087" spans="28:34">
      <c r="AB6087" s="580">
        <f>HLOOKUP("*"&amp;'Output annual'!$AC$2&amp;'Output annual'!$AD$2&amp;"*Zone People Number Of Occupants [](Hourly)",'Eplus results'!$1:$1048576,ROW(),FALSE)</f>
        <v>0</v>
      </c>
      <c r="AC6087" s="580">
        <f>HLOOKUP("*"&amp;'Output annual'!$AC$2&amp;'Output annual'!$AD$2&amp;"*FangerPMV(Hourly)",'Eplus results'!$1:$1048576,ROW(),FALSE)</f>
        <v>0</v>
      </c>
      <c r="AD6087" s="580">
        <f t="shared" si="511"/>
        <v>5</v>
      </c>
      <c r="AE6087" s="580">
        <f t="shared" si="512"/>
        <v>2.5</v>
      </c>
      <c r="AF6087" s="580">
        <f t="shared" si="513"/>
        <v>2.5</v>
      </c>
      <c r="AG6087" s="580">
        <f t="shared" si="514"/>
        <v>0</v>
      </c>
      <c r="AH6087" s="580">
        <f t="shared" si="515"/>
        <v>0</v>
      </c>
    </row>
    <row r="6088" spans="28:34">
      <c r="AB6088" s="580">
        <f>HLOOKUP("*"&amp;'Output annual'!$AC$2&amp;'Output annual'!$AD$2&amp;"*Zone People Number Of Occupants [](Hourly)",'Eplus results'!$1:$1048576,ROW(),FALSE)</f>
        <v>0</v>
      </c>
      <c r="AC6088" s="580">
        <f>HLOOKUP("*"&amp;'Output annual'!$AC$2&amp;'Output annual'!$AD$2&amp;"*FangerPMV(Hourly)",'Eplus results'!$1:$1048576,ROW(),FALSE)</f>
        <v>0</v>
      </c>
      <c r="AD6088" s="580">
        <f t="shared" si="511"/>
        <v>5</v>
      </c>
      <c r="AE6088" s="580">
        <f t="shared" si="512"/>
        <v>2.5</v>
      </c>
      <c r="AF6088" s="580">
        <f t="shared" si="513"/>
        <v>2.5</v>
      </c>
      <c r="AG6088" s="580">
        <f t="shared" si="514"/>
        <v>0</v>
      </c>
      <c r="AH6088" s="580">
        <f t="shared" si="515"/>
        <v>0</v>
      </c>
    </row>
    <row r="6089" spans="28:34">
      <c r="AB6089" s="580">
        <f>HLOOKUP("*"&amp;'Output annual'!$AC$2&amp;'Output annual'!$AD$2&amp;"*Zone People Number Of Occupants [](Hourly)",'Eplus results'!$1:$1048576,ROW(),FALSE)</f>
        <v>0</v>
      </c>
      <c r="AC6089" s="580">
        <f>HLOOKUP("*"&amp;'Output annual'!$AC$2&amp;'Output annual'!$AD$2&amp;"*FangerPMV(Hourly)",'Eplus results'!$1:$1048576,ROW(),FALSE)</f>
        <v>0</v>
      </c>
      <c r="AD6089" s="580">
        <f t="shared" si="511"/>
        <v>5</v>
      </c>
      <c r="AE6089" s="580">
        <f t="shared" si="512"/>
        <v>2.5</v>
      </c>
      <c r="AF6089" s="580">
        <f t="shared" si="513"/>
        <v>2.5</v>
      </c>
      <c r="AG6089" s="580">
        <f t="shared" si="514"/>
        <v>0</v>
      </c>
      <c r="AH6089" s="580">
        <f t="shared" si="515"/>
        <v>0</v>
      </c>
    </row>
    <row r="6090" spans="28:34">
      <c r="AB6090" s="580">
        <f>HLOOKUP("*"&amp;'Output annual'!$AC$2&amp;'Output annual'!$AD$2&amp;"*Zone People Number Of Occupants [](Hourly)",'Eplus results'!$1:$1048576,ROW(),FALSE)</f>
        <v>0</v>
      </c>
      <c r="AC6090" s="580">
        <f>HLOOKUP("*"&amp;'Output annual'!$AC$2&amp;'Output annual'!$AD$2&amp;"*FangerPMV(Hourly)",'Eplus results'!$1:$1048576,ROW(),FALSE)</f>
        <v>0</v>
      </c>
      <c r="AD6090" s="580">
        <f t="shared" si="511"/>
        <v>5</v>
      </c>
      <c r="AE6090" s="580">
        <f t="shared" si="512"/>
        <v>2.5</v>
      </c>
      <c r="AF6090" s="580">
        <f t="shared" si="513"/>
        <v>2.5</v>
      </c>
      <c r="AG6090" s="580">
        <f t="shared" si="514"/>
        <v>0</v>
      </c>
      <c r="AH6090" s="580">
        <f t="shared" si="515"/>
        <v>0</v>
      </c>
    </row>
    <row r="6091" spans="28:34">
      <c r="AB6091" s="580">
        <f>HLOOKUP("*"&amp;'Output annual'!$AC$2&amp;'Output annual'!$AD$2&amp;"*Zone People Number Of Occupants [](Hourly)",'Eplus results'!$1:$1048576,ROW(),FALSE)</f>
        <v>0</v>
      </c>
      <c r="AC6091" s="580">
        <f>HLOOKUP("*"&amp;'Output annual'!$AC$2&amp;'Output annual'!$AD$2&amp;"*FangerPMV(Hourly)",'Eplus results'!$1:$1048576,ROW(),FALSE)</f>
        <v>0</v>
      </c>
      <c r="AD6091" s="580">
        <f t="shared" si="511"/>
        <v>5</v>
      </c>
      <c r="AE6091" s="580">
        <f t="shared" si="512"/>
        <v>2.5</v>
      </c>
      <c r="AF6091" s="580">
        <f t="shared" si="513"/>
        <v>2.5</v>
      </c>
      <c r="AG6091" s="580">
        <f t="shared" si="514"/>
        <v>0</v>
      </c>
      <c r="AH6091" s="580">
        <f t="shared" si="515"/>
        <v>0</v>
      </c>
    </row>
    <row r="6092" spans="28:34">
      <c r="AB6092" s="580">
        <f>HLOOKUP("*"&amp;'Output annual'!$AC$2&amp;'Output annual'!$AD$2&amp;"*Zone People Number Of Occupants [](Hourly)",'Eplus results'!$1:$1048576,ROW(),FALSE)</f>
        <v>0</v>
      </c>
      <c r="AC6092" s="580">
        <f>HLOOKUP("*"&amp;'Output annual'!$AC$2&amp;'Output annual'!$AD$2&amp;"*FangerPMV(Hourly)",'Eplus results'!$1:$1048576,ROW(),FALSE)</f>
        <v>0</v>
      </c>
      <c r="AD6092" s="580">
        <f t="shared" si="511"/>
        <v>5</v>
      </c>
      <c r="AE6092" s="580">
        <f t="shared" si="512"/>
        <v>2.5</v>
      </c>
      <c r="AF6092" s="580">
        <f t="shared" si="513"/>
        <v>2.5</v>
      </c>
      <c r="AG6092" s="580">
        <f t="shared" si="514"/>
        <v>0</v>
      </c>
      <c r="AH6092" s="580">
        <f t="shared" si="515"/>
        <v>0</v>
      </c>
    </row>
    <row r="6093" spans="28:34">
      <c r="AB6093" s="580">
        <f>HLOOKUP("*"&amp;'Output annual'!$AC$2&amp;'Output annual'!$AD$2&amp;"*Zone People Number Of Occupants [](Hourly)",'Eplus results'!$1:$1048576,ROW(),FALSE)</f>
        <v>0</v>
      </c>
      <c r="AC6093" s="580">
        <f>HLOOKUP("*"&amp;'Output annual'!$AC$2&amp;'Output annual'!$AD$2&amp;"*FangerPMV(Hourly)",'Eplus results'!$1:$1048576,ROW(),FALSE)</f>
        <v>0</v>
      </c>
      <c r="AD6093" s="580">
        <f t="shared" si="511"/>
        <v>5</v>
      </c>
      <c r="AE6093" s="580">
        <f t="shared" si="512"/>
        <v>2.5</v>
      </c>
      <c r="AF6093" s="580">
        <f t="shared" si="513"/>
        <v>2.5</v>
      </c>
      <c r="AG6093" s="580">
        <f t="shared" si="514"/>
        <v>0</v>
      </c>
      <c r="AH6093" s="580">
        <f t="shared" si="515"/>
        <v>0</v>
      </c>
    </row>
    <row r="6094" spans="28:34">
      <c r="AB6094" s="580">
        <f>HLOOKUP("*"&amp;'Output annual'!$AC$2&amp;'Output annual'!$AD$2&amp;"*Zone People Number Of Occupants [](Hourly)",'Eplus results'!$1:$1048576,ROW(),FALSE)</f>
        <v>0</v>
      </c>
      <c r="AC6094" s="580">
        <f>HLOOKUP("*"&amp;'Output annual'!$AC$2&amp;'Output annual'!$AD$2&amp;"*FangerPMV(Hourly)",'Eplus results'!$1:$1048576,ROW(),FALSE)</f>
        <v>0</v>
      </c>
      <c r="AD6094" s="580">
        <f t="shared" si="511"/>
        <v>5</v>
      </c>
      <c r="AE6094" s="580">
        <f t="shared" si="512"/>
        <v>2.5</v>
      </c>
      <c r="AF6094" s="580">
        <f t="shared" si="513"/>
        <v>2.5</v>
      </c>
      <c r="AG6094" s="580">
        <f t="shared" si="514"/>
        <v>0</v>
      </c>
      <c r="AH6094" s="580">
        <f t="shared" si="515"/>
        <v>0</v>
      </c>
    </row>
    <row r="6095" spans="28:34">
      <c r="AB6095" s="580">
        <f>HLOOKUP("*"&amp;'Output annual'!$AC$2&amp;'Output annual'!$AD$2&amp;"*Zone People Number Of Occupants [](Hourly)",'Eplus results'!$1:$1048576,ROW(),FALSE)</f>
        <v>0</v>
      </c>
      <c r="AC6095" s="580">
        <f>HLOOKUP("*"&amp;'Output annual'!$AC$2&amp;'Output annual'!$AD$2&amp;"*FangerPMV(Hourly)",'Eplus results'!$1:$1048576,ROW(),FALSE)</f>
        <v>0</v>
      </c>
      <c r="AD6095" s="580">
        <f t="shared" si="511"/>
        <v>5</v>
      </c>
      <c r="AE6095" s="580">
        <f t="shared" si="512"/>
        <v>2.5</v>
      </c>
      <c r="AF6095" s="580">
        <f t="shared" si="513"/>
        <v>2.5</v>
      </c>
      <c r="AG6095" s="580">
        <f t="shared" si="514"/>
        <v>0</v>
      </c>
      <c r="AH6095" s="580">
        <f t="shared" si="515"/>
        <v>0</v>
      </c>
    </row>
    <row r="6096" spans="28:34">
      <c r="AB6096" s="580">
        <f>HLOOKUP("*"&amp;'Output annual'!$AC$2&amp;'Output annual'!$AD$2&amp;"*Zone People Number Of Occupants [](Hourly)",'Eplus results'!$1:$1048576,ROW(),FALSE)</f>
        <v>0</v>
      </c>
      <c r="AC6096" s="580">
        <f>HLOOKUP("*"&amp;'Output annual'!$AC$2&amp;'Output annual'!$AD$2&amp;"*FangerPMV(Hourly)",'Eplus results'!$1:$1048576,ROW(),FALSE)</f>
        <v>0</v>
      </c>
      <c r="AD6096" s="580">
        <f t="shared" si="511"/>
        <v>5</v>
      </c>
      <c r="AE6096" s="580">
        <f t="shared" si="512"/>
        <v>2.5</v>
      </c>
      <c r="AF6096" s="580">
        <f t="shared" si="513"/>
        <v>2.5</v>
      </c>
      <c r="AG6096" s="580">
        <f t="shared" si="514"/>
        <v>0</v>
      </c>
      <c r="AH6096" s="580">
        <f t="shared" si="515"/>
        <v>0</v>
      </c>
    </row>
    <row r="6097" spans="28:34">
      <c r="AB6097" s="580">
        <f>HLOOKUP("*"&amp;'Output annual'!$AC$2&amp;'Output annual'!$AD$2&amp;"*Zone People Number Of Occupants [](Hourly)",'Eplus results'!$1:$1048576,ROW(),FALSE)</f>
        <v>0</v>
      </c>
      <c r="AC6097" s="580">
        <f>HLOOKUP("*"&amp;'Output annual'!$AC$2&amp;'Output annual'!$AD$2&amp;"*FangerPMV(Hourly)",'Eplus results'!$1:$1048576,ROW(),FALSE)</f>
        <v>0</v>
      </c>
      <c r="AD6097" s="580">
        <f t="shared" si="511"/>
        <v>5</v>
      </c>
      <c r="AE6097" s="580">
        <f t="shared" si="512"/>
        <v>2.5</v>
      </c>
      <c r="AF6097" s="580">
        <f t="shared" si="513"/>
        <v>2.5</v>
      </c>
      <c r="AG6097" s="580">
        <f t="shared" si="514"/>
        <v>0</v>
      </c>
      <c r="AH6097" s="580">
        <f t="shared" si="515"/>
        <v>0</v>
      </c>
    </row>
    <row r="6098" spans="28:34">
      <c r="AB6098" s="580">
        <f>HLOOKUP("*"&amp;'Output annual'!$AC$2&amp;'Output annual'!$AD$2&amp;"*Zone People Number Of Occupants [](Hourly)",'Eplus results'!$1:$1048576,ROW(),FALSE)</f>
        <v>0</v>
      </c>
      <c r="AC6098" s="580">
        <f>HLOOKUP("*"&amp;'Output annual'!$AC$2&amp;'Output annual'!$AD$2&amp;"*FangerPMV(Hourly)",'Eplus results'!$1:$1048576,ROW(),FALSE)</f>
        <v>0</v>
      </c>
      <c r="AD6098" s="580">
        <f t="shared" si="511"/>
        <v>5</v>
      </c>
      <c r="AE6098" s="580">
        <f t="shared" si="512"/>
        <v>2.5</v>
      </c>
      <c r="AF6098" s="580">
        <f t="shared" si="513"/>
        <v>2.5</v>
      </c>
      <c r="AG6098" s="580">
        <f t="shared" si="514"/>
        <v>0</v>
      </c>
      <c r="AH6098" s="580">
        <f t="shared" si="515"/>
        <v>0</v>
      </c>
    </row>
    <row r="6099" spans="28:34">
      <c r="AB6099" s="580">
        <f>HLOOKUP("*"&amp;'Output annual'!$AC$2&amp;'Output annual'!$AD$2&amp;"*Zone People Number Of Occupants [](Hourly)",'Eplus results'!$1:$1048576,ROW(),FALSE)</f>
        <v>0</v>
      </c>
      <c r="AC6099" s="580">
        <f>HLOOKUP("*"&amp;'Output annual'!$AC$2&amp;'Output annual'!$AD$2&amp;"*FangerPMV(Hourly)",'Eplus results'!$1:$1048576,ROW(),FALSE)</f>
        <v>0</v>
      </c>
      <c r="AD6099" s="580">
        <f t="shared" si="511"/>
        <v>5</v>
      </c>
      <c r="AE6099" s="580">
        <f t="shared" si="512"/>
        <v>2.5</v>
      </c>
      <c r="AF6099" s="580">
        <f t="shared" si="513"/>
        <v>2.5</v>
      </c>
      <c r="AG6099" s="580">
        <f t="shared" si="514"/>
        <v>0</v>
      </c>
      <c r="AH6099" s="580">
        <f t="shared" si="515"/>
        <v>0</v>
      </c>
    </row>
    <row r="6100" spans="28:34">
      <c r="AB6100" s="580">
        <f>HLOOKUP("*"&amp;'Output annual'!$AC$2&amp;'Output annual'!$AD$2&amp;"*Zone People Number Of Occupants [](Hourly)",'Eplus results'!$1:$1048576,ROW(),FALSE)</f>
        <v>0</v>
      </c>
      <c r="AC6100" s="580">
        <f>HLOOKUP("*"&amp;'Output annual'!$AC$2&amp;'Output annual'!$AD$2&amp;"*FangerPMV(Hourly)",'Eplus results'!$1:$1048576,ROW(),FALSE)</f>
        <v>0</v>
      </c>
      <c r="AD6100" s="580">
        <f t="shared" si="511"/>
        <v>5</v>
      </c>
      <c r="AE6100" s="580">
        <f t="shared" si="512"/>
        <v>2.5</v>
      </c>
      <c r="AF6100" s="580">
        <f t="shared" si="513"/>
        <v>2.5</v>
      </c>
      <c r="AG6100" s="580">
        <f t="shared" si="514"/>
        <v>0</v>
      </c>
      <c r="AH6100" s="580">
        <f t="shared" si="515"/>
        <v>0</v>
      </c>
    </row>
    <row r="6101" spans="28:34">
      <c r="AB6101" s="580">
        <f>HLOOKUP("*"&amp;'Output annual'!$AC$2&amp;'Output annual'!$AD$2&amp;"*Zone People Number Of Occupants [](Hourly)",'Eplus results'!$1:$1048576,ROW(),FALSE)</f>
        <v>0</v>
      </c>
      <c r="AC6101" s="580">
        <f>HLOOKUP("*"&amp;'Output annual'!$AC$2&amp;'Output annual'!$AD$2&amp;"*FangerPMV(Hourly)",'Eplus results'!$1:$1048576,ROW(),FALSE)</f>
        <v>0</v>
      </c>
      <c r="AD6101" s="580">
        <f t="shared" si="511"/>
        <v>5</v>
      </c>
      <c r="AE6101" s="580">
        <f t="shared" si="512"/>
        <v>2.5</v>
      </c>
      <c r="AF6101" s="580">
        <f t="shared" si="513"/>
        <v>2.5</v>
      </c>
      <c r="AG6101" s="580">
        <f t="shared" si="514"/>
        <v>0</v>
      </c>
      <c r="AH6101" s="580">
        <f t="shared" si="515"/>
        <v>0</v>
      </c>
    </row>
    <row r="6102" spans="28:34">
      <c r="AB6102" s="580">
        <f>HLOOKUP("*"&amp;'Output annual'!$AC$2&amp;'Output annual'!$AD$2&amp;"*Zone People Number Of Occupants [](Hourly)",'Eplus results'!$1:$1048576,ROW(),FALSE)</f>
        <v>0</v>
      </c>
      <c r="AC6102" s="580">
        <f>HLOOKUP("*"&amp;'Output annual'!$AC$2&amp;'Output annual'!$AD$2&amp;"*FangerPMV(Hourly)",'Eplus results'!$1:$1048576,ROW(),FALSE)</f>
        <v>0</v>
      </c>
      <c r="AD6102" s="580">
        <f t="shared" si="511"/>
        <v>5</v>
      </c>
      <c r="AE6102" s="580">
        <f t="shared" si="512"/>
        <v>2.5</v>
      </c>
      <c r="AF6102" s="580">
        <f t="shared" si="513"/>
        <v>2.5</v>
      </c>
      <c r="AG6102" s="580">
        <f t="shared" si="514"/>
        <v>0</v>
      </c>
      <c r="AH6102" s="580">
        <f t="shared" si="515"/>
        <v>0</v>
      </c>
    </row>
    <row r="6103" spans="28:34">
      <c r="AB6103" s="580">
        <f>HLOOKUP("*"&amp;'Output annual'!$AC$2&amp;'Output annual'!$AD$2&amp;"*Zone People Number Of Occupants [](Hourly)",'Eplus results'!$1:$1048576,ROW(),FALSE)</f>
        <v>0</v>
      </c>
      <c r="AC6103" s="580">
        <f>HLOOKUP("*"&amp;'Output annual'!$AC$2&amp;'Output annual'!$AD$2&amp;"*FangerPMV(Hourly)",'Eplus results'!$1:$1048576,ROW(),FALSE)</f>
        <v>0</v>
      </c>
      <c r="AD6103" s="580">
        <f t="shared" si="511"/>
        <v>5</v>
      </c>
      <c r="AE6103" s="580">
        <f t="shared" si="512"/>
        <v>2.5</v>
      </c>
      <c r="AF6103" s="580">
        <f t="shared" si="513"/>
        <v>2.5</v>
      </c>
      <c r="AG6103" s="580">
        <f t="shared" si="514"/>
        <v>0</v>
      </c>
      <c r="AH6103" s="580">
        <f t="shared" si="515"/>
        <v>0</v>
      </c>
    </row>
    <row r="6104" spans="28:34">
      <c r="AB6104" s="580">
        <f>HLOOKUP("*"&amp;'Output annual'!$AC$2&amp;'Output annual'!$AD$2&amp;"*Zone People Number Of Occupants [](Hourly)",'Eplus results'!$1:$1048576,ROW(),FALSE)</f>
        <v>0</v>
      </c>
      <c r="AC6104" s="580">
        <f>HLOOKUP("*"&amp;'Output annual'!$AC$2&amp;'Output annual'!$AD$2&amp;"*FangerPMV(Hourly)",'Eplus results'!$1:$1048576,ROW(),FALSE)</f>
        <v>0</v>
      </c>
      <c r="AD6104" s="580">
        <f t="shared" si="511"/>
        <v>5</v>
      </c>
      <c r="AE6104" s="580">
        <f t="shared" si="512"/>
        <v>2.5</v>
      </c>
      <c r="AF6104" s="580">
        <f t="shared" si="513"/>
        <v>2.5</v>
      </c>
      <c r="AG6104" s="580">
        <f t="shared" si="514"/>
        <v>0</v>
      </c>
      <c r="AH6104" s="580">
        <f t="shared" si="515"/>
        <v>0</v>
      </c>
    </row>
    <row r="6105" spans="28:34">
      <c r="AB6105" s="580">
        <f>HLOOKUP("*"&amp;'Output annual'!$AC$2&amp;'Output annual'!$AD$2&amp;"*Zone People Number Of Occupants [](Hourly)",'Eplus results'!$1:$1048576,ROW(),FALSE)</f>
        <v>0</v>
      </c>
      <c r="AC6105" s="580">
        <f>HLOOKUP("*"&amp;'Output annual'!$AC$2&amp;'Output annual'!$AD$2&amp;"*FangerPMV(Hourly)",'Eplus results'!$1:$1048576,ROW(),FALSE)</f>
        <v>0</v>
      </c>
      <c r="AD6105" s="580">
        <f t="shared" si="511"/>
        <v>5</v>
      </c>
      <c r="AE6105" s="580">
        <f t="shared" si="512"/>
        <v>2.5</v>
      </c>
      <c r="AF6105" s="580">
        <f t="shared" si="513"/>
        <v>2.5</v>
      </c>
      <c r="AG6105" s="580">
        <f t="shared" si="514"/>
        <v>0</v>
      </c>
      <c r="AH6105" s="580">
        <f t="shared" si="515"/>
        <v>0</v>
      </c>
    </row>
    <row r="6106" spans="28:34">
      <c r="AB6106" s="580">
        <f>HLOOKUP("*"&amp;'Output annual'!$AC$2&amp;'Output annual'!$AD$2&amp;"*Zone People Number Of Occupants [](Hourly)",'Eplus results'!$1:$1048576,ROW(),FALSE)</f>
        <v>0</v>
      </c>
      <c r="AC6106" s="580">
        <f>HLOOKUP("*"&amp;'Output annual'!$AC$2&amp;'Output annual'!$AD$2&amp;"*FangerPMV(Hourly)",'Eplus results'!$1:$1048576,ROW(),FALSE)</f>
        <v>0</v>
      </c>
      <c r="AD6106" s="580">
        <f t="shared" si="511"/>
        <v>5</v>
      </c>
      <c r="AE6106" s="580">
        <f t="shared" si="512"/>
        <v>2.5</v>
      </c>
      <c r="AF6106" s="580">
        <f t="shared" si="513"/>
        <v>2.5</v>
      </c>
      <c r="AG6106" s="580">
        <f t="shared" si="514"/>
        <v>0</v>
      </c>
      <c r="AH6106" s="580">
        <f t="shared" si="515"/>
        <v>0</v>
      </c>
    </row>
    <row r="6107" spans="28:34">
      <c r="AB6107" s="580">
        <f>HLOOKUP("*"&amp;'Output annual'!$AC$2&amp;'Output annual'!$AD$2&amp;"*Zone People Number Of Occupants [](Hourly)",'Eplus results'!$1:$1048576,ROW(),FALSE)</f>
        <v>0</v>
      </c>
      <c r="AC6107" s="580">
        <f>HLOOKUP("*"&amp;'Output annual'!$AC$2&amp;'Output annual'!$AD$2&amp;"*FangerPMV(Hourly)",'Eplus results'!$1:$1048576,ROW(),FALSE)</f>
        <v>0</v>
      </c>
      <c r="AD6107" s="580">
        <f t="shared" si="511"/>
        <v>5</v>
      </c>
      <c r="AE6107" s="580">
        <f t="shared" si="512"/>
        <v>2.5</v>
      </c>
      <c r="AF6107" s="580">
        <f t="shared" si="513"/>
        <v>2.5</v>
      </c>
      <c r="AG6107" s="580">
        <f t="shared" si="514"/>
        <v>0</v>
      </c>
      <c r="AH6107" s="580">
        <f t="shared" si="515"/>
        <v>0</v>
      </c>
    </row>
    <row r="6108" spans="28:34">
      <c r="AB6108" s="580">
        <f>HLOOKUP("*"&amp;'Output annual'!$AC$2&amp;'Output annual'!$AD$2&amp;"*Zone People Number Of Occupants [](Hourly)",'Eplus results'!$1:$1048576,ROW(),FALSE)</f>
        <v>0</v>
      </c>
      <c r="AC6108" s="580">
        <f>HLOOKUP("*"&amp;'Output annual'!$AC$2&amp;'Output annual'!$AD$2&amp;"*FangerPMV(Hourly)",'Eplus results'!$1:$1048576,ROW(),FALSE)</f>
        <v>0</v>
      </c>
      <c r="AD6108" s="580">
        <f t="shared" si="511"/>
        <v>5</v>
      </c>
      <c r="AE6108" s="580">
        <f t="shared" si="512"/>
        <v>2.5</v>
      </c>
      <c r="AF6108" s="580">
        <f t="shared" si="513"/>
        <v>2.5</v>
      </c>
      <c r="AG6108" s="580">
        <f t="shared" si="514"/>
        <v>0</v>
      </c>
      <c r="AH6108" s="580">
        <f t="shared" si="515"/>
        <v>0</v>
      </c>
    </row>
    <row r="6109" spans="28:34">
      <c r="AB6109" s="580">
        <f>HLOOKUP("*"&amp;'Output annual'!$AC$2&amp;'Output annual'!$AD$2&amp;"*Zone People Number Of Occupants [](Hourly)",'Eplus results'!$1:$1048576,ROW(),FALSE)</f>
        <v>0</v>
      </c>
      <c r="AC6109" s="580">
        <f>HLOOKUP("*"&amp;'Output annual'!$AC$2&amp;'Output annual'!$AD$2&amp;"*FangerPMV(Hourly)",'Eplus results'!$1:$1048576,ROW(),FALSE)</f>
        <v>0</v>
      </c>
      <c r="AD6109" s="580">
        <f t="shared" si="511"/>
        <v>5</v>
      </c>
      <c r="AE6109" s="580">
        <f t="shared" si="512"/>
        <v>2.5</v>
      </c>
      <c r="AF6109" s="580">
        <f t="shared" si="513"/>
        <v>2.5</v>
      </c>
      <c r="AG6109" s="580">
        <f t="shared" si="514"/>
        <v>0</v>
      </c>
      <c r="AH6109" s="580">
        <f t="shared" si="515"/>
        <v>0</v>
      </c>
    </row>
    <row r="6110" spans="28:34">
      <c r="AB6110" s="580">
        <f>HLOOKUP("*"&amp;'Output annual'!$AC$2&amp;'Output annual'!$AD$2&amp;"*Zone People Number Of Occupants [](Hourly)",'Eplus results'!$1:$1048576,ROW(),FALSE)</f>
        <v>0</v>
      </c>
      <c r="AC6110" s="580">
        <f>HLOOKUP("*"&amp;'Output annual'!$AC$2&amp;'Output annual'!$AD$2&amp;"*FangerPMV(Hourly)",'Eplus results'!$1:$1048576,ROW(),FALSE)</f>
        <v>0</v>
      </c>
      <c r="AD6110" s="580">
        <f t="shared" si="511"/>
        <v>5</v>
      </c>
      <c r="AE6110" s="580">
        <f t="shared" si="512"/>
        <v>2.5</v>
      </c>
      <c r="AF6110" s="580">
        <f t="shared" si="513"/>
        <v>2.5</v>
      </c>
      <c r="AG6110" s="580">
        <f t="shared" si="514"/>
        <v>0</v>
      </c>
      <c r="AH6110" s="580">
        <f t="shared" si="515"/>
        <v>0</v>
      </c>
    </row>
    <row r="6111" spans="28:34">
      <c r="AB6111" s="580">
        <f>HLOOKUP("*"&amp;'Output annual'!$AC$2&amp;'Output annual'!$AD$2&amp;"*Zone People Number Of Occupants [](Hourly)",'Eplus results'!$1:$1048576,ROW(),FALSE)</f>
        <v>0</v>
      </c>
      <c r="AC6111" s="580">
        <f>HLOOKUP("*"&amp;'Output annual'!$AC$2&amp;'Output annual'!$AD$2&amp;"*FangerPMV(Hourly)",'Eplus results'!$1:$1048576,ROW(),FALSE)</f>
        <v>0</v>
      </c>
      <c r="AD6111" s="580">
        <f t="shared" si="511"/>
        <v>5</v>
      </c>
      <c r="AE6111" s="580">
        <f t="shared" si="512"/>
        <v>2.5</v>
      </c>
      <c r="AF6111" s="580">
        <f t="shared" si="513"/>
        <v>2.5</v>
      </c>
      <c r="AG6111" s="580">
        <f t="shared" si="514"/>
        <v>0</v>
      </c>
      <c r="AH6111" s="580">
        <f t="shared" si="515"/>
        <v>0</v>
      </c>
    </row>
    <row r="6112" spans="28:34">
      <c r="AB6112" s="580">
        <f>HLOOKUP("*"&amp;'Output annual'!$AC$2&amp;'Output annual'!$AD$2&amp;"*Zone People Number Of Occupants [](Hourly)",'Eplus results'!$1:$1048576,ROW(),FALSE)</f>
        <v>0</v>
      </c>
      <c r="AC6112" s="580">
        <f>HLOOKUP("*"&amp;'Output annual'!$AC$2&amp;'Output annual'!$AD$2&amp;"*FangerPMV(Hourly)",'Eplus results'!$1:$1048576,ROW(),FALSE)</f>
        <v>0</v>
      </c>
      <c r="AD6112" s="580">
        <f t="shared" si="511"/>
        <v>5</v>
      </c>
      <c r="AE6112" s="580">
        <f t="shared" si="512"/>
        <v>2.5</v>
      </c>
      <c r="AF6112" s="580">
        <f t="shared" si="513"/>
        <v>2.5</v>
      </c>
      <c r="AG6112" s="580">
        <f t="shared" si="514"/>
        <v>0</v>
      </c>
      <c r="AH6112" s="580">
        <f t="shared" si="515"/>
        <v>0</v>
      </c>
    </row>
    <row r="6113" spans="28:34">
      <c r="AB6113" s="580">
        <f>HLOOKUP("*"&amp;'Output annual'!$AC$2&amp;'Output annual'!$AD$2&amp;"*Zone People Number Of Occupants [](Hourly)",'Eplus results'!$1:$1048576,ROW(),FALSE)</f>
        <v>0</v>
      </c>
      <c r="AC6113" s="580">
        <f>HLOOKUP("*"&amp;'Output annual'!$AC$2&amp;'Output annual'!$AD$2&amp;"*FangerPMV(Hourly)",'Eplus results'!$1:$1048576,ROW(),FALSE)</f>
        <v>0</v>
      </c>
      <c r="AD6113" s="580">
        <f t="shared" si="511"/>
        <v>5</v>
      </c>
      <c r="AE6113" s="580">
        <f t="shared" si="512"/>
        <v>2.5</v>
      </c>
      <c r="AF6113" s="580">
        <f t="shared" si="513"/>
        <v>2.5</v>
      </c>
      <c r="AG6113" s="580">
        <f t="shared" si="514"/>
        <v>0</v>
      </c>
      <c r="AH6113" s="580">
        <f t="shared" si="515"/>
        <v>0</v>
      </c>
    </row>
    <row r="6114" spans="28:34">
      <c r="AB6114" s="580">
        <f>HLOOKUP("*"&amp;'Output annual'!$AC$2&amp;'Output annual'!$AD$2&amp;"*Zone People Number Of Occupants [](Hourly)",'Eplus results'!$1:$1048576,ROW(),FALSE)</f>
        <v>0</v>
      </c>
      <c r="AC6114" s="580">
        <f>HLOOKUP("*"&amp;'Output annual'!$AC$2&amp;'Output annual'!$AD$2&amp;"*FangerPMV(Hourly)",'Eplus results'!$1:$1048576,ROW(),FALSE)</f>
        <v>0</v>
      </c>
      <c r="AD6114" s="580">
        <f t="shared" si="511"/>
        <v>5</v>
      </c>
      <c r="AE6114" s="580">
        <f t="shared" si="512"/>
        <v>2.5</v>
      </c>
      <c r="AF6114" s="580">
        <f t="shared" si="513"/>
        <v>2.5</v>
      </c>
      <c r="AG6114" s="580">
        <f t="shared" si="514"/>
        <v>0</v>
      </c>
      <c r="AH6114" s="580">
        <f t="shared" si="515"/>
        <v>0</v>
      </c>
    </row>
    <row r="6115" spans="28:34">
      <c r="AB6115" s="580">
        <f>HLOOKUP("*"&amp;'Output annual'!$AC$2&amp;'Output annual'!$AD$2&amp;"*Zone People Number Of Occupants [](Hourly)",'Eplus results'!$1:$1048576,ROW(),FALSE)</f>
        <v>0</v>
      </c>
      <c r="AC6115" s="580">
        <f>HLOOKUP("*"&amp;'Output annual'!$AC$2&amp;'Output annual'!$AD$2&amp;"*FangerPMV(Hourly)",'Eplus results'!$1:$1048576,ROW(),FALSE)</f>
        <v>0</v>
      </c>
      <c r="AD6115" s="580">
        <f t="shared" si="511"/>
        <v>5</v>
      </c>
      <c r="AE6115" s="580">
        <f t="shared" si="512"/>
        <v>2.5</v>
      </c>
      <c r="AF6115" s="580">
        <f t="shared" si="513"/>
        <v>2.5</v>
      </c>
      <c r="AG6115" s="580">
        <f t="shared" si="514"/>
        <v>0</v>
      </c>
      <c r="AH6115" s="580">
        <f t="shared" si="515"/>
        <v>0</v>
      </c>
    </row>
    <row r="6116" spans="28:34">
      <c r="AB6116" s="580">
        <f>HLOOKUP("*"&amp;'Output annual'!$AC$2&amp;'Output annual'!$AD$2&amp;"*Zone People Number Of Occupants [](Hourly)",'Eplus results'!$1:$1048576,ROW(),FALSE)</f>
        <v>0</v>
      </c>
      <c r="AC6116" s="580">
        <f>HLOOKUP("*"&amp;'Output annual'!$AC$2&amp;'Output annual'!$AD$2&amp;"*FangerPMV(Hourly)",'Eplus results'!$1:$1048576,ROW(),FALSE)</f>
        <v>0</v>
      </c>
      <c r="AD6116" s="580">
        <f t="shared" si="511"/>
        <v>5</v>
      </c>
      <c r="AE6116" s="580">
        <f t="shared" si="512"/>
        <v>2.5</v>
      </c>
      <c r="AF6116" s="580">
        <f t="shared" si="513"/>
        <v>2.5</v>
      </c>
      <c r="AG6116" s="580">
        <f t="shared" si="514"/>
        <v>0</v>
      </c>
      <c r="AH6116" s="580">
        <f t="shared" si="515"/>
        <v>0</v>
      </c>
    </row>
    <row r="6117" spans="28:34">
      <c r="AB6117" s="580">
        <f>HLOOKUP("*"&amp;'Output annual'!$AC$2&amp;'Output annual'!$AD$2&amp;"*Zone People Number Of Occupants [](Hourly)",'Eplus results'!$1:$1048576,ROW(),FALSE)</f>
        <v>0</v>
      </c>
      <c r="AC6117" s="580">
        <f>HLOOKUP("*"&amp;'Output annual'!$AC$2&amp;'Output annual'!$AD$2&amp;"*FangerPMV(Hourly)",'Eplus results'!$1:$1048576,ROW(),FALSE)</f>
        <v>0</v>
      </c>
      <c r="AD6117" s="580">
        <f t="shared" si="511"/>
        <v>5</v>
      </c>
      <c r="AE6117" s="580">
        <f t="shared" si="512"/>
        <v>2.5</v>
      </c>
      <c r="AF6117" s="580">
        <f t="shared" si="513"/>
        <v>2.5</v>
      </c>
      <c r="AG6117" s="580">
        <f t="shared" si="514"/>
        <v>0</v>
      </c>
      <c r="AH6117" s="580">
        <f t="shared" si="515"/>
        <v>0</v>
      </c>
    </row>
    <row r="6118" spans="28:34">
      <c r="AB6118" s="580">
        <f>HLOOKUP("*"&amp;'Output annual'!$AC$2&amp;'Output annual'!$AD$2&amp;"*Zone People Number Of Occupants [](Hourly)",'Eplus results'!$1:$1048576,ROW(),FALSE)</f>
        <v>0</v>
      </c>
      <c r="AC6118" s="580">
        <f>HLOOKUP("*"&amp;'Output annual'!$AC$2&amp;'Output annual'!$AD$2&amp;"*FangerPMV(Hourly)",'Eplus results'!$1:$1048576,ROW(),FALSE)</f>
        <v>0</v>
      </c>
      <c r="AD6118" s="580">
        <f t="shared" si="511"/>
        <v>5</v>
      </c>
      <c r="AE6118" s="580">
        <f t="shared" si="512"/>
        <v>2.5</v>
      </c>
      <c r="AF6118" s="580">
        <f t="shared" si="513"/>
        <v>2.5</v>
      </c>
      <c r="AG6118" s="580">
        <f t="shared" si="514"/>
        <v>0</v>
      </c>
      <c r="AH6118" s="580">
        <f t="shared" si="515"/>
        <v>0</v>
      </c>
    </row>
    <row r="6119" spans="28:34">
      <c r="AB6119" s="580">
        <f>HLOOKUP("*"&amp;'Output annual'!$AC$2&amp;'Output annual'!$AD$2&amp;"*Zone People Number Of Occupants [](Hourly)",'Eplus results'!$1:$1048576,ROW(),FALSE)</f>
        <v>0</v>
      </c>
      <c r="AC6119" s="580">
        <f>HLOOKUP("*"&amp;'Output annual'!$AC$2&amp;'Output annual'!$AD$2&amp;"*FangerPMV(Hourly)",'Eplus results'!$1:$1048576,ROW(),FALSE)</f>
        <v>0</v>
      </c>
      <c r="AD6119" s="580">
        <f t="shared" si="511"/>
        <v>5</v>
      </c>
      <c r="AE6119" s="580">
        <f t="shared" si="512"/>
        <v>2.5</v>
      </c>
      <c r="AF6119" s="580">
        <f t="shared" si="513"/>
        <v>2.5</v>
      </c>
      <c r="AG6119" s="580">
        <f t="shared" si="514"/>
        <v>0</v>
      </c>
      <c r="AH6119" s="580">
        <f t="shared" si="515"/>
        <v>0</v>
      </c>
    </row>
    <row r="6120" spans="28:34">
      <c r="AB6120" s="580">
        <f>HLOOKUP("*"&amp;'Output annual'!$AC$2&amp;'Output annual'!$AD$2&amp;"*Zone People Number Of Occupants [](Hourly)",'Eplus results'!$1:$1048576,ROW(),FALSE)</f>
        <v>0</v>
      </c>
      <c r="AC6120" s="580">
        <f>HLOOKUP("*"&amp;'Output annual'!$AC$2&amp;'Output annual'!$AD$2&amp;"*FangerPMV(Hourly)",'Eplus results'!$1:$1048576,ROW(),FALSE)</f>
        <v>0</v>
      </c>
      <c r="AD6120" s="580">
        <f t="shared" si="511"/>
        <v>5</v>
      </c>
      <c r="AE6120" s="580">
        <f t="shared" si="512"/>
        <v>2.5</v>
      </c>
      <c r="AF6120" s="580">
        <f t="shared" si="513"/>
        <v>2.5</v>
      </c>
      <c r="AG6120" s="580">
        <f t="shared" si="514"/>
        <v>0</v>
      </c>
      <c r="AH6120" s="580">
        <f t="shared" si="515"/>
        <v>0</v>
      </c>
    </row>
    <row r="6121" spans="28:34">
      <c r="AB6121" s="580">
        <f>HLOOKUP("*"&amp;'Output annual'!$AC$2&amp;'Output annual'!$AD$2&amp;"*Zone People Number Of Occupants [](Hourly)",'Eplus results'!$1:$1048576,ROW(),FALSE)</f>
        <v>0</v>
      </c>
      <c r="AC6121" s="580">
        <f>HLOOKUP("*"&amp;'Output annual'!$AC$2&amp;'Output annual'!$AD$2&amp;"*FangerPMV(Hourly)",'Eplus results'!$1:$1048576,ROW(),FALSE)</f>
        <v>0</v>
      </c>
      <c r="AD6121" s="580">
        <f t="shared" si="511"/>
        <v>5</v>
      </c>
      <c r="AE6121" s="580">
        <f t="shared" si="512"/>
        <v>2.5</v>
      </c>
      <c r="AF6121" s="580">
        <f t="shared" si="513"/>
        <v>2.5</v>
      </c>
      <c r="AG6121" s="580">
        <f t="shared" si="514"/>
        <v>0</v>
      </c>
      <c r="AH6121" s="580">
        <f t="shared" si="515"/>
        <v>0</v>
      </c>
    </row>
    <row r="6122" spans="28:34">
      <c r="AB6122" s="580">
        <f>HLOOKUP("*"&amp;'Output annual'!$AC$2&amp;'Output annual'!$AD$2&amp;"*Zone People Number Of Occupants [](Hourly)",'Eplus results'!$1:$1048576,ROW(),FALSE)</f>
        <v>0</v>
      </c>
      <c r="AC6122" s="580">
        <f>HLOOKUP("*"&amp;'Output annual'!$AC$2&amp;'Output annual'!$AD$2&amp;"*FangerPMV(Hourly)",'Eplus results'!$1:$1048576,ROW(),FALSE)</f>
        <v>0</v>
      </c>
      <c r="AD6122" s="580">
        <f t="shared" si="511"/>
        <v>5</v>
      </c>
      <c r="AE6122" s="580">
        <f t="shared" si="512"/>
        <v>2.5</v>
      </c>
      <c r="AF6122" s="580">
        <f t="shared" si="513"/>
        <v>2.5</v>
      </c>
      <c r="AG6122" s="580">
        <f t="shared" si="514"/>
        <v>0</v>
      </c>
      <c r="AH6122" s="580">
        <f t="shared" si="515"/>
        <v>0</v>
      </c>
    </row>
    <row r="6123" spans="28:34">
      <c r="AB6123" s="580">
        <f>HLOOKUP("*"&amp;'Output annual'!$AC$2&amp;'Output annual'!$AD$2&amp;"*Zone People Number Of Occupants [](Hourly)",'Eplus results'!$1:$1048576,ROW(),FALSE)</f>
        <v>0</v>
      </c>
      <c r="AC6123" s="580">
        <f>HLOOKUP("*"&amp;'Output annual'!$AC$2&amp;'Output annual'!$AD$2&amp;"*FangerPMV(Hourly)",'Eplus results'!$1:$1048576,ROW(),FALSE)</f>
        <v>0</v>
      </c>
      <c r="AD6123" s="580">
        <f t="shared" si="511"/>
        <v>5</v>
      </c>
      <c r="AE6123" s="580">
        <f t="shared" si="512"/>
        <v>2.5</v>
      </c>
      <c r="AF6123" s="580">
        <f t="shared" si="513"/>
        <v>2.5</v>
      </c>
      <c r="AG6123" s="580">
        <f t="shared" si="514"/>
        <v>0</v>
      </c>
      <c r="AH6123" s="580">
        <f t="shared" si="515"/>
        <v>0</v>
      </c>
    </row>
    <row r="6124" spans="28:34">
      <c r="AB6124" s="580">
        <f>HLOOKUP("*"&amp;'Output annual'!$AC$2&amp;'Output annual'!$AD$2&amp;"*Zone People Number Of Occupants [](Hourly)",'Eplus results'!$1:$1048576,ROW(),FALSE)</f>
        <v>0</v>
      </c>
      <c r="AC6124" s="580">
        <f>HLOOKUP("*"&amp;'Output annual'!$AC$2&amp;'Output annual'!$AD$2&amp;"*FangerPMV(Hourly)",'Eplus results'!$1:$1048576,ROW(),FALSE)</f>
        <v>0</v>
      </c>
      <c r="AD6124" s="580">
        <f t="shared" si="511"/>
        <v>5</v>
      </c>
      <c r="AE6124" s="580">
        <f t="shared" si="512"/>
        <v>2.5</v>
      </c>
      <c r="AF6124" s="580">
        <f t="shared" si="513"/>
        <v>2.5</v>
      </c>
      <c r="AG6124" s="580">
        <f t="shared" si="514"/>
        <v>0</v>
      </c>
      <c r="AH6124" s="580">
        <f t="shared" si="515"/>
        <v>0</v>
      </c>
    </row>
    <row r="6125" spans="28:34">
      <c r="AB6125" s="580">
        <f>HLOOKUP("*"&amp;'Output annual'!$AC$2&amp;'Output annual'!$AD$2&amp;"*Zone People Number Of Occupants [](Hourly)",'Eplus results'!$1:$1048576,ROW(),FALSE)</f>
        <v>0</v>
      </c>
      <c r="AC6125" s="580">
        <f>HLOOKUP("*"&amp;'Output annual'!$AC$2&amp;'Output annual'!$AD$2&amp;"*FangerPMV(Hourly)",'Eplus results'!$1:$1048576,ROW(),FALSE)</f>
        <v>0</v>
      </c>
      <c r="AD6125" s="580">
        <f t="shared" si="511"/>
        <v>5</v>
      </c>
      <c r="AE6125" s="580">
        <f t="shared" si="512"/>
        <v>2.5</v>
      </c>
      <c r="AF6125" s="580">
        <f t="shared" si="513"/>
        <v>2.5</v>
      </c>
      <c r="AG6125" s="580">
        <f t="shared" si="514"/>
        <v>0</v>
      </c>
      <c r="AH6125" s="580">
        <f t="shared" si="515"/>
        <v>0</v>
      </c>
    </row>
    <row r="6126" spans="28:34">
      <c r="AB6126" s="580">
        <f>HLOOKUP("*"&amp;'Output annual'!$AC$2&amp;'Output annual'!$AD$2&amp;"*Zone People Number Of Occupants [](Hourly)",'Eplus results'!$1:$1048576,ROW(),FALSE)</f>
        <v>0</v>
      </c>
      <c r="AC6126" s="580">
        <f>HLOOKUP("*"&amp;'Output annual'!$AC$2&amp;'Output annual'!$AD$2&amp;"*FangerPMV(Hourly)",'Eplus results'!$1:$1048576,ROW(),FALSE)</f>
        <v>0</v>
      </c>
      <c r="AD6126" s="580">
        <f t="shared" si="511"/>
        <v>5</v>
      </c>
      <c r="AE6126" s="580">
        <f t="shared" si="512"/>
        <v>2.5</v>
      </c>
      <c r="AF6126" s="580">
        <f t="shared" si="513"/>
        <v>2.5</v>
      </c>
      <c r="AG6126" s="580">
        <f t="shared" si="514"/>
        <v>0</v>
      </c>
      <c r="AH6126" s="580">
        <f t="shared" si="515"/>
        <v>0</v>
      </c>
    </row>
    <row r="6127" spans="28:34">
      <c r="AB6127" s="580">
        <f>HLOOKUP("*"&amp;'Output annual'!$AC$2&amp;'Output annual'!$AD$2&amp;"*Zone People Number Of Occupants [](Hourly)",'Eplus results'!$1:$1048576,ROW(),FALSE)</f>
        <v>0</v>
      </c>
      <c r="AC6127" s="580">
        <f>HLOOKUP("*"&amp;'Output annual'!$AC$2&amp;'Output annual'!$AD$2&amp;"*FangerPMV(Hourly)",'Eplus results'!$1:$1048576,ROW(),FALSE)</f>
        <v>0</v>
      </c>
      <c r="AD6127" s="580">
        <f t="shared" si="511"/>
        <v>5</v>
      </c>
      <c r="AE6127" s="580">
        <f t="shared" si="512"/>
        <v>2.5</v>
      </c>
      <c r="AF6127" s="580">
        <f t="shared" si="513"/>
        <v>2.5</v>
      </c>
      <c r="AG6127" s="580">
        <f t="shared" si="514"/>
        <v>0</v>
      </c>
      <c r="AH6127" s="580">
        <f t="shared" si="515"/>
        <v>0</v>
      </c>
    </row>
    <row r="6128" spans="28:34">
      <c r="AB6128" s="580">
        <f>HLOOKUP("*"&amp;'Output annual'!$AC$2&amp;'Output annual'!$AD$2&amp;"*Zone People Number Of Occupants [](Hourly)",'Eplus results'!$1:$1048576,ROW(),FALSE)</f>
        <v>0</v>
      </c>
      <c r="AC6128" s="580">
        <f>HLOOKUP("*"&amp;'Output annual'!$AC$2&amp;'Output annual'!$AD$2&amp;"*FangerPMV(Hourly)",'Eplus results'!$1:$1048576,ROW(),FALSE)</f>
        <v>0</v>
      </c>
      <c r="AD6128" s="580">
        <f t="shared" si="511"/>
        <v>5</v>
      </c>
      <c r="AE6128" s="580">
        <f t="shared" si="512"/>
        <v>2.5</v>
      </c>
      <c r="AF6128" s="580">
        <f t="shared" si="513"/>
        <v>2.5</v>
      </c>
      <c r="AG6128" s="580">
        <f t="shared" si="514"/>
        <v>0</v>
      </c>
      <c r="AH6128" s="580">
        <f t="shared" si="515"/>
        <v>0</v>
      </c>
    </row>
    <row r="6129" spans="28:34">
      <c r="AB6129" s="580">
        <f>HLOOKUP("*"&amp;'Output annual'!$AC$2&amp;'Output annual'!$AD$2&amp;"*Zone People Number Of Occupants [](Hourly)",'Eplus results'!$1:$1048576,ROW(),FALSE)</f>
        <v>0</v>
      </c>
      <c r="AC6129" s="580">
        <f>HLOOKUP("*"&amp;'Output annual'!$AC$2&amp;'Output annual'!$AD$2&amp;"*FangerPMV(Hourly)",'Eplus results'!$1:$1048576,ROW(),FALSE)</f>
        <v>0</v>
      </c>
      <c r="AD6129" s="580">
        <f t="shared" si="511"/>
        <v>5</v>
      </c>
      <c r="AE6129" s="580">
        <f t="shared" si="512"/>
        <v>2.5</v>
      </c>
      <c r="AF6129" s="580">
        <f t="shared" si="513"/>
        <v>2.5</v>
      </c>
      <c r="AG6129" s="580">
        <f t="shared" si="514"/>
        <v>0</v>
      </c>
      <c r="AH6129" s="580">
        <f t="shared" si="515"/>
        <v>0</v>
      </c>
    </row>
    <row r="6130" spans="28:34">
      <c r="AB6130" s="580">
        <f>HLOOKUP("*"&amp;'Output annual'!$AC$2&amp;'Output annual'!$AD$2&amp;"*Zone People Number Of Occupants [](Hourly)",'Eplus results'!$1:$1048576,ROW(),FALSE)</f>
        <v>0</v>
      </c>
      <c r="AC6130" s="580">
        <f>HLOOKUP("*"&amp;'Output annual'!$AC$2&amp;'Output annual'!$AD$2&amp;"*FangerPMV(Hourly)",'Eplus results'!$1:$1048576,ROW(),FALSE)</f>
        <v>0</v>
      </c>
      <c r="AD6130" s="580">
        <f t="shared" si="511"/>
        <v>5</v>
      </c>
      <c r="AE6130" s="580">
        <f t="shared" si="512"/>
        <v>2.5</v>
      </c>
      <c r="AF6130" s="580">
        <f t="shared" si="513"/>
        <v>2.5</v>
      </c>
      <c r="AG6130" s="580">
        <f t="shared" si="514"/>
        <v>0</v>
      </c>
      <c r="AH6130" s="580">
        <f t="shared" si="515"/>
        <v>0</v>
      </c>
    </row>
    <row r="6131" spans="28:34">
      <c r="AB6131" s="580">
        <f>HLOOKUP("*"&amp;'Output annual'!$AC$2&amp;'Output annual'!$AD$2&amp;"*Zone People Number Of Occupants [](Hourly)",'Eplus results'!$1:$1048576,ROW(),FALSE)</f>
        <v>0</v>
      </c>
      <c r="AC6131" s="580">
        <f>HLOOKUP("*"&amp;'Output annual'!$AC$2&amp;'Output annual'!$AD$2&amp;"*FangerPMV(Hourly)",'Eplus results'!$1:$1048576,ROW(),FALSE)</f>
        <v>0</v>
      </c>
      <c r="AD6131" s="580">
        <f t="shared" si="511"/>
        <v>5</v>
      </c>
      <c r="AE6131" s="580">
        <f t="shared" si="512"/>
        <v>2.5</v>
      </c>
      <c r="AF6131" s="580">
        <f t="shared" si="513"/>
        <v>2.5</v>
      </c>
      <c r="AG6131" s="580">
        <f t="shared" si="514"/>
        <v>0</v>
      </c>
      <c r="AH6131" s="580">
        <f t="shared" si="515"/>
        <v>0</v>
      </c>
    </row>
    <row r="6132" spans="28:34">
      <c r="AB6132" s="580">
        <f>HLOOKUP("*"&amp;'Output annual'!$AC$2&amp;'Output annual'!$AD$2&amp;"*Zone People Number Of Occupants [](Hourly)",'Eplus results'!$1:$1048576,ROW(),FALSE)</f>
        <v>0</v>
      </c>
      <c r="AC6132" s="580">
        <f>HLOOKUP("*"&amp;'Output annual'!$AC$2&amp;'Output annual'!$AD$2&amp;"*FangerPMV(Hourly)",'Eplus results'!$1:$1048576,ROW(),FALSE)</f>
        <v>0</v>
      </c>
      <c r="AD6132" s="580">
        <f t="shared" si="511"/>
        <v>5</v>
      </c>
      <c r="AE6132" s="580">
        <f t="shared" si="512"/>
        <v>2.5</v>
      </c>
      <c r="AF6132" s="580">
        <f t="shared" si="513"/>
        <v>2.5</v>
      </c>
      <c r="AG6132" s="580">
        <f t="shared" si="514"/>
        <v>0</v>
      </c>
      <c r="AH6132" s="580">
        <f t="shared" si="515"/>
        <v>0</v>
      </c>
    </row>
    <row r="6133" spans="28:34">
      <c r="AB6133" s="580">
        <f>HLOOKUP("*"&amp;'Output annual'!$AC$2&amp;'Output annual'!$AD$2&amp;"*Zone People Number Of Occupants [](Hourly)",'Eplus results'!$1:$1048576,ROW(),FALSE)</f>
        <v>0</v>
      </c>
      <c r="AC6133" s="580">
        <f>HLOOKUP("*"&amp;'Output annual'!$AC$2&amp;'Output annual'!$AD$2&amp;"*FangerPMV(Hourly)",'Eplus results'!$1:$1048576,ROW(),FALSE)</f>
        <v>0</v>
      </c>
      <c r="AD6133" s="580">
        <f t="shared" si="511"/>
        <v>5</v>
      </c>
      <c r="AE6133" s="580">
        <f t="shared" si="512"/>
        <v>2.5</v>
      </c>
      <c r="AF6133" s="580">
        <f t="shared" si="513"/>
        <v>2.5</v>
      </c>
      <c r="AG6133" s="580">
        <f t="shared" si="514"/>
        <v>0</v>
      </c>
      <c r="AH6133" s="580">
        <f t="shared" si="515"/>
        <v>0</v>
      </c>
    </row>
    <row r="6134" spans="28:34">
      <c r="AB6134" s="580">
        <f>HLOOKUP("*"&amp;'Output annual'!$AC$2&amp;'Output annual'!$AD$2&amp;"*Zone People Number Of Occupants [](Hourly)",'Eplus results'!$1:$1048576,ROW(),FALSE)</f>
        <v>0</v>
      </c>
      <c r="AC6134" s="580">
        <f>HLOOKUP("*"&amp;'Output annual'!$AC$2&amp;'Output annual'!$AD$2&amp;"*FangerPMV(Hourly)",'Eplus results'!$1:$1048576,ROW(),FALSE)</f>
        <v>0</v>
      </c>
      <c r="AD6134" s="580">
        <f t="shared" si="511"/>
        <v>5</v>
      </c>
      <c r="AE6134" s="580">
        <f t="shared" si="512"/>
        <v>2.5</v>
      </c>
      <c r="AF6134" s="580">
        <f t="shared" si="513"/>
        <v>2.5</v>
      </c>
      <c r="AG6134" s="580">
        <f t="shared" si="514"/>
        <v>0</v>
      </c>
      <c r="AH6134" s="580">
        <f t="shared" si="515"/>
        <v>0</v>
      </c>
    </row>
    <row r="6135" spans="28:34">
      <c r="AB6135" s="580">
        <f>HLOOKUP("*"&amp;'Output annual'!$AC$2&amp;'Output annual'!$AD$2&amp;"*Zone People Number Of Occupants [](Hourly)",'Eplus results'!$1:$1048576,ROW(),FALSE)</f>
        <v>0</v>
      </c>
      <c r="AC6135" s="580">
        <f>HLOOKUP("*"&amp;'Output annual'!$AC$2&amp;'Output annual'!$AD$2&amp;"*FangerPMV(Hourly)",'Eplus results'!$1:$1048576,ROW(),FALSE)</f>
        <v>0</v>
      </c>
      <c r="AD6135" s="580">
        <f t="shared" si="511"/>
        <v>5</v>
      </c>
      <c r="AE6135" s="580">
        <f t="shared" si="512"/>
        <v>2.5</v>
      </c>
      <c r="AF6135" s="580">
        <f t="shared" si="513"/>
        <v>2.5</v>
      </c>
      <c r="AG6135" s="580">
        <f t="shared" si="514"/>
        <v>0</v>
      </c>
      <c r="AH6135" s="580">
        <f t="shared" si="515"/>
        <v>0</v>
      </c>
    </row>
    <row r="6136" spans="28:34">
      <c r="AB6136" s="580">
        <f>HLOOKUP("*"&amp;'Output annual'!$AC$2&amp;'Output annual'!$AD$2&amp;"*Zone People Number Of Occupants [](Hourly)",'Eplus results'!$1:$1048576,ROW(),FALSE)</f>
        <v>0</v>
      </c>
      <c r="AC6136" s="580">
        <f>HLOOKUP("*"&amp;'Output annual'!$AC$2&amp;'Output annual'!$AD$2&amp;"*FangerPMV(Hourly)",'Eplus results'!$1:$1048576,ROW(),FALSE)</f>
        <v>0</v>
      </c>
      <c r="AD6136" s="580">
        <f t="shared" si="511"/>
        <v>5</v>
      </c>
      <c r="AE6136" s="580">
        <f t="shared" si="512"/>
        <v>2.5</v>
      </c>
      <c r="AF6136" s="580">
        <f t="shared" si="513"/>
        <v>2.5</v>
      </c>
      <c r="AG6136" s="580">
        <f t="shared" si="514"/>
        <v>0</v>
      </c>
      <c r="AH6136" s="580">
        <f t="shared" si="515"/>
        <v>0</v>
      </c>
    </row>
    <row r="6137" spans="28:34">
      <c r="AB6137" s="580">
        <f>HLOOKUP("*"&amp;'Output annual'!$AC$2&amp;'Output annual'!$AD$2&amp;"*Zone People Number Of Occupants [](Hourly)",'Eplus results'!$1:$1048576,ROW(),FALSE)</f>
        <v>0</v>
      </c>
      <c r="AC6137" s="580">
        <f>HLOOKUP("*"&amp;'Output annual'!$AC$2&amp;'Output annual'!$AD$2&amp;"*FangerPMV(Hourly)",'Eplus results'!$1:$1048576,ROW(),FALSE)</f>
        <v>0</v>
      </c>
      <c r="AD6137" s="580">
        <f t="shared" si="511"/>
        <v>5</v>
      </c>
      <c r="AE6137" s="580">
        <f t="shared" si="512"/>
        <v>2.5</v>
      </c>
      <c r="AF6137" s="580">
        <f t="shared" si="513"/>
        <v>2.5</v>
      </c>
      <c r="AG6137" s="580">
        <f t="shared" si="514"/>
        <v>0</v>
      </c>
      <c r="AH6137" s="580">
        <f t="shared" si="515"/>
        <v>0</v>
      </c>
    </row>
    <row r="6138" spans="28:34">
      <c r="AB6138" s="580">
        <f>HLOOKUP("*"&amp;'Output annual'!$AC$2&amp;'Output annual'!$AD$2&amp;"*Zone People Number Of Occupants [](Hourly)",'Eplus results'!$1:$1048576,ROW(),FALSE)</f>
        <v>0</v>
      </c>
      <c r="AC6138" s="580">
        <f>HLOOKUP("*"&amp;'Output annual'!$AC$2&amp;'Output annual'!$AD$2&amp;"*FangerPMV(Hourly)",'Eplus results'!$1:$1048576,ROW(),FALSE)</f>
        <v>0</v>
      </c>
      <c r="AD6138" s="580">
        <f t="shared" si="511"/>
        <v>5</v>
      </c>
      <c r="AE6138" s="580">
        <f t="shared" si="512"/>
        <v>2.5</v>
      </c>
      <c r="AF6138" s="580">
        <f t="shared" si="513"/>
        <v>2.5</v>
      </c>
      <c r="AG6138" s="580">
        <f t="shared" si="514"/>
        <v>0</v>
      </c>
      <c r="AH6138" s="580">
        <f t="shared" si="515"/>
        <v>0</v>
      </c>
    </row>
    <row r="6139" spans="28:34">
      <c r="AB6139" s="580">
        <f>HLOOKUP("*"&amp;'Output annual'!$AC$2&amp;'Output annual'!$AD$2&amp;"*Zone People Number Of Occupants [](Hourly)",'Eplus results'!$1:$1048576,ROW(),FALSE)</f>
        <v>0</v>
      </c>
      <c r="AC6139" s="580">
        <f>HLOOKUP("*"&amp;'Output annual'!$AC$2&amp;'Output annual'!$AD$2&amp;"*FangerPMV(Hourly)",'Eplus results'!$1:$1048576,ROW(),FALSE)</f>
        <v>0</v>
      </c>
      <c r="AD6139" s="580">
        <f t="shared" si="511"/>
        <v>5</v>
      </c>
      <c r="AE6139" s="580">
        <f t="shared" si="512"/>
        <v>2.5</v>
      </c>
      <c r="AF6139" s="580">
        <f t="shared" si="513"/>
        <v>2.5</v>
      </c>
      <c r="AG6139" s="580">
        <f t="shared" si="514"/>
        <v>0</v>
      </c>
      <c r="AH6139" s="580">
        <f t="shared" si="515"/>
        <v>0</v>
      </c>
    </row>
    <row r="6140" spans="28:34">
      <c r="AB6140" s="580">
        <f>HLOOKUP("*"&amp;'Output annual'!$AC$2&amp;'Output annual'!$AD$2&amp;"*Zone People Number Of Occupants [](Hourly)",'Eplus results'!$1:$1048576,ROW(),FALSE)</f>
        <v>0</v>
      </c>
      <c r="AC6140" s="580">
        <f>HLOOKUP("*"&amp;'Output annual'!$AC$2&amp;'Output annual'!$AD$2&amp;"*FangerPMV(Hourly)",'Eplus results'!$1:$1048576,ROW(),FALSE)</f>
        <v>0</v>
      </c>
      <c r="AD6140" s="580">
        <f t="shared" si="511"/>
        <v>5</v>
      </c>
      <c r="AE6140" s="580">
        <f t="shared" si="512"/>
        <v>2.5</v>
      </c>
      <c r="AF6140" s="580">
        <f t="shared" si="513"/>
        <v>2.5</v>
      </c>
      <c r="AG6140" s="580">
        <f t="shared" si="514"/>
        <v>0</v>
      </c>
      <c r="AH6140" s="580">
        <f t="shared" si="515"/>
        <v>0</v>
      </c>
    </row>
    <row r="6141" spans="28:34">
      <c r="AB6141" s="580">
        <f>HLOOKUP("*"&amp;'Output annual'!$AC$2&amp;'Output annual'!$AD$2&amp;"*Zone People Number Of Occupants [](Hourly)",'Eplus results'!$1:$1048576,ROW(),FALSE)</f>
        <v>0</v>
      </c>
      <c r="AC6141" s="580">
        <f>HLOOKUP("*"&amp;'Output annual'!$AC$2&amp;'Output annual'!$AD$2&amp;"*FangerPMV(Hourly)",'Eplus results'!$1:$1048576,ROW(),FALSE)</f>
        <v>0</v>
      </c>
      <c r="AD6141" s="580">
        <f t="shared" si="511"/>
        <v>5</v>
      </c>
      <c r="AE6141" s="580">
        <f t="shared" si="512"/>
        <v>2.5</v>
      </c>
      <c r="AF6141" s="580">
        <f t="shared" si="513"/>
        <v>2.5</v>
      </c>
      <c r="AG6141" s="580">
        <f t="shared" si="514"/>
        <v>0</v>
      </c>
      <c r="AH6141" s="580">
        <f t="shared" si="515"/>
        <v>0</v>
      </c>
    </row>
    <row r="6142" spans="28:34">
      <c r="AB6142" s="580">
        <f>HLOOKUP("*"&amp;'Output annual'!$AC$2&amp;'Output annual'!$AD$2&amp;"*Zone People Number Of Occupants [](Hourly)",'Eplus results'!$1:$1048576,ROW(),FALSE)</f>
        <v>0</v>
      </c>
      <c r="AC6142" s="580">
        <f>HLOOKUP("*"&amp;'Output annual'!$AC$2&amp;'Output annual'!$AD$2&amp;"*FangerPMV(Hourly)",'Eplus results'!$1:$1048576,ROW(),FALSE)</f>
        <v>0</v>
      </c>
      <c r="AD6142" s="580">
        <f t="shared" si="511"/>
        <v>5</v>
      </c>
      <c r="AE6142" s="580">
        <f t="shared" si="512"/>
        <v>2.5</v>
      </c>
      <c r="AF6142" s="580">
        <f t="shared" si="513"/>
        <v>2.5</v>
      </c>
      <c r="AG6142" s="580">
        <f t="shared" si="514"/>
        <v>0</v>
      </c>
      <c r="AH6142" s="580">
        <f t="shared" si="515"/>
        <v>0</v>
      </c>
    </row>
    <row r="6143" spans="28:34">
      <c r="AB6143" s="580">
        <f>HLOOKUP("*"&amp;'Output annual'!$AC$2&amp;'Output annual'!$AD$2&amp;"*Zone People Number Of Occupants [](Hourly)",'Eplus results'!$1:$1048576,ROW(),FALSE)</f>
        <v>0</v>
      </c>
      <c r="AC6143" s="580">
        <f>HLOOKUP("*"&amp;'Output annual'!$AC$2&amp;'Output annual'!$AD$2&amp;"*FangerPMV(Hourly)",'Eplus results'!$1:$1048576,ROW(),FALSE)</f>
        <v>0</v>
      </c>
      <c r="AD6143" s="580">
        <f t="shared" si="511"/>
        <v>5</v>
      </c>
      <c r="AE6143" s="580">
        <f t="shared" si="512"/>
        <v>2.5</v>
      </c>
      <c r="AF6143" s="580">
        <f t="shared" si="513"/>
        <v>2.5</v>
      </c>
      <c r="AG6143" s="580">
        <f t="shared" si="514"/>
        <v>0</v>
      </c>
      <c r="AH6143" s="580">
        <f t="shared" si="515"/>
        <v>0</v>
      </c>
    </row>
    <row r="6144" spans="28:34">
      <c r="AB6144" s="580">
        <f>HLOOKUP("*"&amp;'Output annual'!$AC$2&amp;'Output annual'!$AD$2&amp;"*Zone People Number Of Occupants [](Hourly)",'Eplus results'!$1:$1048576,ROW(),FALSE)</f>
        <v>0</v>
      </c>
      <c r="AC6144" s="580">
        <f>HLOOKUP("*"&amp;'Output annual'!$AC$2&amp;'Output annual'!$AD$2&amp;"*FangerPMV(Hourly)",'Eplus results'!$1:$1048576,ROW(),FALSE)</f>
        <v>0</v>
      </c>
      <c r="AD6144" s="580">
        <f t="shared" si="511"/>
        <v>5</v>
      </c>
      <c r="AE6144" s="580">
        <f t="shared" si="512"/>
        <v>2.5</v>
      </c>
      <c r="AF6144" s="580">
        <f t="shared" si="513"/>
        <v>2.5</v>
      </c>
      <c r="AG6144" s="580">
        <f t="shared" si="514"/>
        <v>0</v>
      </c>
      <c r="AH6144" s="580">
        <f t="shared" si="515"/>
        <v>0</v>
      </c>
    </row>
    <row r="6145" spans="28:34">
      <c r="AB6145" s="580">
        <f>HLOOKUP("*"&amp;'Output annual'!$AC$2&amp;'Output annual'!$AD$2&amp;"*Zone People Number Of Occupants [](Hourly)",'Eplus results'!$1:$1048576,ROW(),FALSE)</f>
        <v>0</v>
      </c>
      <c r="AC6145" s="580">
        <f>HLOOKUP("*"&amp;'Output annual'!$AC$2&amp;'Output annual'!$AD$2&amp;"*FangerPMV(Hourly)",'Eplus results'!$1:$1048576,ROW(),FALSE)</f>
        <v>0</v>
      </c>
      <c r="AD6145" s="580">
        <f t="shared" si="511"/>
        <v>5</v>
      </c>
      <c r="AE6145" s="580">
        <f t="shared" si="512"/>
        <v>2.5</v>
      </c>
      <c r="AF6145" s="580">
        <f t="shared" si="513"/>
        <v>2.5</v>
      </c>
      <c r="AG6145" s="580">
        <f t="shared" si="514"/>
        <v>0</v>
      </c>
      <c r="AH6145" s="580">
        <f t="shared" si="515"/>
        <v>0</v>
      </c>
    </row>
    <row r="6146" spans="28:34">
      <c r="AB6146" s="580">
        <f>HLOOKUP("*"&amp;'Output annual'!$AC$2&amp;'Output annual'!$AD$2&amp;"*Zone People Number Of Occupants [](Hourly)",'Eplus results'!$1:$1048576,ROW(),FALSE)</f>
        <v>0</v>
      </c>
      <c r="AC6146" s="580">
        <f>HLOOKUP("*"&amp;'Output annual'!$AC$2&amp;'Output annual'!$AD$2&amp;"*FangerPMV(Hourly)",'Eplus results'!$1:$1048576,ROW(),FALSE)</f>
        <v>0</v>
      </c>
      <c r="AD6146" s="580">
        <f t="shared" si="511"/>
        <v>5</v>
      </c>
      <c r="AE6146" s="580">
        <f t="shared" si="512"/>
        <v>2.5</v>
      </c>
      <c r="AF6146" s="580">
        <f t="shared" si="513"/>
        <v>2.5</v>
      </c>
      <c r="AG6146" s="580">
        <f t="shared" si="514"/>
        <v>0</v>
      </c>
      <c r="AH6146" s="580">
        <f t="shared" si="515"/>
        <v>0</v>
      </c>
    </row>
    <row r="6147" spans="28:34">
      <c r="AB6147" s="580">
        <f>HLOOKUP("*"&amp;'Output annual'!$AC$2&amp;'Output annual'!$AD$2&amp;"*Zone People Number Of Occupants [](Hourly)",'Eplus results'!$1:$1048576,ROW(),FALSE)</f>
        <v>0</v>
      </c>
      <c r="AC6147" s="580">
        <f>HLOOKUP("*"&amp;'Output annual'!$AC$2&amp;'Output annual'!$AD$2&amp;"*FangerPMV(Hourly)",'Eplus results'!$1:$1048576,ROW(),FALSE)</f>
        <v>0</v>
      </c>
      <c r="AD6147" s="580">
        <f t="shared" ref="AD6147:AD6210" si="516">100-95*EXP(-0.03353*AC6147^4-0.2179*AC6147^2)</f>
        <v>5</v>
      </c>
      <c r="AE6147" s="580">
        <f t="shared" ref="AE6147:AE6210" si="517">AD6147*(1/(1+EXP(-6.3*$AC6147)))</f>
        <v>2.5</v>
      </c>
      <c r="AF6147" s="580">
        <f t="shared" ref="AF6147:AF6210" si="518">(AD6147-AE6147)</f>
        <v>2.5</v>
      </c>
      <c r="AG6147" s="580">
        <f t="shared" ref="AG6147:AG6210" si="519">AE6147*AB6147</f>
        <v>0</v>
      </c>
      <c r="AH6147" s="580">
        <f t="shared" ref="AH6147:AH6210" si="520">AF6147*AB6147</f>
        <v>0</v>
      </c>
    </row>
    <row r="6148" spans="28:34">
      <c r="AB6148" s="580">
        <f>HLOOKUP("*"&amp;'Output annual'!$AC$2&amp;'Output annual'!$AD$2&amp;"*Zone People Number Of Occupants [](Hourly)",'Eplus results'!$1:$1048576,ROW(),FALSE)</f>
        <v>0</v>
      </c>
      <c r="AC6148" s="580">
        <f>HLOOKUP("*"&amp;'Output annual'!$AC$2&amp;'Output annual'!$AD$2&amp;"*FangerPMV(Hourly)",'Eplus results'!$1:$1048576,ROW(),FALSE)</f>
        <v>0</v>
      </c>
      <c r="AD6148" s="580">
        <f t="shared" si="516"/>
        <v>5</v>
      </c>
      <c r="AE6148" s="580">
        <f t="shared" si="517"/>
        <v>2.5</v>
      </c>
      <c r="AF6148" s="580">
        <f t="shared" si="518"/>
        <v>2.5</v>
      </c>
      <c r="AG6148" s="580">
        <f t="shared" si="519"/>
        <v>0</v>
      </c>
      <c r="AH6148" s="580">
        <f t="shared" si="520"/>
        <v>0</v>
      </c>
    </row>
    <row r="6149" spans="28:34">
      <c r="AB6149" s="580">
        <f>HLOOKUP("*"&amp;'Output annual'!$AC$2&amp;'Output annual'!$AD$2&amp;"*Zone People Number Of Occupants [](Hourly)",'Eplus results'!$1:$1048576,ROW(),FALSE)</f>
        <v>0</v>
      </c>
      <c r="AC6149" s="580">
        <f>HLOOKUP("*"&amp;'Output annual'!$AC$2&amp;'Output annual'!$AD$2&amp;"*FangerPMV(Hourly)",'Eplus results'!$1:$1048576,ROW(),FALSE)</f>
        <v>0</v>
      </c>
      <c r="AD6149" s="580">
        <f t="shared" si="516"/>
        <v>5</v>
      </c>
      <c r="AE6149" s="580">
        <f t="shared" si="517"/>
        <v>2.5</v>
      </c>
      <c r="AF6149" s="580">
        <f t="shared" si="518"/>
        <v>2.5</v>
      </c>
      <c r="AG6149" s="580">
        <f t="shared" si="519"/>
        <v>0</v>
      </c>
      <c r="AH6149" s="580">
        <f t="shared" si="520"/>
        <v>0</v>
      </c>
    </row>
    <row r="6150" spans="28:34">
      <c r="AB6150" s="580">
        <f>HLOOKUP("*"&amp;'Output annual'!$AC$2&amp;'Output annual'!$AD$2&amp;"*Zone People Number Of Occupants [](Hourly)",'Eplus results'!$1:$1048576,ROW(),FALSE)</f>
        <v>0</v>
      </c>
      <c r="AC6150" s="580">
        <f>HLOOKUP("*"&amp;'Output annual'!$AC$2&amp;'Output annual'!$AD$2&amp;"*FangerPMV(Hourly)",'Eplus results'!$1:$1048576,ROW(),FALSE)</f>
        <v>0</v>
      </c>
      <c r="AD6150" s="580">
        <f t="shared" si="516"/>
        <v>5</v>
      </c>
      <c r="AE6150" s="580">
        <f t="shared" si="517"/>
        <v>2.5</v>
      </c>
      <c r="AF6150" s="580">
        <f t="shared" si="518"/>
        <v>2.5</v>
      </c>
      <c r="AG6150" s="580">
        <f t="shared" si="519"/>
        <v>0</v>
      </c>
      <c r="AH6150" s="580">
        <f t="shared" si="520"/>
        <v>0</v>
      </c>
    </row>
    <row r="6151" spans="28:34">
      <c r="AB6151" s="580">
        <f>HLOOKUP("*"&amp;'Output annual'!$AC$2&amp;'Output annual'!$AD$2&amp;"*Zone People Number Of Occupants [](Hourly)",'Eplus results'!$1:$1048576,ROW(),FALSE)</f>
        <v>0</v>
      </c>
      <c r="AC6151" s="580">
        <f>HLOOKUP("*"&amp;'Output annual'!$AC$2&amp;'Output annual'!$AD$2&amp;"*FangerPMV(Hourly)",'Eplus results'!$1:$1048576,ROW(),FALSE)</f>
        <v>0</v>
      </c>
      <c r="AD6151" s="580">
        <f t="shared" si="516"/>
        <v>5</v>
      </c>
      <c r="AE6151" s="580">
        <f t="shared" si="517"/>
        <v>2.5</v>
      </c>
      <c r="AF6151" s="580">
        <f t="shared" si="518"/>
        <v>2.5</v>
      </c>
      <c r="AG6151" s="580">
        <f t="shared" si="519"/>
        <v>0</v>
      </c>
      <c r="AH6151" s="580">
        <f t="shared" si="520"/>
        <v>0</v>
      </c>
    </row>
    <row r="6152" spans="28:34">
      <c r="AB6152" s="580">
        <f>HLOOKUP("*"&amp;'Output annual'!$AC$2&amp;'Output annual'!$AD$2&amp;"*Zone People Number Of Occupants [](Hourly)",'Eplus results'!$1:$1048576,ROW(),FALSE)</f>
        <v>0</v>
      </c>
      <c r="AC6152" s="580">
        <f>HLOOKUP("*"&amp;'Output annual'!$AC$2&amp;'Output annual'!$AD$2&amp;"*FangerPMV(Hourly)",'Eplus results'!$1:$1048576,ROW(),FALSE)</f>
        <v>0</v>
      </c>
      <c r="AD6152" s="580">
        <f t="shared" si="516"/>
        <v>5</v>
      </c>
      <c r="AE6152" s="580">
        <f t="shared" si="517"/>
        <v>2.5</v>
      </c>
      <c r="AF6152" s="580">
        <f t="shared" si="518"/>
        <v>2.5</v>
      </c>
      <c r="AG6152" s="580">
        <f t="shared" si="519"/>
        <v>0</v>
      </c>
      <c r="AH6152" s="580">
        <f t="shared" si="520"/>
        <v>0</v>
      </c>
    </row>
    <row r="6153" spans="28:34">
      <c r="AB6153" s="580">
        <f>HLOOKUP("*"&amp;'Output annual'!$AC$2&amp;'Output annual'!$AD$2&amp;"*Zone People Number Of Occupants [](Hourly)",'Eplus results'!$1:$1048576,ROW(),FALSE)</f>
        <v>0</v>
      </c>
      <c r="AC6153" s="580">
        <f>HLOOKUP("*"&amp;'Output annual'!$AC$2&amp;'Output annual'!$AD$2&amp;"*FangerPMV(Hourly)",'Eplus results'!$1:$1048576,ROW(),FALSE)</f>
        <v>0</v>
      </c>
      <c r="AD6153" s="580">
        <f t="shared" si="516"/>
        <v>5</v>
      </c>
      <c r="AE6153" s="580">
        <f t="shared" si="517"/>
        <v>2.5</v>
      </c>
      <c r="AF6153" s="580">
        <f t="shared" si="518"/>
        <v>2.5</v>
      </c>
      <c r="AG6153" s="580">
        <f t="shared" si="519"/>
        <v>0</v>
      </c>
      <c r="AH6153" s="580">
        <f t="shared" si="520"/>
        <v>0</v>
      </c>
    </row>
    <row r="6154" spans="28:34">
      <c r="AB6154" s="580">
        <f>HLOOKUP("*"&amp;'Output annual'!$AC$2&amp;'Output annual'!$AD$2&amp;"*Zone People Number Of Occupants [](Hourly)",'Eplus results'!$1:$1048576,ROW(),FALSE)</f>
        <v>0</v>
      </c>
      <c r="AC6154" s="580">
        <f>HLOOKUP("*"&amp;'Output annual'!$AC$2&amp;'Output annual'!$AD$2&amp;"*FangerPMV(Hourly)",'Eplus results'!$1:$1048576,ROW(),FALSE)</f>
        <v>0</v>
      </c>
      <c r="AD6154" s="580">
        <f t="shared" si="516"/>
        <v>5</v>
      </c>
      <c r="AE6154" s="580">
        <f t="shared" si="517"/>
        <v>2.5</v>
      </c>
      <c r="AF6154" s="580">
        <f t="shared" si="518"/>
        <v>2.5</v>
      </c>
      <c r="AG6154" s="580">
        <f t="shared" si="519"/>
        <v>0</v>
      </c>
      <c r="AH6154" s="580">
        <f t="shared" si="520"/>
        <v>0</v>
      </c>
    </row>
    <row r="6155" spans="28:34">
      <c r="AB6155" s="580">
        <f>HLOOKUP("*"&amp;'Output annual'!$AC$2&amp;'Output annual'!$AD$2&amp;"*Zone People Number Of Occupants [](Hourly)",'Eplus results'!$1:$1048576,ROW(),FALSE)</f>
        <v>0</v>
      </c>
      <c r="AC6155" s="580">
        <f>HLOOKUP("*"&amp;'Output annual'!$AC$2&amp;'Output annual'!$AD$2&amp;"*FangerPMV(Hourly)",'Eplus results'!$1:$1048576,ROW(),FALSE)</f>
        <v>0</v>
      </c>
      <c r="AD6155" s="580">
        <f t="shared" si="516"/>
        <v>5</v>
      </c>
      <c r="AE6155" s="580">
        <f t="shared" si="517"/>
        <v>2.5</v>
      </c>
      <c r="AF6155" s="580">
        <f t="shared" si="518"/>
        <v>2.5</v>
      </c>
      <c r="AG6155" s="580">
        <f t="shared" si="519"/>
        <v>0</v>
      </c>
      <c r="AH6155" s="580">
        <f t="shared" si="520"/>
        <v>0</v>
      </c>
    </row>
    <row r="6156" spans="28:34">
      <c r="AB6156" s="580">
        <f>HLOOKUP("*"&amp;'Output annual'!$AC$2&amp;'Output annual'!$AD$2&amp;"*Zone People Number Of Occupants [](Hourly)",'Eplus results'!$1:$1048576,ROW(),FALSE)</f>
        <v>0</v>
      </c>
      <c r="AC6156" s="580">
        <f>HLOOKUP("*"&amp;'Output annual'!$AC$2&amp;'Output annual'!$AD$2&amp;"*FangerPMV(Hourly)",'Eplus results'!$1:$1048576,ROW(),FALSE)</f>
        <v>0</v>
      </c>
      <c r="AD6156" s="580">
        <f t="shared" si="516"/>
        <v>5</v>
      </c>
      <c r="AE6156" s="580">
        <f t="shared" si="517"/>
        <v>2.5</v>
      </c>
      <c r="AF6156" s="580">
        <f t="shared" si="518"/>
        <v>2.5</v>
      </c>
      <c r="AG6156" s="580">
        <f t="shared" si="519"/>
        <v>0</v>
      </c>
      <c r="AH6156" s="580">
        <f t="shared" si="520"/>
        <v>0</v>
      </c>
    </row>
    <row r="6157" spans="28:34">
      <c r="AB6157" s="580">
        <f>HLOOKUP("*"&amp;'Output annual'!$AC$2&amp;'Output annual'!$AD$2&amp;"*Zone People Number Of Occupants [](Hourly)",'Eplus results'!$1:$1048576,ROW(),FALSE)</f>
        <v>0</v>
      </c>
      <c r="AC6157" s="580">
        <f>HLOOKUP("*"&amp;'Output annual'!$AC$2&amp;'Output annual'!$AD$2&amp;"*FangerPMV(Hourly)",'Eplus results'!$1:$1048576,ROW(),FALSE)</f>
        <v>0</v>
      </c>
      <c r="AD6157" s="580">
        <f t="shared" si="516"/>
        <v>5</v>
      </c>
      <c r="AE6157" s="580">
        <f t="shared" si="517"/>
        <v>2.5</v>
      </c>
      <c r="AF6157" s="580">
        <f t="shared" si="518"/>
        <v>2.5</v>
      </c>
      <c r="AG6157" s="580">
        <f t="shared" si="519"/>
        <v>0</v>
      </c>
      <c r="AH6157" s="580">
        <f t="shared" si="520"/>
        <v>0</v>
      </c>
    </row>
    <row r="6158" spans="28:34">
      <c r="AB6158" s="580">
        <f>HLOOKUP("*"&amp;'Output annual'!$AC$2&amp;'Output annual'!$AD$2&amp;"*Zone People Number Of Occupants [](Hourly)",'Eplus results'!$1:$1048576,ROW(),FALSE)</f>
        <v>0</v>
      </c>
      <c r="AC6158" s="580">
        <f>HLOOKUP("*"&amp;'Output annual'!$AC$2&amp;'Output annual'!$AD$2&amp;"*FangerPMV(Hourly)",'Eplus results'!$1:$1048576,ROW(),FALSE)</f>
        <v>0</v>
      </c>
      <c r="AD6158" s="580">
        <f t="shared" si="516"/>
        <v>5</v>
      </c>
      <c r="AE6158" s="580">
        <f t="shared" si="517"/>
        <v>2.5</v>
      </c>
      <c r="AF6158" s="580">
        <f t="shared" si="518"/>
        <v>2.5</v>
      </c>
      <c r="AG6158" s="580">
        <f t="shared" si="519"/>
        <v>0</v>
      </c>
      <c r="AH6158" s="580">
        <f t="shared" si="520"/>
        <v>0</v>
      </c>
    </row>
    <row r="6159" spans="28:34">
      <c r="AB6159" s="580">
        <f>HLOOKUP("*"&amp;'Output annual'!$AC$2&amp;'Output annual'!$AD$2&amp;"*Zone People Number Of Occupants [](Hourly)",'Eplus results'!$1:$1048576,ROW(),FALSE)</f>
        <v>0</v>
      </c>
      <c r="AC6159" s="580">
        <f>HLOOKUP("*"&amp;'Output annual'!$AC$2&amp;'Output annual'!$AD$2&amp;"*FangerPMV(Hourly)",'Eplus results'!$1:$1048576,ROW(),FALSE)</f>
        <v>0</v>
      </c>
      <c r="AD6159" s="580">
        <f t="shared" si="516"/>
        <v>5</v>
      </c>
      <c r="AE6159" s="580">
        <f t="shared" si="517"/>
        <v>2.5</v>
      </c>
      <c r="AF6159" s="580">
        <f t="shared" si="518"/>
        <v>2.5</v>
      </c>
      <c r="AG6159" s="580">
        <f t="shared" si="519"/>
        <v>0</v>
      </c>
      <c r="AH6159" s="580">
        <f t="shared" si="520"/>
        <v>0</v>
      </c>
    </row>
    <row r="6160" spans="28:34">
      <c r="AB6160" s="580">
        <f>HLOOKUP("*"&amp;'Output annual'!$AC$2&amp;'Output annual'!$AD$2&amp;"*Zone People Number Of Occupants [](Hourly)",'Eplus results'!$1:$1048576,ROW(),FALSE)</f>
        <v>0</v>
      </c>
      <c r="AC6160" s="580">
        <f>HLOOKUP("*"&amp;'Output annual'!$AC$2&amp;'Output annual'!$AD$2&amp;"*FangerPMV(Hourly)",'Eplus results'!$1:$1048576,ROW(),FALSE)</f>
        <v>0</v>
      </c>
      <c r="AD6160" s="580">
        <f t="shared" si="516"/>
        <v>5</v>
      </c>
      <c r="AE6160" s="580">
        <f t="shared" si="517"/>
        <v>2.5</v>
      </c>
      <c r="AF6160" s="580">
        <f t="shared" si="518"/>
        <v>2.5</v>
      </c>
      <c r="AG6160" s="580">
        <f t="shared" si="519"/>
        <v>0</v>
      </c>
      <c r="AH6160" s="580">
        <f t="shared" si="520"/>
        <v>0</v>
      </c>
    </row>
    <row r="6161" spans="28:34">
      <c r="AB6161" s="580">
        <f>HLOOKUP("*"&amp;'Output annual'!$AC$2&amp;'Output annual'!$AD$2&amp;"*Zone People Number Of Occupants [](Hourly)",'Eplus results'!$1:$1048576,ROW(),FALSE)</f>
        <v>0</v>
      </c>
      <c r="AC6161" s="580">
        <f>HLOOKUP("*"&amp;'Output annual'!$AC$2&amp;'Output annual'!$AD$2&amp;"*FangerPMV(Hourly)",'Eplus results'!$1:$1048576,ROW(),FALSE)</f>
        <v>0</v>
      </c>
      <c r="AD6161" s="580">
        <f t="shared" si="516"/>
        <v>5</v>
      </c>
      <c r="AE6161" s="580">
        <f t="shared" si="517"/>
        <v>2.5</v>
      </c>
      <c r="AF6161" s="580">
        <f t="shared" si="518"/>
        <v>2.5</v>
      </c>
      <c r="AG6161" s="580">
        <f t="shared" si="519"/>
        <v>0</v>
      </c>
      <c r="AH6161" s="580">
        <f t="shared" si="520"/>
        <v>0</v>
      </c>
    </row>
    <row r="6162" spans="28:34">
      <c r="AB6162" s="580">
        <f>HLOOKUP("*"&amp;'Output annual'!$AC$2&amp;'Output annual'!$AD$2&amp;"*Zone People Number Of Occupants [](Hourly)",'Eplus results'!$1:$1048576,ROW(),FALSE)</f>
        <v>0</v>
      </c>
      <c r="AC6162" s="580">
        <f>HLOOKUP("*"&amp;'Output annual'!$AC$2&amp;'Output annual'!$AD$2&amp;"*FangerPMV(Hourly)",'Eplus results'!$1:$1048576,ROW(),FALSE)</f>
        <v>0</v>
      </c>
      <c r="AD6162" s="580">
        <f t="shared" si="516"/>
        <v>5</v>
      </c>
      <c r="AE6162" s="580">
        <f t="shared" si="517"/>
        <v>2.5</v>
      </c>
      <c r="AF6162" s="580">
        <f t="shared" si="518"/>
        <v>2.5</v>
      </c>
      <c r="AG6162" s="580">
        <f t="shared" si="519"/>
        <v>0</v>
      </c>
      <c r="AH6162" s="580">
        <f t="shared" si="520"/>
        <v>0</v>
      </c>
    </row>
    <row r="6163" spans="28:34">
      <c r="AB6163" s="580">
        <f>HLOOKUP("*"&amp;'Output annual'!$AC$2&amp;'Output annual'!$AD$2&amp;"*Zone People Number Of Occupants [](Hourly)",'Eplus results'!$1:$1048576,ROW(),FALSE)</f>
        <v>0</v>
      </c>
      <c r="AC6163" s="580">
        <f>HLOOKUP("*"&amp;'Output annual'!$AC$2&amp;'Output annual'!$AD$2&amp;"*FangerPMV(Hourly)",'Eplus results'!$1:$1048576,ROW(),FALSE)</f>
        <v>0</v>
      </c>
      <c r="AD6163" s="580">
        <f t="shared" si="516"/>
        <v>5</v>
      </c>
      <c r="AE6163" s="580">
        <f t="shared" si="517"/>
        <v>2.5</v>
      </c>
      <c r="AF6163" s="580">
        <f t="shared" si="518"/>
        <v>2.5</v>
      </c>
      <c r="AG6163" s="580">
        <f t="shared" si="519"/>
        <v>0</v>
      </c>
      <c r="AH6163" s="580">
        <f t="shared" si="520"/>
        <v>0</v>
      </c>
    </row>
    <row r="6164" spans="28:34">
      <c r="AB6164" s="580">
        <f>HLOOKUP("*"&amp;'Output annual'!$AC$2&amp;'Output annual'!$AD$2&amp;"*Zone People Number Of Occupants [](Hourly)",'Eplus results'!$1:$1048576,ROW(),FALSE)</f>
        <v>0</v>
      </c>
      <c r="AC6164" s="580">
        <f>HLOOKUP("*"&amp;'Output annual'!$AC$2&amp;'Output annual'!$AD$2&amp;"*FangerPMV(Hourly)",'Eplus results'!$1:$1048576,ROW(),FALSE)</f>
        <v>0</v>
      </c>
      <c r="AD6164" s="580">
        <f t="shared" si="516"/>
        <v>5</v>
      </c>
      <c r="AE6164" s="580">
        <f t="shared" si="517"/>
        <v>2.5</v>
      </c>
      <c r="AF6164" s="580">
        <f t="shared" si="518"/>
        <v>2.5</v>
      </c>
      <c r="AG6164" s="580">
        <f t="shared" si="519"/>
        <v>0</v>
      </c>
      <c r="AH6164" s="580">
        <f t="shared" si="520"/>
        <v>0</v>
      </c>
    </row>
    <row r="6165" spans="28:34">
      <c r="AB6165" s="580">
        <f>HLOOKUP("*"&amp;'Output annual'!$AC$2&amp;'Output annual'!$AD$2&amp;"*Zone People Number Of Occupants [](Hourly)",'Eplus results'!$1:$1048576,ROW(),FALSE)</f>
        <v>0</v>
      </c>
      <c r="AC6165" s="580">
        <f>HLOOKUP("*"&amp;'Output annual'!$AC$2&amp;'Output annual'!$AD$2&amp;"*FangerPMV(Hourly)",'Eplus results'!$1:$1048576,ROW(),FALSE)</f>
        <v>0</v>
      </c>
      <c r="AD6165" s="580">
        <f t="shared" si="516"/>
        <v>5</v>
      </c>
      <c r="AE6165" s="580">
        <f t="shared" si="517"/>
        <v>2.5</v>
      </c>
      <c r="AF6165" s="580">
        <f t="shared" si="518"/>
        <v>2.5</v>
      </c>
      <c r="AG6165" s="580">
        <f t="shared" si="519"/>
        <v>0</v>
      </c>
      <c r="AH6165" s="580">
        <f t="shared" si="520"/>
        <v>0</v>
      </c>
    </row>
    <row r="6166" spans="28:34">
      <c r="AB6166" s="580">
        <f>HLOOKUP("*"&amp;'Output annual'!$AC$2&amp;'Output annual'!$AD$2&amp;"*Zone People Number Of Occupants [](Hourly)",'Eplus results'!$1:$1048576,ROW(),FALSE)</f>
        <v>0</v>
      </c>
      <c r="AC6166" s="580">
        <f>HLOOKUP("*"&amp;'Output annual'!$AC$2&amp;'Output annual'!$AD$2&amp;"*FangerPMV(Hourly)",'Eplus results'!$1:$1048576,ROW(),FALSE)</f>
        <v>0</v>
      </c>
      <c r="AD6166" s="580">
        <f t="shared" si="516"/>
        <v>5</v>
      </c>
      <c r="AE6166" s="580">
        <f t="shared" si="517"/>
        <v>2.5</v>
      </c>
      <c r="AF6166" s="580">
        <f t="shared" si="518"/>
        <v>2.5</v>
      </c>
      <c r="AG6166" s="580">
        <f t="shared" si="519"/>
        <v>0</v>
      </c>
      <c r="AH6166" s="580">
        <f t="shared" si="520"/>
        <v>0</v>
      </c>
    </row>
    <row r="6167" spans="28:34">
      <c r="AB6167" s="580">
        <f>HLOOKUP("*"&amp;'Output annual'!$AC$2&amp;'Output annual'!$AD$2&amp;"*Zone People Number Of Occupants [](Hourly)",'Eplus results'!$1:$1048576,ROW(),FALSE)</f>
        <v>0</v>
      </c>
      <c r="AC6167" s="580">
        <f>HLOOKUP("*"&amp;'Output annual'!$AC$2&amp;'Output annual'!$AD$2&amp;"*FangerPMV(Hourly)",'Eplus results'!$1:$1048576,ROW(),FALSE)</f>
        <v>0</v>
      </c>
      <c r="AD6167" s="580">
        <f t="shared" si="516"/>
        <v>5</v>
      </c>
      <c r="AE6167" s="580">
        <f t="shared" si="517"/>
        <v>2.5</v>
      </c>
      <c r="AF6167" s="580">
        <f t="shared" si="518"/>
        <v>2.5</v>
      </c>
      <c r="AG6167" s="580">
        <f t="shared" si="519"/>
        <v>0</v>
      </c>
      <c r="AH6167" s="580">
        <f t="shared" si="520"/>
        <v>0</v>
      </c>
    </row>
    <row r="6168" spans="28:34">
      <c r="AB6168" s="580">
        <f>HLOOKUP("*"&amp;'Output annual'!$AC$2&amp;'Output annual'!$AD$2&amp;"*Zone People Number Of Occupants [](Hourly)",'Eplus results'!$1:$1048576,ROW(),FALSE)</f>
        <v>0</v>
      </c>
      <c r="AC6168" s="580">
        <f>HLOOKUP("*"&amp;'Output annual'!$AC$2&amp;'Output annual'!$AD$2&amp;"*FangerPMV(Hourly)",'Eplus results'!$1:$1048576,ROW(),FALSE)</f>
        <v>0</v>
      </c>
      <c r="AD6168" s="580">
        <f t="shared" si="516"/>
        <v>5</v>
      </c>
      <c r="AE6168" s="580">
        <f t="shared" si="517"/>
        <v>2.5</v>
      </c>
      <c r="AF6168" s="580">
        <f t="shared" si="518"/>
        <v>2.5</v>
      </c>
      <c r="AG6168" s="580">
        <f t="shared" si="519"/>
        <v>0</v>
      </c>
      <c r="AH6168" s="580">
        <f t="shared" si="520"/>
        <v>0</v>
      </c>
    </row>
    <row r="6169" spans="28:34">
      <c r="AB6169" s="580">
        <f>HLOOKUP("*"&amp;'Output annual'!$AC$2&amp;'Output annual'!$AD$2&amp;"*Zone People Number Of Occupants [](Hourly)",'Eplus results'!$1:$1048576,ROW(),FALSE)</f>
        <v>0</v>
      </c>
      <c r="AC6169" s="580">
        <f>HLOOKUP("*"&amp;'Output annual'!$AC$2&amp;'Output annual'!$AD$2&amp;"*FangerPMV(Hourly)",'Eplus results'!$1:$1048576,ROW(),FALSE)</f>
        <v>0</v>
      </c>
      <c r="AD6169" s="580">
        <f t="shared" si="516"/>
        <v>5</v>
      </c>
      <c r="AE6169" s="580">
        <f t="shared" si="517"/>
        <v>2.5</v>
      </c>
      <c r="AF6169" s="580">
        <f t="shared" si="518"/>
        <v>2.5</v>
      </c>
      <c r="AG6169" s="580">
        <f t="shared" si="519"/>
        <v>0</v>
      </c>
      <c r="AH6169" s="580">
        <f t="shared" si="520"/>
        <v>0</v>
      </c>
    </row>
    <row r="6170" spans="28:34">
      <c r="AB6170" s="580">
        <f>HLOOKUP("*"&amp;'Output annual'!$AC$2&amp;'Output annual'!$AD$2&amp;"*Zone People Number Of Occupants [](Hourly)",'Eplus results'!$1:$1048576,ROW(),FALSE)</f>
        <v>0</v>
      </c>
      <c r="AC6170" s="580">
        <f>HLOOKUP("*"&amp;'Output annual'!$AC$2&amp;'Output annual'!$AD$2&amp;"*FangerPMV(Hourly)",'Eplus results'!$1:$1048576,ROW(),FALSE)</f>
        <v>0</v>
      </c>
      <c r="AD6170" s="580">
        <f t="shared" si="516"/>
        <v>5</v>
      </c>
      <c r="AE6170" s="580">
        <f t="shared" si="517"/>
        <v>2.5</v>
      </c>
      <c r="AF6170" s="580">
        <f t="shared" si="518"/>
        <v>2.5</v>
      </c>
      <c r="AG6170" s="580">
        <f t="shared" si="519"/>
        <v>0</v>
      </c>
      <c r="AH6170" s="580">
        <f t="shared" si="520"/>
        <v>0</v>
      </c>
    </row>
    <row r="6171" spans="28:34">
      <c r="AB6171" s="580">
        <f>HLOOKUP("*"&amp;'Output annual'!$AC$2&amp;'Output annual'!$AD$2&amp;"*Zone People Number Of Occupants [](Hourly)",'Eplus results'!$1:$1048576,ROW(),FALSE)</f>
        <v>0</v>
      </c>
      <c r="AC6171" s="580">
        <f>HLOOKUP("*"&amp;'Output annual'!$AC$2&amp;'Output annual'!$AD$2&amp;"*FangerPMV(Hourly)",'Eplus results'!$1:$1048576,ROW(),FALSE)</f>
        <v>0</v>
      </c>
      <c r="AD6171" s="580">
        <f t="shared" si="516"/>
        <v>5</v>
      </c>
      <c r="AE6171" s="580">
        <f t="shared" si="517"/>
        <v>2.5</v>
      </c>
      <c r="AF6171" s="580">
        <f t="shared" si="518"/>
        <v>2.5</v>
      </c>
      <c r="AG6171" s="580">
        <f t="shared" si="519"/>
        <v>0</v>
      </c>
      <c r="AH6171" s="580">
        <f t="shared" si="520"/>
        <v>0</v>
      </c>
    </row>
    <row r="6172" spans="28:34">
      <c r="AB6172" s="580">
        <f>HLOOKUP("*"&amp;'Output annual'!$AC$2&amp;'Output annual'!$AD$2&amp;"*Zone People Number Of Occupants [](Hourly)",'Eplus results'!$1:$1048576,ROW(),FALSE)</f>
        <v>0</v>
      </c>
      <c r="AC6172" s="580">
        <f>HLOOKUP("*"&amp;'Output annual'!$AC$2&amp;'Output annual'!$AD$2&amp;"*FangerPMV(Hourly)",'Eplus results'!$1:$1048576,ROW(),FALSE)</f>
        <v>0</v>
      </c>
      <c r="AD6172" s="580">
        <f t="shared" si="516"/>
        <v>5</v>
      </c>
      <c r="AE6172" s="580">
        <f t="shared" si="517"/>
        <v>2.5</v>
      </c>
      <c r="AF6172" s="580">
        <f t="shared" si="518"/>
        <v>2.5</v>
      </c>
      <c r="AG6172" s="580">
        <f t="shared" si="519"/>
        <v>0</v>
      </c>
      <c r="AH6172" s="580">
        <f t="shared" si="520"/>
        <v>0</v>
      </c>
    </row>
    <row r="6173" spans="28:34">
      <c r="AB6173" s="580">
        <f>HLOOKUP("*"&amp;'Output annual'!$AC$2&amp;'Output annual'!$AD$2&amp;"*Zone People Number Of Occupants [](Hourly)",'Eplus results'!$1:$1048576,ROW(),FALSE)</f>
        <v>0</v>
      </c>
      <c r="AC6173" s="580">
        <f>HLOOKUP("*"&amp;'Output annual'!$AC$2&amp;'Output annual'!$AD$2&amp;"*FangerPMV(Hourly)",'Eplus results'!$1:$1048576,ROW(),FALSE)</f>
        <v>0</v>
      </c>
      <c r="AD6173" s="580">
        <f t="shared" si="516"/>
        <v>5</v>
      </c>
      <c r="AE6173" s="580">
        <f t="shared" si="517"/>
        <v>2.5</v>
      </c>
      <c r="AF6173" s="580">
        <f t="shared" si="518"/>
        <v>2.5</v>
      </c>
      <c r="AG6173" s="580">
        <f t="shared" si="519"/>
        <v>0</v>
      </c>
      <c r="AH6173" s="580">
        <f t="shared" si="520"/>
        <v>0</v>
      </c>
    </row>
    <row r="6174" spans="28:34">
      <c r="AB6174" s="580">
        <f>HLOOKUP("*"&amp;'Output annual'!$AC$2&amp;'Output annual'!$AD$2&amp;"*Zone People Number Of Occupants [](Hourly)",'Eplus results'!$1:$1048576,ROW(),FALSE)</f>
        <v>0</v>
      </c>
      <c r="AC6174" s="580">
        <f>HLOOKUP("*"&amp;'Output annual'!$AC$2&amp;'Output annual'!$AD$2&amp;"*FangerPMV(Hourly)",'Eplus results'!$1:$1048576,ROW(),FALSE)</f>
        <v>0</v>
      </c>
      <c r="AD6174" s="580">
        <f t="shared" si="516"/>
        <v>5</v>
      </c>
      <c r="AE6174" s="580">
        <f t="shared" si="517"/>
        <v>2.5</v>
      </c>
      <c r="AF6174" s="580">
        <f t="shared" si="518"/>
        <v>2.5</v>
      </c>
      <c r="AG6174" s="580">
        <f t="shared" si="519"/>
        <v>0</v>
      </c>
      <c r="AH6174" s="580">
        <f t="shared" si="520"/>
        <v>0</v>
      </c>
    </row>
    <row r="6175" spans="28:34">
      <c r="AB6175" s="580">
        <f>HLOOKUP("*"&amp;'Output annual'!$AC$2&amp;'Output annual'!$AD$2&amp;"*Zone People Number Of Occupants [](Hourly)",'Eplus results'!$1:$1048576,ROW(),FALSE)</f>
        <v>0</v>
      </c>
      <c r="AC6175" s="580">
        <f>HLOOKUP("*"&amp;'Output annual'!$AC$2&amp;'Output annual'!$AD$2&amp;"*FangerPMV(Hourly)",'Eplus results'!$1:$1048576,ROW(),FALSE)</f>
        <v>0</v>
      </c>
      <c r="AD6175" s="580">
        <f t="shared" si="516"/>
        <v>5</v>
      </c>
      <c r="AE6175" s="580">
        <f t="shared" si="517"/>
        <v>2.5</v>
      </c>
      <c r="AF6175" s="580">
        <f t="shared" si="518"/>
        <v>2.5</v>
      </c>
      <c r="AG6175" s="580">
        <f t="shared" si="519"/>
        <v>0</v>
      </c>
      <c r="AH6175" s="580">
        <f t="shared" si="520"/>
        <v>0</v>
      </c>
    </row>
    <row r="6176" spans="28:34">
      <c r="AB6176" s="580">
        <f>HLOOKUP("*"&amp;'Output annual'!$AC$2&amp;'Output annual'!$AD$2&amp;"*Zone People Number Of Occupants [](Hourly)",'Eplus results'!$1:$1048576,ROW(),FALSE)</f>
        <v>0</v>
      </c>
      <c r="AC6176" s="580">
        <f>HLOOKUP("*"&amp;'Output annual'!$AC$2&amp;'Output annual'!$AD$2&amp;"*FangerPMV(Hourly)",'Eplus results'!$1:$1048576,ROW(),FALSE)</f>
        <v>0</v>
      </c>
      <c r="AD6176" s="580">
        <f t="shared" si="516"/>
        <v>5</v>
      </c>
      <c r="AE6176" s="580">
        <f t="shared" si="517"/>
        <v>2.5</v>
      </c>
      <c r="AF6176" s="580">
        <f t="shared" si="518"/>
        <v>2.5</v>
      </c>
      <c r="AG6176" s="580">
        <f t="shared" si="519"/>
        <v>0</v>
      </c>
      <c r="AH6176" s="580">
        <f t="shared" si="520"/>
        <v>0</v>
      </c>
    </row>
    <row r="6177" spans="28:34">
      <c r="AB6177" s="580">
        <f>HLOOKUP("*"&amp;'Output annual'!$AC$2&amp;'Output annual'!$AD$2&amp;"*Zone People Number Of Occupants [](Hourly)",'Eplus results'!$1:$1048576,ROW(),FALSE)</f>
        <v>0</v>
      </c>
      <c r="AC6177" s="580">
        <f>HLOOKUP("*"&amp;'Output annual'!$AC$2&amp;'Output annual'!$AD$2&amp;"*FangerPMV(Hourly)",'Eplus results'!$1:$1048576,ROW(),FALSE)</f>
        <v>0</v>
      </c>
      <c r="AD6177" s="580">
        <f t="shared" si="516"/>
        <v>5</v>
      </c>
      <c r="AE6177" s="580">
        <f t="shared" si="517"/>
        <v>2.5</v>
      </c>
      <c r="AF6177" s="580">
        <f t="shared" si="518"/>
        <v>2.5</v>
      </c>
      <c r="AG6177" s="580">
        <f t="shared" si="519"/>
        <v>0</v>
      </c>
      <c r="AH6177" s="580">
        <f t="shared" si="520"/>
        <v>0</v>
      </c>
    </row>
    <row r="6178" spans="28:34">
      <c r="AB6178" s="580">
        <f>HLOOKUP("*"&amp;'Output annual'!$AC$2&amp;'Output annual'!$AD$2&amp;"*Zone People Number Of Occupants [](Hourly)",'Eplus results'!$1:$1048576,ROW(),FALSE)</f>
        <v>0</v>
      </c>
      <c r="AC6178" s="580">
        <f>HLOOKUP("*"&amp;'Output annual'!$AC$2&amp;'Output annual'!$AD$2&amp;"*FangerPMV(Hourly)",'Eplus results'!$1:$1048576,ROW(),FALSE)</f>
        <v>0</v>
      </c>
      <c r="AD6178" s="580">
        <f t="shared" si="516"/>
        <v>5</v>
      </c>
      <c r="AE6178" s="580">
        <f t="shared" si="517"/>
        <v>2.5</v>
      </c>
      <c r="AF6178" s="580">
        <f t="shared" si="518"/>
        <v>2.5</v>
      </c>
      <c r="AG6178" s="580">
        <f t="shared" si="519"/>
        <v>0</v>
      </c>
      <c r="AH6178" s="580">
        <f t="shared" si="520"/>
        <v>0</v>
      </c>
    </row>
    <row r="6179" spans="28:34">
      <c r="AB6179" s="580">
        <f>HLOOKUP("*"&amp;'Output annual'!$AC$2&amp;'Output annual'!$AD$2&amp;"*Zone People Number Of Occupants [](Hourly)",'Eplus results'!$1:$1048576,ROW(),FALSE)</f>
        <v>0</v>
      </c>
      <c r="AC6179" s="580">
        <f>HLOOKUP("*"&amp;'Output annual'!$AC$2&amp;'Output annual'!$AD$2&amp;"*FangerPMV(Hourly)",'Eplus results'!$1:$1048576,ROW(),FALSE)</f>
        <v>0</v>
      </c>
      <c r="AD6179" s="580">
        <f t="shared" si="516"/>
        <v>5</v>
      </c>
      <c r="AE6179" s="580">
        <f t="shared" si="517"/>
        <v>2.5</v>
      </c>
      <c r="AF6179" s="580">
        <f t="shared" si="518"/>
        <v>2.5</v>
      </c>
      <c r="AG6179" s="580">
        <f t="shared" si="519"/>
        <v>0</v>
      </c>
      <c r="AH6179" s="580">
        <f t="shared" si="520"/>
        <v>0</v>
      </c>
    </row>
    <row r="6180" spans="28:34">
      <c r="AB6180" s="580">
        <f>HLOOKUP("*"&amp;'Output annual'!$AC$2&amp;'Output annual'!$AD$2&amp;"*Zone People Number Of Occupants [](Hourly)",'Eplus results'!$1:$1048576,ROW(),FALSE)</f>
        <v>0</v>
      </c>
      <c r="AC6180" s="580">
        <f>HLOOKUP("*"&amp;'Output annual'!$AC$2&amp;'Output annual'!$AD$2&amp;"*FangerPMV(Hourly)",'Eplus results'!$1:$1048576,ROW(),FALSE)</f>
        <v>0</v>
      </c>
      <c r="AD6180" s="580">
        <f t="shared" si="516"/>
        <v>5</v>
      </c>
      <c r="AE6180" s="580">
        <f t="shared" si="517"/>
        <v>2.5</v>
      </c>
      <c r="AF6180" s="580">
        <f t="shared" si="518"/>
        <v>2.5</v>
      </c>
      <c r="AG6180" s="580">
        <f t="shared" si="519"/>
        <v>0</v>
      </c>
      <c r="AH6180" s="580">
        <f t="shared" si="520"/>
        <v>0</v>
      </c>
    </row>
    <row r="6181" spans="28:34">
      <c r="AB6181" s="580">
        <f>HLOOKUP("*"&amp;'Output annual'!$AC$2&amp;'Output annual'!$AD$2&amp;"*Zone People Number Of Occupants [](Hourly)",'Eplus results'!$1:$1048576,ROW(),FALSE)</f>
        <v>0</v>
      </c>
      <c r="AC6181" s="580">
        <f>HLOOKUP("*"&amp;'Output annual'!$AC$2&amp;'Output annual'!$AD$2&amp;"*FangerPMV(Hourly)",'Eplus results'!$1:$1048576,ROW(),FALSE)</f>
        <v>0</v>
      </c>
      <c r="AD6181" s="580">
        <f t="shared" si="516"/>
        <v>5</v>
      </c>
      <c r="AE6181" s="580">
        <f t="shared" si="517"/>
        <v>2.5</v>
      </c>
      <c r="AF6181" s="580">
        <f t="shared" si="518"/>
        <v>2.5</v>
      </c>
      <c r="AG6181" s="580">
        <f t="shared" si="519"/>
        <v>0</v>
      </c>
      <c r="AH6181" s="580">
        <f t="shared" si="520"/>
        <v>0</v>
      </c>
    </row>
    <row r="6182" spans="28:34">
      <c r="AB6182" s="580">
        <f>HLOOKUP("*"&amp;'Output annual'!$AC$2&amp;'Output annual'!$AD$2&amp;"*Zone People Number Of Occupants [](Hourly)",'Eplus results'!$1:$1048576,ROW(),FALSE)</f>
        <v>0</v>
      </c>
      <c r="AC6182" s="580">
        <f>HLOOKUP("*"&amp;'Output annual'!$AC$2&amp;'Output annual'!$AD$2&amp;"*FangerPMV(Hourly)",'Eplus results'!$1:$1048576,ROW(),FALSE)</f>
        <v>0</v>
      </c>
      <c r="AD6182" s="580">
        <f t="shared" si="516"/>
        <v>5</v>
      </c>
      <c r="AE6182" s="580">
        <f t="shared" si="517"/>
        <v>2.5</v>
      </c>
      <c r="AF6182" s="580">
        <f t="shared" si="518"/>
        <v>2.5</v>
      </c>
      <c r="AG6182" s="580">
        <f t="shared" si="519"/>
        <v>0</v>
      </c>
      <c r="AH6182" s="580">
        <f t="shared" si="520"/>
        <v>0</v>
      </c>
    </row>
    <row r="6183" spans="28:34">
      <c r="AB6183" s="580">
        <f>HLOOKUP("*"&amp;'Output annual'!$AC$2&amp;'Output annual'!$AD$2&amp;"*Zone People Number Of Occupants [](Hourly)",'Eplus results'!$1:$1048576,ROW(),FALSE)</f>
        <v>0</v>
      </c>
      <c r="AC6183" s="580">
        <f>HLOOKUP("*"&amp;'Output annual'!$AC$2&amp;'Output annual'!$AD$2&amp;"*FangerPMV(Hourly)",'Eplus results'!$1:$1048576,ROW(),FALSE)</f>
        <v>0</v>
      </c>
      <c r="AD6183" s="580">
        <f t="shared" si="516"/>
        <v>5</v>
      </c>
      <c r="AE6183" s="580">
        <f t="shared" si="517"/>
        <v>2.5</v>
      </c>
      <c r="AF6183" s="580">
        <f t="shared" si="518"/>
        <v>2.5</v>
      </c>
      <c r="AG6183" s="580">
        <f t="shared" si="519"/>
        <v>0</v>
      </c>
      <c r="AH6183" s="580">
        <f t="shared" si="520"/>
        <v>0</v>
      </c>
    </row>
    <row r="6184" spans="28:34">
      <c r="AB6184" s="580">
        <f>HLOOKUP("*"&amp;'Output annual'!$AC$2&amp;'Output annual'!$AD$2&amp;"*Zone People Number Of Occupants [](Hourly)",'Eplus results'!$1:$1048576,ROW(),FALSE)</f>
        <v>0</v>
      </c>
      <c r="AC6184" s="580">
        <f>HLOOKUP("*"&amp;'Output annual'!$AC$2&amp;'Output annual'!$AD$2&amp;"*FangerPMV(Hourly)",'Eplus results'!$1:$1048576,ROW(),FALSE)</f>
        <v>0</v>
      </c>
      <c r="AD6184" s="580">
        <f t="shared" si="516"/>
        <v>5</v>
      </c>
      <c r="AE6184" s="580">
        <f t="shared" si="517"/>
        <v>2.5</v>
      </c>
      <c r="AF6184" s="580">
        <f t="shared" si="518"/>
        <v>2.5</v>
      </c>
      <c r="AG6184" s="580">
        <f t="shared" si="519"/>
        <v>0</v>
      </c>
      <c r="AH6184" s="580">
        <f t="shared" si="520"/>
        <v>0</v>
      </c>
    </row>
    <row r="6185" spans="28:34">
      <c r="AB6185" s="580">
        <f>HLOOKUP("*"&amp;'Output annual'!$AC$2&amp;'Output annual'!$AD$2&amp;"*Zone People Number Of Occupants [](Hourly)",'Eplus results'!$1:$1048576,ROW(),FALSE)</f>
        <v>0</v>
      </c>
      <c r="AC6185" s="580">
        <f>HLOOKUP("*"&amp;'Output annual'!$AC$2&amp;'Output annual'!$AD$2&amp;"*FangerPMV(Hourly)",'Eplus results'!$1:$1048576,ROW(),FALSE)</f>
        <v>0</v>
      </c>
      <c r="AD6185" s="580">
        <f t="shared" si="516"/>
        <v>5</v>
      </c>
      <c r="AE6185" s="580">
        <f t="shared" si="517"/>
        <v>2.5</v>
      </c>
      <c r="AF6185" s="580">
        <f t="shared" si="518"/>
        <v>2.5</v>
      </c>
      <c r="AG6185" s="580">
        <f t="shared" si="519"/>
        <v>0</v>
      </c>
      <c r="AH6185" s="580">
        <f t="shared" si="520"/>
        <v>0</v>
      </c>
    </row>
    <row r="6186" spans="28:34">
      <c r="AB6186" s="580">
        <f>HLOOKUP("*"&amp;'Output annual'!$AC$2&amp;'Output annual'!$AD$2&amp;"*Zone People Number Of Occupants [](Hourly)",'Eplus results'!$1:$1048576,ROW(),FALSE)</f>
        <v>0</v>
      </c>
      <c r="AC6186" s="580">
        <f>HLOOKUP("*"&amp;'Output annual'!$AC$2&amp;'Output annual'!$AD$2&amp;"*FangerPMV(Hourly)",'Eplus results'!$1:$1048576,ROW(),FALSE)</f>
        <v>0</v>
      </c>
      <c r="AD6186" s="580">
        <f t="shared" si="516"/>
        <v>5</v>
      </c>
      <c r="AE6186" s="580">
        <f t="shared" si="517"/>
        <v>2.5</v>
      </c>
      <c r="AF6186" s="580">
        <f t="shared" si="518"/>
        <v>2.5</v>
      </c>
      <c r="AG6186" s="580">
        <f t="shared" si="519"/>
        <v>0</v>
      </c>
      <c r="AH6186" s="580">
        <f t="shared" si="520"/>
        <v>0</v>
      </c>
    </row>
    <row r="6187" spans="28:34">
      <c r="AB6187" s="580">
        <f>HLOOKUP("*"&amp;'Output annual'!$AC$2&amp;'Output annual'!$AD$2&amp;"*Zone People Number Of Occupants [](Hourly)",'Eplus results'!$1:$1048576,ROW(),FALSE)</f>
        <v>0</v>
      </c>
      <c r="AC6187" s="580">
        <f>HLOOKUP("*"&amp;'Output annual'!$AC$2&amp;'Output annual'!$AD$2&amp;"*FangerPMV(Hourly)",'Eplus results'!$1:$1048576,ROW(),FALSE)</f>
        <v>0</v>
      </c>
      <c r="AD6187" s="580">
        <f t="shared" si="516"/>
        <v>5</v>
      </c>
      <c r="AE6187" s="580">
        <f t="shared" si="517"/>
        <v>2.5</v>
      </c>
      <c r="AF6187" s="580">
        <f t="shared" si="518"/>
        <v>2.5</v>
      </c>
      <c r="AG6187" s="580">
        <f t="shared" si="519"/>
        <v>0</v>
      </c>
      <c r="AH6187" s="580">
        <f t="shared" si="520"/>
        <v>0</v>
      </c>
    </row>
    <row r="6188" spans="28:34">
      <c r="AB6188" s="580">
        <f>HLOOKUP("*"&amp;'Output annual'!$AC$2&amp;'Output annual'!$AD$2&amp;"*Zone People Number Of Occupants [](Hourly)",'Eplus results'!$1:$1048576,ROW(),FALSE)</f>
        <v>0</v>
      </c>
      <c r="AC6188" s="580">
        <f>HLOOKUP("*"&amp;'Output annual'!$AC$2&amp;'Output annual'!$AD$2&amp;"*FangerPMV(Hourly)",'Eplus results'!$1:$1048576,ROW(),FALSE)</f>
        <v>0</v>
      </c>
      <c r="AD6188" s="580">
        <f t="shared" si="516"/>
        <v>5</v>
      </c>
      <c r="AE6188" s="580">
        <f t="shared" si="517"/>
        <v>2.5</v>
      </c>
      <c r="AF6188" s="580">
        <f t="shared" si="518"/>
        <v>2.5</v>
      </c>
      <c r="AG6188" s="580">
        <f t="shared" si="519"/>
        <v>0</v>
      </c>
      <c r="AH6188" s="580">
        <f t="shared" si="520"/>
        <v>0</v>
      </c>
    </row>
    <row r="6189" spans="28:34">
      <c r="AB6189" s="580">
        <f>HLOOKUP("*"&amp;'Output annual'!$AC$2&amp;'Output annual'!$AD$2&amp;"*Zone People Number Of Occupants [](Hourly)",'Eplus results'!$1:$1048576,ROW(),FALSE)</f>
        <v>0</v>
      </c>
      <c r="AC6189" s="580">
        <f>HLOOKUP("*"&amp;'Output annual'!$AC$2&amp;'Output annual'!$AD$2&amp;"*FangerPMV(Hourly)",'Eplus results'!$1:$1048576,ROW(),FALSE)</f>
        <v>0</v>
      </c>
      <c r="AD6189" s="580">
        <f t="shared" si="516"/>
        <v>5</v>
      </c>
      <c r="AE6189" s="580">
        <f t="shared" si="517"/>
        <v>2.5</v>
      </c>
      <c r="AF6189" s="580">
        <f t="shared" si="518"/>
        <v>2.5</v>
      </c>
      <c r="AG6189" s="580">
        <f t="shared" si="519"/>
        <v>0</v>
      </c>
      <c r="AH6189" s="580">
        <f t="shared" si="520"/>
        <v>0</v>
      </c>
    </row>
    <row r="6190" spans="28:34">
      <c r="AB6190" s="580">
        <f>HLOOKUP("*"&amp;'Output annual'!$AC$2&amp;'Output annual'!$AD$2&amp;"*Zone People Number Of Occupants [](Hourly)",'Eplus results'!$1:$1048576,ROW(),FALSE)</f>
        <v>0</v>
      </c>
      <c r="AC6190" s="580">
        <f>HLOOKUP("*"&amp;'Output annual'!$AC$2&amp;'Output annual'!$AD$2&amp;"*FangerPMV(Hourly)",'Eplus results'!$1:$1048576,ROW(),FALSE)</f>
        <v>0</v>
      </c>
      <c r="AD6190" s="580">
        <f t="shared" si="516"/>
        <v>5</v>
      </c>
      <c r="AE6190" s="580">
        <f t="shared" si="517"/>
        <v>2.5</v>
      </c>
      <c r="AF6190" s="580">
        <f t="shared" si="518"/>
        <v>2.5</v>
      </c>
      <c r="AG6190" s="580">
        <f t="shared" si="519"/>
        <v>0</v>
      </c>
      <c r="AH6190" s="580">
        <f t="shared" si="520"/>
        <v>0</v>
      </c>
    </row>
    <row r="6191" spans="28:34">
      <c r="AB6191" s="580">
        <f>HLOOKUP("*"&amp;'Output annual'!$AC$2&amp;'Output annual'!$AD$2&amp;"*Zone People Number Of Occupants [](Hourly)",'Eplus results'!$1:$1048576,ROW(),FALSE)</f>
        <v>0</v>
      </c>
      <c r="AC6191" s="580">
        <f>HLOOKUP("*"&amp;'Output annual'!$AC$2&amp;'Output annual'!$AD$2&amp;"*FangerPMV(Hourly)",'Eplus results'!$1:$1048576,ROW(),FALSE)</f>
        <v>0</v>
      </c>
      <c r="AD6191" s="580">
        <f t="shared" si="516"/>
        <v>5</v>
      </c>
      <c r="AE6191" s="580">
        <f t="shared" si="517"/>
        <v>2.5</v>
      </c>
      <c r="AF6191" s="580">
        <f t="shared" si="518"/>
        <v>2.5</v>
      </c>
      <c r="AG6191" s="580">
        <f t="shared" si="519"/>
        <v>0</v>
      </c>
      <c r="AH6191" s="580">
        <f t="shared" si="520"/>
        <v>0</v>
      </c>
    </row>
    <row r="6192" spans="28:34">
      <c r="AB6192" s="580">
        <f>HLOOKUP("*"&amp;'Output annual'!$AC$2&amp;'Output annual'!$AD$2&amp;"*Zone People Number Of Occupants [](Hourly)",'Eplus results'!$1:$1048576,ROW(),FALSE)</f>
        <v>0</v>
      </c>
      <c r="AC6192" s="580">
        <f>HLOOKUP("*"&amp;'Output annual'!$AC$2&amp;'Output annual'!$AD$2&amp;"*FangerPMV(Hourly)",'Eplus results'!$1:$1048576,ROW(),FALSE)</f>
        <v>0</v>
      </c>
      <c r="AD6192" s="580">
        <f t="shared" si="516"/>
        <v>5</v>
      </c>
      <c r="AE6192" s="580">
        <f t="shared" si="517"/>
        <v>2.5</v>
      </c>
      <c r="AF6192" s="580">
        <f t="shared" si="518"/>
        <v>2.5</v>
      </c>
      <c r="AG6192" s="580">
        <f t="shared" si="519"/>
        <v>0</v>
      </c>
      <c r="AH6192" s="580">
        <f t="shared" si="520"/>
        <v>0</v>
      </c>
    </row>
    <row r="6193" spans="28:34">
      <c r="AB6193" s="580">
        <f>HLOOKUP("*"&amp;'Output annual'!$AC$2&amp;'Output annual'!$AD$2&amp;"*Zone People Number Of Occupants [](Hourly)",'Eplus results'!$1:$1048576,ROW(),FALSE)</f>
        <v>0</v>
      </c>
      <c r="AC6193" s="580">
        <f>HLOOKUP("*"&amp;'Output annual'!$AC$2&amp;'Output annual'!$AD$2&amp;"*FangerPMV(Hourly)",'Eplus results'!$1:$1048576,ROW(),FALSE)</f>
        <v>0</v>
      </c>
      <c r="AD6193" s="580">
        <f t="shared" si="516"/>
        <v>5</v>
      </c>
      <c r="AE6193" s="580">
        <f t="shared" si="517"/>
        <v>2.5</v>
      </c>
      <c r="AF6193" s="580">
        <f t="shared" si="518"/>
        <v>2.5</v>
      </c>
      <c r="AG6193" s="580">
        <f t="shared" si="519"/>
        <v>0</v>
      </c>
      <c r="AH6193" s="580">
        <f t="shared" si="520"/>
        <v>0</v>
      </c>
    </row>
    <row r="6194" spans="28:34">
      <c r="AB6194" s="580">
        <f>HLOOKUP("*"&amp;'Output annual'!$AC$2&amp;'Output annual'!$AD$2&amp;"*Zone People Number Of Occupants [](Hourly)",'Eplus results'!$1:$1048576,ROW(),FALSE)</f>
        <v>0</v>
      </c>
      <c r="AC6194" s="580">
        <f>HLOOKUP("*"&amp;'Output annual'!$AC$2&amp;'Output annual'!$AD$2&amp;"*FangerPMV(Hourly)",'Eplus results'!$1:$1048576,ROW(),FALSE)</f>
        <v>0</v>
      </c>
      <c r="AD6194" s="580">
        <f t="shared" si="516"/>
        <v>5</v>
      </c>
      <c r="AE6194" s="580">
        <f t="shared" si="517"/>
        <v>2.5</v>
      </c>
      <c r="AF6194" s="580">
        <f t="shared" si="518"/>
        <v>2.5</v>
      </c>
      <c r="AG6194" s="580">
        <f t="shared" si="519"/>
        <v>0</v>
      </c>
      <c r="AH6194" s="580">
        <f t="shared" si="520"/>
        <v>0</v>
      </c>
    </row>
    <row r="6195" spans="28:34">
      <c r="AB6195" s="580">
        <f>HLOOKUP("*"&amp;'Output annual'!$AC$2&amp;'Output annual'!$AD$2&amp;"*Zone People Number Of Occupants [](Hourly)",'Eplus results'!$1:$1048576,ROW(),FALSE)</f>
        <v>0</v>
      </c>
      <c r="AC6195" s="580">
        <f>HLOOKUP("*"&amp;'Output annual'!$AC$2&amp;'Output annual'!$AD$2&amp;"*FangerPMV(Hourly)",'Eplus results'!$1:$1048576,ROW(),FALSE)</f>
        <v>0</v>
      </c>
      <c r="AD6195" s="580">
        <f t="shared" si="516"/>
        <v>5</v>
      </c>
      <c r="AE6195" s="580">
        <f t="shared" si="517"/>
        <v>2.5</v>
      </c>
      <c r="AF6195" s="580">
        <f t="shared" si="518"/>
        <v>2.5</v>
      </c>
      <c r="AG6195" s="580">
        <f t="shared" si="519"/>
        <v>0</v>
      </c>
      <c r="AH6195" s="580">
        <f t="shared" si="520"/>
        <v>0</v>
      </c>
    </row>
    <row r="6196" spans="28:34">
      <c r="AB6196" s="580">
        <f>HLOOKUP("*"&amp;'Output annual'!$AC$2&amp;'Output annual'!$AD$2&amp;"*Zone People Number Of Occupants [](Hourly)",'Eplus results'!$1:$1048576,ROW(),FALSE)</f>
        <v>0</v>
      </c>
      <c r="AC6196" s="580">
        <f>HLOOKUP("*"&amp;'Output annual'!$AC$2&amp;'Output annual'!$AD$2&amp;"*FangerPMV(Hourly)",'Eplus results'!$1:$1048576,ROW(),FALSE)</f>
        <v>0</v>
      </c>
      <c r="AD6196" s="580">
        <f t="shared" si="516"/>
        <v>5</v>
      </c>
      <c r="AE6196" s="580">
        <f t="shared" si="517"/>
        <v>2.5</v>
      </c>
      <c r="AF6196" s="580">
        <f t="shared" si="518"/>
        <v>2.5</v>
      </c>
      <c r="AG6196" s="580">
        <f t="shared" si="519"/>
        <v>0</v>
      </c>
      <c r="AH6196" s="580">
        <f t="shared" si="520"/>
        <v>0</v>
      </c>
    </row>
    <row r="6197" spans="28:34">
      <c r="AB6197" s="580">
        <f>HLOOKUP("*"&amp;'Output annual'!$AC$2&amp;'Output annual'!$AD$2&amp;"*Zone People Number Of Occupants [](Hourly)",'Eplus results'!$1:$1048576,ROW(),FALSE)</f>
        <v>0</v>
      </c>
      <c r="AC6197" s="580">
        <f>HLOOKUP("*"&amp;'Output annual'!$AC$2&amp;'Output annual'!$AD$2&amp;"*FangerPMV(Hourly)",'Eplus results'!$1:$1048576,ROW(),FALSE)</f>
        <v>0</v>
      </c>
      <c r="AD6197" s="580">
        <f t="shared" si="516"/>
        <v>5</v>
      </c>
      <c r="AE6197" s="580">
        <f t="shared" si="517"/>
        <v>2.5</v>
      </c>
      <c r="AF6197" s="580">
        <f t="shared" si="518"/>
        <v>2.5</v>
      </c>
      <c r="AG6197" s="580">
        <f t="shared" si="519"/>
        <v>0</v>
      </c>
      <c r="AH6197" s="580">
        <f t="shared" si="520"/>
        <v>0</v>
      </c>
    </row>
    <row r="6198" spans="28:34">
      <c r="AB6198" s="580">
        <f>HLOOKUP("*"&amp;'Output annual'!$AC$2&amp;'Output annual'!$AD$2&amp;"*Zone People Number Of Occupants [](Hourly)",'Eplus results'!$1:$1048576,ROW(),FALSE)</f>
        <v>0</v>
      </c>
      <c r="AC6198" s="580">
        <f>HLOOKUP("*"&amp;'Output annual'!$AC$2&amp;'Output annual'!$AD$2&amp;"*FangerPMV(Hourly)",'Eplus results'!$1:$1048576,ROW(),FALSE)</f>
        <v>0</v>
      </c>
      <c r="AD6198" s="580">
        <f t="shared" si="516"/>
        <v>5</v>
      </c>
      <c r="AE6198" s="580">
        <f t="shared" si="517"/>
        <v>2.5</v>
      </c>
      <c r="AF6198" s="580">
        <f t="shared" si="518"/>
        <v>2.5</v>
      </c>
      <c r="AG6198" s="580">
        <f t="shared" si="519"/>
        <v>0</v>
      </c>
      <c r="AH6198" s="580">
        <f t="shared" si="520"/>
        <v>0</v>
      </c>
    </row>
    <row r="6199" spans="28:34">
      <c r="AB6199" s="580">
        <f>HLOOKUP("*"&amp;'Output annual'!$AC$2&amp;'Output annual'!$AD$2&amp;"*Zone People Number Of Occupants [](Hourly)",'Eplus results'!$1:$1048576,ROW(),FALSE)</f>
        <v>0</v>
      </c>
      <c r="AC6199" s="580">
        <f>HLOOKUP("*"&amp;'Output annual'!$AC$2&amp;'Output annual'!$AD$2&amp;"*FangerPMV(Hourly)",'Eplus results'!$1:$1048576,ROW(),FALSE)</f>
        <v>0</v>
      </c>
      <c r="AD6199" s="580">
        <f t="shared" si="516"/>
        <v>5</v>
      </c>
      <c r="AE6199" s="580">
        <f t="shared" si="517"/>
        <v>2.5</v>
      </c>
      <c r="AF6199" s="580">
        <f t="shared" si="518"/>
        <v>2.5</v>
      </c>
      <c r="AG6199" s="580">
        <f t="shared" si="519"/>
        <v>0</v>
      </c>
      <c r="AH6199" s="580">
        <f t="shared" si="520"/>
        <v>0</v>
      </c>
    </row>
    <row r="6200" spans="28:34">
      <c r="AB6200" s="580">
        <f>HLOOKUP("*"&amp;'Output annual'!$AC$2&amp;'Output annual'!$AD$2&amp;"*Zone People Number Of Occupants [](Hourly)",'Eplus results'!$1:$1048576,ROW(),FALSE)</f>
        <v>0</v>
      </c>
      <c r="AC6200" s="580">
        <f>HLOOKUP("*"&amp;'Output annual'!$AC$2&amp;'Output annual'!$AD$2&amp;"*FangerPMV(Hourly)",'Eplus results'!$1:$1048576,ROW(),FALSE)</f>
        <v>0</v>
      </c>
      <c r="AD6200" s="580">
        <f t="shared" si="516"/>
        <v>5</v>
      </c>
      <c r="AE6200" s="580">
        <f t="shared" si="517"/>
        <v>2.5</v>
      </c>
      <c r="AF6200" s="580">
        <f t="shared" si="518"/>
        <v>2.5</v>
      </c>
      <c r="AG6200" s="580">
        <f t="shared" si="519"/>
        <v>0</v>
      </c>
      <c r="AH6200" s="580">
        <f t="shared" si="520"/>
        <v>0</v>
      </c>
    </row>
    <row r="6201" spans="28:34">
      <c r="AB6201" s="580">
        <f>HLOOKUP("*"&amp;'Output annual'!$AC$2&amp;'Output annual'!$AD$2&amp;"*Zone People Number Of Occupants [](Hourly)",'Eplus results'!$1:$1048576,ROW(),FALSE)</f>
        <v>0</v>
      </c>
      <c r="AC6201" s="580">
        <f>HLOOKUP("*"&amp;'Output annual'!$AC$2&amp;'Output annual'!$AD$2&amp;"*FangerPMV(Hourly)",'Eplus results'!$1:$1048576,ROW(),FALSE)</f>
        <v>0</v>
      </c>
      <c r="AD6201" s="580">
        <f t="shared" si="516"/>
        <v>5</v>
      </c>
      <c r="AE6201" s="580">
        <f t="shared" si="517"/>
        <v>2.5</v>
      </c>
      <c r="AF6201" s="580">
        <f t="shared" si="518"/>
        <v>2.5</v>
      </c>
      <c r="AG6201" s="580">
        <f t="shared" si="519"/>
        <v>0</v>
      </c>
      <c r="AH6201" s="580">
        <f t="shared" si="520"/>
        <v>0</v>
      </c>
    </row>
    <row r="6202" spans="28:34">
      <c r="AB6202" s="580">
        <f>HLOOKUP("*"&amp;'Output annual'!$AC$2&amp;'Output annual'!$AD$2&amp;"*Zone People Number Of Occupants [](Hourly)",'Eplus results'!$1:$1048576,ROW(),FALSE)</f>
        <v>0</v>
      </c>
      <c r="AC6202" s="580">
        <f>HLOOKUP("*"&amp;'Output annual'!$AC$2&amp;'Output annual'!$AD$2&amp;"*FangerPMV(Hourly)",'Eplus results'!$1:$1048576,ROW(),FALSE)</f>
        <v>0</v>
      </c>
      <c r="AD6202" s="580">
        <f t="shared" si="516"/>
        <v>5</v>
      </c>
      <c r="AE6202" s="580">
        <f t="shared" si="517"/>
        <v>2.5</v>
      </c>
      <c r="AF6202" s="580">
        <f t="shared" si="518"/>
        <v>2.5</v>
      </c>
      <c r="AG6202" s="580">
        <f t="shared" si="519"/>
        <v>0</v>
      </c>
      <c r="AH6202" s="580">
        <f t="shared" si="520"/>
        <v>0</v>
      </c>
    </row>
    <row r="6203" spans="28:34">
      <c r="AB6203" s="580">
        <f>HLOOKUP("*"&amp;'Output annual'!$AC$2&amp;'Output annual'!$AD$2&amp;"*Zone People Number Of Occupants [](Hourly)",'Eplus results'!$1:$1048576,ROW(),FALSE)</f>
        <v>0</v>
      </c>
      <c r="AC6203" s="580">
        <f>HLOOKUP("*"&amp;'Output annual'!$AC$2&amp;'Output annual'!$AD$2&amp;"*FangerPMV(Hourly)",'Eplus results'!$1:$1048576,ROW(),FALSE)</f>
        <v>0</v>
      </c>
      <c r="AD6203" s="580">
        <f t="shared" si="516"/>
        <v>5</v>
      </c>
      <c r="AE6203" s="580">
        <f t="shared" si="517"/>
        <v>2.5</v>
      </c>
      <c r="AF6203" s="580">
        <f t="shared" si="518"/>
        <v>2.5</v>
      </c>
      <c r="AG6203" s="580">
        <f t="shared" si="519"/>
        <v>0</v>
      </c>
      <c r="AH6203" s="580">
        <f t="shared" si="520"/>
        <v>0</v>
      </c>
    </row>
    <row r="6204" spans="28:34">
      <c r="AB6204" s="580">
        <f>HLOOKUP("*"&amp;'Output annual'!$AC$2&amp;'Output annual'!$AD$2&amp;"*Zone People Number Of Occupants [](Hourly)",'Eplus results'!$1:$1048576,ROW(),FALSE)</f>
        <v>0</v>
      </c>
      <c r="AC6204" s="580">
        <f>HLOOKUP("*"&amp;'Output annual'!$AC$2&amp;'Output annual'!$AD$2&amp;"*FangerPMV(Hourly)",'Eplus results'!$1:$1048576,ROW(),FALSE)</f>
        <v>0</v>
      </c>
      <c r="AD6204" s="580">
        <f t="shared" si="516"/>
        <v>5</v>
      </c>
      <c r="AE6204" s="580">
        <f t="shared" si="517"/>
        <v>2.5</v>
      </c>
      <c r="AF6204" s="580">
        <f t="shared" si="518"/>
        <v>2.5</v>
      </c>
      <c r="AG6204" s="580">
        <f t="shared" si="519"/>
        <v>0</v>
      </c>
      <c r="AH6204" s="580">
        <f t="shared" si="520"/>
        <v>0</v>
      </c>
    </row>
    <row r="6205" spans="28:34">
      <c r="AB6205" s="580">
        <f>HLOOKUP("*"&amp;'Output annual'!$AC$2&amp;'Output annual'!$AD$2&amp;"*Zone People Number Of Occupants [](Hourly)",'Eplus results'!$1:$1048576,ROW(),FALSE)</f>
        <v>0</v>
      </c>
      <c r="AC6205" s="580">
        <f>HLOOKUP("*"&amp;'Output annual'!$AC$2&amp;'Output annual'!$AD$2&amp;"*FangerPMV(Hourly)",'Eplus results'!$1:$1048576,ROW(),FALSE)</f>
        <v>0</v>
      </c>
      <c r="AD6205" s="580">
        <f t="shared" si="516"/>
        <v>5</v>
      </c>
      <c r="AE6205" s="580">
        <f t="shared" si="517"/>
        <v>2.5</v>
      </c>
      <c r="AF6205" s="580">
        <f t="shared" si="518"/>
        <v>2.5</v>
      </c>
      <c r="AG6205" s="580">
        <f t="shared" si="519"/>
        <v>0</v>
      </c>
      <c r="AH6205" s="580">
        <f t="shared" si="520"/>
        <v>0</v>
      </c>
    </row>
    <row r="6206" spans="28:34">
      <c r="AB6206" s="580">
        <f>HLOOKUP("*"&amp;'Output annual'!$AC$2&amp;'Output annual'!$AD$2&amp;"*Zone People Number Of Occupants [](Hourly)",'Eplus results'!$1:$1048576,ROW(),FALSE)</f>
        <v>0</v>
      </c>
      <c r="AC6206" s="580">
        <f>HLOOKUP("*"&amp;'Output annual'!$AC$2&amp;'Output annual'!$AD$2&amp;"*FangerPMV(Hourly)",'Eplus results'!$1:$1048576,ROW(),FALSE)</f>
        <v>0</v>
      </c>
      <c r="AD6206" s="580">
        <f t="shared" si="516"/>
        <v>5</v>
      </c>
      <c r="AE6206" s="580">
        <f t="shared" si="517"/>
        <v>2.5</v>
      </c>
      <c r="AF6206" s="580">
        <f t="shared" si="518"/>
        <v>2.5</v>
      </c>
      <c r="AG6206" s="580">
        <f t="shared" si="519"/>
        <v>0</v>
      </c>
      <c r="AH6206" s="580">
        <f t="shared" si="520"/>
        <v>0</v>
      </c>
    </row>
    <row r="6207" spans="28:34">
      <c r="AB6207" s="580">
        <f>HLOOKUP("*"&amp;'Output annual'!$AC$2&amp;'Output annual'!$AD$2&amp;"*Zone People Number Of Occupants [](Hourly)",'Eplus results'!$1:$1048576,ROW(),FALSE)</f>
        <v>0</v>
      </c>
      <c r="AC6207" s="580">
        <f>HLOOKUP("*"&amp;'Output annual'!$AC$2&amp;'Output annual'!$AD$2&amp;"*FangerPMV(Hourly)",'Eplus results'!$1:$1048576,ROW(),FALSE)</f>
        <v>0</v>
      </c>
      <c r="AD6207" s="580">
        <f t="shared" si="516"/>
        <v>5</v>
      </c>
      <c r="AE6207" s="580">
        <f t="shared" si="517"/>
        <v>2.5</v>
      </c>
      <c r="AF6207" s="580">
        <f t="shared" si="518"/>
        <v>2.5</v>
      </c>
      <c r="AG6207" s="580">
        <f t="shared" si="519"/>
        <v>0</v>
      </c>
      <c r="AH6207" s="580">
        <f t="shared" si="520"/>
        <v>0</v>
      </c>
    </row>
    <row r="6208" spans="28:34">
      <c r="AB6208" s="580">
        <f>HLOOKUP("*"&amp;'Output annual'!$AC$2&amp;'Output annual'!$AD$2&amp;"*Zone People Number Of Occupants [](Hourly)",'Eplus results'!$1:$1048576,ROW(),FALSE)</f>
        <v>0</v>
      </c>
      <c r="AC6208" s="580">
        <f>HLOOKUP("*"&amp;'Output annual'!$AC$2&amp;'Output annual'!$AD$2&amp;"*FangerPMV(Hourly)",'Eplus results'!$1:$1048576,ROW(),FALSE)</f>
        <v>0</v>
      </c>
      <c r="AD6208" s="580">
        <f t="shared" si="516"/>
        <v>5</v>
      </c>
      <c r="AE6208" s="580">
        <f t="shared" si="517"/>
        <v>2.5</v>
      </c>
      <c r="AF6208" s="580">
        <f t="shared" si="518"/>
        <v>2.5</v>
      </c>
      <c r="AG6208" s="580">
        <f t="shared" si="519"/>
        <v>0</v>
      </c>
      <c r="AH6208" s="580">
        <f t="shared" si="520"/>
        <v>0</v>
      </c>
    </row>
    <row r="6209" spans="28:34">
      <c r="AB6209" s="580">
        <f>HLOOKUP("*"&amp;'Output annual'!$AC$2&amp;'Output annual'!$AD$2&amp;"*Zone People Number Of Occupants [](Hourly)",'Eplus results'!$1:$1048576,ROW(),FALSE)</f>
        <v>0</v>
      </c>
      <c r="AC6209" s="580">
        <f>HLOOKUP("*"&amp;'Output annual'!$AC$2&amp;'Output annual'!$AD$2&amp;"*FangerPMV(Hourly)",'Eplus results'!$1:$1048576,ROW(),FALSE)</f>
        <v>0</v>
      </c>
      <c r="AD6209" s="580">
        <f t="shared" si="516"/>
        <v>5</v>
      </c>
      <c r="AE6209" s="580">
        <f t="shared" si="517"/>
        <v>2.5</v>
      </c>
      <c r="AF6209" s="580">
        <f t="shared" si="518"/>
        <v>2.5</v>
      </c>
      <c r="AG6209" s="580">
        <f t="shared" si="519"/>
        <v>0</v>
      </c>
      <c r="AH6209" s="580">
        <f t="shared" si="520"/>
        <v>0</v>
      </c>
    </row>
    <row r="6210" spans="28:34">
      <c r="AB6210" s="580">
        <f>HLOOKUP("*"&amp;'Output annual'!$AC$2&amp;'Output annual'!$AD$2&amp;"*Zone People Number Of Occupants [](Hourly)",'Eplus results'!$1:$1048576,ROW(),FALSE)</f>
        <v>0</v>
      </c>
      <c r="AC6210" s="580">
        <f>HLOOKUP("*"&amp;'Output annual'!$AC$2&amp;'Output annual'!$AD$2&amp;"*FangerPMV(Hourly)",'Eplus results'!$1:$1048576,ROW(),FALSE)</f>
        <v>0</v>
      </c>
      <c r="AD6210" s="580">
        <f t="shared" si="516"/>
        <v>5</v>
      </c>
      <c r="AE6210" s="580">
        <f t="shared" si="517"/>
        <v>2.5</v>
      </c>
      <c r="AF6210" s="580">
        <f t="shared" si="518"/>
        <v>2.5</v>
      </c>
      <c r="AG6210" s="580">
        <f t="shared" si="519"/>
        <v>0</v>
      </c>
      <c r="AH6210" s="580">
        <f t="shared" si="520"/>
        <v>0</v>
      </c>
    </row>
    <row r="6211" spans="28:34">
      <c r="AB6211" s="580">
        <f>HLOOKUP("*"&amp;'Output annual'!$AC$2&amp;'Output annual'!$AD$2&amp;"*Zone People Number Of Occupants [](Hourly)",'Eplus results'!$1:$1048576,ROW(),FALSE)</f>
        <v>0</v>
      </c>
      <c r="AC6211" s="580">
        <f>HLOOKUP("*"&amp;'Output annual'!$AC$2&amp;'Output annual'!$AD$2&amp;"*FangerPMV(Hourly)",'Eplus results'!$1:$1048576,ROW(),FALSE)</f>
        <v>0</v>
      </c>
      <c r="AD6211" s="580">
        <f t="shared" ref="AD6211:AD6274" si="521">100-95*EXP(-0.03353*AC6211^4-0.2179*AC6211^2)</f>
        <v>5</v>
      </c>
      <c r="AE6211" s="580">
        <f t="shared" ref="AE6211:AE6274" si="522">AD6211*(1/(1+EXP(-6.3*$AC6211)))</f>
        <v>2.5</v>
      </c>
      <c r="AF6211" s="580">
        <f t="shared" ref="AF6211:AF6274" si="523">(AD6211-AE6211)</f>
        <v>2.5</v>
      </c>
      <c r="AG6211" s="580">
        <f t="shared" ref="AG6211:AG6274" si="524">AE6211*AB6211</f>
        <v>0</v>
      </c>
      <c r="AH6211" s="580">
        <f t="shared" ref="AH6211:AH6274" si="525">AF6211*AB6211</f>
        <v>0</v>
      </c>
    </row>
    <row r="6212" spans="28:34">
      <c r="AB6212" s="580">
        <f>HLOOKUP("*"&amp;'Output annual'!$AC$2&amp;'Output annual'!$AD$2&amp;"*Zone People Number Of Occupants [](Hourly)",'Eplus results'!$1:$1048576,ROW(),FALSE)</f>
        <v>0</v>
      </c>
      <c r="AC6212" s="580">
        <f>HLOOKUP("*"&amp;'Output annual'!$AC$2&amp;'Output annual'!$AD$2&amp;"*FangerPMV(Hourly)",'Eplus results'!$1:$1048576,ROW(),FALSE)</f>
        <v>0</v>
      </c>
      <c r="AD6212" s="580">
        <f t="shared" si="521"/>
        <v>5</v>
      </c>
      <c r="AE6212" s="580">
        <f t="shared" si="522"/>
        <v>2.5</v>
      </c>
      <c r="AF6212" s="580">
        <f t="shared" si="523"/>
        <v>2.5</v>
      </c>
      <c r="AG6212" s="580">
        <f t="shared" si="524"/>
        <v>0</v>
      </c>
      <c r="AH6212" s="580">
        <f t="shared" si="525"/>
        <v>0</v>
      </c>
    </row>
    <row r="6213" spans="28:34">
      <c r="AB6213" s="580">
        <f>HLOOKUP("*"&amp;'Output annual'!$AC$2&amp;'Output annual'!$AD$2&amp;"*Zone People Number Of Occupants [](Hourly)",'Eplus results'!$1:$1048576,ROW(),FALSE)</f>
        <v>0</v>
      </c>
      <c r="AC6213" s="580">
        <f>HLOOKUP("*"&amp;'Output annual'!$AC$2&amp;'Output annual'!$AD$2&amp;"*FangerPMV(Hourly)",'Eplus results'!$1:$1048576,ROW(),FALSE)</f>
        <v>0</v>
      </c>
      <c r="AD6213" s="580">
        <f t="shared" si="521"/>
        <v>5</v>
      </c>
      <c r="AE6213" s="580">
        <f t="shared" si="522"/>
        <v>2.5</v>
      </c>
      <c r="AF6213" s="580">
        <f t="shared" si="523"/>
        <v>2.5</v>
      </c>
      <c r="AG6213" s="580">
        <f t="shared" si="524"/>
        <v>0</v>
      </c>
      <c r="AH6213" s="580">
        <f t="shared" si="525"/>
        <v>0</v>
      </c>
    </row>
    <row r="6214" spans="28:34">
      <c r="AB6214" s="580">
        <f>HLOOKUP("*"&amp;'Output annual'!$AC$2&amp;'Output annual'!$AD$2&amp;"*Zone People Number Of Occupants [](Hourly)",'Eplus results'!$1:$1048576,ROW(),FALSE)</f>
        <v>0</v>
      </c>
      <c r="AC6214" s="580">
        <f>HLOOKUP("*"&amp;'Output annual'!$AC$2&amp;'Output annual'!$AD$2&amp;"*FangerPMV(Hourly)",'Eplus results'!$1:$1048576,ROW(),FALSE)</f>
        <v>0</v>
      </c>
      <c r="AD6214" s="580">
        <f t="shared" si="521"/>
        <v>5</v>
      </c>
      <c r="AE6214" s="580">
        <f t="shared" si="522"/>
        <v>2.5</v>
      </c>
      <c r="AF6214" s="580">
        <f t="shared" si="523"/>
        <v>2.5</v>
      </c>
      <c r="AG6214" s="580">
        <f t="shared" si="524"/>
        <v>0</v>
      </c>
      <c r="AH6214" s="580">
        <f t="shared" si="525"/>
        <v>0</v>
      </c>
    </row>
    <row r="6215" spans="28:34">
      <c r="AB6215" s="580">
        <f>HLOOKUP("*"&amp;'Output annual'!$AC$2&amp;'Output annual'!$AD$2&amp;"*Zone People Number Of Occupants [](Hourly)",'Eplus results'!$1:$1048576,ROW(),FALSE)</f>
        <v>0</v>
      </c>
      <c r="AC6215" s="580">
        <f>HLOOKUP("*"&amp;'Output annual'!$AC$2&amp;'Output annual'!$AD$2&amp;"*FangerPMV(Hourly)",'Eplus results'!$1:$1048576,ROW(),FALSE)</f>
        <v>0</v>
      </c>
      <c r="AD6215" s="580">
        <f t="shared" si="521"/>
        <v>5</v>
      </c>
      <c r="AE6215" s="580">
        <f t="shared" si="522"/>
        <v>2.5</v>
      </c>
      <c r="AF6215" s="580">
        <f t="shared" si="523"/>
        <v>2.5</v>
      </c>
      <c r="AG6215" s="580">
        <f t="shared" si="524"/>
        <v>0</v>
      </c>
      <c r="AH6215" s="580">
        <f t="shared" si="525"/>
        <v>0</v>
      </c>
    </row>
    <row r="6216" spans="28:34">
      <c r="AB6216" s="580">
        <f>HLOOKUP("*"&amp;'Output annual'!$AC$2&amp;'Output annual'!$AD$2&amp;"*Zone People Number Of Occupants [](Hourly)",'Eplus results'!$1:$1048576,ROW(),FALSE)</f>
        <v>0</v>
      </c>
      <c r="AC6216" s="580">
        <f>HLOOKUP("*"&amp;'Output annual'!$AC$2&amp;'Output annual'!$AD$2&amp;"*FangerPMV(Hourly)",'Eplus results'!$1:$1048576,ROW(),FALSE)</f>
        <v>0</v>
      </c>
      <c r="AD6216" s="580">
        <f t="shared" si="521"/>
        <v>5</v>
      </c>
      <c r="AE6216" s="580">
        <f t="shared" si="522"/>
        <v>2.5</v>
      </c>
      <c r="AF6216" s="580">
        <f t="shared" si="523"/>
        <v>2.5</v>
      </c>
      <c r="AG6216" s="580">
        <f t="shared" si="524"/>
        <v>0</v>
      </c>
      <c r="AH6216" s="580">
        <f t="shared" si="525"/>
        <v>0</v>
      </c>
    </row>
    <row r="6217" spans="28:34">
      <c r="AB6217" s="580">
        <f>HLOOKUP("*"&amp;'Output annual'!$AC$2&amp;'Output annual'!$AD$2&amp;"*Zone People Number Of Occupants [](Hourly)",'Eplus results'!$1:$1048576,ROW(),FALSE)</f>
        <v>0</v>
      </c>
      <c r="AC6217" s="580">
        <f>HLOOKUP("*"&amp;'Output annual'!$AC$2&amp;'Output annual'!$AD$2&amp;"*FangerPMV(Hourly)",'Eplus results'!$1:$1048576,ROW(),FALSE)</f>
        <v>0</v>
      </c>
      <c r="AD6217" s="580">
        <f t="shared" si="521"/>
        <v>5</v>
      </c>
      <c r="AE6217" s="580">
        <f t="shared" si="522"/>
        <v>2.5</v>
      </c>
      <c r="AF6217" s="580">
        <f t="shared" si="523"/>
        <v>2.5</v>
      </c>
      <c r="AG6217" s="580">
        <f t="shared" si="524"/>
        <v>0</v>
      </c>
      <c r="AH6217" s="580">
        <f t="shared" si="525"/>
        <v>0</v>
      </c>
    </row>
    <row r="6218" spans="28:34">
      <c r="AB6218" s="580">
        <f>HLOOKUP("*"&amp;'Output annual'!$AC$2&amp;'Output annual'!$AD$2&amp;"*Zone People Number Of Occupants [](Hourly)",'Eplus results'!$1:$1048576,ROW(),FALSE)</f>
        <v>0</v>
      </c>
      <c r="AC6218" s="580">
        <f>HLOOKUP("*"&amp;'Output annual'!$AC$2&amp;'Output annual'!$AD$2&amp;"*FangerPMV(Hourly)",'Eplus results'!$1:$1048576,ROW(),FALSE)</f>
        <v>0</v>
      </c>
      <c r="AD6218" s="580">
        <f t="shared" si="521"/>
        <v>5</v>
      </c>
      <c r="AE6218" s="580">
        <f t="shared" si="522"/>
        <v>2.5</v>
      </c>
      <c r="AF6218" s="580">
        <f t="shared" si="523"/>
        <v>2.5</v>
      </c>
      <c r="AG6218" s="580">
        <f t="shared" si="524"/>
        <v>0</v>
      </c>
      <c r="AH6218" s="580">
        <f t="shared" si="525"/>
        <v>0</v>
      </c>
    </row>
    <row r="6219" spans="28:34">
      <c r="AB6219" s="580">
        <f>HLOOKUP("*"&amp;'Output annual'!$AC$2&amp;'Output annual'!$AD$2&amp;"*Zone People Number Of Occupants [](Hourly)",'Eplus results'!$1:$1048576,ROW(),FALSE)</f>
        <v>0</v>
      </c>
      <c r="AC6219" s="580">
        <f>HLOOKUP("*"&amp;'Output annual'!$AC$2&amp;'Output annual'!$AD$2&amp;"*FangerPMV(Hourly)",'Eplus results'!$1:$1048576,ROW(),FALSE)</f>
        <v>0</v>
      </c>
      <c r="AD6219" s="580">
        <f t="shared" si="521"/>
        <v>5</v>
      </c>
      <c r="AE6219" s="580">
        <f t="shared" si="522"/>
        <v>2.5</v>
      </c>
      <c r="AF6219" s="580">
        <f t="shared" si="523"/>
        <v>2.5</v>
      </c>
      <c r="AG6219" s="580">
        <f t="shared" si="524"/>
        <v>0</v>
      </c>
      <c r="AH6219" s="580">
        <f t="shared" si="525"/>
        <v>0</v>
      </c>
    </row>
    <row r="6220" spans="28:34">
      <c r="AB6220" s="580">
        <f>HLOOKUP("*"&amp;'Output annual'!$AC$2&amp;'Output annual'!$AD$2&amp;"*Zone People Number Of Occupants [](Hourly)",'Eplus results'!$1:$1048576,ROW(),FALSE)</f>
        <v>0</v>
      </c>
      <c r="AC6220" s="580">
        <f>HLOOKUP("*"&amp;'Output annual'!$AC$2&amp;'Output annual'!$AD$2&amp;"*FangerPMV(Hourly)",'Eplus results'!$1:$1048576,ROW(),FALSE)</f>
        <v>0</v>
      </c>
      <c r="AD6220" s="580">
        <f t="shared" si="521"/>
        <v>5</v>
      </c>
      <c r="AE6220" s="580">
        <f t="shared" si="522"/>
        <v>2.5</v>
      </c>
      <c r="AF6220" s="580">
        <f t="shared" si="523"/>
        <v>2.5</v>
      </c>
      <c r="AG6220" s="580">
        <f t="shared" si="524"/>
        <v>0</v>
      </c>
      <c r="AH6220" s="580">
        <f t="shared" si="525"/>
        <v>0</v>
      </c>
    </row>
    <row r="6221" spans="28:34">
      <c r="AB6221" s="580">
        <f>HLOOKUP("*"&amp;'Output annual'!$AC$2&amp;'Output annual'!$AD$2&amp;"*Zone People Number Of Occupants [](Hourly)",'Eplus results'!$1:$1048576,ROW(),FALSE)</f>
        <v>0</v>
      </c>
      <c r="AC6221" s="580">
        <f>HLOOKUP("*"&amp;'Output annual'!$AC$2&amp;'Output annual'!$AD$2&amp;"*FangerPMV(Hourly)",'Eplus results'!$1:$1048576,ROW(),FALSE)</f>
        <v>0</v>
      </c>
      <c r="AD6221" s="580">
        <f t="shared" si="521"/>
        <v>5</v>
      </c>
      <c r="AE6221" s="580">
        <f t="shared" si="522"/>
        <v>2.5</v>
      </c>
      <c r="AF6221" s="580">
        <f t="shared" si="523"/>
        <v>2.5</v>
      </c>
      <c r="AG6221" s="580">
        <f t="shared" si="524"/>
        <v>0</v>
      </c>
      <c r="AH6221" s="580">
        <f t="shared" si="525"/>
        <v>0</v>
      </c>
    </row>
    <row r="6222" spans="28:34">
      <c r="AB6222" s="580">
        <f>HLOOKUP("*"&amp;'Output annual'!$AC$2&amp;'Output annual'!$AD$2&amp;"*Zone People Number Of Occupants [](Hourly)",'Eplus results'!$1:$1048576,ROW(),FALSE)</f>
        <v>0</v>
      </c>
      <c r="AC6222" s="580">
        <f>HLOOKUP("*"&amp;'Output annual'!$AC$2&amp;'Output annual'!$AD$2&amp;"*FangerPMV(Hourly)",'Eplus results'!$1:$1048576,ROW(),FALSE)</f>
        <v>0</v>
      </c>
      <c r="AD6222" s="580">
        <f t="shared" si="521"/>
        <v>5</v>
      </c>
      <c r="AE6222" s="580">
        <f t="shared" si="522"/>
        <v>2.5</v>
      </c>
      <c r="AF6222" s="580">
        <f t="shared" si="523"/>
        <v>2.5</v>
      </c>
      <c r="AG6222" s="580">
        <f t="shared" si="524"/>
        <v>0</v>
      </c>
      <c r="AH6222" s="580">
        <f t="shared" si="525"/>
        <v>0</v>
      </c>
    </row>
    <row r="6223" spans="28:34">
      <c r="AB6223" s="580">
        <f>HLOOKUP("*"&amp;'Output annual'!$AC$2&amp;'Output annual'!$AD$2&amp;"*Zone People Number Of Occupants [](Hourly)",'Eplus results'!$1:$1048576,ROW(),FALSE)</f>
        <v>0</v>
      </c>
      <c r="AC6223" s="580">
        <f>HLOOKUP("*"&amp;'Output annual'!$AC$2&amp;'Output annual'!$AD$2&amp;"*FangerPMV(Hourly)",'Eplus results'!$1:$1048576,ROW(),FALSE)</f>
        <v>0</v>
      </c>
      <c r="AD6223" s="580">
        <f t="shared" si="521"/>
        <v>5</v>
      </c>
      <c r="AE6223" s="580">
        <f t="shared" si="522"/>
        <v>2.5</v>
      </c>
      <c r="AF6223" s="580">
        <f t="shared" si="523"/>
        <v>2.5</v>
      </c>
      <c r="AG6223" s="580">
        <f t="shared" si="524"/>
        <v>0</v>
      </c>
      <c r="AH6223" s="580">
        <f t="shared" si="525"/>
        <v>0</v>
      </c>
    </row>
    <row r="6224" spans="28:34">
      <c r="AB6224" s="580">
        <f>HLOOKUP("*"&amp;'Output annual'!$AC$2&amp;'Output annual'!$AD$2&amp;"*Zone People Number Of Occupants [](Hourly)",'Eplus results'!$1:$1048576,ROW(),FALSE)</f>
        <v>0</v>
      </c>
      <c r="AC6224" s="580">
        <f>HLOOKUP("*"&amp;'Output annual'!$AC$2&amp;'Output annual'!$AD$2&amp;"*FangerPMV(Hourly)",'Eplus results'!$1:$1048576,ROW(),FALSE)</f>
        <v>0</v>
      </c>
      <c r="AD6224" s="580">
        <f t="shared" si="521"/>
        <v>5</v>
      </c>
      <c r="AE6224" s="580">
        <f t="shared" si="522"/>
        <v>2.5</v>
      </c>
      <c r="AF6224" s="580">
        <f t="shared" si="523"/>
        <v>2.5</v>
      </c>
      <c r="AG6224" s="580">
        <f t="shared" si="524"/>
        <v>0</v>
      </c>
      <c r="AH6224" s="580">
        <f t="shared" si="525"/>
        <v>0</v>
      </c>
    </row>
    <row r="6225" spans="28:34">
      <c r="AB6225" s="580">
        <f>HLOOKUP("*"&amp;'Output annual'!$AC$2&amp;'Output annual'!$AD$2&amp;"*Zone People Number Of Occupants [](Hourly)",'Eplus results'!$1:$1048576,ROW(),FALSE)</f>
        <v>0</v>
      </c>
      <c r="AC6225" s="580">
        <f>HLOOKUP("*"&amp;'Output annual'!$AC$2&amp;'Output annual'!$AD$2&amp;"*FangerPMV(Hourly)",'Eplus results'!$1:$1048576,ROW(),FALSE)</f>
        <v>0</v>
      </c>
      <c r="AD6225" s="580">
        <f t="shared" si="521"/>
        <v>5</v>
      </c>
      <c r="AE6225" s="580">
        <f t="shared" si="522"/>
        <v>2.5</v>
      </c>
      <c r="AF6225" s="580">
        <f t="shared" si="523"/>
        <v>2.5</v>
      </c>
      <c r="AG6225" s="580">
        <f t="shared" si="524"/>
        <v>0</v>
      </c>
      <c r="AH6225" s="580">
        <f t="shared" si="525"/>
        <v>0</v>
      </c>
    </row>
    <row r="6226" spans="28:34">
      <c r="AB6226" s="580">
        <f>HLOOKUP("*"&amp;'Output annual'!$AC$2&amp;'Output annual'!$AD$2&amp;"*Zone People Number Of Occupants [](Hourly)",'Eplus results'!$1:$1048576,ROW(),FALSE)</f>
        <v>0</v>
      </c>
      <c r="AC6226" s="580">
        <f>HLOOKUP("*"&amp;'Output annual'!$AC$2&amp;'Output annual'!$AD$2&amp;"*FangerPMV(Hourly)",'Eplus results'!$1:$1048576,ROW(),FALSE)</f>
        <v>0</v>
      </c>
      <c r="AD6226" s="580">
        <f t="shared" si="521"/>
        <v>5</v>
      </c>
      <c r="AE6226" s="580">
        <f t="shared" si="522"/>
        <v>2.5</v>
      </c>
      <c r="AF6226" s="580">
        <f t="shared" si="523"/>
        <v>2.5</v>
      </c>
      <c r="AG6226" s="580">
        <f t="shared" si="524"/>
        <v>0</v>
      </c>
      <c r="AH6226" s="580">
        <f t="shared" si="525"/>
        <v>0</v>
      </c>
    </row>
    <row r="6227" spans="28:34">
      <c r="AB6227" s="580">
        <f>HLOOKUP("*"&amp;'Output annual'!$AC$2&amp;'Output annual'!$AD$2&amp;"*Zone People Number Of Occupants [](Hourly)",'Eplus results'!$1:$1048576,ROW(),FALSE)</f>
        <v>0</v>
      </c>
      <c r="AC6227" s="580">
        <f>HLOOKUP("*"&amp;'Output annual'!$AC$2&amp;'Output annual'!$AD$2&amp;"*FangerPMV(Hourly)",'Eplus results'!$1:$1048576,ROW(),FALSE)</f>
        <v>0</v>
      </c>
      <c r="AD6227" s="580">
        <f t="shared" si="521"/>
        <v>5</v>
      </c>
      <c r="AE6227" s="580">
        <f t="shared" si="522"/>
        <v>2.5</v>
      </c>
      <c r="AF6227" s="580">
        <f t="shared" si="523"/>
        <v>2.5</v>
      </c>
      <c r="AG6227" s="580">
        <f t="shared" si="524"/>
        <v>0</v>
      </c>
      <c r="AH6227" s="580">
        <f t="shared" si="525"/>
        <v>0</v>
      </c>
    </row>
    <row r="6228" spans="28:34">
      <c r="AB6228" s="580">
        <f>HLOOKUP("*"&amp;'Output annual'!$AC$2&amp;'Output annual'!$AD$2&amp;"*Zone People Number Of Occupants [](Hourly)",'Eplus results'!$1:$1048576,ROW(),FALSE)</f>
        <v>0</v>
      </c>
      <c r="AC6228" s="580">
        <f>HLOOKUP("*"&amp;'Output annual'!$AC$2&amp;'Output annual'!$AD$2&amp;"*FangerPMV(Hourly)",'Eplus results'!$1:$1048576,ROW(),FALSE)</f>
        <v>0</v>
      </c>
      <c r="AD6228" s="580">
        <f t="shared" si="521"/>
        <v>5</v>
      </c>
      <c r="AE6228" s="580">
        <f t="shared" si="522"/>
        <v>2.5</v>
      </c>
      <c r="AF6228" s="580">
        <f t="shared" si="523"/>
        <v>2.5</v>
      </c>
      <c r="AG6228" s="580">
        <f t="shared" si="524"/>
        <v>0</v>
      </c>
      <c r="AH6228" s="580">
        <f t="shared" si="525"/>
        <v>0</v>
      </c>
    </row>
    <row r="6229" spans="28:34">
      <c r="AB6229" s="580">
        <f>HLOOKUP("*"&amp;'Output annual'!$AC$2&amp;'Output annual'!$AD$2&amp;"*Zone People Number Of Occupants [](Hourly)",'Eplus results'!$1:$1048576,ROW(),FALSE)</f>
        <v>0</v>
      </c>
      <c r="AC6229" s="580">
        <f>HLOOKUP("*"&amp;'Output annual'!$AC$2&amp;'Output annual'!$AD$2&amp;"*FangerPMV(Hourly)",'Eplus results'!$1:$1048576,ROW(),FALSE)</f>
        <v>0</v>
      </c>
      <c r="AD6229" s="580">
        <f t="shared" si="521"/>
        <v>5</v>
      </c>
      <c r="AE6229" s="580">
        <f t="shared" si="522"/>
        <v>2.5</v>
      </c>
      <c r="AF6229" s="580">
        <f t="shared" si="523"/>
        <v>2.5</v>
      </c>
      <c r="AG6229" s="580">
        <f t="shared" si="524"/>
        <v>0</v>
      </c>
      <c r="AH6229" s="580">
        <f t="shared" si="525"/>
        <v>0</v>
      </c>
    </row>
    <row r="6230" spans="28:34">
      <c r="AB6230" s="580">
        <f>HLOOKUP("*"&amp;'Output annual'!$AC$2&amp;'Output annual'!$AD$2&amp;"*Zone People Number Of Occupants [](Hourly)",'Eplus results'!$1:$1048576,ROW(),FALSE)</f>
        <v>0</v>
      </c>
      <c r="AC6230" s="580">
        <f>HLOOKUP("*"&amp;'Output annual'!$AC$2&amp;'Output annual'!$AD$2&amp;"*FangerPMV(Hourly)",'Eplus results'!$1:$1048576,ROW(),FALSE)</f>
        <v>0</v>
      </c>
      <c r="AD6230" s="580">
        <f t="shared" si="521"/>
        <v>5</v>
      </c>
      <c r="AE6230" s="580">
        <f t="shared" si="522"/>
        <v>2.5</v>
      </c>
      <c r="AF6230" s="580">
        <f t="shared" si="523"/>
        <v>2.5</v>
      </c>
      <c r="AG6230" s="580">
        <f t="shared" si="524"/>
        <v>0</v>
      </c>
      <c r="AH6230" s="580">
        <f t="shared" si="525"/>
        <v>0</v>
      </c>
    </row>
    <row r="6231" spans="28:34">
      <c r="AB6231" s="580">
        <f>HLOOKUP("*"&amp;'Output annual'!$AC$2&amp;'Output annual'!$AD$2&amp;"*Zone People Number Of Occupants [](Hourly)",'Eplus results'!$1:$1048576,ROW(),FALSE)</f>
        <v>0</v>
      </c>
      <c r="AC6231" s="580">
        <f>HLOOKUP("*"&amp;'Output annual'!$AC$2&amp;'Output annual'!$AD$2&amp;"*FangerPMV(Hourly)",'Eplus results'!$1:$1048576,ROW(),FALSE)</f>
        <v>0</v>
      </c>
      <c r="AD6231" s="580">
        <f t="shared" si="521"/>
        <v>5</v>
      </c>
      <c r="AE6231" s="580">
        <f t="shared" si="522"/>
        <v>2.5</v>
      </c>
      <c r="AF6231" s="580">
        <f t="shared" si="523"/>
        <v>2.5</v>
      </c>
      <c r="AG6231" s="580">
        <f t="shared" si="524"/>
        <v>0</v>
      </c>
      <c r="AH6231" s="580">
        <f t="shared" si="525"/>
        <v>0</v>
      </c>
    </row>
    <row r="6232" spans="28:34">
      <c r="AB6232" s="580">
        <f>HLOOKUP("*"&amp;'Output annual'!$AC$2&amp;'Output annual'!$AD$2&amp;"*Zone People Number Of Occupants [](Hourly)",'Eplus results'!$1:$1048576,ROW(),FALSE)</f>
        <v>0</v>
      </c>
      <c r="AC6232" s="580">
        <f>HLOOKUP("*"&amp;'Output annual'!$AC$2&amp;'Output annual'!$AD$2&amp;"*FangerPMV(Hourly)",'Eplus results'!$1:$1048576,ROW(),FALSE)</f>
        <v>0</v>
      </c>
      <c r="AD6232" s="580">
        <f t="shared" si="521"/>
        <v>5</v>
      </c>
      <c r="AE6232" s="580">
        <f t="shared" si="522"/>
        <v>2.5</v>
      </c>
      <c r="AF6232" s="580">
        <f t="shared" si="523"/>
        <v>2.5</v>
      </c>
      <c r="AG6232" s="580">
        <f t="shared" si="524"/>
        <v>0</v>
      </c>
      <c r="AH6232" s="580">
        <f t="shared" si="525"/>
        <v>0</v>
      </c>
    </row>
    <row r="6233" spans="28:34">
      <c r="AB6233" s="580">
        <f>HLOOKUP("*"&amp;'Output annual'!$AC$2&amp;'Output annual'!$AD$2&amp;"*Zone People Number Of Occupants [](Hourly)",'Eplus results'!$1:$1048576,ROW(),FALSE)</f>
        <v>0</v>
      </c>
      <c r="AC6233" s="580">
        <f>HLOOKUP("*"&amp;'Output annual'!$AC$2&amp;'Output annual'!$AD$2&amp;"*FangerPMV(Hourly)",'Eplus results'!$1:$1048576,ROW(),FALSE)</f>
        <v>0</v>
      </c>
      <c r="AD6233" s="580">
        <f t="shared" si="521"/>
        <v>5</v>
      </c>
      <c r="AE6233" s="580">
        <f t="shared" si="522"/>
        <v>2.5</v>
      </c>
      <c r="AF6233" s="580">
        <f t="shared" si="523"/>
        <v>2.5</v>
      </c>
      <c r="AG6233" s="580">
        <f t="shared" si="524"/>
        <v>0</v>
      </c>
      <c r="AH6233" s="580">
        <f t="shared" si="525"/>
        <v>0</v>
      </c>
    </row>
    <row r="6234" spans="28:34">
      <c r="AB6234" s="580">
        <f>HLOOKUP("*"&amp;'Output annual'!$AC$2&amp;'Output annual'!$AD$2&amp;"*Zone People Number Of Occupants [](Hourly)",'Eplus results'!$1:$1048576,ROW(),FALSE)</f>
        <v>0</v>
      </c>
      <c r="AC6234" s="580">
        <f>HLOOKUP("*"&amp;'Output annual'!$AC$2&amp;'Output annual'!$AD$2&amp;"*FangerPMV(Hourly)",'Eplus results'!$1:$1048576,ROW(),FALSE)</f>
        <v>0</v>
      </c>
      <c r="AD6234" s="580">
        <f t="shared" si="521"/>
        <v>5</v>
      </c>
      <c r="AE6234" s="580">
        <f t="shared" si="522"/>
        <v>2.5</v>
      </c>
      <c r="AF6234" s="580">
        <f t="shared" si="523"/>
        <v>2.5</v>
      </c>
      <c r="AG6234" s="580">
        <f t="shared" si="524"/>
        <v>0</v>
      </c>
      <c r="AH6234" s="580">
        <f t="shared" si="525"/>
        <v>0</v>
      </c>
    </row>
    <row r="6235" spans="28:34">
      <c r="AB6235" s="580">
        <f>HLOOKUP("*"&amp;'Output annual'!$AC$2&amp;'Output annual'!$AD$2&amp;"*Zone People Number Of Occupants [](Hourly)",'Eplus results'!$1:$1048576,ROW(),FALSE)</f>
        <v>0</v>
      </c>
      <c r="AC6235" s="580">
        <f>HLOOKUP("*"&amp;'Output annual'!$AC$2&amp;'Output annual'!$AD$2&amp;"*FangerPMV(Hourly)",'Eplus results'!$1:$1048576,ROW(),FALSE)</f>
        <v>0</v>
      </c>
      <c r="AD6235" s="580">
        <f t="shared" si="521"/>
        <v>5</v>
      </c>
      <c r="AE6235" s="580">
        <f t="shared" si="522"/>
        <v>2.5</v>
      </c>
      <c r="AF6235" s="580">
        <f t="shared" si="523"/>
        <v>2.5</v>
      </c>
      <c r="AG6235" s="580">
        <f t="shared" si="524"/>
        <v>0</v>
      </c>
      <c r="AH6235" s="580">
        <f t="shared" si="525"/>
        <v>0</v>
      </c>
    </row>
    <row r="6236" spans="28:34">
      <c r="AB6236" s="580">
        <f>HLOOKUP("*"&amp;'Output annual'!$AC$2&amp;'Output annual'!$AD$2&amp;"*Zone People Number Of Occupants [](Hourly)",'Eplus results'!$1:$1048576,ROW(),FALSE)</f>
        <v>0</v>
      </c>
      <c r="AC6236" s="580">
        <f>HLOOKUP("*"&amp;'Output annual'!$AC$2&amp;'Output annual'!$AD$2&amp;"*FangerPMV(Hourly)",'Eplus results'!$1:$1048576,ROW(),FALSE)</f>
        <v>0</v>
      </c>
      <c r="AD6236" s="580">
        <f t="shared" si="521"/>
        <v>5</v>
      </c>
      <c r="AE6236" s="580">
        <f t="shared" si="522"/>
        <v>2.5</v>
      </c>
      <c r="AF6236" s="580">
        <f t="shared" si="523"/>
        <v>2.5</v>
      </c>
      <c r="AG6236" s="580">
        <f t="shared" si="524"/>
        <v>0</v>
      </c>
      <c r="AH6236" s="580">
        <f t="shared" si="525"/>
        <v>0</v>
      </c>
    </row>
    <row r="6237" spans="28:34">
      <c r="AB6237" s="580">
        <f>HLOOKUP("*"&amp;'Output annual'!$AC$2&amp;'Output annual'!$AD$2&amp;"*Zone People Number Of Occupants [](Hourly)",'Eplus results'!$1:$1048576,ROW(),FALSE)</f>
        <v>0</v>
      </c>
      <c r="AC6237" s="580">
        <f>HLOOKUP("*"&amp;'Output annual'!$AC$2&amp;'Output annual'!$AD$2&amp;"*FangerPMV(Hourly)",'Eplus results'!$1:$1048576,ROW(),FALSE)</f>
        <v>0</v>
      </c>
      <c r="AD6237" s="580">
        <f t="shared" si="521"/>
        <v>5</v>
      </c>
      <c r="AE6237" s="580">
        <f t="shared" si="522"/>
        <v>2.5</v>
      </c>
      <c r="AF6237" s="580">
        <f t="shared" si="523"/>
        <v>2.5</v>
      </c>
      <c r="AG6237" s="580">
        <f t="shared" si="524"/>
        <v>0</v>
      </c>
      <c r="AH6237" s="580">
        <f t="shared" si="525"/>
        <v>0</v>
      </c>
    </row>
    <row r="6238" spans="28:34">
      <c r="AB6238" s="580">
        <f>HLOOKUP("*"&amp;'Output annual'!$AC$2&amp;'Output annual'!$AD$2&amp;"*Zone People Number Of Occupants [](Hourly)",'Eplus results'!$1:$1048576,ROW(),FALSE)</f>
        <v>0</v>
      </c>
      <c r="AC6238" s="580">
        <f>HLOOKUP("*"&amp;'Output annual'!$AC$2&amp;'Output annual'!$AD$2&amp;"*FangerPMV(Hourly)",'Eplus results'!$1:$1048576,ROW(),FALSE)</f>
        <v>0</v>
      </c>
      <c r="AD6238" s="580">
        <f t="shared" si="521"/>
        <v>5</v>
      </c>
      <c r="AE6238" s="580">
        <f t="shared" si="522"/>
        <v>2.5</v>
      </c>
      <c r="AF6238" s="580">
        <f t="shared" si="523"/>
        <v>2.5</v>
      </c>
      <c r="AG6238" s="580">
        <f t="shared" si="524"/>
        <v>0</v>
      </c>
      <c r="AH6238" s="580">
        <f t="shared" si="525"/>
        <v>0</v>
      </c>
    </row>
    <row r="6239" spans="28:34">
      <c r="AB6239" s="580">
        <f>HLOOKUP("*"&amp;'Output annual'!$AC$2&amp;'Output annual'!$AD$2&amp;"*Zone People Number Of Occupants [](Hourly)",'Eplus results'!$1:$1048576,ROW(),FALSE)</f>
        <v>0</v>
      </c>
      <c r="AC6239" s="580">
        <f>HLOOKUP("*"&amp;'Output annual'!$AC$2&amp;'Output annual'!$AD$2&amp;"*FangerPMV(Hourly)",'Eplus results'!$1:$1048576,ROW(),FALSE)</f>
        <v>0</v>
      </c>
      <c r="AD6239" s="580">
        <f t="shared" si="521"/>
        <v>5</v>
      </c>
      <c r="AE6239" s="580">
        <f t="shared" si="522"/>
        <v>2.5</v>
      </c>
      <c r="AF6239" s="580">
        <f t="shared" si="523"/>
        <v>2.5</v>
      </c>
      <c r="AG6239" s="580">
        <f t="shared" si="524"/>
        <v>0</v>
      </c>
      <c r="AH6239" s="580">
        <f t="shared" si="525"/>
        <v>0</v>
      </c>
    </row>
    <row r="6240" spans="28:34">
      <c r="AB6240" s="580">
        <f>HLOOKUP("*"&amp;'Output annual'!$AC$2&amp;'Output annual'!$AD$2&amp;"*Zone People Number Of Occupants [](Hourly)",'Eplus results'!$1:$1048576,ROW(),FALSE)</f>
        <v>0</v>
      </c>
      <c r="AC6240" s="580">
        <f>HLOOKUP("*"&amp;'Output annual'!$AC$2&amp;'Output annual'!$AD$2&amp;"*FangerPMV(Hourly)",'Eplus results'!$1:$1048576,ROW(),FALSE)</f>
        <v>0</v>
      </c>
      <c r="AD6240" s="580">
        <f t="shared" si="521"/>
        <v>5</v>
      </c>
      <c r="AE6240" s="580">
        <f t="shared" si="522"/>
        <v>2.5</v>
      </c>
      <c r="AF6240" s="580">
        <f t="shared" si="523"/>
        <v>2.5</v>
      </c>
      <c r="AG6240" s="580">
        <f t="shared" si="524"/>
        <v>0</v>
      </c>
      <c r="AH6240" s="580">
        <f t="shared" si="525"/>
        <v>0</v>
      </c>
    </row>
    <row r="6241" spans="28:34">
      <c r="AB6241" s="580">
        <f>HLOOKUP("*"&amp;'Output annual'!$AC$2&amp;'Output annual'!$AD$2&amp;"*Zone People Number Of Occupants [](Hourly)",'Eplus results'!$1:$1048576,ROW(),FALSE)</f>
        <v>0</v>
      </c>
      <c r="AC6241" s="580">
        <f>HLOOKUP("*"&amp;'Output annual'!$AC$2&amp;'Output annual'!$AD$2&amp;"*FangerPMV(Hourly)",'Eplus results'!$1:$1048576,ROW(),FALSE)</f>
        <v>0</v>
      </c>
      <c r="AD6241" s="580">
        <f t="shared" si="521"/>
        <v>5</v>
      </c>
      <c r="AE6241" s="580">
        <f t="shared" si="522"/>
        <v>2.5</v>
      </c>
      <c r="AF6241" s="580">
        <f t="shared" si="523"/>
        <v>2.5</v>
      </c>
      <c r="AG6241" s="580">
        <f t="shared" si="524"/>
        <v>0</v>
      </c>
      <c r="AH6241" s="580">
        <f t="shared" si="525"/>
        <v>0</v>
      </c>
    </row>
    <row r="6242" spans="28:34">
      <c r="AB6242" s="580">
        <f>HLOOKUP("*"&amp;'Output annual'!$AC$2&amp;'Output annual'!$AD$2&amp;"*Zone People Number Of Occupants [](Hourly)",'Eplus results'!$1:$1048576,ROW(),FALSE)</f>
        <v>0</v>
      </c>
      <c r="AC6242" s="580">
        <f>HLOOKUP("*"&amp;'Output annual'!$AC$2&amp;'Output annual'!$AD$2&amp;"*FangerPMV(Hourly)",'Eplus results'!$1:$1048576,ROW(),FALSE)</f>
        <v>0</v>
      </c>
      <c r="AD6242" s="580">
        <f t="shared" si="521"/>
        <v>5</v>
      </c>
      <c r="AE6242" s="580">
        <f t="shared" si="522"/>
        <v>2.5</v>
      </c>
      <c r="AF6242" s="580">
        <f t="shared" si="523"/>
        <v>2.5</v>
      </c>
      <c r="AG6242" s="580">
        <f t="shared" si="524"/>
        <v>0</v>
      </c>
      <c r="AH6242" s="580">
        <f t="shared" si="525"/>
        <v>0</v>
      </c>
    </row>
    <row r="6243" spans="28:34">
      <c r="AB6243" s="580">
        <f>HLOOKUP("*"&amp;'Output annual'!$AC$2&amp;'Output annual'!$AD$2&amp;"*Zone People Number Of Occupants [](Hourly)",'Eplus results'!$1:$1048576,ROW(),FALSE)</f>
        <v>0</v>
      </c>
      <c r="AC6243" s="580">
        <f>HLOOKUP("*"&amp;'Output annual'!$AC$2&amp;'Output annual'!$AD$2&amp;"*FangerPMV(Hourly)",'Eplus results'!$1:$1048576,ROW(),FALSE)</f>
        <v>0</v>
      </c>
      <c r="AD6243" s="580">
        <f t="shared" si="521"/>
        <v>5</v>
      </c>
      <c r="AE6243" s="580">
        <f t="shared" si="522"/>
        <v>2.5</v>
      </c>
      <c r="AF6243" s="580">
        <f t="shared" si="523"/>
        <v>2.5</v>
      </c>
      <c r="AG6243" s="580">
        <f t="shared" si="524"/>
        <v>0</v>
      </c>
      <c r="AH6243" s="580">
        <f t="shared" si="525"/>
        <v>0</v>
      </c>
    </row>
    <row r="6244" spans="28:34">
      <c r="AB6244" s="580">
        <f>HLOOKUP("*"&amp;'Output annual'!$AC$2&amp;'Output annual'!$AD$2&amp;"*Zone People Number Of Occupants [](Hourly)",'Eplus results'!$1:$1048576,ROW(),FALSE)</f>
        <v>0</v>
      </c>
      <c r="AC6244" s="580">
        <f>HLOOKUP("*"&amp;'Output annual'!$AC$2&amp;'Output annual'!$AD$2&amp;"*FangerPMV(Hourly)",'Eplus results'!$1:$1048576,ROW(),FALSE)</f>
        <v>0</v>
      </c>
      <c r="AD6244" s="580">
        <f t="shared" si="521"/>
        <v>5</v>
      </c>
      <c r="AE6244" s="580">
        <f t="shared" si="522"/>
        <v>2.5</v>
      </c>
      <c r="AF6244" s="580">
        <f t="shared" si="523"/>
        <v>2.5</v>
      </c>
      <c r="AG6244" s="580">
        <f t="shared" si="524"/>
        <v>0</v>
      </c>
      <c r="AH6244" s="580">
        <f t="shared" si="525"/>
        <v>0</v>
      </c>
    </row>
    <row r="6245" spans="28:34">
      <c r="AB6245" s="580">
        <f>HLOOKUP("*"&amp;'Output annual'!$AC$2&amp;'Output annual'!$AD$2&amp;"*Zone People Number Of Occupants [](Hourly)",'Eplus results'!$1:$1048576,ROW(),FALSE)</f>
        <v>0</v>
      </c>
      <c r="AC6245" s="580">
        <f>HLOOKUP("*"&amp;'Output annual'!$AC$2&amp;'Output annual'!$AD$2&amp;"*FangerPMV(Hourly)",'Eplus results'!$1:$1048576,ROW(),FALSE)</f>
        <v>0</v>
      </c>
      <c r="AD6245" s="580">
        <f t="shared" si="521"/>
        <v>5</v>
      </c>
      <c r="AE6245" s="580">
        <f t="shared" si="522"/>
        <v>2.5</v>
      </c>
      <c r="AF6245" s="580">
        <f t="shared" si="523"/>
        <v>2.5</v>
      </c>
      <c r="AG6245" s="580">
        <f t="shared" si="524"/>
        <v>0</v>
      </c>
      <c r="AH6245" s="580">
        <f t="shared" si="525"/>
        <v>0</v>
      </c>
    </row>
    <row r="6246" spans="28:34">
      <c r="AB6246" s="580">
        <f>HLOOKUP("*"&amp;'Output annual'!$AC$2&amp;'Output annual'!$AD$2&amp;"*Zone People Number Of Occupants [](Hourly)",'Eplus results'!$1:$1048576,ROW(),FALSE)</f>
        <v>0</v>
      </c>
      <c r="AC6246" s="580">
        <f>HLOOKUP("*"&amp;'Output annual'!$AC$2&amp;'Output annual'!$AD$2&amp;"*FangerPMV(Hourly)",'Eplus results'!$1:$1048576,ROW(),FALSE)</f>
        <v>0</v>
      </c>
      <c r="AD6246" s="580">
        <f t="shared" si="521"/>
        <v>5</v>
      </c>
      <c r="AE6246" s="580">
        <f t="shared" si="522"/>
        <v>2.5</v>
      </c>
      <c r="AF6246" s="580">
        <f t="shared" si="523"/>
        <v>2.5</v>
      </c>
      <c r="AG6246" s="580">
        <f t="shared" si="524"/>
        <v>0</v>
      </c>
      <c r="AH6246" s="580">
        <f t="shared" si="525"/>
        <v>0</v>
      </c>
    </row>
    <row r="6247" spans="28:34">
      <c r="AB6247" s="580">
        <f>HLOOKUP("*"&amp;'Output annual'!$AC$2&amp;'Output annual'!$AD$2&amp;"*Zone People Number Of Occupants [](Hourly)",'Eplus results'!$1:$1048576,ROW(),FALSE)</f>
        <v>0</v>
      </c>
      <c r="AC6247" s="580">
        <f>HLOOKUP("*"&amp;'Output annual'!$AC$2&amp;'Output annual'!$AD$2&amp;"*FangerPMV(Hourly)",'Eplus results'!$1:$1048576,ROW(),FALSE)</f>
        <v>0</v>
      </c>
      <c r="AD6247" s="580">
        <f t="shared" si="521"/>
        <v>5</v>
      </c>
      <c r="AE6247" s="580">
        <f t="shared" si="522"/>
        <v>2.5</v>
      </c>
      <c r="AF6247" s="580">
        <f t="shared" si="523"/>
        <v>2.5</v>
      </c>
      <c r="AG6247" s="580">
        <f t="shared" si="524"/>
        <v>0</v>
      </c>
      <c r="AH6247" s="580">
        <f t="shared" si="525"/>
        <v>0</v>
      </c>
    </row>
    <row r="6248" spans="28:34">
      <c r="AB6248" s="580">
        <f>HLOOKUP("*"&amp;'Output annual'!$AC$2&amp;'Output annual'!$AD$2&amp;"*Zone People Number Of Occupants [](Hourly)",'Eplus results'!$1:$1048576,ROW(),FALSE)</f>
        <v>0</v>
      </c>
      <c r="AC6248" s="580">
        <f>HLOOKUP("*"&amp;'Output annual'!$AC$2&amp;'Output annual'!$AD$2&amp;"*FangerPMV(Hourly)",'Eplus results'!$1:$1048576,ROW(),FALSE)</f>
        <v>0</v>
      </c>
      <c r="AD6248" s="580">
        <f t="shared" si="521"/>
        <v>5</v>
      </c>
      <c r="AE6248" s="580">
        <f t="shared" si="522"/>
        <v>2.5</v>
      </c>
      <c r="AF6248" s="580">
        <f t="shared" si="523"/>
        <v>2.5</v>
      </c>
      <c r="AG6248" s="580">
        <f t="shared" si="524"/>
        <v>0</v>
      </c>
      <c r="AH6248" s="580">
        <f t="shared" si="525"/>
        <v>0</v>
      </c>
    </row>
    <row r="6249" spans="28:34">
      <c r="AB6249" s="580">
        <f>HLOOKUP("*"&amp;'Output annual'!$AC$2&amp;'Output annual'!$AD$2&amp;"*Zone People Number Of Occupants [](Hourly)",'Eplus results'!$1:$1048576,ROW(),FALSE)</f>
        <v>0</v>
      </c>
      <c r="AC6249" s="580">
        <f>HLOOKUP("*"&amp;'Output annual'!$AC$2&amp;'Output annual'!$AD$2&amp;"*FangerPMV(Hourly)",'Eplus results'!$1:$1048576,ROW(),FALSE)</f>
        <v>0</v>
      </c>
      <c r="AD6249" s="580">
        <f t="shared" si="521"/>
        <v>5</v>
      </c>
      <c r="AE6249" s="580">
        <f t="shared" si="522"/>
        <v>2.5</v>
      </c>
      <c r="AF6249" s="580">
        <f t="shared" si="523"/>
        <v>2.5</v>
      </c>
      <c r="AG6249" s="580">
        <f t="shared" si="524"/>
        <v>0</v>
      </c>
      <c r="AH6249" s="580">
        <f t="shared" si="525"/>
        <v>0</v>
      </c>
    </row>
    <row r="6250" spans="28:34">
      <c r="AB6250" s="580">
        <f>HLOOKUP("*"&amp;'Output annual'!$AC$2&amp;'Output annual'!$AD$2&amp;"*Zone People Number Of Occupants [](Hourly)",'Eplus results'!$1:$1048576,ROW(),FALSE)</f>
        <v>0</v>
      </c>
      <c r="AC6250" s="580">
        <f>HLOOKUP("*"&amp;'Output annual'!$AC$2&amp;'Output annual'!$AD$2&amp;"*FangerPMV(Hourly)",'Eplus results'!$1:$1048576,ROW(),FALSE)</f>
        <v>0</v>
      </c>
      <c r="AD6250" s="580">
        <f t="shared" si="521"/>
        <v>5</v>
      </c>
      <c r="AE6250" s="580">
        <f t="shared" si="522"/>
        <v>2.5</v>
      </c>
      <c r="AF6250" s="580">
        <f t="shared" si="523"/>
        <v>2.5</v>
      </c>
      <c r="AG6250" s="580">
        <f t="shared" si="524"/>
        <v>0</v>
      </c>
      <c r="AH6250" s="580">
        <f t="shared" si="525"/>
        <v>0</v>
      </c>
    </row>
    <row r="6251" spans="28:34">
      <c r="AB6251" s="580">
        <f>HLOOKUP("*"&amp;'Output annual'!$AC$2&amp;'Output annual'!$AD$2&amp;"*Zone People Number Of Occupants [](Hourly)",'Eplus results'!$1:$1048576,ROW(),FALSE)</f>
        <v>0</v>
      </c>
      <c r="AC6251" s="580">
        <f>HLOOKUP("*"&amp;'Output annual'!$AC$2&amp;'Output annual'!$AD$2&amp;"*FangerPMV(Hourly)",'Eplus results'!$1:$1048576,ROW(),FALSE)</f>
        <v>0</v>
      </c>
      <c r="AD6251" s="580">
        <f t="shared" si="521"/>
        <v>5</v>
      </c>
      <c r="AE6251" s="580">
        <f t="shared" si="522"/>
        <v>2.5</v>
      </c>
      <c r="AF6251" s="580">
        <f t="shared" si="523"/>
        <v>2.5</v>
      </c>
      <c r="AG6251" s="580">
        <f t="shared" si="524"/>
        <v>0</v>
      </c>
      <c r="AH6251" s="580">
        <f t="shared" si="525"/>
        <v>0</v>
      </c>
    </row>
    <row r="6252" spans="28:34">
      <c r="AB6252" s="580">
        <f>HLOOKUP("*"&amp;'Output annual'!$AC$2&amp;'Output annual'!$AD$2&amp;"*Zone People Number Of Occupants [](Hourly)",'Eplus results'!$1:$1048576,ROW(),FALSE)</f>
        <v>0</v>
      </c>
      <c r="AC6252" s="580">
        <f>HLOOKUP("*"&amp;'Output annual'!$AC$2&amp;'Output annual'!$AD$2&amp;"*FangerPMV(Hourly)",'Eplus results'!$1:$1048576,ROW(),FALSE)</f>
        <v>0</v>
      </c>
      <c r="AD6252" s="580">
        <f t="shared" si="521"/>
        <v>5</v>
      </c>
      <c r="AE6252" s="580">
        <f t="shared" si="522"/>
        <v>2.5</v>
      </c>
      <c r="AF6252" s="580">
        <f t="shared" si="523"/>
        <v>2.5</v>
      </c>
      <c r="AG6252" s="580">
        <f t="shared" si="524"/>
        <v>0</v>
      </c>
      <c r="AH6252" s="580">
        <f t="shared" si="525"/>
        <v>0</v>
      </c>
    </row>
    <row r="6253" spans="28:34">
      <c r="AB6253" s="580">
        <f>HLOOKUP("*"&amp;'Output annual'!$AC$2&amp;'Output annual'!$AD$2&amp;"*Zone People Number Of Occupants [](Hourly)",'Eplus results'!$1:$1048576,ROW(),FALSE)</f>
        <v>0</v>
      </c>
      <c r="AC6253" s="580">
        <f>HLOOKUP("*"&amp;'Output annual'!$AC$2&amp;'Output annual'!$AD$2&amp;"*FangerPMV(Hourly)",'Eplus results'!$1:$1048576,ROW(),FALSE)</f>
        <v>0</v>
      </c>
      <c r="AD6253" s="580">
        <f t="shared" si="521"/>
        <v>5</v>
      </c>
      <c r="AE6253" s="580">
        <f t="shared" si="522"/>
        <v>2.5</v>
      </c>
      <c r="AF6253" s="580">
        <f t="shared" si="523"/>
        <v>2.5</v>
      </c>
      <c r="AG6253" s="580">
        <f t="shared" si="524"/>
        <v>0</v>
      </c>
      <c r="AH6253" s="580">
        <f t="shared" si="525"/>
        <v>0</v>
      </c>
    </row>
    <row r="6254" spans="28:34">
      <c r="AB6254" s="580">
        <f>HLOOKUP("*"&amp;'Output annual'!$AC$2&amp;'Output annual'!$AD$2&amp;"*Zone People Number Of Occupants [](Hourly)",'Eplus results'!$1:$1048576,ROW(),FALSE)</f>
        <v>0</v>
      </c>
      <c r="AC6254" s="580">
        <f>HLOOKUP("*"&amp;'Output annual'!$AC$2&amp;'Output annual'!$AD$2&amp;"*FangerPMV(Hourly)",'Eplus results'!$1:$1048576,ROW(),FALSE)</f>
        <v>0</v>
      </c>
      <c r="AD6254" s="580">
        <f t="shared" si="521"/>
        <v>5</v>
      </c>
      <c r="AE6254" s="580">
        <f t="shared" si="522"/>
        <v>2.5</v>
      </c>
      <c r="AF6254" s="580">
        <f t="shared" si="523"/>
        <v>2.5</v>
      </c>
      <c r="AG6254" s="580">
        <f t="shared" si="524"/>
        <v>0</v>
      </c>
      <c r="AH6254" s="580">
        <f t="shared" si="525"/>
        <v>0</v>
      </c>
    </row>
    <row r="6255" spans="28:34">
      <c r="AB6255" s="580">
        <f>HLOOKUP("*"&amp;'Output annual'!$AC$2&amp;'Output annual'!$AD$2&amp;"*Zone People Number Of Occupants [](Hourly)",'Eplus results'!$1:$1048576,ROW(),FALSE)</f>
        <v>0</v>
      </c>
      <c r="AC6255" s="580">
        <f>HLOOKUP("*"&amp;'Output annual'!$AC$2&amp;'Output annual'!$AD$2&amp;"*FangerPMV(Hourly)",'Eplus results'!$1:$1048576,ROW(),FALSE)</f>
        <v>0</v>
      </c>
      <c r="AD6255" s="580">
        <f t="shared" si="521"/>
        <v>5</v>
      </c>
      <c r="AE6255" s="580">
        <f t="shared" si="522"/>
        <v>2.5</v>
      </c>
      <c r="AF6255" s="580">
        <f t="shared" si="523"/>
        <v>2.5</v>
      </c>
      <c r="AG6255" s="580">
        <f t="shared" si="524"/>
        <v>0</v>
      </c>
      <c r="AH6255" s="580">
        <f t="shared" si="525"/>
        <v>0</v>
      </c>
    </row>
    <row r="6256" spans="28:34">
      <c r="AB6256" s="580">
        <f>HLOOKUP("*"&amp;'Output annual'!$AC$2&amp;'Output annual'!$AD$2&amp;"*Zone People Number Of Occupants [](Hourly)",'Eplus results'!$1:$1048576,ROW(),FALSE)</f>
        <v>0</v>
      </c>
      <c r="AC6256" s="580">
        <f>HLOOKUP("*"&amp;'Output annual'!$AC$2&amp;'Output annual'!$AD$2&amp;"*FangerPMV(Hourly)",'Eplus results'!$1:$1048576,ROW(),FALSE)</f>
        <v>0</v>
      </c>
      <c r="AD6256" s="580">
        <f t="shared" si="521"/>
        <v>5</v>
      </c>
      <c r="AE6256" s="580">
        <f t="shared" si="522"/>
        <v>2.5</v>
      </c>
      <c r="AF6256" s="580">
        <f t="shared" si="523"/>
        <v>2.5</v>
      </c>
      <c r="AG6256" s="580">
        <f t="shared" si="524"/>
        <v>0</v>
      </c>
      <c r="AH6256" s="580">
        <f t="shared" si="525"/>
        <v>0</v>
      </c>
    </row>
    <row r="6257" spans="28:34">
      <c r="AB6257" s="580">
        <f>HLOOKUP("*"&amp;'Output annual'!$AC$2&amp;'Output annual'!$AD$2&amp;"*Zone People Number Of Occupants [](Hourly)",'Eplus results'!$1:$1048576,ROW(),FALSE)</f>
        <v>0</v>
      </c>
      <c r="AC6257" s="580">
        <f>HLOOKUP("*"&amp;'Output annual'!$AC$2&amp;'Output annual'!$AD$2&amp;"*FangerPMV(Hourly)",'Eplus results'!$1:$1048576,ROW(),FALSE)</f>
        <v>0</v>
      </c>
      <c r="AD6257" s="580">
        <f t="shared" si="521"/>
        <v>5</v>
      </c>
      <c r="AE6257" s="580">
        <f t="shared" si="522"/>
        <v>2.5</v>
      </c>
      <c r="AF6257" s="580">
        <f t="shared" si="523"/>
        <v>2.5</v>
      </c>
      <c r="AG6257" s="580">
        <f t="shared" si="524"/>
        <v>0</v>
      </c>
      <c r="AH6257" s="580">
        <f t="shared" si="525"/>
        <v>0</v>
      </c>
    </row>
    <row r="6258" spans="28:34">
      <c r="AB6258" s="580">
        <f>HLOOKUP("*"&amp;'Output annual'!$AC$2&amp;'Output annual'!$AD$2&amp;"*Zone People Number Of Occupants [](Hourly)",'Eplus results'!$1:$1048576,ROW(),FALSE)</f>
        <v>0</v>
      </c>
      <c r="AC6258" s="580">
        <f>HLOOKUP("*"&amp;'Output annual'!$AC$2&amp;'Output annual'!$AD$2&amp;"*FangerPMV(Hourly)",'Eplus results'!$1:$1048576,ROW(),FALSE)</f>
        <v>0</v>
      </c>
      <c r="AD6258" s="580">
        <f t="shared" si="521"/>
        <v>5</v>
      </c>
      <c r="AE6258" s="580">
        <f t="shared" si="522"/>
        <v>2.5</v>
      </c>
      <c r="AF6258" s="580">
        <f t="shared" si="523"/>
        <v>2.5</v>
      </c>
      <c r="AG6258" s="580">
        <f t="shared" si="524"/>
        <v>0</v>
      </c>
      <c r="AH6258" s="580">
        <f t="shared" si="525"/>
        <v>0</v>
      </c>
    </row>
    <row r="6259" spans="28:34">
      <c r="AB6259" s="580">
        <f>HLOOKUP("*"&amp;'Output annual'!$AC$2&amp;'Output annual'!$AD$2&amp;"*Zone People Number Of Occupants [](Hourly)",'Eplus results'!$1:$1048576,ROW(),FALSE)</f>
        <v>0</v>
      </c>
      <c r="AC6259" s="580">
        <f>HLOOKUP("*"&amp;'Output annual'!$AC$2&amp;'Output annual'!$AD$2&amp;"*FangerPMV(Hourly)",'Eplus results'!$1:$1048576,ROW(),FALSE)</f>
        <v>0</v>
      </c>
      <c r="AD6259" s="580">
        <f t="shared" si="521"/>
        <v>5</v>
      </c>
      <c r="AE6259" s="580">
        <f t="shared" si="522"/>
        <v>2.5</v>
      </c>
      <c r="AF6259" s="580">
        <f t="shared" si="523"/>
        <v>2.5</v>
      </c>
      <c r="AG6259" s="580">
        <f t="shared" si="524"/>
        <v>0</v>
      </c>
      <c r="AH6259" s="580">
        <f t="shared" si="525"/>
        <v>0</v>
      </c>
    </row>
    <row r="6260" spans="28:34">
      <c r="AB6260" s="580">
        <f>HLOOKUP("*"&amp;'Output annual'!$AC$2&amp;'Output annual'!$AD$2&amp;"*Zone People Number Of Occupants [](Hourly)",'Eplus results'!$1:$1048576,ROW(),FALSE)</f>
        <v>0</v>
      </c>
      <c r="AC6260" s="580">
        <f>HLOOKUP("*"&amp;'Output annual'!$AC$2&amp;'Output annual'!$AD$2&amp;"*FangerPMV(Hourly)",'Eplus results'!$1:$1048576,ROW(),FALSE)</f>
        <v>0</v>
      </c>
      <c r="AD6260" s="580">
        <f t="shared" si="521"/>
        <v>5</v>
      </c>
      <c r="AE6260" s="580">
        <f t="shared" si="522"/>
        <v>2.5</v>
      </c>
      <c r="AF6260" s="580">
        <f t="shared" si="523"/>
        <v>2.5</v>
      </c>
      <c r="AG6260" s="580">
        <f t="shared" si="524"/>
        <v>0</v>
      </c>
      <c r="AH6260" s="580">
        <f t="shared" si="525"/>
        <v>0</v>
      </c>
    </row>
    <row r="6261" spans="28:34">
      <c r="AB6261" s="580">
        <f>HLOOKUP("*"&amp;'Output annual'!$AC$2&amp;'Output annual'!$AD$2&amp;"*Zone People Number Of Occupants [](Hourly)",'Eplus results'!$1:$1048576,ROW(),FALSE)</f>
        <v>0</v>
      </c>
      <c r="AC6261" s="580">
        <f>HLOOKUP("*"&amp;'Output annual'!$AC$2&amp;'Output annual'!$AD$2&amp;"*FangerPMV(Hourly)",'Eplus results'!$1:$1048576,ROW(),FALSE)</f>
        <v>0</v>
      </c>
      <c r="AD6261" s="580">
        <f t="shared" si="521"/>
        <v>5</v>
      </c>
      <c r="AE6261" s="580">
        <f t="shared" si="522"/>
        <v>2.5</v>
      </c>
      <c r="AF6261" s="580">
        <f t="shared" si="523"/>
        <v>2.5</v>
      </c>
      <c r="AG6261" s="580">
        <f t="shared" si="524"/>
        <v>0</v>
      </c>
      <c r="AH6261" s="580">
        <f t="shared" si="525"/>
        <v>0</v>
      </c>
    </row>
    <row r="6262" spans="28:34">
      <c r="AB6262" s="580">
        <f>HLOOKUP("*"&amp;'Output annual'!$AC$2&amp;'Output annual'!$AD$2&amp;"*Zone People Number Of Occupants [](Hourly)",'Eplus results'!$1:$1048576,ROW(),FALSE)</f>
        <v>0</v>
      </c>
      <c r="AC6262" s="580">
        <f>HLOOKUP("*"&amp;'Output annual'!$AC$2&amp;'Output annual'!$AD$2&amp;"*FangerPMV(Hourly)",'Eplus results'!$1:$1048576,ROW(),FALSE)</f>
        <v>0</v>
      </c>
      <c r="AD6262" s="580">
        <f t="shared" si="521"/>
        <v>5</v>
      </c>
      <c r="AE6262" s="580">
        <f t="shared" si="522"/>
        <v>2.5</v>
      </c>
      <c r="AF6262" s="580">
        <f t="shared" si="523"/>
        <v>2.5</v>
      </c>
      <c r="AG6262" s="580">
        <f t="shared" si="524"/>
        <v>0</v>
      </c>
      <c r="AH6262" s="580">
        <f t="shared" si="525"/>
        <v>0</v>
      </c>
    </row>
    <row r="6263" spans="28:34">
      <c r="AB6263" s="580">
        <f>HLOOKUP("*"&amp;'Output annual'!$AC$2&amp;'Output annual'!$AD$2&amp;"*Zone People Number Of Occupants [](Hourly)",'Eplus results'!$1:$1048576,ROW(),FALSE)</f>
        <v>0</v>
      </c>
      <c r="AC6263" s="580">
        <f>HLOOKUP("*"&amp;'Output annual'!$AC$2&amp;'Output annual'!$AD$2&amp;"*FangerPMV(Hourly)",'Eplus results'!$1:$1048576,ROW(),FALSE)</f>
        <v>0</v>
      </c>
      <c r="AD6263" s="580">
        <f t="shared" si="521"/>
        <v>5</v>
      </c>
      <c r="AE6263" s="580">
        <f t="shared" si="522"/>
        <v>2.5</v>
      </c>
      <c r="AF6263" s="580">
        <f t="shared" si="523"/>
        <v>2.5</v>
      </c>
      <c r="AG6263" s="580">
        <f t="shared" si="524"/>
        <v>0</v>
      </c>
      <c r="AH6263" s="580">
        <f t="shared" si="525"/>
        <v>0</v>
      </c>
    </row>
    <row r="6264" spans="28:34">
      <c r="AB6264" s="580">
        <f>HLOOKUP("*"&amp;'Output annual'!$AC$2&amp;'Output annual'!$AD$2&amp;"*Zone People Number Of Occupants [](Hourly)",'Eplus results'!$1:$1048576,ROW(),FALSE)</f>
        <v>0</v>
      </c>
      <c r="AC6264" s="580">
        <f>HLOOKUP("*"&amp;'Output annual'!$AC$2&amp;'Output annual'!$AD$2&amp;"*FangerPMV(Hourly)",'Eplus results'!$1:$1048576,ROW(),FALSE)</f>
        <v>0</v>
      </c>
      <c r="AD6264" s="580">
        <f t="shared" si="521"/>
        <v>5</v>
      </c>
      <c r="AE6264" s="580">
        <f t="shared" si="522"/>
        <v>2.5</v>
      </c>
      <c r="AF6264" s="580">
        <f t="shared" si="523"/>
        <v>2.5</v>
      </c>
      <c r="AG6264" s="580">
        <f t="shared" si="524"/>
        <v>0</v>
      </c>
      <c r="AH6264" s="580">
        <f t="shared" si="525"/>
        <v>0</v>
      </c>
    </row>
    <row r="6265" spans="28:34">
      <c r="AB6265" s="580">
        <f>HLOOKUP("*"&amp;'Output annual'!$AC$2&amp;'Output annual'!$AD$2&amp;"*Zone People Number Of Occupants [](Hourly)",'Eplus results'!$1:$1048576,ROW(),FALSE)</f>
        <v>0</v>
      </c>
      <c r="AC6265" s="580">
        <f>HLOOKUP("*"&amp;'Output annual'!$AC$2&amp;'Output annual'!$AD$2&amp;"*FangerPMV(Hourly)",'Eplus results'!$1:$1048576,ROW(),FALSE)</f>
        <v>0</v>
      </c>
      <c r="AD6265" s="580">
        <f t="shared" si="521"/>
        <v>5</v>
      </c>
      <c r="AE6265" s="580">
        <f t="shared" si="522"/>
        <v>2.5</v>
      </c>
      <c r="AF6265" s="580">
        <f t="shared" si="523"/>
        <v>2.5</v>
      </c>
      <c r="AG6265" s="580">
        <f t="shared" si="524"/>
        <v>0</v>
      </c>
      <c r="AH6265" s="580">
        <f t="shared" si="525"/>
        <v>0</v>
      </c>
    </row>
    <row r="6266" spans="28:34">
      <c r="AB6266" s="580">
        <f>HLOOKUP("*"&amp;'Output annual'!$AC$2&amp;'Output annual'!$AD$2&amp;"*Zone People Number Of Occupants [](Hourly)",'Eplus results'!$1:$1048576,ROW(),FALSE)</f>
        <v>0</v>
      </c>
      <c r="AC6266" s="580">
        <f>HLOOKUP("*"&amp;'Output annual'!$AC$2&amp;'Output annual'!$AD$2&amp;"*FangerPMV(Hourly)",'Eplus results'!$1:$1048576,ROW(),FALSE)</f>
        <v>0</v>
      </c>
      <c r="AD6266" s="580">
        <f t="shared" si="521"/>
        <v>5</v>
      </c>
      <c r="AE6266" s="580">
        <f t="shared" si="522"/>
        <v>2.5</v>
      </c>
      <c r="AF6266" s="580">
        <f t="shared" si="523"/>
        <v>2.5</v>
      </c>
      <c r="AG6266" s="580">
        <f t="shared" si="524"/>
        <v>0</v>
      </c>
      <c r="AH6266" s="580">
        <f t="shared" si="525"/>
        <v>0</v>
      </c>
    </row>
    <row r="6267" spans="28:34">
      <c r="AB6267" s="580">
        <f>HLOOKUP("*"&amp;'Output annual'!$AC$2&amp;'Output annual'!$AD$2&amp;"*Zone People Number Of Occupants [](Hourly)",'Eplus results'!$1:$1048576,ROW(),FALSE)</f>
        <v>0</v>
      </c>
      <c r="AC6267" s="580">
        <f>HLOOKUP("*"&amp;'Output annual'!$AC$2&amp;'Output annual'!$AD$2&amp;"*FangerPMV(Hourly)",'Eplus results'!$1:$1048576,ROW(),FALSE)</f>
        <v>0</v>
      </c>
      <c r="AD6267" s="580">
        <f t="shared" si="521"/>
        <v>5</v>
      </c>
      <c r="AE6267" s="580">
        <f t="shared" si="522"/>
        <v>2.5</v>
      </c>
      <c r="AF6267" s="580">
        <f t="shared" si="523"/>
        <v>2.5</v>
      </c>
      <c r="AG6267" s="580">
        <f t="shared" si="524"/>
        <v>0</v>
      </c>
      <c r="AH6267" s="580">
        <f t="shared" si="525"/>
        <v>0</v>
      </c>
    </row>
    <row r="6268" spans="28:34">
      <c r="AB6268" s="580">
        <f>HLOOKUP("*"&amp;'Output annual'!$AC$2&amp;'Output annual'!$AD$2&amp;"*Zone People Number Of Occupants [](Hourly)",'Eplus results'!$1:$1048576,ROW(),FALSE)</f>
        <v>0</v>
      </c>
      <c r="AC6268" s="580">
        <f>HLOOKUP("*"&amp;'Output annual'!$AC$2&amp;'Output annual'!$AD$2&amp;"*FangerPMV(Hourly)",'Eplus results'!$1:$1048576,ROW(),FALSE)</f>
        <v>0</v>
      </c>
      <c r="AD6268" s="580">
        <f t="shared" si="521"/>
        <v>5</v>
      </c>
      <c r="AE6268" s="580">
        <f t="shared" si="522"/>
        <v>2.5</v>
      </c>
      <c r="AF6268" s="580">
        <f t="shared" si="523"/>
        <v>2.5</v>
      </c>
      <c r="AG6268" s="580">
        <f t="shared" si="524"/>
        <v>0</v>
      </c>
      <c r="AH6268" s="580">
        <f t="shared" si="525"/>
        <v>0</v>
      </c>
    </row>
    <row r="6269" spans="28:34">
      <c r="AB6269" s="580">
        <f>HLOOKUP("*"&amp;'Output annual'!$AC$2&amp;'Output annual'!$AD$2&amp;"*Zone People Number Of Occupants [](Hourly)",'Eplus results'!$1:$1048576,ROW(),FALSE)</f>
        <v>0</v>
      </c>
      <c r="AC6269" s="580">
        <f>HLOOKUP("*"&amp;'Output annual'!$AC$2&amp;'Output annual'!$AD$2&amp;"*FangerPMV(Hourly)",'Eplus results'!$1:$1048576,ROW(),FALSE)</f>
        <v>0</v>
      </c>
      <c r="AD6269" s="580">
        <f t="shared" si="521"/>
        <v>5</v>
      </c>
      <c r="AE6269" s="580">
        <f t="shared" si="522"/>
        <v>2.5</v>
      </c>
      <c r="AF6269" s="580">
        <f t="shared" si="523"/>
        <v>2.5</v>
      </c>
      <c r="AG6269" s="580">
        <f t="shared" si="524"/>
        <v>0</v>
      </c>
      <c r="AH6269" s="580">
        <f t="shared" si="525"/>
        <v>0</v>
      </c>
    </row>
    <row r="6270" spans="28:34">
      <c r="AB6270" s="580">
        <f>HLOOKUP("*"&amp;'Output annual'!$AC$2&amp;'Output annual'!$AD$2&amp;"*Zone People Number Of Occupants [](Hourly)",'Eplus results'!$1:$1048576,ROW(),FALSE)</f>
        <v>0</v>
      </c>
      <c r="AC6270" s="580">
        <f>HLOOKUP("*"&amp;'Output annual'!$AC$2&amp;'Output annual'!$AD$2&amp;"*FangerPMV(Hourly)",'Eplus results'!$1:$1048576,ROW(),FALSE)</f>
        <v>0</v>
      </c>
      <c r="AD6270" s="580">
        <f t="shared" si="521"/>
        <v>5</v>
      </c>
      <c r="AE6270" s="580">
        <f t="shared" si="522"/>
        <v>2.5</v>
      </c>
      <c r="AF6270" s="580">
        <f t="shared" si="523"/>
        <v>2.5</v>
      </c>
      <c r="AG6270" s="580">
        <f t="shared" si="524"/>
        <v>0</v>
      </c>
      <c r="AH6270" s="580">
        <f t="shared" si="525"/>
        <v>0</v>
      </c>
    </row>
    <row r="6271" spans="28:34">
      <c r="AB6271" s="580">
        <f>HLOOKUP("*"&amp;'Output annual'!$AC$2&amp;'Output annual'!$AD$2&amp;"*Zone People Number Of Occupants [](Hourly)",'Eplus results'!$1:$1048576,ROW(),FALSE)</f>
        <v>0</v>
      </c>
      <c r="AC6271" s="580">
        <f>HLOOKUP("*"&amp;'Output annual'!$AC$2&amp;'Output annual'!$AD$2&amp;"*FangerPMV(Hourly)",'Eplus results'!$1:$1048576,ROW(),FALSE)</f>
        <v>0</v>
      </c>
      <c r="AD6271" s="580">
        <f t="shared" si="521"/>
        <v>5</v>
      </c>
      <c r="AE6271" s="580">
        <f t="shared" si="522"/>
        <v>2.5</v>
      </c>
      <c r="AF6271" s="580">
        <f t="shared" si="523"/>
        <v>2.5</v>
      </c>
      <c r="AG6271" s="580">
        <f t="shared" si="524"/>
        <v>0</v>
      </c>
      <c r="AH6271" s="580">
        <f t="shared" si="525"/>
        <v>0</v>
      </c>
    </row>
    <row r="6272" spans="28:34">
      <c r="AB6272" s="580">
        <f>HLOOKUP("*"&amp;'Output annual'!$AC$2&amp;'Output annual'!$AD$2&amp;"*Zone People Number Of Occupants [](Hourly)",'Eplus results'!$1:$1048576,ROW(),FALSE)</f>
        <v>0</v>
      </c>
      <c r="AC6272" s="580">
        <f>HLOOKUP("*"&amp;'Output annual'!$AC$2&amp;'Output annual'!$AD$2&amp;"*FangerPMV(Hourly)",'Eplus results'!$1:$1048576,ROW(),FALSE)</f>
        <v>0</v>
      </c>
      <c r="AD6272" s="580">
        <f t="shared" si="521"/>
        <v>5</v>
      </c>
      <c r="AE6272" s="580">
        <f t="shared" si="522"/>
        <v>2.5</v>
      </c>
      <c r="AF6272" s="580">
        <f t="shared" si="523"/>
        <v>2.5</v>
      </c>
      <c r="AG6272" s="580">
        <f t="shared" si="524"/>
        <v>0</v>
      </c>
      <c r="AH6272" s="580">
        <f t="shared" si="525"/>
        <v>0</v>
      </c>
    </row>
    <row r="6273" spans="28:34">
      <c r="AB6273" s="580">
        <f>HLOOKUP("*"&amp;'Output annual'!$AC$2&amp;'Output annual'!$AD$2&amp;"*Zone People Number Of Occupants [](Hourly)",'Eplus results'!$1:$1048576,ROW(),FALSE)</f>
        <v>0</v>
      </c>
      <c r="AC6273" s="580">
        <f>HLOOKUP("*"&amp;'Output annual'!$AC$2&amp;'Output annual'!$AD$2&amp;"*FangerPMV(Hourly)",'Eplus results'!$1:$1048576,ROW(),FALSE)</f>
        <v>0</v>
      </c>
      <c r="AD6273" s="580">
        <f t="shared" si="521"/>
        <v>5</v>
      </c>
      <c r="AE6273" s="580">
        <f t="shared" si="522"/>
        <v>2.5</v>
      </c>
      <c r="AF6273" s="580">
        <f t="shared" si="523"/>
        <v>2.5</v>
      </c>
      <c r="AG6273" s="580">
        <f t="shared" si="524"/>
        <v>0</v>
      </c>
      <c r="AH6273" s="580">
        <f t="shared" si="525"/>
        <v>0</v>
      </c>
    </row>
    <row r="6274" spans="28:34">
      <c r="AB6274" s="580">
        <f>HLOOKUP("*"&amp;'Output annual'!$AC$2&amp;'Output annual'!$AD$2&amp;"*Zone People Number Of Occupants [](Hourly)",'Eplus results'!$1:$1048576,ROW(),FALSE)</f>
        <v>0</v>
      </c>
      <c r="AC6274" s="580">
        <f>HLOOKUP("*"&amp;'Output annual'!$AC$2&amp;'Output annual'!$AD$2&amp;"*FangerPMV(Hourly)",'Eplus results'!$1:$1048576,ROW(),FALSE)</f>
        <v>0</v>
      </c>
      <c r="AD6274" s="580">
        <f t="shared" si="521"/>
        <v>5</v>
      </c>
      <c r="AE6274" s="580">
        <f t="shared" si="522"/>
        <v>2.5</v>
      </c>
      <c r="AF6274" s="580">
        <f t="shared" si="523"/>
        <v>2.5</v>
      </c>
      <c r="AG6274" s="580">
        <f t="shared" si="524"/>
        <v>0</v>
      </c>
      <c r="AH6274" s="580">
        <f t="shared" si="525"/>
        <v>0</v>
      </c>
    </row>
    <row r="6275" spans="28:34">
      <c r="AB6275" s="580">
        <f>HLOOKUP("*"&amp;'Output annual'!$AC$2&amp;'Output annual'!$AD$2&amp;"*Zone People Number Of Occupants [](Hourly)",'Eplus results'!$1:$1048576,ROW(),FALSE)</f>
        <v>0</v>
      </c>
      <c r="AC6275" s="580">
        <f>HLOOKUP("*"&amp;'Output annual'!$AC$2&amp;'Output annual'!$AD$2&amp;"*FangerPMV(Hourly)",'Eplus results'!$1:$1048576,ROW(),FALSE)</f>
        <v>0</v>
      </c>
      <c r="AD6275" s="580">
        <f t="shared" ref="AD6275:AD6338" si="526">100-95*EXP(-0.03353*AC6275^4-0.2179*AC6275^2)</f>
        <v>5</v>
      </c>
      <c r="AE6275" s="580">
        <f t="shared" ref="AE6275:AE6338" si="527">AD6275*(1/(1+EXP(-6.3*$AC6275)))</f>
        <v>2.5</v>
      </c>
      <c r="AF6275" s="580">
        <f t="shared" ref="AF6275:AF6338" si="528">(AD6275-AE6275)</f>
        <v>2.5</v>
      </c>
      <c r="AG6275" s="580">
        <f t="shared" ref="AG6275:AG6338" si="529">AE6275*AB6275</f>
        <v>0</v>
      </c>
      <c r="AH6275" s="580">
        <f t="shared" ref="AH6275:AH6338" si="530">AF6275*AB6275</f>
        <v>0</v>
      </c>
    </row>
    <row r="6276" spans="28:34">
      <c r="AB6276" s="580">
        <f>HLOOKUP("*"&amp;'Output annual'!$AC$2&amp;'Output annual'!$AD$2&amp;"*Zone People Number Of Occupants [](Hourly)",'Eplus results'!$1:$1048576,ROW(),FALSE)</f>
        <v>0</v>
      </c>
      <c r="AC6276" s="580">
        <f>HLOOKUP("*"&amp;'Output annual'!$AC$2&amp;'Output annual'!$AD$2&amp;"*FangerPMV(Hourly)",'Eplus results'!$1:$1048576,ROW(),FALSE)</f>
        <v>0</v>
      </c>
      <c r="AD6276" s="580">
        <f t="shared" si="526"/>
        <v>5</v>
      </c>
      <c r="AE6276" s="580">
        <f t="shared" si="527"/>
        <v>2.5</v>
      </c>
      <c r="AF6276" s="580">
        <f t="shared" si="528"/>
        <v>2.5</v>
      </c>
      <c r="AG6276" s="580">
        <f t="shared" si="529"/>
        <v>0</v>
      </c>
      <c r="AH6276" s="580">
        <f t="shared" si="530"/>
        <v>0</v>
      </c>
    </row>
    <row r="6277" spans="28:34">
      <c r="AB6277" s="580">
        <f>HLOOKUP("*"&amp;'Output annual'!$AC$2&amp;'Output annual'!$AD$2&amp;"*Zone People Number Of Occupants [](Hourly)",'Eplus results'!$1:$1048576,ROW(),FALSE)</f>
        <v>0</v>
      </c>
      <c r="AC6277" s="580">
        <f>HLOOKUP("*"&amp;'Output annual'!$AC$2&amp;'Output annual'!$AD$2&amp;"*FangerPMV(Hourly)",'Eplus results'!$1:$1048576,ROW(),FALSE)</f>
        <v>0</v>
      </c>
      <c r="AD6277" s="580">
        <f t="shared" si="526"/>
        <v>5</v>
      </c>
      <c r="AE6277" s="580">
        <f t="shared" si="527"/>
        <v>2.5</v>
      </c>
      <c r="AF6277" s="580">
        <f t="shared" si="528"/>
        <v>2.5</v>
      </c>
      <c r="AG6277" s="580">
        <f t="shared" si="529"/>
        <v>0</v>
      </c>
      <c r="AH6277" s="580">
        <f t="shared" si="530"/>
        <v>0</v>
      </c>
    </row>
    <row r="6278" spans="28:34">
      <c r="AB6278" s="580">
        <f>HLOOKUP("*"&amp;'Output annual'!$AC$2&amp;'Output annual'!$AD$2&amp;"*Zone People Number Of Occupants [](Hourly)",'Eplus results'!$1:$1048576,ROW(),FALSE)</f>
        <v>0</v>
      </c>
      <c r="AC6278" s="580">
        <f>HLOOKUP("*"&amp;'Output annual'!$AC$2&amp;'Output annual'!$AD$2&amp;"*FangerPMV(Hourly)",'Eplus results'!$1:$1048576,ROW(),FALSE)</f>
        <v>0</v>
      </c>
      <c r="AD6278" s="580">
        <f t="shared" si="526"/>
        <v>5</v>
      </c>
      <c r="AE6278" s="580">
        <f t="shared" si="527"/>
        <v>2.5</v>
      </c>
      <c r="AF6278" s="580">
        <f t="shared" si="528"/>
        <v>2.5</v>
      </c>
      <c r="AG6278" s="580">
        <f t="shared" si="529"/>
        <v>0</v>
      </c>
      <c r="AH6278" s="580">
        <f t="shared" si="530"/>
        <v>0</v>
      </c>
    </row>
    <row r="6279" spans="28:34">
      <c r="AB6279" s="580">
        <f>HLOOKUP("*"&amp;'Output annual'!$AC$2&amp;'Output annual'!$AD$2&amp;"*Zone People Number Of Occupants [](Hourly)",'Eplus results'!$1:$1048576,ROW(),FALSE)</f>
        <v>0</v>
      </c>
      <c r="AC6279" s="580">
        <f>HLOOKUP("*"&amp;'Output annual'!$AC$2&amp;'Output annual'!$AD$2&amp;"*FangerPMV(Hourly)",'Eplus results'!$1:$1048576,ROW(),FALSE)</f>
        <v>0</v>
      </c>
      <c r="AD6279" s="580">
        <f t="shared" si="526"/>
        <v>5</v>
      </c>
      <c r="AE6279" s="580">
        <f t="shared" si="527"/>
        <v>2.5</v>
      </c>
      <c r="AF6279" s="580">
        <f t="shared" si="528"/>
        <v>2.5</v>
      </c>
      <c r="AG6279" s="580">
        <f t="shared" si="529"/>
        <v>0</v>
      </c>
      <c r="AH6279" s="580">
        <f t="shared" si="530"/>
        <v>0</v>
      </c>
    </row>
    <row r="6280" spans="28:34">
      <c r="AB6280" s="580">
        <f>HLOOKUP("*"&amp;'Output annual'!$AC$2&amp;'Output annual'!$AD$2&amp;"*Zone People Number Of Occupants [](Hourly)",'Eplus results'!$1:$1048576,ROW(),FALSE)</f>
        <v>0</v>
      </c>
      <c r="AC6280" s="580">
        <f>HLOOKUP("*"&amp;'Output annual'!$AC$2&amp;'Output annual'!$AD$2&amp;"*FangerPMV(Hourly)",'Eplus results'!$1:$1048576,ROW(),FALSE)</f>
        <v>0</v>
      </c>
      <c r="AD6280" s="580">
        <f t="shared" si="526"/>
        <v>5</v>
      </c>
      <c r="AE6280" s="580">
        <f t="shared" si="527"/>
        <v>2.5</v>
      </c>
      <c r="AF6280" s="580">
        <f t="shared" si="528"/>
        <v>2.5</v>
      </c>
      <c r="AG6280" s="580">
        <f t="shared" si="529"/>
        <v>0</v>
      </c>
      <c r="AH6280" s="580">
        <f t="shared" si="530"/>
        <v>0</v>
      </c>
    </row>
    <row r="6281" spans="28:34">
      <c r="AB6281" s="580">
        <f>HLOOKUP("*"&amp;'Output annual'!$AC$2&amp;'Output annual'!$AD$2&amp;"*Zone People Number Of Occupants [](Hourly)",'Eplus results'!$1:$1048576,ROW(),FALSE)</f>
        <v>0</v>
      </c>
      <c r="AC6281" s="580">
        <f>HLOOKUP("*"&amp;'Output annual'!$AC$2&amp;'Output annual'!$AD$2&amp;"*FangerPMV(Hourly)",'Eplus results'!$1:$1048576,ROW(),FALSE)</f>
        <v>0</v>
      </c>
      <c r="AD6281" s="580">
        <f t="shared" si="526"/>
        <v>5</v>
      </c>
      <c r="AE6281" s="580">
        <f t="shared" si="527"/>
        <v>2.5</v>
      </c>
      <c r="AF6281" s="580">
        <f t="shared" si="528"/>
        <v>2.5</v>
      </c>
      <c r="AG6281" s="580">
        <f t="shared" si="529"/>
        <v>0</v>
      </c>
      <c r="AH6281" s="580">
        <f t="shared" si="530"/>
        <v>0</v>
      </c>
    </row>
    <row r="6282" spans="28:34">
      <c r="AB6282" s="580">
        <f>HLOOKUP("*"&amp;'Output annual'!$AC$2&amp;'Output annual'!$AD$2&amp;"*Zone People Number Of Occupants [](Hourly)",'Eplus results'!$1:$1048576,ROW(),FALSE)</f>
        <v>0</v>
      </c>
      <c r="AC6282" s="580">
        <f>HLOOKUP("*"&amp;'Output annual'!$AC$2&amp;'Output annual'!$AD$2&amp;"*FangerPMV(Hourly)",'Eplus results'!$1:$1048576,ROW(),FALSE)</f>
        <v>0</v>
      </c>
      <c r="AD6282" s="580">
        <f t="shared" si="526"/>
        <v>5</v>
      </c>
      <c r="AE6282" s="580">
        <f t="shared" si="527"/>
        <v>2.5</v>
      </c>
      <c r="AF6282" s="580">
        <f t="shared" si="528"/>
        <v>2.5</v>
      </c>
      <c r="AG6282" s="580">
        <f t="shared" si="529"/>
        <v>0</v>
      </c>
      <c r="AH6282" s="580">
        <f t="shared" si="530"/>
        <v>0</v>
      </c>
    </row>
    <row r="6283" spans="28:34">
      <c r="AB6283" s="580">
        <f>HLOOKUP("*"&amp;'Output annual'!$AC$2&amp;'Output annual'!$AD$2&amp;"*Zone People Number Of Occupants [](Hourly)",'Eplus results'!$1:$1048576,ROW(),FALSE)</f>
        <v>0</v>
      </c>
      <c r="AC6283" s="580">
        <f>HLOOKUP("*"&amp;'Output annual'!$AC$2&amp;'Output annual'!$AD$2&amp;"*FangerPMV(Hourly)",'Eplus results'!$1:$1048576,ROW(),FALSE)</f>
        <v>0</v>
      </c>
      <c r="AD6283" s="580">
        <f t="shared" si="526"/>
        <v>5</v>
      </c>
      <c r="AE6283" s="580">
        <f t="shared" si="527"/>
        <v>2.5</v>
      </c>
      <c r="AF6283" s="580">
        <f t="shared" si="528"/>
        <v>2.5</v>
      </c>
      <c r="AG6283" s="580">
        <f t="shared" si="529"/>
        <v>0</v>
      </c>
      <c r="AH6283" s="580">
        <f t="shared" si="530"/>
        <v>0</v>
      </c>
    </row>
    <row r="6284" spans="28:34">
      <c r="AB6284" s="580">
        <f>HLOOKUP("*"&amp;'Output annual'!$AC$2&amp;'Output annual'!$AD$2&amp;"*Zone People Number Of Occupants [](Hourly)",'Eplus results'!$1:$1048576,ROW(),FALSE)</f>
        <v>0</v>
      </c>
      <c r="AC6284" s="580">
        <f>HLOOKUP("*"&amp;'Output annual'!$AC$2&amp;'Output annual'!$AD$2&amp;"*FangerPMV(Hourly)",'Eplus results'!$1:$1048576,ROW(),FALSE)</f>
        <v>0</v>
      </c>
      <c r="AD6284" s="580">
        <f t="shared" si="526"/>
        <v>5</v>
      </c>
      <c r="AE6284" s="580">
        <f t="shared" si="527"/>
        <v>2.5</v>
      </c>
      <c r="AF6284" s="580">
        <f t="shared" si="528"/>
        <v>2.5</v>
      </c>
      <c r="AG6284" s="580">
        <f t="shared" si="529"/>
        <v>0</v>
      </c>
      <c r="AH6284" s="580">
        <f t="shared" si="530"/>
        <v>0</v>
      </c>
    </row>
    <row r="6285" spans="28:34">
      <c r="AB6285" s="580">
        <f>HLOOKUP("*"&amp;'Output annual'!$AC$2&amp;'Output annual'!$AD$2&amp;"*Zone People Number Of Occupants [](Hourly)",'Eplus results'!$1:$1048576,ROW(),FALSE)</f>
        <v>0</v>
      </c>
      <c r="AC6285" s="580">
        <f>HLOOKUP("*"&amp;'Output annual'!$AC$2&amp;'Output annual'!$AD$2&amp;"*FangerPMV(Hourly)",'Eplus results'!$1:$1048576,ROW(),FALSE)</f>
        <v>0</v>
      </c>
      <c r="AD6285" s="580">
        <f t="shared" si="526"/>
        <v>5</v>
      </c>
      <c r="AE6285" s="580">
        <f t="shared" si="527"/>
        <v>2.5</v>
      </c>
      <c r="AF6285" s="580">
        <f t="shared" si="528"/>
        <v>2.5</v>
      </c>
      <c r="AG6285" s="580">
        <f t="shared" si="529"/>
        <v>0</v>
      </c>
      <c r="AH6285" s="580">
        <f t="shared" si="530"/>
        <v>0</v>
      </c>
    </row>
    <row r="6286" spans="28:34">
      <c r="AB6286" s="580">
        <f>HLOOKUP("*"&amp;'Output annual'!$AC$2&amp;'Output annual'!$AD$2&amp;"*Zone People Number Of Occupants [](Hourly)",'Eplus results'!$1:$1048576,ROW(),FALSE)</f>
        <v>0</v>
      </c>
      <c r="AC6286" s="580">
        <f>HLOOKUP("*"&amp;'Output annual'!$AC$2&amp;'Output annual'!$AD$2&amp;"*FangerPMV(Hourly)",'Eplus results'!$1:$1048576,ROW(),FALSE)</f>
        <v>0</v>
      </c>
      <c r="AD6286" s="580">
        <f t="shared" si="526"/>
        <v>5</v>
      </c>
      <c r="AE6286" s="580">
        <f t="shared" si="527"/>
        <v>2.5</v>
      </c>
      <c r="AF6286" s="580">
        <f t="shared" si="528"/>
        <v>2.5</v>
      </c>
      <c r="AG6286" s="580">
        <f t="shared" si="529"/>
        <v>0</v>
      </c>
      <c r="AH6286" s="580">
        <f t="shared" si="530"/>
        <v>0</v>
      </c>
    </row>
    <row r="6287" spans="28:34">
      <c r="AB6287" s="580">
        <f>HLOOKUP("*"&amp;'Output annual'!$AC$2&amp;'Output annual'!$AD$2&amp;"*Zone People Number Of Occupants [](Hourly)",'Eplus results'!$1:$1048576,ROW(),FALSE)</f>
        <v>0</v>
      </c>
      <c r="AC6287" s="580">
        <f>HLOOKUP("*"&amp;'Output annual'!$AC$2&amp;'Output annual'!$AD$2&amp;"*FangerPMV(Hourly)",'Eplus results'!$1:$1048576,ROW(),FALSE)</f>
        <v>0</v>
      </c>
      <c r="AD6287" s="580">
        <f t="shared" si="526"/>
        <v>5</v>
      </c>
      <c r="AE6287" s="580">
        <f t="shared" si="527"/>
        <v>2.5</v>
      </c>
      <c r="AF6287" s="580">
        <f t="shared" si="528"/>
        <v>2.5</v>
      </c>
      <c r="AG6287" s="580">
        <f t="shared" si="529"/>
        <v>0</v>
      </c>
      <c r="AH6287" s="580">
        <f t="shared" si="530"/>
        <v>0</v>
      </c>
    </row>
    <row r="6288" spans="28:34">
      <c r="AB6288" s="580">
        <f>HLOOKUP("*"&amp;'Output annual'!$AC$2&amp;'Output annual'!$AD$2&amp;"*Zone People Number Of Occupants [](Hourly)",'Eplus results'!$1:$1048576,ROW(),FALSE)</f>
        <v>0</v>
      </c>
      <c r="AC6288" s="580">
        <f>HLOOKUP("*"&amp;'Output annual'!$AC$2&amp;'Output annual'!$AD$2&amp;"*FangerPMV(Hourly)",'Eplus results'!$1:$1048576,ROW(),FALSE)</f>
        <v>0</v>
      </c>
      <c r="AD6288" s="580">
        <f t="shared" si="526"/>
        <v>5</v>
      </c>
      <c r="AE6288" s="580">
        <f t="shared" si="527"/>
        <v>2.5</v>
      </c>
      <c r="AF6288" s="580">
        <f t="shared" si="528"/>
        <v>2.5</v>
      </c>
      <c r="AG6288" s="580">
        <f t="shared" si="529"/>
        <v>0</v>
      </c>
      <c r="AH6288" s="580">
        <f t="shared" si="530"/>
        <v>0</v>
      </c>
    </row>
    <row r="6289" spans="28:34">
      <c r="AB6289" s="580">
        <f>HLOOKUP("*"&amp;'Output annual'!$AC$2&amp;'Output annual'!$AD$2&amp;"*Zone People Number Of Occupants [](Hourly)",'Eplus results'!$1:$1048576,ROW(),FALSE)</f>
        <v>0</v>
      </c>
      <c r="AC6289" s="580">
        <f>HLOOKUP("*"&amp;'Output annual'!$AC$2&amp;'Output annual'!$AD$2&amp;"*FangerPMV(Hourly)",'Eplus results'!$1:$1048576,ROW(),FALSE)</f>
        <v>0</v>
      </c>
      <c r="AD6289" s="580">
        <f t="shared" si="526"/>
        <v>5</v>
      </c>
      <c r="AE6289" s="580">
        <f t="shared" si="527"/>
        <v>2.5</v>
      </c>
      <c r="AF6289" s="580">
        <f t="shared" si="528"/>
        <v>2.5</v>
      </c>
      <c r="AG6289" s="580">
        <f t="shared" si="529"/>
        <v>0</v>
      </c>
      <c r="AH6289" s="580">
        <f t="shared" si="530"/>
        <v>0</v>
      </c>
    </row>
    <row r="6290" spans="28:34">
      <c r="AB6290" s="580">
        <f>HLOOKUP("*"&amp;'Output annual'!$AC$2&amp;'Output annual'!$AD$2&amp;"*Zone People Number Of Occupants [](Hourly)",'Eplus results'!$1:$1048576,ROW(),FALSE)</f>
        <v>0</v>
      </c>
      <c r="AC6290" s="580">
        <f>HLOOKUP("*"&amp;'Output annual'!$AC$2&amp;'Output annual'!$AD$2&amp;"*FangerPMV(Hourly)",'Eplus results'!$1:$1048576,ROW(),FALSE)</f>
        <v>0</v>
      </c>
      <c r="AD6290" s="580">
        <f t="shared" si="526"/>
        <v>5</v>
      </c>
      <c r="AE6290" s="580">
        <f t="shared" si="527"/>
        <v>2.5</v>
      </c>
      <c r="AF6290" s="580">
        <f t="shared" si="528"/>
        <v>2.5</v>
      </c>
      <c r="AG6290" s="580">
        <f t="shared" si="529"/>
        <v>0</v>
      </c>
      <c r="AH6290" s="580">
        <f t="shared" si="530"/>
        <v>0</v>
      </c>
    </row>
    <row r="6291" spans="28:34">
      <c r="AB6291" s="580">
        <f>HLOOKUP("*"&amp;'Output annual'!$AC$2&amp;'Output annual'!$AD$2&amp;"*Zone People Number Of Occupants [](Hourly)",'Eplus results'!$1:$1048576,ROW(),FALSE)</f>
        <v>0</v>
      </c>
      <c r="AC6291" s="580">
        <f>HLOOKUP("*"&amp;'Output annual'!$AC$2&amp;'Output annual'!$AD$2&amp;"*FangerPMV(Hourly)",'Eplus results'!$1:$1048576,ROW(),FALSE)</f>
        <v>0</v>
      </c>
      <c r="AD6291" s="580">
        <f t="shared" si="526"/>
        <v>5</v>
      </c>
      <c r="AE6291" s="580">
        <f t="shared" si="527"/>
        <v>2.5</v>
      </c>
      <c r="AF6291" s="580">
        <f t="shared" si="528"/>
        <v>2.5</v>
      </c>
      <c r="AG6291" s="580">
        <f t="shared" si="529"/>
        <v>0</v>
      </c>
      <c r="AH6291" s="580">
        <f t="shared" si="530"/>
        <v>0</v>
      </c>
    </row>
    <row r="6292" spans="28:34">
      <c r="AB6292" s="580">
        <f>HLOOKUP("*"&amp;'Output annual'!$AC$2&amp;'Output annual'!$AD$2&amp;"*Zone People Number Of Occupants [](Hourly)",'Eplus results'!$1:$1048576,ROW(),FALSE)</f>
        <v>0</v>
      </c>
      <c r="AC6292" s="580">
        <f>HLOOKUP("*"&amp;'Output annual'!$AC$2&amp;'Output annual'!$AD$2&amp;"*FangerPMV(Hourly)",'Eplus results'!$1:$1048576,ROW(),FALSE)</f>
        <v>0</v>
      </c>
      <c r="AD6292" s="580">
        <f t="shared" si="526"/>
        <v>5</v>
      </c>
      <c r="AE6292" s="580">
        <f t="shared" si="527"/>
        <v>2.5</v>
      </c>
      <c r="AF6292" s="580">
        <f t="shared" si="528"/>
        <v>2.5</v>
      </c>
      <c r="AG6292" s="580">
        <f t="shared" si="529"/>
        <v>0</v>
      </c>
      <c r="AH6292" s="580">
        <f t="shared" si="530"/>
        <v>0</v>
      </c>
    </row>
    <row r="6293" spans="28:34">
      <c r="AB6293" s="580">
        <f>HLOOKUP("*"&amp;'Output annual'!$AC$2&amp;'Output annual'!$AD$2&amp;"*Zone People Number Of Occupants [](Hourly)",'Eplus results'!$1:$1048576,ROW(),FALSE)</f>
        <v>0</v>
      </c>
      <c r="AC6293" s="580">
        <f>HLOOKUP("*"&amp;'Output annual'!$AC$2&amp;'Output annual'!$AD$2&amp;"*FangerPMV(Hourly)",'Eplus results'!$1:$1048576,ROW(),FALSE)</f>
        <v>0</v>
      </c>
      <c r="AD6293" s="580">
        <f t="shared" si="526"/>
        <v>5</v>
      </c>
      <c r="AE6293" s="580">
        <f t="shared" si="527"/>
        <v>2.5</v>
      </c>
      <c r="AF6293" s="580">
        <f t="shared" si="528"/>
        <v>2.5</v>
      </c>
      <c r="AG6293" s="580">
        <f t="shared" si="529"/>
        <v>0</v>
      </c>
      <c r="AH6293" s="580">
        <f t="shared" si="530"/>
        <v>0</v>
      </c>
    </row>
    <row r="6294" spans="28:34">
      <c r="AB6294" s="580">
        <f>HLOOKUP("*"&amp;'Output annual'!$AC$2&amp;'Output annual'!$AD$2&amp;"*Zone People Number Of Occupants [](Hourly)",'Eplus results'!$1:$1048576,ROW(),FALSE)</f>
        <v>0</v>
      </c>
      <c r="AC6294" s="580">
        <f>HLOOKUP("*"&amp;'Output annual'!$AC$2&amp;'Output annual'!$AD$2&amp;"*FangerPMV(Hourly)",'Eplus results'!$1:$1048576,ROW(),FALSE)</f>
        <v>0</v>
      </c>
      <c r="AD6294" s="580">
        <f t="shared" si="526"/>
        <v>5</v>
      </c>
      <c r="AE6294" s="580">
        <f t="shared" si="527"/>
        <v>2.5</v>
      </c>
      <c r="AF6294" s="580">
        <f t="shared" si="528"/>
        <v>2.5</v>
      </c>
      <c r="AG6294" s="580">
        <f t="shared" si="529"/>
        <v>0</v>
      </c>
      <c r="AH6294" s="580">
        <f t="shared" si="530"/>
        <v>0</v>
      </c>
    </row>
    <row r="6295" spans="28:34">
      <c r="AB6295" s="580">
        <f>HLOOKUP("*"&amp;'Output annual'!$AC$2&amp;'Output annual'!$AD$2&amp;"*Zone People Number Of Occupants [](Hourly)",'Eplus results'!$1:$1048576,ROW(),FALSE)</f>
        <v>0</v>
      </c>
      <c r="AC6295" s="580">
        <f>HLOOKUP("*"&amp;'Output annual'!$AC$2&amp;'Output annual'!$AD$2&amp;"*FangerPMV(Hourly)",'Eplus results'!$1:$1048576,ROW(),FALSE)</f>
        <v>0</v>
      </c>
      <c r="AD6295" s="580">
        <f t="shared" si="526"/>
        <v>5</v>
      </c>
      <c r="AE6295" s="580">
        <f t="shared" si="527"/>
        <v>2.5</v>
      </c>
      <c r="AF6295" s="580">
        <f t="shared" si="528"/>
        <v>2.5</v>
      </c>
      <c r="AG6295" s="580">
        <f t="shared" si="529"/>
        <v>0</v>
      </c>
      <c r="AH6295" s="580">
        <f t="shared" si="530"/>
        <v>0</v>
      </c>
    </row>
    <row r="6296" spans="28:34">
      <c r="AB6296" s="580">
        <f>HLOOKUP("*"&amp;'Output annual'!$AC$2&amp;'Output annual'!$AD$2&amp;"*Zone People Number Of Occupants [](Hourly)",'Eplus results'!$1:$1048576,ROW(),FALSE)</f>
        <v>0</v>
      </c>
      <c r="AC6296" s="580">
        <f>HLOOKUP("*"&amp;'Output annual'!$AC$2&amp;'Output annual'!$AD$2&amp;"*FangerPMV(Hourly)",'Eplus results'!$1:$1048576,ROW(),FALSE)</f>
        <v>0</v>
      </c>
      <c r="AD6296" s="580">
        <f t="shared" si="526"/>
        <v>5</v>
      </c>
      <c r="AE6296" s="580">
        <f t="shared" si="527"/>
        <v>2.5</v>
      </c>
      <c r="AF6296" s="580">
        <f t="shared" si="528"/>
        <v>2.5</v>
      </c>
      <c r="AG6296" s="580">
        <f t="shared" si="529"/>
        <v>0</v>
      </c>
      <c r="AH6296" s="580">
        <f t="shared" si="530"/>
        <v>0</v>
      </c>
    </row>
    <row r="6297" spans="28:34">
      <c r="AB6297" s="580">
        <f>HLOOKUP("*"&amp;'Output annual'!$AC$2&amp;'Output annual'!$AD$2&amp;"*Zone People Number Of Occupants [](Hourly)",'Eplus results'!$1:$1048576,ROW(),FALSE)</f>
        <v>0</v>
      </c>
      <c r="AC6297" s="580">
        <f>HLOOKUP("*"&amp;'Output annual'!$AC$2&amp;'Output annual'!$AD$2&amp;"*FangerPMV(Hourly)",'Eplus results'!$1:$1048576,ROW(),FALSE)</f>
        <v>0</v>
      </c>
      <c r="AD6297" s="580">
        <f t="shared" si="526"/>
        <v>5</v>
      </c>
      <c r="AE6297" s="580">
        <f t="shared" si="527"/>
        <v>2.5</v>
      </c>
      <c r="AF6297" s="580">
        <f t="shared" si="528"/>
        <v>2.5</v>
      </c>
      <c r="AG6297" s="580">
        <f t="shared" si="529"/>
        <v>0</v>
      </c>
      <c r="AH6297" s="580">
        <f t="shared" si="530"/>
        <v>0</v>
      </c>
    </row>
    <row r="6298" spans="28:34">
      <c r="AB6298" s="580">
        <f>HLOOKUP("*"&amp;'Output annual'!$AC$2&amp;'Output annual'!$AD$2&amp;"*Zone People Number Of Occupants [](Hourly)",'Eplus results'!$1:$1048576,ROW(),FALSE)</f>
        <v>0</v>
      </c>
      <c r="AC6298" s="580">
        <f>HLOOKUP("*"&amp;'Output annual'!$AC$2&amp;'Output annual'!$AD$2&amp;"*FangerPMV(Hourly)",'Eplus results'!$1:$1048576,ROW(),FALSE)</f>
        <v>0</v>
      </c>
      <c r="AD6298" s="580">
        <f t="shared" si="526"/>
        <v>5</v>
      </c>
      <c r="AE6298" s="580">
        <f t="shared" si="527"/>
        <v>2.5</v>
      </c>
      <c r="AF6298" s="580">
        <f t="shared" si="528"/>
        <v>2.5</v>
      </c>
      <c r="AG6298" s="580">
        <f t="shared" si="529"/>
        <v>0</v>
      </c>
      <c r="AH6298" s="580">
        <f t="shared" si="530"/>
        <v>0</v>
      </c>
    </row>
    <row r="6299" spans="28:34">
      <c r="AB6299" s="580">
        <f>HLOOKUP("*"&amp;'Output annual'!$AC$2&amp;'Output annual'!$AD$2&amp;"*Zone People Number Of Occupants [](Hourly)",'Eplus results'!$1:$1048576,ROW(),FALSE)</f>
        <v>0</v>
      </c>
      <c r="AC6299" s="580">
        <f>HLOOKUP("*"&amp;'Output annual'!$AC$2&amp;'Output annual'!$AD$2&amp;"*FangerPMV(Hourly)",'Eplus results'!$1:$1048576,ROW(),FALSE)</f>
        <v>0</v>
      </c>
      <c r="AD6299" s="580">
        <f t="shared" si="526"/>
        <v>5</v>
      </c>
      <c r="AE6299" s="580">
        <f t="shared" si="527"/>
        <v>2.5</v>
      </c>
      <c r="AF6299" s="580">
        <f t="shared" si="528"/>
        <v>2.5</v>
      </c>
      <c r="AG6299" s="580">
        <f t="shared" si="529"/>
        <v>0</v>
      </c>
      <c r="AH6299" s="580">
        <f t="shared" si="530"/>
        <v>0</v>
      </c>
    </row>
    <row r="6300" spans="28:34">
      <c r="AB6300" s="580">
        <f>HLOOKUP("*"&amp;'Output annual'!$AC$2&amp;'Output annual'!$AD$2&amp;"*Zone People Number Of Occupants [](Hourly)",'Eplus results'!$1:$1048576,ROW(),FALSE)</f>
        <v>0</v>
      </c>
      <c r="AC6300" s="580">
        <f>HLOOKUP("*"&amp;'Output annual'!$AC$2&amp;'Output annual'!$AD$2&amp;"*FangerPMV(Hourly)",'Eplus results'!$1:$1048576,ROW(),FALSE)</f>
        <v>0</v>
      </c>
      <c r="AD6300" s="580">
        <f t="shared" si="526"/>
        <v>5</v>
      </c>
      <c r="AE6300" s="580">
        <f t="shared" si="527"/>
        <v>2.5</v>
      </c>
      <c r="AF6300" s="580">
        <f t="shared" si="528"/>
        <v>2.5</v>
      </c>
      <c r="AG6300" s="580">
        <f t="shared" si="529"/>
        <v>0</v>
      </c>
      <c r="AH6300" s="580">
        <f t="shared" si="530"/>
        <v>0</v>
      </c>
    </row>
    <row r="6301" spans="28:34">
      <c r="AB6301" s="580">
        <f>HLOOKUP("*"&amp;'Output annual'!$AC$2&amp;'Output annual'!$AD$2&amp;"*Zone People Number Of Occupants [](Hourly)",'Eplus results'!$1:$1048576,ROW(),FALSE)</f>
        <v>0</v>
      </c>
      <c r="AC6301" s="580">
        <f>HLOOKUP("*"&amp;'Output annual'!$AC$2&amp;'Output annual'!$AD$2&amp;"*FangerPMV(Hourly)",'Eplus results'!$1:$1048576,ROW(),FALSE)</f>
        <v>0</v>
      </c>
      <c r="AD6301" s="580">
        <f t="shared" si="526"/>
        <v>5</v>
      </c>
      <c r="AE6301" s="580">
        <f t="shared" si="527"/>
        <v>2.5</v>
      </c>
      <c r="AF6301" s="580">
        <f t="shared" si="528"/>
        <v>2.5</v>
      </c>
      <c r="AG6301" s="580">
        <f t="shared" si="529"/>
        <v>0</v>
      </c>
      <c r="AH6301" s="580">
        <f t="shared" si="530"/>
        <v>0</v>
      </c>
    </row>
    <row r="6302" spans="28:34">
      <c r="AB6302" s="580">
        <f>HLOOKUP("*"&amp;'Output annual'!$AC$2&amp;'Output annual'!$AD$2&amp;"*Zone People Number Of Occupants [](Hourly)",'Eplus results'!$1:$1048576,ROW(),FALSE)</f>
        <v>0</v>
      </c>
      <c r="AC6302" s="580">
        <f>HLOOKUP("*"&amp;'Output annual'!$AC$2&amp;'Output annual'!$AD$2&amp;"*FangerPMV(Hourly)",'Eplus results'!$1:$1048576,ROW(),FALSE)</f>
        <v>0</v>
      </c>
      <c r="AD6302" s="580">
        <f t="shared" si="526"/>
        <v>5</v>
      </c>
      <c r="AE6302" s="580">
        <f t="shared" si="527"/>
        <v>2.5</v>
      </c>
      <c r="AF6302" s="580">
        <f t="shared" si="528"/>
        <v>2.5</v>
      </c>
      <c r="AG6302" s="580">
        <f t="shared" si="529"/>
        <v>0</v>
      </c>
      <c r="AH6302" s="580">
        <f t="shared" si="530"/>
        <v>0</v>
      </c>
    </row>
    <row r="6303" spans="28:34">
      <c r="AB6303" s="580">
        <f>HLOOKUP("*"&amp;'Output annual'!$AC$2&amp;'Output annual'!$AD$2&amp;"*Zone People Number Of Occupants [](Hourly)",'Eplus results'!$1:$1048576,ROW(),FALSE)</f>
        <v>0</v>
      </c>
      <c r="AC6303" s="580">
        <f>HLOOKUP("*"&amp;'Output annual'!$AC$2&amp;'Output annual'!$AD$2&amp;"*FangerPMV(Hourly)",'Eplus results'!$1:$1048576,ROW(),FALSE)</f>
        <v>0</v>
      </c>
      <c r="AD6303" s="580">
        <f t="shared" si="526"/>
        <v>5</v>
      </c>
      <c r="AE6303" s="580">
        <f t="shared" si="527"/>
        <v>2.5</v>
      </c>
      <c r="AF6303" s="580">
        <f t="shared" si="528"/>
        <v>2.5</v>
      </c>
      <c r="AG6303" s="580">
        <f t="shared" si="529"/>
        <v>0</v>
      </c>
      <c r="AH6303" s="580">
        <f t="shared" si="530"/>
        <v>0</v>
      </c>
    </row>
    <row r="6304" spans="28:34">
      <c r="AB6304" s="580">
        <f>HLOOKUP("*"&amp;'Output annual'!$AC$2&amp;'Output annual'!$AD$2&amp;"*Zone People Number Of Occupants [](Hourly)",'Eplus results'!$1:$1048576,ROW(),FALSE)</f>
        <v>0</v>
      </c>
      <c r="AC6304" s="580">
        <f>HLOOKUP("*"&amp;'Output annual'!$AC$2&amp;'Output annual'!$AD$2&amp;"*FangerPMV(Hourly)",'Eplus results'!$1:$1048576,ROW(),FALSE)</f>
        <v>0</v>
      </c>
      <c r="AD6304" s="580">
        <f t="shared" si="526"/>
        <v>5</v>
      </c>
      <c r="AE6304" s="580">
        <f t="shared" si="527"/>
        <v>2.5</v>
      </c>
      <c r="AF6304" s="580">
        <f t="shared" si="528"/>
        <v>2.5</v>
      </c>
      <c r="AG6304" s="580">
        <f t="shared" si="529"/>
        <v>0</v>
      </c>
      <c r="AH6304" s="580">
        <f t="shared" si="530"/>
        <v>0</v>
      </c>
    </row>
    <row r="6305" spans="28:34">
      <c r="AB6305" s="580">
        <f>HLOOKUP("*"&amp;'Output annual'!$AC$2&amp;'Output annual'!$AD$2&amp;"*Zone People Number Of Occupants [](Hourly)",'Eplus results'!$1:$1048576,ROW(),FALSE)</f>
        <v>0</v>
      </c>
      <c r="AC6305" s="580">
        <f>HLOOKUP("*"&amp;'Output annual'!$AC$2&amp;'Output annual'!$AD$2&amp;"*FangerPMV(Hourly)",'Eplus results'!$1:$1048576,ROW(),FALSE)</f>
        <v>0</v>
      </c>
      <c r="AD6305" s="580">
        <f t="shared" si="526"/>
        <v>5</v>
      </c>
      <c r="AE6305" s="580">
        <f t="shared" si="527"/>
        <v>2.5</v>
      </c>
      <c r="AF6305" s="580">
        <f t="shared" si="528"/>
        <v>2.5</v>
      </c>
      <c r="AG6305" s="580">
        <f t="shared" si="529"/>
        <v>0</v>
      </c>
      <c r="AH6305" s="580">
        <f t="shared" si="530"/>
        <v>0</v>
      </c>
    </row>
    <row r="6306" spans="28:34">
      <c r="AB6306" s="580">
        <f>HLOOKUP("*"&amp;'Output annual'!$AC$2&amp;'Output annual'!$AD$2&amp;"*Zone People Number Of Occupants [](Hourly)",'Eplus results'!$1:$1048576,ROW(),FALSE)</f>
        <v>0</v>
      </c>
      <c r="AC6306" s="580">
        <f>HLOOKUP("*"&amp;'Output annual'!$AC$2&amp;'Output annual'!$AD$2&amp;"*FangerPMV(Hourly)",'Eplus results'!$1:$1048576,ROW(),FALSE)</f>
        <v>0</v>
      </c>
      <c r="AD6306" s="580">
        <f t="shared" si="526"/>
        <v>5</v>
      </c>
      <c r="AE6306" s="580">
        <f t="shared" si="527"/>
        <v>2.5</v>
      </c>
      <c r="AF6306" s="580">
        <f t="shared" si="528"/>
        <v>2.5</v>
      </c>
      <c r="AG6306" s="580">
        <f t="shared" si="529"/>
        <v>0</v>
      </c>
      <c r="AH6306" s="580">
        <f t="shared" si="530"/>
        <v>0</v>
      </c>
    </row>
    <row r="6307" spans="28:34">
      <c r="AB6307" s="580">
        <f>HLOOKUP("*"&amp;'Output annual'!$AC$2&amp;'Output annual'!$AD$2&amp;"*Zone People Number Of Occupants [](Hourly)",'Eplus results'!$1:$1048576,ROW(),FALSE)</f>
        <v>0</v>
      </c>
      <c r="AC6307" s="580">
        <f>HLOOKUP("*"&amp;'Output annual'!$AC$2&amp;'Output annual'!$AD$2&amp;"*FangerPMV(Hourly)",'Eplus results'!$1:$1048576,ROW(),FALSE)</f>
        <v>0</v>
      </c>
      <c r="AD6307" s="580">
        <f t="shared" si="526"/>
        <v>5</v>
      </c>
      <c r="AE6307" s="580">
        <f t="shared" si="527"/>
        <v>2.5</v>
      </c>
      <c r="AF6307" s="580">
        <f t="shared" si="528"/>
        <v>2.5</v>
      </c>
      <c r="AG6307" s="580">
        <f t="shared" si="529"/>
        <v>0</v>
      </c>
      <c r="AH6307" s="580">
        <f t="shared" si="530"/>
        <v>0</v>
      </c>
    </row>
    <row r="6308" spans="28:34">
      <c r="AB6308" s="580">
        <f>HLOOKUP("*"&amp;'Output annual'!$AC$2&amp;'Output annual'!$AD$2&amp;"*Zone People Number Of Occupants [](Hourly)",'Eplus results'!$1:$1048576,ROW(),FALSE)</f>
        <v>0</v>
      </c>
      <c r="AC6308" s="580">
        <f>HLOOKUP("*"&amp;'Output annual'!$AC$2&amp;'Output annual'!$AD$2&amp;"*FangerPMV(Hourly)",'Eplus results'!$1:$1048576,ROW(),FALSE)</f>
        <v>0</v>
      </c>
      <c r="AD6308" s="580">
        <f t="shared" si="526"/>
        <v>5</v>
      </c>
      <c r="AE6308" s="580">
        <f t="shared" si="527"/>
        <v>2.5</v>
      </c>
      <c r="AF6308" s="580">
        <f t="shared" si="528"/>
        <v>2.5</v>
      </c>
      <c r="AG6308" s="580">
        <f t="shared" si="529"/>
        <v>0</v>
      </c>
      <c r="AH6308" s="580">
        <f t="shared" si="530"/>
        <v>0</v>
      </c>
    </row>
    <row r="6309" spans="28:34">
      <c r="AB6309" s="580">
        <f>HLOOKUP("*"&amp;'Output annual'!$AC$2&amp;'Output annual'!$AD$2&amp;"*Zone People Number Of Occupants [](Hourly)",'Eplus results'!$1:$1048576,ROW(),FALSE)</f>
        <v>0</v>
      </c>
      <c r="AC6309" s="580">
        <f>HLOOKUP("*"&amp;'Output annual'!$AC$2&amp;'Output annual'!$AD$2&amp;"*FangerPMV(Hourly)",'Eplus results'!$1:$1048576,ROW(),FALSE)</f>
        <v>0</v>
      </c>
      <c r="AD6309" s="580">
        <f t="shared" si="526"/>
        <v>5</v>
      </c>
      <c r="AE6309" s="580">
        <f t="shared" si="527"/>
        <v>2.5</v>
      </c>
      <c r="AF6309" s="580">
        <f t="shared" si="528"/>
        <v>2.5</v>
      </c>
      <c r="AG6309" s="580">
        <f t="shared" si="529"/>
        <v>0</v>
      </c>
      <c r="AH6309" s="580">
        <f t="shared" si="530"/>
        <v>0</v>
      </c>
    </row>
    <row r="6310" spans="28:34">
      <c r="AB6310" s="580">
        <f>HLOOKUP("*"&amp;'Output annual'!$AC$2&amp;'Output annual'!$AD$2&amp;"*Zone People Number Of Occupants [](Hourly)",'Eplus results'!$1:$1048576,ROW(),FALSE)</f>
        <v>0</v>
      </c>
      <c r="AC6310" s="580">
        <f>HLOOKUP("*"&amp;'Output annual'!$AC$2&amp;'Output annual'!$AD$2&amp;"*FangerPMV(Hourly)",'Eplus results'!$1:$1048576,ROW(),FALSE)</f>
        <v>0</v>
      </c>
      <c r="AD6310" s="580">
        <f t="shared" si="526"/>
        <v>5</v>
      </c>
      <c r="AE6310" s="580">
        <f t="shared" si="527"/>
        <v>2.5</v>
      </c>
      <c r="AF6310" s="580">
        <f t="shared" si="528"/>
        <v>2.5</v>
      </c>
      <c r="AG6310" s="580">
        <f t="shared" si="529"/>
        <v>0</v>
      </c>
      <c r="AH6310" s="580">
        <f t="shared" si="530"/>
        <v>0</v>
      </c>
    </row>
    <row r="6311" spans="28:34">
      <c r="AB6311" s="580">
        <f>HLOOKUP("*"&amp;'Output annual'!$AC$2&amp;'Output annual'!$AD$2&amp;"*Zone People Number Of Occupants [](Hourly)",'Eplus results'!$1:$1048576,ROW(),FALSE)</f>
        <v>0</v>
      </c>
      <c r="AC6311" s="580">
        <f>HLOOKUP("*"&amp;'Output annual'!$AC$2&amp;'Output annual'!$AD$2&amp;"*FangerPMV(Hourly)",'Eplus results'!$1:$1048576,ROW(),FALSE)</f>
        <v>0</v>
      </c>
      <c r="AD6311" s="580">
        <f t="shared" si="526"/>
        <v>5</v>
      </c>
      <c r="AE6311" s="580">
        <f t="shared" si="527"/>
        <v>2.5</v>
      </c>
      <c r="AF6311" s="580">
        <f t="shared" si="528"/>
        <v>2.5</v>
      </c>
      <c r="AG6311" s="580">
        <f t="shared" si="529"/>
        <v>0</v>
      </c>
      <c r="AH6311" s="580">
        <f t="shared" si="530"/>
        <v>0</v>
      </c>
    </row>
    <row r="6312" spans="28:34">
      <c r="AB6312" s="580">
        <f>HLOOKUP("*"&amp;'Output annual'!$AC$2&amp;'Output annual'!$AD$2&amp;"*Zone People Number Of Occupants [](Hourly)",'Eplus results'!$1:$1048576,ROW(),FALSE)</f>
        <v>0</v>
      </c>
      <c r="AC6312" s="580">
        <f>HLOOKUP("*"&amp;'Output annual'!$AC$2&amp;'Output annual'!$AD$2&amp;"*FangerPMV(Hourly)",'Eplus results'!$1:$1048576,ROW(),FALSE)</f>
        <v>0</v>
      </c>
      <c r="AD6312" s="580">
        <f t="shared" si="526"/>
        <v>5</v>
      </c>
      <c r="AE6312" s="580">
        <f t="shared" si="527"/>
        <v>2.5</v>
      </c>
      <c r="AF6312" s="580">
        <f t="shared" si="528"/>
        <v>2.5</v>
      </c>
      <c r="AG6312" s="580">
        <f t="shared" si="529"/>
        <v>0</v>
      </c>
      <c r="AH6312" s="580">
        <f t="shared" si="530"/>
        <v>0</v>
      </c>
    </row>
    <row r="6313" spans="28:34">
      <c r="AB6313" s="580">
        <f>HLOOKUP("*"&amp;'Output annual'!$AC$2&amp;'Output annual'!$AD$2&amp;"*Zone People Number Of Occupants [](Hourly)",'Eplus results'!$1:$1048576,ROW(),FALSE)</f>
        <v>0</v>
      </c>
      <c r="AC6313" s="580">
        <f>HLOOKUP("*"&amp;'Output annual'!$AC$2&amp;'Output annual'!$AD$2&amp;"*FangerPMV(Hourly)",'Eplus results'!$1:$1048576,ROW(),FALSE)</f>
        <v>0</v>
      </c>
      <c r="AD6313" s="580">
        <f t="shared" si="526"/>
        <v>5</v>
      </c>
      <c r="AE6313" s="580">
        <f t="shared" si="527"/>
        <v>2.5</v>
      </c>
      <c r="AF6313" s="580">
        <f t="shared" si="528"/>
        <v>2.5</v>
      </c>
      <c r="AG6313" s="580">
        <f t="shared" si="529"/>
        <v>0</v>
      </c>
      <c r="AH6313" s="580">
        <f t="shared" si="530"/>
        <v>0</v>
      </c>
    </row>
    <row r="6314" spans="28:34">
      <c r="AB6314" s="580">
        <f>HLOOKUP("*"&amp;'Output annual'!$AC$2&amp;'Output annual'!$AD$2&amp;"*Zone People Number Of Occupants [](Hourly)",'Eplus results'!$1:$1048576,ROW(),FALSE)</f>
        <v>0</v>
      </c>
      <c r="AC6314" s="580">
        <f>HLOOKUP("*"&amp;'Output annual'!$AC$2&amp;'Output annual'!$AD$2&amp;"*FangerPMV(Hourly)",'Eplus results'!$1:$1048576,ROW(),FALSE)</f>
        <v>0</v>
      </c>
      <c r="AD6314" s="580">
        <f t="shared" si="526"/>
        <v>5</v>
      </c>
      <c r="AE6314" s="580">
        <f t="shared" si="527"/>
        <v>2.5</v>
      </c>
      <c r="AF6314" s="580">
        <f t="shared" si="528"/>
        <v>2.5</v>
      </c>
      <c r="AG6314" s="580">
        <f t="shared" si="529"/>
        <v>0</v>
      </c>
      <c r="AH6314" s="580">
        <f t="shared" si="530"/>
        <v>0</v>
      </c>
    </row>
    <row r="6315" spans="28:34">
      <c r="AB6315" s="580">
        <f>HLOOKUP("*"&amp;'Output annual'!$AC$2&amp;'Output annual'!$AD$2&amp;"*Zone People Number Of Occupants [](Hourly)",'Eplus results'!$1:$1048576,ROW(),FALSE)</f>
        <v>0</v>
      </c>
      <c r="AC6315" s="580">
        <f>HLOOKUP("*"&amp;'Output annual'!$AC$2&amp;'Output annual'!$AD$2&amp;"*FangerPMV(Hourly)",'Eplus results'!$1:$1048576,ROW(),FALSE)</f>
        <v>0</v>
      </c>
      <c r="AD6315" s="580">
        <f t="shared" si="526"/>
        <v>5</v>
      </c>
      <c r="AE6315" s="580">
        <f t="shared" si="527"/>
        <v>2.5</v>
      </c>
      <c r="AF6315" s="580">
        <f t="shared" si="528"/>
        <v>2.5</v>
      </c>
      <c r="AG6315" s="580">
        <f t="shared" si="529"/>
        <v>0</v>
      </c>
      <c r="AH6315" s="580">
        <f t="shared" si="530"/>
        <v>0</v>
      </c>
    </row>
    <row r="6316" spans="28:34">
      <c r="AB6316" s="580">
        <f>HLOOKUP("*"&amp;'Output annual'!$AC$2&amp;'Output annual'!$AD$2&amp;"*Zone People Number Of Occupants [](Hourly)",'Eplus results'!$1:$1048576,ROW(),FALSE)</f>
        <v>0</v>
      </c>
      <c r="AC6316" s="580">
        <f>HLOOKUP("*"&amp;'Output annual'!$AC$2&amp;'Output annual'!$AD$2&amp;"*FangerPMV(Hourly)",'Eplus results'!$1:$1048576,ROW(),FALSE)</f>
        <v>0</v>
      </c>
      <c r="AD6316" s="580">
        <f t="shared" si="526"/>
        <v>5</v>
      </c>
      <c r="AE6316" s="580">
        <f t="shared" si="527"/>
        <v>2.5</v>
      </c>
      <c r="AF6316" s="580">
        <f t="shared" si="528"/>
        <v>2.5</v>
      </c>
      <c r="AG6316" s="580">
        <f t="shared" si="529"/>
        <v>0</v>
      </c>
      <c r="AH6316" s="580">
        <f t="shared" si="530"/>
        <v>0</v>
      </c>
    </row>
    <row r="6317" spans="28:34">
      <c r="AB6317" s="580">
        <f>HLOOKUP("*"&amp;'Output annual'!$AC$2&amp;'Output annual'!$AD$2&amp;"*Zone People Number Of Occupants [](Hourly)",'Eplus results'!$1:$1048576,ROW(),FALSE)</f>
        <v>0</v>
      </c>
      <c r="AC6317" s="580">
        <f>HLOOKUP("*"&amp;'Output annual'!$AC$2&amp;'Output annual'!$AD$2&amp;"*FangerPMV(Hourly)",'Eplus results'!$1:$1048576,ROW(),FALSE)</f>
        <v>0</v>
      </c>
      <c r="AD6317" s="580">
        <f t="shared" si="526"/>
        <v>5</v>
      </c>
      <c r="AE6317" s="580">
        <f t="shared" si="527"/>
        <v>2.5</v>
      </c>
      <c r="AF6317" s="580">
        <f t="shared" si="528"/>
        <v>2.5</v>
      </c>
      <c r="AG6317" s="580">
        <f t="shared" si="529"/>
        <v>0</v>
      </c>
      <c r="AH6317" s="580">
        <f t="shared" si="530"/>
        <v>0</v>
      </c>
    </row>
    <row r="6318" spans="28:34">
      <c r="AB6318" s="580">
        <f>HLOOKUP("*"&amp;'Output annual'!$AC$2&amp;'Output annual'!$AD$2&amp;"*Zone People Number Of Occupants [](Hourly)",'Eplus results'!$1:$1048576,ROW(),FALSE)</f>
        <v>0</v>
      </c>
      <c r="AC6318" s="580">
        <f>HLOOKUP("*"&amp;'Output annual'!$AC$2&amp;'Output annual'!$AD$2&amp;"*FangerPMV(Hourly)",'Eplus results'!$1:$1048576,ROW(),FALSE)</f>
        <v>0</v>
      </c>
      <c r="AD6318" s="580">
        <f t="shared" si="526"/>
        <v>5</v>
      </c>
      <c r="AE6318" s="580">
        <f t="shared" si="527"/>
        <v>2.5</v>
      </c>
      <c r="AF6318" s="580">
        <f t="shared" si="528"/>
        <v>2.5</v>
      </c>
      <c r="AG6318" s="580">
        <f t="shared" si="529"/>
        <v>0</v>
      </c>
      <c r="AH6318" s="580">
        <f t="shared" si="530"/>
        <v>0</v>
      </c>
    </row>
    <row r="6319" spans="28:34">
      <c r="AB6319" s="580">
        <f>HLOOKUP("*"&amp;'Output annual'!$AC$2&amp;'Output annual'!$AD$2&amp;"*Zone People Number Of Occupants [](Hourly)",'Eplus results'!$1:$1048576,ROW(),FALSE)</f>
        <v>0</v>
      </c>
      <c r="AC6319" s="580">
        <f>HLOOKUP("*"&amp;'Output annual'!$AC$2&amp;'Output annual'!$AD$2&amp;"*FangerPMV(Hourly)",'Eplus results'!$1:$1048576,ROW(),FALSE)</f>
        <v>0</v>
      </c>
      <c r="AD6319" s="580">
        <f t="shared" si="526"/>
        <v>5</v>
      </c>
      <c r="AE6319" s="580">
        <f t="shared" si="527"/>
        <v>2.5</v>
      </c>
      <c r="AF6319" s="580">
        <f t="shared" si="528"/>
        <v>2.5</v>
      </c>
      <c r="AG6319" s="580">
        <f t="shared" si="529"/>
        <v>0</v>
      </c>
      <c r="AH6319" s="580">
        <f t="shared" si="530"/>
        <v>0</v>
      </c>
    </row>
    <row r="6320" spans="28:34">
      <c r="AB6320" s="580">
        <f>HLOOKUP("*"&amp;'Output annual'!$AC$2&amp;'Output annual'!$AD$2&amp;"*Zone People Number Of Occupants [](Hourly)",'Eplus results'!$1:$1048576,ROW(),FALSE)</f>
        <v>0</v>
      </c>
      <c r="AC6320" s="580">
        <f>HLOOKUP("*"&amp;'Output annual'!$AC$2&amp;'Output annual'!$AD$2&amp;"*FangerPMV(Hourly)",'Eplus results'!$1:$1048576,ROW(),FALSE)</f>
        <v>0</v>
      </c>
      <c r="AD6320" s="580">
        <f t="shared" si="526"/>
        <v>5</v>
      </c>
      <c r="AE6320" s="580">
        <f t="shared" si="527"/>
        <v>2.5</v>
      </c>
      <c r="AF6320" s="580">
        <f t="shared" si="528"/>
        <v>2.5</v>
      </c>
      <c r="AG6320" s="580">
        <f t="shared" si="529"/>
        <v>0</v>
      </c>
      <c r="AH6320" s="580">
        <f t="shared" si="530"/>
        <v>0</v>
      </c>
    </row>
    <row r="6321" spans="28:34">
      <c r="AB6321" s="580">
        <f>HLOOKUP("*"&amp;'Output annual'!$AC$2&amp;'Output annual'!$AD$2&amp;"*Zone People Number Of Occupants [](Hourly)",'Eplus results'!$1:$1048576,ROW(),FALSE)</f>
        <v>0</v>
      </c>
      <c r="AC6321" s="580">
        <f>HLOOKUP("*"&amp;'Output annual'!$AC$2&amp;'Output annual'!$AD$2&amp;"*FangerPMV(Hourly)",'Eplus results'!$1:$1048576,ROW(),FALSE)</f>
        <v>0</v>
      </c>
      <c r="AD6321" s="580">
        <f t="shared" si="526"/>
        <v>5</v>
      </c>
      <c r="AE6321" s="580">
        <f t="shared" si="527"/>
        <v>2.5</v>
      </c>
      <c r="AF6321" s="580">
        <f t="shared" si="528"/>
        <v>2.5</v>
      </c>
      <c r="AG6321" s="580">
        <f t="shared" si="529"/>
        <v>0</v>
      </c>
      <c r="AH6321" s="580">
        <f t="shared" si="530"/>
        <v>0</v>
      </c>
    </row>
    <row r="6322" spans="28:34">
      <c r="AB6322" s="580">
        <f>HLOOKUP("*"&amp;'Output annual'!$AC$2&amp;'Output annual'!$AD$2&amp;"*Zone People Number Of Occupants [](Hourly)",'Eplus results'!$1:$1048576,ROW(),FALSE)</f>
        <v>0</v>
      </c>
      <c r="AC6322" s="580">
        <f>HLOOKUP("*"&amp;'Output annual'!$AC$2&amp;'Output annual'!$AD$2&amp;"*FangerPMV(Hourly)",'Eplus results'!$1:$1048576,ROW(),FALSE)</f>
        <v>0</v>
      </c>
      <c r="AD6322" s="580">
        <f t="shared" si="526"/>
        <v>5</v>
      </c>
      <c r="AE6322" s="580">
        <f t="shared" si="527"/>
        <v>2.5</v>
      </c>
      <c r="AF6322" s="580">
        <f t="shared" si="528"/>
        <v>2.5</v>
      </c>
      <c r="AG6322" s="580">
        <f t="shared" si="529"/>
        <v>0</v>
      </c>
      <c r="AH6322" s="580">
        <f t="shared" si="530"/>
        <v>0</v>
      </c>
    </row>
    <row r="6323" spans="28:34">
      <c r="AB6323" s="580">
        <f>HLOOKUP("*"&amp;'Output annual'!$AC$2&amp;'Output annual'!$AD$2&amp;"*Zone People Number Of Occupants [](Hourly)",'Eplus results'!$1:$1048576,ROW(),FALSE)</f>
        <v>0</v>
      </c>
      <c r="AC6323" s="580">
        <f>HLOOKUP("*"&amp;'Output annual'!$AC$2&amp;'Output annual'!$AD$2&amp;"*FangerPMV(Hourly)",'Eplus results'!$1:$1048576,ROW(),FALSE)</f>
        <v>0</v>
      </c>
      <c r="AD6323" s="580">
        <f t="shared" si="526"/>
        <v>5</v>
      </c>
      <c r="AE6323" s="580">
        <f t="shared" si="527"/>
        <v>2.5</v>
      </c>
      <c r="AF6323" s="580">
        <f t="shared" si="528"/>
        <v>2.5</v>
      </c>
      <c r="AG6323" s="580">
        <f t="shared" si="529"/>
        <v>0</v>
      </c>
      <c r="AH6323" s="580">
        <f t="shared" si="530"/>
        <v>0</v>
      </c>
    </row>
    <row r="6324" spans="28:34">
      <c r="AB6324" s="580">
        <f>HLOOKUP("*"&amp;'Output annual'!$AC$2&amp;'Output annual'!$AD$2&amp;"*Zone People Number Of Occupants [](Hourly)",'Eplus results'!$1:$1048576,ROW(),FALSE)</f>
        <v>0</v>
      </c>
      <c r="AC6324" s="580">
        <f>HLOOKUP("*"&amp;'Output annual'!$AC$2&amp;'Output annual'!$AD$2&amp;"*FangerPMV(Hourly)",'Eplus results'!$1:$1048576,ROW(),FALSE)</f>
        <v>0</v>
      </c>
      <c r="AD6324" s="580">
        <f t="shared" si="526"/>
        <v>5</v>
      </c>
      <c r="AE6324" s="580">
        <f t="shared" si="527"/>
        <v>2.5</v>
      </c>
      <c r="AF6324" s="580">
        <f t="shared" si="528"/>
        <v>2.5</v>
      </c>
      <c r="AG6324" s="580">
        <f t="shared" si="529"/>
        <v>0</v>
      </c>
      <c r="AH6324" s="580">
        <f t="shared" si="530"/>
        <v>0</v>
      </c>
    </row>
    <row r="6325" spans="28:34">
      <c r="AB6325" s="580">
        <f>HLOOKUP("*"&amp;'Output annual'!$AC$2&amp;'Output annual'!$AD$2&amp;"*Zone People Number Of Occupants [](Hourly)",'Eplus results'!$1:$1048576,ROW(),FALSE)</f>
        <v>0</v>
      </c>
      <c r="AC6325" s="580">
        <f>HLOOKUP("*"&amp;'Output annual'!$AC$2&amp;'Output annual'!$AD$2&amp;"*FangerPMV(Hourly)",'Eplus results'!$1:$1048576,ROW(),FALSE)</f>
        <v>0</v>
      </c>
      <c r="AD6325" s="580">
        <f t="shared" si="526"/>
        <v>5</v>
      </c>
      <c r="AE6325" s="580">
        <f t="shared" si="527"/>
        <v>2.5</v>
      </c>
      <c r="AF6325" s="580">
        <f t="shared" si="528"/>
        <v>2.5</v>
      </c>
      <c r="AG6325" s="580">
        <f t="shared" si="529"/>
        <v>0</v>
      </c>
      <c r="AH6325" s="580">
        <f t="shared" si="530"/>
        <v>0</v>
      </c>
    </row>
    <row r="6326" spans="28:34">
      <c r="AB6326" s="580">
        <f>HLOOKUP("*"&amp;'Output annual'!$AC$2&amp;'Output annual'!$AD$2&amp;"*Zone People Number Of Occupants [](Hourly)",'Eplus results'!$1:$1048576,ROW(),FALSE)</f>
        <v>0</v>
      </c>
      <c r="AC6326" s="580">
        <f>HLOOKUP("*"&amp;'Output annual'!$AC$2&amp;'Output annual'!$AD$2&amp;"*FangerPMV(Hourly)",'Eplus results'!$1:$1048576,ROW(),FALSE)</f>
        <v>0</v>
      </c>
      <c r="AD6326" s="580">
        <f t="shared" si="526"/>
        <v>5</v>
      </c>
      <c r="AE6326" s="580">
        <f t="shared" si="527"/>
        <v>2.5</v>
      </c>
      <c r="AF6326" s="580">
        <f t="shared" si="528"/>
        <v>2.5</v>
      </c>
      <c r="AG6326" s="580">
        <f t="shared" si="529"/>
        <v>0</v>
      </c>
      <c r="AH6326" s="580">
        <f t="shared" si="530"/>
        <v>0</v>
      </c>
    </row>
    <row r="6327" spans="28:34">
      <c r="AB6327" s="580">
        <f>HLOOKUP("*"&amp;'Output annual'!$AC$2&amp;'Output annual'!$AD$2&amp;"*Zone People Number Of Occupants [](Hourly)",'Eplus results'!$1:$1048576,ROW(),FALSE)</f>
        <v>0</v>
      </c>
      <c r="AC6327" s="580">
        <f>HLOOKUP("*"&amp;'Output annual'!$AC$2&amp;'Output annual'!$AD$2&amp;"*FangerPMV(Hourly)",'Eplus results'!$1:$1048576,ROW(),FALSE)</f>
        <v>0</v>
      </c>
      <c r="AD6327" s="580">
        <f t="shared" si="526"/>
        <v>5</v>
      </c>
      <c r="AE6327" s="580">
        <f t="shared" si="527"/>
        <v>2.5</v>
      </c>
      <c r="AF6327" s="580">
        <f t="shared" si="528"/>
        <v>2.5</v>
      </c>
      <c r="AG6327" s="580">
        <f t="shared" si="529"/>
        <v>0</v>
      </c>
      <c r="AH6327" s="580">
        <f t="shared" si="530"/>
        <v>0</v>
      </c>
    </row>
    <row r="6328" spans="28:34">
      <c r="AB6328" s="580">
        <f>HLOOKUP("*"&amp;'Output annual'!$AC$2&amp;'Output annual'!$AD$2&amp;"*Zone People Number Of Occupants [](Hourly)",'Eplus results'!$1:$1048576,ROW(),FALSE)</f>
        <v>0</v>
      </c>
      <c r="AC6328" s="580">
        <f>HLOOKUP("*"&amp;'Output annual'!$AC$2&amp;'Output annual'!$AD$2&amp;"*FangerPMV(Hourly)",'Eplus results'!$1:$1048576,ROW(),FALSE)</f>
        <v>0</v>
      </c>
      <c r="AD6328" s="580">
        <f t="shared" si="526"/>
        <v>5</v>
      </c>
      <c r="AE6328" s="580">
        <f t="shared" si="527"/>
        <v>2.5</v>
      </c>
      <c r="AF6328" s="580">
        <f t="shared" si="528"/>
        <v>2.5</v>
      </c>
      <c r="AG6328" s="580">
        <f t="shared" si="529"/>
        <v>0</v>
      </c>
      <c r="AH6328" s="580">
        <f t="shared" si="530"/>
        <v>0</v>
      </c>
    </row>
    <row r="6329" spans="28:34">
      <c r="AB6329" s="580">
        <f>HLOOKUP("*"&amp;'Output annual'!$AC$2&amp;'Output annual'!$AD$2&amp;"*Zone People Number Of Occupants [](Hourly)",'Eplus results'!$1:$1048576,ROW(),FALSE)</f>
        <v>0</v>
      </c>
      <c r="AC6329" s="580">
        <f>HLOOKUP("*"&amp;'Output annual'!$AC$2&amp;'Output annual'!$AD$2&amp;"*FangerPMV(Hourly)",'Eplus results'!$1:$1048576,ROW(),FALSE)</f>
        <v>0</v>
      </c>
      <c r="AD6329" s="580">
        <f t="shared" si="526"/>
        <v>5</v>
      </c>
      <c r="AE6329" s="580">
        <f t="shared" si="527"/>
        <v>2.5</v>
      </c>
      <c r="AF6329" s="580">
        <f t="shared" si="528"/>
        <v>2.5</v>
      </c>
      <c r="AG6329" s="580">
        <f t="shared" si="529"/>
        <v>0</v>
      </c>
      <c r="AH6329" s="580">
        <f t="shared" si="530"/>
        <v>0</v>
      </c>
    </row>
    <row r="6330" spans="28:34">
      <c r="AB6330" s="580">
        <f>HLOOKUP("*"&amp;'Output annual'!$AC$2&amp;'Output annual'!$AD$2&amp;"*Zone People Number Of Occupants [](Hourly)",'Eplus results'!$1:$1048576,ROW(),FALSE)</f>
        <v>0</v>
      </c>
      <c r="AC6330" s="580">
        <f>HLOOKUP("*"&amp;'Output annual'!$AC$2&amp;'Output annual'!$AD$2&amp;"*FangerPMV(Hourly)",'Eplus results'!$1:$1048576,ROW(),FALSE)</f>
        <v>0</v>
      </c>
      <c r="AD6330" s="580">
        <f t="shared" si="526"/>
        <v>5</v>
      </c>
      <c r="AE6330" s="580">
        <f t="shared" si="527"/>
        <v>2.5</v>
      </c>
      <c r="AF6330" s="580">
        <f t="shared" si="528"/>
        <v>2.5</v>
      </c>
      <c r="AG6330" s="580">
        <f t="shared" si="529"/>
        <v>0</v>
      </c>
      <c r="AH6330" s="580">
        <f t="shared" si="530"/>
        <v>0</v>
      </c>
    </row>
    <row r="6331" spans="28:34">
      <c r="AB6331" s="580">
        <f>HLOOKUP("*"&amp;'Output annual'!$AC$2&amp;'Output annual'!$AD$2&amp;"*Zone People Number Of Occupants [](Hourly)",'Eplus results'!$1:$1048576,ROW(),FALSE)</f>
        <v>0</v>
      </c>
      <c r="AC6331" s="580">
        <f>HLOOKUP("*"&amp;'Output annual'!$AC$2&amp;'Output annual'!$AD$2&amp;"*FangerPMV(Hourly)",'Eplus results'!$1:$1048576,ROW(),FALSE)</f>
        <v>0</v>
      </c>
      <c r="AD6331" s="580">
        <f t="shared" si="526"/>
        <v>5</v>
      </c>
      <c r="AE6331" s="580">
        <f t="shared" si="527"/>
        <v>2.5</v>
      </c>
      <c r="AF6331" s="580">
        <f t="shared" si="528"/>
        <v>2.5</v>
      </c>
      <c r="AG6331" s="580">
        <f t="shared" si="529"/>
        <v>0</v>
      </c>
      <c r="AH6331" s="580">
        <f t="shared" si="530"/>
        <v>0</v>
      </c>
    </row>
    <row r="6332" spans="28:34">
      <c r="AB6332" s="580">
        <f>HLOOKUP("*"&amp;'Output annual'!$AC$2&amp;'Output annual'!$AD$2&amp;"*Zone People Number Of Occupants [](Hourly)",'Eplus results'!$1:$1048576,ROW(),FALSE)</f>
        <v>0</v>
      </c>
      <c r="AC6332" s="580">
        <f>HLOOKUP("*"&amp;'Output annual'!$AC$2&amp;'Output annual'!$AD$2&amp;"*FangerPMV(Hourly)",'Eplus results'!$1:$1048576,ROW(),FALSE)</f>
        <v>0</v>
      </c>
      <c r="AD6332" s="580">
        <f t="shared" si="526"/>
        <v>5</v>
      </c>
      <c r="AE6332" s="580">
        <f t="shared" si="527"/>
        <v>2.5</v>
      </c>
      <c r="AF6332" s="580">
        <f t="shared" si="528"/>
        <v>2.5</v>
      </c>
      <c r="AG6332" s="580">
        <f t="shared" si="529"/>
        <v>0</v>
      </c>
      <c r="AH6332" s="580">
        <f t="shared" si="530"/>
        <v>0</v>
      </c>
    </row>
    <row r="6333" spans="28:34">
      <c r="AB6333" s="580">
        <f>HLOOKUP("*"&amp;'Output annual'!$AC$2&amp;'Output annual'!$AD$2&amp;"*Zone People Number Of Occupants [](Hourly)",'Eplus results'!$1:$1048576,ROW(),FALSE)</f>
        <v>0</v>
      </c>
      <c r="AC6333" s="580">
        <f>HLOOKUP("*"&amp;'Output annual'!$AC$2&amp;'Output annual'!$AD$2&amp;"*FangerPMV(Hourly)",'Eplus results'!$1:$1048576,ROW(),FALSE)</f>
        <v>0</v>
      </c>
      <c r="AD6333" s="580">
        <f t="shared" si="526"/>
        <v>5</v>
      </c>
      <c r="AE6333" s="580">
        <f t="shared" si="527"/>
        <v>2.5</v>
      </c>
      <c r="AF6333" s="580">
        <f t="shared" si="528"/>
        <v>2.5</v>
      </c>
      <c r="AG6333" s="580">
        <f t="shared" si="529"/>
        <v>0</v>
      </c>
      <c r="AH6333" s="580">
        <f t="shared" si="530"/>
        <v>0</v>
      </c>
    </row>
    <row r="6334" spans="28:34">
      <c r="AB6334" s="580">
        <f>HLOOKUP("*"&amp;'Output annual'!$AC$2&amp;'Output annual'!$AD$2&amp;"*Zone People Number Of Occupants [](Hourly)",'Eplus results'!$1:$1048576,ROW(),FALSE)</f>
        <v>0</v>
      </c>
      <c r="AC6334" s="580">
        <f>HLOOKUP("*"&amp;'Output annual'!$AC$2&amp;'Output annual'!$AD$2&amp;"*FangerPMV(Hourly)",'Eplus results'!$1:$1048576,ROW(),FALSE)</f>
        <v>0</v>
      </c>
      <c r="AD6334" s="580">
        <f t="shared" si="526"/>
        <v>5</v>
      </c>
      <c r="AE6334" s="580">
        <f t="shared" si="527"/>
        <v>2.5</v>
      </c>
      <c r="AF6334" s="580">
        <f t="shared" si="528"/>
        <v>2.5</v>
      </c>
      <c r="AG6334" s="580">
        <f t="shared" si="529"/>
        <v>0</v>
      </c>
      <c r="AH6334" s="580">
        <f t="shared" si="530"/>
        <v>0</v>
      </c>
    </row>
    <row r="6335" spans="28:34">
      <c r="AB6335" s="580">
        <f>HLOOKUP("*"&amp;'Output annual'!$AC$2&amp;'Output annual'!$AD$2&amp;"*Zone People Number Of Occupants [](Hourly)",'Eplus results'!$1:$1048576,ROW(),FALSE)</f>
        <v>0</v>
      </c>
      <c r="AC6335" s="580">
        <f>HLOOKUP("*"&amp;'Output annual'!$AC$2&amp;'Output annual'!$AD$2&amp;"*FangerPMV(Hourly)",'Eplus results'!$1:$1048576,ROW(),FALSE)</f>
        <v>0</v>
      </c>
      <c r="AD6335" s="580">
        <f t="shared" si="526"/>
        <v>5</v>
      </c>
      <c r="AE6335" s="580">
        <f t="shared" si="527"/>
        <v>2.5</v>
      </c>
      <c r="AF6335" s="580">
        <f t="shared" si="528"/>
        <v>2.5</v>
      </c>
      <c r="AG6335" s="580">
        <f t="shared" si="529"/>
        <v>0</v>
      </c>
      <c r="AH6335" s="580">
        <f t="shared" si="530"/>
        <v>0</v>
      </c>
    </row>
    <row r="6336" spans="28:34">
      <c r="AB6336" s="580">
        <f>HLOOKUP("*"&amp;'Output annual'!$AC$2&amp;'Output annual'!$AD$2&amp;"*Zone People Number Of Occupants [](Hourly)",'Eplus results'!$1:$1048576,ROW(),FALSE)</f>
        <v>0</v>
      </c>
      <c r="AC6336" s="580">
        <f>HLOOKUP("*"&amp;'Output annual'!$AC$2&amp;'Output annual'!$AD$2&amp;"*FangerPMV(Hourly)",'Eplus results'!$1:$1048576,ROW(),FALSE)</f>
        <v>0</v>
      </c>
      <c r="AD6336" s="580">
        <f t="shared" si="526"/>
        <v>5</v>
      </c>
      <c r="AE6336" s="580">
        <f t="shared" si="527"/>
        <v>2.5</v>
      </c>
      <c r="AF6336" s="580">
        <f t="shared" si="528"/>
        <v>2.5</v>
      </c>
      <c r="AG6336" s="580">
        <f t="shared" si="529"/>
        <v>0</v>
      </c>
      <c r="AH6336" s="580">
        <f t="shared" si="530"/>
        <v>0</v>
      </c>
    </row>
    <row r="6337" spans="28:34">
      <c r="AB6337" s="580">
        <f>HLOOKUP("*"&amp;'Output annual'!$AC$2&amp;'Output annual'!$AD$2&amp;"*Zone People Number Of Occupants [](Hourly)",'Eplus results'!$1:$1048576,ROW(),FALSE)</f>
        <v>0</v>
      </c>
      <c r="AC6337" s="580">
        <f>HLOOKUP("*"&amp;'Output annual'!$AC$2&amp;'Output annual'!$AD$2&amp;"*FangerPMV(Hourly)",'Eplus results'!$1:$1048576,ROW(),FALSE)</f>
        <v>0</v>
      </c>
      <c r="AD6337" s="580">
        <f t="shared" si="526"/>
        <v>5</v>
      </c>
      <c r="AE6337" s="580">
        <f t="shared" si="527"/>
        <v>2.5</v>
      </c>
      <c r="AF6337" s="580">
        <f t="shared" si="528"/>
        <v>2.5</v>
      </c>
      <c r="AG6337" s="580">
        <f t="shared" si="529"/>
        <v>0</v>
      </c>
      <c r="AH6337" s="580">
        <f t="shared" si="530"/>
        <v>0</v>
      </c>
    </row>
    <row r="6338" spans="28:34">
      <c r="AB6338" s="580">
        <f>HLOOKUP("*"&amp;'Output annual'!$AC$2&amp;'Output annual'!$AD$2&amp;"*Zone People Number Of Occupants [](Hourly)",'Eplus results'!$1:$1048576,ROW(),FALSE)</f>
        <v>0</v>
      </c>
      <c r="AC6338" s="580">
        <f>HLOOKUP("*"&amp;'Output annual'!$AC$2&amp;'Output annual'!$AD$2&amp;"*FangerPMV(Hourly)",'Eplus results'!$1:$1048576,ROW(),FALSE)</f>
        <v>0</v>
      </c>
      <c r="AD6338" s="580">
        <f t="shared" si="526"/>
        <v>5</v>
      </c>
      <c r="AE6338" s="580">
        <f t="shared" si="527"/>
        <v>2.5</v>
      </c>
      <c r="AF6338" s="580">
        <f t="shared" si="528"/>
        <v>2.5</v>
      </c>
      <c r="AG6338" s="580">
        <f t="shared" si="529"/>
        <v>0</v>
      </c>
      <c r="AH6338" s="580">
        <f t="shared" si="530"/>
        <v>0</v>
      </c>
    </row>
    <row r="6339" spans="28:34">
      <c r="AB6339" s="580">
        <f>HLOOKUP("*"&amp;'Output annual'!$AC$2&amp;'Output annual'!$AD$2&amp;"*Zone People Number Of Occupants [](Hourly)",'Eplus results'!$1:$1048576,ROW(),FALSE)</f>
        <v>0</v>
      </c>
      <c r="AC6339" s="580">
        <f>HLOOKUP("*"&amp;'Output annual'!$AC$2&amp;'Output annual'!$AD$2&amp;"*FangerPMV(Hourly)",'Eplus results'!$1:$1048576,ROW(),FALSE)</f>
        <v>0</v>
      </c>
      <c r="AD6339" s="580">
        <f t="shared" ref="AD6339:AD6402" si="531">100-95*EXP(-0.03353*AC6339^4-0.2179*AC6339^2)</f>
        <v>5</v>
      </c>
      <c r="AE6339" s="580">
        <f t="shared" ref="AE6339:AE6402" si="532">AD6339*(1/(1+EXP(-6.3*$AC6339)))</f>
        <v>2.5</v>
      </c>
      <c r="AF6339" s="580">
        <f t="shared" ref="AF6339:AF6402" si="533">(AD6339-AE6339)</f>
        <v>2.5</v>
      </c>
      <c r="AG6339" s="580">
        <f t="shared" ref="AG6339:AG6402" si="534">AE6339*AB6339</f>
        <v>0</v>
      </c>
      <c r="AH6339" s="580">
        <f t="shared" ref="AH6339:AH6402" si="535">AF6339*AB6339</f>
        <v>0</v>
      </c>
    </row>
    <row r="6340" spans="28:34">
      <c r="AB6340" s="580">
        <f>HLOOKUP("*"&amp;'Output annual'!$AC$2&amp;'Output annual'!$AD$2&amp;"*Zone People Number Of Occupants [](Hourly)",'Eplus results'!$1:$1048576,ROW(),FALSE)</f>
        <v>0</v>
      </c>
      <c r="AC6340" s="580">
        <f>HLOOKUP("*"&amp;'Output annual'!$AC$2&amp;'Output annual'!$AD$2&amp;"*FangerPMV(Hourly)",'Eplus results'!$1:$1048576,ROW(),FALSE)</f>
        <v>0</v>
      </c>
      <c r="AD6340" s="580">
        <f t="shared" si="531"/>
        <v>5</v>
      </c>
      <c r="AE6340" s="580">
        <f t="shared" si="532"/>
        <v>2.5</v>
      </c>
      <c r="AF6340" s="580">
        <f t="shared" si="533"/>
        <v>2.5</v>
      </c>
      <c r="AG6340" s="580">
        <f t="shared" si="534"/>
        <v>0</v>
      </c>
      <c r="AH6340" s="580">
        <f t="shared" si="535"/>
        <v>0</v>
      </c>
    </row>
    <row r="6341" spans="28:34">
      <c r="AB6341" s="580">
        <f>HLOOKUP("*"&amp;'Output annual'!$AC$2&amp;'Output annual'!$AD$2&amp;"*Zone People Number Of Occupants [](Hourly)",'Eplus results'!$1:$1048576,ROW(),FALSE)</f>
        <v>0</v>
      </c>
      <c r="AC6341" s="580">
        <f>HLOOKUP("*"&amp;'Output annual'!$AC$2&amp;'Output annual'!$AD$2&amp;"*FangerPMV(Hourly)",'Eplus results'!$1:$1048576,ROW(),FALSE)</f>
        <v>0</v>
      </c>
      <c r="AD6341" s="580">
        <f t="shared" si="531"/>
        <v>5</v>
      </c>
      <c r="AE6341" s="580">
        <f t="shared" si="532"/>
        <v>2.5</v>
      </c>
      <c r="AF6341" s="580">
        <f t="shared" si="533"/>
        <v>2.5</v>
      </c>
      <c r="AG6341" s="580">
        <f t="shared" si="534"/>
        <v>0</v>
      </c>
      <c r="AH6341" s="580">
        <f t="shared" si="535"/>
        <v>0</v>
      </c>
    </row>
    <row r="6342" spans="28:34">
      <c r="AB6342" s="580">
        <f>HLOOKUP("*"&amp;'Output annual'!$AC$2&amp;'Output annual'!$AD$2&amp;"*Zone People Number Of Occupants [](Hourly)",'Eplus results'!$1:$1048576,ROW(),FALSE)</f>
        <v>0</v>
      </c>
      <c r="AC6342" s="580">
        <f>HLOOKUP("*"&amp;'Output annual'!$AC$2&amp;'Output annual'!$AD$2&amp;"*FangerPMV(Hourly)",'Eplus results'!$1:$1048576,ROW(),FALSE)</f>
        <v>0</v>
      </c>
      <c r="AD6342" s="580">
        <f t="shared" si="531"/>
        <v>5</v>
      </c>
      <c r="AE6342" s="580">
        <f t="shared" si="532"/>
        <v>2.5</v>
      </c>
      <c r="AF6342" s="580">
        <f t="shared" si="533"/>
        <v>2.5</v>
      </c>
      <c r="AG6342" s="580">
        <f t="shared" si="534"/>
        <v>0</v>
      </c>
      <c r="AH6342" s="580">
        <f t="shared" si="535"/>
        <v>0</v>
      </c>
    </row>
    <row r="6343" spans="28:34">
      <c r="AB6343" s="580">
        <f>HLOOKUP("*"&amp;'Output annual'!$AC$2&amp;'Output annual'!$AD$2&amp;"*Zone People Number Of Occupants [](Hourly)",'Eplus results'!$1:$1048576,ROW(),FALSE)</f>
        <v>0</v>
      </c>
      <c r="AC6343" s="580">
        <f>HLOOKUP("*"&amp;'Output annual'!$AC$2&amp;'Output annual'!$AD$2&amp;"*FangerPMV(Hourly)",'Eplus results'!$1:$1048576,ROW(),FALSE)</f>
        <v>0</v>
      </c>
      <c r="AD6343" s="580">
        <f t="shared" si="531"/>
        <v>5</v>
      </c>
      <c r="AE6343" s="580">
        <f t="shared" si="532"/>
        <v>2.5</v>
      </c>
      <c r="AF6343" s="580">
        <f t="shared" si="533"/>
        <v>2.5</v>
      </c>
      <c r="AG6343" s="580">
        <f t="shared" si="534"/>
        <v>0</v>
      </c>
      <c r="AH6343" s="580">
        <f t="shared" si="535"/>
        <v>0</v>
      </c>
    </row>
    <row r="6344" spans="28:34">
      <c r="AB6344" s="580">
        <f>HLOOKUP("*"&amp;'Output annual'!$AC$2&amp;'Output annual'!$AD$2&amp;"*Zone People Number Of Occupants [](Hourly)",'Eplus results'!$1:$1048576,ROW(),FALSE)</f>
        <v>0</v>
      </c>
      <c r="AC6344" s="580">
        <f>HLOOKUP("*"&amp;'Output annual'!$AC$2&amp;'Output annual'!$AD$2&amp;"*FangerPMV(Hourly)",'Eplus results'!$1:$1048576,ROW(),FALSE)</f>
        <v>0</v>
      </c>
      <c r="AD6344" s="580">
        <f t="shared" si="531"/>
        <v>5</v>
      </c>
      <c r="AE6344" s="580">
        <f t="shared" si="532"/>
        <v>2.5</v>
      </c>
      <c r="AF6344" s="580">
        <f t="shared" si="533"/>
        <v>2.5</v>
      </c>
      <c r="AG6344" s="580">
        <f t="shared" si="534"/>
        <v>0</v>
      </c>
      <c r="AH6344" s="580">
        <f t="shared" si="535"/>
        <v>0</v>
      </c>
    </row>
    <row r="6345" spans="28:34">
      <c r="AB6345" s="580">
        <f>HLOOKUP("*"&amp;'Output annual'!$AC$2&amp;'Output annual'!$AD$2&amp;"*Zone People Number Of Occupants [](Hourly)",'Eplus results'!$1:$1048576,ROW(),FALSE)</f>
        <v>0</v>
      </c>
      <c r="AC6345" s="580">
        <f>HLOOKUP("*"&amp;'Output annual'!$AC$2&amp;'Output annual'!$AD$2&amp;"*FangerPMV(Hourly)",'Eplus results'!$1:$1048576,ROW(),FALSE)</f>
        <v>0</v>
      </c>
      <c r="AD6345" s="580">
        <f t="shared" si="531"/>
        <v>5</v>
      </c>
      <c r="AE6345" s="580">
        <f t="shared" si="532"/>
        <v>2.5</v>
      </c>
      <c r="AF6345" s="580">
        <f t="shared" si="533"/>
        <v>2.5</v>
      </c>
      <c r="AG6345" s="580">
        <f t="shared" si="534"/>
        <v>0</v>
      </c>
      <c r="AH6345" s="580">
        <f t="shared" si="535"/>
        <v>0</v>
      </c>
    </row>
    <row r="6346" spans="28:34">
      <c r="AB6346" s="580">
        <f>HLOOKUP("*"&amp;'Output annual'!$AC$2&amp;'Output annual'!$AD$2&amp;"*Zone People Number Of Occupants [](Hourly)",'Eplus results'!$1:$1048576,ROW(),FALSE)</f>
        <v>0</v>
      </c>
      <c r="AC6346" s="580">
        <f>HLOOKUP("*"&amp;'Output annual'!$AC$2&amp;'Output annual'!$AD$2&amp;"*FangerPMV(Hourly)",'Eplus results'!$1:$1048576,ROW(),FALSE)</f>
        <v>0</v>
      </c>
      <c r="AD6346" s="580">
        <f t="shared" si="531"/>
        <v>5</v>
      </c>
      <c r="AE6346" s="580">
        <f t="shared" si="532"/>
        <v>2.5</v>
      </c>
      <c r="AF6346" s="580">
        <f t="shared" si="533"/>
        <v>2.5</v>
      </c>
      <c r="AG6346" s="580">
        <f t="shared" si="534"/>
        <v>0</v>
      </c>
      <c r="AH6346" s="580">
        <f t="shared" si="535"/>
        <v>0</v>
      </c>
    </row>
    <row r="6347" spans="28:34">
      <c r="AB6347" s="580">
        <f>HLOOKUP("*"&amp;'Output annual'!$AC$2&amp;'Output annual'!$AD$2&amp;"*Zone People Number Of Occupants [](Hourly)",'Eplus results'!$1:$1048576,ROW(),FALSE)</f>
        <v>0</v>
      </c>
      <c r="AC6347" s="580">
        <f>HLOOKUP("*"&amp;'Output annual'!$AC$2&amp;'Output annual'!$AD$2&amp;"*FangerPMV(Hourly)",'Eplus results'!$1:$1048576,ROW(),FALSE)</f>
        <v>0</v>
      </c>
      <c r="AD6347" s="580">
        <f t="shared" si="531"/>
        <v>5</v>
      </c>
      <c r="AE6347" s="580">
        <f t="shared" si="532"/>
        <v>2.5</v>
      </c>
      <c r="AF6347" s="580">
        <f t="shared" si="533"/>
        <v>2.5</v>
      </c>
      <c r="AG6347" s="580">
        <f t="shared" si="534"/>
        <v>0</v>
      </c>
      <c r="AH6347" s="580">
        <f t="shared" si="535"/>
        <v>0</v>
      </c>
    </row>
    <row r="6348" spans="28:34">
      <c r="AB6348" s="580">
        <f>HLOOKUP("*"&amp;'Output annual'!$AC$2&amp;'Output annual'!$AD$2&amp;"*Zone People Number Of Occupants [](Hourly)",'Eplus results'!$1:$1048576,ROW(),FALSE)</f>
        <v>0</v>
      </c>
      <c r="AC6348" s="580">
        <f>HLOOKUP("*"&amp;'Output annual'!$AC$2&amp;'Output annual'!$AD$2&amp;"*FangerPMV(Hourly)",'Eplus results'!$1:$1048576,ROW(),FALSE)</f>
        <v>0</v>
      </c>
      <c r="AD6348" s="580">
        <f t="shared" si="531"/>
        <v>5</v>
      </c>
      <c r="AE6348" s="580">
        <f t="shared" si="532"/>
        <v>2.5</v>
      </c>
      <c r="AF6348" s="580">
        <f t="shared" si="533"/>
        <v>2.5</v>
      </c>
      <c r="AG6348" s="580">
        <f t="shared" si="534"/>
        <v>0</v>
      </c>
      <c r="AH6348" s="580">
        <f t="shared" si="535"/>
        <v>0</v>
      </c>
    </row>
    <row r="6349" spans="28:34">
      <c r="AB6349" s="580">
        <f>HLOOKUP("*"&amp;'Output annual'!$AC$2&amp;'Output annual'!$AD$2&amp;"*Zone People Number Of Occupants [](Hourly)",'Eplus results'!$1:$1048576,ROW(),FALSE)</f>
        <v>0</v>
      </c>
      <c r="AC6349" s="580">
        <f>HLOOKUP("*"&amp;'Output annual'!$AC$2&amp;'Output annual'!$AD$2&amp;"*FangerPMV(Hourly)",'Eplus results'!$1:$1048576,ROW(),FALSE)</f>
        <v>0</v>
      </c>
      <c r="AD6349" s="580">
        <f t="shared" si="531"/>
        <v>5</v>
      </c>
      <c r="AE6349" s="580">
        <f t="shared" si="532"/>
        <v>2.5</v>
      </c>
      <c r="AF6349" s="580">
        <f t="shared" si="533"/>
        <v>2.5</v>
      </c>
      <c r="AG6349" s="580">
        <f t="shared" si="534"/>
        <v>0</v>
      </c>
      <c r="AH6349" s="580">
        <f t="shared" si="535"/>
        <v>0</v>
      </c>
    </row>
    <row r="6350" spans="28:34">
      <c r="AB6350" s="580">
        <f>HLOOKUP("*"&amp;'Output annual'!$AC$2&amp;'Output annual'!$AD$2&amp;"*Zone People Number Of Occupants [](Hourly)",'Eplus results'!$1:$1048576,ROW(),FALSE)</f>
        <v>0</v>
      </c>
      <c r="AC6350" s="580">
        <f>HLOOKUP("*"&amp;'Output annual'!$AC$2&amp;'Output annual'!$AD$2&amp;"*FangerPMV(Hourly)",'Eplus results'!$1:$1048576,ROW(),FALSE)</f>
        <v>0</v>
      </c>
      <c r="AD6350" s="580">
        <f t="shared" si="531"/>
        <v>5</v>
      </c>
      <c r="AE6350" s="580">
        <f t="shared" si="532"/>
        <v>2.5</v>
      </c>
      <c r="AF6350" s="580">
        <f t="shared" si="533"/>
        <v>2.5</v>
      </c>
      <c r="AG6350" s="580">
        <f t="shared" si="534"/>
        <v>0</v>
      </c>
      <c r="AH6350" s="580">
        <f t="shared" si="535"/>
        <v>0</v>
      </c>
    </row>
    <row r="6351" spans="28:34">
      <c r="AB6351" s="580">
        <f>HLOOKUP("*"&amp;'Output annual'!$AC$2&amp;'Output annual'!$AD$2&amp;"*Zone People Number Of Occupants [](Hourly)",'Eplus results'!$1:$1048576,ROW(),FALSE)</f>
        <v>0</v>
      </c>
      <c r="AC6351" s="580">
        <f>HLOOKUP("*"&amp;'Output annual'!$AC$2&amp;'Output annual'!$AD$2&amp;"*FangerPMV(Hourly)",'Eplus results'!$1:$1048576,ROW(),FALSE)</f>
        <v>0</v>
      </c>
      <c r="AD6351" s="580">
        <f t="shared" si="531"/>
        <v>5</v>
      </c>
      <c r="AE6351" s="580">
        <f t="shared" si="532"/>
        <v>2.5</v>
      </c>
      <c r="AF6351" s="580">
        <f t="shared" si="533"/>
        <v>2.5</v>
      </c>
      <c r="AG6351" s="580">
        <f t="shared" si="534"/>
        <v>0</v>
      </c>
      <c r="AH6351" s="580">
        <f t="shared" si="535"/>
        <v>0</v>
      </c>
    </row>
    <row r="6352" spans="28:34">
      <c r="AB6352" s="580">
        <f>HLOOKUP("*"&amp;'Output annual'!$AC$2&amp;'Output annual'!$AD$2&amp;"*Zone People Number Of Occupants [](Hourly)",'Eplus results'!$1:$1048576,ROW(),FALSE)</f>
        <v>0</v>
      </c>
      <c r="AC6352" s="580">
        <f>HLOOKUP("*"&amp;'Output annual'!$AC$2&amp;'Output annual'!$AD$2&amp;"*FangerPMV(Hourly)",'Eplus results'!$1:$1048576,ROW(),FALSE)</f>
        <v>0</v>
      </c>
      <c r="AD6352" s="580">
        <f t="shared" si="531"/>
        <v>5</v>
      </c>
      <c r="AE6352" s="580">
        <f t="shared" si="532"/>
        <v>2.5</v>
      </c>
      <c r="AF6352" s="580">
        <f t="shared" si="533"/>
        <v>2.5</v>
      </c>
      <c r="AG6352" s="580">
        <f t="shared" si="534"/>
        <v>0</v>
      </c>
      <c r="AH6352" s="580">
        <f t="shared" si="535"/>
        <v>0</v>
      </c>
    </row>
    <row r="6353" spans="28:34">
      <c r="AB6353" s="580">
        <f>HLOOKUP("*"&amp;'Output annual'!$AC$2&amp;'Output annual'!$AD$2&amp;"*Zone People Number Of Occupants [](Hourly)",'Eplus results'!$1:$1048576,ROW(),FALSE)</f>
        <v>0</v>
      </c>
      <c r="AC6353" s="580">
        <f>HLOOKUP("*"&amp;'Output annual'!$AC$2&amp;'Output annual'!$AD$2&amp;"*FangerPMV(Hourly)",'Eplus results'!$1:$1048576,ROW(),FALSE)</f>
        <v>0</v>
      </c>
      <c r="AD6353" s="580">
        <f t="shared" si="531"/>
        <v>5</v>
      </c>
      <c r="AE6353" s="580">
        <f t="shared" si="532"/>
        <v>2.5</v>
      </c>
      <c r="AF6353" s="580">
        <f t="shared" si="533"/>
        <v>2.5</v>
      </c>
      <c r="AG6353" s="580">
        <f t="shared" si="534"/>
        <v>0</v>
      </c>
      <c r="AH6353" s="580">
        <f t="shared" si="535"/>
        <v>0</v>
      </c>
    </row>
    <row r="6354" spans="28:34">
      <c r="AB6354" s="580">
        <f>HLOOKUP("*"&amp;'Output annual'!$AC$2&amp;'Output annual'!$AD$2&amp;"*Zone People Number Of Occupants [](Hourly)",'Eplus results'!$1:$1048576,ROW(),FALSE)</f>
        <v>0</v>
      </c>
      <c r="AC6354" s="580">
        <f>HLOOKUP("*"&amp;'Output annual'!$AC$2&amp;'Output annual'!$AD$2&amp;"*FangerPMV(Hourly)",'Eplus results'!$1:$1048576,ROW(),FALSE)</f>
        <v>0</v>
      </c>
      <c r="AD6354" s="580">
        <f t="shared" si="531"/>
        <v>5</v>
      </c>
      <c r="AE6354" s="580">
        <f t="shared" si="532"/>
        <v>2.5</v>
      </c>
      <c r="AF6354" s="580">
        <f t="shared" si="533"/>
        <v>2.5</v>
      </c>
      <c r="AG6354" s="580">
        <f t="shared" si="534"/>
        <v>0</v>
      </c>
      <c r="AH6354" s="580">
        <f t="shared" si="535"/>
        <v>0</v>
      </c>
    </row>
    <row r="6355" spans="28:34">
      <c r="AB6355" s="580">
        <f>HLOOKUP("*"&amp;'Output annual'!$AC$2&amp;'Output annual'!$AD$2&amp;"*Zone People Number Of Occupants [](Hourly)",'Eplus results'!$1:$1048576,ROW(),FALSE)</f>
        <v>0</v>
      </c>
      <c r="AC6355" s="580">
        <f>HLOOKUP("*"&amp;'Output annual'!$AC$2&amp;'Output annual'!$AD$2&amp;"*FangerPMV(Hourly)",'Eplus results'!$1:$1048576,ROW(),FALSE)</f>
        <v>0</v>
      </c>
      <c r="AD6355" s="580">
        <f t="shared" si="531"/>
        <v>5</v>
      </c>
      <c r="AE6355" s="580">
        <f t="shared" si="532"/>
        <v>2.5</v>
      </c>
      <c r="AF6355" s="580">
        <f t="shared" si="533"/>
        <v>2.5</v>
      </c>
      <c r="AG6355" s="580">
        <f t="shared" si="534"/>
        <v>0</v>
      </c>
      <c r="AH6355" s="580">
        <f t="shared" si="535"/>
        <v>0</v>
      </c>
    </row>
    <row r="6356" spans="28:34">
      <c r="AB6356" s="580">
        <f>HLOOKUP("*"&amp;'Output annual'!$AC$2&amp;'Output annual'!$AD$2&amp;"*Zone People Number Of Occupants [](Hourly)",'Eplus results'!$1:$1048576,ROW(),FALSE)</f>
        <v>0</v>
      </c>
      <c r="AC6356" s="580">
        <f>HLOOKUP("*"&amp;'Output annual'!$AC$2&amp;'Output annual'!$AD$2&amp;"*FangerPMV(Hourly)",'Eplus results'!$1:$1048576,ROW(),FALSE)</f>
        <v>0</v>
      </c>
      <c r="AD6356" s="580">
        <f t="shared" si="531"/>
        <v>5</v>
      </c>
      <c r="AE6356" s="580">
        <f t="shared" si="532"/>
        <v>2.5</v>
      </c>
      <c r="AF6356" s="580">
        <f t="shared" si="533"/>
        <v>2.5</v>
      </c>
      <c r="AG6356" s="580">
        <f t="shared" si="534"/>
        <v>0</v>
      </c>
      <c r="AH6356" s="580">
        <f t="shared" si="535"/>
        <v>0</v>
      </c>
    </row>
    <row r="6357" spans="28:34">
      <c r="AB6357" s="580">
        <f>HLOOKUP("*"&amp;'Output annual'!$AC$2&amp;'Output annual'!$AD$2&amp;"*Zone People Number Of Occupants [](Hourly)",'Eplus results'!$1:$1048576,ROW(),FALSE)</f>
        <v>0</v>
      </c>
      <c r="AC6357" s="580">
        <f>HLOOKUP("*"&amp;'Output annual'!$AC$2&amp;'Output annual'!$AD$2&amp;"*FangerPMV(Hourly)",'Eplus results'!$1:$1048576,ROW(),FALSE)</f>
        <v>0</v>
      </c>
      <c r="AD6357" s="580">
        <f t="shared" si="531"/>
        <v>5</v>
      </c>
      <c r="AE6357" s="580">
        <f t="shared" si="532"/>
        <v>2.5</v>
      </c>
      <c r="AF6357" s="580">
        <f t="shared" si="533"/>
        <v>2.5</v>
      </c>
      <c r="AG6357" s="580">
        <f t="shared" si="534"/>
        <v>0</v>
      </c>
      <c r="AH6357" s="580">
        <f t="shared" si="535"/>
        <v>0</v>
      </c>
    </row>
    <row r="6358" spans="28:34">
      <c r="AB6358" s="580">
        <f>HLOOKUP("*"&amp;'Output annual'!$AC$2&amp;'Output annual'!$AD$2&amp;"*Zone People Number Of Occupants [](Hourly)",'Eplus results'!$1:$1048576,ROW(),FALSE)</f>
        <v>0</v>
      </c>
      <c r="AC6358" s="580">
        <f>HLOOKUP("*"&amp;'Output annual'!$AC$2&amp;'Output annual'!$AD$2&amp;"*FangerPMV(Hourly)",'Eplus results'!$1:$1048576,ROW(),FALSE)</f>
        <v>0</v>
      </c>
      <c r="AD6358" s="580">
        <f t="shared" si="531"/>
        <v>5</v>
      </c>
      <c r="AE6358" s="580">
        <f t="shared" si="532"/>
        <v>2.5</v>
      </c>
      <c r="AF6358" s="580">
        <f t="shared" si="533"/>
        <v>2.5</v>
      </c>
      <c r="AG6358" s="580">
        <f t="shared" si="534"/>
        <v>0</v>
      </c>
      <c r="AH6358" s="580">
        <f t="shared" si="535"/>
        <v>0</v>
      </c>
    </row>
    <row r="6359" spans="28:34">
      <c r="AB6359" s="580">
        <f>HLOOKUP("*"&amp;'Output annual'!$AC$2&amp;'Output annual'!$AD$2&amp;"*Zone People Number Of Occupants [](Hourly)",'Eplus results'!$1:$1048576,ROW(),FALSE)</f>
        <v>0</v>
      </c>
      <c r="AC6359" s="580">
        <f>HLOOKUP("*"&amp;'Output annual'!$AC$2&amp;'Output annual'!$AD$2&amp;"*FangerPMV(Hourly)",'Eplus results'!$1:$1048576,ROW(),FALSE)</f>
        <v>0</v>
      </c>
      <c r="AD6359" s="580">
        <f t="shared" si="531"/>
        <v>5</v>
      </c>
      <c r="AE6359" s="580">
        <f t="shared" si="532"/>
        <v>2.5</v>
      </c>
      <c r="AF6359" s="580">
        <f t="shared" si="533"/>
        <v>2.5</v>
      </c>
      <c r="AG6359" s="580">
        <f t="shared" si="534"/>
        <v>0</v>
      </c>
      <c r="AH6359" s="580">
        <f t="shared" si="535"/>
        <v>0</v>
      </c>
    </row>
    <row r="6360" spans="28:34">
      <c r="AB6360" s="580">
        <f>HLOOKUP("*"&amp;'Output annual'!$AC$2&amp;'Output annual'!$AD$2&amp;"*Zone People Number Of Occupants [](Hourly)",'Eplus results'!$1:$1048576,ROW(),FALSE)</f>
        <v>0</v>
      </c>
      <c r="AC6360" s="580">
        <f>HLOOKUP("*"&amp;'Output annual'!$AC$2&amp;'Output annual'!$AD$2&amp;"*FangerPMV(Hourly)",'Eplus results'!$1:$1048576,ROW(),FALSE)</f>
        <v>0</v>
      </c>
      <c r="AD6360" s="580">
        <f t="shared" si="531"/>
        <v>5</v>
      </c>
      <c r="AE6360" s="580">
        <f t="shared" si="532"/>
        <v>2.5</v>
      </c>
      <c r="AF6360" s="580">
        <f t="shared" si="533"/>
        <v>2.5</v>
      </c>
      <c r="AG6360" s="580">
        <f t="shared" si="534"/>
        <v>0</v>
      </c>
      <c r="AH6360" s="580">
        <f t="shared" si="535"/>
        <v>0</v>
      </c>
    </row>
    <row r="6361" spans="28:34">
      <c r="AB6361" s="580">
        <f>HLOOKUP("*"&amp;'Output annual'!$AC$2&amp;'Output annual'!$AD$2&amp;"*Zone People Number Of Occupants [](Hourly)",'Eplus results'!$1:$1048576,ROW(),FALSE)</f>
        <v>0</v>
      </c>
      <c r="AC6361" s="580">
        <f>HLOOKUP("*"&amp;'Output annual'!$AC$2&amp;'Output annual'!$AD$2&amp;"*FangerPMV(Hourly)",'Eplus results'!$1:$1048576,ROW(),FALSE)</f>
        <v>0</v>
      </c>
      <c r="AD6361" s="580">
        <f t="shared" si="531"/>
        <v>5</v>
      </c>
      <c r="AE6361" s="580">
        <f t="shared" si="532"/>
        <v>2.5</v>
      </c>
      <c r="AF6361" s="580">
        <f t="shared" si="533"/>
        <v>2.5</v>
      </c>
      <c r="AG6361" s="580">
        <f t="shared" si="534"/>
        <v>0</v>
      </c>
      <c r="AH6361" s="580">
        <f t="shared" si="535"/>
        <v>0</v>
      </c>
    </row>
    <row r="6362" spans="28:34">
      <c r="AB6362" s="580">
        <f>HLOOKUP("*"&amp;'Output annual'!$AC$2&amp;'Output annual'!$AD$2&amp;"*Zone People Number Of Occupants [](Hourly)",'Eplus results'!$1:$1048576,ROW(),FALSE)</f>
        <v>0</v>
      </c>
      <c r="AC6362" s="580">
        <f>HLOOKUP("*"&amp;'Output annual'!$AC$2&amp;'Output annual'!$AD$2&amp;"*FangerPMV(Hourly)",'Eplus results'!$1:$1048576,ROW(),FALSE)</f>
        <v>0</v>
      </c>
      <c r="AD6362" s="580">
        <f t="shared" si="531"/>
        <v>5</v>
      </c>
      <c r="AE6362" s="580">
        <f t="shared" si="532"/>
        <v>2.5</v>
      </c>
      <c r="AF6362" s="580">
        <f t="shared" si="533"/>
        <v>2.5</v>
      </c>
      <c r="AG6362" s="580">
        <f t="shared" si="534"/>
        <v>0</v>
      </c>
      <c r="AH6362" s="580">
        <f t="shared" si="535"/>
        <v>0</v>
      </c>
    </row>
    <row r="6363" spans="28:34">
      <c r="AB6363" s="580">
        <f>HLOOKUP("*"&amp;'Output annual'!$AC$2&amp;'Output annual'!$AD$2&amp;"*Zone People Number Of Occupants [](Hourly)",'Eplus results'!$1:$1048576,ROW(),FALSE)</f>
        <v>0</v>
      </c>
      <c r="AC6363" s="580">
        <f>HLOOKUP("*"&amp;'Output annual'!$AC$2&amp;'Output annual'!$AD$2&amp;"*FangerPMV(Hourly)",'Eplus results'!$1:$1048576,ROW(),FALSE)</f>
        <v>0</v>
      </c>
      <c r="AD6363" s="580">
        <f t="shared" si="531"/>
        <v>5</v>
      </c>
      <c r="AE6363" s="580">
        <f t="shared" si="532"/>
        <v>2.5</v>
      </c>
      <c r="AF6363" s="580">
        <f t="shared" si="533"/>
        <v>2.5</v>
      </c>
      <c r="AG6363" s="580">
        <f t="shared" si="534"/>
        <v>0</v>
      </c>
      <c r="AH6363" s="580">
        <f t="shared" si="535"/>
        <v>0</v>
      </c>
    </row>
    <row r="6364" spans="28:34">
      <c r="AB6364" s="580">
        <f>HLOOKUP("*"&amp;'Output annual'!$AC$2&amp;'Output annual'!$AD$2&amp;"*Zone People Number Of Occupants [](Hourly)",'Eplus results'!$1:$1048576,ROW(),FALSE)</f>
        <v>0</v>
      </c>
      <c r="AC6364" s="580">
        <f>HLOOKUP("*"&amp;'Output annual'!$AC$2&amp;'Output annual'!$AD$2&amp;"*FangerPMV(Hourly)",'Eplus results'!$1:$1048576,ROW(),FALSE)</f>
        <v>0</v>
      </c>
      <c r="AD6364" s="580">
        <f t="shared" si="531"/>
        <v>5</v>
      </c>
      <c r="AE6364" s="580">
        <f t="shared" si="532"/>
        <v>2.5</v>
      </c>
      <c r="AF6364" s="580">
        <f t="shared" si="533"/>
        <v>2.5</v>
      </c>
      <c r="AG6364" s="580">
        <f t="shared" si="534"/>
        <v>0</v>
      </c>
      <c r="AH6364" s="580">
        <f t="shared" si="535"/>
        <v>0</v>
      </c>
    </row>
    <row r="6365" spans="28:34">
      <c r="AB6365" s="580">
        <f>HLOOKUP("*"&amp;'Output annual'!$AC$2&amp;'Output annual'!$AD$2&amp;"*Zone People Number Of Occupants [](Hourly)",'Eplus results'!$1:$1048576,ROW(),FALSE)</f>
        <v>0</v>
      </c>
      <c r="AC6365" s="580">
        <f>HLOOKUP("*"&amp;'Output annual'!$AC$2&amp;'Output annual'!$AD$2&amp;"*FangerPMV(Hourly)",'Eplus results'!$1:$1048576,ROW(),FALSE)</f>
        <v>0</v>
      </c>
      <c r="AD6365" s="580">
        <f t="shared" si="531"/>
        <v>5</v>
      </c>
      <c r="AE6365" s="580">
        <f t="shared" si="532"/>
        <v>2.5</v>
      </c>
      <c r="AF6365" s="580">
        <f t="shared" si="533"/>
        <v>2.5</v>
      </c>
      <c r="AG6365" s="580">
        <f t="shared" si="534"/>
        <v>0</v>
      </c>
      <c r="AH6365" s="580">
        <f t="shared" si="535"/>
        <v>0</v>
      </c>
    </row>
    <row r="6366" spans="28:34">
      <c r="AB6366" s="580">
        <f>HLOOKUP("*"&amp;'Output annual'!$AC$2&amp;'Output annual'!$AD$2&amp;"*Zone People Number Of Occupants [](Hourly)",'Eplus results'!$1:$1048576,ROW(),FALSE)</f>
        <v>0</v>
      </c>
      <c r="AC6366" s="580">
        <f>HLOOKUP("*"&amp;'Output annual'!$AC$2&amp;'Output annual'!$AD$2&amp;"*FangerPMV(Hourly)",'Eplus results'!$1:$1048576,ROW(),FALSE)</f>
        <v>0</v>
      </c>
      <c r="AD6366" s="580">
        <f t="shared" si="531"/>
        <v>5</v>
      </c>
      <c r="AE6366" s="580">
        <f t="shared" si="532"/>
        <v>2.5</v>
      </c>
      <c r="AF6366" s="580">
        <f t="shared" si="533"/>
        <v>2.5</v>
      </c>
      <c r="AG6366" s="580">
        <f t="shared" si="534"/>
        <v>0</v>
      </c>
      <c r="AH6366" s="580">
        <f t="shared" si="535"/>
        <v>0</v>
      </c>
    </row>
    <row r="6367" spans="28:34">
      <c r="AB6367" s="580">
        <f>HLOOKUP("*"&amp;'Output annual'!$AC$2&amp;'Output annual'!$AD$2&amp;"*Zone People Number Of Occupants [](Hourly)",'Eplus results'!$1:$1048576,ROW(),FALSE)</f>
        <v>0</v>
      </c>
      <c r="AC6367" s="580">
        <f>HLOOKUP("*"&amp;'Output annual'!$AC$2&amp;'Output annual'!$AD$2&amp;"*FangerPMV(Hourly)",'Eplus results'!$1:$1048576,ROW(),FALSE)</f>
        <v>0</v>
      </c>
      <c r="AD6367" s="580">
        <f t="shared" si="531"/>
        <v>5</v>
      </c>
      <c r="AE6367" s="580">
        <f t="shared" si="532"/>
        <v>2.5</v>
      </c>
      <c r="AF6367" s="580">
        <f t="shared" si="533"/>
        <v>2.5</v>
      </c>
      <c r="AG6367" s="580">
        <f t="shared" si="534"/>
        <v>0</v>
      </c>
      <c r="AH6367" s="580">
        <f t="shared" si="535"/>
        <v>0</v>
      </c>
    </row>
    <row r="6368" spans="28:34">
      <c r="AB6368" s="580">
        <f>HLOOKUP("*"&amp;'Output annual'!$AC$2&amp;'Output annual'!$AD$2&amp;"*Zone People Number Of Occupants [](Hourly)",'Eplus results'!$1:$1048576,ROW(),FALSE)</f>
        <v>0</v>
      </c>
      <c r="AC6368" s="580">
        <f>HLOOKUP("*"&amp;'Output annual'!$AC$2&amp;'Output annual'!$AD$2&amp;"*FangerPMV(Hourly)",'Eplus results'!$1:$1048576,ROW(),FALSE)</f>
        <v>0</v>
      </c>
      <c r="AD6368" s="580">
        <f t="shared" si="531"/>
        <v>5</v>
      </c>
      <c r="AE6368" s="580">
        <f t="shared" si="532"/>
        <v>2.5</v>
      </c>
      <c r="AF6368" s="580">
        <f t="shared" si="533"/>
        <v>2.5</v>
      </c>
      <c r="AG6368" s="580">
        <f t="shared" si="534"/>
        <v>0</v>
      </c>
      <c r="AH6368" s="580">
        <f t="shared" si="535"/>
        <v>0</v>
      </c>
    </row>
    <row r="6369" spans="28:34">
      <c r="AB6369" s="580">
        <f>HLOOKUP("*"&amp;'Output annual'!$AC$2&amp;'Output annual'!$AD$2&amp;"*Zone People Number Of Occupants [](Hourly)",'Eplus results'!$1:$1048576,ROW(),FALSE)</f>
        <v>0</v>
      </c>
      <c r="AC6369" s="580">
        <f>HLOOKUP("*"&amp;'Output annual'!$AC$2&amp;'Output annual'!$AD$2&amp;"*FangerPMV(Hourly)",'Eplus results'!$1:$1048576,ROW(),FALSE)</f>
        <v>0</v>
      </c>
      <c r="AD6369" s="580">
        <f t="shared" si="531"/>
        <v>5</v>
      </c>
      <c r="AE6369" s="580">
        <f t="shared" si="532"/>
        <v>2.5</v>
      </c>
      <c r="AF6369" s="580">
        <f t="shared" si="533"/>
        <v>2.5</v>
      </c>
      <c r="AG6369" s="580">
        <f t="shared" si="534"/>
        <v>0</v>
      </c>
      <c r="AH6369" s="580">
        <f t="shared" si="535"/>
        <v>0</v>
      </c>
    </row>
    <row r="6370" spans="28:34">
      <c r="AB6370" s="580">
        <f>HLOOKUP("*"&amp;'Output annual'!$AC$2&amp;'Output annual'!$AD$2&amp;"*Zone People Number Of Occupants [](Hourly)",'Eplus results'!$1:$1048576,ROW(),FALSE)</f>
        <v>0</v>
      </c>
      <c r="AC6370" s="580">
        <f>HLOOKUP("*"&amp;'Output annual'!$AC$2&amp;'Output annual'!$AD$2&amp;"*FangerPMV(Hourly)",'Eplus results'!$1:$1048576,ROW(),FALSE)</f>
        <v>0</v>
      </c>
      <c r="AD6370" s="580">
        <f t="shared" si="531"/>
        <v>5</v>
      </c>
      <c r="AE6370" s="580">
        <f t="shared" si="532"/>
        <v>2.5</v>
      </c>
      <c r="AF6370" s="580">
        <f t="shared" si="533"/>
        <v>2.5</v>
      </c>
      <c r="AG6370" s="580">
        <f t="shared" si="534"/>
        <v>0</v>
      </c>
      <c r="AH6370" s="580">
        <f t="shared" si="535"/>
        <v>0</v>
      </c>
    </row>
    <row r="6371" spans="28:34">
      <c r="AB6371" s="580">
        <f>HLOOKUP("*"&amp;'Output annual'!$AC$2&amp;'Output annual'!$AD$2&amp;"*Zone People Number Of Occupants [](Hourly)",'Eplus results'!$1:$1048576,ROW(),FALSE)</f>
        <v>0</v>
      </c>
      <c r="AC6371" s="580">
        <f>HLOOKUP("*"&amp;'Output annual'!$AC$2&amp;'Output annual'!$AD$2&amp;"*FangerPMV(Hourly)",'Eplus results'!$1:$1048576,ROW(),FALSE)</f>
        <v>0</v>
      </c>
      <c r="AD6371" s="580">
        <f t="shared" si="531"/>
        <v>5</v>
      </c>
      <c r="AE6371" s="580">
        <f t="shared" si="532"/>
        <v>2.5</v>
      </c>
      <c r="AF6371" s="580">
        <f t="shared" si="533"/>
        <v>2.5</v>
      </c>
      <c r="AG6371" s="580">
        <f t="shared" si="534"/>
        <v>0</v>
      </c>
      <c r="AH6371" s="580">
        <f t="shared" si="535"/>
        <v>0</v>
      </c>
    </row>
    <row r="6372" spans="28:34">
      <c r="AB6372" s="580">
        <f>HLOOKUP("*"&amp;'Output annual'!$AC$2&amp;'Output annual'!$AD$2&amp;"*Zone People Number Of Occupants [](Hourly)",'Eplus results'!$1:$1048576,ROW(),FALSE)</f>
        <v>0</v>
      </c>
      <c r="AC6372" s="580">
        <f>HLOOKUP("*"&amp;'Output annual'!$AC$2&amp;'Output annual'!$AD$2&amp;"*FangerPMV(Hourly)",'Eplus results'!$1:$1048576,ROW(),FALSE)</f>
        <v>0</v>
      </c>
      <c r="AD6372" s="580">
        <f t="shared" si="531"/>
        <v>5</v>
      </c>
      <c r="AE6372" s="580">
        <f t="shared" si="532"/>
        <v>2.5</v>
      </c>
      <c r="AF6372" s="580">
        <f t="shared" si="533"/>
        <v>2.5</v>
      </c>
      <c r="AG6372" s="580">
        <f t="shared" si="534"/>
        <v>0</v>
      </c>
      <c r="AH6372" s="580">
        <f t="shared" si="535"/>
        <v>0</v>
      </c>
    </row>
    <row r="6373" spans="28:34">
      <c r="AB6373" s="580">
        <f>HLOOKUP("*"&amp;'Output annual'!$AC$2&amp;'Output annual'!$AD$2&amp;"*Zone People Number Of Occupants [](Hourly)",'Eplus results'!$1:$1048576,ROW(),FALSE)</f>
        <v>0</v>
      </c>
      <c r="AC6373" s="580">
        <f>HLOOKUP("*"&amp;'Output annual'!$AC$2&amp;'Output annual'!$AD$2&amp;"*FangerPMV(Hourly)",'Eplus results'!$1:$1048576,ROW(),FALSE)</f>
        <v>0</v>
      </c>
      <c r="AD6373" s="580">
        <f t="shared" si="531"/>
        <v>5</v>
      </c>
      <c r="AE6373" s="580">
        <f t="shared" si="532"/>
        <v>2.5</v>
      </c>
      <c r="AF6373" s="580">
        <f t="shared" si="533"/>
        <v>2.5</v>
      </c>
      <c r="AG6373" s="580">
        <f t="shared" si="534"/>
        <v>0</v>
      </c>
      <c r="AH6373" s="580">
        <f t="shared" si="535"/>
        <v>0</v>
      </c>
    </row>
    <row r="6374" spans="28:34">
      <c r="AB6374" s="580">
        <f>HLOOKUP("*"&amp;'Output annual'!$AC$2&amp;'Output annual'!$AD$2&amp;"*Zone People Number Of Occupants [](Hourly)",'Eplus results'!$1:$1048576,ROW(),FALSE)</f>
        <v>0</v>
      </c>
      <c r="AC6374" s="580">
        <f>HLOOKUP("*"&amp;'Output annual'!$AC$2&amp;'Output annual'!$AD$2&amp;"*FangerPMV(Hourly)",'Eplus results'!$1:$1048576,ROW(),FALSE)</f>
        <v>0</v>
      </c>
      <c r="AD6374" s="580">
        <f t="shared" si="531"/>
        <v>5</v>
      </c>
      <c r="AE6374" s="580">
        <f t="shared" si="532"/>
        <v>2.5</v>
      </c>
      <c r="AF6374" s="580">
        <f t="shared" si="533"/>
        <v>2.5</v>
      </c>
      <c r="AG6374" s="580">
        <f t="shared" si="534"/>
        <v>0</v>
      </c>
      <c r="AH6374" s="580">
        <f t="shared" si="535"/>
        <v>0</v>
      </c>
    </row>
    <row r="6375" spans="28:34">
      <c r="AB6375" s="580">
        <f>HLOOKUP("*"&amp;'Output annual'!$AC$2&amp;'Output annual'!$AD$2&amp;"*Zone People Number Of Occupants [](Hourly)",'Eplus results'!$1:$1048576,ROW(),FALSE)</f>
        <v>0</v>
      </c>
      <c r="AC6375" s="580">
        <f>HLOOKUP("*"&amp;'Output annual'!$AC$2&amp;'Output annual'!$AD$2&amp;"*FangerPMV(Hourly)",'Eplus results'!$1:$1048576,ROW(),FALSE)</f>
        <v>0</v>
      </c>
      <c r="AD6375" s="580">
        <f t="shared" si="531"/>
        <v>5</v>
      </c>
      <c r="AE6375" s="580">
        <f t="shared" si="532"/>
        <v>2.5</v>
      </c>
      <c r="AF6375" s="580">
        <f t="shared" si="533"/>
        <v>2.5</v>
      </c>
      <c r="AG6375" s="580">
        <f t="shared" si="534"/>
        <v>0</v>
      </c>
      <c r="AH6375" s="580">
        <f t="shared" si="535"/>
        <v>0</v>
      </c>
    </row>
    <row r="6376" spans="28:34">
      <c r="AB6376" s="580">
        <f>HLOOKUP("*"&amp;'Output annual'!$AC$2&amp;'Output annual'!$AD$2&amp;"*Zone People Number Of Occupants [](Hourly)",'Eplus results'!$1:$1048576,ROW(),FALSE)</f>
        <v>0</v>
      </c>
      <c r="AC6376" s="580">
        <f>HLOOKUP("*"&amp;'Output annual'!$AC$2&amp;'Output annual'!$AD$2&amp;"*FangerPMV(Hourly)",'Eplus results'!$1:$1048576,ROW(),FALSE)</f>
        <v>0</v>
      </c>
      <c r="AD6376" s="580">
        <f t="shared" si="531"/>
        <v>5</v>
      </c>
      <c r="AE6376" s="580">
        <f t="shared" si="532"/>
        <v>2.5</v>
      </c>
      <c r="AF6376" s="580">
        <f t="shared" si="533"/>
        <v>2.5</v>
      </c>
      <c r="AG6376" s="580">
        <f t="shared" si="534"/>
        <v>0</v>
      </c>
      <c r="AH6376" s="580">
        <f t="shared" si="535"/>
        <v>0</v>
      </c>
    </row>
    <row r="6377" spans="28:34">
      <c r="AB6377" s="580">
        <f>HLOOKUP("*"&amp;'Output annual'!$AC$2&amp;'Output annual'!$AD$2&amp;"*Zone People Number Of Occupants [](Hourly)",'Eplus results'!$1:$1048576,ROW(),FALSE)</f>
        <v>0</v>
      </c>
      <c r="AC6377" s="580">
        <f>HLOOKUP("*"&amp;'Output annual'!$AC$2&amp;'Output annual'!$AD$2&amp;"*FangerPMV(Hourly)",'Eplus results'!$1:$1048576,ROW(),FALSE)</f>
        <v>0</v>
      </c>
      <c r="AD6377" s="580">
        <f t="shared" si="531"/>
        <v>5</v>
      </c>
      <c r="AE6377" s="580">
        <f t="shared" si="532"/>
        <v>2.5</v>
      </c>
      <c r="AF6377" s="580">
        <f t="shared" si="533"/>
        <v>2.5</v>
      </c>
      <c r="AG6377" s="580">
        <f t="shared" si="534"/>
        <v>0</v>
      </c>
      <c r="AH6377" s="580">
        <f t="shared" si="535"/>
        <v>0</v>
      </c>
    </row>
    <row r="6378" spans="28:34">
      <c r="AB6378" s="580">
        <f>HLOOKUP("*"&amp;'Output annual'!$AC$2&amp;'Output annual'!$AD$2&amp;"*Zone People Number Of Occupants [](Hourly)",'Eplus results'!$1:$1048576,ROW(),FALSE)</f>
        <v>0</v>
      </c>
      <c r="AC6378" s="580">
        <f>HLOOKUP("*"&amp;'Output annual'!$AC$2&amp;'Output annual'!$AD$2&amp;"*FangerPMV(Hourly)",'Eplus results'!$1:$1048576,ROW(),FALSE)</f>
        <v>0</v>
      </c>
      <c r="AD6378" s="580">
        <f t="shared" si="531"/>
        <v>5</v>
      </c>
      <c r="AE6378" s="580">
        <f t="shared" si="532"/>
        <v>2.5</v>
      </c>
      <c r="AF6378" s="580">
        <f t="shared" si="533"/>
        <v>2.5</v>
      </c>
      <c r="AG6378" s="580">
        <f t="shared" si="534"/>
        <v>0</v>
      </c>
      <c r="AH6378" s="580">
        <f t="shared" si="535"/>
        <v>0</v>
      </c>
    </row>
    <row r="6379" spans="28:34">
      <c r="AB6379" s="580">
        <f>HLOOKUP("*"&amp;'Output annual'!$AC$2&amp;'Output annual'!$AD$2&amp;"*Zone People Number Of Occupants [](Hourly)",'Eplus results'!$1:$1048576,ROW(),FALSE)</f>
        <v>0</v>
      </c>
      <c r="AC6379" s="580">
        <f>HLOOKUP("*"&amp;'Output annual'!$AC$2&amp;'Output annual'!$AD$2&amp;"*FangerPMV(Hourly)",'Eplus results'!$1:$1048576,ROW(),FALSE)</f>
        <v>0</v>
      </c>
      <c r="AD6379" s="580">
        <f t="shared" si="531"/>
        <v>5</v>
      </c>
      <c r="AE6379" s="580">
        <f t="shared" si="532"/>
        <v>2.5</v>
      </c>
      <c r="AF6379" s="580">
        <f t="shared" si="533"/>
        <v>2.5</v>
      </c>
      <c r="AG6379" s="580">
        <f t="shared" si="534"/>
        <v>0</v>
      </c>
      <c r="AH6379" s="580">
        <f t="shared" si="535"/>
        <v>0</v>
      </c>
    </row>
    <row r="6380" spans="28:34">
      <c r="AB6380" s="580">
        <f>HLOOKUP("*"&amp;'Output annual'!$AC$2&amp;'Output annual'!$AD$2&amp;"*Zone People Number Of Occupants [](Hourly)",'Eplus results'!$1:$1048576,ROW(),FALSE)</f>
        <v>0</v>
      </c>
      <c r="AC6380" s="580">
        <f>HLOOKUP("*"&amp;'Output annual'!$AC$2&amp;'Output annual'!$AD$2&amp;"*FangerPMV(Hourly)",'Eplus results'!$1:$1048576,ROW(),FALSE)</f>
        <v>0</v>
      </c>
      <c r="AD6380" s="580">
        <f t="shared" si="531"/>
        <v>5</v>
      </c>
      <c r="AE6380" s="580">
        <f t="shared" si="532"/>
        <v>2.5</v>
      </c>
      <c r="AF6380" s="580">
        <f t="shared" si="533"/>
        <v>2.5</v>
      </c>
      <c r="AG6380" s="580">
        <f t="shared" si="534"/>
        <v>0</v>
      </c>
      <c r="AH6380" s="580">
        <f t="shared" si="535"/>
        <v>0</v>
      </c>
    </row>
    <row r="6381" spans="28:34">
      <c r="AB6381" s="580">
        <f>HLOOKUP("*"&amp;'Output annual'!$AC$2&amp;'Output annual'!$AD$2&amp;"*Zone People Number Of Occupants [](Hourly)",'Eplus results'!$1:$1048576,ROW(),FALSE)</f>
        <v>0</v>
      </c>
      <c r="AC6381" s="580">
        <f>HLOOKUP("*"&amp;'Output annual'!$AC$2&amp;'Output annual'!$AD$2&amp;"*FangerPMV(Hourly)",'Eplus results'!$1:$1048576,ROW(),FALSE)</f>
        <v>0</v>
      </c>
      <c r="AD6381" s="580">
        <f t="shared" si="531"/>
        <v>5</v>
      </c>
      <c r="AE6381" s="580">
        <f t="shared" si="532"/>
        <v>2.5</v>
      </c>
      <c r="AF6381" s="580">
        <f t="shared" si="533"/>
        <v>2.5</v>
      </c>
      <c r="AG6381" s="580">
        <f t="shared" si="534"/>
        <v>0</v>
      </c>
      <c r="AH6381" s="580">
        <f t="shared" si="535"/>
        <v>0</v>
      </c>
    </row>
    <row r="6382" spans="28:34">
      <c r="AB6382" s="580">
        <f>HLOOKUP("*"&amp;'Output annual'!$AC$2&amp;'Output annual'!$AD$2&amp;"*Zone People Number Of Occupants [](Hourly)",'Eplus results'!$1:$1048576,ROW(),FALSE)</f>
        <v>0</v>
      </c>
      <c r="AC6382" s="580">
        <f>HLOOKUP("*"&amp;'Output annual'!$AC$2&amp;'Output annual'!$AD$2&amp;"*FangerPMV(Hourly)",'Eplus results'!$1:$1048576,ROW(),FALSE)</f>
        <v>0</v>
      </c>
      <c r="AD6382" s="580">
        <f t="shared" si="531"/>
        <v>5</v>
      </c>
      <c r="AE6382" s="580">
        <f t="shared" si="532"/>
        <v>2.5</v>
      </c>
      <c r="AF6382" s="580">
        <f t="shared" si="533"/>
        <v>2.5</v>
      </c>
      <c r="AG6382" s="580">
        <f t="shared" si="534"/>
        <v>0</v>
      </c>
      <c r="AH6382" s="580">
        <f t="shared" si="535"/>
        <v>0</v>
      </c>
    </row>
    <row r="6383" spans="28:34">
      <c r="AB6383" s="580">
        <f>HLOOKUP("*"&amp;'Output annual'!$AC$2&amp;'Output annual'!$AD$2&amp;"*Zone People Number Of Occupants [](Hourly)",'Eplus results'!$1:$1048576,ROW(),FALSE)</f>
        <v>0</v>
      </c>
      <c r="AC6383" s="580">
        <f>HLOOKUP("*"&amp;'Output annual'!$AC$2&amp;'Output annual'!$AD$2&amp;"*FangerPMV(Hourly)",'Eplus results'!$1:$1048576,ROW(),FALSE)</f>
        <v>0</v>
      </c>
      <c r="AD6383" s="580">
        <f t="shared" si="531"/>
        <v>5</v>
      </c>
      <c r="AE6383" s="580">
        <f t="shared" si="532"/>
        <v>2.5</v>
      </c>
      <c r="AF6383" s="580">
        <f t="shared" si="533"/>
        <v>2.5</v>
      </c>
      <c r="AG6383" s="580">
        <f t="shared" si="534"/>
        <v>0</v>
      </c>
      <c r="AH6383" s="580">
        <f t="shared" si="535"/>
        <v>0</v>
      </c>
    </row>
    <row r="6384" spans="28:34">
      <c r="AB6384" s="580">
        <f>HLOOKUP("*"&amp;'Output annual'!$AC$2&amp;'Output annual'!$AD$2&amp;"*Zone People Number Of Occupants [](Hourly)",'Eplus results'!$1:$1048576,ROW(),FALSE)</f>
        <v>0</v>
      </c>
      <c r="AC6384" s="580">
        <f>HLOOKUP("*"&amp;'Output annual'!$AC$2&amp;'Output annual'!$AD$2&amp;"*FangerPMV(Hourly)",'Eplus results'!$1:$1048576,ROW(),FALSE)</f>
        <v>0</v>
      </c>
      <c r="AD6384" s="580">
        <f t="shared" si="531"/>
        <v>5</v>
      </c>
      <c r="AE6384" s="580">
        <f t="shared" si="532"/>
        <v>2.5</v>
      </c>
      <c r="AF6384" s="580">
        <f t="shared" si="533"/>
        <v>2.5</v>
      </c>
      <c r="AG6384" s="580">
        <f t="shared" si="534"/>
        <v>0</v>
      </c>
      <c r="AH6384" s="580">
        <f t="shared" si="535"/>
        <v>0</v>
      </c>
    </row>
    <row r="6385" spans="28:34">
      <c r="AB6385" s="580">
        <f>HLOOKUP("*"&amp;'Output annual'!$AC$2&amp;'Output annual'!$AD$2&amp;"*Zone People Number Of Occupants [](Hourly)",'Eplus results'!$1:$1048576,ROW(),FALSE)</f>
        <v>0</v>
      </c>
      <c r="AC6385" s="580">
        <f>HLOOKUP("*"&amp;'Output annual'!$AC$2&amp;'Output annual'!$AD$2&amp;"*FangerPMV(Hourly)",'Eplus results'!$1:$1048576,ROW(),FALSE)</f>
        <v>0</v>
      </c>
      <c r="AD6385" s="580">
        <f t="shared" si="531"/>
        <v>5</v>
      </c>
      <c r="AE6385" s="580">
        <f t="shared" si="532"/>
        <v>2.5</v>
      </c>
      <c r="AF6385" s="580">
        <f t="shared" si="533"/>
        <v>2.5</v>
      </c>
      <c r="AG6385" s="580">
        <f t="shared" si="534"/>
        <v>0</v>
      </c>
      <c r="AH6385" s="580">
        <f t="shared" si="535"/>
        <v>0</v>
      </c>
    </row>
    <row r="6386" spans="28:34">
      <c r="AB6386" s="580">
        <f>HLOOKUP("*"&amp;'Output annual'!$AC$2&amp;'Output annual'!$AD$2&amp;"*Zone People Number Of Occupants [](Hourly)",'Eplus results'!$1:$1048576,ROW(),FALSE)</f>
        <v>0</v>
      </c>
      <c r="AC6386" s="580">
        <f>HLOOKUP("*"&amp;'Output annual'!$AC$2&amp;'Output annual'!$AD$2&amp;"*FangerPMV(Hourly)",'Eplus results'!$1:$1048576,ROW(),FALSE)</f>
        <v>0</v>
      </c>
      <c r="AD6386" s="580">
        <f t="shared" si="531"/>
        <v>5</v>
      </c>
      <c r="AE6386" s="580">
        <f t="shared" si="532"/>
        <v>2.5</v>
      </c>
      <c r="AF6386" s="580">
        <f t="shared" si="533"/>
        <v>2.5</v>
      </c>
      <c r="AG6386" s="580">
        <f t="shared" si="534"/>
        <v>0</v>
      </c>
      <c r="AH6386" s="580">
        <f t="shared" si="535"/>
        <v>0</v>
      </c>
    </row>
    <row r="6387" spans="28:34">
      <c r="AB6387" s="580">
        <f>HLOOKUP("*"&amp;'Output annual'!$AC$2&amp;'Output annual'!$AD$2&amp;"*Zone People Number Of Occupants [](Hourly)",'Eplus results'!$1:$1048576,ROW(),FALSE)</f>
        <v>0</v>
      </c>
      <c r="AC6387" s="580">
        <f>HLOOKUP("*"&amp;'Output annual'!$AC$2&amp;'Output annual'!$AD$2&amp;"*FangerPMV(Hourly)",'Eplus results'!$1:$1048576,ROW(),FALSE)</f>
        <v>0</v>
      </c>
      <c r="AD6387" s="580">
        <f t="shared" si="531"/>
        <v>5</v>
      </c>
      <c r="AE6387" s="580">
        <f t="shared" si="532"/>
        <v>2.5</v>
      </c>
      <c r="AF6387" s="580">
        <f t="shared" si="533"/>
        <v>2.5</v>
      </c>
      <c r="AG6387" s="580">
        <f t="shared" si="534"/>
        <v>0</v>
      </c>
      <c r="AH6387" s="580">
        <f t="shared" si="535"/>
        <v>0</v>
      </c>
    </row>
    <row r="6388" spans="28:34">
      <c r="AB6388" s="580">
        <f>HLOOKUP("*"&amp;'Output annual'!$AC$2&amp;'Output annual'!$AD$2&amp;"*Zone People Number Of Occupants [](Hourly)",'Eplus results'!$1:$1048576,ROW(),FALSE)</f>
        <v>0</v>
      </c>
      <c r="AC6388" s="580">
        <f>HLOOKUP("*"&amp;'Output annual'!$AC$2&amp;'Output annual'!$AD$2&amp;"*FangerPMV(Hourly)",'Eplus results'!$1:$1048576,ROW(),FALSE)</f>
        <v>0</v>
      </c>
      <c r="AD6388" s="580">
        <f t="shared" si="531"/>
        <v>5</v>
      </c>
      <c r="AE6388" s="580">
        <f t="shared" si="532"/>
        <v>2.5</v>
      </c>
      <c r="AF6388" s="580">
        <f t="shared" si="533"/>
        <v>2.5</v>
      </c>
      <c r="AG6388" s="580">
        <f t="shared" si="534"/>
        <v>0</v>
      </c>
      <c r="AH6388" s="580">
        <f t="shared" si="535"/>
        <v>0</v>
      </c>
    </row>
    <row r="6389" spans="28:34">
      <c r="AB6389" s="580">
        <f>HLOOKUP("*"&amp;'Output annual'!$AC$2&amp;'Output annual'!$AD$2&amp;"*Zone People Number Of Occupants [](Hourly)",'Eplus results'!$1:$1048576,ROW(),FALSE)</f>
        <v>0</v>
      </c>
      <c r="AC6389" s="580">
        <f>HLOOKUP("*"&amp;'Output annual'!$AC$2&amp;'Output annual'!$AD$2&amp;"*FangerPMV(Hourly)",'Eplus results'!$1:$1048576,ROW(),FALSE)</f>
        <v>0</v>
      </c>
      <c r="AD6389" s="580">
        <f t="shared" si="531"/>
        <v>5</v>
      </c>
      <c r="AE6389" s="580">
        <f t="shared" si="532"/>
        <v>2.5</v>
      </c>
      <c r="AF6389" s="580">
        <f t="shared" si="533"/>
        <v>2.5</v>
      </c>
      <c r="AG6389" s="580">
        <f t="shared" si="534"/>
        <v>0</v>
      </c>
      <c r="AH6389" s="580">
        <f t="shared" si="535"/>
        <v>0</v>
      </c>
    </row>
    <row r="6390" spans="28:34">
      <c r="AB6390" s="580">
        <f>HLOOKUP("*"&amp;'Output annual'!$AC$2&amp;'Output annual'!$AD$2&amp;"*Zone People Number Of Occupants [](Hourly)",'Eplus results'!$1:$1048576,ROW(),FALSE)</f>
        <v>0</v>
      </c>
      <c r="AC6390" s="580">
        <f>HLOOKUP("*"&amp;'Output annual'!$AC$2&amp;'Output annual'!$AD$2&amp;"*FangerPMV(Hourly)",'Eplus results'!$1:$1048576,ROW(),FALSE)</f>
        <v>0</v>
      </c>
      <c r="AD6390" s="580">
        <f t="shared" si="531"/>
        <v>5</v>
      </c>
      <c r="AE6390" s="580">
        <f t="shared" si="532"/>
        <v>2.5</v>
      </c>
      <c r="AF6390" s="580">
        <f t="shared" si="533"/>
        <v>2.5</v>
      </c>
      <c r="AG6390" s="580">
        <f t="shared" si="534"/>
        <v>0</v>
      </c>
      <c r="AH6390" s="580">
        <f t="shared" si="535"/>
        <v>0</v>
      </c>
    </row>
    <row r="6391" spans="28:34">
      <c r="AB6391" s="580">
        <f>HLOOKUP("*"&amp;'Output annual'!$AC$2&amp;'Output annual'!$AD$2&amp;"*Zone People Number Of Occupants [](Hourly)",'Eplus results'!$1:$1048576,ROW(),FALSE)</f>
        <v>0</v>
      </c>
      <c r="AC6391" s="580">
        <f>HLOOKUP("*"&amp;'Output annual'!$AC$2&amp;'Output annual'!$AD$2&amp;"*FangerPMV(Hourly)",'Eplus results'!$1:$1048576,ROW(),FALSE)</f>
        <v>0</v>
      </c>
      <c r="AD6391" s="580">
        <f t="shared" si="531"/>
        <v>5</v>
      </c>
      <c r="AE6391" s="580">
        <f t="shared" si="532"/>
        <v>2.5</v>
      </c>
      <c r="AF6391" s="580">
        <f t="shared" si="533"/>
        <v>2.5</v>
      </c>
      <c r="AG6391" s="580">
        <f t="shared" si="534"/>
        <v>0</v>
      </c>
      <c r="AH6391" s="580">
        <f t="shared" si="535"/>
        <v>0</v>
      </c>
    </row>
    <row r="6392" spans="28:34">
      <c r="AB6392" s="580">
        <f>HLOOKUP("*"&amp;'Output annual'!$AC$2&amp;'Output annual'!$AD$2&amp;"*Zone People Number Of Occupants [](Hourly)",'Eplus results'!$1:$1048576,ROW(),FALSE)</f>
        <v>0</v>
      </c>
      <c r="AC6392" s="580">
        <f>HLOOKUP("*"&amp;'Output annual'!$AC$2&amp;'Output annual'!$AD$2&amp;"*FangerPMV(Hourly)",'Eplus results'!$1:$1048576,ROW(),FALSE)</f>
        <v>0</v>
      </c>
      <c r="AD6392" s="580">
        <f t="shared" si="531"/>
        <v>5</v>
      </c>
      <c r="AE6392" s="580">
        <f t="shared" si="532"/>
        <v>2.5</v>
      </c>
      <c r="AF6392" s="580">
        <f t="shared" si="533"/>
        <v>2.5</v>
      </c>
      <c r="AG6392" s="580">
        <f t="shared" si="534"/>
        <v>0</v>
      </c>
      <c r="AH6392" s="580">
        <f t="shared" si="535"/>
        <v>0</v>
      </c>
    </row>
    <row r="6393" spans="28:34">
      <c r="AB6393" s="580">
        <f>HLOOKUP("*"&amp;'Output annual'!$AC$2&amp;'Output annual'!$AD$2&amp;"*Zone People Number Of Occupants [](Hourly)",'Eplus results'!$1:$1048576,ROW(),FALSE)</f>
        <v>0</v>
      </c>
      <c r="AC6393" s="580">
        <f>HLOOKUP("*"&amp;'Output annual'!$AC$2&amp;'Output annual'!$AD$2&amp;"*FangerPMV(Hourly)",'Eplus results'!$1:$1048576,ROW(),FALSE)</f>
        <v>0</v>
      </c>
      <c r="AD6393" s="580">
        <f t="shared" si="531"/>
        <v>5</v>
      </c>
      <c r="AE6393" s="580">
        <f t="shared" si="532"/>
        <v>2.5</v>
      </c>
      <c r="AF6393" s="580">
        <f t="shared" si="533"/>
        <v>2.5</v>
      </c>
      <c r="AG6393" s="580">
        <f t="shared" si="534"/>
        <v>0</v>
      </c>
      <c r="AH6393" s="580">
        <f t="shared" si="535"/>
        <v>0</v>
      </c>
    </row>
    <row r="6394" spans="28:34">
      <c r="AB6394" s="580">
        <f>HLOOKUP("*"&amp;'Output annual'!$AC$2&amp;'Output annual'!$AD$2&amp;"*Zone People Number Of Occupants [](Hourly)",'Eplus results'!$1:$1048576,ROW(),FALSE)</f>
        <v>0</v>
      </c>
      <c r="AC6394" s="580">
        <f>HLOOKUP("*"&amp;'Output annual'!$AC$2&amp;'Output annual'!$AD$2&amp;"*FangerPMV(Hourly)",'Eplus results'!$1:$1048576,ROW(),FALSE)</f>
        <v>0</v>
      </c>
      <c r="AD6394" s="580">
        <f t="shared" si="531"/>
        <v>5</v>
      </c>
      <c r="AE6394" s="580">
        <f t="shared" si="532"/>
        <v>2.5</v>
      </c>
      <c r="AF6394" s="580">
        <f t="shared" si="533"/>
        <v>2.5</v>
      </c>
      <c r="AG6394" s="580">
        <f t="shared" si="534"/>
        <v>0</v>
      </c>
      <c r="AH6394" s="580">
        <f t="shared" si="535"/>
        <v>0</v>
      </c>
    </row>
    <row r="6395" spans="28:34">
      <c r="AB6395" s="580">
        <f>HLOOKUP("*"&amp;'Output annual'!$AC$2&amp;'Output annual'!$AD$2&amp;"*Zone People Number Of Occupants [](Hourly)",'Eplus results'!$1:$1048576,ROW(),FALSE)</f>
        <v>0</v>
      </c>
      <c r="AC6395" s="580">
        <f>HLOOKUP("*"&amp;'Output annual'!$AC$2&amp;'Output annual'!$AD$2&amp;"*FangerPMV(Hourly)",'Eplus results'!$1:$1048576,ROW(),FALSE)</f>
        <v>0</v>
      </c>
      <c r="AD6395" s="580">
        <f t="shared" si="531"/>
        <v>5</v>
      </c>
      <c r="AE6395" s="580">
        <f t="shared" si="532"/>
        <v>2.5</v>
      </c>
      <c r="AF6395" s="580">
        <f t="shared" si="533"/>
        <v>2.5</v>
      </c>
      <c r="AG6395" s="580">
        <f t="shared" si="534"/>
        <v>0</v>
      </c>
      <c r="AH6395" s="580">
        <f t="shared" si="535"/>
        <v>0</v>
      </c>
    </row>
    <row r="6396" spans="28:34">
      <c r="AB6396" s="580">
        <f>HLOOKUP("*"&amp;'Output annual'!$AC$2&amp;'Output annual'!$AD$2&amp;"*Zone People Number Of Occupants [](Hourly)",'Eplus results'!$1:$1048576,ROW(),FALSE)</f>
        <v>0</v>
      </c>
      <c r="AC6396" s="580">
        <f>HLOOKUP("*"&amp;'Output annual'!$AC$2&amp;'Output annual'!$AD$2&amp;"*FangerPMV(Hourly)",'Eplus results'!$1:$1048576,ROW(),FALSE)</f>
        <v>0</v>
      </c>
      <c r="AD6396" s="580">
        <f t="shared" si="531"/>
        <v>5</v>
      </c>
      <c r="AE6396" s="580">
        <f t="shared" si="532"/>
        <v>2.5</v>
      </c>
      <c r="AF6396" s="580">
        <f t="shared" si="533"/>
        <v>2.5</v>
      </c>
      <c r="AG6396" s="580">
        <f t="shared" si="534"/>
        <v>0</v>
      </c>
      <c r="AH6396" s="580">
        <f t="shared" si="535"/>
        <v>0</v>
      </c>
    </row>
    <row r="6397" spans="28:34">
      <c r="AB6397" s="580">
        <f>HLOOKUP("*"&amp;'Output annual'!$AC$2&amp;'Output annual'!$AD$2&amp;"*Zone People Number Of Occupants [](Hourly)",'Eplus results'!$1:$1048576,ROW(),FALSE)</f>
        <v>0</v>
      </c>
      <c r="AC6397" s="580">
        <f>HLOOKUP("*"&amp;'Output annual'!$AC$2&amp;'Output annual'!$AD$2&amp;"*FangerPMV(Hourly)",'Eplus results'!$1:$1048576,ROW(),FALSE)</f>
        <v>0</v>
      </c>
      <c r="AD6397" s="580">
        <f t="shared" si="531"/>
        <v>5</v>
      </c>
      <c r="AE6397" s="580">
        <f t="shared" si="532"/>
        <v>2.5</v>
      </c>
      <c r="AF6397" s="580">
        <f t="shared" si="533"/>
        <v>2.5</v>
      </c>
      <c r="AG6397" s="580">
        <f t="shared" si="534"/>
        <v>0</v>
      </c>
      <c r="AH6397" s="580">
        <f t="shared" si="535"/>
        <v>0</v>
      </c>
    </row>
    <row r="6398" spans="28:34">
      <c r="AB6398" s="580">
        <f>HLOOKUP("*"&amp;'Output annual'!$AC$2&amp;'Output annual'!$AD$2&amp;"*Zone People Number Of Occupants [](Hourly)",'Eplus results'!$1:$1048576,ROW(),FALSE)</f>
        <v>0</v>
      </c>
      <c r="AC6398" s="580">
        <f>HLOOKUP("*"&amp;'Output annual'!$AC$2&amp;'Output annual'!$AD$2&amp;"*FangerPMV(Hourly)",'Eplus results'!$1:$1048576,ROW(),FALSE)</f>
        <v>0</v>
      </c>
      <c r="AD6398" s="580">
        <f t="shared" si="531"/>
        <v>5</v>
      </c>
      <c r="AE6398" s="580">
        <f t="shared" si="532"/>
        <v>2.5</v>
      </c>
      <c r="AF6398" s="580">
        <f t="shared" si="533"/>
        <v>2.5</v>
      </c>
      <c r="AG6398" s="580">
        <f t="shared" si="534"/>
        <v>0</v>
      </c>
      <c r="AH6398" s="580">
        <f t="shared" si="535"/>
        <v>0</v>
      </c>
    </row>
    <row r="6399" spans="28:34">
      <c r="AB6399" s="580">
        <f>HLOOKUP("*"&amp;'Output annual'!$AC$2&amp;'Output annual'!$AD$2&amp;"*Zone People Number Of Occupants [](Hourly)",'Eplus results'!$1:$1048576,ROW(),FALSE)</f>
        <v>0</v>
      </c>
      <c r="AC6399" s="580">
        <f>HLOOKUP("*"&amp;'Output annual'!$AC$2&amp;'Output annual'!$AD$2&amp;"*FangerPMV(Hourly)",'Eplus results'!$1:$1048576,ROW(),FALSE)</f>
        <v>0</v>
      </c>
      <c r="AD6399" s="580">
        <f t="shared" si="531"/>
        <v>5</v>
      </c>
      <c r="AE6399" s="580">
        <f t="shared" si="532"/>
        <v>2.5</v>
      </c>
      <c r="AF6399" s="580">
        <f t="shared" si="533"/>
        <v>2.5</v>
      </c>
      <c r="AG6399" s="580">
        <f t="shared" si="534"/>
        <v>0</v>
      </c>
      <c r="AH6399" s="580">
        <f t="shared" si="535"/>
        <v>0</v>
      </c>
    </row>
    <row r="6400" spans="28:34">
      <c r="AB6400" s="580">
        <f>HLOOKUP("*"&amp;'Output annual'!$AC$2&amp;'Output annual'!$AD$2&amp;"*Zone People Number Of Occupants [](Hourly)",'Eplus results'!$1:$1048576,ROW(),FALSE)</f>
        <v>0</v>
      </c>
      <c r="AC6400" s="580">
        <f>HLOOKUP("*"&amp;'Output annual'!$AC$2&amp;'Output annual'!$AD$2&amp;"*FangerPMV(Hourly)",'Eplus results'!$1:$1048576,ROW(),FALSE)</f>
        <v>0</v>
      </c>
      <c r="AD6400" s="580">
        <f t="shared" si="531"/>
        <v>5</v>
      </c>
      <c r="AE6400" s="580">
        <f t="shared" si="532"/>
        <v>2.5</v>
      </c>
      <c r="AF6400" s="580">
        <f t="shared" si="533"/>
        <v>2.5</v>
      </c>
      <c r="AG6400" s="580">
        <f t="shared" si="534"/>
        <v>0</v>
      </c>
      <c r="AH6400" s="580">
        <f t="shared" si="535"/>
        <v>0</v>
      </c>
    </row>
    <row r="6401" spans="28:34">
      <c r="AB6401" s="580">
        <f>HLOOKUP("*"&amp;'Output annual'!$AC$2&amp;'Output annual'!$AD$2&amp;"*Zone People Number Of Occupants [](Hourly)",'Eplus results'!$1:$1048576,ROW(),FALSE)</f>
        <v>0</v>
      </c>
      <c r="AC6401" s="580">
        <f>HLOOKUP("*"&amp;'Output annual'!$AC$2&amp;'Output annual'!$AD$2&amp;"*FangerPMV(Hourly)",'Eplus results'!$1:$1048576,ROW(),FALSE)</f>
        <v>0</v>
      </c>
      <c r="AD6401" s="580">
        <f t="shared" si="531"/>
        <v>5</v>
      </c>
      <c r="AE6401" s="580">
        <f t="shared" si="532"/>
        <v>2.5</v>
      </c>
      <c r="AF6401" s="580">
        <f t="shared" si="533"/>
        <v>2.5</v>
      </c>
      <c r="AG6401" s="580">
        <f t="shared" si="534"/>
        <v>0</v>
      </c>
      <c r="AH6401" s="580">
        <f t="shared" si="535"/>
        <v>0</v>
      </c>
    </row>
    <row r="6402" spans="28:34">
      <c r="AB6402" s="580">
        <f>HLOOKUP("*"&amp;'Output annual'!$AC$2&amp;'Output annual'!$AD$2&amp;"*Zone People Number Of Occupants [](Hourly)",'Eplus results'!$1:$1048576,ROW(),FALSE)</f>
        <v>0</v>
      </c>
      <c r="AC6402" s="580">
        <f>HLOOKUP("*"&amp;'Output annual'!$AC$2&amp;'Output annual'!$AD$2&amp;"*FangerPMV(Hourly)",'Eplus results'!$1:$1048576,ROW(),FALSE)</f>
        <v>0</v>
      </c>
      <c r="AD6402" s="580">
        <f t="shared" si="531"/>
        <v>5</v>
      </c>
      <c r="AE6402" s="580">
        <f t="shared" si="532"/>
        <v>2.5</v>
      </c>
      <c r="AF6402" s="580">
        <f t="shared" si="533"/>
        <v>2.5</v>
      </c>
      <c r="AG6402" s="580">
        <f t="shared" si="534"/>
        <v>0</v>
      </c>
      <c r="AH6402" s="580">
        <f t="shared" si="535"/>
        <v>0</v>
      </c>
    </row>
    <row r="6403" spans="28:34">
      <c r="AB6403" s="580">
        <f>HLOOKUP("*"&amp;'Output annual'!$AC$2&amp;'Output annual'!$AD$2&amp;"*Zone People Number Of Occupants [](Hourly)",'Eplus results'!$1:$1048576,ROW(),FALSE)</f>
        <v>0</v>
      </c>
      <c r="AC6403" s="580">
        <f>HLOOKUP("*"&amp;'Output annual'!$AC$2&amp;'Output annual'!$AD$2&amp;"*FangerPMV(Hourly)",'Eplus results'!$1:$1048576,ROW(),FALSE)</f>
        <v>0</v>
      </c>
      <c r="AD6403" s="580">
        <f t="shared" ref="AD6403:AD6466" si="536">100-95*EXP(-0.03353*AC6403^4-0.2179*AC6403^2)</f>
        <v>5</v>
      </c>
      <c r="AE6403" s="580">
        <f t="shared" ref="AE6403:AE6466" si="537">AD6403*(1/(1+EXP(-6.3*$AC6403)))</f>
        <v>2.5</v>
      </c>
      <c r="AF6403" s="580">
        <f t="shared" ref="AF6403:AF6466" si="538">(AD6403-AE6403)</f>
        <v>2.5</v>
      </c>
      <c r="AG6403" s="580">
        <f t="shared" ref="AG6403:AG6466" si="539">AE6403*AB6403</f>
        <v>0</v>
      </c>
      <c r="AH6403" s="580">
        <f t="shared" ref="AH6403:AH6466" si="540">AF6403*AB6403</f>
        <v>0</v>
      </c>
    </row>
    <row r="6404" spans="28:34">
      <c r="AB6404" s="580">
        <f>HLOOKUP("*"&amp;'Output annual'!$AC$2&amp;'Output annual'!$AD$2&amp;"*Zone People Number Of Occupants [](Hourly)",'Eplus results'!$1:$1048576,ROW(),FALSE)</f>
        <v>0</v>
      </c>
      <c r="AC6404" s="580">
        <f>HLOOKUP("*"&amp;'Output annual'!$AC$2&amp;'Output annual'!$AD$2&amp;"*FangerPMV(Hourly)",'Eplus results'!$1:$1048576,ROW(),FALSE)</f>
        <v>0</v>
      </c>
      <c r="AD6404" s="580">
        <f t="shared" si="536"/>
        <v>5</v>
      </c>
      <c r="AE6404" s="580">
        <f t="shared" si="537"/>
        <v>2.5</v>
      </c>
      <c r="AF6404" s="580">
        <f t="shared" si="538"/>
        <v>2.5</v>
      </c>
      <c r="AG6404" s="580">
        <f t="shared" si="539"/>
        <v>0</v>
      </c>
      <c r="AH6404" s="580">
        <f t="shared" si="540"/>
        <v>0</v>
      </c>
    </row>
    <row r="6405" spans="28:34">
      <c r="AB6405" s="580">
        <f>HLOOKUP("*"&amp;'Output annual'!$AC$2&amp;'Output annual'!$AD$2&amp;"*Zone People Number Of Occupants [](Hourly)",'Eplus results'!$1:$1048576,ROW(),FALSE)</f>
        <v>0</v>
      </c>
      <c r="AC6405" s="580">
        <f>HLOOKUP("*"&amp;'Output annual'!$AC$2&amp;'Output annual'!$AD$2&amp;"*FangerPMV(Hourly)",'Eplus results'!$1:$1048576,ROW(),FALSE)</f>
        <v>0</v>
      </c>
      <c r="AD6405" s="580">
        <f t="shared" si="536"/>
        <v>5</v>
      </c>
      <c r="AE6405" s="580">
        <f t="shared" si="537"/>
        <v>2.5</v>
      </c>
      <c r="AF6405" s="580">
        <f t="shared" si="538"/>
        <v>2.5</v>
      </c>
      <c r="AG6405" s="580">
        <f t="shared" si="539"/>
        <v>0</v>
      </c>
      <c r="AH6405" s="580">
        <f t="shared" si="540"/>
        <v>0</v>
      </c>
    </row>
    <row r="6406" spans="28:34">
      <c r="AB6406" s="580">
        <f>HLOOKUP("*"&amp;'Output annual'!$AC$2&amp;'Output annual'!$AD$2&amp;"*Zone People Number Of Occupants [](Hourly)",'Eplus results'!$1:$1048576,ROW(),FALSE)</f>
        <v>0</v>
      </c>
      <c r="AC6406" s="580">
        <f>HLOOKUP("*"&amp;'Output annual'!$AC$2&amp;'Output annual'!$AD$2&amp;"*FangerPMV(Hourly)",'Eplus results'!$1:$1048576,ROW(),FALSE)</f>
        <v>0</v>
      </c>
      <c r="AD6406" s="580">
        <f t="shared" si="536"/>
        <v>5</v>
      </c>
      <c r="AE6406" s="580">
        <f t="shared" si="537"/>
        <v>2.5</v>
      </c>
      <c r="AF6406" s="580">
        <f t="shared" si="538"/>
        <v>2.5</v>
      </c>
      <c r="AG6406" s="580">
        <f t="shared" si="539"/>
        <v>0</v>
      </c>
      <c r="AH6406" s="580">
        <f t="shared" si="540"/>
        <v>0</v>
      </c>
    </row>
    <row r="6407" spans="28:34">
      <c r="AB6407" s="580">
        <f>HLOOKUP("*"&amp;'Output annual'!$AC$2&amp;'Output annual'!$AD$2&amp;"*Zone People Number Of Occupants [](Hourly)",'Eplus results'!$1:$1048576,ROW(),FALSE)</f>
        <v>0</v>
      </c>
      <c r="AC6407" s="580">
        <f>HLOOKUP("*"&amp;'Output annual'!$AC$2&amp;'Output annual'!$AD$2&amp;"*FangerPMV(Hourly)",'Eplus results'!$1:$1048576,ROW(),FALSE)</f>
        <v>0</v>
      </c>
      <c r="AD6407" s="580">
        <f t="shared" si="536"/>
        <v>5</v>
      </c>
      <c r="AE6407" s="580">
        <f t="shared" si="537"/>
        <v>2.5</v>
      </c>
      <c r="AF6407" s="580">
        <f t="shared" si="538"/>
        <v>2.5</v>
      </c>
      <c r="AG6407" s="580">
        <f t="shared" si="539"/>
        <v>0</v>
      </c>
      <c r="AH6407" s="580">
        <f t="shared" si="540"/>
        <v>0</v>
      </c>
    </row>
    <row r="6408" spans="28:34">
      <c r="AB6408" s="580">
        <f>HLOOKUP("*"&amp;'Output annual'!$AC$2&amp;'Output annual'!$AD$2&amp;"*Zone People Number Of Occupants [](Hourly)",'Eplus results'!$1:$1048576,ROW(),FALSE)</f>
        <v>0</v>
      </c>
      <c r="AC6408" s="580">
        <f>HLOOKUP("*"&amp;'Output annual'!$AC$2&amp;'Output annual'!$AD$2&amp;"*FangerPMV(Hourly)",'Eplus results'!$1:$1048576,ROW(),FALSE)</f>
        <v>0</v>
      </c>
      <c r="AD6408" s="580">
        <f t="shared" si="536"/>
        <v>5</v>
      </c>
      <c r="AE6408" s="580">
        <f t="shared" si="537"/>
        <v>2.5</v>
      </c>
      <c r="AF6408" s="580">
        <f t="shared" si="538"/>
        <v>2.5</v>
      </c>
      <c r="AG6408" s="580">
        <f t="shared" si="539"/>
        <v>0</v>
      </c>
      <c r="AH6408" s="580">
        <f t="shared" si="540"/>
        <v>0</v>
      </c>
    </row>
    <row r="6409" spans="28:34">
      <c r="AB6409" s="580">
        <f>HLOOKUP("*"&amp;'Output annual'!$AC$2&amp;'Output annual'!$AD$2&amp;"*Zone People Number Of Occupants [](Hourly)",'Eplus results'!$1:$1048576,ROW(),FALSE)</f>
        <v>0</v>
      </c>
      <c r="AC6409" s="580">
        <f>HLOOKUP("*"&amp;'Output annual'!$AC$2&amp;'Output annual'!$AD$2&amp;"*FangerPMV(Hourly)",'Eplus results'!$1:$1048576,ROW(),FALSE)</f>
        <v>0</v>
      </c>
      <c r="AD6409" s="580">
        <f t="shared" si="536"/>
        <v>5</v>
      </c>
      <c r="AE6409" s="580">
        <f t="shared" si="537"/>
        <v>2.5</v>
      </c>
      <c r="AF6409" s="580">
        <f t="shared" si="538"/>
        <v>2.5</v>
      </c>
      <c r="AG6409" s="580">
        <f t="shared" si="539"/>
        <v>0</v>
      </c>
      <c r="AH6409" s="580">
        <f t="shared" si="540"/>
        <v>0</v>
      </c>
    </row>
    <row r="6410" spans="28:34">
      <c r="AB6410" s="580">
        <f>HLOOKUP("*"&amp;'Output annual'!$AC$2&amp;'Output annual'!$AD$2&amp;"*Zone People Number Of Occupants [](Hourly)",'Eplus results'!$1:$1048576,ROW(),FALSE)</f>
        <v>0</v>
      </c>
      <c r="AC6410" s="580">
        <f>HLOOKUP("*"&amp;'Output annual'!$AC$2&amp;'Output annual'!$AD$2&amp;"*FangerPMV(Hourly)",'Eplus results'!$1:$1048576,ROW(),FALSE)</f>
        <v>0</v>
      </c>
      <c r="AD6410" s="580">
        <f t="shared" si="536"/>
        <v>5</v>
      </c>
      <c r="AE6410" s="580">
        <f t="shared" si="537"/>
        <v>2.5</v>
      </c>
      <c r="AF6410" s="580">
        <f t="shared" si="538"/>
        <v>2.5</v>
      </c>
      <c r="AG6410" s="580">
        <f t="shared" si="539"/>
        <v>0</v>
      </c>
      <c r="AH6410" s="580">
        <f t="shared" si="540"/>
        <v>0</v>
      </c>
    </row>
    <row r="6411" spans="28:34">
      <c r="AB6411" s="580">
        <f>HLOOKUP("*"&amp;'Output annual'!$AC$2&amp;'Output annual'!$AD$2&amp;"*Zone People Number Of Occupants [](Hourly)",'Eplus results'!$1:$1048576,ROW(),FALSE)</f>
        <v>0</v>
      </c>
      <c r="AC6411" s="580">
        <f>HLOOKUP("*"&amp;'Output annual'!$AC$2&amp;'Output annual'!$AD$2&amp;"*FangerPMV(Hourly)",'Eplus results'!$1:$1048576,ROW(),FALSE)</f>
        <v>0</v>
      </c>
      <c r="AD6411" s="580">
        <f t="shared" si="536"/>
        <v>5</v>
      </c>
      <c r="AE6411" s="580">
        <f t="shared" si="537"/>
        <v>2.5</v>
      </c>
      <c r="AF6411" s="580">
        <f t="shared" si="538"/>
        <v>2.5</v>
      </c>
      <c r="AG6411" s="580">
        <f t="shared" si="539"/>
        <v>0</v>
      </c>
      <c r="AH6411" s="580">
        <f t="shared" si="540"/>
        <v>0</v>
      </c>
    </row>
    <row r="6412" spans="28:34">
      <c r="AB6412" s="580">
        <f>HLOOKUP("*"&amp;'Output annual'!$AC$2&amp;'Output annual'!$AD$2&amp;"*Zone People Number Of Occupants [](Hourly)",'Eplus results'!$1:$1048576,ROW(),FALSE)</f>
        <v>0</v>
      </c>
      <c r="AC6412" s="580">
        <f>HLOOKUP("*"&amp;'Output annual'!$AC$2&amp;'Output annual'!$AD$2&amp;"*FangerPMV(Hourly)",'Eplus results'!$1:$1048576,ROW(),FALSE)</f>
        <v>0</v>
      </c>
      <c r="AD6412" s="580">
        <f t="shared" si="536"/>
        <v>5</v>
      </c>
      <c r="AE6412" s="580">
        <f t="shared" si="537"/>
        <v>2.5</v>
      </c>
      <c r="AF6412" s="580">
        <f t="shared" si="538"/>
        <v>2.5</v>
      </c>
      <c r="AG6412" s="580">
        <f t="shared" si="539"/>
        <v>0</v>
      </c>
      <c r="AH6412" s="580">
        <f t="shared" si="540"/>
        <v>0</v>
      </c>
    </row>
    <row r="6413" spans="28:34">
      <c r="AB6413" s="580">
        <f>HLOOKUP("*"&amp;'Output annual'!$AC$2&amp;'Output annual'!$AD$2&amp;"*Zone People Number Of Occupants [](Hourly)",'Eplus results'!$1:$1048576,ROW(),FALSE)</f>
        <v>0</v>
      </c>
      <c r="AC6413" s="580">
        <f>HLOOKUP("*"&amp;'Output annual'!$AC$2&amp;'Output annual'!$AD$2&amp;"*FangerPMV(Hourly)",'Eplus results'!$1:$1048576,ROW(),FALSE)</f>
        <v>0</v>
      </c>
      <c r="AD6413" s="580">
        <f t="shared" si="536"/>
        <v>5</v>
      </c>
      <c r="AE6413" s="580">
        <f t="shared" si="537"/>
        <v>2.5</v>
      </c>
      <c r="AF6413" s="580">
        <f t="shared" si="538"/>
        <v>2.5</v>
      </c>
      <c r="AG6413" s="580">
        <f t="shared" si="539"/>
        <v>0</v>
      </c>
      <c r="AH6413" s="580">
        <f t="shared" si="540"/>
        <v>0</v>
      </c>
    </row>
    <row r="6414" spans="28:34">
      <c r="AB6414" s="580">
        <f>HLOOKUP("*"&amp;'Output annual'!$AC$2&amp;'Output annual'!$AD$2&amp;"*Zone People Number Of Occupants [](Hourly)",'Eplus results'!$1:$1048576,ROW(),FALSE)</f>
        <v>0</v>
      </c>
      <c r="AC6414" s="580">
        <f>HLOOKUP("*"&amp;'Output annual'!$AC$2&amp;'Output annual'!$AD$2&amp;"*FangerPMV(Hourly)",'Eplus results'!$1:$1048576,ROW(),FALSE)</f>
        <v>0</v>
      </c>
      <c r="AD6414" s="580">
        <f t="shared" si="536"/>
        <v>5</v>
      </c>
      <c r="AE6414" s="580">
        <f t="shared" si="537"/>
        <v>2.5</v>
      </c>
      <c r="AF6414" s="580">
        <f t="shared" si="538"/>
        <v>2.5</v>
      </c>
      <c r="AG6414" s="580">
        <f t="shared" si="539"/>
        <v>0</v>
      </c>
      <c r="AH6414" s="580">
        <f t="shared" si="540"/>
        <v>0</v>
      </c>
    </row>
    <row r="6415" spans="28:34">
      <c r="AB6415" s="580">
        <f>HLOOKUP("*"&amp;'Output annual'!$AC$2&amp;'Output annual'!$AD$2&amp;"*Zone People Number Of Occupants [](Hourly)",'Eplus results'!$1:$1048576,ROW(),FALSE)</f>
        <v>0</v>
      </c>
      <c r="AC6415" s="580">
        <f>HLOOKUP("*"&amp;'Output annual'!$AC$2&amp;'Output annual'!$AD$2&amp;"*FangerPMV(Hourly)",'Eplus results'!$1:$1048576,ROW(),FALSE)</f>
        <v>0</v>
      </c>
      <c r="AD6415" s="580">
        <f t="shared" si="536"/>
        <v>5</v>
      </c>
      <c r="AE6415" s="580">
        <f t="shared" si="537"/>
        <v>2.5</v>
      </c>
      <c r="AF6415" s="580">
        <f t="shared" si="538"/>
        <v>2.5</v>
      </c>
      <c r="AG6415" s="580">
        <f t="shared" si="539"/>
        <v>0</v>
      </c>
      <c r="AH6415" s="580">
        <f t="shared" si="540"/>
        <v>0</v>
      </c>
    </row>
    <row r="6416" spans="28:34">
      <c r="AB6416" s="580">
        <f>HLOOKUP("*"&amp;'Output annual'!$AC$2&amp;'Output annual'!$AD$2&amp;"*Zone People Number Of Occupants [](Hourly)",'Eplus results'!$1:$1048576,ROW(),FALSE)</f>
        <v>0</v>
      </c>
      <c r="AC6416" s="580">
        <f>HLOOKUP("*"&amp;'Output annual'!$AC$2&amp;'Output annual'!$AD$2&amp;"*FangerPMV(Hourly)",'Eplus results'!$1:$1048576,ROW(),FALSE)</f>
        <v>0</v>
      </c>
      <c r="AD6416" s="580">
        <f t="shared" si="536"/>
        <v>5</v>
      </c>
      <c r="AE6416" s="580">
        <f t="shared" si="537"/>
        <v>2.5</v>
      </c>
      <c r="AF6416" s="580">
        <f t="shared" si="538"/>
        <v>2.5</v>
      </c>
      <c r="AG6416" s="580">
        <f t="shared" si="539"/>
        <v>0</v>
      </c>
      <c r="AH6416" s="580">
        <f t="shared" si="540"/>
        <v>0</v>
      </c>
    </row>
    <row r="6417" spans="28:34">
      <c r="AB6417" s="580">
        <f>HLOOKUP("*"&amp;'Output annual'!$AC$2&amp;'Output annual'!$AD$2&amp;"*Zone People Number Of Occupants [](Hourly)",'Eplus results'!$1:$1048576,ROW(),FALSE)</f>
        <v>0</v>
      </c>
      <c r="AC6417" s="580">
        <f>HLOOKUP("*"&amp;'Output annual'!$AC$2&amp;'Output annual'!$AD$2&amp;"*FangerPMV(Hourly)",'Eplus results'!$1:$1048576,ROW(),FALSE)</f>
        <v>0</v>
      </c>
      <c r="AD6417" s="580">
        <f t="shared" si="536"/>
        <v>5</v>
      </c>
      <c r="AE6417" s="580">
        <f t="shared" si="537"/>
        <v>2.5</v>
      </c>
      <c r="AF6417" s="580">
        <f t="shared" si="538"/>
        <v>2.5</v>
      </c>
      <c r="AG6417" s="580">
        <f t="shared" si="539"/>
        <v>0</v>
      </c>
      <c r="AH6417" s="580">
        <f t="shared" si="540"/>
        <v>0</v>
      </c>
    </row>
    <row r="6418" spans="28:34">
      <c r="AB6418" s="580">
        <f>HLOOKUP("*"&amp;'Output annual'!$AC$2&amp;'Output annual'!$AD$2&amp;"*Zone People Number Of Occupants [](Hourly)",'Eplus results'!$1:$1048576,ROW(),FALSE)</f>
        <v>0</v>
      </c>
      <c r="AC6418" s="580">
        <f>HLOOKUP("*"&amp;'Output annual'!$AC$2&amp;'Output annual'!$AD$2&amp;"*FangerPMV(Hourly)",'Eplus results'!$1:$1048576,ROW(),FALSE)</f>
        <v>0</v>
      </c>
      <c r="AD6418" s="580">
        <f t="shared" si="536"/>
        <v>5</v>
      </c>
      <c r="AE6418" s="580">
        <f t="shared" si="537"/>
        <v>2.5</v>
      </c>
      <c r="AF6418" s="580">
        <f t="shared" si="538"/>
        <v>2.5</v>
      </c>
      <c r="AG6418" s="580">
        <f t="shared" si="539"/>
        <v>0</v>
      </c>
      <c r="AH6418" s="580">
        <f t="shared" si="540"/>
        <v>0</v>
      </c>
    </row>
    <row r="6419" spans="28:34">
      <c r="AB6419" s="580">
        <f>HLOOKUP("*"&amp;'Output annual'!$AC$2&amp;'Output annual'!$AD$2&amp;"*Zone People Number Of Occupants [](Hourly)",'Eplus results'!$1:$1048576,ROW(),FALSE)</f>
        <v>0</v>
      </c>
      <c r="AC6419" s="580">
        <f>HLOOKUP("*"&amp;'Output annual'!$AC$2&amp;'Output annual'!$AD$2&amp;"*FangerPMV(Hourly)",'Eplus results'!$1:$1048576,ROW(),FALSE)</f>
        <v>0</v>
      </c>
      <c r="AD6419" s="580">
        <f t="shared" si="536"/>
        <v>5</v>
      </c>
      <c r="AE6419" s="580">
        <f t="shared" si="537"/>
        <v>2.5</v>
      </c>
      <c r="AF6419" s="580">
        <f t="shared" si="538"/>
        <v>2.5</v>
      </c>
      <c r="AG6419" s="580">
        <f t="shared" si="539"/>
        <v>0</v>
      </c>
      <c r="AH6419" s="580">
        <f t="shared" si="540"/>
        <v>0</v>
      </c>
    </row>
    <row r="6420" spans="28:34">
      <c r="AB6420" s="580">
        <f>HLOOKUP("*"&amp;'Output annual'!$AC$2&amp;'Output annual'!$AD$2&amp;"*Zone People Number Of Occupants [](Hourly)",'Eplus results'!$1:$1048576,ROW(),FALSE)</f>
        <v>0</v>
      </c>
      <c r="AC6420" s="580">
        <f>HLOOKUP("*"&amp;'Output annual'!$AC$2&amp;'Output annual'!$AD$2&amp;"*FangerPMV(Hourly)",'Eplus results'!$1:$1048576,ROW(),FALSE)</f>
        <v>0</v>
      </c>
      <c r="AD6420" s="580">
        <f t="shared" si="536"/>
        <v>5</v>
      </c>
      <c r="AE6420" s="580">
        <f t="shared" si="537"/>
        <v>2.5</v>
      </c>
      <c r="AF6420" s="580">
        <f t="shared" si="538"/>
        <v>2.5</v>
      </c>
      <c r="AG6420" s="580">
        <f t="shared" si="539"/>
        <v>0</v>
      </c>
      <c r="AH6420" s="580">
        <f t="shared" si="540"/>
        <v>0</v>
      </c>
    </row>
    <row r="6421" spans="28:34">
      <c r="AB6421" s="580">
        <f>HLOOKUP("*"&amp;'Output annual'!$AC$2&amp;'Output annual'!$AD$2&amp;"*Zone People Number Of Occupants [](Hourly)",'Eplus results'!$1:$1048576,ROW(),FALSE)</f>
        <v>0</v>
      </c>
      <c r="AC6421" s="580">
        <f>HLOOKUP("*"&amp;'Output annual'!$AC$2&amp;'Output annual'!$AD$2&amp;"*FangerPMV(Hourly)",'Eplus results'!$1:$1048576,ROW(),FALSE)</f>
        <v>0</v>
      </c>
      <c r="AD6421" s="580">
        <f t="shared" si="536"/>
        <v>5</v>
      </c>
      <c r="AE6421" s="580">
        <f t="shared" si="537"/>
        <v>2.5</v>
      </c>
      <c r="AF6421" s="580">
        <f t="shared" si="538"/>
        <v>2.5</v>
      </c>
      <c r="AG6421" s="580">
        <f t="shared" si="539"/>
        <v>0</v>
      </c>
      <c r="AH6421" s="580">
        <f t="shared" si="540"/>
        <v>0</v>
      </c>
    </row>
    <row r="6422" spans="28:34">
      <c r="AB6422" s="580">
        <f>HLOOKUP("*"&amp;'Output annual'!$AC$2&amp;'Output annual'!$AD$2&amp;"*Zone People Number Of Occupants [](Hourly)",'Eplus results'!$1:$1048576,ROW(),FALSE)</f>
        <v>0</v>
      </c>
      <c r="AC6422" s="580">
        <f>HLOOKUP("*"&amp;'Output annual'!$AC$2&amp;'Output annual'!$AD$2&amp;"*FangerPMV(Hourly)",'Eplus results'!$1:$1048576,ROW(),FALSE)</f>
        <v>0</v>
      </c>
      <c r="AD6422" s="580">
        <f t="shared" si="536"/>
        <v>5</v>
      </c>
      <c r="AE6422" s="580">
        <f t="shared" si="537"/>
        <v>2.5</v>
      </c>
      <c r="AF6422" s="580">
        <f t="shared" si="538"/>
        <v>2.5</v>
      </c>
      <c r="AG6422" s="580">
        <f t="shared" si="539"/>
        <v>0</v>
      </c>
      <c r="AH6422" s="580">
        <f t="shared" si="540"/>
        <v>0</v>
      </c>
    </row>
    <row r="6423" spans="28:34">
      <c r="AB6423" s="580">
        <f>HLOOKUP("*"&amp;'Output annual'!$AC$2&amp;'Output annual'!$AD$2&amp;"*Zone People Number Of Occupants [](Hourly)",'Eplus results'!$1:$1048576,ROW(),FALSE)</f>
        <v>0</v>
      </c>
      <c r="AC6423" s="580">
        <f>HLOOKUP("*"&amp;'Output annual'!$AC$2&amp;'Output annual'!$AD$2&amp;"*FangerPMV(Hourly)",'Eplus results'!$1:$1048576,ROW(),FALSE)</f>
        <v>0</v>
      </c>
      <c r="AD6423" s="580">
        <f t="shared" si="536"/>
        <v>5</v>
      </c>
      <c r="AE6423" s="580">
        <f t="shared" si="537"/>
        <v>2.5</v>
      </c>
      <c r="AF6423" s="580">
        <f t="shared" si="538"/>
        <v>2.5</v>
      </c>
      <c r="AG6423" s="580">
        <f t="shared" si="539"/>
        <v>0</v>
      </c>
      <c r="AH6423" s="580">
        <f t="shared" si="540"/>
        <v>0</v>
      </c>
    </row>
    <row r="6424" spans="28:34">
      <c r="AB6424" s="580">
        <f>HLOOKUP("*"&amp;'Output annual'!$AC$2&amp;'Output annual'!$AD$2&amp;"*Zone People Number Of Occupants [](Hourly)",'Eplus results'!$1:$1048576,ROW(),FALSE)</f>
        <v>0</v>
      </c>
      <c r="AC6424" s="580">
        <f>HLOOKUP("*"&amp;'Output annual'!$AC$2&amp;'Output annual'!$AD$2&amp;"*FangerPMV(Hourly)",'Eplus results'!$1:$1048576,ROW(),FALSE)</f>
        <v>0</v>
      </c>
      <c r="AD6424" s="580">
        <f t="shared" si="536"/>
        <v>5</v>
      </c>
      <c r="AE6424" s="580">
        <f t="shared" si="537"/>
        <v>2.5</v>
      </c>
      <c r="AF6424" s="580">
        <f t="shared" si="538"/>
        <v>2.5</v>
      </c>
      <c r="AG6424" s="580">
        <f t="shared" si="539"/>
        <v>0</v>
      </c>
      <c r="AH6424" s="580">
        <f t="shared" si="540"/>
        <v>0</v>
      </c>
    </row>
    <row r="6425" spans="28:34">
      <c r="AB6425" s="580">
        <f>HLOOKUP("*"&amp;'Output annual'!$AC$2&amp;'Output annual'!$AD$2&amp;"*Zone People Number Of Occupants [](Hourly)",'Eplus results'!$1:$1048576,ROW(),FALSE)</f>
        <v>0</v>
      </c>
      <c r="AC6425" s="580">
        <f>HLOOKUP("*"&amp;'Output annual'!$AC$2&amp;'Output annual'!$AD$2&amp;"*FangerPMV(Hourly)",'Eplus results'!$1:$1048576,ROW(),FALSE)</f>
        <v>0</v>
      </c>
      <c r="AD6425" s="580">
        <f t="shared" si="536"/>
        <v>5</v>
      </c>
      <c r="AE6425" s="580">
        <f t="shared" si="537"/>
        <v>2.5</v>
      </c>
      <c r="AF6425" s="580">
        <f t="shared" si="538"/>
        <v>2.5</v>
      </c>
      <c r="AG6425" s="580">
        <f t="shared" si="539"/>
        <v>0</v>
      </c>
      <c r="AH6425" s="580">
        <f t="shared" si="540"/>
        <v>0</v>
      </c>
    </row>
    <row r="6426" spans="28:34">
      <c r="AB6426" s="580">
        <f>HLOOKUP("*"&amp;'Output annual'!$AC$2&amp;'Output annual'!$AD$2&amp;"*Zone People Number Of Occupants [](Hourly)",'Eplus results'!$1:$1048576,ROW(),FALSE)</f>
        <v>0</v>
      </c>
      <c r="AC6426" s="580">
        <f>HLOOKUP("*"&amp;'Output annual'!$AC$2&amp;'Output annual'!$AD$2&amp;"*FangerPMV(Hourly)",'Eplus results'!$1:$1048576,ROW(),FALSE)</f>
        <v>0</v>
      </c>
      <c r="AD6426" s="580">
        <f t="shared" si="536"/>
        <v>5</v>
      </c>
      <c r="AE6426" s="580">
        <f t="shared" si="537"/>
        <v>2.5</v>
      </c>
      <c r="AF6426" s="580">
        <f t="shared" si="538"/>
        <v>2.5</v>
      </c>
      <c r="AG6426" s="580">
        <f t="shared" si="539"/>
        <v>0</v>
      </c>
      <c r="AH6426" s="580">
        <f t="shared" si="540"/>
        <v>0</v>
      </c>
    </row>
    <row r="6427" spans="28:34">
      <c r="AB6427" s="580">
        <f>HLOOKUP("*"&amp;'Output annual'!$AC$2&amp;'Output annual'!$AD$2&amp;"*Zone People Number Of Occupants [](Hourly)",'Eplus results'!$1:$1048576,ROW(),FALSE)</f>
        <v>0</v>
      </c>
      <c r="AC6427" s="580">
        <f>HLOOKUP("*"&amp;'Output annual'!$AC$2&amp;'Output annual'!$AD$2&amp;"*FangerPMV(Hourly)",'Eplus results'!$1:$1048576,ROW(),FALSE)</f>
        <v>0</v>
      </c>
      <c r="AD6427" s="580">
        <f t="shared" si="536"/>
        <v>5</v>
      </c>
      <c r="AE6427" s="580">
        <f t="shared" si="537"/>
        <v>2.5</v>
      </c>
      <c r="AF6427" s="580">
        <f t="shared" si="538"/>
        <v>2.5</v>
      </c>
      <c r="AG6427" s="580">
        <f t="shared" si="539"/>
        <v>0</v>
      </c>
      <c r="AH6427" s="580">
        <f t="shared" si="540"/>
        <v>0</v>
      </c>
    </row>
    <row r="6428" spans="28:34">
      <c r="AB6428" s="580">
        <f>HLOOKUP("*"&amp;'Output annual'!$AC$2&amp;'Output annual'!$AD$2&amp;"*Zone People Number Of Occupants [](Hourly)",'Eplus results'!$1:$1048576,ROW(),FALSE)</f>
        <v>0</v>
      </c>
      <c r="AC6428" s="580">
        <f>HLOOKUP("*"&amp;'Output annual'!$AC$2&amp;'Output annual'!$AD$2&amp;"*FangerPMV(Hourly)",'Eplus results'!$1:$1048576,ROW(),FALSE)</f>
        <v>0</v>
      </c>
      <c r="AD6428" s="580">
        <f t="shared" si="536"/>
        <v>5</v>
      </c>
      <c r="AE6428" s="580">
        <f t="shared" si="537"/>
        <v>2.5</v>
      </c>
      <c r="AF6428" s="580">
        <f t="shared" si="538"/>
        <v>2.5</v>
      </c>
      <c r="AG6428" s="580">
        <f t="shared" si="539"/>
        <v>0</v>
      </c>
      <c r="AH6428" s="580">
        <f t="shared" si="540"/>
        <v>0</v>
      </c>
    </row>
    <row r="6429" spans="28:34">
      <c r="AB6429" s="580">
        <f>HLOOKUP("*"&amp;'Output annual'!$AC$2&amp;'Output annual'!$AD$2&amp;"*Zone People Number Of Occupants [](Hourly)",'Eplus results'!$1:$1048576,ROW(),FALSE)</f>
        <v>0</v>
      </c>
      <c r="AC6429" s="580">
        <f>HLOOKUP("*"&amp;'Output annual'!$AC$2&amp;'Output annual'!$AD$2&amp;"*FangerPMV(Hourly)",'Eplus results'!$1:$1048576,ROW(),FALSE)</f>
        <v>0</v>
      </c>
      <c r="AD6429" s="580">
        <f t="shared" si="536"/>
        <v>5</v>
      </c>
      <c r="AE6429" s="580">
        <f t="shared" si="537"/>
        <v>2.5</v>
      </c>
      <c r="AF6429" s="580">
        <f t="shared" si="538"/>
        <v>2.5</v>
      </c>
      <c r="AG6429" s="580">
        <f t="shared" si="539"/>
        <v>0</v>
      </c>
      <c r="AH6429" s="580">
        <f t="shared" si="540"/>
        <v>0</v>
      </c>
    </row>
    <row r="6430" spans="28:34">
      <c r="AB6430" s="580">
        <f>HLOOKUP("*"&amp;'Output annual'!$AC$2&amp;'Output annual'!$AD$2&amp;"*Zone People Number Of Occupants [](Hourly)",'Eplus results'!$1:$1048576,ROW(),FALSE)</f>
        <v>0</v>
      </c>
      <c r="AC6430" s="580">
        <f>HLOOKUP("*"&amp;'Output annual'!$AC$2&amp;'Output annual'!$AD$2&amp;"*FangerPMV(Hourly)",'Eplus results'!$1:$1048576,ROW(),FALSE)</f>
        <v>0</v>
      </c>
      <c r="AD6430" s="580">
        <f t="shared" si="536"/>
        <v>5</v>
      </c>
      <c r="AE6430" s="580">
        <f t="shared" si="537"/>
        <v>2.5</v>
      </c>
      <c r="AF6430" s="580">
        <f t="shared" si="538"/>
        <v>2.5</v>
      </c>
      <c r="AG6430" s="580">
        <f t="shared" si="539"/>
        <v>0</v>
      </c>
      <c r="AH6430" s="580">
        <f t="shared" si="540"/>
        <v>0</v>
      </c>
    </row>
    <row r="6431" spans="28:34">
      <c r="AB6431" s="580">
        <f>HLOOKUP("*"&amp;'Output annual'!$AC$2&amp;'Output annual'!$AD$2&amp;"*Zone People Number Of Occupants [](Hourly)",'Eplus results'!$1:$1048576,ROW(),FALSE)</f>
        <v>0</v>
      </c>
      <c r="AC6431" s="580">
        <f>HLOOKUP("*"&amp;'Output annual'!$AC$2&amp;'Output annual'!$AD$2&amp;"*FangerPMV(Hourly)",'Eplus results'!$1:$1048576,ROW(),FALSE)</f>
        <v>0</v>
      </c>
      <c r="AD6431" s="580">
        <f t="shared" si="536"/>
        <v>5</v>
      </c>
      <c r="AE6431" s="580">
        <f t="shared" si="537"/>
        <v>2.5</v>
      </c>
      <c r="AF6431" s="580">
        <f t="shared" si="538"/>
        <v>2.5</v>
      </c>
      <c r="AG6431" s="580">
        <f t="shared" si="539"/>
        <v>0</v>
      </c>
      <c r="AH6431" s="580">
        <f t="shared" si="540"/>
        <v>0</v>
      </c>
    </row>
    <row r="6432" spans="28:34">
      <c r="AB6432" s="580">
        <f>HLOOKUP("*"&amp;'Output annual'!$AC$2&amp;'Output annual'!$AD$2&amp;"*Zone People Number Of Occupants [](Hourly)",'Eplus results'!$1:$1048576,ROW(),FALSE)</f>
        <v>0</v>
      </c>
      <c r="AC6432" s="580">
        <f>HLOOKUP("*"&amp;'Output annual'!$AC$2&amp;'Output annual'!$AD$2&amp;"*FangerPMV(Hourly)",'Eplus results'!$1:$1048576,ROW(),FALSE)</f>
        <v>0</v>
      </c>
      <c r="AD6432" s="580">
        <f t="shared" si="536"/>
        <v>5</v>
      </c>
      <c r="AE6432" s="580">
        <f t="shared" si="537"/>
        <v>2.5</v>
      </c>
      <c r="AF6432" s="580">
        <f t="shared" si="538"/>
        <v>2.5</v>
      </c>
      <c r="AG6432" s="580">
        <f t="shared" si="539"/>
        <v>0</v>
      </c>
      <c r="AH6432" s="580">
        <f t="shared" si="540"/>
        <v>0</v>
      </c>
    </row>
    <row r="6433" spans="28:34">
      <c r="AB6433" s="580">
        <f>HLOOKUP("*"&amp;'Output annual'!$AC$2&amp;'Output annual'!$AD$2&amp;"*Zone People Number Of Occupants [](Hourly)",'Eplus results'!$1:$1048576,ROW(),FALSE)</f>
        <v>0</v>
      </c>
      <c r="AC6433" s="580">
        <f>HLOOKUP("*"&amp;'Output annual'!$AC$2&amp;'Output annual'!$AD$2&amp;"*FangerPMV(Hourly)",'Eplus results'!$1:$1048576,ROW(),FALSE)</f>
        <v>0</v>
      </c>
      <c r="AD6433" s="580">
        <f t="shared" si="536"/>
        <v>5</v>
      </c>
      <c r="AE6433" s="580">
        <f t="shared" si="537"/>
        <v>2.5</v>
      </c>
      <c r="AF6433" s="580">
        <f t="shared" si="538"/>
        <v>2.5</v>
      </c>
      <c r="AG6433" s="580">
        <f t="shared" si="539"/>
        <v>0</v>
      </c>
      <c r="AH6433" s="580">
        <f t="shared" si="540"/>
        <v>0</v>
      </c>
    </row>
    <row r="6434" spans="28:34">
      <c r="AB6434" s="580">
        <f>HLOOKUP("*"&amp;'Output annual'!$AC$2&amp;'Output annual'!$AD$2&amp;"*Zone People Number Of Occupants [](Hourly)",'Eplus results'!$1:$1048576,ROW(),FALSE)</f>
        <v>0</v>
      </c>
      <c r="AC6434" s="580">
        <f>HLOOKUP("*"&amp;'Output annual'!$AC$2&amp;'Output annual'!$AD$2&amp;"*FangerPMV(Hourly)",'Eplus results'!$1:$1048576,ROW(),FALSE)</f>
        <v>0</v>
      </c>
      <c r="AD6434" s="580">
        <f t="shared" si="536"/>
        <v>5</v>
      </c>
      <c r="AE6434" s="580">
        <f t="shared" si="537"/>
        <v>2.5</v>
      </c>
      <c r="AF6434" s="580">
        <f t="shared" si="538"/>
        <v>2.5</v>
      </c>
      <c r="AG6434" s="580">
        <f t="shared" si="539"/>
        <v>0</v>
      </c>
      <c r="AH6434" s="580">
        <f t="shared" si="540"/>
        <v>0</v>
      </c>
    </row>
    <row r="6435" spans="28:34">
      <c r="AB6435" s="580">
        <f>HLOOKUP("*"&amp;'Output annual'!$AC$2&amp;'Output annual'!$AD$2&amp;"*Zone People Number Of Occupants [](Hourly)",'Eplus results'!$1:$1048576,ROW(),FALSE)</f>
        <v>0</v>
      </c>
      <c r="AC6435" s="580">
        <f>HLOOKUP("*"&amp;'Output annual'!$AC$2&amp;'Output annual'!$AD$2&amp;"*FangerPMV(Hourly)",'Eplus results'!$1:$1048576,ROW(),FALSE)</f>
        <v>0</v>
      </c>
      <c r="AD6435" s="580">
        <f t="shared" si="536"/>
        <v>5</v>
      </c>
      <c r="AE6435" s="580">
        <f t="shared" si="537"/>
        <v>2.5</v>
      </c>
      <c r="AF6435" s="580">
        <f t="shared" si="538"/>
        <v>2.5</v>
      </c>
      <c r="AG6435" s="580">
        <f t="shared" si="539"/>
        <v>0</v>
      </c>
      <c r="AH6435" s="580">
        <f t="shared" si="540"/>
        <v>0</v>
      </c>
    </row>
    <row r="6436" spans="28:34">
      <c r="AB6436" s="580">
        <f>HLOOKUP("*"&amp;'Output annual'!$AC$2&amp;'Output annual'!$AD$2&amp;"*Zone People Number Of Occupants [](Hourly)",'Eplus results'!$1:$1048576,ROW(),FALSE)</f>
        <v>0</v>
      </c>
      <c r="AC6436" s="580">
        <f>HLOOKUP("*"&amp;'Output annual'!$AC$2&amp;'Output annual'!$AD$2&amp;"*FangerPMV(Hourly)",'Eplus results'!$1:$1048576,ROW(),FALSE)</f>
        <v>0</v>
      </c>
      <c r="AD6436" s="580">
        <f t="shared" si="536"/>
        <v>5</v>
      </c>
      <c r="AE6436" s="580">
        <f t="shared" si="537"/>
        <v>2.5</v>
      </c>
      <c r="AF6436" s="580">
        <f t="shared" si="538"/>
        <v>2.5</v>
      </c>
      <c r="AG6436" s="580">
        <f t="shared" si="539"/>
        <v>0</v>
      </c>
      <c r="AH6436" s="580">
        <f t="shared" si="540"/>
        <v>0</v>
      </c>
    </row>
    <row r="6437" spans="28:34">
      <c r="AB6437" s="580">
        <f>HLOOKUP("*"&amp;'Output annual'!$AC$2&amp;'Output annual'!$AD$2&amp;"*Zone People Number Of Occupants [](Hourly)",'Eplus results'!$1:$1048576,ROW(),FALSE)</f>
        <v>0</v>
      </c>
      <c r="AC6437" s="580">
        <f>HLOOKUP("*"&amp;'Output annual'!$AC$2&amp;'Output annual'!$AD$2&amp;"*FangerPMV(Hourly)",'Eplus results'!$1:$1048576,ROW(),FALSE)</f>
        <v>0</v>
      </c>
      <c r="AD6437" s="580">
        <f t="shared" si="536"/>
        <v>5</v>
      </c>
      <c r="AE6437" s="580">
        <f t="shared" si="537"/>
        <v>2.5</v>
      </c>
      <c r="AF6437" s="580">
        <f t="shared" si="538"/>
        <v>2.5</v>
      </c>
      <c r="AG6437" s="580">
        <f t="shared" si="539"/>
        <v>0</v>
      </c>
      <c r="AH6437" s="580">
        <f t="shared" si="540"/>
        <v>0</v>
      </c>
    </row>
    <row r="6438" spans="28:34">
      <c r="AB6438" s="580">
        <f>HLOOKUP("*"&amp;'Output annual'!$AC$2&amp;'Output annual'!$AD$2&amp;"*Zone People Number Of Occupants [](Hourly)",'Eplus results'!$1:$1048576,ROW(),FALSE)</f>
        <v>0</v>
      </c>
      <c r="AC6438" s="580">
        <f>HLOOKUP("*"&amp;'Output annual'!$AC$2&amp;'Output annual'!$AD$2&amp;"*FangerPMV(Hourly)",'Eplus results'!$1:$1048576,ROW(),FALSE)</f>
        <v>0</v>
      </c>
      <c r="AD6438" s="580">
        <f t="shared" si="536"/>
        <v>5</v>
      </c>
      <c r="AE6438" s="580">
        <f t="shared" si="537"/>
        <v>2.5</v>
      </c>
      <c r="AF6438" s="580">
        <f t="shared" si="538"/>
        <v>2.5</v>
      </c>
      <c r="AG6438" s="580">
        <f t="shared" si="539"/>
        <v>0</v>
      </c>
      <c r="AH6438" s="580">
        <f t="shared" si="540"/>
        <v>0</v>
      </c>
    </row>
    <row r="6439" spans="28:34">
      <c r="AB6439" s="580">
        <f>HLOOKUP("*"&amp;'Output annual'!$AC$2&amp;'Output annual'!$AD$2&amp;"*Zone People Number Of Occupants [](Hourly)",'Eplus results'!$1:$1048576,ROW(),FALSE)</f>
        <v>0</v>
      </c>
      <c r="AC6439" s="580">
        <f>HLOOKUP("*"&amp;'Output annual'!$AC$2&amp;'Output annual'!$AD$2&amp;"*FangerPMV(Hourly)",'Eplus results'!$1:$1048576,ROW(),FALSE)</f>
        <v>0</v>
      </c>
      <c r="AD6439" s="580">
        <f t="shared" si="536"/>
        <v>5</v>
      </c>
      <c r="AE6439" s="580">
        <f t="shared" si="537"/>
        <v>2.5</v>
      </c>
      <c r="AF6439" s="580">
        <f t="shared" si="538"/>
        <v>2.5</v>
      </c>
      <c r="AG6439" s="580">
        <f t="shared" si="539"/>
        <v>0</v>
      </c>
      <c r="AH6439" s="580">
        <f t="shared" si="540"/>
        <v>0</v>
      </c>
    </row>
    <row r="6440" spans="28:34">
      <c r="AB6440" s="580">
        <f>HLOOKUP("*"&amp;'Output annual'!$AC$2&amp;'Output annual'!$AD$2&amp;"*Zone People Number Of Occupants [](Hourly)",'Eplus results'!$1:$1048576,ROW(),FALSE)</f>
        <v>0</v>
      </c>
      <c r="AC6440" s="580">
        <f>HLOOKUP("*"&amp;'Output annual'!$AC$2&amp;'Output annual'!$AD$2&amp;"*FangerPMV(Hourly)",'Eplus results'!$1:$1048576,ROW(),FALSE)</f>
        <v>0</v>
      </c>
      <c r="AD6440" s="580">
        <f t="shared" si="536"/>
        <v>5</v>
      </c>
      <c r="AE6440" s="580">
        <f t="shared" si="537"/>
        <v>2.5</v>
      </c>
      <c r="AF6440" s="580">
        <f t="shared" si="538"/>
        <v>2.5</v>
      </c>
      <c r="AG6440" s="580">
        <f t="shared" si="539"/>
        <v>0</v>
      </c>
      <c r="AH6440" s="580">
        <f t="shared" si="540"/>
        <v>0</v>
      </c>
    </row>
    <row r="6441" spans="28:34">
      <c r="AB6441" s="580">
        <f>HLOOKUP("*"&amp;'Output annual'!$AC$2&amp;'Output annual'!$AD$2&amp;"*Zone People Number Of Occupants [](Hourly)",'Eplus results'!$1:$1048576,ROW(),FALSE)</f>
        <v>0</v>
      </c>
      <c r="AC6441" s="580">
        <f>HLOOKUP("*"&amp;'Output annual'!$AC$2&amp;'Output annual'!$AD$2&amp;"*FangerPMV(Hourly)",'Eplus results'!$1:$1048576,ROW(),FALSE)</f>
        <v>0</v>
      </c>
      <c r="AD6441" s="580">
        <f t="shared" si="536"/>
        <v>5</v>
      </c>
      <c r="AE6441" s="580">
        <f t="shared" si="537"/>
        <v>2.5</v>
      </c>
      <c r="AF6441" s="580">
        <f t="shared" si="538"/>
        <v>2.5</v>
      </c>
      <c r="AG6441" s="580">
        <f t="shared" si="539"/>
        <v>0</v>
      </c>
      <c r="AH6441" s="580">
        <f t="shared" si="540"/>
        <v>0</v>
      </c>
    </row>
    <row r="6442" spans="28:34">
      <c r="AB6442" s="580">
        <f>HLOOKUP("*"&amp;'Output annual'!$AC$2&amp;'Output annual'!$AD$2&amp;"*Zone People Number Of Occupants [](Hourly)",'Eplus results'!$1:$1048576,ROW(),FALSE)</f>
        <v>0</v>
      </c>
      <c r="AC6442" s="580">
        <f>HLOOKUP("*"&amp;'Output annual'!$AC$2&amp;'Output annual'!$AD$2&amp;"*FangerPMV(Hourly)",'Eplus results'!$1:$1048576,ROW(),FALSE)</f>
        <v>0</v>
      </c>
      <c r="AD6442" s="580">
        <f t="shared" si="536"/>
        <v>5</v>
      </c>
      <c r="AE6442" s="580">
        <f t="shared" si="537"/>
        <v>2.5</v>
      </c>
      <c r="AF6442" s="580">
        <f t="shared" si="538"/>
        <v>2.5</v>
      </c>
      <c r="AG6442" s="580">
        <f t="shared" si="539"/>
        <v>0</v>
      </c>
      <c r="AH6442" s="580">
        <f t="shared" si="540"/>
        <v>0</v>
      </c>
    </row>
    <row r="6443" spans="28:34">
      <c r="AB6443" s="580">
        <f>HLOOKUP("*"&amp;'Output annual'!$AC$2&amp;'Output annual'!$AD$2&amp;"*Zone People Number Of Occupants [](Hourly)",'Eplus results'!$1:$1048576,ROW(),FALSE)</f>
        <v>0</v>
      </c>
      <c r="AC6443" s="580">
        <f>HLOOKUP("*"&amp;'Output annual'!$AC$2&amp;'Output annual'!$AD$2&amp;"*FangerPMV(Hourly)",'Eplus results'!$1:$1048576,ROW(),FALSE)</f>
        <v>0</v>
      </c>
      <c r="AD6443" s="580">
        <f t="shared" si="536"/>
        <v>5</v>
      </c>
      <c r="AE6443" s="580">
        <f t="shared" si="537"/>
        <v>2.5</v>
      </c>
      <c r="AF6443" s="580">
        <f t="shared" si="538"/>
        <v>2.5</v>
      </c>
      <c r="AG6443" s="580">
        <f t="shared" si="539"/>
        <v>0</v>
      </c>
      <c r="AH6443" s="580">
        <f t="shared" si="540"/>
        <v>0</v>
      </c>
    </row>
    <row r="6444" spans="28:34">
      <c r="AB6444" s="580">
        <f>HLOOKUP("*"&amp;'Output annual'!$AC$2&amp;'Output annual'!$AD$2&amp;"*Zone People Number Of Occupants [](Hourly)",'Eplus results'!$1:$1048576,ROW(),FALSE)</f>
        <v>0</v>
      </c>
      <c r="AC6444" s="580">
        <f>HLOOKUP("*"&amp;'Output annual'!$AC$2&amp;'Output annual'!$AD$2&amp;"*FangerPMV(Hourly)",'Eplus results'!$1:$1048576,ROW(),FALSE)</f>
        <v>0</v>
      </c>
      <c r="AD6444" s="580">
        <f t="shared" si="536"/>
        <v>5</v>
      </c>
      <c r="AE6444" s="580">
        <f t="shared" si="537"/>
        <v>2.5</v>
      </c>
      <c r="AF6444" s="580">
        <f t="shared" si="538"/>
        <v>2.5</v>
      </c>
      <c r="AG6444" s="580">
        <f t="shared" si="539"/>
        <v>0</v>
      </c>
      <c r="AH6444" s="580">
        <f t="shared" si="540"/>
        <v>0</v>
      </c>
    </row>
    <row r="6445" spans="28:34">
      <c r="AB6445" s="580">
        <f>HLOOKUP("*"&amp;'Output annual'!$AC$2&amp;'Output annual'!$AD$2&amp;"*Zone People Number Of Occupants [](Hourly)",'Eplus results'!$1:$1048576,ROW(),FALSE)</f>
        <v>0</v>
      </c>
      <c r="AC6445" s="580">
        <f>HLOOKUP("*"&amp;'Output annual'!$AC$2&amp;'Output annual'!$AD$2&amp;"*FangerPMV(Hourly)",'Eplus results'!$1:$1048576,ROW(),FALSE)</f>
        <v>0</v>
      </c>
      <c r="AD6445" s="580">
        <f t="shared" si="536"/>
        <v>5</v>
      </c>
      <c r="AE6445" s="580">
        <f t="shared" si="537"/>
        <v>2.5</v>
      </c>
      <c r="AF6445" s="580">
        <f t="shared" si="538"/>
        <v>2.5</v>
      </c>
      <c r="AG6445" s="580">
        <f t="shared" si="539"/>
        <v>0</v>
      </c>
      <c r="AH6445" s="580">
        <f t="shared" si="540"/>
        <v>0</v>
      </c>
    </row>
    <row r="6446" spans="28:34">
      <c r="AB6446" s="580">
        <f>HLOOKUP("*"&amp;'Output annual'!$AC$2&amp;'Output annual'!$AD$2&amp;"*Zone People Number Of Occupants [](Hourly)",'Eplus results'!$1:$1048576,ROW(),FALSE)</f>
        <v>0</v>
      </c>
      <c r="AC6446" s="580">
        <f>HLOOKUP("*"&amp;'Output annual'!$AC$2&amp;'Output annual'!$AD$2&amp;"*FangerPMV(Hourly)",'Eplus results'!$1:$1048576,ROW(),FALSE)</f>
        <v>0</v>
      </c>
      <c r="AD6446" s="580">
        <f t="shared" si="536"/>
        <v>5</v>
      </c>
      <c r="AE6446" s="580">
        <f t="shared" si="537"/>
        <v>2.5</v>
      </c>
      <c r="AF6446" s="580">
        <f t="shared" si="538"/>
        <v>2.5</v>
      </c>
      <c r="AG6446" s="580">
        <f t="shared" si="539"/>
        <v>0</v>
      </c>
      <c r="AH6446" s="580">
        <f t="shared" si="540"/>
        <v>0</v>
      </c>
    </row>
    <row r="6447" spans="28:34">
      <c r="AB6447" s="580">
        <f>HLOOKUP("*"&amp;'Output annual'!$AC$2&amp;'Output annual'!$AD$2&amp;"*Zone People Number Of Occupants [](Hourly)",'Eplus results'!$1:$1048576,ROW(),FALSE)</f>
        <v>0</v>
      </c>
      <c r="AC6447" s="580">
        <f>HLOOKUP("*"&amp;'Output annual'!$AC$2&amp;'Output annual'!$AD$2&amp;"*FangerPMV(Hourly)",'Eplus results'!$1:$1048576,ROW(),FALSE)</f>
        <v>0</v>
      </c>
      <c r="AD6447" s="580">
        <f t="shared" si="536"/>
        <v>5</v>
      </c>
      <c r="AE6447" s="580">
        <f t="shared" si="537"/>
        <v>2.5</v>
      </c>
      <c r="AF6447" s="580">
        <f t="shared" si="538"/>
        <v>2.5</v>
      </c>
      <c r="AG6447" s="580">
        <f t="shared" si="539"/>
        <v>0</v>
      </c>
      <c r="AH6447" s="580">
        <f t="shared" si="540"/>
        <v>0</v>
      </c>
    </row>
    <row r="6448" spans="28:34">
      <c r="AB6448" s="580">
        <f>HLOOKUP("*"&amp;'Output annual'!$AC$2&amp;'Output annual'!$AD$2&amp;"*Zone People Number Of Occupants [](Hourly)",'Eplus results'!$1:$1048576,ROW(),FALSE)</f>
        <v>0</v>
      </c>
      <c r="AC6448" s="580">
        <f>HLOOKUP("*"&amp;'Output annual'!$AC$2&amp;'Output annual'!$AD$2&amp;"*FangerPMV(Hourly)",'Eplus results'!$1:$1048576,ROW(),FALSE)</f>
        <v>0</v>
      </c>
      <c r="AD6448" s="580">
        <f t="shared" si="536"/>
        <v>5</v>
      </c>
      <c r="AE6448" s="580">
        <f t="shared" si="537"/>
        <v>2.5</v>
      </c>
      <c r="AF6448" s="580">
        <f t="shared" si="538"/>
        <v>2.5</v>
      </c>
      <c r="AG6448" s="580">
        <f t="shared" si="539"/>
        <v>0</v>
      </c>
      <c r="AH6448" s="580">
        <f t="shared" si="540"/>
        <v>0</v>
      </c>
    </row>
    <row r="6449" spans="28:34">
      <c r="AB6449" s="580">
        <f>HLOOKUP("*"&amp;'Output annual'!$AC$2&amp;'Output annual'!$AD$2&amp;"*Zone People Number Of Occupants [](Hourly)",'Eplus results'!$1:$1048576,ROW(),FALSE)</f>
        <v>0</v>
      </c>
      <c r="AC6449" s="580">
        <f>HLOOKUP("*"&amp;'Output annual'!$AC$2&amp;'Output annual'!$AD$2&amp;"*FangerPMV(Hourly)",'Eplus results'!$1:$1048576,ROW(),FALSE)</f>
        <v>0</v>
      </c>
      <c r="AD6449" s="580">
        <f t="shared" si="536"/>
        <v>5</v>
      </c>
      <c r="AE6449" s="580">
        <f t="shared" si="537"/>
        <v>2.5</v>
      </c>
      <c r="AF6449" s="580">
        <f t="shared" si="538"/>
        <v>2.5</v>
      </c>
      <c r="AG6449" s="580">
        <f t="shared" si="539"/>
        <v>0</v>
      </c>
      <c r="AH6449" s="580">
        <f t="shared" si="540"/>
        <v>0</v>
      </c>
    </row>
    <row r="6450" spans="28:34">
      <c r="AB6450" s="580">
        <f>HLOOKUP("*"&amp;'Output annual'!$AC$2&amp;'Output annual'!$AD$2&amp;"*Zone People Number Of Occupants [](Hourly)",'Eplus results'!$1:$1048576,ROW(),FALSE)</f>
        <v>0</v>
      </c>
      <c r="AC6450" s="580">
        <f>HLOOKUP("*"&amp;'Output annual'!$AC$2&amp;'Output annual'!$AD$2&amp;"*FangerPMV(Hourly)",'Eplus results'!$1:$1048576,ROW(),FALSE)</f>
        <v>0</v>
      </c>
      <c r="AD6450" s="580">
        <f t="shared" si="536"/>
        <v>5</v>
      </c>
      <c r="AE6450" s="580">
        <f t="shared" si="537"/>
        <v>2.5</v>
      </c>
      <c r="AF6450" s="580">
        <f t="shared" si="538"/>
        <v>2.5</v>
      </c>
      <c r="AG6450" s="580">
        <f t="shared" si="539"/>
        <v>0</v>
      </c>
      <c r="AH6450" s="580">
        <f t="shared" si="540"/>
        <v>0</v>
      </c>
    </row>
    <row r="6451" spans="28:34">
      <c r="AB6451" s="580">
        <f>HLOOKUP("*"&amp;'Output annual'!$AC$2&amp;'Output annual'!$AD$2&amp;"*Zone People Number Of Occupants [](Hourly)",'Eplus results'!$1:$1048576,ROW(),FALSE)</f>
        <v>0</v>
      </c>
      <c r="AC6451" s="580">
        <f>HLOOKUP("*"&amp;'Output annual'!$AC$2&amp;'Output annual'!$AD$2&amp;"*FangerPMV(Hourly)",'Eplus results'!$1:$1048576,ROW(),FALSE)</f>
        <v>0</v>
      </c>
      <c r="AD6451" s="580">
        <f t="shared" si="536"/>
        <v>5</v>
      </c>
      <c r="AE6451" s="580">
        <f t="shared" si="537"/>
        <v>2.5</v>
      </c>
      <c r="AF6451" s="580">
        <f t="shared" si="538"/>
        <v>2.5</v>
      </c>
      <c r="AG6451" s="580">
        <f t="shared" si="539"/>
        <v>0</v>
      </c>
      <c r="AH6451" s="580">
        <f t="shared" si="540"/>
        <v>0</v>
      </c>
    </row>
    <row r="6452" spans="28:34">
      <c r="AB6452" s="580">
        <f>HLOOKUP("*"&amp;'Output annual'!$AC$2&amp;'Output annual'!$AD$2&amp;"*Zone People Number Of Occupants [](Hourly)",'Eplus results'!$1:$1048576,ROW(),FALSE)</f>
        <v>0</v>
      </c>
      <c r="AC6452" s="580">
        <f>HLOOKUP("*"&amp;'Output annual'!$AC$2&amp;'Output annual'!$AD$2&amp;"*FangerPMV(Hourly)",'Eplus results'!$1:$1048576,ROW(),FALSE)</f>
        <v>0</v>
      </c>
      <c r="AD6452" s="580">
        <f t="shared" si="536"/>
        <v>5</v>
      </c>
      <c r="AE6452" s="580">
        <f t="shared" si="537"/>
        <v>2.5</v>
      </c>
      <c r="AF6452" s="580">
        <f t="shared" si="538"/>
        <v>2.5</v>
      </c>
      <c r="AG6452" s="580">
        <f t="shared" si="539"/>
        <v>0</v>
      </c>
      <c r="AH6452" s="580">
        <f t="shared" si="540"/>
        <v>0</v>
      </c>
    </row>
    <row r="6453" spans="28:34">
      <c r="AB6453" s="580">
        <f>HLOOKUP("*"&amp;'Output annual'!$AC$2&amp;'Output annual'!$AD$2&amp;"*Zone People Number Of Occupants [](Hourly)",'Eplus results'!$1:$1048576,ROW(),FALSE)</f>
        <v>0</v>
      </c>
      <c r="AC6453" s="580">
        <f>HLOOKUP("*"&amp;'Output annual'!$AC$2&amp;'Output annual'!$AD$2&amp;"*FangerPMV(Hourly)",'Eplus results'!$1:$1048576,ROW(),FALSE)</f>
        <v>0</v>
      </c>
      <c r="AD6453" s="580">
        <f t="shared" si="536"/>
        <v>5</v>
      </c>
      <c r="AE6453" s="580">
        <f t="shared" si="537"/>
        <v>2.5</v>
      </c>
      <c r="AF6453" s="580">
        <f t="shared" si="538"/>
        <v>2.5</v>
      </c>
      <c r="AG6453" s="580">
        <f t="shared" si="539"/>
        <v>0</v>
      </c>
      <c r="AH6453" s="580">
        <f t="shared" si="540"/>
        <v>0</v>
      </c>
    </row>
    <row r="6454" spans="28:34">
      <c r="AB6454" s="580">
        <f>HLOOKUP("*"&amp;'Output annual'!$AC$2&amp;'Output annual'!$AD$2&amp;"*Zone People Number Of Occupants [](Hourly)",'Eplus results'!$1:$1048576,ROW(),FALSE)</f>
        <v>0</v>
      </c>
      <c r="AC6454" s="580">
        <f>HLOOKUP("*"&amp;'Output annual'!$AC$2&amp;'Output annual'!$AD$2&amp;"*FangerPMV(Hourly)",'Eplus results'!$1:$1048576,ROW(),FALSE)</f>
        <v>0</v>
      </c>
      <c r="AD6454" s="580">
        <f t="shared" si="536"/>
        <v>5</v>
      </c>
      <c r="AE6454" s="580">
        <f t="shared" si="537"/>
        <v>2.5</v>
      </c>
      <c r="AF6454" s="580">
        <f t="shared" si="538"/>
        <v>2.5</v>
      </c>
      <c r="AG6454" s="580">
        <f t="shared" si="539"/>
        <v>0</v>
      </c>
      <c r="AH6454" s="580">
        <f t="shared" si="540"/>
        <v>0</v>
      </c>
    </row>
    <row r="6455" spans="28:34">
      <c r="AB6455" s="580">
        <f>HLOOKUP("*"&amp;'Output annual'!$AC$2&amp;'Output annual'!$AD$2&amp;"*Zone People Number Of Occupants [](Hourly)",'Eplus results'!$1:$1048576,ROW(),FALSE)</f>
        <v>0</v>
      </c>
      <c r="AC6455" s="580">
        <f>HLOOKUP("*"&amp;'Output annual'!$AC$2&amp;'Output annual'!$AD$2&amp;"*FangerPMV(Hourly)",'Eplus results'!$1:$1048576,ROW(),FALSE)</f>
        <v>0</v>
      </c>
      <c r="AD6455" s="580">
        <f t="shared" si="536"/>
        <v>5</v>
      </c>
      <c r="AE6455" s="580">
        <f t="shared" si="537"/>
        <v>2.5</v>
      </c>
      <c r="AF6455" s="580">
        <f t="shared" si="538"/>
        <v>2.5</v>
      </c>
      <c r="AG6455" s="580">
        <f t="shared" si="539"/>
        <v>0</v>
      </c>
      <c r="AH6455" s="580">
        <f t="shared" si="540"/>
        <v>0</v>
      </c>
    </row>
    <row r="6456" spans="28:34">
      <c r="AB6456" s="580">
        <f>HLOOKUP("*"&amp;'Output annual'!$AC$2&amp;'Output annual'!$AD$2&amp;"*Zone People Number Of Occupants [](Hourly)",'Eplus results'!$1:$1048576,ROW(),FALSE)</f>
        <v>0</v>
      </c>
      <c r="AC6456" s="580">
        <f>HLOOKUP("*"&amp;'Output annual'!$AC$2&amp;'Output annual'!$AD$2&amp;"*FangerPMV(Hourly)",'Eplus results'!$1:$1048576,ROW(),FALSE)</f>
        <v>0</v>
      </c>
      <c r="AD6456" s="580">
        <f t="shared" si="536"/>
        <v>5</v>
      </c>
      <c r="AE6456" s="580">
        <f t="shared" si="537"/>
        <v>2.5</v>
      </c>
      <c r="AF6456" s="580">
        <f t="shared" si="538"/>
        <v>2.5</v>
      </c>
      <c r="AG6456" s="580">
        <f t="shared" si="539"/>
        <v>0</v>
      </c>
      <c r="AH6456" s="580">
        <f t="shared" si="540"/>
        <v>0</v>
      </c>
    </row>
    <row r="6457" spans="28:34">
      <c r="AB6457" s="580">
        <f>HLOOKUP("*"&amp;'Output annual'!$AC$2&amp;'Output annual'!$AD$2&amp;"*Zone People Number Of Occupants [](Hourly)",'Eplus results'!$1:$1048576,ROW(),FALSE)</f>
        <v>0</v>
      </c>
      <c r="AC6457" s="580">
        <f>HLOOKUP("*"&amp;'Output annual'!$AC$2&amp;'Output annual'!$AD$2&amp;"*FangerPMV(Hourly)",'Eplus results'!$1:$1048576,ROW(),FALSE)</f>
        <v>0</v>
      </c>
      <c r="AD6457" s="580">
        <f t="shared" si="536"/>
        <v>5</v>
      </c>
      <c r="AE6457" s="580">
        <f t="shared" si="537"/>
        <v>2.5</v>
      </c>
      <c r="AF6457" s="580">
        <f t="shared" si="538"/>
        <v>2.5</v>
      </c>
      <c r="AG6457" s="580">
        <f t="shared" si="539"/>
        <v>0</v>
      </c>
      <c r="AH6457" s="580">
        <f t="shared" si="540"/>
        <v>0</v>
      </c>
    </row>
    <row r="6458" spans="28:34">
      <c r="AB6458" s="580">
        <f>HLOOKUP("*"&amp;'Output annual'!$AC$2&amp;'Output annual'!$AD$2&amp;"*Zone People Number Of Occupants [](Hourly)",'Eplus results'!$1:$1048576,ROW(),FALSE)</f>
        <v>0</v>
      </c>
      <c r="AC6458" s="580">
        <f>HLOOKUP("*"&amp;'Output annual'!$AC$2&amp;'Output annual'!$AD$2&amp;"*FangerPMV(Hourly)",'Eplus results'!$1:$1048576,ROW(),FALSE)</f>
        <v>0</v>
      </c>
      <c r="AD6458" s="580">
        <f t="shared" si="536"/>
        <v>5</v>
      </c>
      <c r="AE6458" s="580">
        <f t="shared" si="537"/>
        <v>2.5</v>
      </c>
      <c r="AF6458" s="580">
        <f t="shared" si="538"/>
        <v>2.5</v>
      </c>
      <c r="AG6458" s="580">
        <f t="shared" si="539"/>
        <v>0</v>
      </c>
      <c r="AH6458" s="580">
        <f t="shared" si="540"/>
        <v>0</v>
      </c>
    </row>
    <row r="6459" spans="28:34">
      <c r="AB6459" s="580">
        <f>HLOOKUP("*"&amp;'Output annual'!$AC$2&amp;'Output annual'!$AD$2&amp;"*Zone People Number Of Occupants [](Hourly)",'Eplus results'!$1:$1048576,ROW(),FALSE)</f>
        <v>0</v>
      </c>
      <c r="AC6459" s="580">
        <f>HLOOKUP("*"&amp;'Output annual'!$AC$2&amp;'Output annual'!$AD$2&amp;"*FangerPMV(Hourly)",'Eplus results'!$1:$1048576,ROW(),FALSE)</f>
        <v>0</v>
      </c>
      <c r="AD6459" s="580">
        <f t="shared" si="536"/>
        <v>5</v>
      </c>
      <c r="AE6459" s="580">
        <f t="shared" si="537"/>
        <v>2.5</v>
      </c>
      <c r="AF6459" s="580">
        <f t="shared" si="538"/>
        <v>2.5</v>
      </c>
      <c r="AG6459" s="580">
        <f t="shared" si="539"/>
        <v>0</v>
      </c>
      <c r="AH6459" s="580">
        <f t="shared" si="540"/>
        <v>0</v>
      </c>
    </row>
    <row r="6460" spans="28:34">
      <c r="AB6460" s="580">
        <f>HLOOKUP("*"&amp;'Output annual'!$AC$2&amp;'Output annual'!$AD$2&amp;"*Zone People Number Of Occupants [](Hourly)",'Eplus results'!$1:$1048576,ROW(),FALSE)</f>
        <v>0</v>
      </c>
      <c r="AC6460" s="580">
        <f>HLOOKUP("*"&amp;'Output annual'!$AC$2&amp;'Output annual'!$AD$2&amp;"*FangerPMV(Hourly)",'Eplus results'!$1:$1048576,ROW(),FALSE)</f>
        <v>0</v>
      </c>
      <c r="AD6460" s="580">
        <f t="shared" si="536"/>
        <v>5</v>
      </c>
      <c r="AE6460" s="580">
        <f t="shared" si="537"/>
        <v>2.5</v>
      </c>
      <c r="AF6460" s="580">
        <f t="shared" si="538"/>
        <v>2.5</v>
      </c>
      <c r="AG6460" s="580">
        <f t="shared" si="539"/>
        <v>0</v>
      </c>
      <c r="AH6460" s="580">
        <f t="shared" si="540"/>
        <v>0</v>
      </c>
    </row>
    <row r="6461" spans="28:34">
      <c r="AB6461" s="580">
        <f>HLOOKUP("*"&amp;'Output annual'!$AC$2&amp;'Output annual'!$AD$2&amp;"*Zone People Number Of Occupants [](Hourly)",'Eplus results'!$1:$1048576,ROW(),FALSE)</f>
        <v>0</v>
      </c>
      <c r="AC6461" s="580">
        <f>HLOOKUP("*"&amp;'Output annual'!$AC$2&amp;'Output annual'!$AD$2&amp;"*FangerPMV(Hourly)",'Eplus results'!$1:$1048576,ROW(),FALSE)</f>
        <v>0</v>
      </c>
      <c r="AD6461" s="580">
        <f t="shared" si="536"/>
        <v>5</v>
      </c>
      <c r="AE6461" s="580">
        <f t="shared" si="537"/>
        <v>2.5</v>
      </c>
      <c r="AF6461" s="580">
        <f t="shared" si="538"/>
        <v>2.5</v>
      </c>
      <c r="AG6461" s="580">
        <f t="shared" si="539"/>
        <v>0</v>
      </c>
      <c r="AH6461" s="580">
        <f t="shared" si="540"/>
        <v>0</v>
      </c>
    </row>
    <row r="6462" spans="28:34">
      <c r="AB6462" s="580">
        <f>HLOOKUP("*"&amp;'Output annual'!$AC$2&amp;'Output annual'!$AD$2&amp;"*Zone People Number Of Occupants [](Hourly)",'Eplus results'!$1:$1048576,ROW(),FALSE)</f>
        <v>0</v>
      </c>
      <c r="AC6462" s="580">
        <f>HLOOKUP("*"&amp;'Output annual'!$AC$2&amp;'Output annual'!$AD$2&amp;"*FangerPMV(Hourly)",'Eplus results'!$1:$1048576,ROW(),FALSE)</f>
        <v>0</v>
      </c>
      <c r="AD6462" s="580">
        <f t="shared" si="536"/>
        <v>5</v>
      </c>
      <c r="AE6462" s="580">
        <f t="shared" si="537"/>
        <v>2.5</v>
      </c>
      <c r="AF6462" s="580">
        <f t="shared" si="538"/>
        <v>2.5</v>
      </c>
      <c r="AG6462" s="580">
        <f t="shared" si="539"/>
        <v>0</v>
      </c>
      <c r="AH6462" s="580">
        <f t="shared" si="540"/>
        <v>0</v>
      </c>
    </row>
    <row r="6463" spans="28:34">
      <c r="AB6463" s="580">
        <f>HLOOKUP("*"&amp;'Output annual'!$AC$2&amp;'Output annual'!$AD$2&amp;"*Zone People Number Of Occupants [](Hourly)",'Eplus results'!$1:$1048576,ROW(),FALSE)</f>
        <v>0</v>
      </c>
      <c r="AC6463" s="580">
        <f>HLOOKUP("*"&amp;'Output annual'!$AC$2&amp;'Output annual'!$AD$2&amp;"*FangerPMV(Hourly)",'Eplus results'!$1:$1048576,ROW(),FALSE)</f>
        <v>0</v>
      </c>
      <c r="AD6463" s="580">
        <f t="shared" si="536"/>
        <v>5</v>
      </c>
      <c r="AE6463" s="580">
        <f t="shared" si="537"/>
        <v>2.5</v>
      </c>
      <c r="AF6463" s="580">
        <f t="shared" si="538"/>
        <v>2.5</v>
      </c>
      <c r="AG6463" s="580">
        <f t="shared" si="539"/>
        <v>0</v>
      </c>
      <c r="AH6463" s="580">
        <f t="shared" si="540"/>
        <v>0</v>
      </c>
    </row>
    <row r="6464" spans="28:34">
      <c r="AB6464" s="580">
        <f>HLOOKUP("*"&amp;'Output annual'!$AC$2&amp;'Output annual'!$AD$2&amp;"*Zone People Number Of Occupants [](Hourly)",'Eplus results'!$1:$1048576,ROW(),FALSE)</f>
        <v>0</v>
      </c>
      <c r="AC6464" s="580">
        <f>HLOOKUP("*"&amp;'Output annual'!$AC$2&amp;'Output annual'!$AD$2&amp;"*FangerPMV(Hourly)",'Eplus results'!$1:$1048576,ROW(),FALSE)</f>
        <v>0</v>
      </c>
      <c r="AD6464" s="580">
        <f t="shared" si="536"/>
        <v>5</v>
      </c>
      <c r="AE6464" s="580">
        <f t="shared" si="537"/>
        <v>2.5</v>
      </c>
      <c r="AF6464" s="580">
        <f t="shared" si="538"/>
        <v>2.5</v>
      </c>
      <c r="AG6464" s="580">
        <f t="shared" si="539"/>
        <v>0</v>
      </c>
      <c r="AH6464" s="580">
        <f t="shared" si="540"/>
        <v>0</v>
      </c>
    </row>
    <row r="6465" spans="28:34">
      <c r="AB6465" s="580">
        <f>HLOOKUP("*"&amp;'Output annual'!$AC$2&amp;'Output annual'!$AD$2&amp;"*Zone People Number Of Occupants [](Hourly)",'Eplus results'!$1:$1048576,ROW(),FALSE)</f>
        <v>0</v>
      </c>
      <c r="AC6465" s="580">
        <f>HLOOKUP("*"&amp;'Output annual'!$AC$2&amp;'Output annual'!$AD$2&amp;"*FangerPMV(Hourly)",'Eplus results'!$1:$1048576,ROW(),FALSE)</f>
        <v>0</v>
      </c>
      <c r="AD6465" s="580">
        <f t="shared" si="536"/>
        <v>5</v>
      </c>
      <c r="AE6465" s="580">
        <f t="shared" si="537"/>
        <v>2.5</v>
      </c>
      <c r="AF6465" s="580">
        <f t="shared" si="538"/>
        <v>2.5</v>
      </c>
      <c r="AG6465" s="580">
        <f t="shared" si="539"/>
        <v>0</v>
      </c>
      <c r="AH6465" s="580">
        <f t="shared" si="540"/>
        <v>0</v>
      </c>
    </row>
    <row r="6466" spans="28:34">
      <c r="AB6466" s="580">
        <f>HLOOKUP("*"&amp;'Output annual'!$AC$2&amp;'Output annual'!$AD$2&amp;"*Zone People Number Of Occupants [](Hourly)",'Eplus results'!$1:$1048576,ROW(),FALSE)</f>
        <v>0</v>
      </c>
      <c r="AC6466" s="580">
        <f>HLOOKUP("*"&amp;'Output annual'!$AC$2&amp;'Output annual'!$AD$2&amp;"*FangerPMV(Hourly)",'Eplus results'!$1:$1048576,ROW(),FALSE)</f>
        <v>0</v>
      </c>
      <c r="AD6466" s="580">
        <f t="shared" si="536"/>
        <v>5</v>
      </c>
      <c r="AE6466" s="580">
        <f t="shared" si="537"/>
        <v>2.5</v>
      </c>
      <c r="AF6466" s="580">
        <f t="shared" si="538"/>
        <v>2.5</v>
      </c>
      <c r="AG6466" s="580">
        <f t="shared" si="539"/>
        <v>0</v>
      </c>
      <c r="AH6466" s="580">
        <f t="shared" si="540"/>
        <v>0</v>
      </c>
    </row>
    <row r="6467" spans="28:34">
      <c r="AB6467" s="580">
        <f>HLOOKUP("*"&amp;'Output annual'!$AC$2&amp;'Output annual'!$AD$2&amp;"*Zone People Number Of Occupants [](Hourly)",'Eplus results'!$1:$1048576,ROW(),FALSE)</f>
        <v>0</v>
      </c>
      <c r="AC6467" s="580">
        <f>HLOOKUP("*"&amp;'Output annual'!$AC$2&amp;'Output annual'!$AD$2&amp;"*FangerPMV(Hourly)",'Eplus results'!$1:$1048576,ROW(),FALSE)</f>
        <v>0</v>
      </c>
      <c r="AD6467" s="580">
        <f t="shared" ref="AD6467:AD6530" si="541">100-95*EXP(-0.03353*AC6467^4-0.2179*AC6467^2)</f>
        <v>5</v>
      </c>
      <c r="AE6467" s="580">
        <f t="shared" ref="AE6467:AE6530" si="542">AD6467*(1/(1+EXP(-6.3*$AC6467)))</f>
        <v>2.5</v>
      </c>
      <c r="AF6467" s="580">
        <f t="shared" ref="AF6467:AF6530" si="543">(AD6467-AE6467)</f>
        <v>2.5</v>
      </c>
      <c r="AG6467" s="580">
        <f t="shared" ref="AG6467:AG6530" si="544">AE6467*AB6467</f>
        <v>0</v>
      </c>
      <c r="AH6467" s="580">
        <f t="shared" ref="AH6467:AH6530" si="545">AF6467*AB6467</f>
        <v>0</v>
      </c>
    </row>
    <row r="6468" spans="28:34">
      <c r="AB6468" s="580">
        <f>HLOOKUP("*"&amp;'Output annual'!$AC$2&amp;'Output annual'!$AD$2&amp;"*Zone People Number Of Occupants [](Hourly)",'Eplus results'!$1:$1048576,ROW(),FALSE)</f>
        <v>0</v>
      </c>
      <c r="AC6468" s="580">
        <f>HLOOKUP("*"&amp;'Output annual'!$AC$2&amp;'Output annual'!$AD$2&amp;"*FangerPMV(Hourly)",'Eplus results'!$1:$1048576,ROW(),FALSE)</f>
        <v>0</v>
      </c>
      <c r="AD6468" s="580">
        <f t="shared" si="541"/>
        <v>5</v>
      </c>
      <c r="AE6468" s="580">
        <f t="shared" si="542"/>
        <v>2.5</v>
      </c>
      <c r="AF6468" s="580">
        <f t="shared" si="543"/>
        <v>2.5</v>
      </c>
      <c r="AG6468" s="580">
        <f t="shared" si="544"/>
        <v>0</v>
      </c>
      <c r="AH6468" s="580">
        <f t="shared" si="545"/>
        <v>0</v>
      </c>
    </row>
    <row r="6469" spans="28:34">
      <c r="AB6469" s="580">
        <f>HLOOKUP("*"&amp;'Output annual'!$AC$2&amp;'Output annual'!$AD$2&amp;"*Zone People Number Of Occupants [](Hourly)",'Eplus results'!$1:$1048576,ROW(),FALSE)</f>
        <v>0</v>
      </c>
      <c r="AC6469" s="580">
        <f>HLOOKUP("*"&amp;'Output annual'!$AC$2&amp;'Output annual'!$AD$2&amp;"*FangerPMV(Hourly)",'Eplus results'!$1:$1048576,ROW(),FALSE)</f>
        <v>0</v>
      </c>
      <c r="AD6469" s="580">
        <f t="shared" si="541"/>
        <v>5</v>
      </c>
      <c r="AE6469" s="580">
        <f t="shared" si="542"/>
        <v>2.5</v>
      </c>
      <c r="AF6469" s="580">
        <f t="shared" si="543"/>
        <v>2.5</v>
      </c>
      <c r="AG6469" s="580">
        <f t="shared" si="544"/>
        <v>0</v>
      </c>
      <c r="AH6469" s="580">
        <f t="shared" si="545"/>
        <v>0</v>
      </c>
    </row>
    <row r="6470" spans="28:34">
      <c r="AB6470" s="580">
        <f>HLOOKUP("*"&amp;'Output annual'!$AC$2&amp;'Output annual'!$AD$2&amp;"*Zone People Number Of Occupants [](Hourly)",'Eplus results'!$1:$1048576,ROW(),FALSE)</f>
        <v>0</v>
      </c>
      <c r="AC6470" s="580">
        <f>HLOOKUP("*"&amp;'Output annual'!$AC$2&amp;'Output annual'!$AD$2&amp;"*FangerPMV(Hourly)",'Eplus results'!$1:$1048576,ROW(),FALSE)</f>
        <v>0</v>
      </c>
      <c r="AD6470" s="580">
        <f t="shared" si="541"/>
        <v>5</v>
      </c>
      <c r="AE6470" s="580">
        <f t="shared" si="542"/>
        <v>2.5</v>
      </c>
      <c r="AF6470" s="580">
        <f t="shared" si="543"/>
        <v>2.5</v>
      </c>
      <c r="AG6470" s="580">
        <f t="shared" si="544"/>
        <v>0</v>
      </c>
      <c r="AH6470" s="580">
        <f t="shared" si="545"/>
        <v>0</v>
      </c>
    </row>
    <row r="6471" spans="28:34">
      <c r="AB6471" s="580">
        <f>HLOOKUP("*"&amp;'Output annual'!$AC$2&amp;'Output annual'!$AD$2&amp;"*Zone People Number Of Occupants [](Hourly)",'Eplus results'!$1:$1048576,ROW(),FALSE)</f>
        <v>0</v>
      </c>
      <c r="AC6471" s="580">
        <f>HLOOKUP("*"&amp;'Output annual'!$AC$2&amp;'Output annual'!$AD$2&amp;"*FangerPMV(Hourly)",'Eplus results'!$1:$1048576,ROW(),FALSE)</f>
        <v>0</v>
      </c>
      <c r="AD6471" s="580">
        <f t="shared" si="541"/>
        <v>5</v>
      </c>
      <c r="AE6471" s="580">
        <f t="shared" si="542"/>
        <v>2.5</v>
      </c>
      <c r="AF6471" s="580">
        <f t="shared" si="543"/>
        <v>2.5</v>
      </c>
      <c r="AG6471" s="580">
        <f t="shared" si="544"/>
        <v>0</v>
      </c>
      <c r="AH6471" s="580">
        <f t="shared" si="545"/>
        <v>0</v>
      </c>
    </row>
    <row r="6472" spans="28:34">
      <c r="AB6472" s="580">
        <f>HLOOKUP("*"&amp;'Output annual'!$AC$2&amp;'Output annual'!$AD$2&amp;"*Zone People Number Of Occupants [](Hourly)",'Eplus results'!$1:$1048576,ROW(),FALSE)</f>
        <v>0</v>
      </c>
      <c r="AC6472" s="580">
        <f>HLOOKUP("*"&amp;'Output annual'!$AC$2&amp;'Output annual'!$AD$2&amp;"*FangerPMV(Hourly)",'Eplus results'!$1:$1048576,ROW(),FALSE)</f>
        <v>0</v>
      </c>
      <c r="AD6472" s="580">
        <f t="shared" si="541"/>
        <v>5</v>
      </c>
      <c r="AE6472" s="580">
        <f t="shared" si="542"/>
        <v>2.5</v>
      </c>
      <c r="AF6472" s="580">
        <f t="shared" si="543"/>
        <v>2.5</v>
      </c>
      <c r="AG6472" s="580">
        <f t="shared" si="544"/>
        <v>0</v>
      </c>
      <c r="AH6472" s="580">
        <f t="shared" si="545"/>
        <v>0</v>
      </c>
    </row>
    <row r="6473" spans="28:34">
      <c r="AB6473" s="580">
        <f>HLOOKUP("*"&amp;'Output annual'!$AC$2&amp;'Output annual'!$AD$2&amp;"*Zone People Number Of Occupants [](Hourly)",'Eplus results'!$1:$1048576,ROW(),FALSE)</f>
        <v>0</v>
      </c>
      <c r="AC6473" s="580">
        <f>HLOOKUP("*"&amp;'Output annual'!$AC$2&amp;'Output annual'!$AD$2&amp;"*FangerPMV(Hourly)",'Eplus results'!$1:$1048576,ROW(),FALSE)</f>
        <v>0</v>
      </c>
      <c r="AD6473" s="580">
        <f t="shared" si="541"/>
        <v>5</v>
      </c>
      <c r="AE6473" s="580">
        <f t="shared" si="542"/>
        <v>2.5</v>
      </c>
      <c r="AF6473" s="580">
        <f t="shared" si="543"/>
        <v>2.5</v>
      </c>
      <c r="AG6473" s="580">
        <f t="shared" si="544"/>
        <v>0</v>
      </c>
      <c r="AH6473" s="580">
        <f t="shared" si="545"/>
        <v>0</v>
      </c>
    </row>
    <row r="6474" spans="28:34">
      <c r="AB6474" s="580">
        <f>HLOOKUP("*"&amp;'Output annual'!$AC$2&amp;'Output annual'!$AD$2&amp;"*Zone People Number Of Occupants [](Hourly)",'Eplus results'!$1:$1048576,ROW(),FALSE)</f>
        <v>0</v>
      </c>
      <c r="AC6474" s="580">
        <f>HLOOKUP("*"&amp;'Output annual'!$AC$2&amp;'Output annual'!$AD$2&amp;"*FangerPMV(Hourly)",'Eplus results'!$1:$1048576,ROW(),FALSE)</f>
        <v>0</v>
      </c>
      <c r="AD6474" s="580">
        <f t="shared" si="541"/>
        <v>5</v>
      </c>
      <c r="AE6474" s="580">
        <f t="shared" si="542"/>
        <v>2.5</v>
      </c>
      <c r="AF6474" s="580">
        <f t="shared" si="543"/>
        <v>2.5</v>
      </c>
      <c r="AG6474" s="580">
        <f t="shared" si="544"/>
        <v>0</v>
      </c>
      <c r="AH6474" s="580">
        <f t="shared" si="545"/>
        <v>0</v>
      </c>
    </row>
    <row r="6475" spans="28:34">
      <c r="AB6475" s="580">
        <f>HLOOKUP("*"&amp;'Output annual'!$AC$2&amp;'Output annual'!$AD$2&amp;"*Zone People Number Of Occupants [](Hourly)",'Eplus results'!$1:$1048576,ROW(),FALSE)</f>
        <v>0</v>
      </c>
      <c r="AC6475" s="580">
        <f>HLOOKUP("*"&amp;'Output annual'!$AC$2&amp;'Output annual'!$AD$2&amp;"*FangerPMV(Hourly)",'Eplus results'!$1:$1048576,ROW(),FALSE)</f>
        <v>0</v>
      </c>
      <c r="AD6475" s="580">
        <f t="shared" si="541"/>
        <v>5</v>
      </c>
      <c r="AE6475" s="580">
        <f t="shared" si="542"/>
        <v>2.5</v>
      </c>
      <c r="AF6475" s="580">
        <f t="shared" si="543"/>
        <v>2.5</v>
      </c>
      <c r="AG6475" s="580">
        <f t="shared" si="544"/>
        <v>0</v>
      </c>
      <c r="AH6475" s="580">
        <f t="shared" si="545"/>
        <v>0</v>
      </c>
    </row>
    <row r="6476" spans="28:34">
      <c r="AB6476" s="580">
        <f>HLOOKUP("*"&amp;'Output annual'!$AC$2&amp;'Output annual'!$AD$2&amp;"*Zone People Number Of Occupants [](Hourly)",'Eplus results'!$1:$1048576,ROW(),FALSE)</f>
        <v>0</v>
      </c>
      <c r="AC6476" s="580">
        <f>HLOOKUP("*"&amp;'Output annual'!$AC$2&amp;'Output annual'!$AD$2&amp;"*FangerPMV(Hourly)",'Eplus results'!$1:$1048576,ROW(),FALSE)</f>
        <v>0</v>
      </c>
      <c r="AD6476" s="580">
        <f t="shared" si="541"/>
        <v>5</v>
      </c>
      <c r="AE6476" s="580">
        <f t="shared" si="542"/>
        <v>2.5</v>
      </c>
      <c r="AF6476" s="580">
        <f t="shared" si="543"/>
        <v>2.5</v>
      </c>
      <c r="AG6476" s="580">
        <f t="shared" si="544"/>
        <v>0</v>
      </c>
      <c r="AH6476" s="580">
        <f t="shared" si="545"/>
        <v>0</v>
      </c>
    </row>
    <row r="6477" spans="28:34">
      <c r="AB6477" s="580">
        <f>HLOOKUP("*"&amp;'Output annual'!$AC$2&amp;'Output annual'!$AD$2&amp;"*Zone People Number Of Occupants [](Hourly)",'Eplus results'!$1:$1048576,ROW(),FALSE)</f>
        <v>0</v>
      </c>
      <c r="AC6477" s="580">
        <f>HLOOKUP("*"&amp;'Output annual'!$AC$2&amp;'Output annual'!$AD$2&amp;"*FangerPMV(Hourly)",'Eplus results'!$1:$1048576,ROW(),FALSE)</f>
        <v>0</v>
      </c>
      <c r="AD6477" s="580">
        <f t="shared" si="541"/>
        <v>5</v>
      </c>
      <c r="AE6477" s="580">
        <f t="shared" si="542"/>
        <v>2.5</v>
      </c>
      <c r="AF6477" s="580">
        <f t="shared" si="543"/>
        <v>2.5</v>
      </c>
      <c r="AG6477" s="580">
        <f t="shared" si="544"/>
        <v>0</v>
      </c>
      <c r="AH6477" s="580">
        <f t="shared" si="545"/>
        <v>0</v>
      </c>
    </row>
    <row r="6478" spans="28:34">
      <c r="AB6478" s="580">
        <f>HLOOKUP("*"&amp;'Output annual'!$AC$2&amp;'Output annual'!$AD$2&amp;"*Zone People Number Of Occupants [](Hourly)",'Eplus results'!$1:$1048576,ROW(),FALSE)</f>
        <v>0</v>
      </c>
      <c r="AC6478" s="580">
        <f>HLOOKUP("*"&amp;'Output annual'!$AC$2&amp;'Output annual'!$AD$2&amp;"*FangerPMV(Hourly)",'Eplus results'!$1:$1048576,ROW(),FALSE)</f>
        <v>0</v>
      </c>
      <c r="AD6478" s="580">
        <f t="shared" si="541"/>
        <v>5</v>
      </c>
      <c r="AE6478" s="580">
        <f t="shared" si="542"/>
        <v>2.5</v>
      </c>
      <c r="AF6478" s="580">
        <f t="shared" si="543"/>
        <v>2.5</v>
      </c>
      <c r="AG6478" s="580">
        <f t="shared" si="544"/>
        <v>0</v>
      </c>
      <c r="AH6478" s="580">
        <f t="shared" si="545"/>
        <v>0</v>
      </c>
    </row>
    <row r="6479" spans="28:34">
      <c r="AB6479" s="580">
        <f>HLOOKUP("*"&amp;'Output annual'!$AC$2&amp;'Output annual'!$AD$2&amp;"*Zone People Number Of Occupants [](Hourly)",'Eplus results'!$1:$1048576,ROW(),FALSE)</f>
        <v>0</v>
      </c>
      <c r="AC6479" s="580">
        <f>HLOOKUP("*"&amp;'Output annual'!$AC$2&amp;'Output annual'!$AD$2&amp;"*FangerPMV(Hourly)",'Eplus results'!$1:$1048576,ROW(),FALSE)</f>
        <v>0</v>
      </c>
      <c r="AD6479" s="580">
        <f t="shared" si="541"/>
        <v>5</v>
      </c>
      <c r="AE6479" s="580">
        <f t="shared" si="542"/>
        <v>2.5</v>
      </c>
      <c r="AF6479" s="580">
        <f t="shared" si="543"/>
        <v>2.5</v>
      </c>
      <c r="AG6479" s="580">
        <f t="shared" si="544"/>
        <v>0</v>
      </c>
      <c r="AH6479" s="580">
        <f t="shared" si="545"/>
        <v>0</v>
      </c>
    </row>
    <row r="6480" spans="28:34">
      <c r="AB6480" s="580">
        <f>HLOOKUP("*"&amp;'Output annual'!$AC$2&amp;'Output annual'!$AD$2&amp;"*Zone People Number Of Occupants [](Hourly)",'Eplus results'!$1:$1048576,ROW(),FALSE)</f>
        <v>0</v>
      </c>
      <c r="AC6480" s="580">
        <f>HLOOKUP("*"&amp;'Output annual'!$AC$2&amp;'Output annual'!$AD$2&amp;"*FangerPMV(Hourly)",'Eplus results'!$1:$1048576,ROW(),FALSE)</f>
        <v>0</v>
      </c>
      <c r="AD6480" s="580">
        <f t="shared" si="541"/>
        <v>5</v>
      </c>
      <c r="AE6480" s="580">
        <f t="shared" si="542"/>
        <v>2.5</v>
      </c>
      <c r="AF6480" s="580">
        <f t="shared" si="543"/>
        <v>2.5</v>
      </c>
      <c r="AG6480" s="580">
        <f t="shared" si="544"/>
        <v>0</v>
      </c>
      <c r="AH6480" s="580">
        <f t="shared" si="545"/>
        <v>0</v>
      </c>
    </row>
    <row r="6481" spans="28:34">
      <c r="AB6481" s="580">
        <f>HLOOKUP("*"&amp;'Output annual'!$AC$2&amp;'Output annual'!$AD$2&amp;"*Zone People Number Of Occupants [](Hourly)",'Eplus results'!$1:$1048576,ROW(),FALSE)</f>
        <v>0</v>
      </c>
      <c r="AC6481" s="580">
        <f>HLOOKUP("*"&amp;'Output annual'!$AC$2&amp;'Output annual'!$AD$2&amp;"*FangerPMV(Hourly)",'Eplus results'!$1:$1048576,ROW(),FALSE)</f>
        <v>0</v>
      </c>
      <c r="AD6481" s="580">
        <f t="shared" si="541"/>
        <v>5</v>
      </c>
      <c r="AE6481" s="580">
        <f t="shared" si="542"/>
        <v>2.5</v>
      </c>
      <c r="AF6481" s="580">
        <f t="shared" si="543"/>
        <v>2.5</v>
      </c>
      <c r="AG6481" s="580">
        <f t="shared" si="544"/>
        <v>0</v>
      </c>
      <c r="AH6481" s="580">
        <f t="shared" si="545"/>
        <v>0</v>
      </c>
    </row>
    <row r="6482" spans="28:34">
      <c r="AB6482" s="580">
        <f>HLOOKUP("*"&amp;'Output annual'!$AC$2&amp;'Output annual'!$AD$2&amp;"*Zone People Number Of Occupants [](Hourly)",'Eplus results'!$1:$1048576,ROW(),FALSE)</f>
        <v>0</v>
      </c>
      <c r="AC6482" s="580">
        <f>HLOOKUP("*"&amp;'Output annual'!$AC$2&amp;'Output annual'!$AD$2&amp;"*FangerPMV(Hourly)",'Eplus results'!$1:$1048576,ROW(),FALSE)</f>
        <v>0</v>
      </c>
      <c r="AD6482" s="580">
        <f t="shared" si="541"/>
        <v>5</v>
      </c>
      <c r="AE6482" s="580">
        <f t="shared" si="542"/>
        <v>2.5</v>
      </c>
      <c r="AF6482" s="580">
        <f t="shared" si="543"/>
        <v>2.5</v>
      </c>
      <c r="AG6482" s="580">
        <f t="shared" si="544"/>
        <v>0</v>
      </c>
      <c r="AH6482" s="580">
        <f t="shared" si="545"/>
        <v>0</v>
      </c>
    </row>
    <row r="6483" spans="28:34">
      <c r="AB6483" s="580">
        <f>HLOOKUP("*"&amp;'Output annual'!$AC$2&amp;'Output annual'!$AD$2&amp;"*Zone People Number Of Occupants [](Hourly)",'Eplus results'!$1:$1048576,ROW(),FALSE)</f>
        <v>0</v>
      </c>
      <c r="AC6483" s="580">
        <f>HLOOKUP("*"&amp;'Output annual'!$AC$2&amp;'Output annual'!$AD$2&amp;"*FangerPMV(Hourly)",'Eplus results'!$1:$1048576,ROW(),FALSE)</f>
        <v>0</v>
      </c>
      <c r="AD6483" s="580">
        <f t="shared" si="541"/>
        <v>5</v>
      </c>
      <c r="AE6483" s="580">
        <f t="shared" si="542"/>
        <v>2.5</v>
      </c>
      <c r="AF6483" s="580">
        <f t="shared" si="543"/>
        <v>2.5</v>
      </c>
      <c r="AG6483" s="580">
        <f t="shared" si="544"/>
        <v>0</v>
      </c>
      <c r="AH6483" s="580">
        <f t="shared" si="545"/>
        <v>0</v>
      </c>
    </row>
    <row r="6484" spans="28:34">
      <c r="AB6484" s="580">
        <f>HLOOKUP("*"&amp;'Output annual'!$AC$2&amp;'Output annual'!$AD$2&amp;"*Zone People Number Of Occupants [](Hourly)",'Eplus results'!$1:$1048576,ROW(),FALSE)</f>
        <v>0</v>
      </c>
      <c r="AC6484" s="580">
        <f>HLOOKUP("*"&amp;'Output annual'!$AC$2&amp;'Output annual'!$AD$2&amp;"*FangerPMV(Hourly)",'Eplus results'!$1:$1048576,ROW(),FALSE)</f>
        <v>0</v>
      </c>
      <c r="AD6484" s="580">
        <f t="shared" si="541"/>
        <v>5</v>
      </c>
      <c r="AE6484" s="580">
        <f t="shared" si="542"/>
        <v>2.5</v>
      </c>
      <c r="AF6484" s="580">
        <f t="shared" si="543"/>
        <v>2.5</v>
      </c>
      <c r="AG6484" s="580">
        <f t="shared" si="544"/>
        <v>0</v>
      </c>
      <c r="AH6484" s="580">
        <f t="shared" si="545"/>
        <v>0</v>
      </c>
    </row>
    <row r="6485" spans="28:34">
      <c r="AB6485" s="580">
        <f>HLOOKUP("*"&amp;'Output annual'!$AC$2&amp;'Output annual'!$AD$2&amp;"*Zone People Number Of Occupants [](Hourly)",'Eplus results'!$1:$1048576,ROW(),FALSE)</f>
        <v>0</v>
      </c>
      <c r="AC6485" s="580">
        <f>HLOOKUP("*"&amp;'Output annual'!$AC$2&amp;'Output annual'!$AD$2&amp;"*FangerPMV(Hourly)",'Eplus results'!$1:$1048576,ROW(),FALSE)</f>
        <v>0</v>
      </c>
      <c r="AD6485" s="580">
        <f t="shared" si="541"/>
        <v>5</v>
      </c>
      <c r="AE6485" s="580">
        <f t="shared" si="542"/>
        <v>2.5</v>
      </c>
      <c r="AF6485" s="580">
        <f t="shared" si="543"/>
        <v>2.5</v>
      </c>
      <c r="AG6485" s="580">
        <f t="shared" si="544"/>
        <v>0</v>
      </c>
      <c r="AH6485" s="580">
        <f t="shared" si="545"/>
        <v>0</v>
      </c>
    </row>
    <row r="6486" spans="28:34">
      <c r="AB6486" s="580">
        <f>HLOOKUP("*"&amp;'Output annual'!$AC$2&amp;'Output annual'!$AD$2&amp;"*Zone People Number Of Occupants [](Hourly)",'Eplus results'!$1:$1048576,ROW(),FALSE)</f>
        <v>0</v>
      </c>
      <c r="AC6486" s="580">
        <f>HLOOKUP("*"&amp;'Output annual'!$AC$2&amp;'Output annual'!$AD$2&amp;"*FangerPMV(Hourly)",'Eplus results'!$1:$1048576,ROW(),FALSE)</f>
        <v>0</v>
      </c>
      <c r="AD6486" s="580">
        <f t="shared" si="541"/>
        <v>5</v>
      </c>
      <c r="AE6486" s="580">
        <f t="shared" si="542"/>
        <v>2.5</v>
      </c>
      <c r="AF6486" s="580">
        <f t="shared" si="543"/>
        <v>2.5</v>
      </c>
      <c r="AG6486" s="580">
        <f t="shared" si="544"/>
        <v>0</v>
      </c>
      <c r="AH6486" s="580">
        <f t="shared" si="545"/>
        <v>0</v>
      </c>
    </row>
    <row r="6487" spans="28:34">
      <c r="AB6487" s="580">
        <f>HLOOKUP("*"&amp;'Output annual'!$AC$2&amp;'Output annual'!$AD$2&amp;"*Zone People Number Of Occupants [](Hourly)",'Eplus results'!$1:$1048576,ROW(),FALSE)</f>
        <v>0</v>
      </c>
      <c r="AC6487" s="580">
        <f>HLOOKUP("*"&amp;'Output annual'!$AC$2&amp;'Output annual'!$AD$2&amp;"*FangerPMV(Hourly)",'Eplus results'!$1:$1048576,ROW(),FALSE)</f>
        <v>0</v>
      </c>
      <c r="AD6487" s="580">
        <f t="shared" si="541"/>
        <v>5</v>
      </c>
      <c r="AE6487" s="580">
        <f t="shared" si="542"/>
        <v>2.5</v>
      </c>
      <c r="AF6487" s="580">
        <f t="shared" si="543"/>
        <v>2.5</v>
      </c>
      <c r="AG6487" s="580">
        <f t="shared" si="544"/>
        <v>0</v>
      </c>
      <c r="AH6487" s="580">
        <f t="shared" si="545"/>
        <v>0</v>
      </c>
    </row>
    <row r="6488" spans="28:34">
      <c r="AB6488" s="580">
        <f>HLOOKUP("*"&amp;'Output annual'!$AC$2&amp;'Output annual'!$AD$2&amp;"*Zone People Number Of Occupants [](Hourly)",'Eplus results'!$1:$1048576,ROW(),FALSE)</f>
        <v>0</v>
      </c>
      <c r="AC6488" s="580">
        <f>HLOOKUP("*"&amp;'Output annual'!$AC$2&amp;'Output annual'!$AD$2&amp;"*FangerPMV(Hourly)",'Eplus results'!$1:$1048576,ROW(),FALSE)</f>
        <v>0</v>
      </c>
      <c r="AD6488" s="580">
        <f t="shared" si="541"/>
        <v>5</v>
      </c>
      <c r="AE6488" s="580">
        <f t="shared" si="542"/>
        <v>2.5</v>
      </c>
      <c r="AF6488" s="580">
        <f t="shared" si="543"/>
        <v>2.5</v>
      </c>
      <c r="AG6488" s="580">
        <f t="shared" si="544"/>
        <v>0</v>
      </c>
      <c r="AH6488" s="580">
        <f t="shared" si="545"/>
        <v>0</v>
      </c>
    </row>
    <row r="6489" spans="28:34">
      <c r="AB6489" s="580">
        <f>HLOOKUP("*"&amp;'Output annual'!$AC$2&amp;'Output annual'!$AD$2&amp;"*Zone People Number Of Occupants [](Hourly)",'Eplus results'!$1:$1048576,ROW(),FALSE)</f>
        <v>0</v>
      </c>
      <c r="AC6489" s="580">
        <f>HLOOKUP("*"&amp;'Output annual'!$AC$2&amp;'Output annual'!$AD$2&amp;"*FangerPMV(Hourly)",'Eplus results'!$1:$1048576,ROW(),FALSE)</f>
        <v>0</v>
      </c>
      <c r="AD6489" s="580">
        <f t="shared" si="541"/>
        <v>5</v>
      </c>
      <c r="AE6489" s="580">
        <f t="shared" si="542"/>
        <v>2.5</v>
      </c>
      <c r="AF6489" s="580">
        <f t="shared" si="543"/>
        <v>2.5</v>
      </c>
      <c r="AG6489" s="580">
        <f t="shared" si="544"/>
        <v>0</v>
      </c>
      <c r="AH6489" s="580">
        <f t="shared" si="545"/>
        <v>0</v>
      </c>
    </row>
    <row r="6490" spans="28:34">
      <c r="AB6490" s="580">
        <f>HLOOKUP("*"&amp;'Output annual'!$AC$2&amp;'Output annual'!$AD$2&amp;"*Zone People Number Of Occupants [](Hourly)",'Eplus results'!$1:$1048576,ROW(),FALSE)</f>
        <v>0</v>
      </c>
      <c r="AC6490" s="580">
        <f>HLOOKUP("*"&amp;'Output annual'!$AC$2&amp;'Output annual'!$AD$2&amp;"*FangerPMV(Hourly)",'Eplus results'!$1:$1048576,ROW(),FALSE)</f>
        <v>0</v>
      </c>
      <c r="AD6490" s="580">
        <f t="shared" si="541"/>
        <v>5</v>
      </c>
      <c r="AE6490" s="580">
        <f t="shared" si="542"/>
        <v>2.5</v>
      </c>
      <c r="AF6490" s="580">
        <f t="shared" si="543"/>
        <v>2.5</v>
      </c>
      <c r="AG6490" s="580">
        <f t="shared" si="544"/>
        <v>0</v>
      </c>
      <c r="AH6490" s="580">
        <f t="shared" si="545"/>
        <v>0</v>
      </c>
    </row>
    <row r="6491" spans="28:34">
      <c r="AB6491" s="580">
        <f>HLOOKUP("*"&amp;'Output annual'!$AC$2&amp;'Output annual'!$AD$2&amp;"*Zone People Number Of Occupants [](Hourly)",'Eplus results'!$1:$1048576,ROW(),FALSE)</f>
        <v>0</v>
      </c>
      <c r="AC6491" s="580">
        <f>HLOOKUP("*"&amp;'Output annual'!$AC$2&amp;'Output annual'!$AD$2&amp;"*FangerPMV(Hourly)",'Eplus results'!$1:$1048576,ROW(),FALSE)</f>
        <v>0</v>
      </c>
      <c r="AD6491" s="580">
        <f t="shared" si="541"/>
        <v>5</v>
      </c>
      <c r="AE6491" s="580">
        <f t="shared" si="542"/>
        <v>2.5</v>
      </c>
      <c r="AF6491" s="580">
        <f t="shared" si="543"/>
        <v>2.5</v>
      </c>
      <c r="AG6491" s="580">
        <f t="shared" si="544"/>
        <v>0</v>
      </c>
      <c r="AH6491" s="580">
        <f t="shared" si="545"/>
        <v>0</v>
      </c>
    </row>
    <row r="6492" spans="28:34">
      <c r="AB6492" s="580">
        <f>HLOOKUP("*"&amp;'Output annual'!$AC$2&amp;'Output annual'!$AD$2&amp;"*Zone People Number Of Occupants [](Hourly)",'Eplus results'!$1:$1048576,ROW(),FALSE)</f>
        <v>0</v>
      </c>
      <c r="AC6492" s="580">
        <f>HLOOKUP("*"&amp;'Output annual'!$AC$2&amp;'Output annual'!$AD$2&amp;"*FangerPMV(Hourly)",'Eplus results'!$1:$1048576,ROW(),FALSE)</f>
        <v>0</v>
      </c>
      <c r="AD6492" s="580">
        <f t="shared" si="541"/>
        <v>5</v>
      </c>
      <c r="AE6492" s="580">
        <f t="shared" si="542"/>
        <v>2.5</v>
      </c>
      <c r="AF6492" s="580">
        <f t="shared" si="543"/>
        <v>2.5</v>
      </c>
      <c r="AG6492" s="580">
        <f t="shared" si="544"/>
        <v>0</v>
      </c>
      <c r="AH6492" s="580">
        <f t="shared" si="545"/>
        <v>0</v>
      </c>
    </row>
    <row r="6493" spans="28:34">
      <c r="AB6493" s="580">
        <f>HLOOKUP("*"&amp;'Output annual'!$AC$2&amp;'Output annual'!$AD$2&amp;"*Zone People Number Of Occupants [](Hourly)",'Eplus results'!$1:$1048576,ROW(),FALSE)</f>
        <v>0</v>
      </c>
      <c r="AC6493" s="580">
        <f>HLOOKUP("*"&amp;'Output annual'!$AC$2&amp;'Output annual'!$AD$2&amp;"*FangerPMV(Hourly)",'Eplus results'!$1:$1048576,ROW(),FALSE)</f>
        <v>0</v>
      </c>
      <c r="AD6493" s="580">
        <f t="shared" si="541"/>
        <v>5</v>
      </c>
      <c r="AE6493" s="580">
        <f t="shared" si="542"/>
        <v>2.5</v>
      </c>
      <c r="AF6493" s="580">
        <f t="shared" si="543"/>
        <v>2.5</v>
      </c>
      <c r="AG6493" s="580">
        <f t="shared" si="544"/>
        <v>0</v>
      </c>
      <c r="AH6493" s="580">
        <f t="shared" si="545"/>
        <v>0</v>
      </c>
    </row>
    <row r="6494" spans="28:34">
      <c r="AB6494" s="580">
        <f>HLOOKUP("*"&amp;'Output annual'!$AC$2&amp;'Output annual'!$AD$2&amp;"*Zone People Number Of Occupants [](Hourly)",'Eplus results'!$1:$1048576,ROW(),FALSE)</f>
        <v>0</v>
      </c>
      <c r="AC6494" s="580">
        <f>HLOOKUP("*"&amp;'Output annual'!$AC$2&amp;'Output annual'!$AD$2&amp;"*FangerPMV(Hourly)",'Eplus results'!$1:$1048576,ROW(),FALSE)</f>
        <v>0</v>
      </c>
      <c r="AD6494" s="580">
        <f t="shared" si="541"/>
        <v>5</v>
      </c>
      <c r="AE6494" s="580">
        <f t="shared" si="542"/>
        <v>2.5</v>
      </c>
      <c r="AF6494" s="580">
        <f t="shared" si="543"/>
        <v>2.5</v>
      </c>
      <c r="AG6494" s="580">
        <f t="shared" si="544"/>
        <v>0</v>
      </c>
      <c r="AH6494" s="580">
        <f t="shared" si="545"/>
        <v>0</v>
      </c>
    </row>
    <row r="6495" spans="28:34">
      <c r="AB6495" s="580">
        <f>HLOOKUP("*"&amp;'Output annual'!$AC$2&amp;'Output annual'!$AD$2&amp;"*Zone People Number Of Occupants [](Hourly)",'Eplus results'!$1:$1048576,ROW(),FALSE)</f>
        <v>0</v>
      </c>
      <c r="AC6495" s="580">
        <f>HLOOKUP("*"&amp;'Output annual'!$AC$2&amp;'Output annual'!$AD$2&amp;"*FangerPMV(Hourly)",'Eplus results'!$1:$1048576,ROW(),FALSE)</f>
        <v>0</v>
      </c>
      <c r="AD6495" s="580">
        <f t="shared" si="541"/>
        <v>5</v>
      </c>
      <c r="AE6495" s="580">
        <f t="shared" si="542"/>
        <v>2.5</v>
      </c>
      <c r="AF6495" s="580">
        <f t="shared" si="543"/>
        <v>2.5</v>
      </c>
      <c r="AG6495" s="580">
        <f t="shared" si="544"/>
        <v>0</v>
      </c>
      <c r="AH6495" s="580">
        <f t="shared" si="545"/>
        <v>0</v>
      </c>
    </row>
    <row r="6496" spans="28:34">
      <c r="AB6496" s="580">
        <f>HLOOKUP("*"&amp;'Output annual'!$AC$2&amp;'Output annual'!$AD$2&amp;"*Zone People Number Of Occupants [](Hourly)",'Eplus results'!$1:$1048576,ROW(),FALSE)</f>
        <v>0</v>
      </c>
      <c r="AC6496" s="580">
        <f>HLOOKUP("*"&amp;'Output annual'!$AC$2&amp;'Output annual'!$AD$2&amp;"*FangerPMV(Hourly)",'Eplus results'!$1:$1048576,ROW(),FALSE)</f>
        <v>0</v>
      </c>
      <c r="AD6496" s="580">
        <f t="shared" si="541"/>
        <v>5</v>
      </c>
      <c r="AE6496" s="580">
        <f t="shared" si="542"/>
        <v>2.5</v>
      </c>
      <c r="AF6496" s="580">
        <f t="shared" si="543"/>
        <v>2.5</v>
      </c>
      <c r="AG6496" s="580">
        <f t="shared" si="544"/>
        <v>0</v>
      </c>
      <c r="AH6496" s="580">
        <f t="shared" si="545"/>
        <v>0</v>
      </c>
    </row>
    <row r="6497" spans="28:34">
      <c r="AB6497" s="580">
        <f>HLOOKUP("*"&amp;'Output annual'!$AC$2&amp;'Output annual'!$AD$2&amp;"*Zone People Number Of Occupants [](Hourly)",'Eplus results'!$1:$1048576,ROW(),FALSE)</f>
        <v>0</v>
      </c>
      <c r="AC6497" s="580">
        <f>HLOOKUP("*"&amp;'Output annual'!$AC$2&amp;'Output annual'!$AD$2&amp;"*FangerPMV(Hourly)",'Eplus results'!$1:$1048576,ROW(),FALSE)</f>
        <v>0</v>
      </c>
      <c r="AD6497" s="580">
        <f t="shared" si="541"/>
        <v>5</v>
      </c>
      <c r="AE6497" s="580">
        <f t="shared" si="542"/>
        <v>2.5</v>
      </c>
      <c r="AF6497" s="580">
        <f t="shared" si="543"/>
        <v>2.5</v>
      </c>
      <c r="AG6497" s="580">
        <f t="shared" si="544"/>
        <v>0</v>
      </c>
      <c r="AH6497" s="580">
        <f t="shared" si="545"/>
        <v>0</v>
      </c>
    </row>
    <row r="6498" spans="28:34">
      <c r="AB6498" s="580">
        <f>HLOOKUP("*"&amp;'Output annual'!$AC$2&amp;'Output annual'!$AD$2&amp;"*Zone People Number Of Occupants [](Hourly)",'Eplus results'!$1:$1048576,ROW(),FALSE)</f>
        <v>0</v>
      </c>
      <c r="AC6498" s="580">
        <f>HLOOKUP("*"&amp;'Output annual'!$AC$2&amp;'Output annual'!$AD$2&amp;"*FangerPMV(Hourly)",'Eplus results'!$1:$1048576,ROW(),FALSE)</f>
        <v>0</v>
      </c>
      <c r="AD6498" s="580">
        <f t="shared" si="541"/>
        <v>5</v>
      </c>
      <c r="AE6498" s="580">
        <f t="shared" si="542"/>
        <v>2.5</v>
      </c>
      <c r="AF6498" s="580">
        <f t="shared" si="543"/>
        <v>2.5</v>
      </c>
      <c r="AG6498" s="580">
        <f t="shared" si="544"/>
        <v>0</v>
      </c>
      <c r="AH6498" s="580">
        <f t="shared" si="545"/>
        <v>0</v>
      </c>
    </row>
    <row r="6499" spans="28:34">
      <c r="AB6499" s="580">
        <f>HLOOKUP("*"&amp;'Output annual'!$AC$2&amp;'Output annual'!$AD$2&amp;"*Zone People Number Of Occupants [](Hourly)",'Eplus results'!$1:$1048576,ROW(),FALSE)</f>
        <v>0</v>
      </c>
      <c r="AC6499" s="580">
        <f>HLOOKUP("*"&amp;'Output annual'!$AC$2&amp;'Output annual'!$AD$2&amp;"*FangerPMV(Hourly)",'Eplus results'!$1:$1048576,ROW(),FALSE)</f>
        <v>0</v>
      </c>
      <c r="AD6499" s="580">
        <f t="shared" si="541"/>
        <v>5</v>
      </c>
      <c r="AE6499" s="580">
        <f t="shared" si="542"/>
        <v>2.5</v>
      </c>
      <c r="AF6499" s="580">
        <f t="shared" si="543"/>
        <v>2.5</v>
      </c>
      <c r="AG6499" s="580">
        <f t="shared" si="544"/>
        <v>0</v>
      </c>
      <c r="AH6499" s="580">
        <f t="shared" si="545"/>
        <v>0</v>
      </c>
    </row>
    <row r="6500" spans="28:34">
      <c r="AB6500" s="580">
        <f>HLOOKUP("*"&amp;'Output annual'!$AC$2&amp;'Output annual'!$AD$2&amp;"*Zone People Number Of Occupants [](Hourly)",'Eplus results'!$1:$1048576,ROW(),FALSE)</f>
        <v>0</v>
      </c>
      <c r="AC6500" s="580">
        <f>HLOOKUP("*"&amp;'Output annual'!$AC$2&amp;'Output annual'!$AD$2&amp;"*FangerPMV(Hourly)",'Eplus results'!$1:$1048576,ROW(),FALSE)</f>
        <v>0</v>
      </c>
      <c r="AD6500" s="580">
        <f t="shared" si="541"/>
        <v>5</v>
      </c>
      <c r="AE6500" s="580">
        <f t="shared" si="542"/>
        <v>2.5</v>
      </c>
      <c r="AF6500" s="580">
        <f t="shared" si="543"/>
        <v>2.5</v>
      </c>
      <c r="AG6500" s="580">
        <f t="shared" si="544"/>
        <v>0</v>
      </c>
      <c r="AH6500" s="580">
        <f t="shared" si="545"/>
        <v>0</v>
      </c>
    </row>
    <row r="6501" spans="28:34">
      <c r="AB6501" s="580">
        <f>HLOOKUP("*"&amp;'Output annual'!$AC$2&amp;'Output annual'!$AD$2&amp;"*Zone People Number Of Occupants [](Hourly)",'Eplus results'!$1:$1048576,ROW(),FALSE)</f>
        <v>0</v>
      </c>
      <c r="AC6501" s="580">
        <f>HLOOKUP("*"&amp;'Output annual'!$AC$2&amp;'Output annual'!$AD$2&amp;"*FangerPMV(Hourly)",'Eplus results'!$1:$1048576,ROW(),FALSE)</f>
        <v>0</v>
      </c>
      <c r="AD6501" s="580">
        <f t="shared" si="541"/>
        <v>5</v>
      </c>
      <c r="AE6501" s="580">
        <f t="shared" si="542"/>
        <v>2.5</v>
      </c>
      <c r="AF6501" s="580">
        <f t="shared" si="543"/>
        <v>2.5</v>
      </c>
      <c r="AG6501" s="580">
        <f t="shared" si="544"/>
        <v>0</v>
      </c>
      <c r="AH6501" s="580">
        <f t="shared" si="545"/>
        <v>0</v>
      </c>
    </row>
    <row r="6502" spans="28:34">
      <c r="AB6502" s="580">
        <f>HLOOKUP("*"&amp;'Output annual'!$AC$2&amp;'Output annual'!$AD$2&amp;"*Zone People Number Of Occupants [](Hourly)",'Eplus results'!$1:$1048576,ROW(),FALSE)</f>
        <v>0</v>
      </c>
      <c r="AC6502" s="580">
        <f>HLOOKUP("*"&amp;'Output annual'!$AC$2&amp;'Output annual'!$AD$2&amp;"*FangerPMV(Hourly)",'Eplus results'!$1:$1048576,ROW(),FALSE)</f>
        <v>0</v>
      </c>
      <c r="AD6502" s="580">
        <f t="shared" si="541"/>
        <v>5</v>
      </c>
      <c r="AE6502" s="580">
        <f t="shared" si="542"/>
        <v>2.5</v>
      </c>
      <c r="AF6502" s="580">
        <f t="shared" si="543"/>
        <v>2.5</v>
      </c>
      <c r="AG6502" s="580">
        <f t="shared" si="544"/>
        <v>0</v>
      </c>
      <c r="AH6502" s="580">
        <f t="shared" si="545"/>
        <v>0</v>
      </c>
    </row>
    <row r="6503" spans="28:34">
      <c r="AB6503" s="580">
        <f>HLOOKUP("*"&amp;'Output annual'!$AC$2&amp;'Output annual'!$AD$2&amp;"*Zone People Number Of Occupants [](Hourly)",'Eplus results'!$1:$1048576,ROW(),FALSE)</f>
        <v>0</v>
      </c>
      <c r="AC6503" s="580">
        <f>HLOOKUP("*"&amp;'Output annual'!$AC$2&amp;'Output annual'!$AD$2&amp;"*FangerPMV(Hourly)",'Eplus results'!$1:$1048576,ROW(),FALSE)</f>
        <v>0</v>
      </c>
      <c r="AD6503" s="580">
        <f t="shared" si="541"/>
        <v>5</v>
      </c>
      <c r="AE6503" s="580">
        <f t="shared" si="542"/>
        <v>2.5</v>
      </c>
      <c r="AF6503" s="580">
        <f t="shared" si="543"/>
        <v>2.5</v>
      </c>
      <c r="AG6503" s="580">
        <f t="shared" si="544"/>
        <v>0</v>
      </c>
      <c r="AH6503" s="580">
        <f t="shared" si="545"/>
        <v>0</v>
      </c>
    </row>
    <row r="6504" spans="28:34">
      <c r="AB6504" s="580">
        <f>HLOOKUP("*"&amp;'Output annual'!$AC$2&amp;'Output annual'!$AD$2&amp;"*Zone People Number Of Occupants [](Hourly)",'Eplus results'!$1:$1048576,ROW(),FALSE)</f>
        <v>0</v>
      </c>
      <c r="AC6504" s="580">
        <f>HLOOKUP("*"&amp;'Output annual'!$AC$2&amp;'Output annual'!$AD$2&amp;"*FangerPMV(Hourly)",'Eplus results'!$1:$1048576,ROW(),FALSE)</f>
        <v>0</v>
      </c>
      <c r="AD6504" s="580">
        <f t="shared" si="541"/>
        <v>5</v>
      </c>
      <c r="AE6504" s="580">
        <f t="shared" si="542"/>
        <v>2.5</v>
      </c>
      <c r="AF6504" s="580">
        <f t="shared" si="543"/>
        <v>2.5</v>
      </c>
      <c r="AG6504" s="580">
        <f t="shared" si="544"/>
        <v>0</v>
      </c>
      <c r="AH6504" s="580">
        <f t="shared" si="545"/>
        <v>0</v>
      </c>
    </row>
    <row r="6505" spans="28:34">
      <c r="AB6505" s="580">
        <f>HLOOKUP("*"&amp;'Output annual'!$AC$2&amp;'Output annual'!$AD$2&amp;"*Zone People Number Of Occupants [](Hourly)",'Eplus results'!$1:$1048576,ROW(),FALSE)</f>
        <v>0</v>
      </c>
      <c r="AC6505" s="580">
        <f>HLOOKUP("*"&amp;'Output annual'!$AC$2&amp;'Output annual'!$AD$2&amp;"*FangerPMV(Hourly)",'Eplus results'!$1:$1048576,ROW(),FALSE)</f>
        <v>0</v>
      </c>
      <c r="AD6505" s="580">
        <f t="shared" si="541"/>
        <v>5</v>
      </c>
      <c r="AE6505" s="580">
        <f t="shared" si="542"/>
        <v>2.5</v>
      </c>
      <c r="AF6505" s="580">
        <f t="shared" si="543"/>
        <v>2.5</v>
      </c>
      <c r="AG6505" s="580">
        <f t="shared" si="544"/>
        <v>0</v>
      </c>
      <c r="AH6505" s="580">
        <f t="shared" si="545"/>
        <v>0</v>
      </c>
    </row>
    <row r="6506" spans="28:34">
      <c r="AB6506" s="580">
        <f>HLOOKUP("*"&amp;'Output annual'!$AC$2&amp;'Output annual'!$AD$2&amp;"*Zone People Number Of Occupants [](Hourly)",'Eplus results'!$1:$1048576,ROW(),FALSE)</f>
        <v>0</v>
      </c>
      <c r="AC6506" s="580">
        <f>HLOOKUP("*"&amp;'Output annual'!$AC$2&amp;'Output annual'!$AD$2&amp;"*FangerPMV(Hourly)",'Eplus results'!$1:$1048576,ROW(),FALSE)</f>
        <v>0</v>
      </c>
      <c r="AD6506" s="580">
        <f t="shared" si="541"/>
        <v>5</v>
      </c>
      <c r="AE6506" s="580">
        <f t="shared" si="542"/>
        <v>2.5</v>
      </c>
      <c r="AF6506" s="580">
        <f t="shared" si="543"/>
        <v>2.5</v>
      </c>
      <c r="AG6506" s="580">
        <f t="shared" si="544"/>
        <v>0</v>
      </c>
      <c r="AH6506" s="580">
        <f t="shared" si="545"/>
        <v>0</v>
      </c>
    </row>
    <row r="6507" spans="28:34">
      <c r="AB6507" s="580">
        <f>HLOOKUP("*"&amp;'Output annual'!$AC$2&amp;'Output annual'!$AD$2&amp;"*Zone People Number Of Occupants [](Hourly)",'Eplus results'!$1:$1048576,ROW(),FALSE)</f>
        <v>0</v>
      </c>
      <c r="AC6507" s="580">
        <f>HLOOKUP("*"&amp;'Output annual'!$AC$2&amp;'Output annual'!$AD$2&amp;"*FangerPMV(Hourly)",'Eplus results'!$1:$1048576,ROW(),FALSE)</f>
        <v>0</v>
      </c>
      <c r="AD6507" s="580">
        <f t="shared" si="541"/>
        <v>5</v>
      </c>
      <c r="AE6507" s="580">
        <f t="shared" si="542"/>
        <v>2.5</v>
      </c>
      <c r="AF6507" s="580">
        <f t="shared" si="543"/>
        <v>2.5</v>
      </c>
      <c r="AG6507" s="580">
        <f t="shared" si="544"/>
        <v>0</v>
      </c>
      <c r="AH6507" s="580">
        <f t="shared" si="545"/>
        <v>0</v>
      </c>
    </row>
    <row r="6508" spans="28:34">
      <c r="AB6508" s="580">
        <f>HLOOKUP("*"&amp;'Output annual'!$AC$2&amp;'Output annual'!$AD$2&amp;"*Zone People Number Of Occupants [](Hourly)",'Eplus results'!$1:$1048576,ROW(),FALSE)</f>
        <v>0</v>
      </c>
      <c r="AC6508" s="580">
        <f>HLOOKUP("*"&amp;'Output annual'!$AC$2&amp;'Output annual'!$AD$2&amp;"*FangerPMV(Hourly)",'Eplus results'!$1:$1048576,ROW(),FALSE)</f>
        <v>0</v>
      </c>
      <c r="AD6508" s="580">
        <f t="shared" si="541"/>
        <v>5</v>
      </c>
      <c r="AE6508" s="580">
        <f t="shared" si="542"/>
        <v>2.5</v>
      </c>
      <c r="AF6508" s="580">
        <f t="shared" si="543"/>
        <v>2.5</v>
      </c>
      <c r="AG6508" s="580">
        <f t="shared" si="544"/>
        <v>0</v>
      </c>
      <c r="AH6508" s="580">
        <f t="shared" si="545"/>
        <v>0</v>
      </c>
    </row>
    <row r="6509" spans="28:34">
      <c r="AB6509" s="580">
        <f>HLOOKUP("*"&amp;'Output annual'!$AC$2&amp;'Output annual'!$AD$2&amp;"*Zone People Number Of Occupants [](Hourly)",'Eplus results'!$1:$1048576,ROW(),FALSE)</f>
        <v>0</v>
      </c>
      <c r="AC6509" s="580">
        <f>HLOOKUP("*"&amp;'Output annual'!$AC$2&amp;'Output annual'!$AD$2&amp;"*FangerPMV(Hourly)",'Eplus results'!$1:$1048576,ROW(),FALSE)</f>
        <v>0</v>
      </c>
      <c r="AD6509" s="580">
        <f t="shared" si="541"/>
        <v>5</v>
      </c>
      <c r="AE6509" s="580">
        <f t="shared" si="542"/>
        <v>2.5</v>
      </c>
      <c r="AF6509" s="580">
        <f t="shared" si="543"/>
        <v>2.5</v>
      </c>
      <c r="AG6509" s="580">
        <f t="shared" si="544"/>
        <v>0</v>
      </c>
      <c r="AH6509" s="580">
        <f t="shared" si="545"/>
        <v>0</v>
      </c>
    </row>
    <row r="6510" spans="28:34">
      <c r="AB6510" s="580">
        <f>HLOOKUP("*"&amp;'Output annual'!$AC$2&amp;'Output annual'!$AD$2&amp;"*Zone People Number Of Occupants [](Hourly)",'Eplus results'!$1:$1048576,ROW(),FALSE)</f>
        <v>0</v>
      </c>
      <c r="AC6510" s="580">
        <f>HLOOKUP("*"&amp;'Output annual'!$AC$2&amp;'Output annual'!$AD$2&amp;"*FangerPMV(Hourly)",'Eplus results'!$1:$1048576,ROW(),FALSE)</f>
        <v>0</v>
      </c>
      <c r="AD6510" s="580">
        <f t="shared" si="541"/>
        <v>5</v>
      </c>
      <c r="AE6510" s="580">
        <f t="shared" si="542"/>
        <v>2.5</v>
      </c>
      <c r="AF6510" s="580">
        <f t="shared" si="543"/>
        <v>2.5</v>
      </c>
      <c r="AG6510" s="580">
        <f t="shared" si="544"/>
        <v>0</v>
      </c>
      <c r="AH6510" s="580">
        <f t="shared" si="545"/>
        <v>0</v>
      </c>
    </row>
    <row r="6511" spans="28:34">
      <c r="AB6511" s="580">
        <f>HLOOKUP("*"&amp;'Output annual'!$AC$2&amp;'Output annual'!$AD$2&amp;"*Zone People Number Of Occupants [](Hourly)",'Eplus results'!$1:$1048576,ROW(),FALSE)</f>
        <v>0</v>
      </c>
      <c r="AC6511" s="580">
        <f>HLOOKUP("*"&amp;'Output annual'!$AC$2&amp;'Output annual'!$AD$2&amp;"*FangerPMV(Hourly)",'Eplus results'!$1:$1048576,ROW(),FALSE)</f>
        <v>0</v>
      </c>
      <c r="AD6511" s="580">
        <f t="shared" si="541"/>
        <v>5</v>
      </c>
      <c r="AE6511" s="580">
        <f t="shared" si="542"/>
        <v>2.5</v>
      </c>
      <c r="AF6511" s="580">
        <f t="shared" si="543"/>
        <v>2.5</v>
      </c>
      <c r="AG6511" s="580">
        <f t="shared" si="544"/>
        <v>0</v>
      </c>
      <c r="AH6511" s="580">
        <f t="shared" si="545"/>
        <v>0</v>
      </c>
    </row>
    <row r="6512" spans="28:34">
      <c r="AB6512" s="580">
        <f>HLOOKUP("*"&amp;'Output annual'!$AC$2&amp;'Output annual'!$AD$2&amp;"*Zone People Number Of Occupants [](Hourly)",'Eplus results'!$1:$1048576,ROW(),FALSE)</f>
        <v>0</v>
      </c>
      <c r="AC6512" s="580">
        <f>HLOOKUP("*"&amp;'Output annual'!$AC$2&amp;'Output annual'!$AD$2&amp;"*FangerPMV(Hourly)",'Eplus results'!$1:$1048576,ROW(),FALSE)</f>
        <v>0</v>
      </c>
      <c r="AD6512" s="580">
        <f t="shared" si="541"/>
        <v>5</v>
      </c>
      <c r="AE6512" s="580">
        <f t="shared" si="542"/>
        <v>2.5</v>
      </c>
      <c r="AF6512" s="580">
        <f t="shared" si="543"/>
        <v>2.5</v>
      </c>
      <c r="AG6512" s="580">
        <f t="shared" si="544"/>
        <v>0</v>
      </c>
      <c r="AH6512" s="580">
        <f t="shared" si="545"/>
        <v>0</v>
      </c>
    </row>
    <row r="6513" spans="28:34">
      <c r="AB6513" s="580">
        <f>HLOOKUP("*"&amp;'Output annual'!$AC$2&amp;'Output annual'!$AD$2&amp;"*Zone People Number Of Occupants [](Hourly)",'Eplus results'!$1:$1048576,ROW(),FALSE)</f>
        <v>0</v>
      </c>
      <c r="AC6513" s="580">
        <f>HLOOKUP("*"&amp;'Output annual'!$AC$2&amp;'Output annual'!$AD$2&amp;"*FangerPMV(Hourly)",'Eplus results'!$1:$1048576,ROW(),FALSE)</f>
        <v>0</v>
      </c>
      <c r="AD6513" s="580">
        <f t="shared" si="541"/>
        <v>5</v>
      </c>
      <c r="AE6513" s="580">
        <f t="shared" si="542"/>
        <v>2.5</v>
      </c>
      <c r="AF6513" s="580">
        <f t="shared" si="543"/>
        <v>2.5</v>
      </c>
      <c r="AG6513" s="580">
        <f t="shared" si="544"/>
        <v>0</v>
      </c>
      <c r="AH6513" s="580">
        <f t="shared" si="545"/>
        <v>0</v>
      </c>
    </row>
    <row r="6514" spans="28:34">
      <c r="AB6514" s="580">
        <f>HLOOKUP("*"&amp;'Output annual'!$AC$2&amp;'Output annual'!$AD$2&amp;"*Zone People Number Of Occupants [](Hourly)",'Eplus results'!$1:$1048576,ROW(),FALSE)</f>
        <v>0</v>
      </c>
      <c r="AC6514" s="580">
        <f>HLOOKUP("*"&amp;'Output annual'!$AC$2&amp;'Output annual'!$AD$2&amp;"*FangerPMV(Hourly)",'Eplus results'!$1:$1048576,ROW(),FALSE)</f>
        <v>0</v>
      </c>
      <c r="AD6514" s="580">
        <f t="shared" si="541"/>
        <v>5</v>
      </c>
      <c r="AE6514" s="580">
        <f t="shared" si="542"/>
        <v>2.5</v>
      </c>
      <c r="AF6514" s="580">
        <f t="shared" si="543"/>
        <v>2.5</v>
      </c>
      <c r="AG6514" s="580">
        <f t="shared" si="544"/>
        <v>0</v>
      </c>
      <c r="AH6514" s="580">
        <f t="shared" si="545"/>
        <v>0</v>
      </c>
    </row>
    <row r="6515" spans="28:34">
      <c r="AB6515" s="580">
        <f>HLOOKUP("*"&amp;'Output annual'!$AC$2&amp;'Output annual'!$AD$2&amp;"*Zone People Number Of Occupants [](Hourly)",'Eplus results'!$1:$1048576,ROW(),FALSE)</f>
        <v>0</v>
      </c>
      <c r="AC6515" s="580">
        <f>HLOOKUP("*"&amp;'Output annual'!$AC$2&amp;'Output annual'!$AD$2&amp;"*FangerPMV(Hourly)",'Eplus results'!$1:$1048576,ROW(),FALSE)</f>
        <v>0</v>
      </c>
      <c r="AD6515" s="580">
        <f t="shared" si="541"/>
        <v>5</v>
      </c>
      <c r="AE6515" s="580">
        <f t="shared" si="542"/>
        <v>2.5</v>
      </c>
      <c r="AF6515" s="580">
        <f t="shared" si="543"/>
        <v>2.5</v>
      </c>
      <c r="AG6515" s="580">
        <f t="shared" si="544"/>
        <v>0</v>
      </c>
      <c r="AH6515" s="580">
        <f t="shared" si="545"/>
        <v>0</v>
      </c>
    </row>
    <row r="6516" spans="28:34">
      <c r="AB6516" s="580">
        <f>HLOOKUP("*"&amp;'Output annual'!$AC$2&amp;'Output annual'!$AD$2&amp;"*Zone People Number Of Occupants [](Hourly)",'Eplus results'!$1:$1048576,ROW(),FALSE)</f>
        <v>0</v>
      </c>
      <c r="AC6516" s="580">
        <f>HLOOKUP("*"&amp;'Output annual'!$AC$2&amp;'Output annual'!$AD$2&amp;"*FangerPMV(Hourly)",'Eplus results'!$1:$1048576,ROW(),FALSE)</f>
        <v>0</v>
      </c>
      <c r="AD6516" s="580">
        <f t="shared" si="541"/>
        <v>5</v>
      </c>
      <c r="AE6516" s="580">
        <f t="shared" si="542"/>
        <v>2.5</v>
      </c>
      <c r="AF6516" s="580">
        <f t="shared" si="543"/>
        <v>2.5</v>
      </c>
      <c r="AG6516" s="580">
        <f t="shared" si="544"/>
        <v>0</v>
      </c>
      <c r="AH6516" s="580">
        <f t="shared" si="545"/>
        <v>0</v>
      </c>
    </row>
    <row r="6517" spans="28:34">
      <c r="AB6517" s="580">
        <f>HLOOKUP("*"&amp;'Output annual'!$AC$2&amp;'Output annual'!$AD$2&amp;"*Zone People Number Of Occupants [](Hourly)",'Eplus results'!$1:$1048576,ROW(),FALSE)</f>
        <v>0</v>
      </c>
      <c r="AC6517" s="580">
        <f>HLOOKUP("*"&amp;'Output annual'!$AC$2&amp;'Output annual'!$AD$2&amp;"*FangerPMV(Hourly)",'Eplus results'!$1:$1048576,ROW(),FALSE)</f>
        <v>0</v>
      </c>
      <c r="AD6517" s="580">
        <f t="shared" si="541"/>
        <v>5</v>
      </c>
      <c r="AE6517" s="580">
        <f t="shared" si="542"/>
        <v>2.5</v>
      </c>
      <c r="AF6517" s="580">
        <f t="shared" si="543"/>
        <v>2.5</v>
      </c>
      <c r="AG6517" s="580">
        <f t="shared" si="544"/>
        <v>0</v>
      </c>
      <c r="AH6517" s="580">
        <f t="shared" si="545"/>
        <v>0</v>
      </c>
    </row>
    <row r="6518" spans="28:34">
      <c r="AB6518" s="580">
        <f>HLOOKUP("*"&amp;'Output annual'!$AC$2&amp;'Output annual'!$AD$2&amp;"*Zone People Number Of Occupants [](Hourly)",'Eplus results'!$1:$1048576,ROW(),FALSE)</f>
        <v>0</v>
      </c>
      <c r="AC6518" s="580">
        <f>HLOOKUP("*"&amp;'Output annual'!$AC$2&amp;'Output annual'!$AD$2&amp;"*FangerPMV(Hourly)",'Eplus results'!$1:$1048576,ROW(),FALSE)</f>
        <v>0</v>
      </c>
      <c r="AD6518" s="580">
        <f t="shared" si="541"/>
        <v>5</v>
      </c>
      <c r="AE6518" s="580">
        <f t="shared" si="542"/>
        <v>2.5</v>
      </c>
      <c r="AF6518" s="580">
        <f t="shared" si="543"/>
        <v>2.5</v>
      </c>
      <c r="AG6518" s="580">
        <f t="shared" si="544"/>
        <v>0</v>
      </c>
      <c r="AH6518" s="580">
        <f t="shared" si="545"/>
        <v>0</v>
      </c>
    </row>
    <row r="6519" spans="28:34">
      <c r="AB6519" s="580">
        <f>HLOOKUP("*"&amp;'Output annual'!$AC$2&amp;'Output annual'!$AD$2&amp;"*Zone People Number Of Occupants [](Hourly)",'Eplus results'!$1:$1048576,ROW(),FALSE)</f>
        <v>0</v>
      </c>
      <c r="AC6519" s="580">
        <f>HLOOKUP("*"&amp;'Output annual'!$AC$2&amp;'Output annual'!$AD$2&amp;"*FangerPMV(Hourly)",'Eplus results'!$1:$1048576,ROW(),FALSE)</f>
        <v>0</v>
      </c>
      <c r="AD6519" s="580">
        <f t="shared" si="541"/>
        <v>5</v>
      </c>
      <c r="AE6519" s="580">
        <f t="shared" si="542"/>
        <v>2.5</v>
      </c>
      <c r="AF6519" s="580">
        <f t="shared" si="543"/>
        <v>2.5</v>
      </c>
      <c r="AG6519" s="580">
        <f t="shared" si="544"/>
        <v>0</v>
      </c>
      <c r="AH6519" s="580">
        <f t="shared" si="545"/>
        <v>0</v>
      </c>
    </row>
    <row r="6520" spans="28:34">
      <c r="AB6520" s="580">
        <f>HLOOKUP("*"&amp;'Output annual'!$AC$2&amp;'Output annual'!$AD$2&amp;"*Zone People Number Of Occupants [](Hourly)",'Eplus results'!$1:$1048576,ROW(),FALSE)</f>
        <v>0</v>
      </c>
      <c r="AC6520" s="580">
        <f>HLOOKUP("*"&amp;'Output annual'!$AC$2&amp;'Output annual'!$AD$2&amp;"*FangerPMV(Hourly)",'Eplus results'!$1:$1048576,ROW(),FALSE)</f>
        <v>0</v>
      </c>
      <c r="AD6520" s="580">
        <f t="shared" si="541"/>
        <v>5</v>
      </c>
      <c r="AE6520" s="580">
        <f t="shared" si="542"/>
        <v>2.5</v>
      </c>
      <c r="AF6520" s="580">
        <f t="shared" si="543"/>
        <v>2.5</v>
      </c>
      <c r="AG6520" s="580">
        <f t="shared" si="544"/>
        <v>0</v>
      </c>
      <c r="AH6520" s="580">
        <f t="shared" si="545"/>
        <v>0</v>
      </c>
    </row>
    <row r="6521" spans="28:34">
      <c r="AB6521" s="580">
        <f>HLOOKUP("*"&amp;'Output annual'!$AC$2&amp;'Output annual'!$AD$2&amp;"*Zone People Number Of Occupants [](Hourly)",'Eplus results'!$1:$1048576,ROW(),FALSE)</f>
        <v>0</v>
      </c>
      <c r="AC6521" s="580">
        <f>HLOOKUP("*"&amp;'Output annual'!$AC$2&amp;'Output annual'!$AD$2&amp;"*FangerPMV(Hourly)",'Eplus results'!$1:$1048576,ROW(),FALSE)</f>
        <v>0</v>
      </c>
      <c r="AD6521" s="580">
        <f t="shared" si="541"/>
        <v>5</v>
      </c>
      <c r="AE6521" s="580">
        <f t="shared" si="542"/>
        <v>2.5</v>
      </c>
      <c r="AF6521" s="580">
        <f t="shared" si="543"/>
        <v>2.5</v>
      </c>
      <c r="AG6521" s="580">
        <f t="shared" si="544"/>
        <v>0</v>
      </c>
      <c r="AH6521" s="580">
        <f t="shared" si="545"/>
        <v>0</v>
      </c>
    </row>
    <row r="6522" spans="28:34">
      <c r="AB6522" s="580">
        <f>HLOOKUP("*"&amp;'Output annual'!$AC$2&amp;'Output annual'!$AD$2&amp;"*Zone People Number Of Occupants [](Hourly)",'Eplus results'!$1:$1048576,ROW(),FALSE)</f>
        <v>0</v>
      </c>
      <c r="AC6522" s="580">
        <f>HLOOKUP("*"&amp;'Output annual'!$AC$2&amp;'Output annual'!$AD$2&amp;"*FangerPMV(Hourly)",'Eplus results'!$1:$1048576,ROW(),FALSE)</f>
        <v>0</v>
      </c>
      <c r="AD6522" s="580">
        <f t="shared" si="541"/>
        <v>5</v>
      </c>
      <c r="AE6522" s="580">
        <f t="shared" si="542"/>
        <v>2.5</v>
      </c>
      <c r="AF6522" s="580">
        <f t="shared" si="543"/>
        <v>2.5</v>
      </c>
      <c r="AG6522" s="580">
        <f t="shared" si="544"/>
        <v>0</v>
      </c>
      <c r="AH6522" s="580">
        <f t="shared" si="545"/>
        <v>0</v>
      </c>
    </row>
    <row r="6523" spans="28:34">
      <c r="AB6523" s="580">
        <f>HLOOKUP("*"&amp;'Output annual'!$AC$2&amp;'Output annual'!$AD$2&amp;"*Zone People Number Of Occupants [](Hourly)",'Eplus results'!$1:$1048576,ROW(),FALSE)</f>
        <v>0</v>
      </c>
      <c r="AC6523" s="580">
        <f>HLOOKUP("*"&amp;'Output annual'!$AC$2&amp;'Output annual'!$AD$2&amp;"*FangerPMV(Hourly)",'Eplus results'!$1:$1048576,ROW(),FALSE)</f>
        <v>0</v>
      </c>
      <c r="AD6523" s="580">
        <f t="shared" si="541"/>
        <v>5</v>
      </c>
      <c r="AE6523" s="580">
        <f t="shared" si="542"/>
        <v>2.5</v>
      </c>
      <c r="AF6523" s="580">
        <f t="shared" si="543"/>
        <v>2.5</v>
      </c>
      <c r="AG6523" s="580">
        <f t="shared" si="544"/>
        <v>0</v>
      </c>
      <c r="AH6523" s="580">
        <f t="shared" si="545"/>
        <v>0</v>
      </c>
    </row>
    <row r="6524" spans="28:34">
      <c r="AB6524" s="580">
        <f>HLOOKUP("*"&amp;'Output annual'!$AC$2&amp;'Output annual'!$AD$2&amp;"*Zone People Number Of Occupants [](Hourly)",'Eplus results'!$1:$1048576,ROW(),FALSE)</f>
        <v>0</v>
      </c>
      <c r="AC6524" s="580">
        <f>HLOOKUP("*"&amp;'Output annual'!$AC$2&amp;'Output annual'!$AD$2&amp;"*FangerPMV(Hourly)",'Eplus results'!$1:$1048576,ROW(),FALSE)</f>
        <v>0</v>
      </c>
      <c r="AD6524" s="580">
        <f t="shared" si="541"/>
        <v>5</v>
      </c>
      <c r="AE6524" s="580">
        <f t="shared" si="542"/>
        <v>2.5</v>
      </c>
      <c r="AF6524" s="580">
        <f t="shared" si="543"/>
        <v>2.5</v>
      </c>
      <c r="AG6524" s="580">
        <f t="shared" si="544"/>
        <v>0</v>
      </c>
      <c r="AH6524" s="580">
        <f t="shared" si="545"/>
        <v>0</v>
      </c>
    </row>
    <row r="6525" spans="28:34">
      <c r="AB6525" s="580">
        <f>HLOOKUP("*"&amp;'Output annual'!$AC$2&amp;'Output annual'!$AD$2&amp;"*Zone People Number Of Occupants [](Hourly)",'Eplus results'!$1:$1048576,ROW(),FALSE)</f>
        <v>0</v>
      </c>
      <c r="AC6525" s="580">
        <f>HLOOKUP("*"&amp;'Output annual'!$AC$2&amp;'Output annual'!$AD$2&amp;"*FangerPMV(Hourly)",'Eplus results'!$1:$1048576,ROW(),FALSE)</f>
        <v>0</v>
      </c>
      <c r="AD6525" s="580">
        <f t="shared" si="541"/>
        <v>5</v>
      </c>
      <c r="AE6525" s="580">
        <f t="shared" si="542"/>
        <v>2.5</v>
      </c>
      <c r="AF6525" s="580">
        <f t="shared" si="543"/>
        <v>2.5</v>
      </c>
      <c r="AG6525" s="580">
        <f t="shared" si="544"/>
        <v>0</v>
      </c>
      <c r="AH6525" s="580">
        <f t="shared" si="545"/>
        <v>0</v>
      </c>
    </row>
    <row r="6526" spans="28:34">
      <c r="AB6526" s="580">
        <f>HLOOKUP("*"&amp;'Output annual'!$AC$2&amp;'Output annual'!$AD$2&amp;"*Zone People Number Of Occupants [](Hourly)",'Eplus results'!$1:$1048576,ROW(),FALSE)</f>
        <v>0</v>
      </c>
      <c r="AC6526" s="580">
        <f>HLOOKUP("*"&amp;'Output annual'!$AC$2&amp;'Output annual'!$AD$2&amp;"*FangerPMV(Hourly)",'Eplus results'!$1:$1048576,ROW(),FALSE)</f>
        <v>0</v>
      </c>
      <c r="AD6526" s="580">
        <f t="shared" si="541"/>
        <v>5</v>
      </c>
      <c r="AE6526" s="580">
        <f t="shared" si="542"/>
        <v>2.5</v>
      </c>
      <c r="AF6526" s="580">
        <f t="shared" si="543"/>
        <v>2.5</v>
      </c>
      <c r="AG6526" s="580">
        <f t="shared" si="544"/>
        <v>0</v>
      </c>
      <c r="AH6526" s="580">
        <f t="shared" si="545"/>
        <v>0</v>
      </c>
    </row>
    <row r="6527" spans="28:34">
      <c r="AB6527" s="580">
        <f>HLOOKUP("*"&amp;'Output annual'!$AC$2&amp;'Output annual'!$AD$2&amp;"*Zone People Number Of Occupants [](Hourly)",'Eplus results'!$1:$1048576,ROW(),FALSE)</f>
        <v>0</v>
      </c>
      <c r="AC6527" s="580">
        <f>HLOOKUP("*"&amp;'Output annual'!$AC$2&amp;'Output annual'!$AD$2&amp;"*FangerPMV(Hourly)",'Eplus results'!$1:$1048576,ROW(),FALSE)</f>
        <v>0</v>
      </c>
      <c r="AD6527" s="580">
        <f t="shared" si="541"/>
        <v>5</v>
      </c>
      <c r="AE6527" s="580">
        <f t="shared" si="542"/>
        <v>2.5</v>
      </c>
      <c r="AF6527" s="580">
        <f t="shared" si="543"/>
        <v>2.5</v>
      </c>
      <c r="AG6527" s="580">
        <f t="shared" si="544"/>
        <v>0</v>
      </c>
      <c r="AH6527" s="580">
        <f t="shared" si="545"/>
        <v>0</v>
      </c>
    </row>
    <row r="6528" spans="28:34">
      <c r="AB6528" s="580">
        <f>HLOOKUP("*"&amp;'Output annual'!$AC$2&amp;'Output annual'!$AD$2&amp;"*Zone People Number Of Occupants [](Hourly)",'Eplus results'!$1:$1048576,ROW(),FALSE)</f>
        <v>0</v>
      </c>
      <c r="AC6528" s="580">
        <f>HLOOKUP("*"&amp;'Output annual'!$AC$2&amp;'Output annual'!$AD$2&amp;"*FangerPMV(Hourly)",'Eplus results'!$1:$1048576,ROW(),FALSE)</f>
        <v>0</v>
      </c>
      <c r="AD6528" s="580">
        <f t="shared" si="541"/>
        <v>5</v>
      </c>
      <c r="AE6528" s="580">
        <f t="shared" si="542"/>
        <v>2.5</v>
      </c>
      <c r="AF6528" s="580">
        <f t="shared" si="543"/>
        <v>2.5</v>
      </c>
      <c r="AG6528" s="580">
        <f t="shared" si="544"/>
        <v>0</v>
      </c>
      <c r="AH6528" s="580">
        <f t="shared" si="545"/>
        <v>0</v>
      </c>
    </row>
    <row r="6529" spans="28:34">
      <c r="AB6529" s="580">
        <f>HLOOKUP("*"&amp;'Output annual'!$AC$2&amp;'Output annual'!$AD$2&amp;"*Zone People Number Of Occupants [](Hourly)",'Eplus results'!$1:$1048576,ROW(),FALSE)</f>
        <v>0</v>
      </c>
      <c r="AC6529" s="580">
        <f>HLOOKUP("*"&amp;'Output annual'!$AC$2&amp;'Output annual'!$AD$2&amp;"*FangerPMV(Hourly)",'Eplus results'!$1:$1048576,ROW(),FALSE)</f>
        <v>0</v>
      </c>
      <c r="AD6529" s="580">
        <f t="shared" si="541"/>
        <v>5</v>
      </c>
      <c r="AE6529" s="580">
        <f t="shared" si="542"/>
        <v>2.5</v>
      </c>
      <c r="AF6529" s="580">
        <f t="shared" si="543"/>
        <v>2.5</v>
      </c>
      <c r="AG6529" s="580">
        <f t="shared" si="544"/>
        <v>0</v>
      </c>
      <c r="AH6529" s="580">
        <f t="shared" si="545"/>
        <v>0</v>
      </c>
    </row>
    <row r="6530" spans="28:34">
      <c r="AB6530" s="580">
        <f>HLOOKUP("*"&amp;'Output annual'!$AC$2&amp;'Output annual'!$AD$2&amp;"*Zone People Number Of Occupants [](Hourly)",'Eplus results'!$1:$1048576,ROW(),FALSE)</f>
        <v>0</v>
      </c>
      <c r="AC6530" s="580">
        <f>HLOOKUP("*"&amp;'Output annual'!$AC$2&amp;'Output annual'!$AD$2&amp;"*FangerPMV(Hourly)",'Eplus results'!$1:$1048576,ROW(),FALSE)</f>
        <v>0</v>
      </c>
      <c r="AD6530" s="580">
        <f t="shared" si="541"/>
        <v>5</v>
      </c>
      <c r="AE6530" s="580">
        <f t="shared" si="542"/>
        <v>2.5</v>
      </c>
      <c r="AF6530" s="580">
        <f t="shared" si="543"/>
        <v>2.5</v>
      </c>
      <c r="AG6530" s="580">
        <f t="shared" si="544"/>
        <v>0</v>
      </c>
      <c r="AH6530" s="580">
        <f t="shared" si="545"/>
        <v>0</v>
      </c>
    </row>
    <row r="6531" spans="28:34">
      <c r="AB6531" s="580">
        <f>HLOOKUP("*"&amp;'Output annual'!$AC$2&amp;'Output annual'!$AD$2&amp;"*Zone People Number Of Occupants [](Hourly)",'Eplus results'!$1:$1048576,ROW(),FALSE)</f>
        <v>0</v>
      </c>
      <c r="AC6531" s="580">
        <f>HLOOKUP("*"&amp;'Output annual'!$AC$2&amp;'Output annual'!$AD$2&amp;"*FangerPMV(Hourly)",'Eplus results'!$1:$1048576,ROW(),FALSE)</f>
        <v>0</v>
      </c>
      <c r="AD6531" s="580">
        <f t="shared" ref="AD6531:AD6594" si="546">100-95*EXP(-0.03353*AC6531^4-0.2179*AC6531^2)</f>
        <v>5</v>
      </c>
      <c r="AE6531" s="580">
        <f t="shared" ref="AE6531:AE6594" si="547">AD6531*(1/(1+EXP(-6.3*$AC6531)))</f>
        <v>2.5</v>
      </c>
      <c r="AF6531" s="580">
        <f t="shared" ref="AF6531:AF6594" si="548">(AD6531-AE6531)</f>
        <v>2.5</v>
      </c>
      <c r="AG6531" s="580">
        <f t="shared" ref="AG6531:AG6594" si="549">AE6531*AB6531</f>
        <v>0</v>
      </c>
      <c r="AH6531" s="580">
        <f t="shared" ref="AH6531:AH6594" si="550">AF6531*AB6531</f>
        <v>0</v>
      </c>
    </row>
    <row r="6532" spans="28:34">
      <c r="AB6532" s="580">
        <f>HLOOKUP("*"&amp;'Output annual'!$AC$2&amp;'Output annual'!$AD$2&amp;"*Zone People Number Of Occupants [](Hourly)",'Eplus results'!$1:$1048576,ROW(),FALSE)</f>
        <v>0</v>
      </c>
      <c r="AC6532" s="580">
        <f>HLOOKUP("*"&amp;'Output annual'!$AC$2&amp;'Output annual'!$AD$2&amp;"*FangerPMV(Hourly)",'Eplus results'!$1:$1048576,ROW(),FALSE)</f>
        <v>0</v>
      </c>
      <c r="AD6532" s="580">
        <f t="shared" si="546"/>
        <v>5</v>
      </c>
      <c r="AE6532" s="580">
        <f t="shared" si="547"/>
        <v>2.5</v>
      </c>
      <c r="AF6532" s="580">
        <f t="shared" si="548"/>
        <v>2.5</v>
      </c>
      <c r="AG6532" s="580">
        <f t="shared" si="549"/>
        <v>0</v>
      </c>
      <c r="AH6532" s="580">
        <f t="shared" si="550"/>
        <v>0</v>
      </c>
    </row>
    <row r="6533" spans="28:34">
      <c r="AB6533" s="580">
        <f>HLOOKUP("*"&amp;'Output annual'!$AC$2&amp;'Output annual'!$AD$2&amp;"*Zone People Number Of Occupants [](Hourly)",'Eplus results'!$1:$1048576,ROW(),FALSE)</f>
        <v>0</v>
      </c>
      <c r="AC6533" s="580">
        <f>HLOOKUP("*"&amp;'Output annual'!$AC$2&amp;'Output annual'!$AD$2&amp;"*FangerPMV(Hourly)",'Eplus results'!$1:$1048576,ROW(),FALSE)</f>
        <v>0</v>
      </c>
      <c r="AD6533" s="580">
        <f t="shared" si="546"/>
        <v>5</v>
      </c>
      <c r="AE6533" s="580">
        <f t="shared" si="547"/>
        <v>2.5</v>
      </c>
      <c r="AF6533" s="580">
        <f t="shared" si="548"/>
        <v>2.5</v>
      </c>
      <c r="AG6533" s="580">
        <f t="shared" si="549"/>
        <v>0</v>
      </c>
      <c r="AH6533" s="580">
        <f t="shared" si="550"/>
        <v>0</v>
      </c>
    </row>
    <row r="6534" spans="28:34">
      <c r="AB6534" s="580">
        <f>HLOOKUP("*"&amp;'Output annual'!$AC$2&amp;'Output annual'!$AD$2&amp;"*Zone People Number Of Occupants [](Hourly)",'Eplus results'!$1:$1048576,ROW(),FALSE)</f>
        <v>0</v>
      </c>
      <c r="AC6534" s="580">
        <f>HLOOKUP("*"&amp;'Output annual'!$AC$2&amp;'Output annual'!$AD$2&amp;"*FangerPMV(Hourly)",'Eplus results'!$1:$1048576,ROW(),FALSE)</f>
        <v>0</v>
      </c>
      <c r="AD6534" s="580">
        <f t="shared" si="546"/>
        <v>5</v>
      </c>
      <c r="AE6534" s="580">
        <f t="shared" si="547"/>
        <v>2.5</v>
      </c>
      <c r="AF6534" s="580">
        <f t="shared" si="548"/>
        <v>2.5</v>
      </c>
      <c r="AG6534" s="580">
        <f t="shared" si="549"/>
        <v>0</v>
      </c>
      <c r="AH6534" s="580">
        <f t="shared" si="550"/>
        <v>0</v>
      </c>
    </row>
    <row r="6535" spans="28:34">
      <c r="AB6535" s="580">
        <f>HLOOKUP("*"&amp;'Output annual'!$AC$2&amp;'Output annual'!$AD$2&amp;"*Zone People Number Of Occupants [](Hourly)",'Eplus results'!$1:$1048576,ROW(),FALSE)</f>
        <v>0</v>
      </c>
      <c r="AC6535" s="580">
        <f>HLOOKUP("*"&amp;'Output annual'!$AC$2&amp;'Output annual'!$AD$2&amp;"*FangerPMV(Hourly)",'Eplus results'!$1:$1048576,ROW(),FALSE)</f>
        <v>0</v>
      </c>
      <c r="AD6535" s="580">
        <f t="shared" si="546"/>
        <v>5</v>
      </c>
      <c r="AE6535" s="580">
        <f t="shared" si="547"/>
        <v>2.5</v>
      </c>
      <c r="AF6535" s="580">
        <f t="shared" si="548"/>
        <v>2.5</v>
      </c>
      <c r="AG6535" s="580">
        <f t="shared" si="549"/>
        <v>0</v>
      </c>
      <c r="AH6535" s="580">
        <f t="shared" si="550"/>
        <v>0</v>
      </c>
    </row>
    <row r="6536" spans="28:34">
      <c r="AB6536" s="580">
        <f>HLOOKUP("*"&amp;'Output annual'!$AC$2&amp;'Output annual'!$AD$2&amp;"*Zone People Number Of Occupants [](Hourly)",'Eplus results'!$1:$1048576,ROW(),FALSE)</f>
        <v>0</v>
      </c>
      <c r="AC6536" s="580">
        <f>HLOOKUP("*"&amp;'Output annual'!$AC$2&amp;'Output annual'!$AD$2&amp;"*FangerPMV(Hourly)",'Eplus results'!$1:$1048576,ROW(),FALSE)</f>
        <v>0</v>
      </c>
      <c r="AD6536" s="580">
        <f t="shared" si="546"/>
        <v>5</v>
      </c>
      <c r="AE6536" s="580">
        <f t="shared" si="547"/>
        <v>2.5</v>
      </c>
      <c r="AF6536" s="580">
        <f t="shared" si="548"/>
        <v>2.5</v>
      </c>
      <c r="AG6536" s="580">
        <f t="shared" si="549"/>
        <v>0</v>
      </c>
      <c r="AH6536" s="580">
        <f t="shared" si="550"/>
        <v>0</v>
      </c>
    </row>
    <row r="6537" spans="28:34">
      <c r="AB6537" s="580">
        <f>HLOOKUP("*"&amp;'Output annual'!$AC$2&amp;'Output annual'!$AD$2&amp;"*Zone People Number Of Occupants [](Hourly)",'Eplus results'!$1:$1048576,ROW(),FALSE)</f>
        <v>0</v>
      </c>
      <c r="AC6537" s="580">
        <f>HLOOKUP("*"&amp;'Output annual'!$AC$2&amp;'Output annual'!$AD$2&amp;"*FangerPMV(Hourly)",'Eplus results'!$1:$1048576,ROW(),FALSE)</f>
        <v>0</v>
      </c>
      <c r="AD6537" s="580">
        <f t="shared" si="546"/>
        <v>5</v>
      </c>
      <c r="AE6537" s="580">
        <f t="shared" si="547"/>
        <v>2.5</v>
      </c>
      <c r="AF6537" s="580">
        <f t="shared" si="548"/>
        <v>2.5</v>
      </c>
      <c r="AG6537" s="580">
        <f t="shared" si="549"/>
        <v>0</v>
      </c>
      <c r="AH6537" s="580">
        <f t="shared" si="550"/>
        <v>0</v>
      </c>
    </row>
    <row r="6538" spans="28:34">
      <c r="AB6538" s="580">
        <f>HLOOKUP("*"&amp;'Output annual'!$AC$2&amp;'Output annual'!$AD$2&amp;"*Zone People Number Of Occupants [](Hourly)",'Eplus results'!$1:$1048576,ROW(),FALSE)</f>
        <v>0</v>
      </c>
      <c r="AC6538" s="580">
        <f>HLOOKUP("*"&amp;'Output annual'!$AC$2&amp;'Output annual'!$AD$2&amp;"*FangerPMV(Hourly)",'Eplus results'!$1:$1048576,ROW(),FALSE)</f>
        <v>0</v>
      </c>
      <c r="AD6538" s="580">
        <f t="shared" si="546"/>
        <v>5</v>
      </c>
      <c r="AE6538" s="580">
        <f t="shared" si="547"/>
        <v>2.5</v>
      </c>
      <c r="AF6538" s="580">
        <f t="shared" si="548"/>
        <v>2.5</v>
      </c>
      <c r="AG6538" s="580">
        <f t="shared" si="549"/>
        <v>0</v>
      </c>
      <c r="AH6538" s="580">
        <f t="shared" si="550"/>
        <v>0</v>
      </c>
    </row>
    <row r="6539" spans="28:34">
      <c r="AB6539" s="580">
        <f>HLOOKUP("*"&amp;'Output annual'!$AC$2&amp;'Output annual'!$AD$2&amp;"*Zone People Number Of Occupants [](Hourly)",'Eplus results'!$1:$1048576,ROW(),FALSE)</f>
        <v>0</v>
      </c>
      <c r="AC6539" s="580">
        <f>HLOOKUP("*"&amp;'Output annual'!$AC$2&amp;'Output annual'!$AD$2&amp;"*FangerPMV(Hourly)",'Eplus results'!$1:$1048576,ROW(),FALSE)</f>
        <v>0</v>
      </c>
      <c r="AD6539" s="580">
        <f t="shared" si="546"/>
        <v>5</v>
      </c>
      <c r="AE6539" s="580">
        <f t="shared" si="547"/>
        <v>2.5</v>
      </c>
      <c r="AF6539" s="580">
        <f t="shared" si="548"/>
        <v>2.5</v>
      </c>
      <c r="AG6539" s="580">
        <f t="shared" si="549"/>
        <v>0</v>
      </c>
      <c r="AH6539" s="580">
        <f t="shared" si="550"/>
        <v>0</v>
      </c>
    </row>
    <row r="6540" spans="28:34">
      <c r="AB6540" s="580">
        <f>HLOOKUP("*"&amp;'Output annual'!$AC$2&amp;'Output annual'!$AD$2&amp;"*Zone People Number Of Occupants [](Hourly)",'Eplus results'!$1:$1048576,ROW(),FALSE)</f>
        <v>0</v>
      </c>
      <c r="AC6540" s="580">
        <f>HLOOKUP("*"&amp;'Output annual'!$AC$2&amp;'Output annual'!$AD$2&amp;"*FangerPMV(Hourly)",'Eplus results'!$1:$1048576,ROW(),FALSE)</f>
        <v>0</v>
      </c>
      <c r="AD6540" s="580">
        <f t="shared" si="546"/>
        <v>5</v>
      </c>
      <c r="AE6540" s="580">
        <f t="shared" si="547"/>
        <v>2.5</v>
      </c>
      <c r="AF6540" s="580">
        <f t="shared" si="548"/>
        <v>2.5</v>
      </c>
      <c r="AG6540" s="580">
        <f t="shared" si="549"/>
        <v>0</v>
      </c>
      <c r="AH6540" s="580">
        <f t="shared" si="550"/>
        <v>0</v>
      </c>
    </row>
    <row r="6541" spans="28:34">
      <c r="AB6541" s="580">
        <f>HLOOKUP("*"&amp;'Output annual'!$AC$2&amp;'Output annual'!$AD$2&amp;"*Zone People Number Of Occupants [](Hourly)",'Eplus results'!$1:$1048576,ROW(),FALSE)</f>
        <v>0</v>
      </c>
      <c r="AC6541" s="580">
        <f>HLOOKUP("*"&amp;'Output annual'!$AC$2&amp;'Output annual'!$AD$2&amp;"*FangerPMV(Hourly)",'Eplus results'!$1:$1048576,ROW(),FALSE)</f>
        <v>0</v>
      </c>
      <c r="AD6541" s="580">
        <f t="shared" si="546"/>
        <v>5</v>
      </c>
      <c r="AE6541" s="580">
        <f t="shared" si="547"/>
        <v>2.5</v>
      </c>
      <c r="AF6541" s="580">
        <f t="shared" si="548"/>
        <v>2.5</v>
      </c>
      <c r="AG6541" s="580">
        <f t="shared" si="549"/>
        <v>0</v>
      </c>
      <c r="AH6541" s="580">
        <f t="shared" si="550"/>
        <v>0</v>
      </c>
    </row>
    <row r="6542" spans="28:34">
      <c r="AB6542" s="580">
        <f>HLOOKUP("*"&amp;'Output annual'!$AC$2&amp;'Output annual'!$AD$2&amp;"*Zone People Number Of Occupants [](Hourly)",'Eplus results'!$1:$1048576,ROW(),FALSE)</f>
        <v>0</v>
      </c>
      <c r="AC6542" s="580">
        <f>HLOOKUP("*"&amp;'Output annual'!$AC$2&amp;'Output annual'!$AD$2&amp;"*FangerPMV(Hourly)",'Eplus results'!$1:$1048576,ROW(),FALSE)</f>
        <v>0</v>
      </c>
      <c r="AD6542" s="580">
        <f t="shared" si="546"/>
        <v>5</v>
      </c>
      <c r="AE6542" s="580">
        <f t="shared" si="547"/>
        <v>2.5</v>
      </c>
      <c r="AF6542" s="580">
        <f t="shared" si="548"/>
        <v>2.5</v>
      </c>
      <c r="AG6542" s="580">
        <f t="shared" si="549"/>
        <v>0</v>
      </c>
      <c r="AH6542" s="580">
        <f t="shared" si="550"/>
        <v>0</v>
      </c>
    </row>
    <row r="6543" spans="28:34">
      <c r="AB6543" s="580">
        <f>HLOOKUP("*"&amp;'Output annual'!$AC$2&amp;'Output annual'!$AD$2&amp;"*Zone People Number Of Occupants [](Hourly)",'Eplus results'!$1:$1048576,ROW(),FALSE)</f>
        <v>0</v>
      </c>
      <c r="AC6543" s="580">
        <f>HLOOKUP("*"&amp;'Output annual'!$AC$2&amp;'Output annual'!$AD$2&amp;"*FangerPMV(Hourly)",'Eplus results'!$1:$1048576,ROW(),FALSE)</f>
        <v>0</v>
      </c>
      <c r="AD6543" s="580">
        <f t="shared" si="546"/>
        <v>5</v>
      </c>
      <c r="AE6543" s="580">
        <f t="shared" si="547"/>
        <v>2.5</v>
      </c>
      <c r="AF6543" s="580">
        <f t="shared" si="548"/>
        <v>2.5</v>
      </c>
      <c r="AG6543" s="580">
        <f t="shared" si="549"/>
        <v>0</v>
      </c>
      <c r="AH6543" s="580">
        <f t="shared" si="550"/>
        <v>0</v>
      </c>
    </row>
    <row r="6544" spans="28:34">
      <c r="AB6544" s="580">
        <f>HLOOKUP("*"&amp;'Output annual'!$AC$2&amp;'Output annual'!$AD$2&amp;"*Zone People Number Of Occupants [](Hourly)",'Eplus results'!$1:$1048576,ROW(),FALSE)</f>
        <v>0</v>
      </c>
      <c r="AC6544" s="580">
        <f>HLOOKUP("*"&amp;'Output annual'!$AC$2&amp;'Output annual'!$AD$2&amp;"*FangerPMV(Hourly)",'Eplus results'!$1:$1048576,ROW(),FALSE)</f>
        <v>0</v>
      </c>
      <c r="AD6544" s="580">
        <f t="shared" si="546"/>
        <v>5</v>
      </c>
      <c r="AE6544" s="580">
        <f t="shared" si="547"/>
        <v>2.5</v>
      </c>
      <c r="AF6544" s="580">
        <f t="shared" si="548"/>
        <v>2.5</v>
      </c>
      <c r="AG6544" s="580">
        <f t="shared" si="549"/>
        <v>0</v>
      </c>
      <c r="AH6544" s="580">
        <f t="shared" si="550"/>
        <v>0</v>
      </c>
    </row>
    <row r="6545" spans="28:34">
      <c r="AB6545" s="580">
        <f>HLOOKUP("*"&amp;'Output annual'!$AC$2&amp;'Output annual'!$AD$2&amp;"*Zone People Number Of Occupants [](Hourly)",'Eplus results'!$1:$1048576,ROW(),FALSE)</f>
        <v>0</v>
      </c>
      <c r="AC6545" s="580">
        <f>HLOOKUP("*"&amp;'Output annual'!$AC$2&amp;'Output annual'!$AD$2&amp;"*FangerPMV(Hourly)",'Eplus results'!$1:$1048576,ROW(),FALSE)</f>
        <v>0</v>
      </c>
      <c r="AD6545" s="580">
        <f t="shared" si="546"/>
        <v>5</v>
      </c>
      <c r="AE6545" s="580">
        <f t="shared" si="547"/>
        <v>2.5</v>
      </c>
      <c r="AF6545" s="580">
        <f t="shared" si="548"/>
        <v>2.5</v>
      </c>
      <c r="AG6545" s="580">
        <f t="shared" si="549"/>
        <v>0</v>
      </c>
      <c r="AH6545" s="580">
        <f t="shared" si="550"/>
        <v>0</v>
      </c>
    </row>
    <row r="6546" spans="28:34">
      <c r="AB6546" s="580">
        <f>HLOOKUP("*"&amp;'Output annual'!$AC$2&amp;'Output annual'!$AD$2&amp;"*Zone People Number Of Occupants [](Hourly)",'Eplus results'!$1:$1048576,ROW(),FALSE)</f>
        <v>0</v>
      </c>
      <c r="AC6546" s="580">
        <f>HLOOKUP("*"&amp;'Output annual'!$AC$2&amp;'Output annual'!$AD$2&amp;"*FangerPMV(Hourly)",'Eplus results'!$1:$1048576,ROW(),FALSE)</f>
        <v>0</v>
      </c>
      <c r="AD6546" s="580">
        <f t="shared" si="546"/>
        <v>5</v>
      </c>
      <c r="AE6546" s="580">
        <f t="shared" si="547"/>
        <v>2.5</v>
      </c>
      <c r="AF6546" s="580">
        <f t="shared" si="548"/>
        <v>2.5</v>
      </c>
      <c r="AG6546" s="580">
        <f t="shared" si="549"/>
        <v>0</v>
      </c>
      <c r="AH6546" s="580">
        <f t="shared" si="550"/>
        <v>0</v>
      </c>
    </row>
    <row r="6547" spans="28:34">
      <c r="AB6547" s="580">
        <f>HLOOKUP("*"&amp;'Output annual'!$AC$2&amp;'Output annual'!$AD$2&amp;"*Zone People Number Of Occupants [](Hourly)",'Eplus results'!$1:$1048576,ROW(),FALSE)</f>
        <v>0</v>
      </c>
      <c r="AC6547" s="580">
        <f>HLOOKUP("*"&amp;'Output annual'!$AC$2&amp;'Output annual'!$AD$2&amp;"*FangerPMV(Hourly)",'Eplus results'!$1:$1048576,ROW(),FALSE)</f>
        <v>0</v>
      </c>
      <c r="AD6547" s="580">
        <f t="shared" si="546"/>
        <v>5</v>
      </c>
      <c r="AE6547" s="580">
        <f t="shared" si="547"/>
        <v>2.5</v>
      </c>
      <c r="AF6547" s="580">
        <f t="shared" si="548"/>
        <v>2.5</v>
      </c>
      <c r="AG6547" s="580">
        <f t="shared" si="549"/>
        <v>0</v>
      </c>
      <c r="AH6547" s="580">
        <f t="shared" si="550"/>
        <v>0</v>
      </c>
    </row>
    <row r="6548" spans="28:34">
      <c r="AB6548" s="580">
        <f>HLOOKUP("*"&amp;'Output annual'!$AC$2&amp;'Output annual'!$AD$2&amp;"*Zone People Number Of Occupants [](Hourly)",'Eplus results'!$1:$1048576,ROW(),FALSE)</f>
        <v>0</v>
      </c>
      <c r="AC6548" s="580">
        <f>HLOOKUP("*"&amp;'Output annual'!$AC$2&amp;'Output annual'!$AD$2&amp;"*FangerPMV(Hourly)",'Eplus results'!$1:$1048576,ROW(),FALSE)</f>
        <v>0</v>
      </c>
      <c r="AD6548" s="580">
        <f t="shared" si="546"/>
        <v>5</v>
      </c>
      <c r="AE6548" s="580">
        <f t="shared" si="547"/>
        <v>2.5</v>
      </c>
      <c r="AF6548" s="580">
        <f t="shared" si="548"/>
        <v>2.5</v>
      </c>
      <c r="AG6548" s="580">
        <f t="shared" si="549"/>
        <v>0</v>
      </c>
      <c r="AH6548" s="580">
        <f t="shared" si="550"/>
        <v>0</v>
      </c>
    </row>
    <row r="6549" spans="28:34">
      <c r="AB6549" s="580">
        <f>HLOOKUP("*"&amp;'Output annual'!$AC$2&amp;'Output annual'!$AD$2&amp;"*Zone People Number Of Occupants [](Hourly)",'Eplus results'!$1:$1048576,ROW(),FALSE)</f>
        <v>0</v>
      </c>
      <c r="AC6549" s="580">
        <f>HLOOKUP("*"&amp;'Output annual'!$AC$2&amp;'Output annual'!$AD$2&amp;"*FangerPMV(Hourly)",'Eplus results'!$1:$1048576,ROW(),FALSE)</f>
        <v>0</v>
      </c>
      <c r="AD6549" s="580">
        <f t="shared" si="546"/>
        <v>5</v>
      </c>
      <c r="AE6549" s="580">
        <f t="shared" si="547"/>
        <v>2.5</v>
      </c>
      <c r="AF6549" s="580">
        <f t="shared" si="548"/>
        <v>2.5</v>
      </c>
      <c r="AG6549" s="580">
        <f t="shared" si="549"/>
        <v>0</v>
      </c>
      <c r="AH6549" s="580">
        <f t="shared" si="550"/>
        <v>0</v>
      </c>
    </row>
    <row r="6550" spans="28:34">
      <c r="AB6550" s="580">
        <f>HLOOKUP("*"&amp;'Output annual'!$AC$2&amp;'Output annual'!$AD$2&amp;"*Zone People Number Of Occupants [](Hourly)",'Eplus results'!$1:$1048576,ROW(),FALSE)</f>
        <v>0</v>
      </c>
      <c r="AC6550" s="580">
        <f>HLOOKUP("*"&amp;'Output annual'!$AC$2&amp;'Output annual'!$AD$2&amp;"*FangerPMV(Hourly)",'Eplus results'!$1:$1048576,ROW(),FALSE)</f>
        <v>0</v>
      </c>
      <c r="AD6550" s="580">
        <f t="shared" si="546"/>
        <v>5</v>
      </c>
      <c r="AE6550" s="580">
        <f t="shared" si="547"/>
        <v>2.5</v>
      </c>
      <c r="AF6550" s="580">
        <f t="shared" si="548"/>
        <v>2.5</v>
      </c>
      <c r="AG6550" s="580">
        <f t="shared" si="549"/>
        <v>0</v>
      </c>
      <c r="AH6550" s="580">
        <f t="shared" si="550"/>
        <v>0</v>
      </c>
    </row>
    <row r="6551" spans="28:34">
      <c r="AB6551" s="580">
        <f>HLOOKUP("*"&amp;'Output annual'!$AC$2&amp;'Output annual'!$AD$2&amp;"*Zone People Number Of Occupants [](Hourly)",'Eplus results'!$1:$1048576,ROW(),FALSE)</f>
        <v>0</v>
      </c>
      <c r="AC6551" s="580">
        <f>HLOOKUP("*"&amp;'Output annual'!$AC$2&amp;'Output annual'!$AD$2&amp;"*FangerPMV(Hourly)",'Eplus results'!$1:$1048576,ROW(),FALSE)</f>
        <v>0</v>
      </c>
      <c r="AD6551" s="580">
        <f t="shared" si="546"/>
        <v>5</v>
      </c>
      <c r="AE6551" s="580">
        <f t="shared" si="547"/>
        <v>2.5</v>
      </c>
      <c r="AF6551" s="580">
        <f t="shared" si="548"/>
        <v>2.5</v>
      </c>
      <c r="AG6551" s="580">
        <f t="shared" si="549"/>
        <v>0</v>
      </c>
      <c r="AH6551" s="580">
        <f t="shared" si="550"/>
        <v>0</v>
      </c>
    </row>
    <row r="6552" spans="28:34">
      <c r="AB6552" s="580">
        <f>HLOOKUP("*"&amp;'Output annual'!$AC$2&amp;'Output annual'!$AD$2&amp;"*Zone People Number Of Occupants [](Hourly)",'Eplus results'!$1:$1048576,ROW(),FALSE)</f>
        <v>0</v>
      </c>
      <c r="AC6552" s="580">
        <f>HLOOKUP("*"&amp;'Output annual'!$AC$2&amp;'Output annual'!$AD$2&amp;"*FangerPMV(Hourly)",'Eplus results'!$1:$1048576,ROW(),FALSE)</f>
        <v>0</v>
      </c>
      <c r="AD6552" s="580">
        <f t="shared" si="546"/>
        <v>5</v>
      </c>
      <c r="AE6552" s="580">
        <f t="shared" si="547"/>
        <v>2.5</v>
      </c>
      <c r="AF6552" s="580">
        <f t="shared" si="548"/>
        <v>2.5</v>
      </c>
      <c r="AG6552" s="580">
        <f t="shared" si="549"/>
        <v>0</v>
      </c>
      <c r="AH6552" s="580">
        <f t="shared" si="550"/>
        <v>0</v>
      </c>
    </row>
    <row r="6553" spans="28:34">
      <c r="AB6553" s="580">
        <f>HLOOKUP("*"&amp;'Output annual'!$AC$2&amp;'Output annual'!$AD$2&amp;"*Zone People Number Of Occupants [](Hourly)",'Eplus results'!$1:$1048576,ROW(),FALSE)</f>
        <v>0</v>
      </c>
      <c r="AC6553" s="580">
        <f>HLOOKUP("*"&amp;'Output annual'!$AC$2&amp;'Output annual'!$AD$2&amp;"*FangerPMV(Hourly)",'Eplus results'!$1:$1048576,ROW(),FALSE)</f>
        <v>0</v>
      </c>
      <c r="AD6553" s="580">
        <f t="shared" si="546"/>
        <v>5</v>
      </c>
      <c r="AE6553" s="580">
        <f t="shared" si="547"/>
        <v>2.5</v>
      </c>
      <c r="AF6553" s="580">
        <f t="shared" si="548"/>
        <v>2.5</v>
      </c>
      <c r="AG6553" s="580">
        <f t="shared" si="549"/>
        <v>0</v>
      </c>
      <c r="AH6553" s="580">
        <f t="shared" si="550"/>
        <v>0</v>
      </c>
    </row>
    <row r="6554" spans="28:34">
      <c r="AB6554" s="580">
        <f>HLOOKUP("*"&amp;'Output annual'!$AC$2&amp;'Output annual'!$AD$2&amp;"*Zone People Number Of Occupants [](Hourly)",'Eplus results'!$1:$1048576,ROW(),FALSE)</f>
        <v>0</v>
      </c>
      <c r="AC6554" s="580">
        <f>HLOOKUP("*"&amp;'Output annual'!$AC$2&amp;'Output annual'!$AD$2&amp;"*FangerPMV(Hourly)",'Eplus results'!$1:$1048576,ROW(),FALSE)</f>
        <v>0</v>
      </c>
      <c r="AD6554" s="580">
        <f t="shared" si="546"/>
        <v>5</v>
      </c>
      <c r="AE6554" s="580">
        <f t="shared" si="547"/>
        <v>2.5</v>
      </c>
      <c r="AF6554" s="580">
        <f t="shared" si="548"/>
        <v>2.5</v>
      </c>
      <c r="AG6554" s="580">
        <f t="shared" si="549"/>
        <v>0</v>
      </c>
      <c r="AH6554" s="580">
        <f t="shared" si="550"/>
        <v>0</v>
      </c>
    </row>
    <row r="6555" spans="28:34">
      <c r="AB6555" s="580">
        <f>HLOOKUP("*"&amp;'Output annual'!$AC$2&amp;'Output annual'!$AD$2&amp;"*Zone People Number Of Occupants [](Hourly)",'Eplus results'!$1:$1048576,ROW(),FALSE)</f>
        <v>0</v>
      </c>
      <c r="AC6555" s="580">
        <f>HLOOKUP("*"&amp;'Output annual'!$AC$2&amp;'Output annual'!$AD$2&amp;"*FangerPMV(Hourly)",'Eplus results'!$1:$1048576,ROW(),FALSE)</f>
        <v>0</v>
      </c>
      <c r="AD6555" s="580">
        <f t="shared" si="546"/>
        <v>5</v>
      </c>
      <c r="AE6555" s="580">
        <f t="shared" si="547"/>
        <v>2.5</v>
      </c>
      <c r="AF6555" s="580">
        <f t="shared" si="548"/>
        <v>2.5</v>
      </c>
      <c r="AG6555" s="580">
        <f t="shared" si="549"/>
        <v>0</v>
      </c>
      <c r="AH6555" s="580">
        <f t="shared" si="550"/>
        <v>0</v>
      </c>
    </row>
    <row r="6556" spans="28:34">
      <c r="AB6556" s="580">
        <f>HLOOKUP("*"&amp;'Output annual'!$AC$2&amp;'Output annual'!$AD$2&amp;"*Zone People Number Of Occupants [](Hourly)",'Eplus results'!$1:$1048576,ROW(),FALSE)</f>
        <v>0</v>
      </c>
      <c r="AC6556" s="580">
        <f>HLOOKUP("*"&amp;'Output annual'!$AC$2&amp;'Output annual'!$AD$2&amp;"*FangerPMV(Hourly)",'Eplus results'!$1:$1048576,ROW(),FALSE)</f>
        <v>0</v>
      </c>
      <c r="AD6556" s="580">
        <f t="shared" si="546"/>
        <v>5</v>
      </c>
      <c r="AE6556" s="580">
        <f t="shared" si="547"/>
        <v>2.5</v>
      </c>
      <c r="AF6556" s="580">
        <f t="shared" si="548"/>
        <v>2.5</v>
      </c>
      <c r="AG6556" s="580">
        <f t="shared" si="549"/>
        <v>0</v>
      </c>
      <c r="AH6556" s="580">
        <f t="shared" si="550"/>
        <v>0</v>
      </c>
    </row>
    <row r="6557" spans="28:34">
      <c r="AB6557" s="580">
        <f>HLOOKUP("*"&amp;'Output annual'!$AC$2&amp;'Output annual'!$AD$2&amp;"*Zone People Number Of Occupants [](Hourly)",'Eplus results'!$1:$1048576,ROW(),FALSE)</f>
        <v>0</v>
      </c>
      <c r="AC6557" s="580">
        <f>HLOOKUP("*"&amp;'Output annual'!$AC$2&amp;'Output annual'!$AD$2&amp;"*FangerPMV(Hourly)",'Eplus results'!$1:$1048576,ROW(),FALSE)</f>
        <v>0</v>
      </c>
      <c r="AD6557" s="580">
        <f t="shared" si="546"/>
        <v>5</v>
      </c>
      <c r="AE6557" s="580">
        <f t="shared" si="547"/>
        <v>2.5</v>
      </c>
      <c r="AF6557" s="580">
        <f t="shared" si="548"/>
        <v>2.5</v>
      </c>
      <c r="AG6557" s="580">
        <f t="shared" si="549"/>
        <v>0</v>
      </c>
      <c r="AH6557" s="580">
        <f t="shared" si="550"/>
        <v>0</v>
      </c>
    </row>
    <row r="6558" spans="28:34">
      <c r="AB6558" s="580">
        <f>HLOOKUP("*"&amp;'Output annual'!$AC$2&amp;'Output annual'!$AD$2&amp;"*Zone People Number Of Occupants [](Hourly)",'Eplus results'!$1:$1048576,ROW(),FALSE)</f>
        <v>0</v>
      </c>
      <c r="AC6558" s="580">
        <f>HLOOKUP("*"&amp;'Output annual'!$AC$2&amp;'Output annual'!$AD$2&amp;"*FangerPMV(Hourly)",'Eplus results'!$1:$1048576,ROW(),FALSE)</f>
        <v>0</v>
      </c>
      <c r="AD6558" s="580">
        <f t="shared" si="546"/>
        <v>5</v>
      </c>
      <c r="AE6558" s="580">
        <f t="shared" si="547"/>
        <v>2.5</v>
      </c>
      <c r="AF6558" s="580">
        <f t="shared" si="548"/>
        <v>2.5</v>
      </c>
      <c r="AG6558" s="580">
        <f t="shared" si="549"/>
        <v>0</v>
      </c>
      <c r="AH6558" s="580">
        <f t="shared" si="550"/>
        <v>0</v>
      </c>
    </row>
    <row r="6559" spans="28:34">
      <c r="AB6559" s="580">
        <f>HLOOKUP("*"&amp;'Output annual'!$AC$2&amp;'Output annual'!$AD$2&amp;"*Zone People Number Of Occupants [](Hourly)",'Eplus results'!$1:$1048576,ROW(),FALSE)</f>
        <v>0</v>
      </c>
      <c r="AC6559" s="580">
        <f>HLOOKUP("*"&amp;'Output annual'!$AC$2&amp;'Output annual'!$AD$2&amp;"*FangerPMV(Hourly)",'Eplus results'!$1:$1048576,ROW(),FALSE)</f>
        <v>0</v>
      </c>
      <c r="AD6559" s="580">
        <f t="shared" si="546"/>
        <v>5</v>
      </c>
      <c r="AE6559" s="580">
        <f t="shared" si="547"/>
        <v>2.5</v>
      </c>
      <c r="AF6559" s="580">
        <f t="shared" si="548"/>
        <v>2.5</v>
      </c>
      <c r="AG6559" s="580">
        <f t="shared" si="549"/>
        <v>0</v>
      </c>
      <c r="AH6559" s="580">
        <f t="shared" si="550"/>
        <v>0</v>
      </c>
    </row>
    <row r="6560" spans="28:34">
      <c r="AB6560" s="580">
        <f>HLOOKUP("*"&amp;'Output annual'!$AC$2&amp;'Output annual'!$AD$2&amp;"*Zone People Number Of Occupants [](Hourly)",'Eplus results'!$1:$1048576,ROW(),FALSE)</f>
        <v>0</v>
      </c>
      <c r="AC6560" s="580">
        <f>HLOOKUP("*"&amp;'Output annual'!$AC$2&amp;'Output annual'!$AD$2&amp;"*FangerPMV(Hourly)",'Eplus results'!$1:$1048576,ROW(),FALSE)</f>
        <v>0</v>
      </c>
      <c r="AD6560" s="580">
        <f t="shared" si="546"/>
        <v>5</v>
      </c>
      <c r="AE6560" s="580">
        <f t="shared" si="547"/>
        <v>2.5</v>
      </c>
      <c r="AF6560" s="580">
        <f t="shared" si="548"/>
        <v>2.5</v>
      </c>
      <c r="AG6560" s="580">
        <f t="shared" si="549"/>
        <v>0</v>
      </c>
      <c r="AH6560" s="580">
        <f t="shared" si="550"/>
        <v>0</v>
      </c>
    </row>
    <row r="6561" spans="28:34">
      <c r="AB6561" s="580">
        <f>HLOOKUP("*"&amp;'Output annual'!$AC$2&amp;'Output annual'!$AD$2&amp;"*Zone People Number Of Occupants [](Hourly)",'Eplus results'!$1:$1048576,ROW(),FALSE)</f>
        <v>0</v>
      </c>
      <c r="AC6561" s="580">
        <f>HLOOKUP("*"&amp;'Output annual'!$AC$2&amp;'Output annual'!$AD$2&amp;"*FangerPMV(Hourly)",'Eplus results'!$1:$1048576,ROW(),FALSE)</f>
        <v>0</v>
      </c>
      <c r="AD6561" s="580">
        <f t="shared" si="546"/>
        <v>5</v>
      </c>
      <c r="AE6561" s="580">
        <f t="shared" si="547"/>
        <v>2.5</v>
      </c>
      <c r="AF6561" s="580">
        <f t="shared" si="548"/>
        <v>2.5</v>
      </c>
      <c r="AG6561" s="580">
        <f t="shared" si="549"/>
        <v>0</v>
      </c>
      <c r="AH6561" s="580">
        <f t="shared" si="550"/>
        <v>0</v>
      </c>
    </row>
    <row r="6562" spans="28:34">
      <c r="AB6562" s="580">
        <f>HLOOKUP("*"&amp;'Output annual'!$AC$2&amp;'Output annual'!$AD$2&amp;"*Zone People Number Of Occupants [](Hourly)",'Eplus results'!$1:$1048576,ROW(),FALSE)</f>
        <v>0</v>
      </c>
      <c r="AC6562" s="580">
        <f>HLOOKUP("*"&amp;'Output annual'!$AC$2&amp;'Output annual'!$AD$2&amp;"*FangerPMV(Hourly)",'Eplus results'!$1:$1048576,ROW(),FALSE)</f>
        <v>0</v>
      </c>
      <c r="AD6562" s="580">
        <f t="shared" si="546"/>
        <v>5</v>
      </c>
      <c r="AE6562" s="580">
        <f t="shared" si="547"/>
        <v>2.5</v>
      </c>
      <c r="AF6562" s="580">
        <f t="shared" si="548"/>
        <v>2.5</v>
      </c>
      <c r="AG6562" s="580">
        <f t="shared" si="549"/>
        <v>0</v>
      </c>
      <c r="AH6562" s="580">
        <f t="shared" si="550"/>
        <v>0</v>
      </c>
    </row>
    <row r="6563" spans="28:34">
      <c r="AB6563" s="580">
        <f>HLOOKUP("*"&amp;'Output annual'!$AC$2&amp;'Output annual'!$AD$2&amp;"*Zone People Number Of Occupants [](Hourly)",'Eplus results'!$1:$1048576,ROW(),FALSE)</f>
        <v>0</v>
      </c>
      <c r="AC6563" s="580">
        <f>HLOOKUP("*"&amp;'Output annual'!$AC$2&amp;'Output annual'!$AD$2&amp;"*FangerPMV(Hourly)",'Eplus results'!$1:$1048576,ROW(),FALSE)</f>
        <v>0</v>
      </c>
      <c r="AD6563" s="580">
        <f t="shared" si="546"/>
        <v>5</v>
      </c>
      <c r="AE6563" s="580">
        <f t="shared" si="547"/>
        <v>2.5</v>
      </c>
      <c r="AF6563" s="580">
        <f t="shared" si="548"/>
        <v>2.5</v>
      </c>
      <c r="AG6563" s="580">
        <f t="shared" si="549"/>
        <v>0</v>
      </c>
      <c r="AH6563" s="580">
        <f t="shared" si="550"/>
        <v>0</v>
      </c>
    </row>
    <row r="6564" spans="28:34">
      <c r="AB6564" s="580">
        <f>HLOOKUP("*"&amp;'Output annual'!$AC$2&amp;'Output annual'!$AD$2&amp;"*Zone People Number Of Occupants [](Hourly)",'Eplus results'!$1:$1048576,ROW(),FALSE)</f>
        <v>0</v>
      </c>
      <c r="AC6564" s="580">
        <f>HLOOKUP("*"&amp;'Output annual'!$AC$2&amp;'Output annual'!$AD$2&amp;"*FangerPMV(Hourly)",'Eplus results'!$1:$1048576,ROW(),FALSE)</f>
        <v>0</v>
      </c>
      <c r="AD6564" s="580">
        <f t="shared" si="546"/>
        <v>5</v>
      </c>
      <c r="AE6564" s="580">
        <f t="shared" si="547"/>
        <v>2.5</v>
      </c>
      <c r="AF6564" s="580">
        <f t="shared" si="548"/>
        <v>2.5</v>
      </c>
      <c r="AG6564" s="580">
        <f t="shared" si="549"/>
        <v>0</v>
      </c>
      <c r="AH6564" s="580">
        <f t="shared" si="550"/>
        <v>0</v>
      </c>
    </row>
    <row r="6565" spans="28:34">
      <c r="AB6565" s="580">
        <f>HLOOKUP("*"&amp;'Output annual'!$AC$2&amp;'Output annual'!$AD$2&amp;"*Zone People Number Of Occupants [](Hourly)",'Eplus results'!$1:$1048576,ROW(),FALSE)</f>
        <v>0</v>
      </c>
      <c r="AC6565" s="580">
        <f>HLOOKUP("*"&amp;'Output annual'!$AC$2&amp;'Output annual'!$AD$2&amp;"*FangerPMV(Hourly)",'Eplus results'!$1:$1048576,ROW(),FALSE)</f>
        <v>0</v>
      </c>
      <c r="AD6565" s="580">
        <f t="shared" si="546"/>
        <v>5</v>
      </c>
      <c r="AE6565" s="580">
        <f t="shared" si="547"/>
        <v>2.5</v>
      </c>
      <c r="AF6565" s="580">
        <f t="shared" si="548"/>
        <v>2.5</v>
      </c>
      <c r="AG6565" s="580">
        <f t="shared" si="549"/>
        <v>0</v>
      </c>
      <c r="AH6565" s="580">
        <f t="shared" si="550"/>
        <v>0</v>
      </c>
    </row>
    <row r="6566" spans="28:34">
      <c r="AB6566" s="580">
        <f>HLOOKUP("*"&amp;'Output annual'!$AC$2&amp;'Output annual'!$AD$2&amp;"*Zone People Number Of Occupants [](Hourly)",'Eplus results'!$1:$1048576,ROW(),FALSE)</f>
        <v>0</v>
      </c>
      <c r="AC6566" s="580">
        <f>HLOOKUP("*"&amp;'Output annual'!$AC$2&amp;'Output annual'!$AD$2&amp;"*FangerPMV(Hourly)",'Eplus results'!$1:$1048576,ROW(),FALSE)</f>
        <v>0</v>
      </c>
      <c r="AD6566" s="580">
        <f t="shared" si="546"/>
        <v>5</v>
      </c>
      <c r="AE6566" s="580">
        <f t="shared" si="547"/>
        <v>2.5</v>
      </c>
      <c r="AF6566" s="580">
        <f t="shared" si="548"/>
        <v>2.5</v>
      </c>
      <c r="AG6566" s="580">
        <f t="shared" si="549"/>
        <v>0</v>
      </c>
      <c r="AH6566" s="580">
        <f t="shared" si="550"/>
        <v>0</v>
      </c>
    </row>
    <row r="6567" spans="28:34">
      <c r="AB6567" s="580">
        <f>HLOOKUP("*"&amp;'Output annual'!$AC$2&amp;'Output annual'!$AD$2&amp;"*Zone People Number Of Occupants [](Hourly)",'Eplus results'!$1:$1048576,ROW(),FALSE)</f>
        <v>0</v>
      </c>
      <c r="AC6567" s="580">
        <f>HLOOKUP("*"&amp;'Output annual'!$AC$2&amp;'Output annual'!$AD$2&amp;"*FangerPMV(Hourly)",'Eplus results'!$1:$1048576,ROW(),FALSE)</f>
        <v>0</v>
      </c>
      <c r="AD6567" s="580">
        <f t="shared" si="546"/>
        <v>5</v>
      </c>
      <c r="AE6567" s="580">
        <f t="shared" si="547"/>
        <v>2.5</v>
      </c>
      <c r="AF6567" s="580">
        <f t="shared" si="548"/>
        <v>2.5</v>
      </c>
      <c r="AG6567" s="580">
        <f t="shared" si="549"/>
        <v>0</v>
      </c>
      <c r="AH6567" s="580">
        <f t="shared" si="550"/>
        <v>0</v>
      </c>
    </row>
    <row r="6568" spans="28:34">
      <c r="AB6568" s="580">
        <f>HLOOKUP("*"&amp;'Output annual'!$AC$2&amp;'Output annual'!$AD$2&amp;"*Zone People Number Of Occupants [](Hourly)",'Eplus results'!$1:$1048576,ROW(),FALSE)</f>
        <v>0</v>
      </c>
      <c r="AC6568" s="580">
        <f>HLOOKUP("*"&amp;'Output annual'!$AC$2&amp;'Output annual'!$AD$2&amp;"*FangerPMV(Hourly)",'Eplus results'!$1:$1048576,ROW(),FALSE)</f>
        <v>0</v>
      </c>
      <c r="AD6568" s="580">
        <f t="shared" si="546"/>
        <v>5</v>
      </c>
      <c r="AE6568" s="580">
        <f t="shared" si="547"/>
        <v>2.5</v>
      </c>
      <c r="AF6568" s="580">
        <f t="shared" si="548"/>
        <v>2.5</v>
      </c>
      <c r="AG6568" s="580">
        <f t="shared" si="549"/>
        <v>0</v>
      </c>
      <c r="AH6568" s="580">
        <f t="shared" si="550"/>
        <v>0</v>
      </c>
    </row>
    <row r="6569" spans="28:34">
      <c r="AB6569" s="580">
        <f>HLOOKUP("*"&amp;'Output annual'!$AC$2&amp;'Output annual'!$AD$2&amp;"*Zone People Number Of Occupants [](Hourly)",'Eplus results'!$1:$1048576,ROW(),FALSE)</f>
        <v>0</v>
      </c>
      <c r="AC6569" s="580">
        <f>HLOOKUP("*"&amp;'Output annual'!$AC$2&amp;'Output annual'!$AD$2&amp;"*FangerPMV(Hourly)",'Eplus results'!$1:$1048576,ROW(),FALSE)</f>
        <v>0</v>
      </c>
      <c r="AD6569" s="580">
        <f t="shared" si="546"/>
        <v>5</v>
      </c>
      <c r="AE6569" s="580">
        <f t="shared" si="547"/>
        <v>2.5</v>
      </c>
      <c r="AF6569" s="580">
        <f t="shared" si="548"/>
        <v>2.5</v>
      </c>
      <c r="AG6569" s="580">
        <f t="shared" si="549"/>
        <v>0</v>
      </c>
      <c r="AH6569" s="580">
        <f t="shared" si="550"/>
        <v>0</v>
      </c>
    </row>
    <row r="6570" spans="28:34">
      <c r="AB6570" s="580">
        <f>HLOOKUP("*"&amp;'Output annual'!$AC$2&amp;'Output annual'!$AD$2&amp;"*Zone People Number Of Occupants [](Hourly)",'Eplus results'!$1:$1048576,ROW(),FALSE)</f>
        <v>0</v>
      </c>
      <c r="AC6570" s="580">
        <f>HLOOKUP("*"&amp;'Output annual'!$AC$2&amp;'Output annual'!$AD$2&amp;"*FangerPMV(Hourly)",'Eplus results'!$1:$1048576,ROW(),FALSE)</f>
        <v>0</v>
      </c>
      <c r="AD6570" s="580">
        <f t="shared" si="546"/>
        <v>5</v>
      </c>
      <c r="AE6570" s="580">
        <f t="shared" si="547"/>
        <v>2.5</v>
      </c>
      <c r="AF6570" s="580">
        <f t="shared" si="548"/>
        <v>2.5</v>
      </c>
      <c r="AG6570" s="580">
        <f t="shared" si="549"/>
        <v>0</v>
      </c>
      <c r="AH6570" s="580">
        <f t="shared" si="550"/>
        <v>0</v>
      </c>
    </row>
    <row r="6571" spans="28:34">
      <c r="AB6571" s="580">
        <f>HLOOKUP("*"&amp;'Output annual'!$AC$2&amp;'Output annual'!$AD$2&amp;"*Zone People Number Of Occupants [](Hourly)",'Eplus results'!$1:$1048576,ROW(),FALSE)</f>
        <v>0</v>
      </c>
      <c r="AC6571" s="580">
        <f>HLOOKUP("*"&amp;'Output annual'!$AC$2&amp;'Output annual'!$AD$2&amp;"*FangerPMV(Hourly)",'Eplus results'!$1:$1048576,ROW(),FALSE)</f>
        <v>0</v>
      </c>
      <c r="AD6571" s="580">
        <f t="shared" si="546"/>
        <v>5</v>
      </c>
      <c r="AE6571" s="580">
        <f t="shared" si="547"/>
        <v>2.5</v>
      </c>
      <c r="AF6571" s="580">
        <f t="shared" si="548"/>
        <v>2.5</v>
      </c>
      <c r="AG6571" s="580">
        <f t="shared" si="549"/>
        <v>0</v>
      </c>
      <c r="AH6571" s="580">
        <f t="shared" si="550"/>
        <v>0</v>
      </c>
    </row>
    <row r="6572" spans="28:34">
      <c r="AB6572" s="580">
        <f>HLOOKUP("*"&amp;'Output annual'!$AC$2&amp;'Output annual'!$AD$2&amp;"*Zone People Number Of Occupants [](Hourly)",'Eplus results'!$1:$1048576,ROW(),FALSE)</f>
        <v>0</v>
      </c>
      <c r="AC6572" s="580">
        <f>HLOOKUP("*"&amp;'Output annual'!$AC$2&amp;'Output annual'!$AD$2&amp;"*FangerPMV(Hourly)",'Eplus results'!$1:$1048576,ROW(),FALSE)</f>
        <v>0</v>
      </c>
      <c r="AD6572" s="580">
        <f t="shared" si="546"/>
        <v>5</v>
      </c>
      <c r="AE6572" s="580">
        <f t="shared" si="547"/>
        <v>2.5</v>
      </c>
      <c r="AF6572" s="580">
        <f t="shared" si="548"/>
        <v>2.5</v>
      </c>
      <c r="AG6572" s="580">
        <f t="shared" si="549"/>
        <v>0</v>
      </c>
      <c r="AH6572" s="580">
        <f t="shared" si="550"/>
        <v>0</v>
      </c>
    </row>
    <row r="6573" spans="28:34">
      <c r="AB6573" s="580">
        <f>HLOOKUP("*"&amp;'Output annual'!$AC$2&amp;'Output annual'!$AD$2&amp;"*Zone People Number Of Occupants [](Hourly)",'Eplus results'!$1:$1048576,ROW(),FALSE)</f>
        <v>0</v>
      </c>
      <c r="AC6573" s="580">
        <f>HLOOKUP("*"&amp;'Output annual'!$AC$2&amp;'Output annual'!$AD$2&amp;"*FangerPMV(Hourly)",'Eplus results'!$1:$1048576,ROW(),FALSE)</f>
        <v>0</v>
      </c>
      <c r="AD6573" s="580">
        <f t="shared" si="546"/>
        <v>5</v>
      </c>
      <c r="AE6573" s="580">
        <f t="shared" si="547"/>
        <v>2.5</v>
      </c>
      <c r="AF6573" s="580">
        <f t="shared" si="548"/>
        <v>2.5</v>
      </c>
      <c r="AG6573" s="580">
        <f t="shared" si="549"/>
        <v>0</v>
      </c>
      <c r="AH6573" s="580">
        <f t="shared" si="550"/>
        <v>0</v>
      </c>
    </row>
    <row r="6574" spans="28:34">
      <c r="AB6574" s="580">
        <f>HLOOKUP("*"&amp;'Output annual'!$AC$2&amp;'Output annual'!$AD$2&amp;"*Zone People Number Of Occupants [](Hourly)",'Eplus results'!$1:$1048576,ROW(),FALSE)</f>
        <v>0</v>
      </c>
      <c r="AC6574" s="580">
        <f>HLOOKUP("*"&amp;'Output annual'!$AC$2&amp;'Output annual'!$AD$2&amp;"*FangerPMV(Hourly)",'Eplus results'!$1:$1048576,ROW(),FALSE)</f>
        <v>0</v>
      </c>
      <c r="AD6574" s="580">
        <f t="shared" si="546"/>
        <v>5</v>
      </c>
      <c r="AE6574" s="580">
        <f t="shared" si="547"/>
        <v>2.5</v>
      </c>
      <c r="AF6574" s="580">
        <f t="shared" si="548"/>
        <v>2.5</v>
      </c>
      <c r="AG6574" s="580">
        <f t="shared" si="549"/>
        <v>0</v>
      </c>
      <c r="AH6574" s="580">
        <f t="shared" si="550"/>
        <v>0</v>
      </c>
    </row>
    <row r="6575" spans="28:34">
      <c r="AB6575" s="580">
        <f>HLOOKUP("*"&amp;'Output annual'!$AC$2&amp;'Output annual'!$AD$2&amp;"*Zone People Number Of Occupants [](Hourly)",'Eplus results'!$1:$1048576,ROW(),FALSE)</f>
        <v>0</v>
      </c>
      <c r="AC6575" s="580">
        <f>HLOOKUP("*"&amp;'Output annual'!$AC$2&amp;'Output annual'!$AD$2&amp;"*FangerPMV(Hourly)",'Eplus results'!$1:$1048576,ROW(),FALSE)</f>
        <v>0</v>
      </c>
      <c r="AD6575" s="580">
        <f t="shared" si="546"/>
        <v>5</v>
      </c>
      <c r="AE6575" s="580">
        <f t="shared" si="547"/>
        <v>2.5</v>
      </c>
      <c r="AF6575" s="580">
        <f t="shared" si="548"/>
        <v>2.5</v>
      </c>
      <c r="AG6575" s="580">
        <f t="shared" si="549"/>
        <v>0</v>
      </c>
      <c r="AH6575" s="580">
        <f t="shared" si="550"/>
        <v>0</v>
      </c>
    </row>
    <row r="6576" spans="28:34">
      <c r="AB6576" s="580">
        <f>HLOOKUP("*"&amp;'Output annual'!$AC$2&amp;'Output annual'!$AD$2&amp;"*Zone People Number Of Occupants [](Hourly)",'Eplus results'!$1:$1048576,ROW(),FALSE)</f>
        <v>0</v>
      </c>
      <c r="AC6576" s="580">
        <f>HLOOKUP("*"&amp;'Output annual'!$AC$2&amp;'Output annual'!$AD$2&amp;"*FangerPMV(Hourly)",'Eplus results'!$1:$1048576,ROW(),FALSE)</f>
        <v>0</v>
      </c>
      <c r="AD6576" s="580">
        <f t="shared" si="546"/>
        <v>5</v>
      </c>
      <c r="AE6576" s="580">
        <f t="shared" si="547"/>
        <v>2.5</v>
      </c>
      <c r="AF6576" s="580">
        <f t="shared" si="548"/>
        <v>2.5</v>
      </c>
      <c r="AG6576" s="580">
        <f t="shared" si="549"/>
        <v>0</v>
      </c>
      <c r="AH6576" s="580">
        <f t="shared" si="550"/>
        <v>0</v>
      </c>
    </row>
    <row r="6577" spans="28:34">
      <c r="AB6577" s="580">
        <f>HLOOKUP("*"&amp;'Output annual'!$AC$2&amp;'Output annual'!$AD$2&amp;"*Zone People Number Of Occupants [](Hourly)",'Eplus results'!$1:$1048576,ROW(),FALSE)</f>
        <v>0</v>
      </c>
      <c r="AC6577" s="580">
        <f>HLOOKUP("*"&amp;'Output annual'!$AC$2&amp;'Output annual'!$AD$2&amp;"*FangerPMV(Hourly)",'Eplus results'!$1:$1048576,ROW(),FALSE)</f>
        <v>0</v>
      </c>
      <c r="AD6577" s="580">
        <f t="shared" si="546"/>
        <v>5</v>
      </c>
      <c r="AE6577" s="580">
        <f t="shared" si="547"/>
        <v>2.5</v>
      </c>
      <c r="AF6577" s="580">
        <f t="shared" si="548"/>
        <v>2.5</v>
      </c>
      <c r="AG6577" s="580">
        <f t="shared" si="549"/>
        <v>0</v>
      </c>
      <c r="AH6577" s="580">
        <f t="shared" si="550"/>
        <v>0</v>
      </c>
    </row>
    <row r="6578" spans="28:34">
      <c r="AB6578" s="580">
        <f>HLOOKUP("*"&amp;'Output annual'!$AC$2&amp;'Output annual'!$AD$2&amp;"*Zone People Number Of Occupants [](Hourly)",'Eplus results'!$1:$1048576,ROW(),FALSE)</f>
        <v>0</v>
      </c>
      <c r="AC6578" s="580">
        <f>HLOOKUP("*"&amp;'Output annual'!$AC$2&amp;'Output annual'!$AD$2&amp;"*FangerPMV(Hourly)",'Eplus results'!$1:$1048576,ROW(),FALSE)</f>
        <v>0</v>
      </c>
      <c r="AD6578" s="580">
        <f t="shared" si="546"/>
        <v>5</v>
      </c>
      <c r="AE6578" s="580">
        <f t="shared" si="547"/>
        <v>2.5</v>
      </c>
      <c r="AF6578" s="580">
        <f t="shared" si="548"/>
        <v>2.5</v>
      </c>
      <c r="AG6578" s="580">
        <f t="shared" si="549"/>
        <v>0</v>
      </c>
      <c r="AH6578" s="580">
        <f t="shared" si="550"/>
        <v>0</v>
      </c>
    </row>
    <row r="6579" spans="28:34">
      <c r="AB6579" s="580">
        <f>HLOOKUP("*"&amp;'Output annual'!$AC$2&amp;'Output annual'!$AD$2&amp;"*Zone People Number Of Occupants [](Hourly)",'Eplus results'!$1:$1048576,ROW(),FALSE)</f>
        <v>0</v>
      </c>
      <c r="AC6579" s="580">
        <f>HLOOKUP("*"&amp;'Output annual'!$AC$2&amp;'Output annual'!$AD$2&amp;"*FangerPMV(Hourly)",'Eplus results'!$1:$1048576,ROW(),FALSE)</f>
        <v>0</v>
      </c>
      <c r="AD6579" s="580">
        <f t="shared" si="546"/>
        <v>5</v>
      </c>
      <c r="AE6579" s="580">
        <f t="shared" si="547"/>
        <v>2.5</v>
      </c>
      <c r="AF6579" s="580">
        <f t="shared" si="548"/>
        <v>2.5</v>
      </c>
      <c r="AG6579" s="580">
        <f t="shared" si="549"/>
        <v>0</v>
      </c>
      <c r="AH6579" s="580">
        <f t="shared" si="550"/>
        <v>0</v>
      </c>
    </row>
    <row r="6580" spans="28:34">
      <c r="AB6580" s="580">
        <f>HLOOKUP("*"&amp;'Output annual'!$AC$2&amp;'Output annual'!$AD$2&amp;"*Zone People Number Of Occupants [](Hourly)",'Eplus results'!$1:$1048576,ROW(),FALSE)</f>
        <v>0</v>
      </c>
      <c r="AC6580" s="580">
        <f>HLOOKUP("*"&amp;'Output annual'!$AC$2&amp;'Output annual'!$AD$2&amp;"*FangerPMV(Hourly)",'Eplus results'!$1:$1048576,ROW(),FALSE)</f>
        <v>0</v>
      </c>
      <c r="AD6580" s="580">
        <f t="shared" si="546"/>
        <v>5</v>
      </c>
      <c r="AE6580" s="580">
        <f t="shared" si="547"/>
        <v>2.5</v>
      </c>
      <c r="AF6580" s="580">
        <f t="shared" si="548"/>
        <v>2.5</v>
      </c>
      <c r="AG6580" s="580">
        <f t="shared" si="549"/>
        <v>0</v>
      </c>
      <c r="AH6580" s="580">
        <f t="shared" si="550"/>
        <v>0</v>
      </c>
    </row>
    <row r="6581" spans="28:34">
      <c r="AB6581" s="580">
        <f>HLOOKUP("*"&amp;'Output annual'!$AC$2&amp;'Output annual'!$AD$2&amp;"*Zone People Number Of Occupants [](Hourly)",'Eplus results'!$1:$1048576,ROW(),FALSE)</f>
        <v>0</v>
      </c>
      <c r="AC6581" s="580">
        <f>HLOOKUP("*"&amp;'Output annual'!$AC$2&amp;'Output annual'!$AD$2&amp;"*FangerPMV(Hourly)",'Eplus results'!$1:$1048576,ROW(),FALSE)</f>
        <v>0</v>
      </c>
      <c r="AD6581" s="580">
        <f t="shared" si="546"/>
        <v>5</v>
      </c>
      <c r="AE6581" s="580">
        <f t="shared" si="547"/>
        <v>2.5</v>
      </c>
      <c r="AF6581" s="580">
        <f t="shared" si="548"/>
        <v>2.5</v>
      </c>
      <c r="AG6581" s="580">
        <f t="shared" si="549"/>
        <v>0</v>
      </c>
      <c r="AH6581" s="580">
        <f t="shared" si="550"/>
        <v>0</v>
      </c>
    </row>
    <row r="6582" spans="28:34">
      <c r="AB6582" s="580">
        <f>HLOOKUP("*"&amp;'Output annual'!$AC$2&amp;'Output annual'!$AD$2&amp;"*Zone People Number Of Occupants [](Hourly)",'Eplus results'!$1:$1048576,ROW(),FALSE)</f>
        <v>0</v>
      </c>
      <c r="AC6582" s="580">
        <f>HLOOKUP("*"&amp;'Output annual'!$AC$2&amp;'Output annual'!$AD$2&amp;"*FangerPMV(Hourly)",'Eplus results'!$1:$1048576,ROW(),FALSE)</f>
        <v>0</v>
      </c>
      <c r="AD6582" s="580">
        <f t="shared" si="546"/>
        <v>5</v>
      </c>
      <c r="AE6582" s="580">
        <f t="shared" si="547"/>
        <v>2.5</v>
      </c>
      <c r="AF6582" s="580">
        <f t="shared" si="548"/>
        <v>2.5</v>
      </c>
      <c r="AG6582" s="580">
        <f t="shared" si="549"/>
        <v>0</v>
      </c>
      <c r="AH6582" s="580">
        <f t="shared" si="550"/>
        <v>0</v>
      </c>
    </row>
    <row r="6583" spans="28:34">
      <c r="AB6583" s="580">
        <f>HLOOKUP("*"&amp;'Output annual'!$AC$2&amp;'Output annual'!$AD$2&amp;"*Zone People Number Of Occupants [](Hourly)",'Eplus results'!$1:$1048576,ROW(),FALSE)</f>
        <v>0</v>
      </c>
      <c r="AC6583" s="580">
        <f>HLOOKUP("*"&amp;'Output annual'!$AC$2&amp;'Output annual'!$AD$2&amp;"*FangerPMV(Hourly)",'Eplus results'!$1:$1048576,ROW(),FALSE)</f>
        <v>0</v>
      </c>
      <c r="AD6583" s="580">
        <f t="shared" si="546"/>
        <v>5</v>
      </c>
      <c r="AE6583" s="580">
        <f t="shared" si="547"/>
        <v>2.5</v>
      </c>
      <c r="AF6583" s="580">
        <f t="shared" si="548"/>
        <v>2.5</v>
      </c>
      <c r="AG6583" s="580">
        <f t="shared" si="549"/>
        <v>0</v>
      </c>
      <c r="AH6583" s="580">
        <f t="shared" si="550"/>
        <v>0</v>
      </c>
    </row>
    <row r="6584" spans="28:34">
      <c r="AB6584" s="580">
        <f>HLOOKUP("*"&amp;'Output annual'!$AC$2&amp;'Output annual'!$AD$2&amp;"*Zone People Number Of Occupants [](Hourly)",'Eplus results'!$1:$1048576,ROW(),FALSE)</f>
        <v>0</v>
      </c>
      <c r="AC6584" s="580">
        <f>HLOOKUP("*"&amp;'Output annual'!$AC$2&amp;'Output annual'!$AD$2&amp;"*FangerPMV(Hourly)",'Eplus results'!$1:$1048576,ROW(),FALSE)</f>
        <v>0</v>
      </c>
      <c r="AD6584" s="580">
        <f t="shared" si="546"/>
        <v>5</v>
      </c>
      <c r="AE6584" s="580">
        <f t="shared" si="547"/>
        <v>2.5</v>
      </c>
      <c r="AF6584" s="580">
        <f t="shared" si="548"/>
        <v>2.5</v>
      </c>
      <c r="AG6584" s="580">
        <f t="shared" si="549"/>
        <v>0</v>
      </c>
      <c r="AH6584" s="580">
        <f t="shared" si="550"/>
        <v>0</v>
      </c>
    </row>
    <row r="6585" spans="28:34">
      <c r="AB6585" s="580">
        <f>HLOOKUP("*"&amp;'Output annual'!$AC$2&amp;'Output annual'!$AD$2&amp;"*Zone People Number Of Occupants [](Hourly)",'Eplus results'!$1:$1048576,ROW(),FALSE)</f>
        <v>0</v>
      </c>
      <c r="AC6585" s="580">
        <f>HLOOKUP("*"&amp;'Output annual'!$AC$2&amp;'Output annual'!$AD$2&amp;"*FangerPMV(Hourly)",'Eplus results'!$1:$1048576,ROW(),FALSE)</f>
        <v>0</v>
      </c>
      <c r="AD6585" s="580">
        <f t="shared" si="546"/>
        <v>5</v>
      </c>
      <c r="AE6585" s="580">
        <f t="shared" si="547"/>
        <v>2.5</v>
      </c>
      <c r="AF6585" s="580">
        <f t="shared" si="548"/>
        <v>2.5</v>
      </c>
      <c r="AG6585" s="580">
        <f t="shared" si="549"/>
        <v>0</v>
      </c>
      <c r="AH6585" s="580">
        <f t="shared" si="550"/>
        <v>0</v>
      </c>
    </row>
    <row r="6586" spans="28:34">
      <c r="AB6586" s="580">
        <f>HLOOKUP("*"&amp;'Output annual'!$AC$2&amp;'Output annual'!$AD$2&amp;"*Zone People Number Of Occupants [](Hourly)",'Eplus results'!$1:$1048576,ROW(),FALSE)</f>
        <v>0</v>
      </c>
      <c r="AC6586" s="580">
        <f>HLOOKUP("*"&amp;'Output annual'!$AC$2&amp;'Output annual'!$AD$2&amp;"*FangerPMV(Hourly)",'Eplus results'!$1:$1048576,ROW(),FALSE)</f>
        <v>0</v>
      </c>
      <c r="AD6586" s="580">
        <f t="shared" si="546"/>
        <v>5</v>
      </c>
      <c r="AE6586" s="580">
        <f t="shared" si="547"/>
        <v>2.5</v>
      </c>
      <c r="AF6586" s="580">
        <f t="shared" si="548"/>
        <v>2.5</v>
      </c>
      <c r="AG6586" s="580">
        <f t="shared" si="549"/>
        <v>0</v>
      </c>
      <c r="AH6586" s="580">
        <f t="shared" si="550"/>
        <v>0</v>
      </c>
    </row>
    <row r="6587" spans="28:34">
      <c r="AB6587" s="580">
        <f>HLOOKUP("*"&amp;'Output annual'!$AC$2&amp;'Output annual'!$AD$2&amp;"*Zone People Number Of Occupants [](Hourly)",'Eplus results'!$1:$1048576,ROW(),FALSE)</f>
        <v>0</v>
      </c>
      <c r="AC6587" s="580">
        <f>HLOOKUP("*"&amp;'Output annual'!$AC$2&amp;'Output annual'!$AD$2&amp;"*FangerPMV(Hourly)",'Eplus results'!$1:$1048576,ROW(),FALSE)</f>
        <v>0</v>
      </c>
      <c r="AD6587" s="580">
        <f t="shared" si="546"/>
        <v>5</v>
      </c>
      <c r="AE6587" s="580">
        <f t="shared" si="547"/>
        <v>2.5</v>
      </c>
      <c r="AF6587" s="580">
        <f t="shared" si="548"/>
        <v>2.5</v>
      </c>
      <c r="AG6587" s="580">
        <f t="shared" si="549"/>
        <v>0</v>
      </c>
      <c r="AH6587" s="580">
        <f t="shared" si="550"/>
        <v>0</v>
      </c>
    </row>
    <row r="6588" spans="28:34">
      <c r="AB6588" s="580">
        <f>HLOOKUP("*"&amp;'Output annual'!$AC$2&amp;'Output annual'!$AD$2&amp;"*Zone People Number Of Occupants [](Hourly)",'Eplus results'!$1:$1048576,ROW(),FALSE)</f>
        <v>0</v>
      </c>
      <c r="AC6588" s="580">
        <f>HLOOKUP("*"&amp;'Output annual'!$AC$2&amp;'Output annual'!$AD$2&amp;"*FangerPMV(Hourly)",'Eplus results'!$1:$1048576,ROW(),FALSE)</f>
        <v>0</v>
      </c>
      <c r="AD6588" s="580">
        <f t="shared" si="546"/>
        <v>5</v>
      </c>
      <c r="AE6588" s="580">
        <f t="shared" si="547"/>
        <v>2.5</v>
      </c>
      <c r="AF6588" s="580">
        <f t="shared" si="548"/>
        <v>2.5</v>
      </c>
      <c r="AG6588" s="580">
        <f t="shared" si="549"/>
        <v>0</v>
      </c>
      <c r="AH6588" s="580">
        <f t="shared" si="550"/>
        <v>0</v>
      </c>
    </row>
    <row r="6589" spans="28:34">
      <c r="AB6589" s="580">
        <f>HLOOKUP("*"&amp;'Output annual'!$AC$2&amp;'Output annual'!$AD$2&amp;"*Zone People Number Of Occupants [](Hourly)",'Eplus results'!$1:$1048576,ROW(),FALSE)</f>
        <v>0</v>
      </c>
      <c r="AC6589" s="580">
        <f>HLOOKUP("*"&amp;'Output annual'!$AC$2&amp;'Output annual'!$AD$2&amp;"*FangerPMV(Hourly)",'Eplus results'!$1:$1048576,ROW(),FALSE)</f>
        <v>0</v>
      </c>
      <c r="AD6589" s="580">
        <f t="shared" si="546"/>
        <v>5</v>
      </c>
      <c r="AE6589" s="580">
        <f t="shared" si="547"/>
        <v>2.5</v>
      </c>
      <c r="AF6589" s="580">
        <f t="shared" si="548"/>
        <v>2.5</v>
      </c>
      <c r="AG6589" s="580">
        <f t="shared" si="549"/>
        <v>0</v>
      </c>
      <c r="AH6589" s="580">
        <f t="shared" si="550"/>
        <v>0</v>
      </c>
    </row>
    <row r="6590" spans="28:34">
      <c r="AB6590" s="580">
        <f>HLOOKUP("*"&amp;'Output annual'!$AC$2&amp;'Output annual'!$AD$2&amp;"*Zone People Number Of Occupants [](Hourly)",'Eplus results'!$1:$1048576,ROW(),FALSE)</f>
        <v>0</v>
      </c>
      <c r="AC6590" s="580">
        <f>HLOOKUP("*"&amp;'Output annual'!$AC$2&amp;'Output annual'!$AD$2&amp;"*FangerPMV(Hourly)",'Eplus results'!$1:$1048576,ROW(),FALSE)</f>
        <v>0</v>
      </c>
      <c r="AD6590" s="580">
        <f t="shared" si="546"/>
        <v>5</v>
      </c>
      <c r="AE6590" s="580">
        <f t="shared" si="547"/>
        <v>2.5</v>
      </c>
      <c r="AF6590" s="580">
        <f t="shared" si="548"/>
        <v>2.5</v>
      </c>
      <c r="AG6590" s="580">
        <f t="shared" si="549"/>
        <v>0</v>
      </c>
      <c r="AH6590" s="580">
        <f t="shared" si="550"/>
        <v>0</v>
      </c>
    </row>
    <row r="6591" spans="28:34">
      <c r="AB6591" s="580">
        <f>HLOOKUP("*"&amp;'Output annual'!$AC$2&amp;'Output annual'!$AD$2&amp;"*Zone People Number Of Occupants [](Hourly)",'Eplus results'!$1:$1048576,ROW(),FALSE)</f>
        <v>0</v>
      </c>
      <c r="AC6591" s="580">
        <f>HLOOKUP("*"&amp;'Output annual'!$AC$2&amp;'Output annual'!$AD$2&amp;"*FangerPMV(Hourly)",'Eplus results'!$1:$1048576,ROW(),FALSE)</f>
        <v>0</v>
      </c>
      <c r="AD6591" s="580">
        <f t="shared" si="546"/>
        <v>5</v>
      </c>
      <c r="AE6591" s="580">
        <f t="shared" si="547"/>
        <v>2.5</v>
      </c>
      <c r="AF6591" s="580">
        <f t="shared" si="548"/>
        <v>2.5</v>
      </c>
      <c r="AG6591" s="580">
        <f t="shared" si="549"/>
        <v>0</v>
      </c>
      <c r="AH6591" s="580">
        <f t="shared" si="550"/>
        <v>0</v>
      </c>
    </row>
    <row r="6592" spans="28:34">
      <c r="AB6592" s="580">
        <f>HLOOKUP("*"&amp;'Output annual'!$AC$2&amp;'Output annual'!$AD$2&amp;"*Zone People Number Of Occupants [](Hourly)",'Eplus results'!$1:$1048576,ROW(),FALSE)</f>
        <v>0</v>
      </c>
      <c r="AC6592" s="580">
        <f>HLOOKUP("*"&amp;'Output annual'!$AC$2&amp;'Output annual'!$AD$2&amp;"*FangerPMV(Hourly)",'Eplus results'!$1:$1048576,ROW(),FALSE)</f>
        <v>0</v>
      </c>
      <c r="AD6592" s="580">
        <f t="shared" si="546"/>
        <v>5</v>
      </c>
      <c r="AE6592" s="580">
        <f t="shared" si="547"/>
        <v>2.5</v>
      </c>
      <c r="AF6592" s="580">
        <f t="shared" si="548"/>
        <v>2.5</v>
      </c>
      <c r="AG6592" s="580">
        <f t="shared" si="549"/>
        <v>0</v>
      </c>
      <c r="AH6592" s="580">
        <f t="shared" si="550"/>
        <v>0</v>
      </c>
    </row>
    <row r="6593" spans="28:34">
      <c r="AB6593" s="580">
        <f>HLOOKUP("*"&amp;'Output annual'!$AC$2&amp;'Output annual'!$AD$2&amp;"*Zone People Number Of Occupants [](Hourly)",'Eplus results'!$1:$1048576,ROW(),FALSE)</f>
        <v>0</v>
      </c>
      <c r="AC6593" s="580">
        <f>HLOOKUP("*"&amp;'Output annual'!$AC$2&amp;'Output annual'!$AD$2&amp;"*FangerPMV(Hourly)",'Eplus results'!$1:$1048576,ROW(),FALSE)</f>
        <v>0</v>
      </c>
      <c r="AD6593" s="580">
        <f t="shared" si="546"/>
        <v>5</v>
      </c>
      <c r="AE6593" s="580">
        <f t="shared" si="547"/>
        <v>2.5</v>
      </c>
      <c r="AF6593" s="580">
        <f t="shared" si="548"/>
        <v>2.5</v>
      </c>
      <c r="AG6593" s="580">
        <f t="shared" si="549"/>
        <v>0</v>
      </c>
      <c r="AH6593" s="580">
        <f t="shared" si="550"/>
        <v>0</v>
      </c>
    </row>
    <row r="6594" spans="28:34">
      <c r="AB6594" s="580">
        <f>HLOOKUP("*"&amp;'Output annual'!$AC$2&amp;'Output annual'!$AD$2&amp;"*Zone People Number Of Occupants [](Hourly)",'Eplus results'!$1:$1048576,ROW(),FALSE)</f>
        <v>0</v>
      </c>
      <c r="AC6594" s="580">
        <f>HLOOKUP("*"&amp;'Output annual'!$AC$2&amp;'Output annual'!$AD$2&amp;"*FangerPMV(Hourly)",'Eplus results'!$1:$1048576,ROW(),FALSE)</f>
        <v>0</v>
      </c>
      <c r="AD6594" s="580">
        <f t="shared" si="546"/>
        <v>5</v>
      </c>
      <c r="AE6594" s="580">
        <f t="shared" si="547"/>
        <v>2.5</v>
      </c>
      <c r="AF6594" s="580">
        <f t="shared" si="548"/>
        <v>2.5</v>
      </c>
      <c r="AG6594" s="580">
        <f t="shared" si="549"/>
        <v>0</v>
      </c>
      <c r="AH6594" s="580">
        <f t="shared" si="550"/>
        <v>0</v>
      </c>
    </row>
    <row r="6595" spans="28:34">
      <c r="AB6595" s="580">
        <f>HLOOKUP("*"&amp;'Output annual'!$AC$2&amp;'Output annual'!$AD$2&amp;"*Zone People Number Of Occupants [](Hourly)",'Eplus results'!$1:$1048576,ROW(),FALSE)</f>
        <v>0</v>
      </c>
      <c r="AC6595" s="580">
        <f>HLOOKUP("*"&amp;'Output annual'!$AC$2&amp;'Output annual'!$AD$2&amp;"*FangerPMV(Hourly)",'Eplus results'!$1:$1048576,ROW(),FALSE)</f>
        <v>0</v>
      </c>
      <c r="AD6595" s="580">
        <f t="shared" ref="AD6595:AD6658" si="551">100-95*EXP(-0.03353*AC6595^4-0.2179*AC6595^2)</f>
        <v>5</v>
      </c>
      <c r="AE6595" s="580">
        <f t="shared" ref="AE6595:AE6658" si="552">AD6595*(1/(1+EXP(-6.3*$AC6595)))</f>
        <v>2.5</v>
      </c>
      <c r="AF6595" s="580">
        <f t="shared" ref="AF6595:AF6658" si="553">(AD6595-AE6595)</f>
        <v>2.5</v>
      </c>
      <c r="AG6595" s="580">
        <f t="shared" ref="AG6595:AG6658" si="554">AE6595*AB6595</f>
        <v>0</v>
      </c>
      <c r="AH6595" s="580">
        <f t="shared" ref="AH6595:AH6658" si="555">AF6595*AB6595</f>
        <v>0</v>
      </c>
    </row>
    <row r="6596" spans="28:34">
      <c r="AB6596" s="580">
        <f>HLOOKUP("*"&amp;'Output annual'!$AC$2&amp;'Output annual'!$AD$2&amp;"*Zone People Number Of Occupants [](Hourly)",'Eplus results'!$1:$1048576,ROW(),FALSE)</f>
        <v>0</v>
      </c>
      <c r="AC6596" s="580">
        <f>HLOOKUP("*"&amp;'Output annual'!$AC$2&amp;'Output annual'!$AD$2&amp;"*FangerPMV(Hourly)",'Eplus results'!$1:$1048576,ROW(),FALSE)</f>
        <v>0</v>
      </c>
      <c r="AD6596" s="580">
        <f t="shared" si="551"/>
        <v>5</v>
      </c>
      <c r="AE6596" s="580">
        <f t="shared" si="552"/>
        <v>2.5</v>
      </c>
      <c r="AF6596" s="580">
        <f t="shared" si="553"/>
        <v>2.5</v>
      </c>
      <c r="AG6596" s="580">
        <f t="shared" si="554"/>
        <v>0</v>
      </c>
      <c r="AH6596" s="580">
        <f t="shared" si="555"/>
        <v>0</v>
      </c>
    </row>
    <row r="6597" spans="28:34">
      <c r="AB6597" s="580">
        <f>HLOOKUP("*"&amp;'Output annual'!$AC$2&amp;'Output annual'!$AD$2&amp;"*Zone People Number Of Occupants [](Hourly)",'Eplus results'!$1:$1048576,ROW(),FALSE)</f>
        <v>0</v>
      </c>
      <c r="AC6597" s="580">
        <f>HLOOKUP("*"&amp;'Output annual'!$AC$2&amp;'Output annual'!$AD$2&amp;"*FangerPMV(Hourly)",'Eplus results'!$1:$1048576,ROW(),FALSE)</f>
        <v>0</v>
      </c>
      <c r="AD6597" s="580">
        <f t="shared" si="551"/>
        <v>5</v>
      </c>
      <c r="AE6597" s="580">
        <f t="shared" si="552"/>
        <v>2.5</v>
      </c>
      <c r="AF6597" s="580">
        <f t="shared" si="553"/>
        <v>2.5</v>
      </c>
      <c r="AG6597" s="580">
        <f t="shared" si="554"/>
        <v>0</v>
      </c>
      <c r="AH6597" s="580">
        <f t="shared" si="555"/>
        <v>0</v>
      </c>
    </row>
    <row r="6598" spans="28:34">
      <c r="AB6598" s="580">
        <f>HLOOKUP("*"&amp;'Output annual'!$AC$2&amp;'Output annual'!$AD$2&amp;"*Zone People Number Of Occupants [](Hourly)",'Eplus results'!$1:$1048576,ROW(),FALSE)</f>
        <v>0</v>
      </c>
      <c r="AC6598" s="580">
        <f>HLOOKUP("*"&amp;'Output annual'!$AC$2&amp;'Output annual'!$AD$2&amp;"*FangerPMV(Hourly)",'Eplus results'!$1:$1048576,ROW(),FALSE)</f>
        <v>0</v>
      </c>
      <c r="AD6598" s="580">
        <f t="shared" si="551"/>
        <v>5</v>
      </c>
      <c r="AE6598" s="580">
        <f t="shared" si="552"/>
        <v>2.5</v>
      </c>
      <c r="AF6598" s="580">
        <f t="shared" si="553"/>
        <v>2.5</v>
      </c>
      <c r="AG6598" s="580">
        <f t="shared" si="554"/>
        <v>0</v>
      </c>
      <c r="AH6598" s="580">
        <f t="shared" si="555"/>
        <v>0</v>
      </c>
    </row>
    <row r="6599" spans="28:34">
      <c r="AB6599" s="580">
        <f>HLOOKUP("*"&amp;'Output annual'!$AC$2&amp;'Output annual'!$AD$2&amp;"*Zone People Number Of Occupants [](Hourly)",'Eplus results'!$1:$1048576,ROW(),FALSE)</f>
        <v>0</v>
      </c>
      <c r="AC6599" s="580">
        <f>HLOOKUP("*"&amp;'Output annual'!$AC$2&amp;'Output annual'!$AD$2&amp;"*FangerPMV(Hourly)",'Eplus results'!$1:$1048576,ROW(),FALSE)</f>
        <v>0</v>
      </c>
      <c r="AD6599" s="580">
        <f t="shared" si="551"/>
        <v>5</v>
      </c>
      <c r="AE6599" s="580">
        <f t="shared" si="552"/>
        <v>2.5</v>
      </c>
      <c r="AF6599" s="580">
        <f t="shared" si="553"/>
        <v>2.5</v>
      </c>
      <c r="AG6599" s="580">
        <f t="shared" si="554"/>
        <v>0</v>
      </c>
      <c r="AH6599" s="580">
        <f t="shared" si="555"/>
        <v>0</v>
      </c>
    </row>
    <row r="6600" spans="28:34">
      <c r="AB6600" s="580">
        <f>HLOOKUP("*"&amp;'Output annual'!$AC$2&amp;'Output annual'!$AD$2&amp;"*Zone People Number Of Occupants [](Hourly)",'Eplus results'!$1:$1048576,ROW(),FALSE)</f>
        <v>0</v>
      </c>
      <c r="AC6600" s="580">
        <f>HLOOKUP("*"&amp;'Output annual'!$AC$2&amp;'Output annual'!$AD$2&amp;"*FangerPMV(Hourly)",'Eplus results'!$1:$1048576,ROW(),FALSE)</f>
        <v>0</v>
      </c>
      <c r="AD6600" s="580">
        <f t="shared" si="551"/>
        <v>5</v>
      </c>
      <c r="AE6600" s="580">
        <f t="shared" si="552"/>
        <v>2.5</v>
      </c>
      <c r="AF6600" s="580">
        <f t="shared" si="553"/>
        <v>2.5</v>
      </c>
      <c r="AG6600" s="580">
        <f t="shared" si="554"/>
        <v>0</v>
      </c>
      <c r="AH6600" s="580">
        <f t="shared" si="555"/>
        <v>0</v>
      </c>
    </row>
    <row r="6601" spans="28:34">
      <c r="AB6601" s="580">
        <f>HLOOKUP("*"&amp;'Output annual'!$AC$2&amp;'Output annual'!$AD$2&amp;"*Zone People Number Of Occupants [](Hourly)",'Eplus results'!$1:$1048576,ROW(),FALSE)</f>
        <v>0</v>
      </c>
      <c r="AC6601" s="580">
        <f>HLOOKUP("*"&amp;'Output annual'!$AC$2&amp;'Output annual'!$AD$2&amp;"*FangerPMV(Hourly)",'Eplus results'!$1:$1048576,ROW(),FALSE)</f>
        <v>0</v>
      </c>
      <c r="AD6601" s="580">
        <f t="shared" si="551"/>
        <v>5</v>
      </c>
      <c r="AE6601" s="580">
        <f t="shared" si="552"/>
        <v>2.5</v>
      </c>
      <c r="AF6601" s="580">
        <f t="shared" si="553"/>
        <v>2.5</v>
      </c>
      <c r="AG6601" s="580">
        <f t="shared" si="554"/>
        <v>0</v>
      </c>
      <c r="AH6601" s="580">
        <f t="shared" si="555"/>
        <v>0</v>
      </c>
    </row>
    <row r="6602" spans="28:34">
      <c r="AB6602" s="580">
        <f>HLOOKUP("*"&amp;'Output annual'!$AC$2&amp;'Output annual'!$AD$2&amp;"*Zone People Number Of Occupants [](Hourly)",'Eplus results'!$1:$1048576,ROW(),FALSE)</f>
        <v>0</v>
      </c>
      <c r="AC6602" s="580">
        <f>HLOOKUP("*"&amp;'Output annual'!$AC$2&amp;'Output annual'!$AD$2&amp;"*FangerPMV(Hourly)",'Eplus results'!$1:$1048576,ROW(),FALSE)</f>
        <v>0</v>
      </c>
      <c r="AD6602" s="580">
        <f t="shared" si="551"/>
        <v>5</v>
      </c>
      <c r="AE6602" s="580">
        <f t="shared" si="552"/>
        <v>2.5</v>
      </c>
      <c r="AF6602" s="580">
        <f t="shared" si="553"/>
        <v>2.5</v>
      </c>
      <c r="AG6602" s="580">
        <f t="shared" si="554"/>
        <v>0</v>
      </c>
      <c r="AH6602" s="580">
        <f t="shared" si="555"/>
        <v>0</v>
      </c>
    </row>
    <row r="6603" spans="28:34">
      <c r="AB6603" s="580">
        <f>HLOOKUP("*"&amp;'Output annual'!$AC$2&amp;'Output annual'!$AD$2&amp;"*Zone People Number Of Occupants [](Hourly)",'Eplus results'!$1:$1048576,ROW(),FALSE)</f>
        <v>0</v>
      </c>
      <c r="AC6603" s="580">
        <f>HLOOKUP("*"&amp;'Output annual'!$AC$2&amp;'Output annual'!$AD$2&amp;"*FangerPMV(Hourly)",'Eplus results'!$1:$1048576,ROW(),FALSE)</f>
        <v>0</v>
      </c>
      <c r="AD6603" s="580">
        <f t="shared" si="551"/>
        <v>5</v>
      </c>
      <c r="AE6603" s="580">
        <f t="shared" si="552"/>
        <v>2.5</v>
      </c>
      <c r="AF6603" s="580">
        <f t="shared" si="553"/>
        <v>2.5</v>
      </c>
      <c r="AG6603" s="580">
        <f t="shared" si="554"/>
        <v>0</v>
      </c>
      <c r="AH6603" s="580">
        <f t="shared" si="555"/>
        <v>0</v>
      </c>
    </row>
    <row r="6604" spans="28:34">
      <c r="AB6604" s="580">
        <f>HLOOKUP("*"&amp;'Output annual'!$AC$2&amp;'Output annual'!$AD$2&amp;"*Zone People Number Of Occupants [](Hourly)",'Eplus results'!$1:$1048576,ROW(),FALSE)</f>
        <v>0</v>
      </c>
      <c r="AC6604" s="580">
        <f>HLOOKUP("*"&amp;'Output annual'!$AC$2&amp;'Output annual'!$AD$2&amp;"*FangerPMV(Hourly)",'Eplus results'!$1:$1048576,ROW(),FALSE)</f>
        <v>0</v>
      </c>
      <c r="AD6604" s="580">
        <f t="shared" si="551"/>
        <v>5</v>
      </c>
      <c r="AE6604" s="580">
        <f t="shared" si="552"/>
        <v>2.5</v>
      </c>
      <c r="AF6604" s="580">
        <f t="shared" si="553"/>
        <v>2.5</v>
      </c>
      <c r="AG6604" s="580">
        <f t="shared" si="554"/>
        <v>0</v>
      </c>
      <c r="AH6604" s="580">
        <f t="shared" si="555"/>
        <v>0</v>
      </c>
    </row>
    <row r="6605" spans="28:34">
      <c r="AB6605" s="580">
        <f>HLOOKUP("*"&amp;'Output annual'!$AC$2&amp;'Output annual'!$AD$2&amp;"*Zone People Number Of Occupants [](Hourly)",'Eplus results'!$1:$1048576,ROW(),FALSE)</f>
        <v>0</v>
      </c>
      <c r="AC6605" s="580">
        <f>HLOOKUP("*"&amp;'Output annual'!$AC$2&amp;'Output annual'!$AD$2&amp;"*FangerPMV(Hourly)",'Eplus results'!$1:$1048576,ROW(),FALSE)</f>
        <v>0</v>
      </c>
      <c r="AD6605" s="580">
        <f t="shared" si="551"/>
        <v>5</v>
      </c>
      <c r="AE6605" s="580">
        <f t="shared" si="552"/>
        <v>2.5</v>
      </c>
      <c r="AF6605" s="580">
        <f t="shared" si="553"/>
        <v>2.5</v>
      </c>
      <c r="AG6605" s="580">
        <f t="shared" si="554"/>
        <v>0</v>
      </c>
      <c r="AH6605" s="580">
        <f t="shared" si="555"/>
        <v>0</v>
      </c>
    </row>
    <row r="6606" spans="28:34">
      <c r="AB6606" s="580">
        <f>HLOOKUP("*"&amp;'Output annual'!$AC$2&amp;'Output annual'!$AD$2&amp;"*Zone People Number Of Occupants [](Hourly)",'Eplus results'!$1:$1048576,ROW(),FALSE)</f>
        <v>0</v>
      </c>
      <c r="AC6606" s="580">
        <f>HLOOKUP("*"&amp;'Output annual'!$AC$2&amp;'Output annual'!$AD$2&amp;"*FangerPMV(Hourly)",'Eplus results'!$1:$1048576,ROW(),FALSE)</f>
        <v>0</v>
      </c>
      <c r="AD6606" s="580">
        <f t="shared" si="551"/>
        <v>5</v>
      </c>
      <c r="AE6606" s="580">
        <f t="shared" si="552"/>
        <v>2.5</v>
      </c>
      <c r="AF6606" s="580">
        <f t="shared" si="553"/>
        <v>2.5</v>
      </c>
      <c r="AG6606" s="580">
        <f t="shared" si="554"/>
        <v>0</v>
      </c>
      <c r="AH6606" s="580">
        <f t="shared" si="555"/>
        <v>0</v>
      </c>
    </row>
    <row r="6607" spans="28:34">
      <c r="AB6607" s="580">
        <f>HLOOKUP("*"&amp;'Output annual'!$AC$2&amp;'Output annual'!$AD$2&amp;"*Zone People Number Of Occupants [](Hourly)",'Eplus results'!$1:$1048576,ROW(),FALSE)</f>
        <v>0</v>
      </c>
      <c r="AC6607" s="580">
        <f>HLOOKUP("*"&amp;'Output annual'!$AC$2&amp;'Output annual'!$AD$2&amp;"*FangerPMV(Hourly)",'Eplus results'!$1:$1048576,ROW(),FALSE)</f>
        <v>0</v>
      </c>
      <c r="AD6607" s="580">
        <f t="shared" si="551"/>
        <v>5</v>
      </c>
      <c r="AE6607" s="580">
        <f t="shared" si="552"/>
        <v>2.5</v>
      </c>
      <c r="AF6607" s="580">
        <f t="shared" si="553"/>
        <v>2.5</v>
      </c>
      <c r="AG6607" s="580">
        <f t="shared" si="554"/>
        <v>0</v>
      </c>
      <c r="AH6607" s="580">
        <f t="shared" si="555"/>
        <v>0</v>
      </c>
    </row>
    <row r="6608" spans="28:34">
      <c r="AB6608" s="580">
        <f>HLOOKUP("*"&amp;'Output annual'!$AC$2&amp;'Output annual'!$AD$2&amp;"*Zone People Number Of Occupants [](Hourly)",'Eplus results'!$1:$1048576,ROW(),FALSE)</f>
        <v>0</v>
      </c>
      <c r="AC6608" s="580">
        <f>HLOOKUP("*"&amp;'Output annual'!$AC$2&amp;'Output annual'!$AD$2&amp;"*FangerPMV(Hourly)",'Eplus results'!$1:$1048576,ROW(),FALSE)</f>
        <v>0</v>
      </c>
      <c r="AD6608" s="580">
        <f t="shared" si="551"/>
        <v>5</v>
      </c>
      <c r="AE6608" s="580">
        <f t="shared" si="552"/>
        <v>2.5</v>
      </c>
      <c r="AF6608" s="580">
        <f t="shared" si="553"/>
        <v>2.5</v>
      </c>
      <c r="AG6608" s="580">
        <f t="shared" si="554"/>
        <v>0</v>
      </c>
      <c r="AH6608" s="580">
        <f t="shared" si="555"/>
        <v>0</v>
      </c>
    </row>
    <row r="6609" spans="28:34">
      <c r="AB6609" s="580">
        <f>HLOOKUP("*"&amp;'Output annual'!$AC$2&amp;'Output annual'!$AD$2&amp;"*Zone People Number Of Occupants [](Hourly)",'Eplus results'!$1:$1048576,ROW(),FALSE)</f>
        <v>0</v>
      </c>
      <c r="AC6609" s="580">
        <f>HLOOKUP("*"&amp;'Output annual'!$AC$2&amp;'Output annual'!$AD$2&amp;"*FangerPMV(Hourly)",'Eplus results'!$1:$1048576,ROW(),FALSE)</f>
        <v>0</v>
      </c>
      <c r="AD6609" s="580">
        <f t="shared" si="551"/>
        <v>5</v>
      </c>
      <c r="AE6609" s="580">
        <f t="shared" si="552"/>
        <v>2.5</v>
      </c>
      <c r="AF6609" s="580">
        <f t="shared" si="553"/>
        <v>2.5</v>
      </c>
      <c r="AG6609" s="580">
        <f t="shared" si="554"/>
        <v>0</v>
      </c>
      <c r="AH6609" s="580">
        <f t="shared" si="555"/>
        <v>0</v>
      </c>
    </row>
    <row r="6610" spans="28:34">
      <c r="AB6610" s="580">
        <f>HLOOKUP("*"&amp;'Output annual'!$AC$2&amp;'Output annual'!$AD$2&amp;"*Zone People Number Of Occupants [](Hourly)",'Eplus results'!$1:$1048576,ROW(),FALSE)</f>
        <v>0</v>
      </c>
      <c r="AC6610" s="580">
        <f>HLOOKUP("*"&amp;'Output annual'!$AC$2&amp;'Output annual'!$AD$2&amp;"*FangerPMV(Hourly)",'Eplus results'!$1:$1048576,ROW(),FALSE)</f>
        <v>0</v>
      </c>
      <c r="AD6610" s="580">
        <f t="shared" si="551"/>
        <v>5</v>
      </c>
      <c r="AE6610" s="580">
        <f t="shared" si="552"/>
        <v>2.5</v>
      </c>
      <c r="AF6610" s="580">
        <f t="shared" si="553"/>
        <v>2.5</v>
      </c>
      <c r="AG6610" s="580">
        <f t="shared" si="554"/>
        <v>0</v>
      </c>
      <c r="AH6610" s="580">
        <f t="shared" si="555"/>
        <v>0</v>
      </c>
    </row>
    <row r="6611" spans="28:34">
      <c r="AB6611" s="580">
        <f>HLOOKUP("*"&amp;'Output annual'!$AC$2&amp;'Output annual'!$AD$2&amp;"*Zone People Number Of Occupants [](Hourly)",'Eplus results'!$1:$1048576,ROW(),FALSE)</f>
        <v>0</v>
      </c>
      <c r="AC6611" s="580">
        <f>HLOOKUP("*"&amp;'Output annual'!$AC$2&amp;'Output annual'!$AD$2&amp;"*FangerPMV(Hourly)",'Eplus results'!$1:$1048576,ROW(),FALSE)</f>
        <v>0</v>
      </c>
      <c r="AD6611" s="580">
        <f t="shared" si="551"/>
        <v>5</v>
      </c>
      <c r="AE6611" s="580">
        <f t="shared" si="552"/>
        <v>2.5</v>
      </c>
      <c r="AF6611" s="580">
        <f t="shared" si="553"/>
        <v>2.5</v>
      </c>
      <c r="AG6611" s="580">
        <f t="shared" si="554"/>
        <v>0</v>
      </c>
      <c r="AH6611" s="580">
        <f t="shared" si="555"/>
        <v>0</v>
      </c>
    </row>
    <row r="6612" spans="28:34">
      <c r="AB6612" s="580">
        <f>HLOOKUP("*"&amp;'Output annual'!$AC$2&amp;'Output annual'!$AD$2&amp;"*Zone People Number Of Occupants [](Hourly)",'Eplus results'!$1:$1048576,ROW(),FALSE)</f>
        <v>0</v>
      </c>
      <c r="AC6612" s="580">
        <f>HLOOKUP("*"&amp;'Output annual'!$AC$2&amp;'Output annual'!$AD$2&amp;"*FangerPMV(Hourly)",'Eplus results'!$1:$1048576,ROW(),FALSE)</f>
        <v>0</v>
      </c>
      <c r="AD6612" s="580">
        <f t="shared" si="551"/>
        <v>5</v>
      </c>
      <c r="AE6612" s="580">
        <f t="shared" si="552"/>
        <v>2.5</v>
      </c>
      <c r="AF6612" s="580">
        <f t="shared" si="553"/>
        <v>2.5</v>
      </c>
      <c r="AG6612" s="580">
        <f t="shared" si="554"/>
        <v>0</v>
      </c>
      <c r="AH6612" s="580">
        <f t="shared" si="555"/>
        <v>0</v>
      </c>
    </row>
    <row r="6613" spans="28:34">
      <c r="AB6613" s="580">
        <f>HLOOKUP("*"&amp;'Output annual'!$AC$2&amp;'Output annual'!$AD$2&amp;"*Zone People Number Of Occupants [](Hourly)",'Eplus results'!$1:$1048576,ROW(),FALSE)</f>
        <v>0</v>
      </c>
      <c r="AC6613" s="580">
        <f>HLOOKUP("*"&amp;'Output annual'!$AC$2&amp;'Output annual'!$AD$2&amp;"*FangerPMV(Hourly)",'Eplus results'!$1:$1048576,ROW(),FALSE)</f>
        <v>0</v>
      </c>
      <c r="AD6613" s="580">
        <f t="shared" si="551"/>
        <v>5</v>
      </c>
      <c r="AE6613" s="580">
        <f t="shared" si="552"/>
        <v>2.5</v>
      </c>
      <c r="AF6613" s="580">
        <f t="shared" si="553"/>
        <v>2.5</v>
      </c>
      <c r="AG6613" s="580">
        <f t="shared" si="554"/>
        <v>0</v>
      </c>
      <c r="AH6613" s="580">
        <f t="shared" si="555"/>
        <v>0</v>
      </c>
    </row>
    <row r="6614" spans="28:34">
      <c r="AB6614" s="580">
        <f>HLOOKUP("*"&amp;'Output annual'!$AC$2&amp;'Output annual'!$AD$2&amp;"*Zone People Number Of Occupants [](Hourly)",'Eplus results'!$1:$1048576,ROW(),FALSE)</f>
        <v>0</v>
      </c>
      <c r="AC6614" s="580">
        <f>HLOOKUP("*"&amp;'Output annual'!$AC$2&amp;'Output annual'!$AD$2&amp;"*FangerPMV(Hourly)",'Eplus results'!$1:$1048576,ROW(),FALSE)</f>
        <v>0</v>
      </c>
      <c r="AD6614" s="580">
        <f t="shared" si="551"/>
        <v>5</v>
      </c>
      <c r="AE6614" s="580">
        <f t="shared" si="552"/>
        <v>2.5</v>
      </c>
      <c r="AF6614" s="580">
        <f t="shared" si="553"/>
        <v>2.5</v>
      </c>
      <c r="AG6614" s="580">
        <f t="shared" si="554"/>
        <v>0</v>
      </c>
      <c r="AH6614" s="580">
        <f t="shared" si="555"/>
        <v>0</v>
      </c>
    </row>
    <row r="6615" spans="28:34">
      <c r="AB6615" s="580">
        <f>HLOOKUP("*"&amp;'Output annual'!$AC$2&amp;'Output annual'!$AD$2&amp;"*Zone People Number Of Occupants [](Hourly)",'Eplus results'!$1:$1048576,ROW(),FALSE)</f>
        <v>0</v>
      </c>
      <c r="AC6615" s="580">
        <f>HLOOKUP("*"&amp;'Output annual'!$AC$2&amp;'Output annual'!$AD$2&amp;"*FangerPMV(Hourly)",'Eplus results'!$1:$1048576,ROW(),FALSE)</f>
        <v>0</v>
      </c>
      <c r="AD6615" s="580">
        <f t="shared" si="551"/>
        <v>5</v>
      </c>
      <c r="AE6615" s="580">
        <f t="shared" si="552"/>
        <v>2.5</v>
      </c>
      <c r="AF6615" s="580">
        <f t="shared" si="553"/>
        <v>2.5</v>
      </c>
      <c r="AG6615" s="580">
        <f t="shared" si="554"/>
        <v>0</v>
      </c>
      <c r="AH6615" s="580">
        <f t="shared" si="555"/>
        <v>0</v>
      </c>
    </row>
    <row r="6616" spans="28:34">
      <c r="AB6616" s="580">
        <f>HLOOKUP("*"&amp;'Output annual'!$AC$2&amp;'Output annual'!$AD$2&amp;"*Zone People Number Of Occupants [](Hourly)",'Eplus results'!$1:$1048576,ROW(),FALSE)</f>
        <v>0</v>
      </c>
      <c r="AC6616" s="580">
        <f>HLOOKUP("*"&amp;'Output annual'!$AC$2&amp;'Output annual'!$AD$2&amp;"*FangerPMV(Hourly)",'Eplus results'!$1:$1048576,ROW(),FALSE)</f>
        <v>0</v>
      </c>
      <c r="AD6616" s="580">
        <f t="shared" si="551"/>
        <v>5</v>
      </c>
      <c r="AE6616" s="580">
        <f t="shared" si="552"/>
        <v>2.5</v>
      </c>
      <c r="AF6616" s="580">
        <f t="shared" si="553"/>
        <v>2.5</v>
      </c>
      <c r="AG6616" s="580">
        <f t="shared" si="554"/>
        <v>0</v>
      </c>
      <c r="AH6616" s="580">
        <f t="shared" si="555"/>
        <v>0</v>
      </c>
    </row>
    <row r="6617" spans="28:34">
      <c r="AB6617" s="580">
        <f>HLOOKUP("*"&amp;'Output annual'!$AC$2&amp;'Output annual'!$AD$2&amp;"*Zone People Number Of Occupants [](Hourly)",'Eplus results'!$1:$1048576,ROW(),FALSE)</f>
        <v>0</v>
      </c>
      <c r="AC6617" s="580">
        <f>HLOOKUP("*"&amp;'Output annual'!$AC$2&amp;'Output annual'!$AD$2&amp;"*FangerPMV(Hourly)",'Eplus results'!$1:$1048576,ROW(),FALSE)</f>
        <v>0</v>
      </c>
      <c r="AD6617" s="580">
        <f t="shared" si="551"/>
        <v>5</v>
      </c>
      <c r="AE6617" s="580">
        <f t="shared" si="552"/>
        <v>2.5</v>
      </c>
      <c r="AF6617" s="580">
        <f t="shared" si="553"/>
        <v>2.5</v>
      </c>
      <c r="AG6617" s="580">
        <f t="shared" si="554"/>
        <v>0</v>
      </c>
      <c r="AH6617" s="580">
        <f t="shared" si="555"/>
        <v>0</v>
      </c>
    </row>
    <row r="6618" spans="28:34">
      <c r="AB6618" s="580">
        <f>HLOOKUP("*"&amp;'Output annual'!$AC$2&amp;'Output annual'!$AD$2&amp;"*Zone People Number Of Occupants [](Hourly)",'Eplus results'!$1:$1048576,ROW(),FALSE)</f>
        <v>0</v>
      </c>
      <c r="AC6618" s="580">
        <f>HLOOKUP("*"&amp;'Output annual'!$AC$2&amp;'Output annual'!$AD$2&amp;"*FangerPMV(Hourly)",'Eplus results'!$1:$1048576,ROW(),FALSE)</f>
        <v>0</v>
      </c>
      <c r="AD6618" s="580">
        <f t="shared" si="551"/>
        <v>5</v>
      </c>
      <c r="AE6618" s="580">
        <f t="shared" si="552"/>
        <v>2.5</v>
      </c>
      <c r="AF6618" s="580">
        <f t="shared" si="553"/>
        <v>2.5</v>
      </c>
      <c r="AG6618" s="580">
        <f t="shared" si="554"/>
        <v>0</v>
      </c>
      <c r="AH6618" s="580">
        <f t="shared" si="555"/>
        <v>0</v>
      </c>
    </row>
    <row r="6619" spans="28:34">
      <c r="AB6619" s="580">
        <f>HLOOKUP("*"&amp;'Output annual'!$AC$2&amp;'Output annual'!$AD$2&amp;"*Zone People Number Of Occupants [](Hourly)",'Eplus results'!$1:$1048576,ROW(),FALSE)</f>
        <v>0</v>
      </c>
      <c r="AC6619" s="580">
        <f>HLOOKUP("*"&amp;'Output annual'!$AC$2&amp;'Output annual'!$AD$2&amp;"*FangerPMV(Hourly)",'Eplus results'!$1:$1048576,ROW(),FALSE)</f>
        <v>0</v>
      </c>
      <c r="AD6619" s="580">
        <f t="shared" si="551"/>
        <v>5</v>
      </c>
      <c r="AE6619" s="580">
        <f t="shared" si="552"/>
        <v>2.5</v>
      </c>
      <c r="AF6619" s="580">
        <f t="shared" si="553"/>
        <v>2.5</v>
      </c>
      <c r="AG6619" s="580">
        <f t="shared" si="554"/>
        <v>0</v>
      </c>
      <c r="AH6619" s="580">
        <f t="shared" si="555"/>
        <v>0</v>
      </c>
    </row>
    <row r="6620" spans="28:34">
      <c r="AB6620" s="580">
        <f>HLOOKUP("*"&amp;'Output annual'!$AC$2&amp;'Output annual'!$AD$2&amp;"*Zone People Number Of Occupants [](Hourly)",'Eplus results'!$1:$1048576,ROW(),FALSE)</f>
        <v>0</v>
      </c>
      <c r="AC6620" s="580">
        <f>HLOOKUP("*"&amp;'Output annual'!$AC$2&amp;'Output annual'!$AD$2&amp;"*FangerPMV(Hourly)",'Eplus results'!$1:$1048576,ROW(),FALSE)</f>
        <v>0</v>
      </c>
      <c r="AD6620" s="580">
        <f t="shared" si="551"/>
        <v>5</v>
      </c>
      <c r="AE6620" s="580">
        <f t="shared" si="552"/>
        <v>2.5</v>
      </c>
      <c r="AF6620" s="580">
        <f t="shared" si="553"/>
        <v>2.5</v>
      </c>
      <c r="AG6620" s="580">
        <f t="shared" si="554"/>
        <v>0</v>
      </c>
      <c r="AH6620" s="580">
        <f t="shared" si="555"/>
        <v>0</v>
      </c>
    </row>
    <row r="6621" spans="28:34">
      <c r="AB6621" s="580">
        <f>HLOOKUP("*"&amp;'Output annual'!$AC$2&amp;'Output annual'!$AD$2&amp;"*Zone People Number Of Occupants [](Hourly)",'Eplus results'!$1:$1048576,ROW(),FALSE)</f>
        <v>0</v>
      </c>
      <c r="AC6621" s="580">
        <f>HLOOKUP("*"&amp;'Output annual'!$AC$2&amp;'Output annual'!$AD$2&amp;"*FangerPMV(Hourly)",'Eplus results'!$1:$1048576,ROW(),FALSE)</f>
        <v>0</v>
      </c>
      <c r="AD6621" s="580">
        <f t="shared" si="551"/>
        <v>5</v>
      </c>
      <c r="AE6621" s="580">
        <f t="shared" si="552"/>
        <v>2.5</v>
      </c>
      <c r="AF6621" s="580">
        <f t="shared" si="553"/>
        <v>2.5</v>
      </c>
      <c r="AG6621" s="580">
        <f t="shared" si="554"/>
        <v>0</v>
      </c>
      <c r="AH6621" s="580">
        <f t="shared" si="555"/>
        <v>0</v>
      </c>
    </row>
    <row r="6622" spans="28:34">
      <c r="AB6622" s="580">
        <f>HLOOKUP("*"&amp;'Output annual'!$AC$2&amp;'Output annual'!$AD$2&amp;"*Zone People Number Of Occupants [](Hourly)",'Eplus results'!$1:$1048576,ROW(),FALSE)</f>
        <v>0</v>
      </c>
      <c r="AC6622" s="580">
        <f>HLOOKUP("*"&amp;'Output annual'!$AC$2&amp;'Output annual'!$AD$2&amp;"*FangerPMV(Hourly)",'Eplus results'!$1:$1048576,ROW(),FALSE)</f>
        <v>0</v>
      </c>
      <c r="AD6622" s="580">
        <f t="shared" si="551"/>
        <v>5</v>
      </c>
      <c r="AE6622" s="580">
        <f t="shared" si="552"/>
        <v>2.5</v>
      </c>
      <c r="AF6622" s="580">
        <f t="shared" si="553"/>
        <v>2.5</v>
      </c>
      <c r="AG6622" s="580">
        <f t="shared" si="554"/>
        <v>0</v>
      </c>
      <c r="AH6622" s="580">
        <f t="shared" si="555"/>
        <v>0</v>
      </c>
    </row>
    <row r="6623" spans="28:34">
      <c r="AB6623" s="580">
        <f>HLOOKUP("*"&amp;'Output annual'!$AC$2&amp;'Output annual'!$AD$2&amp;"*Zone People Number Of Occupants [](Hourly)",'Eplus results'!$1:$1048576,ROW(),FALSE)</f>
        <v>0</v>
      </c>
      <c r="AC6623" s="580">
        <f>HLOOKUP("*"&amp;'Output annual'!$AC$2&amp;'Output annual'!$AD$2&amp;"*FangerPMV(Hourly)",'Eplus results'!$1:$1048576,ROW(),FALSE)</f>
        <v>0</v>
      </c>
      <c r="AD6623" s="580">
        <f t="shared" si="551"/>
        <v>5</v>
      </c>
      <c r="AE6623" s="580">
        <f t="shared" si="552"/>
        <v>2.5</v>
      </c>
      <c r="AF6623" s="580">
        <f t="shared" si="553"/>
        <v>2.5</v>
      </c>
      <c r="AG6623" s="580">
        <f t="shared" si="554"/>
        <v>0</v>
      </c>
      <c r="AH6623" s="580">
        <f t="shared" si="555"/>
        <v>0</v>
      </c>
    </row>
    <row r="6624" spans="28:34">
      <c r="AB6624" s="580">
        <f>HLOOKUP("*"&amp;'Output annual'!$AC$2&amp;'Output annual'!$AD$2&amp;"*Zone People Number Of Occupants [](Hourly)",'Eplus results'!$1:$1048576,ROW(),FALSE)</f>
        <v>0</v>
      </c>
      <c r="AC6624" s="580">
        <f>HLOOKUP("*"&amp;'Output annual'!$AC$2&amp;'Output annual'!$AD$2&amp;"*FangerPMV(Hourly)",'Eplus results'!$1:$1048576,ROW(),FALSE)</f>
        <v>0</v>
      </c>
      <c r="AD6624" s="580">
        <f t="shared" si="551"/>
        <v>5</v>
      </c>
      <c r="AE6624" s="580">
        <f t="shared" si="552"/>
        <v>2.5</v>
      </c>
      <c r="AF6624" s="580">
        <f t="shared" si="553"/>
        <v>2.5</v>
      </c>
      <c r="AG6624" s="580">
        <f t="shared" si="554"/>
        <v>0</v>
      </c>
      <c r="AH6624" s="580">
        <f t="shared" si="555"/>
        <v>0</v>
      </c>
    </row>
    <row r="6625" spans="28:34">
      <c r="AB6625" s="580">
        <f>HLOOKUP("*"&amp;'Output annual'!$AC$2&amp;'Output annual'!$AD$2&amp;"*Zone People Number Of Occupants [](Hourly)",'Eplus results'!$1:$1048576,ROW(),FALSE)</f>
        <v>0</v>
      </c>
      <c r="AC6625" s="580">
        <f>HLOOKUP("*"&amp;'Output annual'!$AC$2&amp;'Output annual'!$AD$2&amp;"*FangerPMV(Hourly)",'Eplus results'!$1:$1048576,ROW(),FALSE)</f>
        <v>0</v>
      </c>
      <c r="AD6625" s="580">
        <f t="shared" si="551"/>
        <v>5</v>
      </c>
      <c r="AE6625" s="580">
        <f t="shared" si="552"/>
        <v>2.5</v>
      </c>
      <c r="AF6625" s="580">
        <f t="shared" si="553"/>
        <v>2.5</v>
      </c>
      <c r="AG6625" s="580">
        <f t="shared" si="554"/>
        <v>0</v>
      </c>
      <c r="AH6625" s="580">
        <f t="shared" si="555"/>
        <v>0</v>
      </c>
    </row>
    <row r="6626" spans="28:34">
      <c r="AB6626" s="580">
        <f>HLOOKUP("*"&amp;'Output annual'!$AC$2&amp;'Output annual'!$AD$2&amp;"*Zone People Number Of Occupants [](Hourly)",'Eplus results'!$1:$1048576,ROW(),FALSE)</f>
        <v>0</v>
      </c>
      <c r="AC6626" s="580">
        <f>HLOOKUP("*"&amp;'Output annual'!$AC$2&amp;'Output annual'!$AD$2&amp;"*FangerPMV(Hourly)",'Eplus results'!$1:$1048576,ROW(),FALSE)</f>
        <v>0</v>
      </c>
      <c r="AD6626" s="580">
        <f t="shared" si="551"/>
        <v>5</v>
      </c>
      <c r="AE6626" s="580">
        <f t="shared" si="552"/>
        <v>2.5</v>
      </c>
      <c r="AF6626" s="580">
        <f t="shared" si="553"/>
        <v>2.5</v>
      </c>
      <c r="AG6626" s="580">
        <f t="shared" si="554"/>
        <v>0</v>
      </c>
      <c r="AH6626" s="580">
        <f t="shared" si="555"/>
        <v>0</v>
      </c>
    </row>
    <row r="6627" spans="28:34">
      <c r="AB6627" s="580">
        <f>HLOOKUP("*"&amp;'Output annual'!$AC$2&amp;'Output annual'!$AD$2&amp;"*Zone People Number Of Occupants [](Hourly)",'Eplus results'!$1:$1048576,ROW(),FALSE)</f>
        <v>0</v>
      </c>
      <c r="AC6627" s="580">
        <f>HLOOKUP("*"&amp;'Output annual'!$AC$2&amp;'Output annual'!$AD$2&amp;"*FangerPMV(Hourly)",'Eplus results'!$1:$1048576,ROW(),FALSE)</f>
        <v>0</v>
      </c>
      <c r="AD6627" s="580">
        <f t="shared" si="551"/>
        <v>5</v>
      </c>
      <c r="AE6627" s="580">
        <f t="shared" si="552"/>
        <v>2.5</v>
      </c>
      <c r="AF6627" s="580">
        <f t="shared" si="553"/>
        <v>2.5</v>
      </c>
      <c r="AG6627" s="580">
        <f t="shared" si="554"/>
        <v>0</v>
      </c>
      <c r="AH6627" s="580">
        <f t="shared" si="555"/>
        <v>0</v>
      </c>
    </row>
    <row r="6628" spans="28:34">
      <c r="AB6628" s="580">
        <f>HLOOKUP("*"&amp;'Output annual'!$AC$2&amp;'Output annual'!$AD$2&amp;"*Zone People Number Of Occupants [](Hourly)",'Eplus results'!$1:$1048576,ROW(),FALSE)</f>
        <v>0</v>
      </c>
      <c r="AC6628" s="580">
        <f>HLOOKUP("*"&amp;'Output annual'!$AC$2&amp;'Output annual'!$AD$2&amp;"*FangerPMV(Hourly)",'Eplus results'!$1:$1048576,ROW(),FALSE)</f>
        <v>0</v>
      </c>
      <c r="AD6628" s="580">
        <f t="shared" si="551"/>
        <v>5</v>
      </c>
      <c r="AE6628" s="580">
        <f t="shared" si="552"/>
        <v>2.5</v>
      </c>
      <c r="AF6628" s="580">
        <f t="shared" si="553"/>
        <v>2.5</v>
      </c>
      <c r="AG6628" s="580">
        <f t="shared" si="554"/>
        <v>0</v>
      </c>
      <c r="AH6628" s="580">
        <f t="shared" si="555"/>
        <v>0</v>
      </c>
    </row>
    <row r="6629" spans="28:34">
      <c r="AB6629" s="580">
        <f>HLOOKUP("*"&amp;'Output annual'!$AC$2&amp;'Output annual'!$AD$2&amp;"*Zone People Number Of Occupants [](Hourly)",'Eplus results'!$1:$1048576,ROW(),FALSE)</f>
        <v>0</v>
      </c>
      <c r="AC6629" s="580">
        <f>HLOOKUP("*"&amp;'Output annual'!$AC$2&amp;'Output annual'!$AD$2&amp;"*FangerPMV(Hourly)",'Eplus results'!$1:$1048576,ROW(),FALSE)</f>
        <v>0</v>
      </c>
      <c r="AD6629" s="580">
        <f t="shared" si="551"/>
        <v>5</v>
      </c>
      <c r="AE6629" s="580">
        <f t="shared" si="552"/>
        <v>2.5</v>
      </c>
      <c r="AF6629" s="580">
        <f t="shared" si="553"/>
        <v>2.5</v>
      </c>
      <c r="AG6629" s="580">
        <f t="shared" si="554"/>
        <v>0</v>
      </c>
      <c r="AH6629" s="580">
        <f t="shared" si="555"/>
        <v>0</v>
      </c>
    </row>
    <row r="6630" spans="28:34">
      <c r="AB6630" s="580">
        <f>HLOOKUP("*"&amp;'Output annual'!$AC$2&amp;'Output annual'!$AD$2&amp;"*Zone People Number Of Occupants [](Hourly)",'Eplus results'!$1:$1048576,ROW(),FALSE)</f>
        <v>0</v>
      </c>
      <c r="AC6630" s="580">
        <f>HLOOKUP("*"&amp;'Output annual'!$AC$2&amp;'Output annual'!$AD$2&amp;"*FangerPMV(Hourly)",'Eplus results'!$1:$1048576,ROW(),FALSE)</f>
        <v>0</v>
      </c>
      <c r="AD6630" s="580">
        <f t="shared" si="551"/>
        <v>5</v>
      </c>
      <c r="AE6630" s="580">
        <f t="shared" si="552"/>
        <v>2.5</v>
      </c>
      <c r="AF6630" s="580">
        <f t="shared" si="553"/>
        <v>2.5</v>
      </c>
      <c r="AG6630" s="580">
        <f t="shared" si="554"/>
        <v>0</v>
      </c>
      <c r="AH6630" s="580">
        <f t="shared" si="555"/>
        <v>0</v>
      </c>
    </row>
    <row r="6631" spans="28:34">
      <c r="AB6631" s="580">
        <f>HLOOKUP("*"&amp;'Output annual'!$AC$2&amp;'Output annual'!$AD$2&amp;"*Zone People Number Of Occupants [](Hourly)",'Eplus results'!$1:$1048576,ROW(),FALSE)</f>
        <v>0</v>
      </c>
      <c r="AC6631" s="580">
        <f>HLOOKUP("*"&amp;'Output annual'!$AC$2&amp;'Output annual'!$AD$2&amp;"*FangerPMV(Hourly)",'Eplus results'!$1:$1048576,ROW(),FALSE)</f>
        <v>0</v>
      </c>
      <c r="AD6631" s="580">
        <f t="shared" si="551"/>
        <v>5</v>
      </c>
      <c r="AE6631" s="580">
        <f t="shared" si="552"/>
        <v>2.5</v>
      </c>
      <c r="AF6631" s="580">
        <f t="shared" si="553"/>
        <v>2.5</v>
      </c>
      <c r="AG6631" s="580">
        <f t="shared" si="554"/>
        <v>0</v>
      </c>
      <c r="AH6631" s="580">
        <f t="shared" si="555"/>
        <v>0</v>
      </c>
    </row>
    <row r="6632" spans="28:34">
      <c r="AB6632" s="580">
        <f>HLOOKUP("*"&amp;'Output annual'!$AC$2&amp;'Output annual'!$AD$2&amp;"*Zone People Number Of Occupants [](Hourly)",'Eplus results'!$1:$1048576,ROW(),FALSE)</f>
        <v>0</v>
      </c>
      <c r="AC6632" s="580">
        <f>HLOOKUP("*"&amp;'Output annual'!$AC$2&amp;'Output annual'!$AD$2&amp;"*FangerPMV(Hourly)",'Eplus results'!$1:$1048576,ROW(),FALSE)</f>
        <v>0</v>
      </c>
      <c r="AD6632" s="580">
        <f t="shared" si="551"/>
        <v>5</v>
      </c>
      <c r="AE6632" s="580">
        <f t="shared" si="552"/>
        <v>2.5</v>
      </c>
      <c r="AF6632" s="580">
        <f t="shared" si="553"/>
        <v>2.5</v>
      </c>
      <c r="AG6632" s="580">
        <f t="shared" si="554"/>
        <v>0</v>
      </c>
      <c r="AH6632" s="580">
        <f t="shared" si="555"/>
        <v>0</v>
      </c>
    </row>
    <row r="6633" spans="28:34">
      <c r="AB6633" s="580">
        <f>HLOOKUP("*"&amp;'Output annual'!$AC$2&amp;'Output annual'!$AD$2&amp;"*Zone People Number Of Occupants [](Hourly)",'Eplus results'!$1:$1048576,ROW(),FALSE)</f>
        <v>0</v>
      </c>
      <c r="AC6633" s="580">
        <f>HLOOKUP("*"&amp;'Output annual'!$AC$2&amp;'Output annual'!$AD$2&amp;"*FangerPMV(Hourly)",'Eplus results'!$1:$1048576,ROW(),FALSE)</f>
        <v>0</v>
      </c>
      <c r="AD6633" s="580">
        <f t="shared" si="551"/>
        <v>5</v>
      </c>
      <c r="AE6633" s="580">
        <f t="shared" si="552"/>
        <v>2.5</v>
      </c>
      <c r="AF6633" s="580">
        <f t="shared" si="553"/>
        <v>2.5</v>
      </c>
      <c r="AG6633" s="580">
        <f t="shared" si="554"/>
        <v>0</v>
      </c>
      <c r="AH6633" s="580">
        <f t="shared" si="555"/>
        <v>0</v>
      </c>
    </row>
    <row r="6634" spans="28:34">
      <c r="AB6634" s="580">
        <f>HLOOKUP("*"&amp;'Output annual'!$AC$2&amp;'Output annual'!$AD$2&amp;"*Zone People Number Of Occupants [](Hourly)",'Eplus results'!$1:$1048576,ROW(),FALSE)</f>
        <v>0</v>
      </c>
      <c r="AC6634" s="580">
        <f>HLOOKUP("*"&amp;'Output annual'!$AC$2&amp;'Output annual'!$AD$2&amp;"*FangerPMV(Hourly)",'Eplus results'!$1:$1048576,ROW(),FALSE)</f>
        <v>0</v>
      </c>
      <c r="AD6634" s="580">
        <f t="shared" si="551"/>
        <v>5</v>
      </c>
      <c r="AE6634" s="580">
        <f t="shared" si="552"/>
        <v>2.5</v>
      </c>
      <c r="AF6634" s="580">
        <f t="shared" si="553"/>
        <v>2.5</v>
      </c>
      <c r="AG6634" s="580">
        <f t="shared" si="554"/>
        <v>0</v>
      </c>
      <c r="AH6634" s="580">
        <f t="shared" si="555"/>
        <v>0</v>
      </c>
    </row>
    <row r="6635" spans="28:34">
      <c r="AB6635" s="580">
        <f>HLOOKUP("*"&amp;'Output annual'!$AC$2&amp;'Output annual'!$AD$2&amp;"*Zone People Number Of Occupants [](Hourly)",'Eplus results'!$1:$1048576,ROW(),FALSE)</f>
        <v>0</v>
      </c>
      <c r="AC6635" s="580">
        <f>HLOOKUP("*"&amp;'Output annual'!$AC$2&amp;'Output annual'!$AD$2&amp;"*FangerPMV(Hourly)",'Eplus results'!$1:$1048576,ROW(),FALSE)</f>
        <v>0</v>
      </c>
      <c r="AD6635" s="580">
        <f t="shared" si="551"/>
        <v>5</v>
      </c>
      <c r="AE6635" s="580">
        <f t="shared" si="552"/>
        <v>2.5</v>
      </c>
      <c r="AF6635" s="580">
        <f t="shared" si="553"/>
        <v>2.5</v>
      </c>
      <c r="AG6635" s="580">
        <f t="shared" si="554"/>
        <v>0</v>
      </c>
      <c r="AH6635" s="580">
        <f t="shared" si="555"/>
        <v>0</v>
      </c>
    </row>
    <row r="6636" spans="28:34">
      <c r="AB6636" s="580">
        <f>HLOOKUP("*"&amp;'Output annual'!$AC$2&amp;'Output annual'!$AD$2&amp;"*Zone People Number Of Occupants [](Hourly)",'Eplus results'!$1:$1048576,ROW(),FALSE)</f>
        <v>0</v>
      </c>
      <c r="AC6636" s="580">
        <f>HLOOKUP("*"&amp;'Output annual'!$AC$2&amp;'Output annual'!$AD$2&amp;"*FangerPMV(Hourly)",'Eplus results'!$1:$1048576,ROW(),FALSE)</f>
        <v>0</v>
      </c>
      <c r="AD6636" s="580">
        <f t="shared" si="551"/>
        <v>5</v>
      </c>
      <c r="AE6636" s="580">
        <f t="shared" si="552"/>
        <v>2.5</v>
      </c>
      <c r="AF6636" s="580">
        <f t="shared" si="553"/>
        <v>2.5</v>
      </c>
      <c r="AG6636" s="580">
        <f t="shared" si="554"/>
        <v>0</v>
      </c>
      <c r="AH6636" s="580">
        <f t="shared" si="555"/>
        <v>0</v>
      </c>
    </row>
    <row r="6637" spans="28:34">
      <c r="AB6637" s="580">
        <f>HLOOKUP("*"&amp;'Output annual'!$AC$2&amp;'Output annual'!$AD$2&amp;"*Zone People Number Of Occupants [](Hourly)",'Eplus results'!$1:$1048576,ROW(),FALSE)</f>
        <v>0</v>
      </c>
      <c r="AC6637" s="580">
        <f>HLOOKUP("*"&amp;'Output annual'!$AC$2&amp;'Output annual'!$AD$2&amp;"*FangerPMV(Hourly)",'Eplus results'!$1:$1048576,ROW(),FALSE)</f>
        <v>0</v>
      </c>
      <c r="AD6637" s="580">
        <f t="shared" si="551"/>
        <v>5</v>
      </c>
      <c r="AE6637" s="580">
        <f t="shared" si="552"/>
        <v>2.5</v>
      </c>
      <c r="AF6637" s="580">
        <f t="shared" si="553"/>
        <v>2.5</v>
      </c>
      <c r="AG6637" s="580">
        <f t="shared" si="554"/>
        <v>0</v>
      </c>
      <c r="AH6637" s="580">
        <f t="shared" si="555"/>
        <v>0</v>
      </c>
    </row>
    <row r="6638" spans="28:34">
      <c r="AB6638" s="580">
        <f>HLOOKUP("*"&amp;'Output annual'!$AC$2&amp;'Output annual'!$AD$2&amp;"*Zone People Number Of Occupants [](Hourly)",'Eplus results'!$1:$1048576,ROW(),FALSE)</f>
        <v>0</v>
      </c>
      <c r="AC6638" s="580">
        <f>HLOOKUP("*"&amp;'Output annual'!$AC$2&amp;'Output annual'!$AD$2&amp;"*FangerPMV(Hourly)",'Eplus results'!$1:$1048576,ROW(),FALSE)</f>
        <v>0</v>
      </c>
      <c r="AD6638" s="580">
        <f t="shared" si="551"/>
        <v>5</v>
      </c>
      <c r="AE6638" s="580">
        <f t="shared" si="552"/>
        <v>2.5</v>
      </c>
      <c r="AF6638" s="580">
        <f t="shared" si="553"/>
        <v>2.5</v>
      </c>
      <c r="AG6638" s="580">
        <f t="shared" si="554"/>
        <v>0</v>
      </c>
      <c r="AH6638" s="580">
        <f t="shared" si="555"/>
        <v>0</v>
      </c>
    </row>
    <row r="6639" spans="28:34">
      <c r="AB6639" s="580">
        <f>HLOOKUP("*"&amp;'Output annual'!$AC$2&amp;'Output annual'!$AD$2&amp;"*Zone People Number Of Occupants [](Hourly)",'Eplus results'!$1:$1048576,ROW(),FALSE)</f>
        <v>0</v>
      </c>
      <c r="AC6639" s="580">
        <f>HLOOKUP("*"&amp;'Output annual'!$AC$2&amp;'Output annual'!$AD$2&amp;"*FangerPMV(Hourly)",'Eplus results'!$1:$1048576,ROW(),FALSE)</f>
        <v>0</v>
      </c>
      <c r="AD6639" s="580">
        <f t="shared" si="551"/>
        <v>5</v>
      </c>
      <c r="AE6639" s="580">
        <f t="shared" si="552"/>
        <v>2.5</v>
      </c>
      <c r="AF6639" s="580">
        <f t="shared" si="553"/>
        <v>2.5</v>
      </c>
      <c r="AG6639" s="580">
        <f t="shared" si="554"/>
        <v>0</v>
      </c>
      <c r="AH6639" s="580">
        <f t="shared" si="555"/>
        <v>0</v>
      </c>
    </row>
    <row r="6640" spans="28:34">
      <c r="AB6640" s="580">
        <f>HLOOKUP("*"&amp;'Output annual'!$AC$2&amp;'Output annual'!$AD$2&amp;"*Zone People Number Of Occupants [](Hourly)",'Eplus results'!$1:$1048576,ROW(),FALSE)</f>
        <v>0</v>
      </c>
      <c r="AC6640" s="580">
        <f>HLOOKUP("*"&amp;'Output annual'!$AC$2&amp;'Output annual'!$AD$2&amp;"*FangerPMV(Hourly)",'Eplus results'!$1:$1048576,ROW(),FALSE)</f>
        <v>0</v>
      </c>
      <c r="AD6640" s="580">
        <f t="shared" si="551"/>
        <v>5</v>
      </c>
      <c r="AE6640" s="580">
        <f t="shared" si="552"/>
        <v>2.5</v>
      </c>
      <c r="AF6640" s="580">
        <f t="shared" si="553"/>
        <v>2.5</v>
      </c>
      <c r="AG6640" s="580">
        <f t="shared" si="554"/>
        <v>0</v>
      </c>
      <c r="AH6640" s="580">
        <f t="shared" si="555"/>
        <v>0</v>
      </c>
    </row>
    <row r="6641" spans="28:34">
      <c r="AB6641" s="580">
        <f>HLOOKUP("*"&amp;'Output annual'!$AC$2&amp;'Output annual'!$AD$2&amp;"*Zone People Number Of Occupants [](Hourly)",'Eplus results'!$1:$1048576,ROW(),FALSE)</f>
        <v>0</v>
      </c>
      <c r="AC6641" s="580">
        <f>HLOOKUP("*"&amp;'Output annual'!$AC$2&amp;'Output annual'!$AD$2&amp;"*FangerPMV(Hourly)",'Eplus results'!$1:$1048576,ROW(),FALSE)</f>
        <v>0</v>
      </c>
      <c r="AD6641" s="580">
        <f t="shared" si="551"/>
        <v>5</v>
      </c>
      <c r="AE6641" s="580">
        <f t="shared" si="552"/>
        <v>2.5</v>
      </c>
      <c r="AF6641" s="580">
        <f t="shared" si="553"/>
        <v>2.5</v>
      </c>
      <c r="AG6641" s="580">
        <f t="shared" si="554"/>
        <v>0</v>
      </c>
      <c r="AH6641" s="580">
        <f t="shared" si="555"/>
        <v>0</v>
      </c>
    </row>
    <row r="6642" spans="28:34">
      <c r="AB6642" s="580">
        <f>HLOOKUP("*"&amp;'Output annual'!$AC$2&amp;'Output annual'!$AD$2&amp;"*Zone People Number Of Occupants [](Hourly)",'Eplus results'!$1:$1048576,ROW(),FALSE)</f>
        <v>0</v>
      </c>
      <c r="AC6642" s="580">
        <f>HLOOKUP("*"&amp;'Output annual'!$AC$2&amp;'Output annual'!$AD$2&amp;"*FangerPMV(Hourly)",'Eplus results'!$1:$1048576,ROW(),FALSE)</f>
        <v>0</v>
      </c>
      <c r="AD6642" s="580">
        <f t="shared" si="551"/>
        <v>5</v>
      </c>
      <c r="AE6642" s="580">
        <f t="shared" si="552"/>
        <v>2.5</v>
      </c>
      <c r="AF6642" s="580">
        <f t="shared" si="553"/>
        <v>2.5</v>
      </c>
      <c r="AG6642" s="580">
        <f t="shared" si="554"/>
        <v>0</v>
      </c>
      <c r="AH6642" s="580">
        <f t="shared" si="555"/>
        <v>0</v>
      </c>
    </row>
    <row r="6643" spans="28:34">
      <c r="AB6643" s="580">
        <f>HLOOKUP("*"&amp;'Output annual'!$AC$2&amp;'Output annual'!$AD$2&amp;"*Zone People Number Of Occupants [](Hourly)",'Eplus results'!$1:$1048576,ROW(),FALSE)</f>
        <v>0</v>
      </c>
      <c r="AC6643" s="580">
        <f>HLOOKUP("*"&amp;'Output annual'!$AC$2&amp;'Output annual'!$AD$2&amp;"*FangerPMV(Hourly)",'Eplus results'!$1:$1048576,ROW(),FALSE)</f>
        <v>0</v>
      </c>
      <c r="AD6643" s="580">
        <f t="shared" si="551"/>
        <v>5</v>
      </c>
      <c r="AE6643" s="580">
        <f t="shared" si="552"/>
        <v>2.5</v>
      </c>
      <c r="AF6643" s="580">
        <f t="shared" si="553"/>
        <v>2.5</v>
      </c>
      <c r="AG6643" s="580">
        <f t="shared" si="554"/>
        <v>0</v>
      </c>
      <c r="AH6643" s="580">
        <f t="shared" si="555"/>
        <v>0</v>
      </c>
    </row>
    <row r="6644" spans="28:34">
      <c r="AB6644" s="580">
        <f>HLOOKUP("*"&amp;'Output annual'!$AC$2&amp;'Output annual'!$AD$2&amp;"*Zone People Number Of Occupants [](Hourly)",'Eplus results'!$1:$1048576,ROW(),FALSE)</f>
        <v>0</v>
      </c>
      <c r="AC6644" s="580">
        <f>HLOOKUP("*"&amp;'Output annual'!$AC$2&amp;'Output annual'!$AD$2&amp;"*FangerPMV(Hourly)",'Eplus results'!$1:$1048576,ROW(),FALSE)</f>
        <v>0</v>
      </c>
      <c r="AD6644" s="580">
        <f t="shared" si="551"/>
        <v>5</v>
      </c>
      <c r="AE6644" s="580">
        <f t="shared" si="552"/>
        <v>2.5</v>
      </c>
      <c r="AF6644" s="580">
        <f t="shared" si="553"/>
        <v>2.5</v>
      </c>
      <c r="AG6644" s="580">
        <f t="shared" si="554"/>
        <v>0</v>
      </c>
      <c r="AH6644" s="580">
        <f t="shared" si="555"/>
        <v>0</v>
      </c>
    </row>
    <row r="6645" spans="28:34">
      <c r="AB6645" s="580">
        <f>HLOOKUP("*"&amp;'Output annual'!$AC$2&amp;'Output annual'!$AD$2&amp;"*Zone People Number Of Occupants [](Hourly)",'Eplus results'!$1:$1048576,ROW(),FALSE)</f>
        <v>0</v>
      </c>
      <c r="AC6645" s="580">
        <f>HLOOKUP("*"&amp;'Output annual'!$AC$2&amp;'Output annual'!$AD$2&amp;"*FangerPMV(Hourly)",'Eplus results'!$1:$1048576,ROW(),FALSE)</f>
        <v>0</v>
      </c>
      <c r="AD6645" s="580">
        <f t="shared" si="551"/>
        <v>5</v>
      </c>
      <c r="AE6645" s="580">
        <f t="shared" si="552"/>
        <v>2.5</v>
      </c>
      <c r="AF6645" s="580">
        <f t="shared" si="553"/>
        <v>2.5</v>
      </c>
      <c r="AG6645" s="580">
        <f t="shared" si="554"/>
        <v>0</v>
      </c>
      <c r="AH6645" s="580">
        <f t="shared" si="555"/>
        <v>0</v>
      </c>
    </row>
    <row r="6646" spans="28:34">
      <c r="AB6646" s="580">
        <f>HLOOKUP("*"&amp;'Output annual'!$AC$2&amp;'Output annual'!$AD$2&amp;"*Zone People Number Of Occupants [](Hourly)",'Eplus results'!$1:$1048576,ROW(),FALSE)</f>
        <v>0</v>
      </c>
      <c r="AC6646" s="580">
        <f>HLOOKUP("*"&amp;'Output annual'!$AC$2&amp;'Output annual'!$AD$2&amp;"*FangerPMV(Hourly)",'Eplus results'!$1:$1048576,ROW(),FALSE)</f>
        <v>0</v>
      </c>
      <c r="AD6646" s="580">
        <f t="shared" si="551"/>
        <v>5</v>
      </c>
      <c r="AE6646" s="580">
        <f t="shared" si="552"/>
        <v>2.5</v>
      </c>
      <c r="AF6646" s="580">
        <f t="shared" si="553"/>
        <v>2.5</v>
      </c>
      <c r="AG6646" s="580">
        <f t="shared" si="554"/>
        <v>0</v>
      </c>
      <c r="AH6646" s="580">
        <f t="shared" si="555"/>
        <v>0</v>
      </c>
    </row>
    <row r="6647" spans="28:34">
      <c r="AB6647" s="580">
        <f>HLOOKUP("*"&amp;'Output annual'!$AC$2&amp;'Output annual'!$AD$2&amp;"*Zone People Number Of Occupants [](Hourly)",'Eplus results'!$1:$1048576,ROW(),FALSE)</f>
        <v>0</v>
      </c>
      <c r="AC6647" s="580">
        <f>HLOOKUP("*"&amp;'Output annual'!$AC$2&amp;'Output annual'!$AD$2&amp;"*FangerPMV(Hourly)",'Eplus results'!$1:$1048576,ROW(),FALSE)</f>
        <v>0</v>
      </c>
      <c r="AD6647" s="580">
        <f t="shared" si="551"/>
        <v>5</v>
      </c>
      <c r="AE6647" s="580">
        <f t="shared" si="552"/>
        <v>2.5</v>
      </c>
      <c r="AF6647" s="580">
        <f t="shared" si="553"/>
        <v>2.5</v>
      </c>
      <c r="AG6647" s="580">
        <f t="shared" si="554"/>
        <v>0</v>
      </c>
      <c r="AH6647" s="580">
        <f t="shared" si="555"/>
        <v>0</v>
      </c>
    </row>
    <row r="6648" spans="28:34">
      <c r="AB6648" s="580">
        <f>HLOOKUP("*"&amp;'Output annual'!$AC$2&amp;'Output annual'!$AD$2&amp;"*Zone People Number Of Occupants [](Hourly)",'Eplus results'!$1:$1048576,ROW(),FALSE)</f>
        <v>0</v>
      </c>
      <c r="AC6648" s="580">
        <f>HLOOKUP("*"&amp;'Output annual'!$AC$2&amp;'Output annual'!$AD$2&amp;"*FangerPMV(Hourly)",'Eplus results'!$1:$1048576,ROW(),FALSE)</f>
        <v>0</v>
      </c>
      <c r="AD6648" s="580">
        <f t="shared" si="551"/>
        <v>5</v>
      </c>
      <c r="AE6648" s="580">
        <f t="shared" si="552"/>
        <v>2.5</v>
      </c>
      <c r="AF6648" s="580">
        <f t="shared" si="553"/>
        <v>2.5</v>
      </c>
      <c r="AG6648" s="580">
        <f t="shared" si="554"/>
        <v>0</v>
      </c>
      <c r="AH6648" s="580">
        <f t="shared" si="555"/>
        <v>0</v>
      </c>
    </row>
    <row r="6649" spans="28:34">
      <c r="AB6649" s="580">
        <f>HLOOKUP("*"&amp;'Output annual'!$AC$2&amp;'Output annual'!$AD$2&amp;"*Zone People Number Of Occupants [](Hourly)",'Eplus results'!$1:$1048576,ROW(),FALSE)</f>
        <v>0</v>
      </c>
      <c r="AC6649" s="580">
        <f>HLOOKUP("*"&amp;'Output annual'!$AC$2&amp;'Output annual'!$AD$2&amp;"*FangerPMV(Hourly)",'Eplus results'!$1:$1048576,ROW(),FALSE)</f>
        <v>0</v>
      </c>
      <c r="AD6649" s="580">
        <f t="shared" si="551"/>
        <v>5</v>
      </c>
      <c r="AE6649" s="580">
        <f t="shared" si="552"/>
        <v>2.5</v>
      </c>
      <c r="AF6649" s="580">
        <f t="shared" si="553"/>
        <v>2.5</v>
      </c>
      <c r="AG6649" s="580">
        <f t="shared" si="554"/>
        <v>0</v>
      </c>
      <c r="AH6649" s="580">
        <f t="shared" si="555"/>
        <v>0</v>
      </c>
    </row>
    <row r="6650" spans="28:34">
      <c r="AB6650" s="580">
        <f>HLOOKUP("*"&amp;'Output annual'!$AC$2&amp;'Output annual'!$AD$2&amp;"*Zone People Number Of Occupants [](Hourly)",'Eplus results'!$1:$1048576,ROW(),FALSE)</f>
        <v>0</v>
      </c>
      <c r="AC6650" s="580">
        <f>HLOOKUP("*"&amp;'Output annual'!$AC$2&amp;'Output annual'!$AD$2&amp;"*FangerPMV(Hourly)",'Eplus results'!$1:$1048576,ROW(),FALSE)</f>
        <v>0</v>
      </c>
      <c r="AD6650" s="580">
        <f t="shared" si="551"/>
        <v>5</v>
      </c>
      <c r="AE6650" s="580">
        <f t="shared" si="552"/>
        <v>2.5</v>
      </c>
      <c r="AF6650" s="580">
        <f t="shared" si="553"/>
        <v>2.5</v>
      </c>
      <c r="AG6650" s="580">
        <f t="shared" si="554"/>
        <v>0</v>
      </c>
      <c r="AH6650" s="580">
        <f t="shared" si="555"/>
        <v>0</v>
      </c>
    </row>
    <row r="6651" spans="28:34">
      <c r="AB6651" s="580">
        <f>HLOOKUP("*"&amp;'Output annual'!$AC$2&amp;'Output annual'!$AD$2&amp;"*Zone People Number Of Occupants [](Hourly)",'Eplus results'!$1:$1048576,ROW(),FALSE)</f>
        <v>0</v>
      </c>
      <c r="AC6651" s="580">
        <f>HLOOKUP("*"&amp;'Output annual'!$AC$2&amp;'Output annual'!$AD$2&amp;"*FangerPMV(Hourly)",'Eplus results'!$1:$1048576,ROW(),FALSE)</f>
        <v>0</v>
      </c>
      <c r="AD6651" s="580">
        <f t="shared" si="551"/>
        <v>5</v>
      </c>
      <c r="AE6651" s="580">
        <f t="shared" si="552"/>
        <v>2.5</v>
      </c>
      <c r="AF6651" s="580">
        <f t="shared" si="553"/>
        <v>2.5</v>
      </c>
      <c r="AG6651" s="580">
        <f t="shared" si="554"/>
        <v>0</v>
      </c>
      <c r="AH6651" s="580">
        <f t="shared" si="555"/>
        <v>0</v>
      </c>
    </row>
    <row r="6652" spans="28:34">
      <c r="AB6652" s="580">
        <f>HLOOKUP("*"&amp;'Output annual'!$AC$2&amp;'Output annual'!$AD$2&amp;"*Zone People Number Of Occupants [](Hourly)",'Eplus results'!$1:$1048576,ROW(),FALSE)</f>
        <v>0</v>
      </c>
      <c r="AC6652" s="580">
        <f>HLOOKUP("*"&amp;'Output annual'!$AC$2&amp;'Output annual'!$AD$2&amp;"*FangerPMV(Hourly)",'Eplus results'!$1:$1048576,ROW(),FALSE)</f>
        <v>0</v>
      </c>
      <c r="AD6652" s="580">
        <f t="shared" si="551"/>
        <v>5</v>
      </c>
      <c r="AE6652" s="580">
        <f t="shared" si="552"/>
        <v>2.5</v>
      </c>
      <c r="AF6652" s="580">
        <f t="shared" si="553"/>
        <v>2.5</v>
      </c>
      <c r="AG6652" s="580">
        <f t="shared" si="554"/>
        <v>0</v>
      </c>
      <c r="AH6652" s="580">
        <f t="shared" si="555"/>
        <v>0</v>
      </c>
    </row>
    <row r="6653" spans="28:34">
      <c r="AB6653" s="580">
        <f>HLOOKUP("*"&amp;'Output annual'!$AC$2&amp;'Output annual'!$AD$2&amp;"*Zone People Number Of Occupants [](Hourly)",'Eplus results'!$1:$1048576,ROW(),FALSE)</f>
        <v>0</v>
      </c>
      <c r="AC6653" s="580">
        <f>HLOOKUP("*"&amp;'Output annual'!$AC$2&amp;'Output annual'!$AD$2&amp;"*FangerPMV(Hourly)",'Eplus results'!$1:$1048576,ROW(),FALSE)</f>
        <v>0</v>
      </c>
      <c r="AD6653" s="580">
        <f t="shared" si="551"/>
        <v>5</v>
      </c>
      <c r="AE6653" s="580">
        <f t="shared" si="552"/>
        <v>2.5</v>
      </c>
      <c r="AF6653" s="580">
        <f t="shared" si="553"/>
        <v>2.5</v>
      </c>
      <c r="AG6653" s="580">
        <f t="shared" si="554"/>
        <v>0</v>
      </c>
      <c r="AH6653" s="580">
        <f t="shared" si="555"/>
        <v>0</v>
      </c>
    </row>
    <row r="6654" spans="28:34">
      <c r="AB6654" s="580">
        <f>HLOOKUP("*"&amp;'Output annual'!$AC$2&amp;'Output annual'!$AD$2&amp;"*Zone People Number Of Occupants [](Hourly)",'Eplus results'!$1:$1048576,ROW(),FALSE)</f>
        <v>0</v>
      </c>
      <c r="AC6654" s="580">
        <f>HLOOKUP("*"&amp;'Output annual'!$AC$2&amp;'Output annual'!$AD$2&amp;"*FangerPMV(Hourly)",'Eplus results'!$1:$1048576,ROW(),FALSE)</f>
        <v>0</v>
      </c>
      <c r="AD6654" s="580">
        <f t="shared" si="551"/>
        <v>5</v>
      </c>
      <c r="AE6654" s="580">
        <f t="shared" si="552"/>
        <v>2.5</v>
      </c>
      <c r="AF6654" s="580">
        <f t="shared" si="553"/>
        <v>2.5</v>
      </c>
      <c r="AG6654" s="580">
        <f t="shared" si="554"/>
        <v>0</v>
      </c>
      <c r="AH6654" s="580">
        <f t="shared" si="555"/>
        <v>0</v>
      </c>
    </row>
    <row r="6655" spans="28:34">
      <c r="AB6655" s="580">
        <f>HLOOKUP("*"&amp;'Output annual'!$AC$2&amp;'Output annual'!$AD$2&amp;"*Zone People Number Of Occupants [](Hourly)",'Eplus results'!$1:$1048576,ROW(),FALSE)</f>
        <v>0</v>
      </c>
      <c r="AC6655" s="580">
        <f>HLOOKUP("*"&amp;'Output annual'!$AC$2&amp;'Output annual'!$AD$2&amp;"*FangerPMV(Hourly)",'Eplus results'!$1:$1048576,ROW(),FALSE)</f>
        <v>0</v>
      </c>
      <c r="AD6655" s="580">
        <f t="shared" si="551"/>
        <v>5</v>
      </c>
      <c r="AE6655" s="580">
        <f t="shared" si="552"/>
        <v>2.5</v>
      </c>
      <c r="AF6655" s="580">
        <f t="shared" si="553"/>
        <v>2.5</v>
      </c>
      <c r="AG6655" s="580">
        <f t="shared" si="554"/>
        <v>0</v>
      </c>
      <c r="AH6655" s="580">
        <f t="shared" si="555"/>
        <v>0</v>
      </c>
    </row>
    <row r="6656" spans="28:34">
      <c r="AB6656" s="580">
        <f>HLOOKUP("*"&amp;'Output annual'!$AC$2&amp;'Output annual'!$AD$2&amp;"*Zone People Number Of Occupants [](Hourly)",'Eplus results'!$1:$1048576,ROW(),FALSE)</f>
        <v>0</v>
      </c>
      <c r="AC6656" s="580">
        <f>HLOOKUP("*"&amp;'Output annual'!$AC$2&amp;'Output annual'!$AD$2&amp;"*FangerPMV(Hourly)",'Eplus results'!$1:$1048576,ROW(),FALSE)</f>
        <v>0</v>
      </c>
      <c r="AD6656" s="580">
        <f t="shared" si="551"/>
        <v>5</v>
      </c>
      <c r="AE6656" s="580">
        <f t="shared" si="552"/>
        <v>2.5</v>
      </c>
      <c r="AF6656" s="580">
        <f t="shared" si="553"/>
        <v>2.5</v>
      </c>
      <c r="AG6656" s="580">
        <f t="shared" si="554"/>
        <v>0</v>
      </c>
      <c r="AH6656" s="580">
        <f t="shared" si="555"/>
        <v>0</v>
      </c>
    </row>
    <row r="6657" spans="28:34">
      <c r="AB6657" s="580">
        <f>HLOOKUP("*"&amp;'Output annual'!$AC$2&amp;'Output annual'!$AD$2&amp;"*Zone People Number Of Occupants [](Hourly)",'Eplus results'!$1:$1048576,ROW(),FALSE)</f>
        <v>0</v>
      </c>
      <c r="AC6657" s="580">
        <f>HLOOKUP("*"&amp;'Output annual'!$AC$2&amp;'Output annual'!$AD$2&amp;"*FangerPMV(Hourly)",'Eplus results'!$1:$1048576,ROW(),FALSE)</f>
        <v>0</v>
      </c>
      <c r="AD6657" s="580">
        <f t="shared" si="551"/>
        <v>5</v>
      </c>
      <c r="AE6657" s="580">
        <f t="shared" si="552"/>
        <v>2.5</v>
      </c>
      <c r="AF6657" s="580">
        <f t="shared" si="553"/>
        <v>2.5</v>
      </c>
      <c r="AG6657" s="580">
        <f t="shared" si="554"/>
        <v>0</v>
      </c>
      <c r="AH6657" s="580">
        <f t="shared" si="555"/>
        <v>0</v>
      </c>
    </row>
    <row r="6658" spans="28:34">
      <c r="AB6658" s="580">
        <f>HLOOKUP("*"&amp;'Output annual'!$AC$2&amp;'Output annual'!$AD$2&amp;"*Zone People Number Of Occupants [](Hourly)",'Eplus results'!$1:$1048576,ROW(),FALSE)</f>
        <v>0</v>
      </c>
      <c r="AC6658" s="580">
        <f>HLOOKUP("*"&amp;'Output annual'!$AC$2&amp;'Output annual'!$AD$2&amp;"*FangerPMV(Hourly)",'Eplus results'!$1:$1048576,ROW(),FALSE)</f>
        <v>0</v>
      </c>
      <c r="AD6658" s="580">
        <f t="shared" si="551"/>
        <v>5</v>
      </c>
      <c r="AE6658" s="580">
        <f t="shared" si="552"/>
        <v>2.5</v>
      </c>
      <c r="AF6658" s="580">
        <f t="shared" si="553"/>
        <v>2.5</v>
      </c>
      <c r="AG6658" s="580">
        <f t="shared" si="554"/>
        <v>0</v>
      </c>
      <c r="AH6658" s="580">
        <f t="shared" si="555"/>
        <v>0</v>
      </c>
    </row>
    <row r="6659" spans="28:34">
      <c r="AB6659" s="580">
        <f>HLOOKUP("*"&amp;'Output annual'!$AC$2&amp;'Output annual'!$AD$2&amp;"*Zone People Number Of Occupants [](Hourly)",'Eplus results'!$1:$1048576,ROW(),FALSE)</f>
        <v>0</v>
      </c>
      <c r="AC6659" s="580">
        <f>HLOOKUP("*"&amp;'Output annual'!$AC$2&amp;'Output annual'!$AD$2&amp;"*FangerPMV(Hourly)",'Eplus results'!$1:$1048576,ROW(),FALSE)</f>
        <v>0</v>
      </c>
      <c r="AD6659" s="580">
        <f t="shared" ref="AD6659:AD6722" si="556">100-95*EXP(-0.03353*AC6659^4-0.2179*AC6659^2)</f>
        <v>5</v>
      </c>
      <c r="AE6659" s="580">
        <f t="shared" ref="AE6659:AE6722" si="557">AD6659*(1/(1+EXP(-6.3*$AC6659)))</f>
        <v>2.5</v>
      </c>
      <c r="AF6659" s="580">
        <f t="shared" ref="AF6659:AF6722" si="558">(AD6659-AE6659)</f>
        <v>2.5</v>
      </c>
      <c r="AG6659" s="580">
        <f t="shared" ref="AG6659:AG6722" si="559">AE6659*AB6659</f>
        <v>0</v>
      </c>
      <c r="AH6659" s="580">
        <f t="shared" ref="AH6659:AH6722" si="560">AF6659*AB6659</f>
        <v>0</v>
      </c>
    </row>
    <row r="6660" spans="28:34">
      <c r="AB6660" s="580">
        <f>HLOOKUP("*"&amp;'Output annual'!$AC$2&amp;'Output annual'!$AD$2&amp;"*Zone People Number Of Occupants [](Hourly)",'Eplus results'!$1:$1048576,ROW(),FALSE)</f>
        <v>0</v>
      </c>
      <c r="AC6660" s="580">
        <f>HLOOKUP("*"&amp;'Output annual'!$AC$2&amp;'Output annual'!$AD$2&amp;"*FangerPMV(Hourly)",'Eplus results'!$1:$1048576,ROW(),FALSE)</f>
        <v>0</v>
      </c>
      <c r="AD6660" s="580">
        <f t="shared" si="556"/>
        <v>5</v>
      </c>
      <c r="AE6660" s="580">
        <f t="shared" si="557"/>
        <v>2.5</v>
      </c>
      <c r="AF6660" s="580">
        <f t="shared" si="558"/>
        <v>2.5</v>
      </c>
      <c r="AG6660" s="580">
        <f t="shared" si="559"/>
        <v>0</v>
      </c>
      <c r="AH6660" s="580">
        <f t="shared" si="560"/>
        <v>0</v>
      </c>
    </row>
    <row r="6661" spans="28:34">
      <c r="AB6661" s="580">
        <f>HLOOKUP("*"&amp;'Output annual'!$AC$2&amp;'Output annual'!$AD$2&amp;"*Zone People Number Of Occupants [](Hourly)",'Eplus results'!$1:$1048576,ROW(),FALSE)</f>
        <v>0</v>
      </c>
      <c r="AC6661" s="580">
        <f>HLOOKUP("*"&amp;'Output annual'!$AC$2&amp;'Output annual'!$AD$2&amp;"*FangerPMV(Hourly)",'Eplus results'!$1:$1048576,ROW(),FALSE)</f>
        <v>0</v>
      </c>
      <c r="AD6661" s="580">
        <f t="shared" si="556"/>
        <v>5</v>
      </c>
      <c r="AE6661" s="580">
        <f t="shared" si="557"/>
        <v>2.5</v>
      </c>
      <c r="AF6661" s="580">
        <f t="shared" si="558"/>
        <v>2.5</v>
      </c>
      <c r="AG6661" s="580">
        <f t="shared" si="559"/>
        <v>0</v>
      </c>
      <c r="AH6661" s="580">
        <f t="shared" si="560"/>
        <v>0</v>
      </c>
    </row>
    <row r="6662" spans="28:34">
      <c r="AB6662" s="580">
        <f>HLOOKUP("*"&amp;'Output annual'!$AC$2&amp;'Output annual'!$AD$2&amp;"*Zone People Number Of Occupants [](Hourly)",'Eplus results'!$1:$1048576,ROW(),FALSE)</f>
        <v>0</v>
      </c>
      <c r="AC6662" s="580">
        <f>HLOOKUP("*"&amp;'Output annual'!$AC$2&amp;'Output annual'!$AD$2&amp;"*FangerPMV(Hourly)",'Eplus results'!$1:$1048576,ROW(),FALSE)</f>
        <v>0</v>
      </c>
      <c r="AD6662" s="580">
        <f t="shared" si="556"/>
        <v>5</v>
      </c>
      <c r="AE6662" s="580">
        <f t="shared" si="557"/>
        <v>2.5</v>
      </c>
      <c r="AF6662" s="580">
        <f t="shared" si="558"/>
        <v>2.5</v>
      </c>
      <c r="AG6662" s="580">
        <f t="shared" si="559"/>
        <v>0</v>
      </c>
      <c r="AH6662" s="580">
        <f t="shared" si="560"/>
        <v>0</v>
      </c>
    </row>
    <row r="6663" spans="28:34">
      <c r="AB6663" s="580">
        <f>HLOOKUP("*"&amp;'Output annual'!$AC$2&amp;'Output annual'!$AD$2&amp;"*Zone People Number Of Occupants [](Hourly)",'Eplus results'!$1:$1048576,ROW(),FALSE)</f>
        <v>0</v>
      </c>
      <c r="AC6663" s="580">
        <f>HLOOKUP("*"&amp;'Output annual'!$AC$2&amp;'Output annual'!$AD$2&amp;"*FangerPMV(Hourly)",'Eplus results'!$1:$1048576,ROW(),FALSE)</f>
        <v>0</v>
      </c>
      <c r="AD6663" s="580">
        <f t="shared" si="556"/>
        <v>5</v>
      </c>
      <c r="AE6663" s="580">
        <f t="shared" si="557"/>
        <v>2.5</v>
      </c>
      <c r="AF6663" s="580">
        <f t="shared" si="558"/>
        <v>2.5</v>
      </c>
      <c r="AG6663" s="580">
        <f t="shared" si="559"/>
        <v>0</v>
      </c>
      <c r="AH6663" s="580">
        <f t="shared" si="560"/>
        <v>0</v>
      </c>
    </row>
    <row r="6664" spans="28:34">
      <c r="AB6664" s="580">
        <f>HLOOKUP("*"&amp;'Output annual'!$AC$2&amp;'Output annual'!$AD$2&amp;"*Zone People Number Of Occupants [](Hourly)",'Eplus results'!$1:$1048576,ROW(),FALSE)</f>
        <v>0</v>
      </c>
      <c r="AC6664" s="580">
        <f>HLOOKUP("*"&amp;'Output annual'!$AC$2&amp;'Output annual'!$AD$2&amp;"*FangerPMV(Hourly)",'Eplus results'!$1:$1048576,ROW(),FALSE)</f>
        <v>0</v>
      </c>
      <c r="AD6664" s="580">
        <f t="shared" si="556"/>
        <v>5</v>
      </c>
      <c r="AE6664" s="580">
        <f t="shared" si="557"/>
        <v>2.5</v>
      </c>
      <c r="AF6664" s="580">
        <f t="shared" si="558"/>
        <v>2.5</v>
      </c>
      <c r="AG6664" s="580">
        <f t="shared" si="559"/>
        <v>0</v>
      </c>
      <c r="AH6664" s="580">
        <f t="shared" si="560"/>
        <v>0</v>
      </c>
    </row>
    <row r="6665" spans="28:34">
      <c r="AB6665" s="580">
        <f>HLOOKUP("*"&amp;'Output annual'!$AC$2&amp;'Output annual'!$AD$2&amp;"*Zone People Number Of Occupants [](Hourly)",'Eplus results'!$1:$1048576,ROW(),FALSE)</f>
        <v>0</v>
      </c>
      <c r="AC6665" s="580">
        <f>HLOOKUP("*"&amp;'Output annual'!$AC$2&amp;'Output annual'!$AD$2&amp;"*FangerPMV(Hourly)",'Eplus results'!$1:$1048576,ROW(),FALSE)</f>
        <v>0</v>
      </c>
      <c r="AD6665" s="580">
        <f t="shared" si="556"/>
        <v>5</v>
      </c>
      <c r="AE6665" s="580">
        <f t="shared" si="557"/>
        <v>2.5</v>
      </c>
      <c r="AF6665" s="580">
        <f t="shared" si="558"/>
        <v>2.5</v>
      </c>
      <c r="AG6665" s="580">
        <f t="shared" si="559"/>
        <v>0</v>
      </c>
      <c r="AH6665" s="580">
        <f t="shared" si="560"/>
        <v>0</v>
      </c>
    </row>
    <row r="6666" spans="28:34">
      <c r="AB6666" s="580">
        <f>HLOOKUP("*"&amp;'Output annual'!$AC$2&amp;'Output annual'!$AD$2&amp;"*Zone People Number Of Occupants [](Hourly)",'Eplus results'!$1:$1048576,ROW(),FALSE)</f>
        <v>0</v>
      </c>
      <c r="AC6666" s="580">
        <f>HLOOKUP("*"&amp;'Output annual'!$AC$2&amp;'Output annual'!$AD$2&amp;"*FangerPMV(Hourly)",'Eplus results'!$1:$1048576,ROW(),FALSE)</f>
        <v>0</v>
      </c>
      <c r="AD6666" s="580">
        <f t="shared" si="556"/>
        <v>5</v>
      </c>
      <c r="AE6666" s="580">
        <f t="shared" si="557"/>
        <v>2.5</v>
      </c>
      <c r="AF6666" s="580">
        <f t="shared" si="558"/>
        <v>2.5</v>
      </c>
      <c r="AG6666" s="580">
        <f t="shared" si="559"/>
        <v>0</v>
      </c>
      <c r="AH6666" s="580">
        <f t="shared" si="560"/>
        <v>0</v>
      </c>
    </row>
    <row r="6667" spans="28:34">
      <c r="AB6667" s="580">
        <f>HLOOKUP("*"&amp;'Output annual'!$AC$2&amp;'Output annual'!$AD$2&amp;"*Zone People Number Of Occupants [](Hourly)",'Eplus results'!$1:$1048576,ROW(),FALSE)</f>
        <v>0</v>
      </c>
      <c r="AC6667" s="580">
        <f>HLOOKUP("*"&amp;'Output annual'!$AC$2&amp;'Output annual'!$AD$2&amp;"*FangerPMV(Hourly)",'Eplus results'!$1:$1048576,ROW(),FALSE)</f>
        <v>0</v>
      </c>
      <c r="AD6667" s="580">
        <f t="shared" si="556"/>
        <v>5</v>
      </c>
      <c r="AE6667" s="580">
        <f t="shared" si="557"/>
        <v>2.5</v>
      </c>
      <c r="AF6667" s="580">
        <f t="shared" si="558"/>
        <v>2.5</v>
      </c>
      <c r="AG6667" s="580">
        <f t="shared" si="559"/>
        <v>0</v>
      </c>
      <c r="AH6667" s="580">
        <f t="shared" si="560"/>
        <v>0</v>
      </c>
    </row>
    <row r="6668" spans="28:34">
      <c r="AB6668" s="580">
        <f>HLOOKUP("*"&amp;'Output annual'!$AC$2&amp;'Output annual'!$AD$2&amp;"*Zone People Number Of Occupants [](Hourly)",'Eplus results'!$1:$1048576,ROW(),FALSE)</f>
        <v>0</v>
      </c>
      <c r="AC6668" s="580">
        <f>HLOOKUP("*"&amp;'Output annual'!$AC$2&amp;'Output annual'!$AD$2&amp;"*FangerPMV(Hourly)",'Eplus results'!$1:$1048576,ROW(),FALSE)</f>
        <v>0</v>
      </c>
      <c r="AD6668" s="580">
        <f t="shared" si="556"/>
        <v>5</v>
      </c>
      <c r="AE6668" s="580">
        <f t="shared" si="557"/>
        <v>2.5</v>
      </c>
      <c r="AF6668" s="580">
        <f t="shared" si="558"/>
        <v>2.5</v>
      </c>
      <c r="AG6668" s="580">
        <f t="shared" si="559"/>
        <v>0</v>
      </c>
      <c r="AH6668" s="580">
        <f t="shared" si="560"/>
        <v>0</v>
      </c>
    </row>
    <row r="6669" spans="28:34">
      <c r="AB6669" s="580">
        <f>HLOOKUP("*"&amp;'Output annual'!$AC$2&amp;'Output annual'!$AD$2&amp;"*Zone People Number Of Occupants [](Hourly)",'Eplus results'!$1:$1048576,ROW(),FALSE)</f>
        <v>0</v>
      </c>
      <c r="AC6669" s="580">
        <f>HLOOKUP("*"&amp;'Output annual'!$AC$2&amp;'Output annual'!$AD$2&amp;"*FangerPMV(Hourly)",'Eplus results'!$1:$1048576,ROW(),FALSE)</f>
        <v>0</v>
      </c>
      <c r="AD6669" s="580">
        <f t="shared" si="556"/>
        <v>5</v>
      </c>
      <c r="AE6669" s="580">
        <f t="shared" si="557"/>
        <v>2.5</v>
      </c>
      <c r="AF6669" s="580">
        <f t="shared" si="558"/>
        <v>2.5</v>
      </c>
      <c r="AG6669" s="580">
        <f t="shared" si="559"/>
        <v>0</v>
      </c>
      <c r="AH6669" s="580">
        <f t="shared" si="560"/>
        <v>0</v>
      </c>
    </row>
    <row r="6670" spans="28:34">
      <c r="AB6670" s="580">
        <f>HLOOKUP("*"&amp;'Output annual'!$AC$2&amp;'Output annual'!$AD$2&amp;"*Zone People Number Of Occupants [](Hourly)",'Eplus results'!$1:$1048576,ROW(),FALSE)</f>
        <v>0</v>
      </c>
      <c r="AC6670" s="580">
        <f>HLOOKUP("*"&amp;'Output annual'!$AC$2&amp;'Output annual'!$AD$2&amp;"*FangerPMV(Hourly)",'Eplus results'!$1:$1048576,ROW(),FALSE)</f>
        <v>0</v>
      </c>
      <c r="AD6670" s="580">
        <f t="shared" si="556"/>
        <v>5</v>
      </c>
      <c r="AE6670" s="580">
        <f t="shared" si="557"/>
        <v>2.5</v>
      </c>
      <c r="AF6670" s="580">
        <f t="shared" si="558"/>
        <v>2.5</v>
      </c>
      <c r="AG6670" s="580">
        <f t="shared" si="559"/>
        <v>0</v>
      </c>
      <c r="AH6670" s="580">
        <f t="shared" si="560"/>
        <v>0</v>
      </c>
    </row>
    <row r="6671" spans="28:34">
      <c r="AB6671" s="580">
        <f>HLOOKUP("*"&amp;'Output annual'!$AC$2&amp;'Output annual'!$AD$2&amp;"*Zone People Number Of Occupants [](Hourly)",'Eplus results'!$1:$1048576,ROW(),FALSE)</f>
        <v>0</v>
      </c>
      <c r="AC6671" s="580">
        <f>HLOOKUP("*"&amp;'Output annual'!$AC$2&amp;'Output annual'!$AD$2&amp;"*FangerPMV(Hourly)",'Eplus results'!$1:$1048576,ROW(),FALSE)</f>
        <v>0</v>
      </c>
      <c r="AD6671" s="580">
        <f t="shared" si="556"/>
        <v>5</v>
      </c>
      <c r="AE6671" s="580">
        <f t="shared" si="557"/>
        <v>2.5</v>
      </c>
      <c r="AF6671" s="580">
        <f t="shared" si="558"/>
        <v>2.5</v>
      </c>
      <c r="AG6671" s="580">
        <f t="shared" si="559"/>
        <v>0</v>
      </c>
      <c r="AH6671" s="580">
        <f t="shared" si="560"/>
        <v>0</v>
      </c>
    </row>
    <row r="6672" spans="28:34">
      <c r="AB6672" s="580">
        <f>HLOOKUP("*"&amp;'Output annual'!$AC$2&amp;'Output annual'!$AD$2&amp;"*Zone People Number Of Occupants [](Hourly)",'Eplus results'!$1:$1048576,ROW(),FALSE)</f>
        <v>0</v>
      </c>
      <c r="AC6672" s="580">
        <f>HLOOKUP("*"&amp;'Output annual'!$AC$2&amp;'Output annual'!$AD$2&amp;"*FangerPMV(Hourly)",'Eplus results'!$1:$1048576,ROW(),FALSE)</f>
        <v>0</v>
      </c>
      <c r="AD6672" s="580">
        <f t="shared" si="556"/>
        <v>5</v>
      </c>
      <c r="AE6672" s="580">
        <f t="shared" si="557"/>
        <v>2.5</v>
      </c>
      <c r="AF6672" s="580">
        <f t="shared" si="558"/>
        <v>2.5</v>
      </c>
      <c r="AG6672" s="580">
        <f t="shared" si="559"/>
        <v>0</v>
      </c>
      <c r="AH6672" s="580">
        <f t="shared" si="560"/>
        <v>0</v>
      </c>
    </row>
    <row r="6673" spans="28:34">
      <c r="AB6673" s="580">
        <f>HLOOKUP("*"&amp;'Output annual'!$AC$2&amp;'Output annual'!$AD$2&amp;"*Zone People Number Of Occupants [](Hourly)",'Eplus results'!$1:$1048576,ROW(),FALSE)</f>
        <v>0</v>
      </c>
      <c r="AC6673" s="580">
        <f>HLOOKUP("*"&amp;'Output annual'!$AC$2&amp;'Output annual'!$AD$2&amp;"*FangerPMV(Hourly)",'Eplus results'!$1:$1048576,ROW(),FALSE)</f>
        <v>0</v>
      </c>
      <c r="AD6673" s="580">
        <f t="shared" si="556"/>
        <v>5</v>
      </c>
      <c r="AE6673" s="580">
        <f t="shared" si="557"/>
        <v>2.5</v>
      </c>
      <c r="AF6673" s="580">
        <f t="shared" si="558"/>
        <v>2.5</v>
      </c>
      <c r="AG6673" s="580">
        <f t="shared" si="559"/>
        <v>0</v>
      </c>
      <c r="AH6673" s="580">
        <f t="shared" si="560"/>
        <v>0</v>
      </c>
    </row>
    <row r="6674" spans="28:34">
      <c r="AB6674" s="580">
        <f>HLOOKUP("*"&amp;'Output annual'!$AC$2&amp;'Output annual'!$AD$2&amp;"*Zone People Number Of Occupants [](Hourly)",'Eplus results'!$1:$1048576,ROW(),FALSE)</f>
        <v>0</v>
      </c>
      <c r="AC6674" s="580">
        <f>HLOOKUP("*"&amp;'Output annual'!$AC$2&amp;'Output annual'!$AD$2&amp;"*FangerPMV(Hourly)",'Eplus results'!$1:$1048576,ROW(),FALSE)</f>
        <v>0</v>
      </c>
      <c r="AD6674" s="580">
        <f t="shared" si="556"/>
        <v>5</v>
      </c>
      <c r="AE6674" s="580">
        <f t="shared" si="557"/>
        <v>2.5</v>
      </c>
      <c r="AF6674" s="580">
        <f t="shared" si="558"/>
        <v>2.5</v>
      </c>
      <c r="AG6674" s="580">
        <f t="shared" si="559"/>
        <v>0</v>
      </c>
      <c r="AH6674" s="580">
        <f t="shared" si="560"/>
        <v>0</v>
      </c>
    </row>
    <row r="6675" spans="28:34">
      <c r="AB6675" s="580">
        <f>HLOOKUP("*"&amp;'Output annual'!$AC$2&amp;'Output annual'!$AD$2&amp;"*Zone People Number Of Occupants [](Hourly)",'Eplus results'!$1:$1048576,ROW(),FALSE)</f>
        <v>0</v>
      </c>
      <c r="AC6675" s="580">
        <f>HLOOKUP("*"&amp;'Output annual'!$AC$2&amp;'Output annual'!$AD$2&amp;"*FangerPMV(Hourly)",'Eplus results'!$1:$1048576,ROW(),FALSE)</f>
        <v>0</v>
      </c>
      <c r="AD6675" s="580">
        <f t="shared" si="556"/>
        <v>5</v>
      </c>
      <c r="AE6675" s="580">
        <f t="shared" si="557"/>
        <v>2.5</v>
      </c>
      <c r="AF6675" s="580">
        <f t="shared" si="558"/>
        <v>2.5</v>
      </c>
      <c r="AG6675" s="580">
        <f t="shared" si="559"/>
        <v>0</v>
      </c>
      <c r="AH6675" s="580">
        <f t="shared" si="560"/>
        <v>0</v>
      </c>
    </row>
    <row r="6676" spans="28:34">
      <c r="AB6676" s="580">
        <f>HLOOKUP("*"&amp;'Output annual'!$AC$2&amp;'Output annual'!$AD$2&amp;"*Zone People Number Of Occupants [](Hourly)",'Eplus results'!$1:$1048576,ROW(),FALSE)</f>
        <v>0</v>
      </c>
      <c r="AC6676" s="580">
        <f>HLOOKUP("*"&amp;'Output annual'!$AC$2&amp;'Output annual'!$AD$2&amp;"*FangerPMV(Hourly)",'Eplus results'!$1:$1048576,ROW(),FALSE)</f>
        <v>0</v>
      </c>
      <c r="AD6676" s="580">
        <f t="shared" si="556"/>
        <v>5</v>
      </c>
      <c r="AE6676" s="580">
        <f t="shared" si="557"/>
        <v>2.5</v>
      </c>
      <c r="AF6676" s="580">
        <f t="shared" si="558"/>
        <v>2.5</v>
      </c>
      <c r="AG6676" s="580">
        <f t="shared" si="559"/>
        <v>0</v>
      </c>
      <c r="AH6676" s="580">
        <f t="shared" si="560"/>
        <v>0</v>
      </c>
    </row>
    <row r="6677" spans="28:34">
      <c r="AB6677" s="580">
        <f>HLOOKUP("*"&amp;'Output annual'!$AC$2&amp;'Output annual'!$AD$2&amp;"*Zone People Number Of Occupants [](Hourly)",'Eplus results'!$1:$1048576,ROW(),FALSE)</f>
        <v>0</v>
      </c>
      <c r="AC6677" s="580">
        <f>HLOOKUP("*"&amp;'Output annual'!$AC$2&amp;'Output annual'!$AD$2&amp;"*FangerPMV(Hourly)",'Eplus results'!$1:$1048576,ROW(),FALSE)</f>
        <v>0</v>
      </c>
      <c r="AD6677" s="580">
        <f t="shared" si="556"/>
        <v>5</v>
      </c>
      <c r="AE6677" s="580">
        <f t="shared" si="557"/>
        <v>2.5</v>
      </c>
      <c r="AF6677" s="580">
        <f t="shared" si="558"/>
        <v>2.5</v>
      </c>
      <c r="AG6677" s="580">
        <f t="shared" si="559"/>
        <v>0</v>
      </c>
      <c r="AH6677" s="580">
        <f t="shared" si="560"/>
        <v>0</v>
      </c>
    </row>
    <row r="6678" spans="28:34">
      <c r="AB6678" s="580">
        <f>HLOOKUP("*"&amp;'Output annual'!$AC$2&amp;'Output annual'!$AD$2&amp;"*Zone People Number Of Occupants [](Hourly)",'Eplus results'!$1:$1048576,ROW(),FALSE)</f>
        <v>0</v>
      </c>
      <c r="AC6678" s="580">
        <f>HLOOKUP("*"&amp;'Output annual'!$AC$2&amp;'Output annual'!$AD$2&amp;"*FangerPMV(Hourly)",'Eplus results'!$1:$1048576,ROW(),FALSE)</f>
        <v>0</v>
      </c>
      <c r="AD6678" s="580">
        <f t="shared" si="556"/>
        <v>5</v>
      </c>
      <c r="AE6678" s="580">
        <f t="shared" si="557"/>
        <v>2.5</v>
      </c>
      <c r="AF6678" s="580">
        <f t="shared" si="558"/>
        <v>2.5</v>
      </c>
      <c r="AG6678" s="580">
        <f t="shared" si="559"/>
        <v>0</v>
      </c>
      <c r="AH6678" s="580">
        <f t="shared" si="560"/>
        <v>0</v>
      </c>
    </row>
    <row r="6679" spans="28:34">
      <c r="AB6679" s="580">
        <f>HLOOKUP("*"&amp;'Output annual'!$AC$2&amp;'Output annual'!$AD$2&amp;"*Zone People Number Of Occupants [](Hourly)",'Eplus results'!$1:$1048576,ROW(),FALSE)</f>
        <v>0</v>
      </c>
      <c r="AC6679" s="580">
        <f>HLOOKUP("*"&amp;'Output annual'!$AC$2&amp;'Output annual'!$AD$2&amp;"*FangerPMV(Hourly)",'Eplus results'!$1:$1048576,ROW(),FALSE)</f>
        <v>0</v>
      </c>
      <c r="AD6679" s="580">
        <f t="shared" si="556"/>
        <v>5</v>
      </c>
      <c r="AE6679" s="580">
        <f t="shared" si="557"/>
        <v>2.5</v>
      </c>
      <c r="AF6679" s="580">
        <f t="shared" si="558"/>
        <v>2.5</v>
      </c>
      <c r="AG6679" s="580">
        <f t="shared" si="559"/>
        <v>0</v>
      </c>
      <c r="AH6679" s="580">
        <f t="shared" si="560"/>
        <v>0</v>
      </c>
    </row>
    <row r="6680" spans="28:34">
      <c r="AB6680" s="580">
        <f>HLOOKUP("*"&amp;'Output annual'!$AC$2&amp;'Output annual'!$AD$2&amp;"*Zone People Number Of Occupants [](Hourly)",'Eplus results'!$1:$1048576,ROW(),FALSE)</f>
        <v>0</v>
      </c>
      <c r="AC6680" s="580">
        <f>HLOOKUP("*"&amp;'Output annual'!$AC$2&amp;'Output annual'!$AD$2&amp;"*FangerPMV(Hourly)",'Eplus results'!$1:$1048576,ROW(),FALSE)</f>
        <v>0</v>
      </c>
      <c r="AD6680" s="580">
        <f t="shared" si="556"/>
        <v>5</v>
      </c>
      <c r="AE6680" s="580">
        <f t="shared" si="557"/>
        <v>2.5</v>
      </c>
      <c r="AF6680" s="580">
        <f t="shared" si="558"/>
        <v>2.5</v>
      </c>
      <c r="AG6680" s="580">
        <f t="shared" si="559"/>
        <v>0</v>
      </c>
      <c r="AH6680" s="580">
        <f t="shared" si="560"/>
        <v>0</v>
      </c>
    </row>
    <row r="6681" spans="28:34">
      <c r="AB6681" s="580">
        <f>HLOOKUP("*"&amp;'Output annual'!$AC$2&amp;'Output annual'!$AD$2&amp;"*Zone People Number Of Occupants [](Hourly)",'Eplus results'!$1:$1048576,ROW(),FALSE)</f>
        <v>0</v>
      </c>
      <c r="AC6681" s="580">
        <f>HLOOKUP("*"&amp;'Output annual'!$AC$2&amp;'Output annual'!$AD$2&amp;"*FangerPMV(Hourly)",'Eplus results'!$1:$1048576,ROW(),FALSE)</f>
        <v>0</v>
      </c>
      <c r="AD6681" s="580">
        <f t="shared" si="556"/>
        <v>5</v>
      </c>
      <c r="AE6681" s="580">
        <f t="shared" si="557"/>
        <v>2.5</v>
      </c>
      <c r="AF6681" s="580">
        <f t="shared" si="558"/>
        <v>2.5</v>
      </c>
      <c r="AG6681" s="580">
        <f t="shared" si="559"/>
        <v>0</v>
      </c>
      <c r="AH6681" s="580">
        <f t="shared" si="560"/>
        <v>0</v>
      </c>
    </row>
    <row r="6682" spans="28:34">
      <c r="AB6682" s="580">
        <f>HLOOKUP("*"&amp;'Output annual'!$AC$2&amp;'Output annual'!$AD$2&amp;"*Zone People Number Of Occupants [](Hourly)",'Eplus results'!$1:$1048576,ROW(),FALSE)</f>
        <v>0</v>
      </c>
      <c r="AC6682" s="580">
        <f>HLOOKUP("*"&amp;'Output annual'!$AC$2&amp;'Output annual'!$AD$2&amp;"*FangerPMV(Hourly)",'Eplus results'!$1:$1048576,ROW(),FALSE)</f>
        <v>0</v>
      </c>
      <c r="AD6682" s="580">
        <f t="shared" si="556"/>
        <v>5</v>
      </c>
      <c r="AE6682" s="580">
        <f t="shared" si="557"/>
        <v>2.5</v>
      </c>
      <c r="AF6682" s="580">
        <f t="shared" si="558"/>
        <v>2.5</v>
      </c>
      <c r="AG6682" s="580">
        <f t="shared" si="559"/>
        <v>0</v>
      </c>
      <c r="AH6682" s="580">
        <f t="shared" si="560"/>
        <v>0</v>
      </c>
    </row>
    <row r="6683" spans="28:34">
      <c r="AB6683" s="580">
        <f>HLOOKUP("*"&amp;'Output annual'!$AC$2&amp;'Output annual'!$AD$2&amp;"*Zone People Number Of Occupants [](Hourly)",'Eplus results'!$1:$1048576,ROW(),FALSE)</f>
        <v>0</v>
      </c>
      <c r="AC6683" s="580">
        <f>HLOOKUP("*"&amp;'Output annual'!$AC$2&amp;'Output annual'!$AD$2&amp;"*FangerPMV(Hourly)",'Eplus results'!$1:$1048576,ROW(),FALSE)</f>
        <v>0</v>
      </c>
      <c r="AD6683" s="580">
        <f t="shared" si="556"/>
        <v>5</v>
      </c>
      <c r="AE6683" s="580">
        <f t="shared" si="557"/>
        <v>2.5</v>
      </c>
      <c r="AF6683" s="580">
        <f t="shared" si="558"/>
        <v>2.5</v>
      </c>
      <c r="AG6683" s="580">
        <f t="shared" si="559"/>
        <v>0</v>
      </c>
      <c r="AH6683" s="580">
        <f t="shared" si="560"/>
        <v>0</v>
      </c>
    </row>
    <row r="6684" spans="28:34">
      <c r="AB6684" s="580">
        <f>HLOOKUP("*"&amp;'Output annual'!$AC$2&amp;'Output annual'!$AD$2&amp;"*Zone People Number Of Occupants [](Hourly)",'Eplus results'!$1:$1048576,ROW(),FALSE)</f>
        <v>0</v>
      </c>
      <c r="AC6684" s="580">
        <f>HLOOKUP("*"&amp;'Output annual'!$AC$2&amp;'Output annual'!$AD$2&amp;"*FangerPMV(Hourly)",'Eplus results'!$1:$1048576,ROW(),FALSE)</f>
        <v>0</v>
      </c>
      <c r="AD6684" s="580">
        <f t="shared" si="556"/>
        <v>5</v>
      </c>
      <c r="AE6684" s="580">
        <f t="shared" si="557"/>
        <v>2.5</v>
      </c>
      <c r="AF6684" s="580">
        <f t="shared" si="558"/>
        <v>2.5</v>
      </c>
      <c r="AG6684" s="580">
        <f t="shared" si="559"/>
        <v>0</v>
      </c>
      <c r="AH6684" s="580">
        <f t="shared" si="560"/>
        <v>0</v>
      </c>
    </row>
    <row r="6685" spans="28:34">
      <c r="AB6685" s="580">
        <f>HLOOKUP("*"&amp;'Output annual'!$AC$2&amp;'Output annual'!$AD$2&amp;"*Zone People Number Of Occupants [](Hourly)",'Eplus results'!$1:$1048576,ROW(),FALSE)</f>
        <v>0</v>
      </c>
      <c r="AC6685" s="580">
        <f>HLOOKUP("*"&amp;'Output annual'!$AC$2&amp;'Output annual'!$AD$2&amp;"*FangerPMV(Hourly)",'Eplus results'!$1:$1048576,ROW(),FALSE)</f>
        <v>0</v>
      </c>
      <c r="AD6685" s="580">
        <f t="shared" si="556"/>
        <v>5</v>
      </c>
      <c r="AE6685" s="580">
        <f t="shared" si="557"/>
        <v>2.5</v>
      </c>
      <c r="AF6685" s="580">
        <f t="shared" si="558"/>
        <v>2.5</v>
      </c>
      <c r="AG6685" s="580">
        <f t="shared" si="559"/>
        <v>0</v>
      </c>
      <c r="AH6685" s="580">
        <f t="shared" si="560"/>
        <v>0</v>
      </c>
    </row>
    <row r="6686" spans="28:34">
      <c r="AB6686" s="580">
        <f>HLOOKUP("*"&amp;'Output annual'!$AC$2&amp;'Output annual'!$AD$2&amp;"*Zone People Number Of Occupants [](Hourly)",'Eplus results'!$1:$1048576,ROW(),FALSE)</f>
        <v>0</v>
      </c>
      <c r="AC6686" s="580">
        <f>HLOOKUP("*"&amp;'Output annual'!$AC$2&amp;'Output annual'!$AD$2&amp;"*FangerPMV(Hourly)",'Eplus results'!$1:$1048576,ROW(),FALSE)</f>
        <v>0</v>
      </c>
      <c r="AD6686" s="580">
        <f t="shared" si="556"/>
        <v>5</v>
      </c>
      <c r="AE6686" s="580">
        <f t="shared" si="557"/>
        <v>2.5</v>
      </c>
      <c r="AF6686" s="580">
        <f t="shared" si="558"/>
        <v>2.5</v>
      </c>
      <c r="AG6686" s="580">
        <f t="shared" si="559"/>
        <v>0</v>
      </c>
      <c r="AH6686" s="580">
        <f t="shared" si="560"/>
        <v>0</v>
      </c>
    </row>
    <row r="6687" spans="28:34">
      <c r="AB6687" s="580">
        <f>HLOOKUP("*"&amp;'Output annual'!$AC$2&amp;'Output annual'!$AD$2&amp;"*Zone People Number Of Occupants [](Hourly)",'Eplus results'!$1:$1048576,ROW(),FALSE)</f>
        <v>0</v>
      </c>
      <c r="AC6687" s="580">
        <f>HLOOKUP("*"&amp;'Output annual'!$AC$2&amp;'Output annual'!$AD$2&amp;"*FangerPMV(Hourly)",'Eplus results'!$1:$1048576,ROW(),FALSE)</f>
        <v>0</v>
      </c>
      <c r="AD6687" s="580">
        <f t="shared" si="556"/>
        <v>5</v>
      </c>
      <c r="AE6687" s="580">
        <f t="shared" si="557"/>
        <v>2.5</v>
      </c>
      <c r="AF6687" s="580">
        <f t="shared" si="558"/>
        <v>2.5</v>
      </c>
      <c r="AG6687" s="580">
        <f t="shared" si="559"/>
        <v>0</v>
      </c>
      <c r="AH6687" s="580">
        <f t="shared" si="560"/>
        <v>0</v>
      </c>
    </row>
    <row r="6688" spans="28:34">
      <c r="AB6688" s="580">
        <f>HLOOKUP("*"&amp;'Output annual'!$AC$2&amp;'Output annual'!$AD$2&amp;"*Zone People Number Of Occupants [](Hourly)",'Eplus results'!$1:$1048576,ROW(),FALSE)</f>
        <v>0</v>
      </c>
      <c r="AC6688" s="580">
        <f>HLOOKUP("*"&amp;'Output annual'!$AC$2&amp;'Output annual'!$AD$2&amp;"*FangerPMV(Hourly)",'Eplus results'!$1:$1048576,ROW(),FALSE)</f>
        <v>0</v>
      </c>
      <c r="AD6688" s="580">
        <f t="shared" si="556"/>
        <v>5</v>
      </c>
      <c r="AE6688" s="580">
        <f t="shared" si="557"/>
        <v>2.5</v>
      </c>
      <c r="AF6688" s="580">
        <f t="shared" si="558"/>
        <v>2.5</v>
      </c>
      <c r="AG6688" s="580">
        <f t="shared" si="559"/>
        <v>0</v>
      </c>
      <c r="AH6688" s="580">
        <f t="shared" si="560"/>
        <v>0</v>
      </c>
    </row>
    <row r="6689" spans="28:34">
      <c r="AB6689" s="580">
        <f>HLOOKUP("*"&amp;'Output annual'!$AC$2&amp;'Output annual'!$AD$2&amp;"*Zone People Number Of Occupants [](Hourly)",'Eplus results'!$1:$1048576,ROW(),FALSE)</f>
        <v>0</v>
      </c>
      <c r="AC6689" s="580">
        <f>HLOOKUP("*"&amp;'Output annual'!$AC$2&amp;'Output annual'!$AD$2&amp;"*FangerPMV(Hourly)",'Eplus results'!$1:$1048576,ROW(),FALSE)</f>
        <v>0</v>
      </c>
      <c r="AD6689" s="580">
        <f t="shared" si="556"/>
        <v>5</v>
      </c>
      <c r="AE6689" s="580">
        <f t="shared" si="557"/>
        <v>2.5</v>
      </c>
      <c r="AF6689" s="580">
        <f t="shared" si="558"/>
        <v>2.5</v>
      </c>
      <c r="AG6689" s="580">
        <f t="shared" si="559"/>
        <v>0</v>
      </c>
      <c r="AH6689" s="580">
        <f t="shared" si="560"/>
        <v>0</v>
      </c>
    </row>
    <row r="6690" spans="28:34">
      <c r="AB6690" s="580">
        <f>HLOOKUP("*"&amp;'Output annual'!$AC$2&amp;'Output annual'!$AD$2&amp;"*Zone People Number Of Occupants [](Hourly)",'Eplus results'!$1:$1048576,ROW(),FALSE)</f>
        <v>0</v>
      </c>
      <c r="AC6690" s="580">
        <f>HLOOKUP("*"&amp;'Output annual'!$AC$2&amp;'Output annual'!$AD$2&amp;"*FangerPMV(Hourly)",'Eplus results'!$1:$1048576,ROW(),FALSE)</f>
        <v>0</v>
      </c>
      <c r="AD6690" s="580">
        <f t="shared" si="556"/>
        <v>5</v>
      </c>
      <c r="AE6690" s="580">
        <f t="shared" si="557"/>
        <v>2.5</v>
      </c>
      <c r="AF6690" s="580">
        <f t="shared" si="558"/>
        <v>2.5</v>
      </c>
      <c r="AG6690" s="580">
        <f t="shared" si="559"/>
        <v>0</v>
      </c>
      <c r="AH6690" s="580">
        <f t="shared" si="560"/>
        <v>0</v>
      </c>
    </row>
    <row r="6691" spans="28:34">
      <c r="AB6691" s="580">
        <f>HLOOKUP("*"&amp;'Output annual'!$AC$2&amp;'Output annual'!$AD$2&amp;"*Zone People Number Of Occupants [](Hourly)",'Eplus results'!$1:$1048576,ROW(),FALSE)</f>
        <v>0</v>
      </c>
      <c r="AC6691" s="580">
        <f>HLOOKUP("*"&amp;'Output annual'!$AC$2&amp;'Output annual'!$AD$2&amp;"*FangerPMV(Hourly)",'Eplus results'!$1:$1048576,ROW(),FALSE)</f>
        <v>0</v>
      </c>
      <c r="AD6691" s="580">
        <f t="shared" si="556"/>
        <v>5</v>
      </c>
      <c r="AE6691" s="580">
        <f t="shared" si="557"/>
        <v>2.5</v>
      </c>
      <c r="AF6691" s="580">
        <f t="shared" si="558"/>
        <v>2.5</v>
      </c>
      <c r="AG6691" s="580">
        <f t="shared" si="559"/>
        <v>0</v>
      </c>
      <c r="AH6691" s="580">
        <f t="shared" si="560"/>
        <v>0</v>
      </c>
    </row>
    <row r="6692" spans="28:34">
      <c r="AB6692" s="580">
        <f>HLOOKUP("*"&amp;'Output annual'!$AC$2&amp;'Output annual'!$AD$2&amp;"*Zone People Number Of Occupants [](Hourly)",'Eplus results'!$1:$1048576,ROW(),FALSE)</f>
        <v>0</v>
      </c>
      <c r="AC6692" s="580">
        <f>HLOOKUP("*"&amp;'Output annual'!$AC$2&amp;'Output annual'!$AD$2&amp;"*FangerPMV(Hourly)",'Eplus results'!$1:$1048576,ROW(),FALSE)</f>
        <v>0</v>
      </c>
      <c r="AD6692" s="580">
        <f t="shared" si="556"/>
        <v>5</v>
      </c>
      <c r="AE6692" s="580">
        <f t="shared" si="557"/>
        <v>2.5</v>
      </c>
      <c r="AF6692" s="580">
        <f t="shared" si="558"/>
        <v>2.5</v>
      </c>
      <c r="AG6692" s="580">
        <f t="shared" si="559"/>
        <v>0</v>
      </c>
      <c r="AH6692" s="580">
        <f t="shared" si="560"/>
        <v>0</v>
      </c>
    </row>
    <row r="6693" spans="28:34">
      <c r="AB6693" s="580">
        <f>HLOOKUP("*"&amp;'Output annual'!$AC$2&amp;'Output annual'!$AD$2&amp;"*Zone People Number Of Occupants [](Hourly)",'Eplus results'!$1:$1048576,ROW(),FALSE)</f>
        <v>0</v>
      </c>
      <c r="AC6693" s="580">
        <f>HLOOKUP("*"&amp;'Output annual'!$AC$2&amp;'Output annual'!$AD$2&amp;"*FangerPMV(Hourly)",'Eplus results'!$1:$1048576,ROW(),FALSE)</f>
        <v>0</v>
      </c>
      <c r="AD6693" s="580">
        <f t="shared" si="556"/>
        <v>5</v>
      </c>
      <c r="AE6693" s="580">
        <f t="shared" si="557"/>
        <v>2.5</v>
      </c>
      <c r="AF6693" s="580">
        <f t="shared" si="558"/>
        <v>2.5</v>
      </c>
      <c r="AG6693" s="580">
        <f t="shared" si="559"/>
        <v>0</v>
      </c>
      <c r="AH6693" s="580">
        <f t="shared" si="560"/>
        <v>0</v>
      </c>
    </row>
    <row r="6694" spans="28:34">
      <c r="AB6694" s="580">
        <f>HLOOKUP("*"&amp;'Output annual'!$AC$2&amp;'Output annual'!$AD$2&amp;"*Zone People Number Of Occupants [](Hourly)",'Eplus results'!$1:$1048576,ROW(),FALSE)</f>
        <v>0</v>
      </c>
      <c r="AC6694" s="580">
        <f>HLOOKUP("*"&amp;'Output annual'!$AC$2&amp;'Output annual'!$AD$2&amp;"*FangerPMV(Hourly)",'Eplus results'!$1:$1048576,ROW(),FALSE)</f>
        <v>0</v>
      </c>
      <c r="AD6694" s="580">
        <f t="shared" si="556"/>
        <v>5</v>
      </c>
      <c r="AE6694" s="580">
        <f t="shared" si="557"/>
        <v>2.5</v>
      </c>
      <c r="AF6694" s="580">
        <f t="shared" si="558"/>
        <v>2.5</v>
      </c>
      <c r="AG6694" s="580">
        <f t="shared" si="559"/>
        <v>0</v>
      </c>
      <c r="AH6694" s="580">
        <f t="shared" si="560"/>
        <v>0</v>
      </c>
    </row>
    <row r="6695" spans="28:34">
      <c r="AB6695" s="580">
        <f>HLOOKUP("*"&amp;'Output annual'!$AC$2&amp;'Output annual'!$AD$2&amp;"*Zone People Number Of Occupants [](Hourly)",'Eplus results'!$1:$1048576,ROW(),FALSE)</f>
        <v>0</v>
      </c>
      <c r="AC6695" s="580">
        <f>HLOOKUP("*"&amp;'Output annual'!$AC$2&amp;'Output annual'!$AD$2&amp;"*FangerPMV(Hourly)",'Eplus results'!$1:$1048576,ROW(),FALSE)</f>
        <v>0</v>
      </c>
      <c r="AD6695" s="580">
        <f t="shared" si="556"/>
        <v>5</v>
      </c>
      <c r="AE6695" s="580">
        <f t="shared" si="557"/>
        <v>2.5</v>
      </c>
      <c r="AF6695" s="580">
        <f t="shared" si="558"/>
        <v>2.5</v>
      </c>
      <c r="AG6695" s="580">
        <f t="shared" si="559"/>
        <v>0</v>
      </c>
      <c r="AH6695" s="580">
        <f t="shared" si="560"/>
        <v>0</v>
      </c>
    </row>
    <row r="6696" spans="28:34">
      <c r="AB6696" s="580">
        <f>HLOOKUP("*"&amp;'Output annual'!$AC$2&amp;'Output annual'!$AD$2&amp;"*Zone People Number Of Occupants [](Hourly)",'Eplus results'!$1:$1048576,ROW(),FALSE)</f>
        <v>0</v>
      </c>
      <c r="AC6696" s="580">
        <f>HLOOKUP("*"&amp;'Output annual'!$AC$2&amp;'Output annual'!$AD$2&amp;"*FangerPMV(Hourly)",'Eplus results'!$1:$1048576,ROW(),FALSE)</f>
        <v>0</v>
      </c>
      <c r="AD6696" s="580">
        <f t="shared" si="556"/>
        <v>5</v>
      </c>
      <c r="AE6696" s="580">
        <f t="shared" si="557"/>
        <v>2.5</v>
      </c>
      <c r="AF6696" s="580">
        <f t="shared" si="558"/>
        <v>2.5</v>
      </c>
      <c r="AG6696" s="580">
        <f t="shared" si="559"/>
        <v>0</v>
      </c>
      <c r="AH6696" s="580">
        <f t="shared" si="560"/>
        <v>0</v>
      </c>
    </row>
    <row r="6697" spans="28:34">
      <c r="AB6697" s="580">
        <f>HLOOKUP("*"&amp;'Output annual'!$AC$2&amp;'Output annual'!$AD$2&amp;"*Zone People Number Of Occupants [](Hourly)",'Eplus results'!$1:$1048576,ROW(),FALSE)</f>
        <v>0</v>
      </c>
      <c r="AC6697" s="580">
        <f>HLOOKUP("*"&amp;'Output annual'!$AC$2&amp;'Output annual'!$AD$2&amp;"*FangerPMV(Hourly)",'Eplus results'!$1:$1048576,ROW(),FALSE)</f>
        <v>0</v>
      </c>
      <c r="AD6697" s="580">
        <f t="shared" si="556"/>
        <v>5</v>
      </c>
      <c r="AE6697" s="580">
        <f t="shared" si="557"/>
        <v>2.5</v>
      </c>
      <c r="AF6697" s="580">
        <f t="shared" si="558"/>
        <v>2.5</v>
      </c>
      <c r="AG6697" s="580">
        <f t="shared" si="559"/>
        <v>0</v>
      </c>
      <c r="AH6697" s="580">
        <f t="shared" si="560"/>
        <v>0</v>
      </c>
    </row>
    <row r="6698" spans="28:34">
      <c r="AB6698" s="580">
        <f>HLOOKUP("*"&amp;'Output annual'!$AC$2&amp;'Output annual'!$AD$2&amp;"*Zone People Number Of Occupants [](Hourly)",'Eplus results'!$1:$1048576,ROW(),FALSE)</f>
        <v>0</v>
      </c>
      <c r="AC6698" s="580">
        <f>HLOOKUP("*"&amp;'Output annual'!$AC$2&amp;'Output annual'!$AD$2&amp;"*FangerPMV(Hourly)",'Eplus results'!$1:$1048576,ROW(),FALSE)</f>
        <v>0</v>
      </c>
      <c r="AD6698" s="580">
        <f t="shared" si="556"/>
        <v>5</v>
      </c>
      <c r="AE6698" s="580">
        <f t="shared" si="557"/>
        <v>2.5</v>
      </c>
      <c r="AF6698" s="580">
        <f t="shared" si="558"/>
        <v>2.5</v>
      </c>
      <c r="AG6698" s="580">
        <f t="shared" si="559"/>
        <v>0</v>
      </c>
      <c r="AH6698" s="580">
        <f t="shared" si="560"/>
        <v>0</v>
      </c>
    </row>
    <row r="6699" spans="28:34">
      <c r="AB6699" s="580">
        <f>HLOOKUP("*"&amp;'Output annual'!$AC$2&amp;'Output annual'!$AD$2&amp;"*Zone People Number Of Occupants [](Hourly)",'Eplus results'!$1:$1048576,ROW(),FALSE)</f>
        <v>0</v>
      </c>
      <c r="AC6699" s="580">
        <f>HLOOKUP("*"&amp;'Output annual'!$AC$2&amp;'Output annual'!$AD$2&amp;"*FangerPMV(Hourly)",'Eplus results'!$1:$1048576,ROW(),FALSE)</f>
        <v>0</v>
      </c>
      <c r="AD6699" s="580">
        <f t="shared" si="556"/>
        <v>5</v>
      </c>
      <c r="AE6699" s="580">
        <f t="shared" si="557"/>
        <v>2.5</v>
      </c>
      <c r="AF6699" s="580">
        <f t="shared" si="558"/>
        <v>2.5</v>
      </c>
      <c r="AG6699" s="580">
        <f t="shared" si="559"/>
        <v>0</v>
      </c>
      <c r="AH6699" s="580">
        <f t="shared" si="560"/>
        <v>0</v>
      </c>
    </row>
    <row r="6700" spans="28:34">
      <c r="AB6700" s="580">
        <f>HLOOKUP("*"&amp;'Output annual'!$AC$2&amp;'Output annual'!$AD$2&amp;"*Zone People Number Of Occupants [](Hourly)",'Eplus results'!$1:$1048576,ROW(),FALSE)</f>
        <v>0</v>
      </c>
      <c r="AC6700" s="580">
        <f>HLOOKUP("*"&amp;'Output annual'!$AC$2&amp;'Output annual'!$AD$2&amp;"*FangerPMV(Hourly)",'Eplus results'!$1:$1048576,ROW(),FALSE)</f>
        <v>0</v>
      </c>
      <c r="AD6700" s="580">
        <f t="shared" si="556"/>
        <v>5</v>
      </c>
      <c r="AE6700" s="580">
        <f t="shared" si="557"/>
        <v>2.5</v>
      </c>
      <c r="AF6700" s="580">
        <f t="shared" si="558"/>
        <v>2.5</v>
      </c>
      <c r="AG6700" s="580">
        <f t="shared" si="559"/>
        <v>0</v>
      </c>
      <c r="AH6700" s="580">
        <f t="shared" si="560"/>
        <v>0</v>
      </c>
    </row>
    <row r="6701" spans="28:34">
      <c r="AB6701" s="580">
        <f>HLOOKUP("*"&amp;'Output annual'!$AC$2&amp;'Output annual'!$AD$2&amp;"*Zone People Number Of Occupants [](Hourly)",'Eplus results'!$1:$1048576,ROW(),FALSE)</f>
        <v>0</v>
      </c>
      <c r="AC6701" s="580">
        <f>HLOOKUP("*"&amp;'Output annual'!$AC$2&amp;'Output annual'!$AD$2&amp;"*FangerPMV(Hourly)",'Eplus results'!$1:$1048576,ROW(),FALSE)</f>
        <v>0</v>
      </c>
      <c r="AD6701" s="580">
        <f t="shared" si="556"/>
        <v>5</v>
      </c>
      <c r="AE6701" s="580">
        <f t="shared" si="557"/>
        <v>2.5</v>
      </c>
      <c r="AF6701" s="580">
        <f t="shared" si="558"/>
        <v>2.5</v>
      </c>
      <c r="AG6701" s="580">
        <f t="shared" si="559"/>
        <v>0</v>
      </c>
      <c r="AH6701" s="580">
        <f t="shared" si="560"/>
        <v>0</v>
      </c>
    </row>
    <row r="6702" spans="28:34">
      <c r="AB6702" s="580">
        <f>HLOOKUP("*"&amp;'Output annual'!$AC$2&amp;'Output annual'!$AD$2&amp;"*Zone People Number Of Occupants [](Hourly)",'Eplus results'!$1:$1048576,ROW(),FALSE)</f>
        <v>0</v>
      </c>
      <c r="AC6702" s="580">
        <f>HLOOKUP("*"&amp;'Output annual'!$AC$2&amp;'Output annual'!$AD$2&amp;"*FangerPMV(Hourly)",'Eplus results'!$1:$1048576,ROW(),FALSE)</f>
        <v>0</v>
      </c>
      <c r="AD6702" s="580">
        <f t="shared" si="556"/>
        <v>5</v>
      </c>
      <c r="AE6702" s="580">
        <f t="shared" si="557"/>
        <v>2.5</v>
      </c>
      <c r="AF6702" s="580">
        <f t="shared" si="558"/>
        <v>2.5</v>
      </c>
      <c r="AG6702" s="580">
        <f t="shared" si="559"/>
        <v>0</v>
      </c>
      <c r="AH6702" s="580">
        <f t="shared" si="560"/>
        <v>0</v>
      </c>
    </row>
    <row r="6703" spans="28:34">
      <c r="AB6703" s="580">
        <f>HLOOKUP("*"&amp;'Output annual'!$AC$2&amp;'Output annual'!$AD$2&amp;"*Zone People Number Of Occupants [](Hourly)",'Eplus results'!$1:$1048576,ROW(),FALSE)</f>
        <v>0</v>
      </c>
      <c r="AC6703" s="580">
        <f>HLOOKUP("*"&amp;'Output annual'!$AC$2&amp;'Output annual'!$AD$2&amp;"*FangerPMV(Hourly)",'Eplus results'!$1:$1048576,ROW(),FALSE)</f>
        <v>0</v>
      </c>
      <c r="AD6703" s="580">
        <f t="shared" si="556"/>
        <v>5</v>
      </c>
      <c r="AE6703" s="580">
        <f t="shared" si="557"/>
        <v>2.5</v>
      </c>
      <c r="AF6703" s="580">
        <f t="shared" si="558"/>
        <v>2.5</v>
      </c>
      <c r="AG6703" s="580">
        <f t="shared" si="559"/>
        <v>0</v>
      </c>
      <c r="AH6703" s="580">
        <f t="shared" si="560"/>
        <v>0</v>
      </c>
    </row>
    <row r="6704" spans="28:34">
      <c r="AB6704" s="580">
        <f>HLOOKUP("*"&amp;'Output annual'!$AC$2&amp;'Output annual'!$AD$2&amp;"*Zone People Number Of Occupants [](Hourly)",'Eplus results'!$1:$1048576,ROW(),FALSE)</f>
        <v>0</v>
      </c>
      <c r="AC6704" s="580">
        <f>HLOOKUP("*"&amp;'Output annual'!$AC$2&amp;'Output annual'!$AD$2&amp;"*FangerPMV(Hourly)",'Eplus results'!$1:$1048576,ROW(),FALSE)</f>
        <v>0</v>
      </c>
      <c r="AD6704" s="580">
        <f t="shared" si="556"/>
        <v>5</v>
      </c>
      <c r="AE6704" s="580">
        <f t="shared" si="557"/>
        <v>2.5</v>
      </c>
      <c r="AF6704" s="580">
        <f t="shared" si="558"/>
        <v>2.5</v>
      </c>
      <c r="AG6704" s="580">
        <f t="shared" si="559"/>
        <v>0</v>
      </c>
      <c r="AH6704" s="580">
        <f t="shared" si="560"/>
        <v>0</v>
      </c>
    </row>
    <row r="6705" spans="28:34">
      <c r="AB6705" s="580">
        <f>HLOOKUP("*"&amp;'Output annual'!$AC$2&amp;'Output annual'!$AD$2&amp;"*Zone People Number Of Occupants [](Hourly)",'Eplus results'!$1:$1048576,ROW(),FALSE)</f>
        <v>0</v>
      </c>
      <c r="AC6705" s="580">
        <f>HLOOKUP("*"&amp;'Output annual'!$AC$2&amp;'Output annual'!$AD$2&amp;"*FangerPMV(Hourly)",'Eplus results'!$1:$1048576,ROW(),FALSE)</f>
        <v>0</v>
      </c>
      <c r="AD6705" s="580">
        <f t="shared" si="556"/>
        <v>5</v>
      </c>
      <c r="AE6705" s="580">
        <f t="shared" si="557"/>
        <v>2.5</v>
      </c>
      <c r="AF6705" s="580">
        <f t="shared" si="558"/>
        <v>2.5</v>
      </c>
      <c r="AG6705" s="580">
        <f t="shared" si="559"/>
        <v>0</v>
      </c>
      <c r="AH6705" s="580">
        <f t="shared" si="560"/>
        <v>0</v>
      </c>
    </row>
    <row r="6706" spans="28:34">
      <c r="AB6706" s="580">
        <f>HLOOKUP("*"&amp;'Output annual'!$AC$2&amp;'Output annual'!$AD$2&amp;"*Zone People Number Of Occupants [](Hourly)",'Eplus results'!$1:$1048576,ROW(),FALSE)</f>
        <v>0</v>
      </c>
      <c r="AC6706" s="580">
        <f>HLOOKUP("*"&amp;'Output annual'!$AC$2&amp;'Output annual'!$AD$2&amp;"*FangerPMV(Hourly)",'Eplus results'!$1:$1048576,ROW(),FALSE)</f>
        <v>0</v>
      </c>
      <c r="AD6706" s="580">
        <f t="shared" si="556"/>
        <v>5</v>
      </c>
      <c r="AE6706" s="580">
        <f t="shared" si="557"/>
        <v>2.5</v>
      </c>
      <c r="AF6706" s="580">
        <f t="shared" si="558"/>
        <v>2.5</v>
      </c>
      <c r="AG6706" s="580">
        <f t="shared" si="559"/>
        <v>0</v>
      </c>
      <c r="AH6706" s="580">
        <f t="shared" si="560"/>
        <v>0</v>
      </c>
    </row>
    <row r="6707" spans="28:34">
      <c r="AB6707" s="580">
        <f>HLOOKUP("*"&amp;'Output annual'!$AC$2&amp;'Output annual'!$AD$2&amp;"*Zone People Number Of Occupants [](Hourly)",'Eplus results'!$1:$1048576,ROW(),FALSE)</f>
        <v>0</v>
      </c>
      <c r="AC6707" s="580">
        <f>HLOOKUP("*"&amp;'Output annual'!$AC$2&amp;'Output annual'!$AD$2&amp;"*FangerPMV(Hourly)",'Eplus results'!$1:$1048576,ROW(),FALSE)</f>
        <v>0</v>
      </c>
      <c r="AD6707" s="580">
        <f t="shared" si="556"/>
        <v>5</v>
      </c>
      <c r="AE6707" s="580">
        <f t="shared" si="557"/>
        <v>2.5</v>
      </c>
      <c r="AF6707" s="580">
        <f t="shared" si="558"/>
        <v>2.5</v>
      </c>
      <c r="AG6707" s="580">
        <f t="shared" si="559"/>
        <v>0</v>
      </c>
      <c r="AH6707" s="580">
        <f t="shared" si="560"/>
        <v>0</v>
      </c>
    </row>
    <row r="6708" spans="28:34">
      <c r="AB6708" s="580">
        <f>HLOOKUP("*"&amp;'Output annual'!$AC$2&amp;'Output annual'!$AD$2&amp;"*Zone People Number Of Occupants [](Hourly)",'Eplus results'!$1:$1048576,ROW(),FALSE)</f>
        <v>0</v>
      </c>
      <c r="AC6708" s="580">
        <f>HLOOKUP("*"&amp;'Output annual'!$AC$2&amp;'Output annual'!$AD$2&amp;"*FangerPMV(Hourly)",'Eplus results'!$1:$1048576,ROW(),FALSE)</f>
        <v>0</v>
      </c>
      <c r="AD6708" s="580">
        <f t="shared" si="556"/>
        <v>5</v>
      </c>
      <c r="AE6708" s="580">
        <f t="shared" si="557"/>
        <v>2.5</v>
      </c>
      <c r="AF6708" s="580">
        <f t="shared" si="558"/>
        <v>2.5</v>
      </c>
      <c r="AG6708" s="580">
        <f t="shared" si="559"/>
        <v>0</v>
      </c>
      <c r="AH6708" s="580">
        <f t="shared" si="560"/>
        <v>0</v>
      </c>
    </row>
    <row r="6709" spans="28:34">
      <c r="AB6709" s="580">
        <f>HLOOKUP("*"&amp;'Output annual'!$AC$2&amp;'Output annual'!$AD$2&amp;"*Zone People Number Of Occupants [](Hourly)",'Eplus results'!$1:$1048576,ROW(),FALSE)</f>
        <v>0</v>
      </c>
      <c r="AC6709" s="580">
        <f>HLOOKUP("*"&amp;'Output annual'!$AC$2&amp;'Output annual'!$AD$2&amp;"*FangerPMV(Hourly)",'Eplus results'!$1:$1048576,ROW(),FALSE)</f>
        <v>0</v>
      </c>
      <c r="AD6709" s="580">
        <f t="shared" si="556"/>
        <v>5</v>
      </c>
      <c r="AE6709" s="580">
        <f t="shared" si="557"/>
        <v>2.5</v>
      </c>
      <c r="AF6709" s="580">
        <f t="shared" si="558"/>
        <v>2.5</v>
      </c>
      <c r="AG6709" s="580">
        <f t="shared" si="559"/>
        <v>0</v>
      </c>
      <c r="AH6709" s="580">
        <f t="shared" si="560"/>
        <v>0</v>
      </c>
    </row>
    <row r="6710" spans="28:34">
      <c r="AB6710" s="580">
        <f>HLOOKUP("*"&amp;'Output annual'!$AC$2&amp;'Output annual'!$AD$2&amp;"*Zone People Number Of Occupants [](Hourly)",'Eplus results'!$1:$1048576,ROW(),FALSE)</f>
        <v>0</v>
      </c>
      <c r="AC6710" s="580">
        <f>HLOOKUP("*"&amp;'Output annual'!$AC$2&amp;'Output annual'!$AD$2&amp;"*FangerPMV(Hourly)",'Eplus results'!$1:$1048576,ROW(),FALSE)</f>
        <v>0</v>
      </c>
      <c r="AD6710" s="580">
        <f t="shared" si="556"/>
        <v>5</v>
      </c>
      <c r="AE6710" s="580">
        <f t="shared" si="557"/>
        <v>2.5</v>
      </c>
      <c r="AF6710" s="580">
        <f t="shared" si="558"/>
        <v>2.5</v>
      </c>
      <c r="AG6710" s="580">
        <f t="shared" si="559"/>
        <v>0</v>
      </c>
      <c r="AH6710" s="580">
        <f t="shared" si="560"/>
        <v>0</v>
      </c>
    </row>
    <row r="6711" spans="28:34">
      <c r="AB6711" s="580">
        <f>HLOOKUP("*"&amp;'Output annual'!$AC$2&amp;'Output annual'!$AD$2&amp;"*Zone People Number Of Occupants [](Hourly)",'Eplus results'!$1:$1048576,ROW(),FALSE)</f>
        <v>0</v>
      </c>
      <c r="AC6711" s="580">
        <f>HLOOKUP("*"&amp;'Output annual'!$AC$2&amp;'Output annual'!$AD$2&amp;"*FangerPMV(Hourly)",'Eplus results'!$1:$1048576,ROW(),FALSE)</f>
        <v>0</v>
      </c>
      <c r="AD6711" s="580">
        <f t="shared" si="556"/>
        <v>5</v>
      </c>
      <c r="AE6711" s="580">
        <f t="shared" si="557"/>
        <v>2.5</v>
      </c>
      <c r="AF6711" s="580">
        <f t="shared" si="558"/>
        <v>2.5</v>
      </c>
      <c r="AG6711" s="580">
        <f t="shared" si="559"/>
        <v>0</v>
      </c>
      <c r="AH6711" s="580">
        <f t="shared" si="560"/>
        <v>0</v>
      </c>
    </row>
    <row r="6712" spans="28:34">
      <c r="AB6712" s="580">
        <f>HLOOKUP("*"&amp;'Output annual'!$AC$2&amp;'Output annual'!$AD$2&amp;"*Zone People Number Of Occupants [](Hourly)",'Eplus results'!$1:$1048576,ROW(),FALSE)</f>
        <v>0</v>
      </c>
      <c r="AC6712" s="580">
        <f>HLOOKUP("*"&amp;'Output annual'!$AC$2&amp;'Output annual'!$AD$2&amp;"*FangerPMV(Hourly)",'Eplus results'!$1:$1048576,ROW(),FALSE)</f>
        <v>0</v>
      </c>
      <c r="AD6712" s="580">
        <f t="shared" si="556"/>
        <v>5</v>
      </c>
      <c r="AE6712" s="580">
        <f t="shared" si="557"/>
        <v>2.5</v>
      </c>
      <c r="AF6712" s="580">
        <f t="shared" si="558"/>
        <v>2.5</v>
      </c>
      <c r="AG6712" s="580">
        <f t="shared" si="559"/>
        <v>0</v>
      </c>
      <c r="AH6712" s="580">
        <f t="shared" si="560"/>
        <v>0</v>
      </c>
    </row>
    <row r="6713" spans="28:34">
      <c r="AB6713" s="580">
        <f>HLOOKUP("*"&amp;'Output annual'!$AC$2&amp;'Output annual'!$AD$2&amp;"*Zone People Number Of Occupants [](Hourly)",'Eplus results'!$1:$1048576,ROW(),FALSE)</f>
        <v>0</v>
      </c>
      <c r="AC6713" s="580">
        <f>HLOOKUP("*"&amp;'Output annual'!$AC$2&amp;'Output annual'!$AD$2&amp;"*FangerPMV(Hourly)",'Eplus results'!$1:$1048576,ROW(),FALSE)</f>
        <v>0</v>
      </c>
      <c r="AD6713" s="580">
        <f t="shared" si="556"/>
        <v>5</v>
      </c>
      <c r="AE6713" s="580">
        <f t="shared" si="557"/>
        <v>2.5</v>
      </c>
      <c r="AF6713" s="580">
        <f t="shared" si="558"/>
        <v>2.5</v>
      </c>
      <c r="AG6713" s="580">
        <f t="shared" si="559"/>
        <v>0</v>
      </c>
      <c r="AH6713" s="580">
        <f t="shared" si="560"/>
        <v>0</v>
      </c>
    </row>
    <row r="6714" spans="28:34">
      <c r="AB6714" s="580">
        <f>HLOOKUP("*"&amp;'Output annual'!$AC$2&amp;'Output annual'!$AD$2&amp;"*Zone People Number Of Occupants [](Hourly)",'Eplus results'!$1:$1048576,ROW(),FALSE)</f>
        <v>0</v>
      </c>
      <c r="AC6714" s="580">
        <f>HLOOKUP("*"&amp;'Output annual'!$AC$2&amp;'Output annual'!$AD$2&amp;"*FangerPMV(Hourly)",'Eplus results'!$1:$1048576,ROW(),FALSE)</f>
        <v>0</v>
      </c>
      <c r="AD6714" s="580">
        <f t="shared" si="556"/>
        <v>5</v>
      </c>
      <c r="AE6714" s="580">
        <f t="shared" si="557"/>
        <v>2.5</v>
      </c>
      <c r="AF6714" s="580">
        <f t="shared" si="558"/>
        <v>2.5</v>
      </c>
      <c r="AG6714" s="580">
        <f t="shared" si="559"/>
        <v>0</v>
      </c>
      <c r="AH6714" s="580">
        <f t="shared" si="560"/>
        <v>0</v>
      </c>
    </row>
    <row r="6715" spans="28:34">
      <c r="AB6715" s="580">
        <f>HLOOKUP("*"&amp;'Output annual'!$AC$2&amp;'Output annual'!$AD$2&amp;"*Zone People Number Of Occupants [](Hourly)",'Eplus results'!$1:$1048576,ROW(),FALSE)</f>
        <v>0</v>
      </c>
      <c r="AC6715" s="580">
        <f>HLOOKUP("*"&amp;'Output annual'!$AC$2&amp;'Output annual'!$AD$2&amp;"*FangerPMV(Hourly)",'Eplus results'!$1:$1048576,ROW(),FALSE)</f>
        <v>0</v>
      </c>
      <c r="AD6715" s="580">
        <f t="shared" si="556"/>
        <v>5</v>
      </c>
      <c r="AE6715" s="580">
        <f t="shared" si="557"/>
        <v>2.5</v>
      </c>
      <c r="AF6715" s="580">
        <f t="shared" si="558"/>
        <v>2.5</v>
      </c>
      <c r="AG6715" s="580">
        <f t="shared" si="559"/>
        <v>0</v>
      </c>
      <c r="AH6715" s="580">
        <f t="shared" si="560"/>
        <v>0</v>
      </c>
    </row>
    <row r="6716" spans="28:34">
      <c r="AB6716" s="580">
        <f>HLOOKUP("*"&amp;'Output annual'!$AC$2&amp;'Output annual'!$AD$2&amp;"*Zone People Number Of Occupants [](Hourly)",'Eplus results'!$1:$1048576,ROW(),FALSE)</f>
        <v>0</v>
      </c>
      <c r="AC6716" s="580">
        <f>HLOOKUP("*"&amp;'Output annual'!$AC$2&amp;'Output annual'!$AD$2&amp;"*FangerPMV(Hourly)",'Eplus results'!$1:$1048576,ROW(),FALSE)</f>
        <v>0</v>
      </c>
      <c r="AD6716" s="580">
        <f t="shared" si="556"/>
        <v>5</v>
      </c>
      <c r="AE6716" s="580">
        <f t="shared" si="557"/>
        <v>2.5</v>
      </c>
      <c r="AF6716" s="580">
        <f t="shared" si="558"/>
        <v>2.5</v>
      </c>
      <c r="AG6716" s="580">
        <f t="shared" si="559"/>
        <v>0</v>
      </c>
      <c r="AH6716" s="580">
        <f t="shared" si="560"/>
        <v>0</v>
      </c>
    </row>
    <row r="6717" spans="28:34">
      <c r="AB6717" s="580">
        <f>HLOOKUP("*"&amp;'Output annual'!$AC$2&amp;'Output annual'!$AD$2&amp;"*Zone People Number Of Occupants [](Hourly)",'Eplus results'!$1:$1048576,ROW(),FALSE)</f>
        <v>0</v>
      </c>
      <c r="AC6717" s="580">
        <f>HLOOKUP("*"&amp;'Output annual'!$AC$2&amp;'Output annual'!$AD$2&amp;"*FangerPMV(Hourly)",'Eplus results'!$1:$1048576,ROW(),FALSE)</f>
        <v>0</v>
      </c>
      <c r="AD6717" s="580">
        <f t="shared" si="556"/>
        <v>5</v>
      </c>
      <c r="AE6717" s="580">
        <f t="shared" si="557"/>
        <v>2.5</v>
      </c>
      <c r="AF6717" s="580">
        <f t="shared" si="558"/>
        <v>2.5</v>
      </c>
      <c r="AG6717" s="580">
        <f t="shared" si="559"/>
        <v>0</v>
      </c>
      <c r="AH6717" s="580">
        <f t="shared" si="560"/>
        <v>0</v>
      </c>
    </row>
    <row r="6718" spans="28:34">
      <c r="AB6718" s="580">
        <f>HLOOKUP("*"&amp;'Output annual'!$AC$2&amp;'Output annual'!$AD$2&amp;"*Zone People Number Of Occupants [](Hourly)",'Eplus results'!$1:$1048576,ROW(),FALSE)</f>
        <v>0</v>
      </c>
      <c r="AC6718" s="580">
        <f>HLOOKUP("*"&amp;'Output annual'!$AC$2&amp;'Output annual'!$AD$2&amp;"*FangerPMV(Hourly)",'Eplus results'!$1:$1048576,ROW(),FALSE)</f>
        <v>0</v>
      </c>
      <c r="AD6718" s="580">
        <f t="shared" si="556"/>
        <v>5</v>
      </c>
      <c r="AE6718" s="580">
        <f t="shared" si="557"/>
        <v>2.5</v>
      </c>
      <c r="AF6718" s="580">
        <f t="shared" si="558"/>
        <v>2.5</v>
      </c>
      <c r="AG6718" s="580">
        <f t="shared" si="559"/>
        <v>0</v>
      </c>
      <c r="AH6718" s="580">
        <f t="shared" si="560"/>
        <v>0</v>
      </c>
    </row>
    <row r="6719" spans="28:34">
      <c r="AB6719" s="580">
        <f>HLOOKUP("*"&amp;'Output annual'!$AC$2&amp;'Output annual'!$AD$2&amp;"*Zone People Number Of Occupants [](Hourly)",'Eplus results'!$1:$1048576,ROW(),FALSE)</f>
        <v>0</v>
      </c>
      <c r="AC6719" s="580">
        <f>HLOOKUP("*"&amp;'Output annual'!$AC$2&amp;'Output annual'!$AD$2&amp;"*FangerPMV(Hourly)",'Eplus results'!$1:$1048576,ROW(),FALSE)</f>
        <v>0</v>
      </c>
      <c r="AD6719" s="580">
        <f t="shared" si="556"/>
        <v>5</v>
      </c>
      <c r="AE6719" s="580">
        <f t="shared" si="557"/>
        <v>2.5</v>
      </c>
      <c r="AF6719" s="580">
        <f t="shared" si="558"/>
        <v>2.5</v>
      </c>
      <c r="AG6719" s="580">
        <f t="shared" si="559"/>
        <v>0</v>
      </c>
      <c r="AH6719" s="580">
        <f t="shared" si="560"/>
        <v>0</v>
      </c>
    </row>
    <row r="6720" spans="28:34">
      <c r="AB6720" s="580">
        <f>HLOOKUP("*"&amp;'Output annual'!$AC$2&amp;'Output annual'!$AD$2&amp;"*Zone People Number Of Occupants [](Hourly)",'Eplus results'!$1:$1048576,ROW(),FALSE)</f>
        <v>0</v>
      </c>
      <c r="AC6720" s="580">
        <f>HLOOKUP("*"&amp;'Output annual'!$AC$2&amp;'Output annual'!$AD$2&amp;"*FangerPMV(Hourly)",'Eplus results'!$1:$1048576,ROW(),FALSE)</f>
        <v>0</v>
      </c>
      <c r="AD6720" s="580">
        <f t="shared" si="556"/>
        <v>5</v>
      </c>
      <c r="AE6720" s="580">
        <f t="shared" si="557"/>
        <v>2.5</v>
      </c>
      <c r="AF6720" s="580">
        <f t="shared" si="558"/>
        <v>2.5</v>
      </c>
      <c r="AG6720" s="580">
        <f t="shared" si="559"/>
        <v>0</v>
      </c>
      <c r="AH6720" s="580">
        <f t="shared" si="560"/>
        <v>0</v>
      </c>
    </row>
    <row r="6721" spans="28:34">
      <c r="AB6721" s="580">
        <f>HLOOKUP("*"&amp;'Output annual'!$AC$2&amp;'Output annual'!$AD$2&amp;"*Zone People Number Of Occupants [](Hourly)",'Eplus results'!$1:$1048576,ROW(),FALSE)</f>
        <v>0</v>
      </c>
      <c r="AC6721" s="580">
        <f>HLOOKUP("*"&amp;'Output annual'!$AC$2&amp;'Output annual'!$AD$2&amp;"*FangerPMV(Hourly)",'Eplus results'!$1:$1048576,ROW(),FALSE)</f>
        <v>0</v>
      </c>
      <c r="AD6721" s="580">
        <f t="shared" si="556"/>
        <v>5</v>
      </c>
      <c r="AE6721" s="580">
        <f t="shared" si="557"/>
        <v>2.5</v>
      </c>
      <c r="AF6721" s="580">
        <f t="shared" si="558"/>
        <v>2.5</v>
      </c>
      <c r="AG6721" s="580">
        <f t="shared" si="559"/>
        <v>0</v>
      </c>
      <c r="AH6721" s="580">
        <f t="shared" si="560"/>
        <v>0</v>
      </c>
    </row>
    <row r="6722" spans="28:34">
      <c r="AB6722" s="580">
        <f>HLOOKUP("*"&amp;'Output annual'!$AC$2&amp;'Output annual'!$AD$2&amp;"*Zone People Number Of Occupants [](Hourly)",'Eplus results'!$1:$1048576,ROW(),FALSE)</f>
        <v>0</v>
      </c>
      <c r="AC6722" s="580">
        <f>HLOOKUP("*"&amp;'Output annual'!$AC$2&amp;'Output annual'!$AD$2&amp;"*FangerPMV(Hourly)",'Eplus results'!$1:$1048576,ROW(),FALSE)</f>
        <v>0</v>
      </c>
      <c r="AD6722" s="580">
        <f t="shared" si="556"/>
        <v>5</v>
      </c>
      <c r="AE6722" s="580">
        <f t="shared" si="557"/>
        <v>2.5</v>
      </c>
      <c r="AF6722" s="580">
        <f t="shared" si="558"/>
        <v>2.5</v>
      </c>
      <c r="AG6722" s="580">
        <f t="shared" si="559"/>
        <v>0</v>
      </c>
      <c r="AH6722" s="580">
        <f t="shared" si="560"/>
        <v>0</v>
      </c>
    </row>
    <row r="6723" spans="28:34">
      <c r="AB6723" s="580">
        <f>HLOOKUP("*"&amp;'Output annual'!$AC$2&amp;'Output annual'!$AD$2&amp;"*Zone People Number Of Occupants [](Hourly)",'Eplus results'!$1:$1048576,ROW(),FALSE)</f>
        <v>0</v>
      </c>
      <c r="AC6723" s="580">
        <f>HLOOKUP("*"&amp;'Output annual'!$AC$2&amp;'Output annual'!$AD$2&amp;"*FangerPMV(Hourly)",'Eplus results'!$1:$1048576,ROW(),FALSE)</f>
        <v>0</v>
      </c>
      <c r="AD6723" s="580">
        <f t="shared" ref="AD6723:AD6786" si="561">100-95*EXP(-0.03353*AC6723^4-0.2179*AC6723^2)</f>
        <v>5</v>
      </c>
      <c r="AE6723" s="580">
        <f t="shared" ref="AE6723:AE6786" si="562">AD6723*(1/(1+EXP(-6.3*$AC6723)))</f>
        <v>2.5</v>
      </c>
      <c r="AF6723" s="580">
        <f t="shared" ref="AF6723:AF6786" si="563">(AD6723-AE6723)</f>
        <v>2.5</v>
      </c>
      <c r="AG6723" s="580">
        <f t="shared" ref="AG6723:AG6786" si="564">AE6723*AB6723</f>
        <v>0</v>
      </c>
      <c r="AH6723" s="580">
        <f t="shared" ref="AH6723:AH6786" si="565">AF6723*AB6723</f>
        <v>0</v>
      </c>
    </row>
    <row r="6724" spans="28:34">
      <c r="AB6724" s="580">
        <f>HLOOKUP("*"&amp;'Output annual'!$AC$2&amp;'Output annual'!$AD$2&amp;"*Zone People Number Of Occupants [](Hourly)",'Eplus results'!$1:$1048576,ROW(),FALSE)</f>
        <v>0</v>
      </c>
      <c r="AC6724" s="580">
        <f>HLOOKUP("*"&amp;'Output annual'!$AC$2&amp;'Output annual'!$AD$2&amp;"*FangerPMV(Hourly)",'Eplus results'!$1:$1048576,ROW(),FALSE)</f>
        <v>0</v>
      </c>
      <c r="AD6724" s="580">
        <f t="shared" si="561"/>
        <v>5</v>
      </c>
      <c r="AE6724" s="580">
        <f t="shared" si="562"/>
        <v>2.5</v>
      </c>
      <c r="AF6724" s="580">
        <f t="shared" si="563"/>
        <v>2.5</v>
      </c>
      <c r="AG6724" s="580">
        <f t="shared" si="564"/>
        <v>0</v>
      </c>
      <c r="AH6724" s="580">
        <f t="shared" si="565"/>
        <v>0</v>
      </c>
    </row>
    <row r="6725" spans="28:34">
      <c r="AB6725" s="580">
        <f>HLOOKUP("*"&amp;'Output annual'!$AC$2&amp;'Output annual'!$AD$2&amp;"*Zone People Number Of Occupants [](Hourly)",'Eplus results'!$1:$1048576,ROW(),FALSE)</f>
        <v>0</v>
      </c>
      <c r="AC6725" s="580">
        <f>HLOOKUP("*"&amp;'Output annual'!$AC$2&amp;'Output annual'!$AD$2&amp;"*FangerPMV(Hourly)",'Eplus results'!$1:$1048576,ROW(),FALSE)</f>
        <v>0</v>
      </c>
      <c r="AD6725" s="580">
        <f t="shared" si="561"/>
        <v>5</v>
      </c>
      <c r="AE6725" s="580">
        <f t="shared" si="562"/>
        <v>2.5</v>
      </c>
      <c r="AF6725" s="580">
        <f t="shared" si="563"/>
        <v>2.5</v>
      </c>
      <c r="AG6725" s="580">
        <f t="shared" si="564"/>
        <v>0</v>
      </c>
      <c r="AH6725" s="580">
        <f t="shared" si="565"/>
        <v>0</v>
      </c>
    </row>
    <row r="6726" spans="28:34">
      <c r="AB6726" s="580">
        <f>HLOOKUP("*"&amp;'Output annual'!$AC$2&amp;'Output annual'!$AD$2&amp;"*Zone People Number Of Occupants [](Hourly)",'Eplus results'!$1:$1048576,ROW(),FALSE)</f>
        <v>0</v>
      </c>
      <c r="AC6726" s="580">
        <f>HLOOKUP("*"&amp;'Output annual'!$AC$2&amp;'Output annual'!$AD$2&amp;"*FangerPMV(Hourly)",'Eplus results'!$1:$1048576,ROW(),FALSE)</f>
        <v>0</v>
      </c>
      <c r="AD6726" s="580">
        <f t="shared" si="561"/>
        <v>5</v>
      </c>
      <c r="AE6726" s="580">
        <f t="shared" si="562"/>
        <v>2.5</v>
      </c>
      <c r="AF6726" s="580">
        <f t="shared" si="563"/>
        <v>2.5</v>
      </c>
      <c r="AG6726" s="580">
        <f t="shared" si="564"/>
        <v>0</v>
      </c>
      <c r="AH6726" s="580">
        <f t="shared" si="565"/>
        <v>0</v>
      </c>
    </row>
    <row r="6727" spans="28:34">
      <c r="AB6727" s="580">
        <f>HLOOKUP("*"&amp;'Output annual'!$AC$2&amp;'Output annual'!$AD$2&amp;"*Zone People Number Of Occupants [](Hourly)",'Eplus results'!$1:$1048576,ROW(),FALSE)</f>
        <v>0</v>
      </c>
      <c r="AC6727" s="580">
        <f>HLOOKUP("*"&amp;'Output annual'!$AC$2&amp;'Output annual'!$AD$2&amp;"*FangerPMV(Hourly)",'Eplus results'!$1:$1048576,ROW(),FALSE)</f>
        <v>0</v>
      </c>
      <c r="AD6727" s="580">
        <f t="shared" si="561"/>
        <v>5</v>
      </c>
      <c r="AE6727" s="580">
        <f t="shared" si="562"/>
        <v>2.5</v>
      </c>
      <c r="AF6727" s="580">
        <f t="shared" si="563"/>
        <v>2.5</v>
      </c>
      <c r="AG6727" s="580">
        <f t="shared" si="564"/>
        <v>0</v>
      </c>
      <c r="AH6727" s="580">
        <f t="shared" si="565"/>
        <v>0</v>
      </c>
    </row>
    <row r="6728" spans="28:34">
      <c r="AB6728" s="580">
        <f>HLOOKUP("*"&amp;'Output annual'!$AC$2&amp;'Output annual'!$AD$2&amp;"*Zone People Number Of Occupants [](Hourly)",'Eplus results'!$1:$1048576,ROW(),FALSE)</f>
        <v>0</v>
      </c>
      <c r="AC6728" s="580">
        <f>HLOOKUP("*"&amp;'Output annual'!$AC$2&amp;'Output annual'!$AD$2&amp;"*FangerPMV(Hourly)",'Eplus results'!$1:$1048576,ROW(),FALSE)</f>
        <v>0</v>
      </c>
      <c r="AD6728" s="580">
        <f t="shared" si="561"/>
        <v>5</v>
      </c>
      <c r="AE6728" s="580">
        <f t="shared" si="562"/>
        <v>2.5</v>
      </c>
      <c r="AF6728" s="580">
        <f t="shared" si="563"/>
        <v>2.5</v>
      </c>
      <c r="AG6728" s="580">
        <f t="shared" si="564"/>
        <v>0</v>
      </c>
      <c r="AH6728" s="580">
        <f t="shared" si="565"/>
        <v>0</v>
      </c>
    </row>
    <row r="6729" spans="28:34">
      <c r="AB6729" s="580">
        <f>HLOOKUP("*"&amp;'Output annual'!$AC$2&amp;'Output annual'!$AD$2&amp;"*Zone People Number Of Occupants [](Hourly)",'Eplus results'!$1:$1048576,ROW(),FALSE)</f>
        <v>0</v>
      </c>
      <c r="AC6729" s="580">
        <f>HLOOKUP("*"&amp;'Output annual'!$AC$2&amp;'Output annual'!$AD$2&amp;"*FangerPMV(Hourly)",'Eplus results'!$1:$1048576,ROW(),FALSE)</f>
        <v>0</v>
      </c>
      <c r="AD6729" s="580">
        <f t="shared" si="561"/>
        <v>5</v>
      </c>
      <c r="AE6729" s="580">
        <f t="shared" si="562"/>
        <v>2.5</v>
      </c>
      <c r="AF6729" s="580">
        <f t="shared" si="563"/>
        <v>2.5</v>
      </c>
      <c r="AG6729" s="580">
        <f t="shared" si="564"/>
        <v>0</v>
      </c>
      <c r="AH6729" s="580">
        <f t="shared" si="565"/>
        <v>0</v>
      </c>
    </row>
    <row r="6730" spans="28:34">
      <c r="AB6730" s="580">
        <f>HLOOKUP("*"&amp;'Output annual'!$AC$2&amp;'Output annual'!$AD$2&amp;"*Zone People Number Of Occupants [](Hourly)",'Eplus results'!$1:$1048576,ROW(),FALSE)</f>
        <v>0</v>
      </c>
      <c r="AC6730" s="580">
        <f>HLOOKUP("*"&amp;'Output annual'!$AC$2&amp;'Output annual'!$AD$2&amp;"*FangerPMV(Hourly)",'Eplus results'!$1:$1048576,ROW(),FALSE)</f>
        <v>0</v>
      </c>
      <c r="AD6730" s="580">
        <f t="shared" si="561"/>
        <v>5</v>
      </c>
      <c r="AE6730" s="580">
        <f t="shared" si="562"/>
        <v>2.5</v>
      </c>
      <c r="AF6730" s="580">
        <f t="shared" si="563"/>
        <v>2.5</v>
      </c>
      <c r="AG6730" s="580">
        <f t="shared" si="564"/>
        <v>0</v>
      </c>
      <c r="AH6730" s="580">
        <f t="shared" si="565"/>
        <v>0</v>
      </c>
    </row>
    <row r="6731" spans="28:34">
      <c r="AB6731" s="580">
        <f>HLOOKUP("*"&amp;'Output annual'!$AC$2&amp;'Output annual'!$AD$2&amp;"*Zone People Number Of Occupants [](Hourly)",'Eplus results'!$1:$1048576,ROW(),FALSE)</f>
        <v>0</v>
      </c>
      <c r="AC6731" s="580">
        <f>HLOOKUP("*"&amp;'Output annual'!$AC$2&amp;'Output annual'!$AD$2&amp;"*FangerPMV(Hourly)",'Eplus results'!$1:$1048576,ROW(),FALSE)</f>
        <v>0</v>
      </c>
      <c r="AD6731" s="580">
        <f t="shared" si="561"/>
        <v>5</v>
      </c>
      <c r="AE6731" s="580">
        <f t="shared" si="562"/>
        <v>2.5</v>
      </c>
      <c r="AF6731" s="580">
        <f t="shared" si="563"/>
        <v>2.5</v>
      </c>
      <c r="AG6731" s="580">
        <f t="shared" si="564"/>
        <v>0</v>
      </c>
      <c r="AH6731" s="580">
        <f t="shared" si="565"/>
        <v>0</v>
      </c>
    </row>
    <row r="6732" spans="28:34">
      <c r="AB6732" s="580">
        <f>HLOOKUP("*"&amp;'Output annual'!$AC$2&amp;'Output annual'!$AD$2&amp;"*Zone People Number Of Occupants [](Hourly)",'Eplus results'!$1:$1048576,ROW(),FALSE)</f>
        <v>0</v>
      </c>
      <c r="AC6732" s="580">
        <f>HLOOKUP("*"&amp;'Output annual'!$AC$2&amp;'Output annual'!$AD$2&amp;"*FangerPMV(Hourly)",'Eplus results'!$1:$1048576,ROW(),FALSE)</f>
        <v>0</v>
      </c>
      <c r="AD6732" s="580">
        <f t="shared" si="561"/>
        <v>5</v>
      </c>
      <c r="AE6732" s="580">
        <f t="shared" si="562"/>
        <v>2.5</v>
      </c>
      <c r="AF6732" s="580">
        <f t="shared" si="563"/>
        <v>2.5</v>
      </c>
      <c r="AG6732" s="580">
        <f t="shared" si="564"/>
        <v>0</v>
      </c>
      <c r="AH6732" s="580">
        <f t="shared" si="565"/>
        <v>0</v>
      </c>
    </row>
    <row r="6733" spans="28:34">
      <c r="AB6733" s="580">
        <f>HLOOKUP("*"&amp;'Output annual'!$AC$2&amp;'Output annual'!$AD$2&amp;"*Zone People Number Of Occupants [](Hourly)",'Eplus results'!$1:$1048576,ROW(),FALSE)</f>
        <v>0</v>
      </c>
      <c r="AC6733" s="580">
        <f>HLOOKUP("*"&amp;'Output annual'!$AC$2&amp;'Output annual'!$AD$2&amp;"*FangerPMV(Hourly)",'Eplus results'!$1:$1048576,ROW(),FALSE)</f>
        <v>0</v>
      </c>
      <c r="AD6733" s="580">
        <f t="shared" si="561"/>
        <v>5</v>
      </c>
      <c r="AE6733" s="580">
        <f t="shared" si="562"/>
        <v>2.5</v>
      </c>
      <c r="AF6733" s="580">
        <f t="shared" si="563"/>
        <v>2.5</v>
      </c>
      <c r="AG6733" s="580">
        <f t="shared" si="564"/>
        <v>0</v>
      </c>
      <c r="AH6733" s="580">
        <f t="shared" si="565"/>
        <v>0</v>
      </c>
    </row>
    <row r="6734" spans="28:34">
      <c r="AB6734" s="580">
        <f>HLOOKUP("*"&amp;'Output annual'!$AC$2&amp;'Output annual'!$AD$2&amp;"*Zone People Number Of Occupants [](Hourly)",'Eplus results'!$1:$1048576,ROW(),FALSE)</f>
        <v>0</v>
      </c>
      <c r="AC6734" s="580">
        <f>HLOOKUP("*"&amp;'Output annual'!$AC$2&amp;'Output annual'!$AD$2&amp;"*FangerPMV(Hourly)",'Eplus results'!$1:$1048576,ROW(),FALSE)</f>
        <v>0</v>
      </c>
      <c r="AD6734" s="580">
        <f t="shared" si="561"/>
        <v>5</v>
      </c>
      <c r="AE6734" s="580">
        <f t="shared" si="562"/>
        <v>2.5</v>
      </c>
      <c r="AF6734" s="580">
        <f t="shared" si="563"/>
        <v>2.5</v>
      </c>
      <c r="AG6734" s="580">
        <f t="shared" si="564"/>
        <v>0</v>
      </c>
      <c r="AH6734" s="580">
        <f t="shared" si="565"/>
        <v>0</v>
      </c>
    </row>
    <row r="6735" spans="28:34">
      <c r="AB6735" s="580">
        <f>HLOOKUP("*"&amp;'Output annual'!$AC$2&amp;'Output annual'!$AD$2&amp;"*Zone People Number Of Occupants [](Hourly)",'Eplus results'!$1:$1048576,ROW(),FALSE)</f>
        <v>0</v>
      </c>
      <c r="AC6735" s="580">
        <f>HLOOKUP("*"&amp;'Output annual'!$AC$2&amp;'Output annual'!$AD$2&amp;"*FangerPMV(Hourly)",'Eplus results'!$1:$1048576,ROW(),FALSE)</f>
        <v>0</v>
      </c>
      <c r="AD6735" s="580">
        <f t="shared" si="561"/>
        <v>5</v>
      </c>
      <c r="AE6735" s="580">
        <f t="shared" si="562"/>
        <v>2.5</v>
      </c>
      <c r="AF6735" s="580">
        <f t="shared" si="563"/>
        <v>2.5</v>
      </c>
      <c r="AG6735" s="580">
        <f t="shared" si="564"/>
        <v>0</v>
      </c>
      <c r="AH6735" s="580">
        <f t="shared" si="565"/>
        <v>0</v>
      </c>
    </row>
    <row r="6736" spans="28:34">
      <c r="AB6736" s="580">
        <f>HLOOKUP("*"&amp;'Output annual'!$AC$2&amp;'Output annual'!$AD$2&amp;"*Zone People Number Of Occupants [](Hourly)",'Eplus results'!$1:$1048576,ROW(),FALSE)</f>
        <v>0</v>
      </c>
      <c r="AC6736" s="580">
        <f>HLOOKUP("*"&amp;'Output annual'!$AC$2&amp;'Output annual'!$AD$2&amp;"*FangerPMV(Hourly)",'Eplus results'!$1:$1048576,ROW(),FALSE)</f>
        <v>0</v>
      </c>
      <c r="AD6736" s="580">
        <f t="shared" si="561"/>
        <v>5</v>
      </c>
      <c r="AE6736" s="580">
        <f t="shared" si="562"/>
        <v>2.5</v>
      </c>
      <c r="AF6736" s="580">
        <f t="shared" si="563"/>
        <v>2.5</v>
      </c>
      <c r="AG6736" s="580">
        <f t="shared" si="564"/>
        <v>0</v>
      </c>
      <c r="AH6736" s="580">
        <f t="shared" si="565"/>
        <v>0</v>
      </c>
    </row>
    <row r="6737" spans="28:34">
      <c r="AB6737" s="580">
        <f>HLOOKUP("*"&amp;'Output annual'!$AC$2&amp;'Output annual'!$AD$2&amp;"*Zone People Number Of Occupants [](Hourly)",'Eplus results'!$1:$1048576,ROW(),FALSE)</f>
        <v>0</v>
      </c>
      <c r="AC6737" s="580">
        <f>HLOOKUP("*"&amp;'Output annual'!$AC$2&amp;'Output annual'!$AD$2&amp;"*FangerPMV(Hourly)",'Eplus results'!$1:$1048576,ROW(),FALSE)</f>
        <v>0</v>
      </c>
      <c r="AD6737" s="580">
        <f t="shared" si="561"/>
        <v>5</v>
      </c>
      <c r="AE6737" s="580">
        <f t="shared" si="562"/>
        <v>2.5</v>
      </c>
      <c r="AF6737" s="580">
        <f t="shared" si="563"/>
        <v>2.5</v>
      </c>
      <c r="AG6737" s="580">
        <f t="shared" si="564"/>
        <v>0</v>
      </c>
      <c r="AH6737" s="580">
        <f t="shared" si="565"/>
        <v>0</v>
      </c>
    </row>
    <row r="6738" spans="28:34">
      <c r="AB6738" s="580">
        <f>HLOOKUP("*"&amp;'Output annual'!$AC$2&amp;'Output annual'!$AD$2&amp;"*Zone People Number Of Occupants [](Hourly)",'Eplus results'!$1:$1048576,ROW(),FALSE)</f>
        <v>0</v>
      </c>
      <c r="AC6738" s="580">
        <f>HLOOKUP("*"&amp;'Output annual'!$AC$2&amp;'Output annual'!$AD$2&amp;"*FangerPMV(Hourly)",'Eplus results'!$1:$1048576,ROW(),FALSE)</f>
        <v>0</v>
      </c>
      <c r="AD6738" s="580">
        <f t="shared" si="561"/>
        <v>5</v>
      </c>
      <c r="AE6738" s="580">
        <f t="shared" si="562"/>
        <v>2.5</v>
      </c>
      <c r="AF6738" s="580">
        <f t="shared" si="563"/>
        <v>2.5</v>
      </c>
      <c r="AG6738" s="580">
        <f t="shared" si="564"/>
        <v>0</v>
      </c>
      <c r="AH6738" s="580">
        <f t="shared" si="565"/>
        <v>0</v>
      </c>
    </row>
    <row r="6739" spans="28:34">
      <c r="AB6739" s="580">
        <f>HLOOKUP("*"&amp;'Output annual'!$AC$2&amp;'Output annual'!$AD$2&amp;"*Zone People Number Of Occupants [](Hourly)",'Eplus results'!$1:$1048576,ROW(),FALSE)</f>
        <v>0</v>
      </c>
      <c r="AC6739" s="580">
        <f>HLOOKUP("*"&amp;'Output annual'!$AC$2&amp;'Output annual'!$AD$2&amp;"*FangerPMV(Hourly)",'Eplus results'!$1:$1048576,ROW(),FALSE)</f>
        <v>0</v>
      </c>
      <c r="AD6739" s="580">
        <f t="shared" si="561"/>
        <v>5</v>
      </c>
      <c r="AE6739" s="580">
        <f t="shared" si="562"/>
        <v>2.5</v>
      </c>
      <c r="AF6739" s="580">
        <f t="shared" si="563"/>
        <v>2.5</v>
      </c>
      <c r="AG6739" s="580">
        <f t="shared" si="564"/>
        <v>0</v>
      </c>
      <c r="AH6739" s="580">
        <f t="shared" si="565"/>
        <v>0</v>
      </c>
    </row>
    <row r="6740" spans="28:34">
      <c r="AB6740" s="580">
        <f>HLOOKUP("*"&amp;'Output annual'!$AC$2&amp;'Output annual'!$AD$2&amp;"*Zone People Number Of Occupants [](Hourly)",'Eplus results'!$1:$1048576,ROW(),FALSE)</f>
        <v>0</v>
      </c>
      <c r="AC6740" s="580">
        <f>HLOOKUP("*"&amp;'Output annual'!$AC$2&amp;'Output annual'!$AD$2&amp;"*FangerPMV(Hourly)",'Eplus results'!$1:$1048576,ROW(),FALSE)</f>
        <v>0</v>
      </c>
      <c r="AD6740" s="580">
        <f t="shared" si="561"/>
        <v>5</v>
      </c>
      <c r="AE6740" s="580">
        <f t="shared" si="562"/>
        <v>2.5</v>
      </c>
      <c r="AF6740" s="580">
        <f t="shared" si="563"/>
        <v>2.5</v>
      </c>
      <c r="AG6740" s="580">
        <f t="shared" si="564"/>
        <v>0</v>
      </c>
      <c r="AH6740" s="580">
        <f t="shared" si="565"/>
        <v>0</v>
      </c>
    </row>
    <row r="6741" spans="28:34">
      <c r="AB6741" s="580">
        <f>HLOOKUP("*"&amp;'Output annual'!$AC$2&amp;'Output annual'!$AD$2&amp;"*Zone People Number Of Occupants [](Hourly)",'Eplus results'!$1:$1048576,ROW(),FALSE)</f>
        <v>0</v>
      </c>
      <c r="AC6741" s="580">
        <f>HLOOKUP("*"&amp;'Output annual'!$AC$2&amp;'Output annual'!$AD$2&amp;"*FangerPMV(Hourly)",'Eplus results'!$1:$1048576,ROW(),FALSE)</f>
        <v>0</v>
      </c>
      <c r="AD6741" s="580">
        <f t="shared" si="561"/>
        <v>5</v>
      </c>
      <c r="AE6741" s="580">
        <f t="shared" si="562"/>
        <v>2.5</v>
      </c>
      <c r="AF6741" s="580">
        <f t="shared" si="563"/>
        <v>2.5</v>
      </c>
      <c r="AG6741" s="580">
        <f t="shared" si="564"/>
        <v>0</v>
      </c>
      <c r="AH6741" s="580">
        <f t="shared" si="565"/>
        <v>0</v>
      </c>
    </row>
    <row r="6742" spans="28:34">
      <c r="AB6742" s="580">
        <f>HLOOKUP("*"&amp;'Output annual'!$AC$2&amp;'Output annual'!$AD$2&amp;"*Zone People Number Of Occupants [](Hourly)",'Eplus results'!$1:$1048576,ROW(),FALSE)</f>
        <v>0</v>
      </c>
      <c r="AC6742" s="580">
        <f>HLOOKUP("*"&amp;'Output annual'!$AC$2&amp;'Output annual'!$AD$2&amp;"*FangerPMV(Hourly)",'Eplus results'!$1:$1048576,ROW(),FALSE)</f>
        <v>0</v>
      </c>
      <c r="AD6742" s="580">
        <f t="shared" si="561"/>
        <v>5</v>
      </c>
      <c r="AE6742" s="580">
        <f t="shared" si="562"/>
        <v>2.5</v>
      </c>
      <c r="AF6742" s="580">
        <f t="shared" si="563"/>
        <v>2.5</v>
      </c>
      <c r="AG6742" s="580">
        <f t="shared" si="564"/>
        <v>0</v>
      </c>
      <c r="AH6742" s="580">
        <f t="shared" si="565"/>
        <v>0</v>
      </c>
    </row>
    <row r="6743" spans="28:34">
      <c r="AB6743" s="580">
        <f>HLOOKUP("*"&amp;'Output annual'!$AC$2&amp;'Output annual'!$AD$2&amp;"*Zone People Number Of Occupants [](Hourly)",'Eplus results'!$1:$1048576,ROW(),FALSE)</f>
        <v>0</v>
      </c>
      <c r="AC6743" s="580">
        <f>HLOOKUP("*"&amp;'Output annual'!$AC$2&amp;'Output annual'!$AD$2&amp;"*FangerPMV(Hourly)",'Eplus results'!$1:$1048576,ROW(),FALSE)</f>
        <v>0</v>
      </c>
      <c r="AD6743" s="580">
        <f t="shared" si="561"/>
        <v>5</v>
      </c>
      <c r="AE6743" s="580">
        <f t="shared" si="562"/>
        <v>2.5</v>
      </c>
      <c r="AF6743" s="580">
        <f t="shared" si="563"/>
        <v>2.5</v>
      </c>
      <c r="AG6743" s="580">
        <f t="shared" si="564"/>
        <v>0</v>
      </c>
      <c r="AH6743" s="580">
        <f t="shared" si="565"/>
        <v>0</v>
      </c>
    </row>
    <row r="6744" spans="28:34">
      <c r="AB6744" s="580">
        <f>HLOOKUP("*"&amp;'Output annual'!$AC$2&amp;'Output annual'!$AD$2&amp;"*Zone People Number Of Occupants [](Hourly)",'Eplus results'!$1:$1048576,ROW(),FALSE)</f>
        <v>0</v>
      </c>
      <c r="AC6744" s="580">
        <f>HLOOKUP("*"&amp;'Output annual'!$AC$2&amp;'Output annual'!$AD$2&amp;"*FangerPMV(Hourly)",'Eplus results'!$1:$1048576,ROW(),FALSE)</f>
        <v>0</v>
      </c>
      <c r="AD6744" s="580">
        <f t="shared" si="561"/>
        <v>5</v>
      </c>
      <c r="AE6744" s="580">
        <f t="shared" si="562"/>
        <v>2.5</v>
      </c>
      <c r="AF6744" s="580">
        <f t="shared" si="563"/>
        <v>2.5</v>
      </c>
      <c r="AG6744" s="580">
        <f t="shared" si="564"/>
        <v>0</v>
      </c>
      <c r="AH6744" s="580">
        <f t="shared" si="565"/>
        <v>0</v>
      </c>
    </row>
    <row r="6745" spans="28:34">
      <c r="AB6745" s="580">
        <f>HLOOKUP("*"&amp;'Output annual'!$AC$2&amp;'Output annual'!$AD$2&amp;"*Zone People Number Of Occupants [](Hourly)",'Eplus results'!$1:$1048576,ROW(),FALSE)</f>
        <v>0</v>
      </c>
      <c r="AC6745" s="580">
        <f>HLOOKUP("*"&amp;'Output annual'!$AC$2&amp;'Output annual'!$AD$2&amp;"*FangerPMV(Hourly)",'Eplus results'!$1:$1048576,ROW(),FALSE)</f>
        <v>0</v>
      </c>
      <c r="AD6745" s="580">
        <f t="shared" si="561"/>
        <v>5</v>
      </c>
      <c r="AE6745" s="580">
        <f t="shared" si="562"/>
        <v>2.5</v>
      </c>
      <c r="AF6745" s="580">
        <f t="shared" si="563"/>
        <v>2.5</v>
      </c>
      <c r="AG6745" s="580">
        <f t="shared" si="564"/>
        <v>0</v>
      </c>
      <c r="AH6745" s="580">
        <f t="shared" si="565"/>
        <v>0</v>
      </c>
    </row>
    <row r="6746" spans="28:34">
      <c r="AB6746" s="580">
        <f>HLOOKUP("*"&amp;'Output annual'!$AC$2&amp;'Output annual'!$AD$2&amp;"*Zone People Number Of Occupants [](Hourly)",'Eplus results'!$1:$1048576,ROW(),FALSE)</f>
        <v>0</v>
      </c>
      <c r="AC6746" s="580">
        <f>HLOOKUP("*"&amp;'Output annual'!$AC$2&amp;'Output annual'!$AD$2&amp;"*FangerPMV(Hourly)",'Eplus results'!$1:$1048576,ROW(),FALSE)</f>
        <v>0</v>
      </c>
      <c r="AD6746" s="580">
        <f t="shared" si="561"/>
        <v>5</v>
      </c>
      <c r="AE6746" s="580">
        <f t="shared" si="562"/>
        <v>2.5</v>
      </c>
      <c r="AF6746" s="580">
        <f t="shared" si="563"/>
        <v>2.5</v>
      </c>
      <c r="AG6746" s="580">
        <f t="shared" si="564"/>
        <v>0</v>
      </c>
      <c r="AH6746" s="580">
        <f t="shared" si="565"/>
        <v>0</v>
      </c>
    </row>
    <row r="6747" spans="28:34">
      <c r="AB6747" s="580">
        <f>HLOOKUP("*"&amp;'Output annual'!$AC$2&amp;'Output annual'!$AD$2&amp;"*Zone People Number Of Occupants [](Hourly)",'Eplus results'!$1:$1048576,ROW(),FALSE)</f>
        <v>0</v>
      </c>
      <c r="AC6747" s="580">
        <f>HLOOKUP("*"&amp;'Output annual'!$AC$2&amp;'Output annual'!$AD$2&amp;"*FangerPMV(Hourly)",'Eplus results'!$1:$1048576,ROW(),FALSE)</f>
        <v>0</v>
      </c>
      <c r="AD6747" s="580">
        <f t="shared" si="561"/>
        <v>5</v>
      </c>
      <c r="AE6747" s="580">
        <f t="shared" si="562"/>
        <v>2.5</v>
      </c>
      <c r="AF6747" s="580">
        <f t="shared" si="563"/>
        <v>2.5</v>
      </c>
      <c r="AG6747" s="580">
        <f t="shared" si="564"/>
        <v>0</v>
      </c>
      <c r="AH6747" s="580">
        <f t="shared" si="565"/>
        <v>0</v>
      </c>
    </row>
    <row r="6748" spans="28:34">
      <c r="AB6748" s="580">
        <f>HLOOKUP("*"&amp;'Output annual'!$AC$2&amp;'Output annual'!$AD$2&amp;"*Zone People Number Of Occupants [](Hourly)",'Eplus results'!$1:$1048576,ROW(),FALSE)</f>
        <v>0</v>
      </c>
      <c r="AC6748" s="580">
        <f>HLOOKUP("*"&amp;'Output annual'!$AC$2&amp;'Output annual'!$AD$2&amp;"*FangerPMV(Hourly)",'Eplus results'!$1:$1048576,ROW(),FALSE)</f>
        <v>0</v>
      </c>
      <c r="AD6748" s="580">
        <f t="shared" si="561"/>
        <v>5</v>
      </c>
      <c r="AE6748" s="580">
        <f t="shared" si="562"/>
        <v>2.5</v>
      </c>
      <c r="AF6748" s="580">
        <f t="shared" si="563"/>
        <v>2.5</v>
      </c>
      <c r="AG6748" s="580">
        <f t="shared" si="564"/>
        <v>0</v>
      </c>
      <c r="AH6748" s="580">
        <f t="shared" si="565"/>
        <v>0</v>
      </c>
    </row>
    <row r="6749" spans="28:34">
      <c r="AB6749" s="580">
        <f>HLOOKUP("*"&amp;'Output annual'!$AC$2&amp;'Output annual'!$AD$2&amp;"*Zone People Number Of Occupants [](Hourly)",'Eplus results'!$1:$1048576,ROW(),FALSE)</f>
        <v>0</v>
      </c>
      <c r="AC6749" s="580">
        <f>HLOOKUP("*"&amp;'Output annual'!$AC$2&amp;'Output annual'!$AD$2&amp;"*FangerPMV(Hourly)",'Eplus results'!$1:$1048576,ROW(),FALSE)</f>
        <v>0</v>
      </c>
      <c r="AD6749" s="580">
        <f t="shared" si="561"/>
        <v>5</v>
      </c>
      <c r="AE6749" s="580">
        <f t="shared" si="562"/>
        <v>2.5</v>
      </c>
      <c r="AF6749" s="580">
        <f t="shared" si="563"/>
        <v>2.5</v>
      </c>
      <c r="AG6749" s="580">
        <f t="shared" si="564"/>
        <v>0</v>
      </c>
      <c r="AH6749" s="580">
        <f t="shared" si="565"/>
        <v>0</v>
      </c>
    </row>
    <row r="6750" spans="28:34">
      <c r="AB6750" s="580">
        <f>HLOOKUP("*"&amp;'Output annual'!$AC$2&amp;'Output annual'!$AD$2&amp;"*Zone People Number Of Occupants [](Hourly)",'Eplus results'!$1:$1048576,ROW(),FALSE)</f>
        <v>0</v>
      </c>
      <c r="AC6750" s="580">
        <f>HLOOKUP("*"&amp;'Output annual'!$AC$2&amp;'Output annual'!$AD$2&amp;"*FangerPMV(Hourly)",'Eplus results'!$1:$1048576,ROW(),FALSE)</f>
        <v>0</v>
      </c>
      <c r="AD6750" s="580">
        <f t="shared" si="561"/>
        <v>5</v>
      </c>
      <c r="AE6750" s="580">
        <f t="shared" si="562"/>
        <v>2.5</v>
      </c>
      <c r="AF6750" s="580">
        <f t="shared" si="563"/>
        <v>2.5</v>
      </c>
      <c r="AG6750" s="580">
        <f t="shared" si="564"/>
        <v>0</v>
      </c>
      <c r="AH6750" s="580">
        <f t="shared" si="565"/>
        <v>0</v>
      </c>
    </row>
    <row r="6751" spans="28:34">
      <c r="AB6751" s="580">
        <f>HLOOKUP("*"&amp;'Output annual'!$AC$2&amp;'Output annual'!$AD$2&amp;"*Zone People Number Of Occupants [](Hourly)",'Eplus results'!$1:$1048576,ROW(),FALSE)</f>
        <v>0</v>
      </c>
      <c r="AC6751" s="580">
        <f>HLOOKUP("*"&amp;'Output annual'!$AC$2&amp;'Output annual'!$AD$2&amp;"*FangerPMV(Hourly)",'Eplus results'!$1:$1048576,ROW(),FALSE)</f>
        <v>0</v>
      </c>
      <c r="AD6751" s="580">
        <f t="shared" si="561"/>
        <v>5</v>
      </c>
      <c r="AE6751" s="580">
        <f t="shared" si="562"/>
        <v>2.5</v>
      </c>
      <c r="AF6751" s="580">
        <f t="shared" si="563"/>
        <v>2.5</v>
      </c>
      <c r="AG6751" s="580">
        <f t="shared" si="564"/>
        <v>0</v>
      </c>
      <c r="AH6751" s="580">
        <f t="shared" si="565"/>
        <v>0</v>
      </c>
    </row>
    <row r="6752" spans="28:34">
      <c r="AB6752" s="580">
        <f>HLOOKUP("*"&amp;'Output annual'!$AC$2&amp;'Output annual'!$AD$2&amp;"*Zone People Number Of Occupants [](Hourly)",'Eplus results'!$1:$1048576,ROW(),FALSE)</f>
        <v>0</v>
      </c>
      <c r="AC6752" s="580">
        <f>HLOOKUP("*"&amp;'Output annual'!$AC$2&amp;'Output annual'!$AD$2&amp;"*FangerPMV(Hourly)",'Eplus results'!$1:$1048576,ROW(),FALSE)</f>
        <v>0</v>
      </c>
      <c r="AD6752" s="580">
        <f t="shared" si="561"/>
        <v>5</v>
      </c>
      <c r="AE6752" s="580">
        <f t="shared" si="562"/>
        <v>2.5</v>
      </c>
      <c r="AF6752" s="580">
        <f t="shared" si="563"/>
        <v>2.5</v>
      </c>
      <c r="AG6752" s="580">
        <f t="shared" si="564"/>
        <v>0</v>
      </c>
      <c r="AH6752" s="580">
        <f t="shared" si="565"/>
        <v>0</v>
      </c>
    </row>
    <row r="6753" spans="28:34">
      <c r="AB6753" s="580">
        <f>HLOOKUP("*"&amp;'Output annual'!$AC$2&amp;'Output annual'!$AD$2&amp;"*Zone People Number Of Occupants [](Hourly)",'Eplus results'!$1:$1048576,ROW(),FALSE)</f>
        <v>0</v>
      </c>
      <c r="AC6753" s="580">
        <f>HLOOKUP("*"&amp;'Output annual'!$AC$2&amp;'Output annual'!$AD$2&amp;"*FangerPMV(Hourly)",'Eplus results'!$1:$1048576,ROW(),FALSE)</f>
        <v>0</v>
      </c>
      <c r="AD6753" s="580">
        <f t="shared" si="561"/>
        <v>5</v>
      </c>
      <c r="AE6753" s="580">
        <f t="shared" si="562"/>
        <v>2.5</v>
      </c>
      <c r="AF6753" s="580">
        <f t="shared" si="563"/>
        <v>2.5</v>
      </c>
      <c r="AG6753" s="580">
        <f t="shared" si="564"/>
        <v>0</v>
      </c>
      <c r="AH6753" s="580">
        <f t="shared" si="565"/>
        <v>0</v>
      </c>
    </row>
    <row r="6754" spans="28:34">
      <c r="AB6754" s="580">
        <f>HLOOKUP("*"&amp;'Output annual'!$AC$2&amp;'Output annual'!$AD$2&amp;"*Zone People Number Of Occupants [](Hourly)",'Eplus results'!$1:$1048576,ROW(),FALSE)</f>
        <v>0</v>
      </c>
      <c r="AC6754" s="580">
        <f>HLOOKUP("*"&amp;'Output annual'!$AC$2&amp;'Output annual'!$AD$2&amp;"*FangerPMV(Hourly)",'Eplus results'!$1:$1048576,ROW(),FALSE)</f>
        <v>0</v>
      </c>
      <c r="AD6754" s="580">
        <f t="shared" si="561"/>
        <v>5</v>
      </c>
      <c r="AE6754" s="580">
        <f t="shared" si="562"/>
        <v>2.5</v>
      </c>
      <c r="AF6754" s="580">
        <f t="shared" si="563"/>
        <v>2.5</v>
      </c>
      <c r="AG6754" s="580">
        <f t="shared" si="564"/>
        <v>0</v>
      </c>
      <c r="AH6754" s="580">
        <f t="shared" si="565"/>
        <v>0</v>
      </c>
    </row>
    <row r="6755" spans="28:34">
      <c r="AB6755" s="580">
        <f>HLOOKUP("*"&amp;'Output annual'!$AC$2&amp;'Output annual'!$AD$2&amp;"*Zone People Number Of Occupants [](Hourly)",'Eplus results'!$1:$1048576,ROW(),FALSE)</f>
        <v>0</v>
      </c>
      <c r="AC6755" s="580">
        <f>HLOOKUP("*"&amp;'Output annual'!$AC$2&amp;'Output annual'!$AD$2&amp;"*FangerPMV(Hourly)",'Eplus results'!$1:$1048576,ROW(),FALSE)</f>
        <v>0</v>
      </c>
      <c r="AD6755" s="580">
        <f t="shared" si="561"/>
        <v>5</v>
      </c>
      <c r="AE6755" s="580">
        <f t="shared" si="562"/>
        <v>2.5</v>
      </c>
      <c r="AF6755" s="580">
        <f t="shared" si="563"/>
        <v>2.5</v>
      </c>
      <c r="AG6755" s="580">
        <f t="shared" si="564"/>
        <v>0</v>
      </c>
      <c r="AH6755" s="580">
        <f t="shared" si="565"/>
        <v>0</v>
      </c>
    </row>
    <row r="6756" spans="28:34">
      <c r="AB6756" s="580">
        <f>HLOOKUP("*"&amp;'Output annual'!$AC$2&amp;'Output annual'!$AD$2&amp;"*Zone People Number Of Occupants [](Hourly)",'Eplus results'!$1:$1048576,ROW(),FALSE)</f>
        <v>0</v>
      </c>
      <c r="AC6756" s="580">
        <f>HLOOKUP("*"&amp;'Output annual'!$AC$2&amp;'Output annual'!$AD$2&amp;"*FangerPMV(Hourly)",'Eplus results'!$1:$1048576,ROW(),FALSE)</f>
        <v>0</v>
      </c>
      <c r="AD6756" s="580">
        <f t="shared" si="561"/>
        <v>5</v>
      </c>
      <c r="AE6756" s="580">
        <f t="shared" si="562"/>
        <v>2.5</v>
      </c>
      <c r="AF6756" s="580">
        <f t="shared" si="563"/>
        <v>2.5</v>
      </c>
      <c r="AG6756" s="580">
        <f t="shared" si="564"/>
        <v>0</v>
      </c>
      <c r="AH6756" s="580">
        <f t="shared" si="565"/>
        <v>0</v>
      </c>
    </row>
    <row r="6757" spans="28:34">
      <c r="AB6757" s="580">
        <f>HLOOKUP("*"&amp;'Output annual'!$AC$2&amp;'Output annual'!$AD$2&amp;"*Zone People Number Of Occupants [](Hourly)",'Eplus results'!$1:$1048576,ROW(),FALSE)</f>
        <v>0</v>
      </c>
      <c r="AC6757" s="580">
        <f>HLOOKUP("*"&amp;'Output annual'!$AC$2&amp;'Output annual'!$AD$2&amp;"*FangerPMV(Hourly)",'Eplus results'!$1:$1048576,ROW(),FALSE)</f>
        <v>0</v>
      </c>
      <c r="AD6757" s="580">
        <f t="shared" si="561"/>
        <v>5</v>
      </c>
      <c r="AE6757" s="580">
        <f t="shared" si="562"/>
        <v>2.5</v>
      </c>
      <c r="AF6757" s="580">
        <f t="shared" si="563"/>
        <v>2.5</v>
      </c>
      <c r="AG6757" s="580">
        <f t="shared" si="564"/>
        <v>0</v>
      </c>
      <c r="AH6757" s="580">
        <f t="shared" si="565"/>
        <v>0</v>
      </c>
    </row>
    <row r="6758" spans="28:34">
      <c r="AB6758" s="580">
        <f>HLOOKUP("*"&amp;'Output annual'!$AC$2&amp;'Output annual'!$AD$2&amp;"*Zone People Number Of Occupants [](Hourly)",'Eplus results'!$1:$1048576,ROW(),FALSE)</f>
        <v>0</v>
      </c>
      <c r="AC6758" s="580">
        <f>HLOOKUP("*"&amp;'Output annual'!$AC$2&amp;'Output annual'!$AD$2&amp;"*FangerPMV(Hourly)",'Eplus results'!$1:$1048576,ROW(),FALSE)</f>
        <v>0</v>
      </c>
      <c r="AD6758" s="580">
        <f t="shared" si="561"/>
        <v>5</v>
      </c>
      <c r="AE6758" s="580">
        <f t="shared" si="562"/>
        <v>2.5</v>
      </c>
      <c r="AF6758" s="580">
        <f t="shared" si="563"/>
        <v>2.5</v>
      </c>
      <c r="AG6758" s="580">
        <f t="shared" si="564"/>
        <v>0</v>
      </c>
      <c r="AH6758" s="580">
        <f t="shared" si="565"/>
        <v>0</v>
      </c>
    </row>
    <row r="6759" spans="28:34">
      <c r="AB6759" s="580">
        <f>HLOOKUP("*"&amp;'Output annual'!$AC$2&amp;'Output annual'!$AD$2&amp;"*Zone People Number Of Occupants [](Hourly)",'Eplus results'!$1:$1048576,ROW(),FALSE)</f>
        <v>0</v>
      </c>
      <c r="AC6759" s="580">
        <f>HLOOKUP("*"&amp;'Output annual'!$AC$2&amp;'Output annual'!$AD$2&amp;"*FangerPMV(Hourly)",'Eplus results'!$1:$1048576,ROW(),FALSE)</f>
        <v>0</v>
      </c>
      <c r="AD6759" s="580">
        <f t="shared" si="561"/>
        <v>5</v>
      </c>
      <c r="AE6759" s="580">
        <f t="shared" si="562"/>
        <v>2.5</v>
      </c>
      <c r="AF6759" s="580">
        <f t="shared" si="563"/>
        <v>2.5</v>
      </c>
      <c r="AG6759" s="580">
        <f t="shared" si="564"/>
        <v>0</v>
      </c>
      <c r="AH6759" s="580">
        <f t="shared" si="565"/>
        <v>0</v>
      </c>
    </row>
    <row r="6760" spans="28:34">
      <c r="AB6760" s="580">
        <f>HLOOKUP("*"&amp;'Output annual'!$AC$2&amp;'Output annual'!$AD$2&amp;"*Zone People Number Of Occupants [](Hourly)",'Eplus results'!$1:$1048576,ROW(),FALSE)</f>
        <v>0</v>
      </c>
      <c r="AC6760" s="580">
        <f>HLOOKUP("*"&amp;'Output annual'!$AC$2&amp;'Output annual'!$AD$2&amp;"*FangerPMV(Hourly)",'Eplus results'!$1:$1048576,ROW(),FALSE)</f>
        <v>0</v>
      </c>
      <c r="AD6760" s="580">
        <f t="shared" si="561"/>
        <v>5</v>
      </c>
      <c r="AE6760" s="580">
        <f t="shared" si="562"/>
        <v>2.5</v>
      </c>
      <c r="AF6760" s="580">
        <f t="shared" si="563"/>
        <v>2.5</v>
      </c>
      <c r="AG6760" s="580">
        <f t="shared" si="564"/>
        <v>0</v>
      </c>
      <c r="AH6760" s="580">
        <f t="shared" si="565"/>
        <v>0</v>
      </c>
    </row>
    <row r="6761" spans="28:34">
      <c r="AB6761" s="580">
        <f>HLOOKUP("*"&amp;'Output annual'!$AC$2&amp;'Output annual'!$AD$2&amp;"*Zone People Number Of Occupants [](Hourly)",'Eplus results'!$1:$1048576,ROW(),FALSE)</f>
        <v>0</v>
      </c>
      <c r="AC6761" s="580">
        <f>HLOOKUP("*"&amp;'Output annual'!$AC$2&amp;'Output annual'!$AD$2&amp;"*FangerPMV(Hourly)",'Eplus results'!$1:$1048576,ROW(),FALSE)</f>
        <v>0</v>
      </c>
      <c r="AD6761" s="580">
        <f t="shared" si="561"/>
        <v>5</v>
      </c>
      <c r="AE6761" s="580">
        <f t="shared" si="562"/>
        <v>2.5</v>
      </c>
      <c r="AF6761" s="580">
        <f t="shared" si="563"/>
        <v>2.5</v>
      </c>
      <c r="AG6761" s="580">
        <f t="shared" si="564"/>
        <v>0</v>
      </c>
      <c r="AH6761" s="580">
        <f t="shared" si="565"/>
        <v>0</v>
      </c>
    </row>
    <row r="6762" spans="28:34">
      <c r="AB6762" s="580">
        <f>HLOOKUP("*"&amp;'Output annual'!$AC$2&amp;'Output annual'!$AD$2&amp;"*Zone People Number Of Occupants [](Hourly)",'Eplus results'!$1:$1048576,ROW(),FALSE)</f>
        <v>0</v>
      </c>
      <c r="AC6762" s="580">
        <f>HLOOKUP("*"&amp;'Output annual'!$AC$2&amp;'Output annual'!$AD$2&amp;"*FangerPMV(Hourly)",'Eplus results'!$1:$1048576,ROW(),FALSE)</f>
        <v>0</v>
      </c>
      <c r="AD6762" s="580">
        <f t="shared" si="561"/>
        <v>5</v>
      </c>
      <c r="AE6762" s="580">
        <f t="shared" si="562"/>
        <v>2.5</v>
      </c>
      <c r="AF6762" s="580">
        <f t="shared" si="563"/>
        <v>2.5</v>
      </c>
      <c r="AG6762" s="580">
        <f t="shared" si="564"/>
        <v>0</v>
      </c>
      <c r="AH6762" s="580">
        <f t="shared" si="565"/>
        <v>0</v>
      </c>
    </row>
    <row r="6763" spans="28:34">
      <c r="AB6763" s="580">
        <f>HLOOKUP("*"&amp;'Output annual'!$AC$2&amp;'Output annual'!$AD$2&amp;"*Zone People Number Of Occupants [](Hourly)",'Eplus results'!$1:$1048576,ROW(),FALSE)</f>
        <v>0</v>
      </c>
      <c r="AC6763" s="580">
        <f>HLOOKUP("*"&amp;'Output annual'!$AC$2&amp;'Output annual'!$AD$2&amp;"*FangerPMV(Hourly)",'Eplus results'!$1:$1048576,ROW(),FALSE)</f>
        <v>0</v>
      </c>
      <c r="AD6763" s="580">
        <f t="shared" si="561"/>
        <v>5</v>
      </c>
      <c r="AE6763" s="580">
        <f t="shared" si="562"/>
        <v>2.5</v>
      </c>
      <c r="AF6763" s="580">
        <f t="shared" si="563"/>
        <v>2.5</v>
      </c>
      <c r="AG6763" s="580">
        <f t="shared" si="564"/>
        <v>0</v>
      </c>
      <c r="AH6763" s="580">
        <f t="shared" si="565"/>
        <v>0</v>
      </c>
    </row>
    <row r="6764" spans="28:34">
      <c r="AB6764" s="580">
        <f>HLOOKUP("*"&amp;'Output annual'!$AC$2&amp;'Output annual'!$AD$2&amp;"*Zone People Number Of Occupants [](Hourly)",'Eplus results'!$1:$1048576,ROW(),FALSE)</f>
        <v>0</v>
      </c>
      <c r="AC6764" s="580">
        <f>HLOOKUP("*"&amp;'Output annual'!$AC$2&amp;'Output annual'!$AD$2&amp;"*FangerPMV(Hourly)",'Eplus results'!$1:$1048576,ROW(),FALSE)</f>
        <v>0</v>
      </c>
      <c r="AD6764" s="580">
        <f t="shared" si="561"/>
        <v>5</v>
      </c>
      <c r="AE6764" s="580">
        <f t="shared" si="562"/>
        <v>2.5</v>
      </c>
      <c r="AF6764" s="580">
        <f t="shared" si="563"/>
        <v>2.5</v>
      </c>
      <c r="AG6764" s="580">
        <f t="shared" si="564"/>
        <v>0</v>
      </c>
      <c r="AH6764" s="580">
        <f t="shared" si="565"/>
        <v>0</v>
      </c>
    </row>
    <row r="6765" spans="28:34">
      <c r="AB6765" s="580">
        <f>HLOOKUP("*"&amp;'Output annual'!$AC$2&amp;'Output annual'!$AD$2&amp;"*Zone People Number Of Occupants [](Hourly)",'Eplus results'!$1:$1048576,ROW(),FALSE)</f>
        <v>0</v>
      </c>
      <c r="AC6765" s="580">
        <f>HLOOKUP("*"&amp;'Output annual'!$AC$2&amp;'Output annual'!$AD$2&amp;"*FangerPMV(Hourly)",'Eplus results'!$1:$1048576,ROW(),FALSE)</f>
        <v>0</v>
      </c>
      <c r="AD6765" s="580">
        <f t="shared" si="561"/>
        <v>5</v>
      </c>
      <c r="AE6765" s="580">
        <f t="shared" si="562"/>
        <v>2.5</v>
      </c>
      <c r="AF6765" s="580">
        <f t="shared" si="563"/>
        <v>2.5</v>
      </c>
      <c r="AG6765" s="580">
        <f t="shared" si="564"/>
        <v>0</v>
      </c>
      <c r="AH6765" s="580">
        <f t="shared" si="565"/>
        <v>0</v>
      </c>
    </row>
    <row r="6766" spans="28:34">
      <c r="AB6766" s="580">
        <f>HLOOKUP("*"&amp;'Output annual'!$AC$2&amp;'Output annual'!$AD$2&amp;"*Zone People Number Of Occupants [](Hourly)",'Eplus results'!$1:$1048576,ROW(),FALSE)</f>
        <v>0</v>
      </c>
      <c r="AC6766" s="580">
        <f>HLOOKUP("*"&amp;'Output annual'!$AC$2&amp;'Output annual'!$AD$2&amp;"*FangerPMV(Hourly)",'Eplus results'!$1:$1048576,ROW(),FALSE)</f>
        <v>0</v>
      </c>
      <c r="AD6766" s="580">
        <f t="shared" si="561"/>
        <v>5</v>
      </c>
      <c r="AE6766" s="580">
        <f t="shared" si="562"/>
        <v>2.5</v>
      </c>
      <c r="AF6766" s="580">
        <f t="shared" si="563"/>
        <v>2.5</v>
      </c>
      <c r="AG6766" s="580">
        <f t="shared" si="564"/>
        <v>0</v>
      </c>
      <c r="AH6766" s="580">
        <f t="shared" si="565"/>
        <v>0</v>
      </c>
    </row>
    <row r="6767" spans="28:34">
      <c r="AB6767" s="580">
        <f>HLOOKUP("*"&amp;'Output annual'!$AC$2&amp;'Output annual'!$AD$2&amp;"*Zone People Number Of Occupants [](Hourly)",'Eplus results'!$1:$1048576,ROW(),FALSE)</f>
        <v>0</v>
      </c>
      <c r="AC6767" s="580">
        <f>HLOOKUP("*"&amp;'Output annual'!$AC$2&amp;'Output annual'!$AD$2&amp;"*FangerPMV(Hourly)",'Eplus results'!$1:$1048576,ROW(),FALSE)</f>
        <v>0</v>
      </c>
      <c r="AD6767" s="580">
        <f t="shared" si="561"/>
        <v>5</v>
      </c>
      <c r="AE6767" s="580">
        <f t="shared" si="562"/>
        <v>2.5</v>
      </c>
      <c r="AF6767" s="580">
        <f t="shared" si="563"/>
        <v>2.5</v>
      </c>
      <c r="AG6767" s="580">
        <f t="shared" si="564"/>
        <v>0</v>
      </c>
      <c r="AH6767" s="580">
        <f t="shared" si="565"/>
        <v>0</v>
      </c>
    </row>
    <row r="6768" spans="28:34">
      <c r="AB6768" s="580">
        <f>HLOOKUP("*"&amp;'Output annual'!$AC$2&amp;'Output annual'!$AD$2&amp;"*Zone People Number Of Occupants [](Hourly)",'Eplus results'!$1:$1048576,ROW(),FALSE)</f>
        <v>0</v>
      </c>
      <c r="AC6768" s="580">
        <f>HLOOKUP("*"&amp;'Output annual'!$AC$2&amp;'Output annual'!$AD$2&amp;"*FangerPMV(Hourly)",'Eplus results'!$1:$1048576,ROW(),FALSE)</f>
        <v>0</v>
      </c>
      <c r="AD6768" s="580">
        <f t="shared" si="561"/>
        <v>5</v>
      </c>
      <c r="AE6768" s="580">
        <f t="shared" si="562"/>
        <v>2.5</v>
      </c>
      <c r="AF6768" s="580">
        <f t="shared" si="563"/>
        <v>2.5</v>
      </c>
      <c r="AG6768" s="580">
        <f t="shared" si="564"/>
        <v>0</v>
      </c>
      <c r="AH6768" s="580">
        <f t="shared" si="565"/>
        <v>0</v>
      </c>
    </row>
    <row r="6769" spans="28:34">
      <c r="AB6769" s="580">
        <f>HLOOKUP("*"&amp;'Output annual'!$AC$2&amp;'Output annual'!$AD$2&amp;"*Zone People Number Of Occupants [](Hourly)",'Eplus results'!$1:$1048576,ROW(),FALSE)</f>
        <v>0</v>
      </c>
      <c r="AC6769" s="580">
        <f>HLOOKUP("*"&amp;'Output annual'!$AC$2&amp;'Output annual'!$AD$2&amp;"*FangerPMV(Hourly)",'Eplus results'!$1:$1048576,ROW(),FALSE)</f>
        <v>0</v>
      </c>
      <c r="AD6769" s="580">
        <f t="shared" si="561"/>
        <v>5</v>
      </c>
      <c r="AE6769" s="580">
        <f t="shared" si="562"/>
        <v>2.5</v>
      </c>
      <c r="AF6769" s="580">
        <f t="shared" si="563"/>
        <v>2.5</v>
      </c>
      <c r="AG6769" s="580">
        <f t="shared" si="564"/>
        <v>0</v>
      </c>
      <c r="AH6769" s="580">
        <f t="shared" si="565"/>
        <v>0</v>
      </c>
    </row>
    <row r="6770" spans="28:34">
      <c r="AB6770" s="580">
        <f>HLOOKUP("*"&amp;'Output annual'!$AC$2&amp;'Output annual'!$AD$2&amp;"*Zone People Number Of Occupants [](Hourly)",'Eplus results'!$1:$1048576,ROW(),FALSE)</f>
        <v>0</v>
      </c>
      <c r="AC6770" s="580">
        <f>HLOOKUP("*"&amp;'Output annual'!$AC$2&amp;'Output annual'!$AD$2&amp;"*FangerPMV(Hourly)",'Eplus results'!$1:$1048576,ROW(),FALSE)</f>
        <v>0</v>
      </c>
      <c r="AD6770" s="580">
        <f t="shared" si="561"/>
        <v>5</v>
      </c>
      <c r="AE6770" s="580">
        <f t="shared" si="562"/>
        <v>2.5</v>
      </c>
      <c r="AF6770" s="580">
        <f t="shared" si="563"/>
        <v>2.5</v>
      </c>
      <c r="AG6770" s="580">
        <f t="shared" si="564"/>
        <v>0</v>
      </c>
      <c r="AH6770" s="580">
        <f t="shared" si="565"/>
        <v>0</v>
      </c>
    </row>
    <row r="6771" spans="28:34">
      <c r="AB6771" s="580">
        <f>HLOOKUP("*"&amp;'Output annual'!$AC$2&amp;'Output annual'!$AD$2&amp;"*Zone People Number Of Occupants [](Hourly)",'Eplus results'!$1:$1048576,ROW(),FALSE)</f>
        <v>0</v>
      </c>
      <c r="AC6771" s="580">
        <f>HLOOKUP("*"&amp;'Output annual'!$AC$2&amp;'Output annual'!$AD$2&amp;"*FangerPMV(Hourly)",'Eplus results'!$1:$1048576,ROW(),FALSE)</f>
        <v>0</v>
      </c>
      <c r="AD6771" s="580">
        <f t="shared" si="561"/>
        <v>5</v>
      </c>
      <c r="AE6771" s="580">
        <f t="shared" si="562"/>
        <v>2.5</v>
      </c>
      <c r="AF6771" s="580">
        <f t="shared" si="563"/>
        <v>2.5</v>
      </c>
      <c r="AG6771" s="580">
        <f t="shared" si="564"/>
        <v>0</v>
      </c>
      <c r="AH6771" s="580">
        <f t="shared" si="565"/>
        <v>0</v>
      </c>
    </row>
    <row r="6772" spans="28:34">
      <c r="AB6772" s="580">
        <f>HLOOKUP("*"&amp;'Output annual'!$AC$2&amp;'Output annual'!$AD$2&amp;"*Zone People Number Of Occupants [](Hourly)",'Eplus results'!$1:$1048576,ROW(),FALSE)</f>
        <v>0</v>
      </c>
      <c r="AC6772" s="580">
        <f>HLOOKUP("*"&amp;'Output annual'!$AC$2&amp;'Output annual'!$AD$2&amp;"*FangerPMV(Hourly)",'Eplus results'!$1:$1048576,ROW(),FALSE)</f>
        <v>0</v>
      </c>
      <c r="AD6772" s="580">
        <f t="shared" si="561"/>
        <v>5</v>
      </c>
      <c r="AE6772" s="580">
        <f t="shared" si="562"/>
        <v>2.5</v>
      </c>
      <c r="AF6772" s="580">
        <f t="shared" si="563"/>
        <v>2.5</v>
      </c>
      <c r="AG6772" s="580">
        <f t="shared" si="564"/>
        <v>0</v>
      </c>
      <c r="AH6772" s="580">
        <f t="shared" si="565"/>
        <v>0</v>
      </c>
    </row>
    <row r="6773" spans="28:34">
      <c r="AB6773" s="580">
        <f>HLOOKUP("*"&amp;'Output annual'!$AC$2&amp;'Output annual'!$AD$2&amp;"*Zone People Number Of Occupants [](Hourly)",'Eplus results'!$1:$1048576,ROW(),FALSE)</f>
        <v>0</v>
      </c>
      <c r="AC6773" s="580">
        <f>HLOOKUP("*"&amp;'Output annual'!$AC$2&amp;'Output annual'!$AD$2&amp;"*FangerPMV(Hourly)",'Eplus results'!$1:$1048576,ROW(),FALSE)</f>
        <v>0</v>
      </c>
      <c r="AD6773" s="580">
        <f t="shared" si="561"/>
        <v>5</v>
      </c>
      <c r="AE6773" s="580">
        <f t="shared" si="562"/>
        <v>2.5</v>
      </c>
      <c r="AF6773" s="580">
        <f t="shared" si="563"/>
        <v>2.5</v>
      </c>
      <c r="AG6773" s="580">
        <f t="shared" si="564"/>
        <v>0</v>
      </c>
      <c r="AH6773" s="580">
        <f t="shared" si="565"/>
        <v>0</v>
      </c>
    </row>
    <row r="6774" spans="28:34">
      <c r="AB6774" s="580">
        <f>HLOOKUP("*"&amp;'Output annual'!$AC$2&amp;'Output annual'!$AD$2&amp;"*Zone People Number Of Occupants [](Hourly)",'Eplus results'!$1:$1048576,ROW(),FALSE)</f>
        <v>0</v>
      </c>
      <c r="AC6774" s="580">
        <f>HLOOKUP("*"&amp;'Output annual'!$AC$2&amp;'Output annual'!$AD$2&amp;"*FangerPMV(Hourly)",'Eplus results'!$1:$1048576,ROW(),FALSE)</f>
        <v>0</v>
      </c>
      <c r="AD6774" s="580">
        <f t="shared" si="561"/>
        <v>5</v>
      </c>
      <c r="AE6774" s="580">
        <f t="shared" si="562"/>
        <v>2.5</v>
      </c>
      <c r="AF6774" s="580">
        <f t="shared" si="563"/>
        <v>2.5</v>
      </c>
      <c r="AG6774" s="580">
        <f t="shared" si="564"/>
        <v>0</v>
      </c>
      <c r="AH6774" s="580">
        <f t="shared" si="565"/>
        <v>0</v>
      </c>
    </row>
    <row r="6775" spans="28:34">
      <c r="AB6775" s="580">
        <f>HLOOKUP("*"&amp;'Output annual'!$AC$2&amp;'Output annual'!$AD$2&amp;"*Zone People Number Of Occupants [](Hourly)",'Eplus results'!$1:$1048576,ROW(),FALSE)</f>
        <v>0</v>
      </c>
      <c r="AC6775" s="580">
        <f>HLOOKUP("*"&amp;'Output annual'!$AC$2&amp;'Output annual'!$AD$2&amp;"*FangerPMV(Hourly)",'Eplus results'!$1:$1048576,ROW(),FALSE)</f>
        <v>0</v>
      </c>
      <c r="AD6775" s="580">
        <f t="shared" si="561"/>
        <v>5</v>
      </c>
      <c r="AE6775" s="580">
        <f t="shared" si="562"/>
        <v>2.5</v>
      </c>
      <c r="AF6775" s="580">
        <f t="shared" si="563"/>
        <v>2.5</v>
      </c>
      <c r="AG6775" s="580">
        <f t="shared" si="564"/>
        <v>0</v>
      </c>
      <c r="AH6775" s="580">
        <f t="shared" si="565"/>
        <v>0</v>
      </c>
    </row>
    <row r="6776" spans="28:34">
      <c r="AB6776" s="580">
        <f>HLOOKUP("*"&amp;'Output annual'!$AC$2&amp;'Output annual'!$AD$2&amp;"*Zone People Number Of Occupants [](Hourly)",'Eplus results'!$1:$1048576,ROW(),FALSE)</f>
        <v>0</v>
      </c>
      <c r="AC6776" s="580">
        <f>HLOOKUP("*"&amp;'Output annual'!$AC$2&amp;'Output annual'!$AD$2&amp;"*FangerPMV(Hourly)",'Eplus results'!$1:$1048576,ROW(),FALSE)</f>
        <v>0</v>
      </c>
      <c r="AD6776" s="580">
        <f t="shared" si="561"/>
        <v>5</v>
      </c>
      <c r="AE6776" s="580">
        <f t="shared" si="562"/>
        <v>2.5</v>
      </c>
      <c r="AF6776" s="580">
        <f t="shared" si="563"/>
        <v>2.5</v>
      </c>
      <c r="AG6776" s="580">
        <f t="shared" si="564"/>
        <v>0</v>
      </c>
      <c r="AH6776" s="580">
        <f t="shared" si="565"/>
        <v>0</v>
      </c>
    </row>
    <row r="6777" spans="28:34">
      <c r="AB6777" s="580">
        <f>HLOOKUP("*"&amp;'Output annual'!$AC$2&amp;'Output annual'!$AD$2&amp;"*Zone People Number Of Occupants [](Hourly)",'Eplus results'!$1:$1048576,ROW(),FALSE)</f>
        <v>0</v>
      </c>
      <c r="AC6777" s="580">
        <f>HLOOKUP("*"&amp;'Output annual'!$AC$2&amp;'Output annual'!$AD$2&amp;"*FangerPMV(Hourly)",'Eplus results'!$1:$1048576,ROW(),FALSE)</f>
        <v>0</v>
      </c>
      <c r="AD6777" s="580">
        <f t="shared" si="561"/>
        <v>5</v>
      </c>
      <c r="AE6777" s="580">
        <f t="shared" si="562"/>
        <v>2.5</v>
      </c>
      <c r="AF6777" s="580">
        <f t="shared" si="563"/>
        <v>2.5</v>
      </c>
      <c r="AG6777" s="580">
        <f t="shared" si="564"/>
        <v>0</v>
      </c>
      <c r="AH6777" s="580">
        <f t="shared" si="565"/>
        <v>0</v>
      </c>
    </row>
    <row r="6778" spans="28:34">
      <c r="AB6778" s="580">
        <f>HLOOKUP("*"&amp;'Output annual'!$AC$2&amp;'Output annual'!$AD$2&amp;"*Zone People Number Of Occupants [](Hourly)",'Eplus results'!$1:$1048576,ROW(),FALSE)</f>
        <v>0</v>
      </c>
      <c r="AC6778" s="580">
        <f>HLOOKUP("*"&amp;'Output annual'!$AC$2&amp;'Output annual'!$AD$2&amp;"*FangerPMV(Hourly)",'Eplus results'!$1:$1048576,ROW(),FALSE)</f>
        <v>0</v>
      </c>
      <c r="AD6778" s="580">
        <f t="shared" si="561"/>
        <v>5</v>
      </c>
      <c r="AE6778" s="580">
        <f t="shared" si="562"/>
        <v>2.5</v>
      </c>
      <c r="AF6778" s="580">
        <f t="shared" si="563"/>
        <v>2.5</v>
      </c>
      <c r="AG6778" s="580">
        <f t="shared" si="564"/>
        <v>0</v>
      </c>
      <c r="AH6778" s="580">
        <f t="shared" si="565"/>
        <v>0</v>
      </c>
    </row>
    <row r="6779" spans="28:34">
      <c r="AB6779" s="580">
        <f>HLOOKUP("*"&amp;'Output annual'!$AC$2&amp;'Output annual'!$AD$2&amp;"*Zone People Number Of Occupants [](Hourly)",'Eplus results'!$1:$1048576,ROW(),FALSE)</f>
        <v>0</v>
      </c>
      <c r="AC6779" s="580">
        <f>HLOOKUP("*"&amp;'Output annual'!$AC$2&amp;'Output annual'!$AD$2&amp;"*FangerPMV(Hourly)",'Eplus results'!$1:$1048576,ROW(),FALSE)</f>
        <v>0</v>
      </c>
      <c r="AD6779" s="580">
        <f t="shared" si="561"/>
        <v>5</v>
      </c>
      <c r="AE6779" s="580">
        <f t="shared" si="562"/>
        <v>2.5</v>
      </c>
      <c r="AF6779" s="580">
        <f t="shared" si="563"/>
        <v>2.5</v>
      </c>
      <c r="AG6779" s="580">
        <f t="shared" si="564"/>
        <v>0</v>
      </c>
      <c r="AH6779" s="580">
        <f t="shared" si="565"/>
        <v>0</v>
      </c>
    </row>
    <row r="6780" spans="28:34">
      <c r="AB6780" s="580">
        <f>HLOOKUP("*"&amp;'Output annual'!$AC$2&amp;'Output annual'!$AD$2&amp;"*Zone People Number Of Occupants [](Hourly)",'Eplus results'!$1:$1048576,ROW(),FALSE)</f>
        <v>0</v>
      </c>
      <c r="AC6780" s="580">
        <f>HLOOKUP("*"&amp;'Output annual'!$AC$2&amp;'Output annual'!$AD$2&amp;"*FangerPMV(Hourly)",'Eplus results'!$1:$1048576,ROW(),FALSE)</f>
        <v>0</v>
      </c>
      <c r="AD6780" s="580">
        <f t="shared" si="561"/>
        <v>5</v>
      </c>
      <c r="AE6780" s="580">
        <f t="shared" si="562"/>
        <v>2.5</v>
      </c>
      <c r="AF6780" s="580">
        <f t="shared" si="563"/>
        <v>2.5</v>
      </c>
      <c r="AG6780" s="580">
        <f t="shared" si="564"/>
        <v>0</v>
      </c>
      <c r="AH6780" s="580">
        <f t="shared" si="565"/>
        <v>0</v>
      </c>
    </row>
    <row r="6781" spans="28:34">
      <c r="AB6781" s="580">
        <f>HLOOKUP("*"&amp;'Output annual'!$AC$2&amp;'Output annual'!$AD$2&amp;"*Zone People Number Of Occupants [](Hourly)",'Eplus results'!$1:$1048576,ROW(),FALSE)</f>
        <v>0</v>
      </c>
      <c r="AC6781" s="580">
        <f>HLOOKUP("*"&amp;'Output annual'!$AC$2&amp;'Output annual'!$AD$2&amp;"*FangerPMV(Hourly)",'Eplus results'!$1:$1048576,ROW(),FALSE)</f>
        <v>0</v>
      </c>
      <c r="AD6781" s="580">
        <f t="shared" si="561"/>
        <v>5</v>
      </c>
      <c r="AE6781" s="580">
        <f t="shared" si="562"/>
        <v>2.5</v>
      </c>
      <c r="AF6781" s="580">
        <f t="shared" si="563"/>
        <v>2.5</v>
      </c>
      <c r="AG6781" s="580">
        <f t="shared" si="564"/>
        <v>0</v>
      </c>
      <c r="AH6781" s="580">
        <f t="shared" si="565"/>
        <v>0</v>
      </c>
    </row>
    <row r="6782" spans="28:34">
      <c r="AB6782" s="580">
        <f>HLOOKUP("*"&amp;'Output annual'!$AC$2&amp;'Output annual'!$AD$2&amp;"*Zone People Number Of Occupants [](Hourly)",'Eplus results'!$1:$1048576,ROW(),FALSE)</f>
        <v>0</v>
      </c>
      <c r="AC6782" s="580">
        <f>HLOOKUP("*"&amp;'Output annual'!$AC$2&amp;'Output annual'!$AD$2&amp;"*FangerPMV(Hourly)",'Eplus results'!$1:$1048576,ROW(),FALSE)</f>
        <v>0</v>
      </c>
      <c r="AD6782" s="580">
        <f t="shared" si="561"/>
        <v>5</v>
      </c>
      <c r="AE6782" s="580">
        <f t="shared" si="562"/>
        <v>2.5</v>
      </c>
      <c r="AF6782" s="580">
        <f t="shared" si="563"/>
        <v>2.5</v>
      </c>
      <c r="AG6782" s="580">
        <f t="shared" si="564"/>
        <v>0</v>
      </c>
      <c r="AH6782" s="580">
        <f t="shared" si="565"/>
        <v>0</v>
      </c>
    </row>
    <row r="6783" spans="28:34">
      <c r="AB6783" s="580">
        <f>HLOOKUP("*"&amp;'Output annual'!$AC$2&amp;'Output annual'!$AD$2&amp;"*Zone People Number Of Occupants [](Hourly)",'Eplus results'!$1:$1048576,ROW(),FALSE)</f>
        <v>0</v>
      </c>
      <c r="AC6783" s="580">
        <f>HLOOKUP("*"&amp;'Output annual'!$AC$2&amp;'Output annual'!$AD$2&amp;"*FangerPMV(Hourly)",'Eplus results'!$1:$1048576,ROW(),FALSE)</f>
        <v>0</v>
      </c>
      <c r="AD6783" s="580">
        <f t="shared" si="561"/>
        <v>5</v>
      </c>
      <c r="AE6783" s="580">
        <f t="shared" si="562"/>
        <v>2.5</v>
      </c>
      <c r="AF6783" s="580">
        <f t="shared" si="563"/>
        <v>2.5</v>
      </c>
      <c r="AG6783" s="580">
        <f t="shared" si="564"/>
        <v>0</v>
      </c>
      <c r="AH6783" s="580">
        <f t="shared" si="565"/>
        <v>0</v>
      </c>
    </row>
    <row r="6784" spans="28:34">
      <c r="AB6784" s="580">
        <f>HLOOKUP("*"&amp;'Output annual'!$AC$2&amp;'Output annual'!$AD$2&amp;"*Zone People Number Of Occupants [](Hourly)",'Eplus results'!$1:$1048576,ROW(),FALSE)</f>
        <v>0</v>
      </c>
      <c r="AC6784" s="580">
        <f>HLOOKUP("*"&amp;'Output annual'!$AC$2&amp;'Output annual'!$AD$2&amp;"*FangerPMV(Hourly)",'Eplus results'!$1:$1048576,ROW(),FALSE)</f>
        <v>0</v>
      </c>
      <c r="AD6784" s="580">
        <f t="shared" si="561"/>
        <v>5</v>
      </c>
      <c r="AE6784" s="580">
        <f t="shared" si="562"/>
        <v>2.5</v>
      </c>
      <c r="AF6784" s="580">
        <f t="shared" si="563"/>
        <v>2.5</v>
      </c>
      <c r="AG6784" s="580">
        <f t="shared" si="564"/>
        <v>0</v>
      </c>
      <c r="AH6784" s="580">
        <f t="shared" si="565"/>
        <v>0</v>
      </c>
    </row>
    <row r="6785" spans="28:34">
      <c r="AB6785" s="580">
        <f>HLOOKUP("*"&amp;'Output annual'!$AC$2&amp;'Output annual'!$AD$2&amp;"*Zone People Number Of Occupants [](Hourly)",'Eplus results'!$1:$1048576,ROW(),FALSE)</f>
        <v>0</v>
      </c>
      <c r="AC6785" s="580">
        <f>HLOOKUP("*"&amp;'Output annual'!$AC$2&amp;'Output annual'!$AD$2&amp;"*FangerPMV(Hourly)",'Eplus results'!$1:$1048576,ROW(),FALSE)</f>
        <v>0</v>
      </c>
      <c r="AD6785" s="580">
        <f t="shared" si="561"/>
        <v>5</v>
      </c>
      <c r="AE6785" s="580">
        <f t="shared" si="562"/>
        <v>2.5</v>
      </c>
      <c r="AF6785" s="580">
        <f t="shared" si="563"/>
        <v>2.5</v>
      </c>
      <c r="AG6785" s="580">
        <f t="shared" si="564"/>
        <v>0</v>
      </c>
      <c r="AH6785" s="580">
        <f t="shared" si="565"/>
        <v>0</v>
      </c>
    </row>
    <row r="6786" spans="28:34">
      <c r="AB6786" s="580">
        <f>HLOOKUP("*"&amp;'Output annual'!$AC$2&amp;'Output annual'!$AD$2&amp;"*Zone People Number Of Occupants [](Hourly)",'Eplus results'!$1:$1048576,ROW(),FALSE)</f>
        <v>0</v>
      </c>
      <c r="AC6786" s="580">
        <f>HLOOKUP("*"&amp;'Output annual'!$AC$2&amp;'Output annual'!$AD$2&amp;"*FangerPMV(Hourly)",'Eplus results'!$1:$1048576,ROW(),FALSE)</f>
        <v>0</v>
      </c>
      <c r="AD6786" s="580">
        <f t="shared" si="561"/>
        <v>5</v>
      </c>
      <c r="AE6786" s="580">
        <f t="shared" si="562"/>
        <v>2.5</v>
      </c>
      <c r="AF6786" s="580">
        <f t="shared" si="563"/>
        <v>2.5</v>
      </c>
      <c r="AG6786" s="580">
        <f t="shared" si="564"/>
        <v>0</v>
      </c>
      <c r="AH6786" s="580">
        <f t="shared" si="565"/>
        <v>0</v>
      </c>
    </row>
    <row r="6787" spans="28:34">
      <c r="AB6787" s="580">
        <f>HLOOKUP("*"&amp;'Output annual'!$AC$2&amp;'Output annual'!$AD$2&amp;"*Zone People Number Of Occupants [](Hourly)",'Eplus results'!$1:$1048576,ROW(),FALSE)</f>
        <v>0</v>
      </c>
      <c r="AC6787" s="580">
        <f>HLOOKUP("*"&amp;'Output annual'!$AC$2&amp;'Output annual'!$AD$2&amp;"*FangerPMV(Hourly)",'Eplus results'!$1:$1048576,ROW(),FALSE)</f>
        <v>0</v>
      </c>
      <c r="AD6787" s="580">
        <f t="shared" ref="AD6787:AD6850" si="566">100-95*EXP(-0.03353*AC6787^4-0.2179*AC6787^2)</f>
        <v>5</v>
      </c>
      <c r="AE6787" s="580">
        <f t="shared" ref="AE6787:AE6850" si="567">AD6787*(1/(1+EXP(-6.3*$AC6787)))</f>
        <v>2.5</v>
      </c>
      <c r="AF6787" s="580">
        <f t="shared" ref="AF6787:AF6850" si="568">(AD6787-AE6787)</f>
        <v>2.5</v>
      </c>
      <c r="AG6787" s="580">
        <f t="shared" ref="AG6787:AG6850" si="569">AE6787*AB6787</f>
        <v>0</v>
      </c>
      <c r="AH6787" s="580">
        <f t="shared" ref="AH6787:AH6850" si="570">AF6787*AB6787</f>
        <v>0</v>
      </c>
    </row>
    <row r="6788" spans="28:34">
      <c r="AB6788" s="580">
        <f>HLOOKUP("*"&amp;'Output annual'!$AC$2&amp;'Output annual'!$AD$2&amp;"*Zone People Number Of Occupants [](Hourly)",'Eplus results'!$1:$1048576,ROW(),FALSE)</f>
        <v>0</v>
      </c>
      <c r="AC6788" s="580">
        <f>HLOOKUP("*"&amp;'Output annual'!$AC$2&amp;'Output annual'!$AD$2&amp;"*FangerPMV(Hourly)",'Eplus results'!$1:$1048576,ROW(),FALSE)</f>
        <v>0</v>
      </c>
      <c r="AD6788" s="580">
        <f t="shared" si="566"/>
        <v>5</v>
      </c>
      <c r="AE6788" s="580">
        <f t="shared" si="567"/>
        <v>2.5</v>
      </c>
      <c r="AF6788" s="580">
        <f t="shared" si="568"/>
        <v>2.5</v>
      </c>
      <c r="AG6788" s="580">
        <f t="shared" si="569"/>
        <v>0</v>
      </c>
      <c r="AH6788" s="580">
        <f t="shared" si="570"/>
        <v>0</v>
      </c>
    </row>
    <row r="6789" spans="28:34">
      <c r="AB6789" s="580">
        <f>HLOOKUP("*"&amp;'Output annual'!$AC$2&amp;'Output annual'!$AD$2&amp;"*Zone People Number Of Occupants [](Hourly)",'Eplus results'!$1:$1048576,ROW(),FALSE)</f>
        <v>0</v>
      </c>
      <c r="AC6789" s="580">
        <f>HLOOKUP("*"&amp;'Output annual'!$AC$2&amp;'Output annual'!$AD$2&amp;"*FangerPMV(Hourly)",'Eplus results'!$1:$1048576,ROW(),FALSE)</f>
        <v>0</v>
      </c>
      <c r="AD6789" s="580">
        <f t="shared" si="566"/>
        <v>5</v>
      </c>
      <c r="AE6789" s="580">
        <f t="shared" si="567"/>
        <v>2.5</v>
      </c>
      <c r="AF6789" s="580">
        <f t="shared" si="568"/>
        <v>2.5</v>
      </c>
      <c r="AG6789" s="580">
        <f t="shared" si="569"/>
        <v>0</v>
      </c>
      <c r="AH6789" s="580">
        <f t="shared" si="570"/>
        <v>0</v>
      </c>
    </row>
    <row r="6790" spans="28:34">
      <c r="AB6790" s="580">
        <f>HLOOKUP("*"&amp;'Output annual'!$AC$2&amp;'Output annual'!$AD$2&amp;"*Zone People Number Of Occupants [](Hourly)",'Eplus results'!$1:$1048576,ROW(),FALSE)</f>
        <v>0</v>
      </c>
      <c r="AC6790" s="580">
        <f>HLOOKUP("*"&amp;'Output annual'!$AC$2&amp;'Output annual'!$AD$2&amp;"*FangerPMV(Hourly)",'Eplus results'!$1:$1048576,ROW(),FALSE)</f>
        <v>0</v>
      </c>
      <c r="AD6790" s="580">
        <f t="shared" si="566"/>
        <v>5</v>
      </c>
      <c r="AE6790" s="580">
        <f t="shared" si="567"/>
        <v>2.5</v>
      </c>
      <c r="AF6790" s="580">
        <f t="shared" si="568"/>
        <v>2.5</v>
      </c>
      <c r="AG6790" s="580">
        <f t="shared" si="569"/>
        <v>0</v>
      </c>
      <c r="AH6790" s="580">
        <f t="shared" si="570"/>
        <v>0</v>
      </c>
    </row>
    <row r="6791" spans="28:34">
      <c r="AB6791" s="580">
        <f>HLOOKUP("*"&amp;'Output annual'!$AC$2&amp;'Output annual'!$AD$2&amp;"*Zone People Number Of Occupants [](Hourly)",'Eplus results'!$1:$1048576,ROW(),FALSE)</f>
        <v>0</v>
      </c>
      <c r="AC6791" s="580">
        <f>HLOOKUP("*"&amp;'Output annual'!$AC$2&amp;'Output annual'!$AD$2&amp;"*FangerPMV(Hourly)",'Eplus results'!$1:$1048576,ROW(),FALSE)</f>
        <v>0</v>
      </c>
      <c r="AD6791" s="580">
        <f t="shared" si="566"/>
        <v>5</v>
      </c>
      <c r="AE6791" s="580">
        <f t="shared" si="567"/>
        <v>2.5</v>
      </c>
      <c r="AF6791" s="580">
        <f t="shared" si="568"/>
        <v>2.5</v>
      </c>
      <c r="AG6791" s="580">
        <f t="shared" si="569"/>
        <v>0</v>
      </c>
      <c r="AH6791" s="580">
        <f t="shared" si="570"/>
        <v>0</v>
      </c>
    </row>
    <row r="6792" spans="28:34">
      <c r="AB6792" s="580">
        <f>HLOOKUP("*"&amp;'Output annual'!$AC$2&amp;'Output annual'!$AD$2&amp;"*Zone People Number Of Occupants [](Hourly)",'Eplus results'!$1:$1048576,ROW(),FALSE)</f>
        <v>0</v>
      </c>
      <c r="AC6792" s="580">
        <f>HLOOKUP("*"&amp;'Output annual'!$AC$2&amp;'Output annual'!$AD$2&amp;"*FangerPMV(Hourly)",'Eplus results'!$1:$1048576,ROW(),FALSE)</f>
        <v>0</v>
      </c>
      <c r="AD6792" s="580">
        <f t="shared" si="566"/>
        <v>5</v>
      </c>
      <c r="AE6792" s="580">
        <f t="shared" si="567"/>
        <v>2.5</v>
      </c>
      <c r="AF6792" s="580">
        <f t="shared" si="568"/>
        <v>2.5</v>
      </c>
      <c r="AG6792" s="580">
        <f t="shared" si="569"/>
        <v>0</v>
      </c>
      <c r="AH6792" s="580">
        <f t="shared" si="570"/>
        <v>0</v>
      </c>
    </row>
    <row r="6793" spans="28:34">
      <c r="AB6793" s="580">
        <f>HLOOKUP("*"&amp;'Output annual'!$AC$2&amp;'Output annual'!$AD$2&amp;"*Zone People Number Of Occupants [](Hourly)",'Eplus results'!$1:$1048576,ROW(),FALSE)</f>
        <v>0</v>
      </c>
      <c r="AC6793" s="580">
        <f>HLOOKUP("*"&amp;'Output annual'!$AC$2&amp;'Output annual'!$AD$2&amp;"*FangerPMV(Hourly)",'Eplus results'!$1:$1048576,ROW(),FALSE)</f>
        <v>0</v>
      </c>
      <c r="AD6793" s="580">
        <f t="shared" si="566"/>
        <v>5</v>
      </c>
      <c r="AE6793" s="580">
        <f t="shared" si="567"/>
        <v>2.5</v>
      </c>
      <c r="AF6793" s="580">
        <f t="shared" si="568"/>
        <v>2.5</v>
      </c>
      <c r="AG6793" s="580">
        <f t="shared" si="569"/>
        <v>0</v>
      </c>
      <c r="AH6793" s="580">
        <f t="shared" si="570"/>
        <v>0</v>
      </c>
    </row>
    <row r="6794" spans="28:34">
      <c r="AB6794" s="580">
        <f>HLOOKUP("*"&amp;'Output annual'!$AC$2&amp;'Output annual'!$AD$2&amp;"*Zone People Number Of Occupants [](Hourly)",'Eplus results'!$1:$1048576,ROW(),FALSE)</f>
        <v>0</v>
      </c>
      <c r="AC6794" s="580">
        <f>HLOOKUP("*"&amp;'Output annual'!$AC$2&amp;'Output annual'!$AD$2&amp;"*FangerPMV(Hourly)",'Eplus results'!$1:$1048576,ROW(),FALSE)</f>
        <v>0</v>
      </c>
      <c r="AD6794" s="580">
        <f t="shared" si="566"/>
        <v>5</v>
      </c>
      <c r="AE6794" s="580">
        <f t="shared" si="567"/>
        <v>2.5</v>
      </c>
      <c r="AF6794" s="580">
        <f t="shared" si="568"/>
        <v>2.5</v>
      </c>
      <c r="AG6794" s="580">
        <f t="shared" si="569"/>
        <v>0</v>
      </c>
      <c r="AH6794" s="580">
        <f t="shared" si="570"/>
        <v>0</v>
      </c>
    </row>
    <row r="6795" spans="28:34">
      <c r="AB6795" s="580">
        <f>HLOOKUP("*"&amp;'Output annual'!$AC$2&amp;'Output annual'!$AD$2&amp;"*Zone People Number Of Occupants [](Hourly)",'Eplus results'!$1:$1048576,ROW(),FALSE)</f>
        <v>0</v>
      </c>
      <c r="AC6795" s="580">
        <f>HLOOKUP("*"&amp;'Output annual'!$AC$2&amp;'Output annual'!$AD$2&amp;"*FangerPMV(Hourly)",'Eplus results'!$1:$1048576,ROW(),FALSE)</f>
        <v>0</v>
      </c>
      <c r="AD6795" s="580">
        <f t="shared" si="566"/>
        <v>5</v>
      </c>
      <c r="AE6795" s="580">
        <f t="shared" si="567"/>
        <v>2.5</v>
      </c>
      <c r="AF6795" s="580">
        <f t="shared" si="568"/>
        <v>2.5</v>
      </c>
      <c r="AG6795" s="580">
        <f t="shared" si="569"/>
        <v>0</v>
      </c>
      <c r="AH6795" s="580">
        <f t="shared" si="570"/>
        <v>0</v>
      </c>
    </row>
    <row r="6796" spans="28:34">
      <c r="AB6796" s="580">
        <f>HLOOKUP("*"&amp;'Output annual'!$AC$2&amp;'Output annual'!$AD$2&amp;"*Zone People Number Of Occupants [](Hourly)",'Eplus results'!$1:$1048576,ROW(),FALSE)</f>
        <v>0</v>
      </c>
      <c r="AC6796" s="580">
        <f>HLOOKUP("*"&amp;'Output annual'!$AC$2&amp;'Output annual'!$AD$2&amp;"*FangerPMV(Hourly)",'Eplus results'!$1:$1048576,ROW(),FALSE)</f>
        <v>0</v>
      </c>
      <c r="AD6796" s="580">
        <f t="shared" si="566"/>
        <v>5</v>
      </c>
      <c r="AE6796" s="580">
        <f t="shared" si="567"/>
        <v>2.5</v>
      </c>
      <c r="AF6796" s="580">
        <f t="shared" si="568"/>
        <v>2.5</v>
      </c>
      <c r="AG6796" s="580">
        <f t="shared" si="569"/>
        <v>0</v>
      </c>
      <c r="AH6796" s="580">
        <f t="shared" si="570"/>
        <v>0</v>
      </c>
    </row>
    <row r="6797" spans="28:34">
      <c r="AB6797" s="580">
        <f>HLOOKUP("*"&amp;'Output annual'!$AC$2&amp;'Output annual'!$AD$2&amp;"*Zone People Number Of Occupants [](Hourly)",'Eplus results'!$1:$1048576,ROW(),FALSE)</f>
        <v>0</v>
      </c>
      <c r="AC6797" s="580">
        <f>HLOOKUP("*"&amp;'Output annual'!$AC$2&amp;'Output annual'!$AD$2&amp;"*FangerPMV(Hourly)",'Eplus results'!$1:$1048576,ROW(),FALSE)</f>
        <v>0</v>
      </c>
      <c r="AD6797" s="580">
        <f t="shared" si="566"/>
        <v>5</v>
      </c>
      <c r="AE6797" s="580">
        <f t="shared" si="567"/>
        <v>2.5</v>
      </c>
      <c r="AF6797" s="580">
        <f t="shared" si="568"/>
        <v>2.5</v>
      </c>
      <c r="AG6797" s="580">
        <f t="shared" si="569"/>
        <v>0</v>
      </c>
      <c r="AH6797" s="580">
        <f t="shared" si="570"/>
        <v>0</v>
      </c>
    </row>
    <row r="6798" spans="28:34">
      <c r="AB6798" s="580">
        <f>HLOOKUP("*"&amp;'Output annual'!$AC$2&amp;'Output annual'!$AD$2&amp;"*Zone People Number Of Occupants [](Hourly)",'Eplus results'!$1:$1048576,ROW(),FALSE)</f>
        <v>0</v>
      </c>
      <c r="AC6798" s="580">
        <f>HLOOKUP("*"&amp;'Output annual'!$AC$2&amp;'Output annual'!$AD$2&amp;"*FangerPMV(Hourly)",'Eplus results'!$1:$1048576,ROW(),FALSE)</f>
        <v>0</v>
      </c>
      <c r="AD6798" s="580">
        <f t="shared" si="566"/>
        <v>5</v>
      </c>
      <c r="AE6798" s="580">
        <f t="shared" si="567"/>
        <v>2.5</v>
      </c>
      <c r="AF6798" s="580">
        <f t="shared" si="568"/>
        <v>2.5</v>
      </c>
      <c r="AG6798" s="580">
        <f t="shared" si="569"/>
        <v>0</v>
      </c>
      <c r="AH6798" s="580">
        <f t="shared" si="570"/>
        <v>0</v>
      </c>
    </row>
    <row r="6799" spans="28:34">
      <c r="AB6799" s="580">
        <f>HLOOKUP("*"&amp;'Output annual'!$AC$2&amp;'Output annual'!$AD$2&amp;"*Zone People Number Of Occupants [](Hourly)",'Eplus results'!$1:$1048576,ROW(),FALSE)</f>
        <v>0</v>
      </c>
      <c r="AC6799" s="580">
        <f>HLOOKUP("*"&amp;'Output annual'!$AC$2&amp;'Output annual'!$AD$2&amp;"*FangerPMV(Hourly)",'Eplus results'!$1:$1048576,ROW(),FALSE)</f>
        <v>0</v>
      </c>
      <c r="AD6799" s="580">
        <f t="shared" si="566"/>
        <v>5</v>
      </c>
      <c r="AE6799" s="580">
        <f t="shared" si="567"/>
        <v>2.5</v>
      </c>
      <c r="AF6799" s="580">
        <f t="shared" si="568"/>
        <v>2.5</v>
      </c>
      <c r="AG6799" s="580">
        <f t="shared" si="569"/>
        <v>0</v>
      </c>
      <c r="AH6799" s="580">
        <f t="shared" si="570"/>
        <v>0</v>
      </c>
    </row>
    <row r="6800" spans="28:34">
      <c r="AB6800" s="580">
        <f>HLOOKUP("*"&amp;'Output annual'!$AC$2&amp;'Output annual'!$AD$2&amp;"*Zone People Number Of Occupants [](Hourly)",'Eplus results'!$1:$1048576,ROW(),FALSE)</f>
        <v>0</v>
      </c>
      <c r="AC6800" s="580">
        <f>HLOOKUP("*"&amp;'Output annual'!$AC$2&amp;'Output annual'!$AD$2&amp;"*FangerPMV(Hourly)",'Eplus results'!$1:$1048576,ROW(),FALSE)</f>
        <v>0</v>
      </c>
      <c r="AD6800" s="580">
        <f t="shared" si="566"/>
        <v>5</v>
      </c>
      <c r="AE6800" s="580">
        <f t="shared" si="567"/>
        <v>2.5</v>
      </c>
      <c r="AF6800" s="580">
        <f t="shared" si="568"/>
        <v>2.5</v>
      </c>
      <c r="AG6800" s="580">
        <f t="shared" si="569"/>
        <v>0</v>
      </c>
      <c r="AH6800" s="580">
        <f t="shared" si="570"/>
        <v>0</v>
      </c>
    </row>
    <row r="6801" spans="28:34">
      <c r="AB6801" s="580">
        <f>HLOOKUP("*"&amp;'Output annual'!$AC$2&amp;'Output annual'!$AD$2&amp;"*Zone People Number Of Occupants [](Hourly)",'Eplus results'!$1:$1048576,ROW(),FALSE)</f>
        <v>0</v>
      </c>
      <c r="AC6801" s="580">
        <f>HLOOKUP("*"&amp;'Output annual'!$AC$2&amp;'Output annual'!$AD$2&amp;"*FangerPMV(Hourly)",'Eplus results'!$1:$1048576,ROW(),FALSE)</f>
        <v>0</v>
      </c>
      <c r="AD6801" s="580">
        <f t="shared" si="566"/>
        <v>5</v>
      </c>
      <c r="AE6801" s="580">
        <f t="shared" si="567"/>
        <v>2.5</v>
      </c>
      <c r="AF6801" s="580">
        <f t="shared" si="568"/>
        <v>2.5</v>
      </c>
      <c r="AG6801" s="580">
        <f t="shared" si="569"/>
        <v>0</v>
      </c>
      <c r="AH6801" s="580">
        <f t="shared" si="570"/>
        <v>0</v>
      </c>
    </row>
    <row r="6802" spans="28:34">
      <c r="AB6802" s="580">
        <f>HLOOKUP("*"&amp;'Output annual'!$AC$2&amp;'Output annual'!$AD$2&amp;"*Zone People Number Of Occupants [](Hourly)",'Eplus results'!$1:$1048576,ROW(),FALSE)</f>
        <v>0</v>
      </c>
      <c r="AC6802" s="580">
        <f>HLOOKUP("*"&amp;'Output annual'!$AC$2&amp;'Output annual'!$AD$2&amp;"*FangerPMV(Hourly)",'Eplus results'!$1:$1048576,ROW(),FALSE)</f>
        <v>0</v>
      </c>
      <c r="AD6802" s="580">
        <f t="shared" si="566"/>
        <v>5</v>
      </c>
      <c r="AE6802" s="580">
        <f t="shared" si="567"/>
        <v>2.5</v>
      </c>
      <c r="AF6802" s="580">
        <f t="shared" si="568"/>
        <v>2.5</v>
      </c>
      <c r="AG6802" s="580">
        <f t="shared" si="569"/>
        <v>0</v>
      </c>
      <c r="AH6802" s="580">
        <f t="shared" si="570"/>
        <v>0</v>
      </c>
    </row>
    <row r="6803" spans="28:34">
      <c r="AB6803" s="580">
        <f>HLOOKUP("*"&amp;'Output annual'!$AC$2&amp;'Output annual'!$AD$2&amp;"*Zone People Number Of Occupants [](Hourly)",'Eplus results'!$1:$1048576,ROW(),FALSE)</f>
        <v>0</v>
      </c>
      <c r="AC6803" s="580">
        <f>HLOOKUP("*"&amp;'Output annual'!$AC$2&amp;'Output annual'!$AD$2&amp;"*FangerPMV(Hourly)",'Eplus results'!$1:$1048576,ROW(),FALSE)</f>
        <v>0</v>
      </c>
      <c r="AD6803" s="580">
        <f t="shared" si="566"/>
        <v>5</v>
      </c>
      <c r="AE6803" s="580">
        <f t="shared" si="567"/>
        <v>2.5</v>
      </c>
      <c r="AF6803" s="580">
        <f t="shared" si="568"/>
        <v>2.5</v>
      </c>
      <c r="AG6803" s="580">
        <f t="shared" si="569"/>
        <v>0</v>
      </c>
      <c r="AH6803" s="580">
        <f t="shared" si="570"/>
        <v>0</v>
      </c>
    </row>
    <row r="6804" spans="28:34">
      <c r="AB6804" s="580">
        <f>HLOOKUP("*"&amp;'Output annual'!$AC$2&amp;'Output annual'!$AD$2&amp;"*Zone People Number Of Occupants [](Hourly)",'Eplus results'!$1:$1048576,ROW(),FALSE)</f>
        <v>0</v>
      </c>
      <c r="AC6804" s="580">
        <f>HLOOKUP("*"&amp;'Output annual'!$AC$2&amp;'Output annual'!$AD$2&amp;"*FangerPMV(Hourly)",'Eplus results'!$1:$1048576,ROW(),FALSE)</f>
        <v>0</v>
      </c>
      <c r="AD6804" s="580">
        <f t="shared" si="566"/>
        <v>5</v>
      </c>
      <c r="AE6804" s="580">
        <f t="shared" si="567"/>
        <v>2.5</v>
      </c>
      <c r="AF6804" s="580">
        <f t="shared" si="568"/>
        <v>2.5</v>
      </c>
      <c r="AG6804" s="580">
        <f t="shared" si="569"/>
        <v>0</v>
      </c>
      <c r="AH6804" s="580">
        <f t="shared" si="570"/>
        <v>0</v>
      </c>
    </row>
    <row r="6805" spans="28:34">
      <c r="AB6805" s="580">
        <f>HLOOKUP("*"&amp;'Output annual'!$AC$2&amp;'Output annual'!$AD$2&amp;"*Zone People Number Of Occupants [](Hourly)",'Eplus results'!$1:$1048576,ROW(),FALSE)</f>
        <v>0</v>
      </c>
      <c r="AC6805" s="580">
        <f>HLOOKUP("*"&amp;'Output annual'!$AC$2&amp;'Output annual'!$AD$2&amp;"*FangerPMV(Hourly)",'Eplus results'!$1:$1048576,ROW(),FALSE)</f>
        <v>0</v>
      </c>
      <c r="AD6805" s="580">
        <f t="shared" si="566"/>
        <v>5</v>
      </c>
      <c r="AE6805" s="580">
        <f t="shared" si="567"/>
        <v>2.5</v>
      </c>
      <c r="AF6805" s="580">
        <f t="shared" si="568"/>
        <v>2.5</v>
      </c>
      <c r="AG6805" s="580">
        <f t="shared" si="569"/>
        <v>0</v>
      </c>
      <c r="AH6805" s="580">
        <f t="shared" si="570"/>
        <v>0</v>
      </c>
    </row>
    <row r="6806" spans="28:34">
      <c r="AB6806" s="580">
        <f>HLOOKUP("*"&amp;'Output annual'!$AC$2&amp;'Output annual'!$AD$2&amp;"*Zone People Number Of Occupants [](Hourly)",'Eplus results'!$1:$1048576,ROW(),FALSE)</f>
        <v>0</v>
      </c>
      <c r="AC6806" s="580">
        <f>HLOOKUP("*"&amp;'Output annual'!$AC$2&amp;'Output annual'!$AD$2&amp;"*FangerPMV(Hourly)",'Eplus results'!$1:$1048576,ROW(),FALSE)</f>
        <v>0</v>
      </c>
      <c r="AD6806" s="580">
        <f t="shared" si="566"/>
        <v>5</v>
      </c>
      <c r="AE6806" s="580">
        <f t="shared" si="567"/>
        <v>2.5</v>
      </c>
      <c r="AF6806" s="580">
        <f t="shared" si="568"/>
        <v>2.5</v>
      </c>
      <c r="AG6806" s="580">
        <f t="shared" si="569"/>
        <v>0</v>
      </c>
      <c r="AH6806" s="580">
        <f t="shared" si="570"/>
        <v>0</v>
      </c>
    </row>
    <row r="6807" spans="28:34">
      <c r="AB6807" s="580">
        <f>HLOOKUP("*"&amp;'Output annual'!$AC$2&amp;'Output annual'!$AD$2&amp;"*Zone People Number Of Occupants [](Hourly)",'Eplus results'!$1:$1048576,ROW(),FALSE)</f>
        <v>0</v>
      </c>
      <c r="AC6807" s="580">
        <f>HLOOKUP("*"&amp;'Output annual'!$AC$2&amp;'Output annual'!$AD$2&amp;"*FangerPMV(Hourly)",'Eplus results'!$1:$1048576,ROW(),FALSE)</f>
        <v>0</v>
      </c>
      <c r="AD6807" s="580">
        <f t="shared" si="566"/>
        <v>5</v>
      </c>
      <c r="AE6807" s="580">
        <f t="shared" si="567"/>
        <v>2.5</v>
      </c>
      <c r="AF6807" s="580">
        <f t="shared" si="568"/>
        <v>2.5</v>
      </c>
      <c r="AG6807" s="580">
        <f t="shared" si="569"/>
        <v>0</v>
      </c>
      <c r="AH6807" s="580">
        <f t="shared" si="570"/>
        <v>0</v>
      </c>
    </row>
    <row r="6808" spans="28:34">
      <c r="AB6808" s="580">
        <f>HLOOKUP("*"&amp;'Output annual'!$AC$2&amp;'Output annual'!$AD$2&amp;"*Zone People Number Of Occupants [](Hourly)",'Eplus results'!$1:$1048576,ROW(),FALSE)</f>
        <v>0</v>
      </c>
      <c r="AC6808" s="580">
        <f>HLOOKUP("*"&amp;'Output annual'!$AC$2&amp;'Output annual'!$AD$2&amp;"*FangerPMV(Hourly)",'Eplus results'!$1:$1048576,ROW(),FALSE)</f>
        <v>0</v>
      </c>
      <c r="AD6808" s="580">
        <f t="shared" si="566"/>
        <v>5</v>
      </c>
      <c r="AE6808" s="580">
        <f t="shared" si="567"/>
        <v>2.5</v>
      </c>
      <c r="AF6808" s="580">
        <f t="shared" si="568"/>
        <v>2.5</v>
      </c>
      <c r="AG6808" s="580">
        <f t="shared" si="569"/>
        <v>0</v>
      </c>
      <c r="AH6808" s="580">
        <f t="shared" si="570"/>
        <v>0</v>
      </c>
    </row>
    <row r="6809" spans="28:34">
      <c r="AB6809" s="580">
        <f>HLOOKUP("*"&amp;'Output annual'!$AC$2&amp;'Output annual'!$AD$2&amp;"*Zone People Number Of Occupants [](Hourly)",'Eplus results'!$1:$1048576,ROW(),FALSE)</f>
        <v>0</v>
      </c>
      <c r="AC6809" s="580">
        <f>HLOOKUP("*"&amp;'Output annual'!$AC$2&amp;'Output annual'!$AD$2&amp;"*FangerPMV(Hourly)",'Eplus results'!$1:$1048576,ROW(),FALSE)</f>
        <v>0</v>
      </c>
      <c r="AD6809" s="580">
        <f t="shared" si="566"/>
        <v>5</v>
      </c>
      <c r="AE6809" s="580">
        <f t="shared" si="567"/>
        <v>2.5</v>
      </c>
      <c r="AF6809" s="580">
        <f t="shared" si="568"/>
        <v>2.5</v>
      </c>
      <c r="AG6809" s="580">
        <f t="shared" si="569"/>
        <v>0</v>
      </c>
      <c r="AH6809" s="580">
        <f t="shared" si="570"/>
        <v>0</v>
      </c>
    </row>
    <row r="6810" spans="28:34">
      <c r="AB6810" s="580">
        <f>HLOOKUP("*"&amp;'Output annual'!$AC$2&amp;'Output annual'!$AD$2&amp;"*Zone People Number Of Occupants [](Hourly)",'Eplus results'!$1:$1048576,ROW(),FALSE)</f>
        <v>0</v>
      </c>
      <c r="AC6810" s="580">
        <f>HLOOKUP("*"&amp;'Output annual'!$AC$2&amp;'Output annual'!$AD$2&amp;"*FangerPMV(Hourly)",'Eplus results'!$1:$1048576,ROW(),FALSE)</f>
        <v>0</v>
      </c>
      <c r="AD6810" s="580">
        <f t="shared" si="566"/>
        <v>5</v>
      </c>
      <c r="AE6810" s="580">
        <f t="shared" si="567"/>
        <v>2.5</v>
      </c>
      <c r="AF6810" s="580">
        <f t="shared" si="568"/>
        <v>2.5</v>
      </c>
      <c r="AG6810" s="580">
        <f t="shared" si="569"/>
        <v>0</v>
      </c>
      <c r="AH6810" s="580">
        <f t="shared" si="570"/>
        <v>0</v>
      </c>
    </row>
    <row r="6811" spans="28:34">
      <c r="AB6811" s="580">
        <f>HLOOKUP("*"&amp;'Output annual'!$AC$2&amp;'Output annual'!$AD$2&amp;"*Zone People Number Of Occupants [](Hourly)",'Eplus results'!$1:$1048576,ROW(),FALSE)</f>
        <v>0</v>
      </c>
      <c r="AC6811" s="580">
        <f>HLOOKUP("*"&amp;'Output annual'!$AC$2&amp;'Output annual'!$AD$2&amp;"*FangerPMV(Hourly)",'Eplus results'!$1:$1048576,ROW(),FALSE)</f>
        <v>0</v>
      </c>
      <c r="AD6811" s="580">
        <f t="shared" si="566"/>
        <v>5</v>
      </c>
      <c r="AE6811" s="580">
        <f t="shared" si="567"/>
        <v>2.5</v>
      </c>
      <c r="AF6811" s="580">
        <f t="shared" si="568"/>
        <v>2.5</v>
      </c>
      <c r="AG6811" s="580">
        <f t="shared" si="569"/>
        <v>0</v>
      </c>
      <c r="AH6811" s="580">
        <f t="shared" si="570"/>
        <v>0</v>
      </c>
    </row>
    <row r="6812" spans="28:34">
      <c r="AB6812" s="580">
        <f>HLOOKUP("*"&amp;'Output annual'!$AC$2&amp;'Output annual'!$AD$2&amp;"*Zone People Number Of Occupants [](Hourly)",'Eplus results'!$1:$1048576,ROW(),FALSE)</f>
        <v>0</v>
      </c>
      <c r="AC6812" s="580">
        <f>HLOOKUP("*"&amp;'Output annual'!$AC$2&amp;'Output annual'!$AD$2&amp;"*FangerPMV(Hourly)",'Eplus results'!$1:$1048576,ROW(),FALSE)</f>
        <v>0</v>
      </c>
      <c r="AD6812" s="580">
        <f t="shared" si="566"/>
        <v>5</v>
      </c>
      <c r="AE6812" s="580">
        <f t="shared" si="567"/>
        <v>2.5</v>
      </c>
      <c r="AF6812" s="580">
        <f t="shared" si="568"/>
        <v>2.5</v>
      </c>
      <c r="AG6812" s="580">
        <f t="shared" si="569"/>
        <v>0</v>
      </c>
      <c r="AH6812" s="580">
        <f t="shared" si="570"/>
        <v>0</v>
      </c>
    </row>
    <row r="6813" spans="28:34">
      <c r="AB6813" s="580">
        <f>HLOOKUP("*"&amp;'Output annual'!$AC$2&amp;'Output annual'!$AD$2&amp;"*Zone People Number Of Occupants [](Hourly)",'Eplus results'!$1:$1048576,ROW(),FALSE)</f>
        <v>0</v>
      </c>
      <c r="AC6813" s="580">
        <f>HLOOKUP("*"&amp;'Output annual'!$AC$2&amp;'Output annual'!$AD$2&amp;"*FangerPMV(Hourly)",'Eplus results'!$1:$1048576,ROW(),FALSE)</f>
        <v>0</v>
      </c>
      <c r="AD6813" s="580">
        <f t="shared" si="566"/>
        <v>5</v>
      </c>
      <c r="AE6813" s="580">
        <f t="shared" si="567"/>
        <v>2.5</v>
      </c>
      <c r="AF6813" s="580">
        <f t="shared" si="568"/>
        <v>2.5</v>
      </c>
      <c r="AG6813" s="580">
        <f t="shared" si="569"/>
        <v>0</v>
      </c>
      <c r="AH6813" s="580">
        <f t="shared" si="570"/>
        <v>0</v>
      </c>
    </row>
    <row r="6814" spans="28:34">
      <c r="AB6814" s="580">
        <f>HLOOKUP("*"&amp;'Output annual'!$AC$2&amp;'Output annual'!$AD$2&amp;"*Zone People Number Of Occupants [](Hourly)",'Eplus results'!$1:$1048576,ROW(),FALSE)</f>
        <v>0</v>
      </c>
      <c r="AC6814" s="580">
        <f>HLOOKUP("*"&amp;'Output annual'!$AC$2&amp;'Output annual'!$AD$2&amp;"*FangerPMV(Hourly)",'Eplus results'!$1:$1048576,ROW(),FALSE)</f>
        <v>0</v>
      </c>
      <c r="AD6814" s="580">
        <f t="shared" si="566"/>
        <v>5</v>
      </c>
      <c r="AE6814" s="580">
        <f t="shared" si="567"/>
        <v>2.5</v>
      </c>
      <c r="AF6814" s="580">
        <f t="shared" si="568"/>
        <v>2.5</v>
      </c>
      <c r="AG6814" s="580">
        <f t="shared" si="569"/>
        <v>0</v>
      </c>
      <c r="AH6814" s="580">
        <f t="shared" si="570"/>
        <v>0</v>
      </c>
    </row>
    <row r="6815" spans="28:34">
      <c r="AB6815" s="580">
        <f>HLOOKUP("*"&amp;'Output annual'!$AC$2&amp;'Output annual'!$AD$2&amp;"*Zone People Number Of Occupants [](Hourly)",'Eplus results'!$1:$1048576,ROW(),FALSE)</f>
        <v>0</v>
      </c>
      <c r="AC6815" s="580">
        <f>HLOOKUP("*"&amp;'Output annual'!$AC$2&amp;'Output annual'!$AD$2&amp;"*FangerPMV(Hourly)",'Eplus results'!$1:$1048576,ROW(),FALSE)</f>
        <v>0</v>
      </c>
      <c r="AD6815" s="580">
        <f t="shared" si="566"/>
        <v>5</v>
      </c>
      <c r="AE6815" s="580">
        <f t="shared" si="567"/>
        <v>2.5</v>
      </c>
      <c r="AF6815" s="580">
        <f t="shared" si="568"/>
        <v>2.5</v>
      </c>
      <c r="AG6815" s="580">
        <f t="shared" si="569"/>
        <v>0</v>
      </c>
      <c r="AH6815" s="580">
        <f t="shared" si="570"/>
        <v>0</v>
      </c>
    </row>
    <row r="6816" spans="28:34">
      <c r="AB6816" s="580">
        <f>HLOOKUP("*"&amp;'Output annual'!$AC$2&amp;'Output annual'!$AD$2&amp;"*Zone People Number Of Occupants [](Hourly)",'Eplus results'!$1:$1048576,ROW(),FALSE)</f>
        <v>0</v>
      </c>
      <c r="AC6816" s="580">
        <f>HLOOKUP("*"&amp;'Output annual'!$AC$2&amp;'Output annual'!$AD$2&amp;"*FangerPMV(Hourly)",'Eplus results'!$1:$1048576,ROW(),FALSE)</f>
        <v>0</v>
      </c>
      <c r="AD6816" s="580">
        <f t="shared" si="566"/>
        <v>5</v>
      </c>
      <c r="AE6816" s="580">
        <f t="shared" si="567"/>
        <v>2.5</v>
      </c>
      <c r="AF6816" s="580">
        <f t="shared" si="568"/>
        <v>2.5</v>
      </c>
      <c r="AG6816" s="580">
        <f t="shared" si="569"/>
        <v>0</v>
      </c>
      <c r="AH6816" s="580">
        <f t="shared" si="570"/>
        <v>0</v>
      </c>
    </row>
    <row r="6817" spans="28:34">
      <c r="AB6817" s="580">
        <f>HLOOKUP("*"&amp;'Output annual'!$AC$2&amp;'Output annual'!$AD$2&amp;"*Zone People Number Of Occupants [](Hourly)",'Eplus results'!$1:$1048576,ROW(),FALSE)</f>
        <v>0</v>
      </c>
      <c r="AC6817" s="580">
        <f>HLOOKUP("*"&amp;'Output annual'!$AC$2&amp;'Output annual'!$AD$2&amp;"*FangerPMV(Hourly)",'Eplus results'!$1:$1048576,ROW(),FALSE)</f>
        <v>0</v>
      </c>
      <c r="AD6817" s="580">
        <f t="shared" si="566"/>
        <v>5</v>
      </c>
      <c r="AE6817" s="580">
        <f t="shared" si="567"/>
        <v>2.5</v>
      </c>
      <c r="AF6817" s="580">
        <f t="shared" si="568"/>
        <v>2.5</v>
      </c>
      <c r="AG6817" s="580">
        <f t="shared" si="569"/>
        <v>0</v>
      </c>
      <c r="AH6817" s="580">
        <f t="shared" si="570"/>
        <v>0</v>
      </c>
    </row>
    <row r="6818" spans="28:34">
      <c r="AB6818" s="580">
        <f>HLOOKUP("*"&amp;'Output annual'!$AC$2&amp;'Output annual'!$AD$2&amp;"*Zone People Number Of Occupants [](Hourly)",'Eplus results'!$1:$1048576,ROW(),FALSE)</f>
        <v>0</v>
      </c>
      <c r="AC6818" s="580">
        <f>HLOOKUP("*"&amp;'Output annual'!$AC$2&amp;'Output annual'!$AD$2&amp;"*FangerPMV(Hourly)",'Eplus results'!$1:$1048576,ROW(),FALSE)</f>
        <v>0</v>
      </c>
      <c r="AD6818" s="580">
        <f t="shared" si="566"/>
        <v>5</v>
      </c>
      <c r="AE6818" s="580">
        <f t="shared" si="567"/>
        <v>2.5</v>
      </c>
      <c r="AF6818" s="580">
        <f t="shared" si="568"/>
        <v>2.5</v>
      </c>
      <c r="AG6818" s="580">
        <f t="shared" si="569"/>
        <v>0</v>
      </c>
      <c r="AH6818" s="580">
        <f t="shared" si="570"/>
        <v>0</v>
      </c>
    </row>
    <row r="6819" spans="28:34">
      <c r="AB6819" s="580">
        <f>HLOOKUP("*"&amp;'Output annual'!$AC$2&amp;'Output annual'!$AD$2&amp;"*Zone People Number Of Occupants [](Hourly)",'Eplus results'!$1:$1048576,ROW(),FALSE)</f>
        <v>0</v>
      </c>
      <c r="AC6819" s="580">
        <f>HLOOKUP("*"&amp;'Output annual'!$AC$2&amp;'Output annual'!$AD$2&amp;"*FangerPMV(Hourly)",'Eplus results'!$1:$1048576,ROW(),FALSE)</f>
        <v>0</v>
      </c>
      <c r="AD6819" s="580">
        <f t="shared" si="566"/>
        <v>5</v>
      </c>
      <c r="AE6819" s="580">
        <f t="shared" si="567"/>
        <v>2.5</v>
      </c>
      <c r="AF6819" s="580">
        <f t="shared" si="568"/>
        <v>2.5</v>
      </c>
      <c r="AG6819" s="580">
        <f t="shared" si="569"/>
        <v>0</v>
      </c>
      <c r="AH6819" s="580">
        <f t="shared" si="570"/>
        <v>0</v>
      </c>
    </row>
    <row r="6820" spans="28:34">
      <c r="AB6820" s="580">
        <f>HLOOKUP("*"&amp;'Output annual'!$AC$2&amp;'Output annual'!$AD$2&amp;"*Zone People Number Of Occupants [](Hourly)",'Eplus results'!$1:$1048576,ROW(),FALSE)</f>
        <v>0</v>
      </c>
      <c r="AC6820" s="580">
        <f>HLOOKUP("*"&amp;'Output annual'!$AC$2&amp;'Output annual'!$AD$2&amp;"*FangerPMV(Hourly)",'Eplus results'!$1:$1048576,ROW(),FALSE)</f>
        <v>0</v>
      </c>
      <c r="AD6820" s="580">
        <f t="shared" si="566"/>
        <v>5</v>
      </c>
      <c r="AE6820" s="580">
        <f t="shared" si="567"/>
        <v>2.5</v>
      </c>
      <c r="AF6820" s="580">
        <f t="shared" si="568"/>
        <v>2.5</v>
      </c>
      <c r="AG6820" s="580">
        <f t="shared" si="569"/>
        <v>0</v>
      </c>
      <c r="AH6820" s="580">
        <f t="shared" si="570"/>
        <v>0</v>
      </c>
    </row>
    <row r="6821" spans="28:34">
      <c r="AB6821" s="580">
        <f>HLOOKUP("*"&amp;'Output annual'!$AC$2&amp;'Output annual'!$AD$2&amp;"*Zone People Number Of Occupants [](Hourly)",'Eplus results'!$1:$1048576,ROW(),FALSE)</f>
        <v>0</v>
      </c>
      <c r="AC6821" s="580">
        <f>HLOOKUP("*"&amp;'Output annual'!$AC$2&amp;'Output annual'!$AD$2&amp;"*FangerPMV(Hourly)",'Eplus results'!$1:$1048576,ROW(),FALSE)</f>
        <v>0</v>
      </c>
      <c r="AD6821" s="580">
        <f t="shared" si="566"/>
        <v>5</v>
      </c>
      <c r="AE6821" s="580">
        <f t="shared" si="567"/>
        <v>2.5</v>
      </c>
      <c r="AF6821" s="580">
        <f t="shared" si="568"/>
        <v>2.5</v>
      </c>
      <c r="AG6821" s="580">
        <f t="shared" si="569"/>
        <v>0</v>
      </c>
      <c r="AH6821" s="580">
        <f t="shared" si="570"/>
        <v>0</v>
      </c>
    </row>
    <row r="6822" spans="28:34">
      <c r="AB6822" s="580">
        <f>HLOOKUP("*"&amp;'Output annual'!$AC$2&amp;'Output annual'!$AD$2&amp;"*Zone People Number Of Occupants [](Hourly)",'Eplus results'!$1:$1048576,ROW(),FALSE)</f>
        <v>0</v>
      </c>
      <c r="AC6822" s="580">
        <f>HLOOKUP("*"&amp;'Output annual'!$AC$2&amp;'Output annual'!$AD$2&amp;"*FangerPMV(Hourly)",'Eplus results'!$1:$1048576,ROW(),FALSE)</f>
        <v>0</v>
      </c>
      <c r="AD6822" s="580">
        <f t="shared" si="566"/>
        <v>5</v>
      </c>
      <c r="AE6822" s="580">
        <f t="shared" si="567"/>
        <v>2.5</v>
      </c>
      <c r="AF6822" s="580">
        <f t="shared" si="568"/>
        <v>2.5</v>
      </c>
      <c r="AG6822" s="580">
        <f t="shared" si="569"/>
        <v>0</v>
      </c>
      <c r="AH6822" s="580">
        <f t="shared" si="570"/>
        <v>0</v>
      </c>
    </row>
    <row r="6823" spans="28:34">
      <c r="AB6823" s="580">
        <f>HLOOKUP("*"&amp;'Output annual'!$AC$2&amp;'Output annual'!$AD$2&amp;"*Zone People Number Of Occupants [](Hourly)",'Eplus results'!$1:$1048576,ROW(),FALSE)</f>
        <v>0</v>
      </c>
      <c r="AC6823" s="580">
        <f>HLOOKUP("*"&amp;'Output annual'!$AC$2&amp;'Output annual'!$AD$2&amp;"*FangerPMV(Hourly)",'Eplus results'!$1:$1048576,ROW(),FALSE)</f>
        <v>0</v>
      </c>
      <c r="AD6823" s="580">
        <f t="shared" si="566"/>
        <v>5</v>
      </c>
      <c r="AE6823" s="580">
        <f t="shared" si="567"/>
        <v>2.5</v>
      </c>
      <c r="AF6823" s="580">
        <f t="shared" si="568"/>
        <v>2.5</v>
      </c>
      <c r="AG6823" s="580">
        <f t="shared" si="569"/>
        <v>0</v>
      </c>
      <c r="AH6823" s="580">
        <f t="shared" si="570"/>
        <v>0</v>
      </c>
    </row>
    <row r="6824" spans="28:34">
      <c r="AB6824" s="580">
        <f>HLOOKUP("*"&amp;'Output annual'!$AC$2&amp;'Output annual'!$AD$2&amp;"*Zone People Number Of Occupants [](Hourly)",'Eplus results'!$1:$1048576,ROW(),FALSE)</f>
        <v>0</v>
      </c>
      <c r="AC6824" s="580">
        <f>HLOOKUP("*"&amp;'Output annual'!$AC$2&amp;'Output annual'!$AD$2&amp;"*FangerPMV(Hourly)",'Eplus results'!$1:$1048576,ROW(),FALSE)</f>
        <v>0</v>
      </c>
      <c r="AD6824" s="580">
        <f t="shared" si="566"/>
        <v>5</v>
      </c>
      <c r="AE6824" s="580">
        <f t="shared" si="567"/>
        <v>2.5</v>
      </c>
      <c r="AF6824" s="580">
        <f t="shared" si="568"/>
        <v>2.5</v>
      </c>
      <c r="AG6824" s="580">
        <f t="shared" si="569"/>
        <v>0</v>
      </c>
      <c r="AH6824" s="580">
        <f t="shared" si="570"/>
        <v>0</v>
      </c>
    </row>
    <row r="6825" spans="28:34">
      <c r="AB6825" s="580">
        <f>HLOOKUP("*"&amp;'Output annual'!$AC$2&amp;'Output annual'!$AD$2&amp;"*Zone People Number Of Occupants [](Hourly)",'Eplus results'!$1:$1048576,ROW(),FALSE)</f>
        <v>0</v>
      </c>
      <c r="AC6825" s="580">
        <f>HLOOKUP("*"&amp;'Output annual'!$AC$2&amp;'Output annual'!$AD$2&amp;"*FangerPMV(Hourly)",'Eplus results'!$1:$1048576,ROW(),FALSE)</f>
        <v>0</v>
      </c>
      <c r="AD6825" s="580">
        <f t="shared" si="566"/>
        <v>5</v>
      </c>
      <c r="AE6825" s="580">
        <f t="shared" si="567"/>
        <v>2.5</v>
      </c>
      <c r="AF6825" s="580">
        <f t="shared" si="568"/>
        <v>2.5</v>
      </c>
      <c r="AG6825" s="580">
        <f t="shared" si="569"/>
        <v>0</v>
      </c>
      <c r="AH6825" s="580">
        <f t="shared" si="570"/>
        <v>0</v>
      </c>
    </row>
    <row r="6826" spans="28:34">
      <c r="AB6826" s="580">
        <f>HLOOKUP("*"&amp;'Output annual'!$AC$2&amp;'Output annual'!$AD$2&amp;"*Zone People Number Of Occupants [](Hourly)",'Eplus results'!$1:$1048576,ROW(),FALSE)</f>
        <v>0</v>
      </c>
      <c r="AC6826" s="580">
        <f>HLOOKUP("*"&amp;'Output annual'!$AC$2&amp;'Output annual'!$AD$2&amp;"*FangerPMV(Hourly)",'Eplus results'!$1:$1048576,ROW(),FALSE)</f>
        <v>0</v>
      </c>
      <c r="AD6826" s="580">
        <f t="shared" si="566"/>
        <v>5</v>
      </c>
      <c r="AE6826" s="580">
        <f t="shared" si="567"/>
        <v>2.5</v>
      </c>
      <c r="AF6826" s="580">
        <f t="shared" si="568"/>
        <v>2.5</v>
      </c>
      <c r="AG6826" s="580">
        <f t="shared" si="569"/>
        <v>0</v>
      </c>
      <c r="AH6826" s="580">
        <f t="shared" si="570"/>
        <v>0</v>
      </c>
    </row>
    <row r="6827" spans="28:34">
      <c r="AB6827" s="580">
        <f>HLOOKUP("*"&amp;'Output annual'!$AC$2&amp;'Output annual'!$AD$2&amp;"*Zone People Number Of Occupants [](Hourly)",'Eplus results'!$1:$1048576,ROW(),FALSE)</f>
        <v>0</v>
      </c>
      <c r="AC6827" s="580">
        <f>HLOOKUP("*"&amp;'Output annual'!$AC$2&amp;'Output annual'!$AD$2&amp;"*FangerPMV(Hourly)",'Eplus results'!$1:$1048576,ROW(),FALSE)</f>
        <v>0</v>
      </c>
      <c r="AD6827" s="580">
        <f t="shared" si="566"/>
        <v>5</v>
      </c>
      <c r="AE6827" s="580">
        <f t="shared" si="567"/>
        <v>2.5</v>
      </c>
      <c r="AF6827" s="580">
        <f t="shared" si="568"/>
        <v>2.5</v>
      </c>
      <c r="AG6827" s="580">
        <f t="shared" si="569"/>
        <v>0</v>
      </c>
      <c r="AH6827" s="580">
        <f t="shared" si="570"/>
        <v>0</v>
      </c>
    </row>
    <row r="6828" spans="28:34">
      <c r="AB6828" s="580">
        <f>HLOOKUP("*"&amp;'Output annual'!$AC$2&amp;'Output annual'!$AD$2&amp;"*Zone People Number Of Occupants [](Hourly)",'Eplus results'!$1:$1048576,ROW(),FALSE)</f>
        <v>0</v>
      </c>
      <c r="AC6828" s="580">
        <f>HLOOKUP("*"&amp;'Output annual'!$AC$2&amp;'Output annual'!$AD$2&amp;"*FangerPMV(Hourly)",'Eplus results'!$1:$1048576,ROW(),FALSE)</f>
        <v>0</v>
      </c>
      <c r="AD6828" s="580">
        <f t="shared" si="566"/>
        <v>5</v>
      </c>
      <c r="AE6828" s="580">
        <f t="shared" si="567"/>
        <v>2.5</v>
      </c>
      <c r="AF6828" s="580">
        <f t="shared" si="568"/>
        <v>2.5</v>
      </c>
      <c r="AG6828" s="580">
        <f t="shared" si="569"/>
        <v>0</v>
      </c>
      <c r="AH6828" s="580">
        <f t="shared" si="570"/>
        <v>0</v>
      </c>
    </row>
    <row r="6829" spans="28:34">
      <c r="AB6829" s="580">
        <f>HLOOKUP("*"&amp;'Output annual'!$AC$2&amp;'Output annual'!$AD$2&amp;"*Zone People Number Of Occupants [](Hourly)",'Eplus results'!$1:$1048576,ROW(),FALSE)</f>
        <v>0</v>
      </c>
      <c r="AC6829" s="580">
        <f>HLOOKUP("*"&amp;'Output annual'!$AC$2&amp;'Output annual'!$AD$2&amp;"*FangerPMV(Hourly)",'Eplus results'!$1:$1048576,ROW(),FALSE)</f>
        <v>0</v>
      </c>
      <c r="AD6829" s="580">
        <f t="shared" si="566"/>
        <v>5</v>
      </c>
      <c r="AE6829" s="580">
        <f t="shared" si="567"/>
        <v>2.5</v>
      </c>
      <c r="AF6829" s="580">
        <f t="shared" si="568"/>
        <v>2.5</v>
      </c>
      <c r="AG6829" s="580">
        <f t="shared" si="569"/>
        <v>0</v>
      </c>
      <c r="AH6829" s="580">
        <f t="shared" si="570"/>
        <v>0</v>
      </c>
    </row>
    <row r="6830" spans="28:34">
      <c r="AB6830" s="580">
        <f>HLOOKUP("*"&amp;'Output annual'!$AC$2&amp;'Output annual'!$AD$2&amp;"*Zone People Number Of Occupants [](Hourly)",'Eplus results'!$1:$1048576,ROW(),FALSE)</f>
        <v>0</v>
      </c>
      <c r="AC6830" s="580">
        <f>HLOOKUP("*"&amp;'Output annual'!$AC$2&amp;'Output annual'!$AD$2&amp;"*FangerPMV(Hourly)",'Eplus results'!$1:$1048576,ROW(),FALSE)</f>
        <v>0</v>
      </c>
      <c r="AD6830" s="580">
        <f t="shared" si="566"/>
        <v>5</v>
      </c>
      <c r="AE6830" s="580">
        <f t="shared" si="567"/>
        <v>2.5</v>
      </c>
      <c r="AF6830" s="580">
        <f t="shared" si="568"/>
        <v>2.5</v>
      </c>
      <c r="AG6830" s="580">
        <f t="shared" si="569"/>
        <v>0</v>
      </c>
      <c r="AH6830" s="580">
        <f t="shared" si="570"/>
        <v>0</v>
      </c>
    </row>
    <row r="6831" spans="28:34">
      <c r="AB6831" s="580">
        <f>HLOOKUP("*"&amp;'Output annual'!$AC$2&amp;'Output annual'!$AD$2&amp;"*Zone People Number Of Occupants [](Hourly)",'Eplus results'!$1:$1048576,ROW(),FALSE)</f>
        <v>0</v>
      </c>
      <c r="AC6831" s="580">
        <f>HLOOKUP("*"&amp;'Output annual'!$AC$2&amp;'Output annual'!$AD$2&amp;"*FangerPMV(Hourly)",'Eplus results'!$1:$1048576,ROW(),FALSE)</f>
        <v>0</v>
      </c>
      <c r="AD6831" s="580">
        <f t="shared" si="566"/>
        <v>5</v>
      </c>
      <c r="AE6831" s="580">
        <f t="shared" si="567"/>
        <v>2.5</v>
      </c>
      <c r="AF6831" s="580">
        <f t="shared" si="568"/>
        <v>2.5</v>
      </c>
      <c r="AG6831" s="580">
        <f t="shared" si="569"/>
        <v>0</v>
      </c>
      <c r="AH6831" s="580">
        <f t="shared" si="570"/>
        <v>0</v>
      </c>
    </row>
    <row r="6832" spans="28:34">
      <c r="AB6832" s="580">
        <f>HLOOKUP("*"&amp;'Output annual'!$AC$2&amp;'Output annual'!$AD$2&amp;"*Zone People Number Of Occupants [](Hourly)",'Eplus results'!$1:$1048576,ROW(),FALSE)</f>
        <v>0</v>
      </c>
      <c r="AC6832" s="580">
        <f>HLOOKUP("*"&amp;'Output annual'!$AC$2&amp;'Output annual'!$AD$2&amp;"*FangerPMV(Hourly)",'Eplus results'!$1:$1048576,ROW(),FALSE)</f>
        <v>0</v>
      </c>
      <c r="AD6832" s="580">
        <f t="shared" si="566"/>
        <v>5</v>
      </c>
      <c r="AE6832" s="580">
        <f t="shared" si="567"/>
        <v>2.5</v>
      </c>
      <c r="AF6832" s="580">
        <f t="shared" si="568"/>
        <v>2.5</v>
      </c>
      <c r="AG6832" s="580">
        <f t="shared" si="569"/>
        <v>0</v>
      </c>
      <c r="AH6832" s="580">
        <f t="shared" si="570"/>
        <v>0</v>
      </c>
    </row>
    <row r="6833" spans="28:34">
      <c r="AB6833" s="580">
        <f>HLOOKUP("*"&amp;'Output annual'!$AC$2&amp;'Output annual'!$AD$2&amp;"*Zone People Number Of Occupants [](Hourly)",'Eplus results'!$1:$1048576,ROW(),FALSE)</f>
        <v>0</v>
      </c>
      <c r="AC6833" s="580">
        <f>HLOOKUP("*"&amp;'Output annual'!$AC$2&amp;'Output annual'!$AD$2&amp;"*FangerPMV(Hourly)",'Eplus results'!$1:$1048576,ROW(),FALSE)</f>
        <v>0</v>
      </c>
      <c r="AD6833" s="580">
        <f t="shared" si="566"/>
        <v>5</v>
      </c>
      <c r="AE6833" s="580">
        <f t="shared" si="567"/>
        <v>2.5</v>
      </c>
      <c r="AF6833" s="580">
        <f t="shared" si="568"/>
        <v>2.5</v>
      </c>
      <c r="AG6833" s="580">
        <f t="shared" si="569"/>
        <v>0</v>
      </c>
      <c r="AH6833" s="580">
        <f t="shared" si="570"/>
        <v>0</v>
      </c>
    </row>
    <row r="6834" spans="28:34">
      <c r="AB6834" s="580">
        <f>HLOOKUP("*"&amp;'Output annual'!$AC$2&amp;'Output annual'!$AD$2&amp;"*Zone People Number Of Occupants [](Hourly)",'Eplus results'!$1:$1048576,ROW(),FALSE)</f>
        <v>0</v>
      </c>
      <c r="AC6834" s="580">
        <f>HLOOKUP("*"&amp;'Output annual'!$AC$2&amp;'Output annual'!$AD$2&amp;"*FangerPMV(Hourly)",'Eplus results'!$1:$1048576,ROW(),FALSE)</f>
        <v>0</v>
      </c>
      <c r="AD6834" s="580">
        <f t="shared" si="566"/>
        <v>5</v>
      </c>
      <c r="AE6834" s="580">
        <f t="shared" si="567"/>
        <v>2.5</v>
      </c>
      <c r="AF6834" s="580">
        <f t="shared" si="568"/>
        <v>2.5</v>
      </c>
      <c r="AG6834" s="580">
        <f t="shared" si="569"/>
        <v>0</v>
      </c>
      <c r="AH6834" s="580">
        <f t="shared" si="570"/>
        <v>0</v>
      </c>
    </row>
    <row r="6835" spans="28:34">
      <c r="AB6835" s="580">
        <f>HLOOKUP("*"&amp;'Output annual'!$AC$2&amp;'Output annual'!$AD$2&amp;"*Zone People Number Of Occupants [](Hourly)",'Eplus results'!$1:$1048576,ROW(),FALSE)</f>
        <v>0</v>
      </c>
      <c r="AC6835" s="580">
        <f>HLOOKUP("*"&amp;'Output annual'!$AC$2&amp;'Output annual'!$AD$2&amp;"*FangerPMV(Hourly)",'Eplus results'!$1:$1048576,ROW(),FALSE)</f>
        <v>0</v>
      </c>
      <c r="AD6835" s="580">
        <f t="shared" si="566"/>
        <v>5</v>
      </c>
      <c r="AE6835" s="580">
        <f t="shared" si="567"/>
        <v>2.5</v>
      </c>
      <c r="AF6835" s="580">
        <f t="shared" si="568"/>
        <v>2.5</v>
      </c>
      <c r="AG6835" s="580">
        <f t="shared" si="569"/>
        <v>0</v>
      </c>
      <c r="AH6835" s="580">
        <f t="shared" si="570"/>
        <v>0</v>
      </c>
    </row>
    <row r="6836" spans="28:34">
      <c r="AB6836" s="580">
        <f>HLOOKUP("*"&amp;'Output annual'!$AC$2&amp;'Output annual'!$AD$2&amp;"*Zone People Number Of Occupants [](Hourly)",'Eplus results'!$1:$1048576,ROW(),FALSE)</f>
        <v>0</v>
      </c>
      <c r="AC6836" s="580">
        <f>HLOOKUP("*"&amp;'Output annual'!$AC$2&amp;'Output annual'!$AD$2&amp;"*FangerPMV(Hourly)",'Eplus results'!$1:$1048576,ROW(),FALSE)</f>
        <v>0</v>
      </c>
      <c r="AD6836" s="580">
        <f t="shared" si="566"/>
        <v>5</v>
      </c>
      <c r="AE6836" s="580">
        <f t="shared" si="567"/>
        <v>2.5</v>
      </c>
      <c r="AF6836" s="580">
        <f t="shared" si="568"/>
        <v>2.5</v>
      </c>
      <c r="AG6836" s="580">
        <f t="shared" si="569"/>
        <v>0</v>
      </c>
      <c r="AH6836" s="580">
        <f t="shared" si="570"/>
        <v>0</v>
      </c>
    </row>
    <row r="6837" spans="28:34">
      <c r="AB6837" s="580">
        <f>HLOOKUP("*"&amp;'Output annual'!$AC$2&amp;'Output annual'!$AD$2&amp;"*Zone People Number Of Occupants [](Hourly)",'Eplus results'!$1:$1048576,ROW(),FALSE)</f>
        <v>0</v>
      </c>
      <c r="AC6837" s="580">
        <f>HLOOKUP("*"&amp;'Output annual'!$AC$2&amp;'Output annual'!$AD$2&amp;"*FangerPMV(Hourly)",'Eplus results'!$1:$1048576,ROW(),FALSE)</f>
        <v>0</v>
      </c>
      <c r="AD6837" s="580">
        <f t="shared" si="566"/>
        <v>5</v>
      </c>
      <c r="AE6837" s="580">
        <f t="shared" si="567"/>
        <v>2.5</v>
      </c>
      <c r="AF6837" s="580">
        <f t="shared" si="568"/>
        <v>2.5</v>
      </c>
      <c r="AG6837" s="580">
        <f t="shared" si="569"/>
        <v>0</v>
      </c>
      <c r="AH6837" s="580">
        <f t="shared" si="570"/>
        <v>0</v>
      </c>
    </row>
    <row r="6838" spans="28:34">
      <c r="AB6838" s="580">
        <f>HLOOKUP("*"&amp;'Output annual'!$AC$2&amp;'Output annual'!$AD$2&amp;"*Zone People Number Of Occupants [](Hourly)",'Eplus results'!$1:$1048576,ROW(),FALSE)</f>
        <v>0</v>
      </c>
      <c r="AC6838" s="580">
        <f>HLOOKUP("*"&amp;'Output annual'!$AC$2&amp;'Output annual'!$AD$2&amp;"*FangerPMV(Hourly)",'Eplus results'!$1:$1048576,ROW(),FALSE)</f>
        <v>0</v>
      </c>
      <c r="AD6838" s="580">
        <f t="shared" si="566"/>
        <v>5</v>
      </c>
      <c r="AE6838" s="580">
        <f t="shared" si="567"/>
        <v>2.5</v>
      </c>
      <c r="AF6838" s="580">
        <f t="shared" si="568"/>
        <v>2.5</v>
      </c>
      <c r="AG6838" s="580">
        <f t="shared" si="569"/>
        <v>0</v>
      </c>
      <c r="AH6838" s="580">
        <f t="shared" si="570"/>
        <v>0</v>
      </c>
    </row>
    <row r="6839" spans="28:34">
      <c r="AB6839" s="580">
        <f>HLOOKUP("*"&amp;'Output annual'!$AC$2&amp;'Output annual'!$AD$2&amp;"*Zone People Number Of Occupants [](Hourly)",'Eplus results'!$1:$1048576,ROW(),FALSE)</f>
        <v>0</v>
      </c>
      <c r="AC6839" s="580">
        <f>HLOOKUP("*"&amp;'Output annual'!$AC$2&amp;'Output annual'!$AD$2&amp;"*FangerPMV(Hourly)",'Eplus results'!$1:$1048576,ROW(),FALSE)</f>
        <v>0</v>
      </c>
      <c r="AD6839" s="580">
        <f t="shared" si="566"/>
        <v>5</v>
      </c>
      <c r="AE6839" s="580">
        <f t="shared" si="567"/>
        <v>2.5</v>
      </c>
      <c r="AF6839" s="580">
        <f t="shared" si="568"/>
        <v>2.5</v>
      </c>
      <c r="AG6839" s="580">
        <f t="shared" si="569"/>
        <v>0</v>
      </c>
      <c r="AH6839" s="580">
        <f t="shared" si="570"/>
        <v>0</v>
      </c>
    </row>
    <row r="6840" spans="28:34">
      <c r="AB6840" s="580">
        <f>HLOOKUP("*"&amp;'Output annual'!$AC$2&amp;'Output annual'!$AD$2&amp;"*Zone People Number Of Occupants [](Hourly)",'Eplus results'!$1:$1048576,ROW(),FALSE)</f>
        <v>0</v>
      </c>
      <c r="AC6840" s="580">
        <f>HLOOKUP("*"&amp;'Output annual'!$AC$2&amp;'Output annual'!$AD$2&amp;"*FangerPMV(Hourly)",'Eplus results'!$1:$1048576,ROW(),FALSE)</f>
        <v>0</v>
      </c>
      <c r="AD6840" s="580">
        <f t="shared" si="566"/>
        <v>5</v>
      </c>
      <c r="AE6840" s="580">
        <f t="shared" si="567"/>
        <v>2.5</v>
      </c>
      <c r="AF6840" s="580">
        <f t="shared" si="568"/>
        <v>2.5</v>
      </c>
      <c r="AG6840" s="580">
        <f t="shared" si="569"/>
        <v>0</v>
      </c>
      <c r="AH6840" s="580">
        <f t="shared" si="570"/>
        <v>0</v>
      </c>
    </row>
    <row r="6841" spans="28:34">
      <c r="AB6841" s="580">
        <f>HLOOKUP("*"&amp;'Output annual'!$AC$2&amp;'Output annual'!$AD$2&amp;"*Zone People Number Of Occupants [](Hourly)",'Eplus results'!$1:$1048576,ROW(),FALSE)</f>
        <v>0</v>
      </c>
      <c r="AC6841" s="580">
        <f>HLOOKUP("*"&amp;'Output annual'!$AC$2&amp;'Output annual'!$AD$2&amp;"*FangerPMV(Hourly)",'Eplus results'!$1:$1048576,ROW(),FALSE)</f>
        <v>0</v>
      </c>
      <c r="AD6841" s="580">
        <f t="shared" si="566"/>
        <v>5</v>
      </c>
      <c r="AE6841" s="580">
        <f t="shared" si="567"/>
        <v>2.5</v>
      </c>
      <c r="AF6841" s="580">
        <f t="shared" si="568"/>
        <v>2.5</v>
      </c>
      <c r="AG6841" s="580">
        <f t="shared" si="569"/>
        <v>0</v>
      </c>
      <c r="AH6841" s="580">
        <f t="shared" si="570"/>
        <v>0</v>
      </c>
    </row>
    <row r="6842" spans="28:34">
      <c r="AB6842" s="580">
        <f>HLOOKUP("*"&amp;'Output annual'!$AC$2&amp;'Output annual'!$AD$2&amp;"*Zone People Number Of Occupants [](Hourly)",'Eplus results'!$1:$1048576,ROW(),FALSE)</f>
        <v>0</v>
      </c>
      <c r="AC6842" s="580">
        <f>HLOOKUP("*"&amp;'Output annual'!$AC$2&amp;'Output annual'!$AD$2&amp;"*FangerPMV(Hourly)",'Eplus results'!$1:$1048576,ROW(),FALSE)</f>
        <v>0</v>
      </c>
      <c r="AD6842" s="580">
        <f t="shared" si="566"/>
        <v>5</v>
      </c>
      <c r="AE6842" s="580">
        <f t="shared" si="567"/>
        <v>2.5</v>
      </c>
      <c r="AF6842" s="580">
        <f t="shared" si="568"/>
        <v>2.5</v>
      </c>
      <c r="AG6842" s="580">
        <f t="shared" si="569"/>
        <v>0</v>
      </c>
      <c r="AH6842" s="580">
        <f t="shared" si="570"/>
        <v>0</v>
      </c>
    </row>
    <row r="6843" spans="28:34">
      <c r="AB6843" s="580">
        <f>HLOOKUP("*"&amp;'Output annual'!$AC$2&amp;'Output annual'!$AD$2&amp;"*Zone People Number Of Occupants [](Hourly)",'Eplus results'!$1:$1048576,ROW(),FALSE)</f>
        <v>0</v>
      </c>
      <c r="AC6843" s="580">
        <f>HLOOKUP("*"&amp;'Output annual'!$AC$2&amp;'Output annual'!$AD$2&amp;"*FangerPMV(Hourly)",'Eplus results'!$1:$1048576,ROW(),FALSE)</f>
        <v>0</v>
      </c>
      <c r="AD6843" s="580">
        <f t="shared" si="566"/>
        <v>5</v>
      </c>
      <c r="AE6843" s="580">
        <f t="shared" si="567"/>
        <v>2.5</v>
      </c>
      <c r="AF6843" s="580">
        <f t="shared" si="568"/>
        <v>2.5</v>
      </c>
      <c r="AG6843" s="580">
        <f t="shared" si="569"/>
        <v>0</v>
      </c>
      <c r="AH6843" s="580">
        <f t="shared" si="570"/>
        <v>0</v>
      </c>
    </row>
    <row r="6844" spans="28:34">
      <c r="AB6844" s="580">
        <f>HLOOKUP("*"&amp;'Output annual'!$AC$2&amp;'Output annual'!$AD$2&amp;"*Zone People Number Of Occupants [](Hourly)",'Eplus results'!$1:$1048576,ROW(),FALSE)</f>
        <v>0</v>
      </c>
      <c r="AC6844" s="580">
        <f>HLOOKUP("*"&amp;'Output annual'!$AC$2&amp;'Output annual'!$AD$2&amp;"*FangerPMV(Hourly)",'Eplus results'!$1:$1048576,ROW(),FALSE)</f>
        <v>0</v>
      </c>
      <c r="AD6844" s="580">
        <f t="shared" si="566"/>
        <v>5</v>
      </c>
      <c r="AE6844" s="580">
        <f t="shared" si="567"/>
        <v>2.5</v>
      </c>
      <c r="AF6844" s="580">
        <f t="shared" si="568"/>
        <v>2.5</v>
      </c>
      <c r="AG6844" s="580">
        <f t="shared" si="569"/>
        <v>0</v>
      </c>
      <c r="AH6844" s="580">
        <f t="shared" si="570"/>
        <v>0</v>
      </c>
    </row>
    <row r="6845" spans="28:34">
      <c r="AB6845" s="580">
        <f>HLOOKUP("*"&amp;'Output annual'!$AC$2&amp;'Output annual'!$AD$2&amp;"*Zone People Number Of Occupants [](Hourly)",'Eplus results'!$1:$1048576,ROW(),FALSE)</f>
        <v>0</v>
      </c>
      <c r="AC6845" s="580">
        <f>HLOOKUP("*"&amp;'Output annual'!$AC$2&amp;'Output annual'!$AD$2&amp;"*FangerPMV(Hourly)",'Eplus results'!$1:$1048576,ROW(),FALSE)</f>
        <v>0</v>
      </c>
      <c r="AD6845" s="580">
        <f t="shared" si="566"/>
        <v>5</v>
      </c>
      <c r="AE6845" s="580">
        <f t="shared" si="567"/>
        <v>2.5</v>
      </c>
      <c r="AF6845" s="580">
        <f t="shared" si="568"/>
        <v>2.5</v>
      </c>
      <c r="AG6845" s="580">
        <f t="shared" si="569"/>
        <v>0</v>
      </c>
      <c r="AH6845" s="580">
        <f t="shared" si="570"/>
        <v>0</v>
      </c>
    </row>
    <row r="6846" spans="28:34">
      <c r="AB6846" s="580">
        <f>HLOOKUP("*"&amp;'Output annual'!$AC$2&amp;'Output annual'!$AD$2&amp;"*Zone People Number Of Occupants [](Hourly)",'Eplus results'!$1:$1048576,ROW(),FALSE)</f>
        <v>0</v>
      </c>
      <c r="AC6846" s="580">
        <f>HLOOKUP("*"&amp;'Output annual'!$AC$2&amp;'Output annual'!$AD$2&amp;"*FangerPMV(Hourly)",'Eplus results'!$1:$1048576,ROW(),FALSE)</f>
        <v>0</v>
      </c>
      <c r="AD6846" s="580">
        <f t="shared" si="566"/>
        <v>5</v>
      </c>
      <c r="AE6846" s="580">
        <f t="shared" si="567"/>
        <v>2.5</v>
      </c>
      <c r="AF6846" s="580">
        <f t="shared" si="568"/>
        <v>2.5</v>
      </c>
      <c r="AG6846" s="580">
        <f t="shared" si="569"/>
        <v>0</v>
      </c>
      <c r="AH6846" s="580">
        <f t="shared" si="570"/>
        <v>0</v>
      </c>
    </row>
    <row r="6847" spans="28:34">
      <c r="AB6847" s="580">
        <f>HLOOKUP("*"&amp;'Output annual'!$AC$2&amp;'Output annual'!$AD$2&amp;"*Zone People Number Of Occupants [](Hourly)",'Eplus results'!$1:$1048576,ROW(),FALSE)</f>
        <v>0</v>
      </c>
      <c r="AC6847" s="580">
        <f>HLOOKUP("*"&amp;'Output annual'!$AC$2&amp;'Output annual'!$AD$2&amp;"*FangerPMV(Hourly)",'Eplus results'!$1:$1048576,ROW(),FALSE)</f>
        <v>0</v>
      </c>
      <c r="AD6847" s="580">
        <f t="shared" si="566"/>
        <v>5</v>
      </c>
      <c r="AE6847" s="580">
        <f t="shared" si="567"/>
        <v>2.5</v>
      </c>
      <c r="AF6847" s="580">
        <f t="shared" si="568"/>
        <v>2.5</v>
      </c>
      <c r="AG6847" s="580">
        <f t="shared" si="569"/>
        <v>0</v>
      </c>
      <c r="AH6847" s="580">
        <f t="shared" si="570"/>
        <v>0</v>
      </c>
    </row>
    <row r="6848" spans="28:34">
      <c r="AB6848" s="580">
        <f>HLOOKUP("*"&amp;'Output annual'!$AC$2&amp;'Output annual'!$AD$2&amp;"*Zone People Number Of Occupants [](Hourly)",'Eplus results'!$1:$1048576,ROW(),FALSE)</f>
        <v>0</v>
      </c>
      <c r="AC6848" s="580">
        <f>HLOOKUP("*"&amp;'Output annual'!$AC$2&amp;'Output annual'!$AD$2&amp;"*FangerPMV(Hourly)",'Eplus results'!$1:$1048576,ROW(),FALSE)</f>
        <v>0</v>
      </c>
      <c r="AD6848" s="580">
        <f t="shared" si="566"/>
        <v>5</v>
      </c>
      <c r="AE6848" s="580">
        <f t="shared" si="567"/>
        <v>2.5</v>
      </c>
      <c r="AF6848" s="580">
        <f t="shared" si="568"/>
        <v>2.5</v>
      </c>
      <c r="AG6848" s="580">
        <f t="shared" si="569"/>
        <v>0</v>
      </c>
      <c r="AH6848" s="580">
        <f t="shared" si="570"/>
        <v>0</v>
      </c>
    </row>
    <row r="6849" spans="28:34">
      <c r="AB6849" s="580">
        <f>HLOOKUP("*"&amp;'Output annual'!$AC$2&amp;'Output annual'!$AD$2&amp;"*Zone People Number Of Occupants [](Hourly)",'Eplus results'!$1:$1048576,ROW(),FALSE)</f>
        <v>0</v>
      </c>
      <c r="AC6849" s="580">
        <f>HLOOKUP("*"&amp;'Output annual'!$AC$2&amp;'Output annual'!$AD$2&amp;"*FangerPMV(Hourly)",'Eplus results'!$1:$1048576,ROW(),FALSE)</f>
        <v>0</v>
      </c>
      <c r="AD6849" s="580">
        <f t="shared" si="566"/>
        <v>5</v>
      </c>
      <c r="AE6849" s="580">
        <f t="shared" si="567"/>
        <v>2.5</v>
      </c>
      <c r="AF6849" s="580">
        <f t="shared" si="568"/>
        <v>2.5</v>
      </c>
      <c r="AG6849" s="580">
        <f t="shared" si="569"/>
        <v>0</v>
      </c>
      <c r="AH6849" s="580">
        <f t="shared" si="570"/>
        <v>0</v>
      </c>
    </row>
    <row r="6850" spans="28:34">
      <c r="AB6850" s="580">
        <f>HLOOKUP("*"&amp;'Output annual'!$AC$2&amp;'Output annual'!$AD$2&amp;"*Zone People Number Of Occupants [](Hourly)",'Eplus results'!$1:$1048576,ROW(),FALSE)</f>
        <v>0</v>
      </c>
      <c r="AC6850" s="580">
        <f>HLOOKUP("*"&amp;'Output annual'!$AC$2&amp;'Output annual'!$AD$2&amp;"*FangerPMV(Hourly)",'Eplus results'!$1:$1048576,ROW(),FALSE)</f>
        <v>0</v>
      </c>
      <c r="AD6850" s="580">
        <f t="shared" si="566"/>
        <v>5</v>
      </c>
      <c r="AE6850" s="580">
        <f t="shared" si="567"/>
        <v>2.5</v>
      </c>
      <c r="AF6850" s="580">
        <f t="shared" si="568"/>
        <v>2.5</v>
      </c>
      <c r="AG6850" s="580">
        <f t="shared" si="569"/>
        <v>0</v>
      </c>
      <c r="AH6850" s="580">
        <f t="shared" si="570"/>
        <v>0</v>
      </c>
    </row>
    <row r="6851" spans="28:34">
      <c r="AB6851" s="580">
        <f>HLOOKUP("*"&amp;'Output annual'!$AC$2&amp;'Output annual'!$AD$2&amp;"*Zone People Number Of Occupants [](Hourly)",'Eplus results'!$1:$1048576,ROW(),FALSE)</f>
        <v>0</v>
      </c>
      <c r="AC6851" s="580">
        <f>HLOOKUP("*"&amp;'Output annual'!$AC$2&amp;'Output annual'!$AD$2&amp;"*FangerPMV(Hourly)",'Eplus results'!$1:$1048576,ROW(),FALSE)</f>
        <v>0</v>
      </c>
      <c r="AD6851" s="580">
        <f t="shared" ref="AD6851:AD6914" si="571">100-95*EXP(-0.03353*AC6851^4-0.2179*AC6851^2)</f>
        <v>5</v>
      </c>
      <c r="AE6851" s="580">
        <f t="shared" ref="AE6851:AE6914" si="572">AD6851*(1/(1+EXP(-6.3*$AC6851)))</f>
        <v>2.5</v>
      </c>
      <c r="AF6851" s="580">
        <f t="shared" ref="AF6851:AF6914" si="573">(AD6851-AE6851)</f>
        <v>2.5</v>
      </c>
      <c r="AG6851" s="580">
        <f t="shared" ref="AG6851:AG6914" si="574">AE6851*AB6851</f>
        <v>0</v>
      </c>
      <c r="AH6851" s="580">
        <f t="shared" ref="AH6851:AH6914" si="575">AF6851*AB6851</f>
        <v>0</v>
      </c>
    </row>
    <row r="6852" spans="28:34">
      <c r="AB6852" s="580">
        <f>HLOOKUP("*"&amp;'Output annual'!$AC$2&amp;'Output annual'!$AD$2&amp;"*Zone People Number Of Occupants [](Hourly)",'Eplus results'!$1:$1048576,ROW(),FALSE)</f>
        <v>0</v>
      </c>
      <c r="AC6852" s="580">
        <f>HLOOKUP("*"&amp;'Output annual'!$AC$2&amp;'Output annual'!$AD$2&amp;"*FangerPMV(Hourly)",'Eplus results'!$1:$1048576,ROW(),FALSE)</f>
        <v>0</v>
      </c>
      <c r="AD6852" s="580">
        <f t="shared" si="571"/>
        <v>5</v>
      </c>
      <c r="AE6852" s="580">
        <f t="shared" si="572"/>
        <v>2.5</v>
      </c>
      <c r="AF6852" s="580">
        <f t="shared" si="573"/>
        <v>2.5</v>
      </c>
      <c r="AG6852" s="580">
        <f t="shared" si="574"/>
        <v>0</v>
      </c>
      <c r="AH6852" s="580">
        <f t="shared" si="575"/>
        <v>0</v>
      </c>
    </row>
    <row r="6853" spans="28:34">
      <c r="AB6853" s="580">
        <f>HLOOKUP("*"&amp;'Output annual'!$AC$2&amp;'Output annual'!$AD$2&amp;"*Zone People Number Of Occupants [](Hourly)",'Eplus results'!$1:$1048576,ROW(),FALSE)</f>
        <v>0</v>
      </c>
      <c r="AC6853" s="580">
        <f>HLOOKUP("*"&amp;'Output annual'!$AC$2&amp;'Output annual'!$AD$2&amp;"*FangerPMV(Hourly)",'Eplus results'!$1:$1048576,ROW(),FALSE)</f>
        <v>0</v>
      </c>
      <c r="AD6853" s="580">
        <f t="shared" si="571"/>
        <v>5</v>
      </c>
      <c r="AE6853" s="580">
        <f t="shared" si="572"/>
        <v>2.5</v>
      </c>
      <c r="AF6853" s="580">
        <f t="shared" si="573"/>
        <v>2.5</v>
      </c>
      <c r="AG6853" s="580">
        <f t="shared" si="574"/>
        <v>0</v>
      </c>
      <c r="AH6853" s="580">
        <f t="shared" si="575"/>
        <v>0</v>
      </c>
    </row>
    <row r="6854" spans="28:34">
      <c r="AB6854" s="580">
        <f>HLOOKUP("*"&amp;'Output annual'!$AC$2&amp;'Output annual'!$AD$2&amp;"*Zone People Number Of Occupants [](Hourly)",'Eplus results'!$1:$1048576,ROW(),FALSE)</f>
        <v>0</v>
      </c>
      <c r="AC6854" s="580">
        <f>HLOOKUP("*"&amp;'Output annual'!$AC$2&amp;'Output annual'!$AD$2&amp;"*FangerPMV(Hourly)",'Eplus results'!$1:$1048576,ROW(),FALSE)</f>
        <v>0</v>
      </c>
      <c r="AD6854" s="580">
        <f t="shared" si="571"/>
        <v>5</v>
      </c>
      <c r="AE6854" s="580">
        <f t="shared" si="572"/>
        <v>2.5</v>
      </c>
      <c r="AF6854" s="580">
        <f t="shared" si="573"/>
        <v>2.5</v>
      </c>
      <c r="AG6854" s="580">
        <f t="shared" si="574"/>
        <v>0</v>
      </c>
      <c r="AH6854" s="580">
        <f t="shared" si="575"/>
        <v>0</v>
      </c>
    </row>
    <row r="6855" spans="28:34">
      <c r="AB6855" s="580">
        <f>HLOOKUP("*"&amp;'Output annual'!$AC$2&amp;'Output annual'!$AD$2&amp;"*Zone People Number Of Occupants [](Hourly)",'Eplus results'!$1:$1048576,ROW(),FALSE)</f>
        <v>0</v>
      </c>
      <c r="AC6855" s="580">
        <f>HLOOKUP("*"&amp;'Output annual'!$AC$2&amp;'Output annual'!$AD$2&amp;"*FangerPMV(Hourly)",'Eplus results'!$1:$1048576,ROW(),FALSE)</f>
        <v>0</v>
      </c>
      <c r="AD6855" s="580">
        <f t="shared" si="571"/>
        <v>5</v>
      </c>
      <c r="AE6855" s="580">
        <f t="shared" si="572"/>
        <v>2.5</v>
      </c>
      <c r="AF6855" s="580">
        <f t="shared" si="573"/>
        <v>2.5</v>
      </c>
      <c r="AG6855" s="580">
        <f t="shared" si="574"/>
        <v>0</v>
      </c>
      <c r="AH6855" s="580">
        <f t="shared" si="575"/>
        <v>0</v>
      </c>
    </row>
    <row r="6856" spans="28:34">
      <c r="AB6856" s="580">
        <f>HLOOKUP("*"&amp;'Output annual'!$AC$2&amp;'Output annual'!$AD$2&amp;"*Zone People Number Of Occupants [](Hourly)",'Eplus results'!$1:$1048576,ROW(),FALSE)</f>
        <v>0</v>
      </c>
      <c r="AC6856" s="580">
        <f>HLOOKUP("*"&amp;'Output annual'!$AC$2&amp;'Output annual'!$AD$2&amp;"*FangerPMV(Hourly)",'Eplus results'!$1:$1048576,ROW(),FALSE)</f>
        <v>0</v>
      </c>
      <c r="AD6856" s="580">
        <f t="shared" si="571"/>
        <v>5</v>
      </c>
      <c r="AE6856" s="580">
        <f t="shared" si="572"/>
        <v>2.5</v>
      </c>
      <c r="AF6856" s="580">
        <f t="shared" si="573"/>
        <v>2.5</v>
      </c>
      <c r="AG6856" s="580">
        <f t="shared" si="574"/>
        <v>0</v>
      </c>
      <c r="AH6856" s="580">
        <f t="shared" si="575"/>
        <v>0</v>
      </c>
    </row>
    <row r="6857" spans="28:34">
      <c r="AB6857" s="580">
        <f>HLOOKUP("*"&amp;'Output annual'!$AC$2&amp;'Output annual'!$AD$2&amp;"*Zone People Number Of Occupants [](Hourly)",'Eplus results'!$1:$1048576,ROW(),FALSE)</f>
        <v>0</v>
      </c>
      <c r="AC6857" s="580">
        <f>HLOOKUP("*"&amp;'Output annual'!$AC$2&amp;'Output annual'!$AD$2&amp;"*FangerPMV(Hourly)",'Eplus results'!$1:$1048576,ROW(),FALSE)</f>
        <v>0</v>
      </c>
      <c r="AD6857" s="580">
        <f t="shared" si="571"/>
        <v>5</v>
      </c>
      <c r="AE6857" s="580">
        <f t="shared" si="572"/>
        <v>2.5</v>
      </c>
      <c r="AF6857" s="580">
        <f t="shared" si="573"/>
        <v>2.5</v>
      </c>
      <c r="AG6857" s="580">
        <f t="shared" si="574"/>
        <v>0</v>
      </c>
      <c r="AH6857" s="580">
        <f t="shared" si="575"/>
        <v>0</v>
      </c>
    </row>
    <row r="6858" spans="28:34">
      <c r="AB6858" s="580">
        <f>HLOOKUP("*"&amp;'Output annual'!$AC$2&amp;'Output annual'!$AD$2&amp;"*Zone People Number Of Occupants [](Hourly)",'Eplus results'!$1:$1048576,ROW(),FALSE)</f>
        <v>0</v>
      </c>
      <c r="AC6858" s="580">
        <f>HLOOKUP("*"&amp;'Output annual'!$AC$2&amp;'Output annual'!$AD$2&amp;"*FangerPMV(Hourly)",'Eplus results'!$1:$1048576,ROW(),FALSE)</f>
        <v>0</v>
      </c>
      <c r="AD6858" s="580">
        <f t="shared" si="571"/>
        <v>5</v>
      </c>
      <c r="AE6858" s="580">
        <f t="shared" si="572"/>
        <v>2.5</v>
      </c>
      <c r="AF6858" s="580">
        <f t="shared" si="573"/>
        <v>2.5</v>
      </c>
      <c r="AG6858" s="580">
        <f t="shared" si="574"/>
        <v>0</v>
      </c>
      <c r="AH6858" s="580">
        <f t="shared" si="575"/>
        <v>0</v>
      </c>
    </row>
    <row r="6859" spans="28:34">
      <c r="AB6859" s="580">
        <f>HLOOKUP("*"&amp;'Output annual'!$AC$2&amp;'Output annual'!$AD$2&amp;"*Zone People Number Of Occupants [](Hourly)",'Eplus results'!$1:$1048576,ROW(),FALSE)</f>
        <v>0</v>
      </c>
      <c r="AC6859" s="580">
        <f>HLOOKUP("*"&amp;'Output annual'!$AC$2&amp;'Output annual'!$AD$2&amp;"*FangerPMV(Hourly)",'Eplus results'!$1:$1048576,ROW(),FALSE)</f>
        <v>0</v>
      </c>
      <c r="AD6859" s="580">
        <f t="shared" si="571"/>
        <v>5</v>
      </c>
      <c r="AE6859" s="580">
        <f t="shared" si="572"/>
        <v>2.5</v>
      </c>
      <c r="AF6859" s="580">
        <f t="shared" si="573"/>
        <v>2.5</v>
      </c>
      <c r="AG6859" s="580">
        <f t="shared" si="574"/>
        <v>0</v>
      </c>
      <c r="AH6859" s="580">
        <f t="shared" si="575"/>
        <v>0</v>
      </c>
    </row>
    <row r="6860" spans="28:34">
      <c r="AB6860" s="580">
        <f>HLOOKUP("*"&amp;'Output annual'!$AC$2&amp;'Output annual'!$AD$2&amp;"*Zone People Number Of Occupants [](Hourly)",'Eplus results'!$1:$1048576,ROW(),FALSE)</f>
        <v>0</v>
      </c>
      <c r="AC6860" s="580">
        <f>HLOOKUP("*"&amp;'Output annual'!$AC$2&amp;'Output annual'!$AD$2&amp;"*FangerPMV(Hourly)",'Eplus results'!$1:$1048576,ROW(),FALSE)</f>
        <v>0</v>
      </c>
      <c r="AD6860" s="580">
        <f t="shared" si="571"/>
        <v>5</v>
      </c>
      <c r="AE6860" s="580">
        <f t="shared" si="572"/>
        <v>2.5</v>
      </c>
      <c r="AF6860" s="580">
        <f t="shared" si="573"/>
        <v>2.5</v>
      </c>
      <c r="AG6860" s="580">
        <f t="shared" si="574"/>
        <v>0</v>
      </c>
      <c r="AH6860" s="580">
        <f t="shared" si="575"/>
        <v>0</v>
      </c>
    </row>
    <row r="6861" spans="28:34">
      <c r="AB6861" s="580">
        <f>HLOOKUP("*"&amp;'Output annual'!$AC$2&amp;'Output annual'!$AD$2&amp;"*Zone People Number Of Occupants [](Hourly)",'Eplus results'!$1:$1048576,ROW(),FALSE)</f>
        <v>0</v>
      </c>
      <c r="AC6861" s="580">
        <f>HLOOKUP("*"&amp;'Output annual'!$AC$2&amp;'Output annual'!$AD$2&amp;"*FangerPMV(Hourly)",'Eplus results'!$1:$1048576,ROW(),FALSE)</f>
        <v>0</v>
      </c>
      <c r="AD6861" s="580">
        <f t="shared" si="571"/>
        <v>5</v>
      </c>
      <c r="AE6861" s="580">
        <f t="shared" si="572"/>
        <v>2.5</v>
      </c>
      <c r="AF6861" s="580">
        <f t="shared" si="573"/>
        <v>2.5</v>
      </c>
      <c r="AG6861" s="580">
        <f t="shared" si="574"/>
        <v>0</v>
      </c>
      <c r="AH6861" s="580">
        <f t="shared" si="575"/>
        <v>0</v>
      </c>
    </row>
    <row r="6862" spans="28:34">
      <c r="AB6862" s="580">
        <f>HLOOKUP("*"&amp;'Output annual'!$AC$2&amp;'Output annual'!$AD$2&amp;"*Zone People Number Of Occupants [](Hourly)",'Eplus results'!$1:$1048576,ROW(),FALSE)</f>
        <v>0</v>
      </c>
      <c r="AC6862" s="580">
        <f>HLOOKUP("*"&amp;'Output annual'!$AC$2&amp;'Output annual'!$AD$2&amp;"*FangerPMV(Hourly)",'Eplus results'!$1:$1048576,ROW(),FALSE)</f>
        <v>0</v>
      </c>
      <c r="AD6862" s="580">
        <f t="shared" si="571"/>
        <v>5</v>
      </c>
      <c r="AE6862" s="580">
        <f t="shared" si="572"/>
        <v>2.5</v>
      </c>
      <c r="AF6862" s="580">
        <f t="shared" si="573"/>
        <v>2.5</v>
      </c>
      <c r="AG6862" s="580">
        <f t="shared" si="574"/>
        <v>0</v>
      </c>
      <c r="AH6862" s="580">
        <f t="shared" si="575"/>
        <v>0</v>
      </c>
    </row>
    <row r="6863" spans="28:34">
      <c r="AB6863" s="580">
        <f>HLOOKUP("*"&amp;'Output annual'!$AC$2&amp;'Output annual'!$AD$2&amp;"*Zone People Number Of Occupants [](Hourly)",'Eplus results'!$1:$1048576,ROW(),FALSE)</f>
        <v>0</v>
      </c>
      <c r="AC6863" s="580">
        <f>HLOOKUP("*"&amp;'Output annual'!$AC$2&amp;'Output annual'!$AD$2&amp;"*FangerPMV(Hourly)",'Eplus results'!$1:$1048576,ROW(),FALSE)</f>
        <v>0</v>
      </c>
      <c r="AD6863" s="580">
        <f t="shared" si="571"/>
        <v>5</v>
      </c>
      <c r="AE6863" s="580">
        <f t="shared" si="572"/>
        <v>2.5</v>
      </c>
      <c r="AF6863" s="580">
        <f t="shared" si="573"/>
        <v>2.5</v>
      </c>
      <c r="AG6863" s="580">
        <f t="shared" si="574"/>
        <v>0</v>
      </c>
      <c r="AH6863" s="580">
        <f t="shared" si="575"/>
        <v>0</v>
      </c>
    </row>
    <row r="6864" spans="28:34">
      <c r="AB6864" s="580">
        <f>HLOOKUP("*"&amp;'Output annual'!$AC$2&amp;'Output annual'!$AD$2&amp;"*Zone People Number Of Occupants [](Hourly)",'Eplus results'!$1:$1048576,ROW(),FALSE)</f>
        <v>0</v>
      </c>
      <c r="AC6864" s="580">
        <f>HLOOKUP("*"&amp;'Output annual'!$AC$2&amp;'Output annual'!$AD$2&amp;"*FangerPMV(Hourly)",'Eplus results'!$1:$1048576,ROW(),FALSE)</f>
        <v>0</v>
      </c>
      <c r="AD6864" s="580">
        <f t="shared" si="571"/>
        <v>5</v>
      </c>
      <c r="AE6864" s="580">
        <f t="shared" si="572"/>
        <v>2.5</v>
      </c>
      <c r="AF6864" s="580">
        <f t="shared" si="573"/>
        <v>2.5</v>
      </c>
      <c r="AG6864" s="580">
        <f t="shared" si="574"/>
        <v>0</v>
      </c>
      <c r="AH6864" s="580">
        <f t="shared" si="575"/>
        <v>0</v>
      </c>
    </row>
    <row r="6865" spans="28:34">
      <c r="AB6865" s="580">
        <f>HLOOKUP("*"&amp;'Output annual'!$AC$2&amp;'Output annual'!$AD$2&amp;"*Zone People Number Of Occupants [](Hourly)",'Eplus results'!$1:$1048576,ROW(),FALSE)</f>
        <v>0</v>
      </c>
      <c r="AC6865" s="580">
        <f>HLOOKUP("*"&amp;'Output annual'!$AC$2&amp;'Output annual'!$AD$2&amp;"*FangerPMV(Hourly)",'Eplus results'!$1:$1048576,ROW(),FALSE)</f>
        <v>0</v>
      </c>
      <c r="AD6865" s="580">
        <f t="shared" si="571"/>
        <v>5</v>
      </c>
      <c r="AE6865" s="580">
        <f t="shared" si="572"/>
        <v>2.5</v>
      </c>
      <c r="AF6865" s="580">
        <f t="shared" si="573"/>
        <v>2.5</v>
      </c>
      <c r="AG6865" s="580">
        <f t="shared" si="574"/>
        <v>0</v>
      </c>
      <c r="AH6865" s="580">
        <f t="shared" si="575"/>
        <v>0</v>
      </c>
    </row>
    <row r="6866" spans="28:34">
      <c r="AB6866" s="580">
        <f>HLOOKUP("*"&amp;'Output annual'!$AC$2&amp;'Output annual'!$AD$2&amp;"*Zone People Number Of Occupants [](Hourly)",'Eplus results'!$1:$1048576,ROW(),FALSE)</f>
        <v>0</v>
      </c>
      <c r="AC6866" s="580">
        <f>HLOOKUP("*"&amp;'Output annual'!$AC$2&amp;'Output annual'!$AD$2&amp;"*FangerPMV(Hourly)",'Eplus results'!$1:$1048576,ROW(),FALSE)</f>
        <v>0</v>
      </c>
      <c r="AD6866" s="580">
        <f t="shared" si="571"/>
        <v>5</v>
      </c>
      <c r="AE6866" s="580">
        <f t="shared" si="572"/>
        <v>2.5</v>
      </c>
      <c r="AF6866" s="580">
        <f t="shared" si="573"/>
        <v>2.5</v>
      </c>
      <c r="AG6866" s="580">
        <f t="shared" si="574"/>
        <v>0</v>
      </c>
      <c r="AH6866" s="580">
        <f t="shared" si="575"/>
        <v>0</v>
      </c>
    </row>
    <row r="6867" spans="28:34">
      <c r="AB6867" s="580">
        <f>HLOOKUP("*"&amp;'Output annual'!$AC$2&amp;'Output annual'!$AD$2&amp;"*Zone People Number Of Occupants [](Hourly)",'Eplus results'!$1:$1048576,ROW(),FALSE)</f>
        <v>0</v>
      </c>
      <c r="AC6867" s="580">
        <f>HLOOKUP("*"&amp;'Output annual'!$AC$2&amp;'Output annual'!$AD$2&amp;"*FangerPMV(Hourly)",'Eplus results'!$1:$1048576,ROW(),FALSE)</f>
        <v>0</v>
      </c>
      <c r="AD6867" s="580">
        <f t="shared" si="571"/>
        <v>5</v>
      </c>
      <c r="AE6867" s="580">
        <f t="shared" si="572"/>
        <v>2.5</v>
      </c>
      <c r="AF6867" s="580">
        <f t="shared" si="573"/>
        <v>2.5</v>
      </c>
      <c r="AG6867" s="580">
        <f t="shared" si="574"/>
        <v>0</v>
      </c>
      <c r="AH6867" s="580">
        <f t="shared" si="575"/>
        <v>0</v>
      </c>
    </row>
    <row r="6868" spans="28:34">
      <c r="AB6868" s="580">
        <f>HLOOKUP("*"&amp;'Output annual'!$AC$2&amp;'Output annual'!$AD$2&amp;"*Zone People Number Of Occupants [](Hourly)",'Eplus results'!$1:$1048576,ROW(),FALSE)</f>
        <v>0</v>
      </c>
      <c r="AC6868" s="580">
        <f>HLOOKUP("*"&amp;'Output annual'!$AC$2&amp;'Output annual'!$AD$2&amp;"*FangerPMV(Hourly)",'Eplus results'!$1:$1048576,ROW(),FALSE)</f>
        <v>0</v>
      </c>
      <c r="AD6868" s="580">
        <f t="shared" si="571"/>
        <v>5</v>
      </c>
      <c r="AE6868" s="580">
        <f t="shared" si="572"/>
        <v>2.5</v>
      </c>
      <c r="AF6868" s="580">
        <f t="shared" si="573"/>
        <v>2.5</v>
      </c>
      <c r="AG6868" s="580">
        <f t="shared" si="574"/>
        <v>0</v>
      </c>
      <c r="AH6868" s="580">
        <f t="shared" si="575"/>
        <v>0</v>
      </c>
    </row>
    <row r="6869" spans="28:34">
      <c r="AB6869" s="580">
        <f>HLOOKUP("*"&amp;'Output annual'!$AC$2&amp;'Output annual'!$AD$2&amp;"*Zone People Number Of Occupants [](Hourly)",'Eplus results'!$1:$1048576,ROW(),FALSE)</f>
        <v>0</v>
      </c>
      <c r="AC6869" s="580">
        <f>HLOOKUP("*"&amp;'Output annual'!$AC$2&amp;'Output annual'!$AD$2&amp;"*FangerPMV(Hourly)",'Eplus results'!$1:$1048576,ROW(),FALSE)</f>
        <v>0</v>
      </c>
      <c r="AD6869" s="580">
        <f t="shared" si="571"/>
        <v>5</v>
      </c>
      <c r="AE6869" s="580">
        <f t="shared" si="572"/>
        <v>2.5</v>
      </c>
      <c r="AF6869" s="580">
        <f t="shared" si="573"/>
        <v>2.5</v>
      </c>
      <c r="AG6869" s="580">
        <f t="shared" si="574"/>
        <v>0</v>
      </c>
      <c r="AH6869" s="580">
        <f t="shared" si="575"/>
        <v>0</v>
      </c>
    </row>
    <row r="6870" spans="28:34">
      <c r="AB6870" s="580">
        <f>HLOOKUP("*"&amp;'Output annual'!$AC$2&amp;'Output annual'!$AD$2&amp;"*Zone People Number Of Occupants [](Hourly)",'Eplus results'!$1:$1048576,ROW(),FALSE)</f>
        <v>0</v>
      </c>
      <c r="AC6870" s="580">
        <f>HLOOKUP("*"&amp;'Output annual'!$AC$2&amp;'Output annual'!$AD$2&amp;"*FangerPMV(Hourly)",'Eplus results'!$1:$1048576,ROW(),FALSE)</f>
        <v>0</v>
      </c>
      <c r="AD6870" s="580">
        <f t="shared" si="571"/>
        <v>5</v>
      </c>
      <c r="AE6870" s="580">
        <f t="shared" si="572"/>
        <v>2.5</v>
      </c>
      <c r="AF6870" s="580">
        <f t="shared" si="573"/>
        <v>2.5</v>
      </c>
      <c r="AG6870" s="580">
        <f t="shared" si="574"/>
        <v>0</v>
      </c>
      <c r="AH6870" s="580">
        <f t="shared" si="575"/>
        <v>0</v>
      </c>
    </row>
    <row r="6871" spans="28:34">
      <c r="AB6871" s="580">
        <f>HLOOKUP("*"&amp;'Output annual'!$AC$2&amp;'Output annual'!$AD$2&amp;"*Zone People Number Of Occupants [](Hourly)",'Eplus results'!$1:$1048576,ROW(),FALSE)</f>
        <v>0</v>
      </c>
      <c r="AC6871" s="580">
        <f>HLOOKUP("*"&amp;'Output annual'!$AC$2&amp;'Output annual'!$AD$2&amp;"*FangerPMV(Hourly)",'Eplus results'!$1:$1048576,ROW(),FALSE)</f>
        <v>0</v>
      </c>
      <c r="AD6871" s="580">
        <f t="shared" si="571"/>
        <v>5</v>
      </c>
      <c r="AE6871" s="580">
        <f t="shared" si="572"/>
        <v>2.5</v>
      </c>
      <c r="AF6871" s="580">
        <f t="shared" si="573"/>
        <v>2.5</v>
      </c>
      <c r="AG6871" s="580">
        <f t="shared" si="574"/>
        <v>0</v>
      </c>
      <c r="AH6871" s="580">
        <f t="shared" si="575"/>
        <v>0</v>
      </c>
    </row>
    <row r="6872" spans="28:34">
      <c r="AB6872" s="580">
        <f>HLOOKUP("*"&amp;'Output annual'!$AC$2&amp;'Output annual'!$AD$2&amp;"*Zone People Number Of Occupants [](Hourly)",'Eplus results'!$1:$1048576,ROW(),FALSE)</f>
        <v>0</v>
      </c>
      <c r="AC6872" s="580">
        <f>HLOOKUP("*"&amp;'Output annual'!$AC$2&amp;'Output annual'!$AD$2&amp;"*FangerPMV(Hourly)",'Eplus results'!$1:$1048576,ROW(),FALSE)</f>
        <v>0</v>
      </c>
      <c r="AD6872" s="580">
        <f t="shared" si="571"/>
        <v>5</v>
      </c>
      <c r="AE6872" s="580">
        <f t="shared" si="572"/>
        <v>2.5</v>
      </c>
      <c r="AF6872" s="580">
        <f t="shared" si="573"/>
        <v>2.5</v>
      </c>
      <c r="AG6872" s="580">
        <f t="shared" si="574"/>
        <v>0</v>
      </c>
      <c r="AH6872" s="580">
        <f t="shared" si="575"/>
        <v>0</v>
      </c>
    </row>
    <row r="6873" spans="28:34">
      <c r="AB6873" s="580">
        <f>HLOOKUP("*"&amp;'Output annual'!$AC$2&amp;'Output annual'!$AD$2&amp;"*Zone People Number Of Occupants [](Hourly)",'Eplus results'!$1:$1048576,ROW(),FALSE)</f>
        <v>0</v>
      </c>
      <c r="AC6873" s="580">
        <f>HLOOKUP("*"&amp;'Output annual'!$AC$2&amp;'Output annual'!$AD$2&amp;"*FangerPMV(Hourly)",'Eplus results'!$1:$1048576,ROW(),FALSE)</f>
        <v>0</v>
      </c>
      <c r="AD6873" s="580">
        <f t="shared" si="571"/>
        <v>5</v>
      </c>
      <c r="AE6873" s="580">
        <f t="shared" si="572"/>
        <v>2.5</v>
      </c>
      <c r="AF6873" s="580">
        <f t="shared" si="573"/>
        <v>2.5</v>
      </c>
      <c r="AG6873" s="580">
        <f t="shared" si="574"/>
        <v>0</v>
      </c>
      <c r="AH6873" s="580">
        <f t="shared" si="575"/>
        <v>0</v>
      </c>
    </row>
    <row r="6874" spans="28:34">
      <c r="AB6874" s="580">
        <f>HLOOKUP("*"&amp;'Output annual'!$AC$2&amp;'Output annual'!$AD$2&amp;"*Zone People Number Of Occupants [](Hourly)",'Eplus results'!$1:$1048576,ROW(),FALSE)</f>
        <v>0</v>
      </c>
      <c r="AC6874" s="580">
        <f>HLOOKUP("*"&amp;'Output annual'!$AC$2&amp;'Output annual'!$AD$2&amp;"*FangerPMV(Hourly)",'Eplus results'!$1:$1048576,ROW(),FALSE)</f>
        <v>0</v>
      </c>
      <c r="AD6874" s="580">
        <f t="shared" si="571"/>
        <v>5</v>
      </c>
      <c r="AE6874" s="580">
        <f t="shared" si="572"/>
        <v>2.5</v>
      </c>
      <c r="AF6874" s="580">
        <f t="shared" si="573"/>
        <v>2.5</v>
      </c>
      <c r="AG6874" s="580">
        <f t="shared" si="574"/>
        <v>0</v>
      </c>
      <c r="AH6874" s="580">
        <f t="shared" si="575"/>
        <v>0</v>
      </c>
    </row>
    <row r="6875" spans="28:34">
      <c r="AB6875" s="580">
        <f>HLOOKUP("*"&amp;'Output annual'!$AC$2&amp;'Output annual'!$AD$2&amp;"*Zone People Number Of Occupants [](Hourly)",'Eplus results'!$1:$1048576,ROW(),FALSE)</f>
        <v>0</v>
      </c>
      <c r="AC6875" s="580">
        <f>HLOOKUP("*"&amp;'Output annual'!$AC$2&amp;'Output annual'!$AD$2&amp;"*FangerPMV(Hourly)",'Eplus results'!$1:$1048576,ROW(),FALSE)</f>
        <v>0</v>
      </c>
      <c r="AD6875" s="580">
        <f t="shared" si="571"/>
        <v>5</v>
      </c>
      <c r="AE6875" s="580">
        <f t="shared" si="572"/>
        <v>2.5</v>
      </c>
      <c r="AF6875" s="580">
        <f t="shared" si="573"/>
        <v>2.5</v>
      </c>
      <c r="AG6875" s="580">
        <f t="shared" si="574"/>
        <v>0</v>
      </c>
      <c r="AH6875" s="580">
        <f t="shared" si="575"/>
        <v>0</v>
      </c>
    </row>
    <row r="6876" spans="28:34">
      <c r="AB6876" s="580">
        <f>HLOOKUP("*"&amp;'Output annual'!$AC$2&amp;'Output annual'!$AD$2&amp;"*Zone People Number Of Occupants [](Hourly)",'Eplus results'!$1:$1048576,ROW(),FALSE)</f>
        <v>0</v>
      </c>
      <c r="AC6876" s="580">
        <f>HLOOKUP("*"&amp;'Output annual'!$AC$2&amp;'Output annual'!$AD$2&amp;"*FangerPMV(Hourly)",'Eplus results'!$1:$1048576,ROW(),FALSE)</f>
        <v>0</v>
      </c>
      <c r="AD6876" s="580">
        <f t="shared" si="571"/>
        <v>5</v>
      </c>
      <c r="AE6876" s="580">
        <f t="shared" si="572"/>
        <v>2.5</v>
      </c>
      <c r="AF6876" s="580">
        <f t="shared" si="573"/>
        <v>2.5</v>
      </c>
      <c r="AG6876" s="580">
        <f t="shared" si="574"/>
        <v>0</v>
      </c>
      <c r="AH6876" s="580">
        <f t="shared" si="575"/>
        <v>0</v>
      </c>
    </row>
    <row r="6877" spans="28:34">
      <c r="AB6877" s="580">
        <f>HLOOKUP("*"&amp;'Output annual'!$AC$2&amp;'Output annual'!$AD$2&amp;"*Zone People Number Of Occupants [](Hourly)",'Eplus results'!$1:$1048576,ROW(),FALSE)</f>
        <v>0</v>
      </c>
      <c r="AC6877" s="580">
        <f>HLOOKUP("*"&amp;'Output annual'!$AC$2&amp;'Output annual'!$AD$2&amp;"*FangerPMV(Hourly)",'Eplus results'!$1:$1048576,ROW(),FALSE)</f>
        <v>0</v>
      </c>
      <c r="AD6877" s="580">
        <f t="shared" si="571"/>
        <v>5</v>
      </c>
      <c r="AE6877" s="580">
        <f t="shared" si="572"/>
        <v>2.5</v>
      </c>
      <c r="AF6877" s="580">
        <f t="shared" si="573"/>
        <v>2.5</v>
      </c>
      <c r="AG6877" s="580">
        <f t="shared" si="574"/>
        <v>0</v>
      </c>
      <c r="AH6877" s="580">
        <f t="shared" si="575"/>
        <v>0</v>
      </c>
    </row>
    <row r="6878" spans="28:34">
      <c r="AB6878" s="580">
        <f>HLOOKUP("*"&amp;'Output annual'!$AC$2&amp;'Output annual'!$AD$2&amp;"*Zone People Number Of Occupants [](Hourly)",'Eplus results'!$1:$1048576,ROW(),FALSE)</f>
        <v>0</v>
      </c>
      <c r="AC6878" s="580">
        <f>HLOOKUP("*"&amp;'Output annual'!$AC$2&amp;'Output annual'!$AD$2&amp;"*FangerPMV(Hourly)",'Eplus results'!$1:$1048576,ROW(),FALSE)</f>
        <v>0</v>
      </c>
      <c r="AD6878" s="580">
        <f t="shared" si="571"/>
        <v>5</v>
      </c>
      <c r="AE6878" s="580">
        <f t="shared" si="572"/>
        <v>2.5</v>
      </c>
      <c r="AF6878" s="580">
        <f t="shared" si="573"/>
        <v>2.5</v>
      </c>
      <c r="AG6878" s="580">
        <f t="shared" si="574"/>
        <v>0</v>
      </c>
      <c r="AH6878" s="580">
        <f t="shared" si="575"/>
        <v>0</v>
      </c>
    </row>
    <row r="6879" spans="28:34">
      <c r="AB6879" s="580">
        <f>HLOOKUP("*"&amp;'Output annual'!$AC$2&amp;'Output annual'!$AD$2&amp;"*Zone People Number Of Occupants [](Hourly)",'Eplus results'!$1:$1048576,ROW(),FALSE)</f>
        <v>0</v>
      </c>
      <c r="AC6879" s="580">
        <f>HLOOKUP("*"&amp;'Output annual'!$AC$2&amp;'Output annual'!$AD$2&amp;"*FangerPMV(Hourly)",'Eplus results'!$1:$1048576,ROW(),FALSE)</f>
        <v>0</v>
      </c>
      <c r="AD6879" s="580">
        <f t="shared" si="571"/>
        <v>5</v>
      </c>
      <c r="AE6879" s="580">
        <f t="shared" si="572"/>
        <v>2.5</v>
      </c>
      <c r="AF6879" s="580">
        <f t="shared" si="573"/>
        <v>2.5</v>
      </c>
      <c r="AG6879" s="580">
        <f t="shared" si="574"/>
        <v>0</v>
      </c>
      <c r="AH6879" s="580">
        <f t="shared" si="575"/>
        <v>0</v>
      </c>
    </row>
    <row r="6880" spans="28:34">
      <c r="AB6880" s="580">
        <f>HLOOKUP("*"&amp;'Output annual'!$AC$2&amp;'Output annual'!$AD$2&amp;"*Zone People Number Of Occupants [](Hourly)",'Eplus results'!$1:$1048576,ROW(),FALSE)</f>
        <v>0</v>
      </c>
      <c r="AC6880" s="580">
        <f>HLOOKUP("*"&amp;'Output annual'!$AC$2&amp;'Output annual'!$AD$2&amp;"*FangerPMV(Hourly)",'Eplus results'!$1:$1048576,ROW(),FALSE)</f>
        <v>0</v>
      </c>
      <c r="AD6880" s="580">
        <f t="shared" si="571"/>
        <v>5</v>
      </c>
      <c r="AE6880" s="580">
        <f t="shared" si="572"/>
        <v>2.5</v>
      </c>
      <c r="AF6880" s="580">
        <f t="shared" si="573"/>
        <v>2.5</v>
      </c>
      <c r="AG6880" s="580">
        <f t="shared" si="574"/>
        <v>0</v>
      </c>
      <c r="AH6880" s="580">
        <f t="shared" si="575"/>
        <v>0</v>
      </c>
    </row>
    <row r="6881" spans="28:34">
      <c r="AB6881" s="580">
        <f>HLOOKUP("*"&amp;'Output annual'!$AC$2&amp;'Output annual'!$AD$2&amp;"*Zone People Number Of Occupants [](Hourly)",'Eplus results'!$1:$1048576,ROW(),FALSE)</f>
        <v>0</v>
      </c>
      <c r="AC6881" s="580">
        <f>HLOOKUP("*"&amp;'Output annual'!$AC$2&amp;'Output annual'!$AD$2&amp;"*FangerPMV(Hourly)",'Eplus results'!$1:$1048576,ROW(),FALSE)</f>
        <v>0</v>
      </c>
      <c r="AD6881" s="580">
        <f t="shared" si="571"/>
        <v>5</v>
      </c>
      <c r="AE6881" s="580">
        <f t="shared" si="572"/>
        <v>2.5</v>
      </c>
      <c r="AF6881" s="580">
        <f t="shared" si="573"/>
        <v>2.5</v>
      </c>
      <c r="AG6881" s="580">
        <f t="shared" si="574"/>
        <v>0</v>
      </c>
      <c r="AH6881" s="580">
        <f t="shared" si="575"/>
        <v>0</v>
      </c>
    </row>
    <row r="6882" spans="28:34">
      <c r="AB6882" s="580">
        <f>HLOOKUP("*"&amp;'Output annual'!$AC$2&amp;'Output annual'!$AD$2&amp;"*Zone People Number Of Occupants [](Hourly)",'Eplus results'!$1:$1048576,ROW(),FALSE)</f>
        <v>0</v>
      </c>
      <c r="AC6882" s="580">
        <f>HLOOKUP("*"&amp;'Output annual'!$AC$2&amp;'Output annual'!$AD$2&amp;"*FangerPMV(Hourly)",'Eplus results'!$1:$1048576,ROW(),FALSE)</f>
        <v>0</v>
      </c>
      <c r="AD6882" s="580">
        <f t="shared" si="571"/>
        <v>5</v>
      </c>
      <c r="AE6882" s="580">
        <f t="shared" si="572"/>
        <v>2.5</v>
      </c>
      <c r="AF6882" s="580">
        <f t="shared" si="573"/>
        <v>2.5</v>
      </c>
      <c r="AG6882" s="580">
        <f t="shared" si="574"/>
        <v>0</v>
      </c>
      <c r="AH6882" s="580">
        <f t="shared" si="575"/>
        <v>0</v>
      </c>
    </row>
    <row r="6883" spans="28:34">
      <c r="AB6883" s="580">
        <f>HLOOKUP("*"&amp;'Output annual'!$AC$2&amp;'Output annual'!$AD$2&amp;"*Zone People Number Of Occupants [](Hourly)",'Eplus results'!$1:$1048576,ROW(),FALSE)</f>
        <v>0</v>
      </c>
      <c r="AC6883" s="580">
        <f>HLOOKUP("*"&amp;'Output annual'!$AC$2&amp;'Output annual'!$AD$2&amp;"*FangerPMV(Hourly)",'Eplus results'!$1:$1048576,ROW(),FALSE)</f>
        <v>0</v>
      </c>
      <c r="AD6883" s="580">
        <f t="shared" si="571"/>
        <v>5</v>
      </c>
      <c r="AE6883" s="580">
        <f t="shared" si="572"/>
        <v>2.5</v>
      </c>
      <c r="AF6883" s="580">
        <f t="shared" si="573"/>
        <v>2.5</v>
      </c>
      <c r="AG6883" s="580">
        <f t="shared" si="574"/>
        <v>0</v>
      </c>
      <c r="AH6883" s="580">
        <f t="shared" si="575"/>
        <v>0</v>
      </c>
    </row>
    <row r="6884" spans="28:34">
      <c r="AB6884" s="580">
        <f>HLOOKUP("*"&amp;'Output annual'!$AC$2&amp;'Output annual'!$AD$2&amp;"*Zone People Number Of Occupants [](Hourly)",'Eplus results'!$1:$1048576,ROW(),FALSE)</f>
        <v>0</v>
      </c>
      <c r="AC6884" s="580">
        <f>HLOOKUP("*"&amp;'Output annual'!$AC$2&amp;'Output annual'!$AD$2&amp;"*FangerPMV(Hourly)",'Eplus results'!$1:$1048576,ROW(),FALSE)</f>
        <v>0</v>
      </c>
      <c r="AD6884" s="580">
        <f t="shared" si="571"/>
        <v>5</v>
      </c>
      <c r="AE6884" s="580">
        <f t="shared" si="572"/>
        <v>2.5</v>
      </c>
      <c r="AF6884" s="580">
        <f t="shared" si="573"/>
        <v>2.5</v>
      </c>
      <c r="AG6884" s="580">
        <f t="shared" si="574"/>
        <v>0</v>
      </c>
      <c r="AH6884" s="580">
        <f t="shared" si="575"/>
        <v>0</v>
      </c>
    </row>
    <row r="6885" spans="28:34">
      <c r="AB6885" s="580">
        <f>HLOOKUP("*"&amp;'Output annual'!$AC$2&amp;'Output annual'!$AD$2&amp;"*Zone People Number Of Occupants [](Hourly)",'Eplus results'!$1:$1048576,ROW(),FALSE)</f>
        <v>0</v>
      </c>
      <c r="AC6885" s="580">
        <f>HLOOKUP("*"&amp;'Output annual'!$AC$2&amp;'Output annual'!$AD$2&amp;"*FangerPMV(Hourly)",'Eplus results'!$1:$1048576,ROW(),FALSE)</f>
        <v>0</v>
      </c>
      <c r="AD6885" s="580">
        <f t="shared" si="571"/>
        <v>5</v>
      </c>
      <c r="AE6885" s="580">
        <f t="shared" si="572"/>
        <v>2.5</v>
      </c>
      <c r="AF6885" s="580">
        <f t="shared" si="573"/>
        <v>2.5</v>
      </c>
      <c r="AG6885" s="580">
        <f t="shared" si="574"/>
        <v>0</v>
      </c>
      <c r="AH6885" s="580">
        <f t="shared" si="575"/>
        <v>0</v>
      </c>
    </row>
    <row r="6886" spans="28:34">
      <c r="AB6886" s="580">
        <f>HLOOKUP("*"&amp;'Output annual'!$AC$2&amp;'Output annual'!$AD$2&amp;"*Zone People Number Of Occupants [](Hourly)",'Eplus results'!$1:$1048576,ROW(),FALSE)</f>
        <v>0</v>
      </c>
      <c r="AC6886" s="580">
        <f>HLOOKUP("*"&amp;'Output annual'!$AC$2&amp;'Output annual'!$AD$2&amp;"*FangerPMV(Hourly)",'Eplus results'!$1:$1048576,ROW(),FALSE)</f>
        <v>0</v>
      </c>
      <c r="AD6886" s="580">
        <f t="shared" si="571"/>
        <v>5</v>
      </c>
      <c r="AE6886" s="580">
        <f t="shared" si="572"/>
        <v>2.5</v>
      </c>
      <c r="AF6886" s="580">
        <f t="shared" si="573"/>
        <v>2.5</v>
      </c>
      <c r="AG6886" s="580">
        <f t="shared" si="574"/>
        <v>0</v>
      </c>
      <c r="AH6886" s="580">
        <f t="shared" si="575"/>
        <v>0</v>
      </c>
    </row>
    <row r="6887" spans="28:34">
      <c r="AB6887" s="580">
        <f>HLOOKUP("*"&amp;'Output annual'!$AC$2&amp;'Output annual'!$AD$2&amp;"*Zone People Number Of Occupants [](Hourly)",'Eplus results'!$1:$1048576,ROW(),FALSE)</f>
        <v>0</v>
      </c>
      <c r="AC6887" s="580">
        <f>HLOOKUP("*"&amp;'Output annual'!$AC$2&amp;'Output annual'!$AD$2&amp;"*FangerPMV(Hourly)",'Eplus results'!$1:$1048576,ROW(),FALSE)</f>
        <v>0</v>
      </c>
      <c r="AD6887" s="580">
        <f t="shared" si="571"/>
        <v>5</v>
      </c>
      <c r="AE6887" s="580">
        <f t="shared" si="572"/>
        <v>2.5</v>
      </c>
      <c r="AF6887" s="580">
        <f t="shared" si="573"/>
        <v>2.5</v>
      </c>
      <c r="AG6887" s="580">
        <f t="shared" si="574"/>
        <v>0</v>
      </c>
      <c r="AH6887" s="580">
        <f t="shared" si="575"/>
        <v>0</v>
      </c>
    </row>
    <row r="6888" spans="28:34">
      <c r="AB6888" s="580">
        <f>HLOOKUP("*"&amp;'Output annual'!$AC$2&amp;'Output annual'!$AD$2&amp;"*Zone People Number Of Occupants [](Hourly)",'Eplus results'!$1:$1048576,ROW(),FALSE)</f>
        <v>0</v>
      </c>
      <c r="AC6888" s="580">
        <f>HLOOKUP("*"&amp;'Output annual'!$AC$2&amp;'Output annual'!$AD$2&amp;"*FangerPMV(Hourly)",'Eplus results'!$1:$1048576,ROW(),FALSE)</f>
        <v>0</v>
      </c>
      <c r="AD6888" s="580">
        <f t="shared" si="571"/>
        <v>5</v>
      </c>
      <c r="AE6888" s="580">
        <f t="shared" si="572"/>
        <v>2.5</v>
      </c>
      <c r="AF6888" s="580">
        <f t="shared" si="573"/>
        <v>2.5</v>
      </c>
      <c r="AG6888" s="580">
        <f t="shared" si="574"/>
        <v>0</v>
      </c>
      <c r="AH6888" s="580">
        <f t="shared" si="575"/>
        <v>0</v>
      </c>
    </row>
    <row r="6889" spans="28:34">
      <c r="AB6889" s="580">
        <f>HLOOKUP("*"&amp;'Output annual'!$AC$2&amp;'Output annual'!$AD$2&amp;"*Zone People Number Of Occupants [](Hourly)",'Eplus results'!$1:$1048576,ROW(),FALSE)</f>
        <v>0</v>
      </c>
      <c r="AC6889" s="580">
        <f>HLOOKUP("*"&amp;'Output annual'!$AC$2&amp;'Output annual'!$AD$2&amp;"*FangerPMV(Hourly)",'Eplus results'!$1:$1048576,ROW(),FALSE)</f>
        <v>0</v>
      </c>
      <c r="AD6889" s="580">
        <f t="shared" si="571"/>
        <v>5</v>
      </c>
      <c r="AE6889" s="580">
        <f t="shared" si="572"/>
        <v>2.5</v>
      </c>
      <c r="AF6889" s="580">
        <f t="shared" si="573"/>
        <v>2.5</v>
      </c>
      <c r="AG6889" s="580">
        <f t="shared" si="574"/>
        <v>0</v>
      </c>
      <c r="AH6889" s="580">
        <f t="shared" si="575"/>
        <v>0</v>
      </c>
    </row>
    <row r="6890" spans="28:34">
      <c r="AB6890" s="580">
        <f>HLOOKUP("*"&amp;'Output annual'!$AC$2&amp;'Output annual'!$AD$2&amp;"*Zone People Number Of Occupants [](Hourly)",'Eplus results'!$1:$1048576,ROW(),FALSE)</f>
        <v>0</v>
      </c>
      <c r="AC6890" s="580">
        <f>HLOOKUP("*"&amp;'Output annual'!$AC$2&amp;'Output annual'!$AD$2&amp;"*FangerPMV(Hourly)",'Eplus results'!$1:$1048576,ROW(),FALSE)</f>
        <v>0</v>
      </c>
      <c r="AD6890" s="580">
        <f t="shared" si="571"/>
        <v>5</v>
      </c>
      <c r="AE6890" s="580">
        <f t="shared" si="572"/>
        <v>2.5</v>
      </c>
      <c r="AF6890" s="580">
        <f t="shared" si="573"/>
        <v>2.5</v>
      </c>
      <c r="AG6890" s="580">
        <f t="shared" si="574"/>
        <v>0</v>
      </c>
      <c r="AH6890" s="580">
        <f t="shared" si="575"/>
        <v>0</v>
      </c>
    </row>
    <row r="6891" spans="28:34">
      <c r="AB6891" s="580">
        <f>HLOOKUP("*"&amp;'Output annual'!$AC$2&amp;'Output annual'!$AD$2&amp;"*Zone People Number Of Occupants [](Hourly)",'Eplus results'!$1:$1048576,ROW(),FALSE)</f>
        <v>0</v>
      </c>
      <c r="AC6891" s="580">
        <f>HLOOKUP("*"&amp;'Output annual'!$AC$2&amp;'Output annual'!$AD$2&amp;"*FangerPMV(Hourly)",'Eplus results'!$1:$1048576,ROW(),FALSE)</f>
        <v>0</v>
      </c>
      <c r="AD6891" s="580">
        <f t="shared" si="571"/>
        <v>5</v>
      </c>
      <c r="AE6891" s="580">
        <f t="shared" si="572"/>
        <v>2.5</v>
      </c>
      <c r="AF6891" s="580">
        <f t="shared" si="573"/>
        <v>2.5</v>
      </c>
      <c r="AG6891" s="580">
        <f t="shared" si="574"/>
        <v>0</v>
      </c>
      <c r="AH6891" s="580">
        <f t="shared" si="575"/>
        <v>0</v>
      </c>
    </row>
    <row r="6892" spans="28:34">
      <c r="AB6892" s="580">
        <f>HLOOKUP("*"&amp;'Output annual'!$AC$2&amp;'Output annual'!$AD$2&amp;"*Zone People Number Of Occupants [](Hourly)",'Eplus results'!$1:$1048576,ROW(),FALSE)</f>
        <v>0</v>
      </c>
      <c r="AC6892" s="580">
        <f>HLOOKUP("*"&amp;'Output annual'!$AC$2&amp;'Output annual'!$AD$2&amp;"*FangerPMV(Hourly)",'Eplus results'!$1:$1048576,ROW(),FALSE)</f>
        <v>0</v>
      </c>
      <c r="AD6892" s="580">
        <f t="shared" si="571"/>
        <v>5</v>
      </c>
      <c r="AE6892" s="580">
        <f t="shared" si="572"/>
        <v>2.5</v>
      </c>
      <c r="AF6892" s="580">
        <f t="shared" si="573"/>
        <v>2.5</v>
      </c>
      <c r="AG6892" s="580">
        <f t="shared" si="574"/>
        <v>0</v>
      </c>
      <c r="AH6892" s="580">
        <f t="shared" si="575"/>
        <v>0</v>
      </c>
    </row>
    <row r="6893" spans="28:34">
      <c r="AB6893" s="580">
        <f>HLOOKUP("*"&amp;'Output annual'!$AC$2&amp;'Output annual'!$AD$2&amp;"*Zone People Number Of Occupants [](Hourly)",'Eplus results'!$1:$1048576,ROW(),FALSE)</f>
        <v>0</v>
      </c>
      <c r="AC6893" s="580">
        <f>HLOOKUP("*"&amp;'Output annual'!$AC$2&amp;'Output annual'!$AD$2&amp;"*FangerPMV(Hourly)",'Eplus results'!$1:$1048576,ROW(),FALSE)</f>
        <v>0</v>
      </c>
      <c r="AD6893" s="580">
        <f t="shared" si="571"/>
        <v>5</v>
      </c>
      <c r="AE6893" s="580">
        <f t="shared" si="572"/>
        <v>2.5</v>
      </c>
      <c r="AF6893" s="580">
        <f t="shared" si="573"/>
        <v>2.5</v>
      </c>
      <c r="AG6893" s="580">
        <f t="shared" si="574"/>
        <v>0</v>
      </c>
      <c r="AH6893" s="580">
        <f t="shared" si="575"/>
        <v>0</v>
      </c>
    </row>
    <row r="6894" spans="28:34">
      <c r="AB6894" s="580">
        <f>HLOOKUP("*"&amp;'Output annual'!$AC$2&amp;'Output annual'!$AD$2&amp;"*Zone People Number Of Occupants [](Hourly)",'Eplus results'!$1:$1048576,ROW(),FALSE)</f>
        <v>0</v>
      </c>
      <c r="AC6894" s="580">
        <f>HLOOKUP("*"&amp;'Output annual'!$AC$2&amp;'Output annual'!$AD$2&amp;"*FangerPMV(Hourly)",'Eplus results'!$1:$1048576,ROW(),FALSE)</f>
        <v>0</v>
      </c>
      <c r="AD6894" s="580">
        <f t="shared" si="571"/>
        <v>5</v>
      </c>
      <c r="AE6894" s="580">
        <f t="shared" si="572"/>
        <v>2.5</v>
      </c>
      <c r="AF6894" s="580">
        <f t="shared" si="573"/>
        <v>2.5</v>
      </c>
      <c r="AG6894" s="580">
        <f t="shared" si="574"/>
        <v>0</v>
      </c>
      <c r="AH6894" s="580">
        <f t="shared" si="575"/>
        <v>0</v>
      </c>
    </row>
    <row r="6895" spans="28:34">
      <c r="AB6895" s="580">
        <f>HLOOKUP("*"&amp;'Output annual'!$AC$2&amp;'Output annual'!$AD$2&amp;"*Zone People Number Of Occupants [](Hourly)",'Eplus results'!$1:$1048576,ROW(),FALSE)</f>
        <v>0</v>
      </c>
      <c r="AC6895" s="580">
        <f>HLOOKUP("*"&amp;'Output annual'!$AC$2&amp;'Output annual'!$AD$2&amp;"*FangerPMV(Hourly)",'Eplus results'!$1:$1048576,ROW(),FALSE)</f>
        <v>0</v>
      </c>
      <c r="AD6895" s="580">
        <f t="shared" si="571"/>
        <v>5</v>
      </c>
      <c r="AE6895" s="580">
        <f t="shared" si="572"/>
        <v>2.5</v>
      </c>
      <c r="AF6895" s="580">
        <f t="shared" si="573"/>
        <v>2.5</v>
      </c>
      <c r="AG6895" s="580">
        <f t="shared" si="574"/>
        <v>0</v>
      </c>
      <c r="AH6895" s="580">
        <f t="shared" si="575"/>
        <v>0</v>
      </c>
    </row>
    <row r="6896" spans="28:34">
      <c r="AB6896" s="580">
        <f>HLOOKUP("*"&amp;'Output annual'!$AC$2&amp;'Output annual'!$AD$2&amp;"*Zone People Number Of Occupants [](Hourly)",'Eplus results'!$1:$1048576,ROW(),FALSE)</f>
        <v>0</v>
      </c>
      <c r="AC6896" s="580">
        <f>HLOOKUP("*"&amp;'Output annual'!$AC$2&amp;'Output annual'!$AD$2&amp;"*FangerPMV(Hourly)",'Eplus results'!$1:$1048576,ROW(),FALSE)</f>
        <v>0</v>
      </c>
      <c r="AD6896" s="580">
        <f t="shared" si="571"/>
        <v>5</v>
      </c>
      <c r="AE6896" s="580">
        <f t="shared" si="572"/>
        <v>2.5</v>
      </c>
      <c r="AF6896" s="580">
        <f t="shared" si="573"/>
        <v>2.5</v>
      </c>
      <c r="AG6896" s="580">
        <f t="shared" si="574"/>
        <v>0</v>
      </c>
      <c r="AH6896" s="580">
        <f t="shared" si="575"/>
        <v>0</v>
      </c>
    </row>
    <row r="6897" spans="28:34">
      <c r="AB6897" s="580">
        <f>HLOOKUP("*"&amp;'Output annual'!$AC$2&amp;'Output annual'!$AD$2&amp;"*Zone People Number Of Occupants [](Hourly)",'Eplus results'!$1:$1048576,ROW(),FALSE)</f>
        <v>0</v>
      </c>
      <c r="AC6897" s="580">
        <f>HLOOKUP("*"&amp;'Output annual'!$AC$2&amp;'Output annual'!$AD$2&amp;"*FangerPMV(Hourly)",'Eplus results'!$1:$1048576,ROW(),FALSE)</f>
        <v>0</v>
      </c>
      <c r="AD6897" s="580">
        <f t="shared" si="571"/>
        <v>5</v>
      </c>
      <c r="AE6897" s="580">
        <f t="shared" si="572"/>
        <v>2.5</v>
      </c>
      <c r="AF6897" s="580">
        <f t="shared" si="573"/>
        <v>2.5</v>
      </c>
      <c r="AG6897" s="580">
        <f t="shared" si="574"/>
        <v>0</v>
      </c>
      <c r="AH6897" s="580">
        <f t="shared" si="575"/>
        <v>0</v>
      </c>
    </row>
    <row r="6898" spans="28:34">
      <c r="AB6898" s="580">
        <f>HLOOKUP("*"&amp;'Output annual'!$AC$2&amp;'Output annual'!$AD$2&amp;"*Zone People Number Of Occupants [](Hourly)",'Eplus results'!$1:$1048576,ROW(),FALSE)</f>
        <v>0</v>
      </c>
      <c r="AC6898" s="580">
        <f>HLOOKUP("*"&amp;'Output annual'!$AC$2&amp;'Output annual'!$AD$2&amp;"*FangerPMV(Hourly)",'Eplus results'!$1:$1048576,ROW(),FALSE)</f>
        <v>0</v>
      </c>
      <c r="AD6898" s="580">
        <f t="shared" si="571"/>
        <v>5</v>
      </c>
      <c r="AE6898" s="580">
        <f t="shared" si="572"/>
        <v>2.5</v>
      </c>
      <c r="AF6898" s="580">
        <f t="shared" si="573"/>
        <v>2.5</v>
      </c>
      <c r="AG6898" s="580">
        <f t="shared" si="574"/>
        <v>0</v>
      </c>
      <c r="AH6898" s="580">
        <f t="shared" si="575"/>
        <v>0</v>
      </c>
    </row>
    <row r="6899" spans="28:34">
      <c r="AB6899" s="580">
        <f>HLOOKUP("*"&amp;'Output annual'!$AC$2&amp;'Output annual'!$AD$2&amp;"*Zone People Number Of Occupants [](Hourly)",'Eplus results'!$1:$1048576,ROW(),FALSE)</f>
        <v>0</v>
      </c>
      <c r="AC6899" s="580">
        <f>HLOOKUP("*"&amp;'Output annual'!$AC$2&amp;'Output annual'!$AD$2&amp;"*FangerPMV(Hourly)",'Eplus results'!$1:$1048576,ROW(),FALSE)</f>
        <v>0</v>
      </c>
      <c r="AD6899" s="580">
        <f t="shared" si="571"/>
        <v>5</v>
      </c>
      <c r="AE6899" s="580">
        <f t="shared" si="572"/>
        <v>2.5</v>
      </c>
      <c r="AF6899" s="580">
        <f t="shared" si="573"/>
        <v>2.5</v>
      </c>
      <c r="AG6899" s="580">
        <f t="shared" si="574"/>
        <v>0</v>
      </c>
      <c r="AH6899" s="580">
        <f t="shared" si="575"/>
        <v>0</v>
      </c>
    </row>
    <row r="6900" spans="28:34">
      <c r="AB6900" s="580">
        <f>HLOOKUP("*"&amp;'Output annual'!$AC$2&amp;'Output annual'!$AD$2&amp;"*Zone People Number Of Occupants [](Hourly)",'Eplus results'!$1:$1048576,ROW(),FALSE)</f>
        <v>0</v>
      </c>
      <c r="AC6900" s="580">
        <f>HLOOKUP("*"&amp;'Output annual'!$AC$2&amp;'Output annual'!$AD$2&amp;"*FangerPMV(Hourly)",'Eplus results'!$1:$1048576,ROW(),FALSE)</f>
        <v>0</v>
      </c>
      <c r="AD6900" s="580">
        <f t="shared" si="571"/>
        <v>5</v>
      </c>
      <c r="AE6900" s="580">
        <f t="shared" si="572"/>
        <v>2.5</v>
      </c>
      <c r="AF6900" s="580">
        <f t="shared" si="573"/>
        <v>2.5</v>
      </c>
      <c r="AG6900" s="580">
        <f t="shared" si="574"/>
        <v>0</v>
      </c>
      <c r="AH6900" s="580">
        <f t="shared" si="575"/>
        <v>0</v>
      </c>
    </row>
    <row r="6901" spans="28:34">
      <c r="AB6901" s="580">
        <f>HLOOKUP("*"&amp;'Output annual'!$AC$2&amp;'Output annual'!$AD$2&amp;"*Zone People Number Of Occupants [](Hourly)",'Eplus results'!$1:$1048576,ROW(),FALSE)</f>
        <v>0</v>
      </c>
      <c r="AC6901" s="580">
        <f>HLOOKUP("*"&amp;'Output annual'!$AC$2&amp;'Output annual'!$AD$2&amp;"*FangerPMV(Hourly)",'Eplus results'!$1:$1048576,ROW(),FALSE)</f>
        <v>0</v>
      </c>
      <c r="AD6901" s="580">
        <f t="shared" si="571"/>
        <v>5</v>
      </c>
      <c r="AE6901" s="580">
        <f t="shared" si="572"/>
        <v>2.5</v>
      </c>
      <c r="AF6901" s="580">
        <f t="shared" si="573"/>
        <v>2.5</v>
      </c>
      <c r="AG6901" s="580">
        <f t="shared" si="574"/>
        <v>0</v>
      </c>
      <c r="AH6901" s="580">
        <f t="shared" si="575"/>
        <v>0</v>
      </c>
    </row>
    <row r="6902" spans="28:34">
      <c r="AB6902" s="580">
        <f>HLOOKUP("*"&amp;'Output annual'!$AC$2&amp;'Output annual'!$AD$2&amp;"*Zone People Number Of Occupants [](Hourly)",'Eplus results'!$1:$1048576,ROW(),FALSE)</f>
        <v>0</v>
      </c>
      <c r="AC6902" s="580">
        <f>HLOOKUP("*"&amp;'Output annual'!$AC$2&amp;'Output annual'!$AD$2&amp;"*FangerPMV(Hourly)",'Eplus results'!$1:$1048576,ROW(),FALSE)</f>
        <v>0</v>
      </c>
      <c r="AD6902" s="580">
        <f t="shared" si="571"/>
        <v>5</v>
      </c>
      <c r="AE6902" s="580">
        <f t="shared" si="572"/>
        <v>2.5</v>
      </c>
      <c r="AF6902" s="580">
        <f t="shared" si="573"/>
        <v>2.5</v>
      </c>
      <c r="AG6902" s="580">
        <f t="shared" si="574"/>
        <v>0</v>
      </c>
      <c r="AH6902" s="580">
        <f t="shared" si="575"/>
        <v>0</v>
      </c>
    </row>
    <row r="6903" spans="28:34">
      <c r="AB6903" s="580">
        <f>HLOOKUP("*"&amp;'Output annual'!$AC$2&amp;'Output annual'!$AD$2&amp;"*Zone People Number Of Occupants [](Hourly)",'Eplus results'!$1:$1048576,ROW(),FALSE)</f>
        <v>0</v>
      </c>
      <c r="AC6903" s="580">
        <f>HLOOKUP("*"&amp;'Output annual'!$AC$2&amp;'Output annual'!$AD$2&amp;"*FangerPMV(Hourly)",'Eplus results'!$1:$1048576,ROW(),FALSE)</f>
        <v>0</v>
      </c>
      <c r="AD6903" s="580">
        <f t="shared" si="571"/>
        <v>5</v>
      </c>
      <c r="AE6903" s="580">
        <f t="shared" si="572"/>
        <v>2.5</v>
      </c>
      <c r="AF6903" s="580">
        <f t="shared" si="573"/>
        <v>2.5</v>
      </c>
      <c r="AG6903" s="580">
        <f t="shared" si="574"/>
        <v>0</v>
      </c>
      <c r="AH6903" s="580">
        <f t="shared" si="575"/>
        <v>0</v>
      </c>
    </row>
    <row r="6904" spans="28:34">
      <c r="AB6904" s="580">
        <f>HLOOKUP("*"&amp;'Output annual'!$AC$2&amp;'Output annual'!$AD$2&amp;"*Zone People Number Of Occupants [](Hourly)",'Eplus results'!$1:$1048576,ROW(),FALSE)</f>
        <v>0</v>
      </c>
      <c r="AC6904" s="580">
        <f>HLOOKUP("*"&amp;'Output annual'!$AC$2&amp;'Output annual'!$AD$2&amp;"*FangerPMV(Hourly)",'Eplus results'!$1:$1048576,ROW(),FALSE)</f>
        <v>0</v>
      </c>
      <c r="AD6904" s="580">
        <f t="shared" si="571"/>
        <v>5</v>
      </c>
      <c r="AE6904" s="580">
        <f t="shared" si="572"/>
        <v>2.5</v>
      </c>
      <c r="AF6904" s="580">
        <f t="shared" si="573"/>
        <v>2.5</v>
      </c>
      <c r="AG6904" s="580">
        <f t="shared" si="574"/>
        <v>0</v>
      </c>
      <c r="AH6904" s="580">
        <f t="shared" si="575"/>
        <v>0</v>
      </c>
    </row>
    <row r="6905" spans="28:34">
      <c r="AB6905" s="580">
        <f>HLOOKUP("*"&amp;'Output annual'!$AC$2&amp;'Output annual'!$AD$2&amp;"*Zone People Number Of Occupants [](Hourly)",'Eplus results'!$1:$1048576,ROW(),FALSE)</f>
        <v>0</v>
      </c>
      <c r="AC6905" s="580">
        <f>HLOOKUP("*"&amp;'Output annual'!$AC$2&amp;'Output annual'!$AD$2&amp;"*FangerPMV(Hourly)",'Eplus results'!$1:$1048576,ROW(),FALSE)</f>
        <v>0</v>
      </c>
      <c r="AD6905" s="580">
        <f t="shared" si="571"/>
        <v>5</v>
      </c>
      <c r="AE6905" s="580">
        <f t="shared" si="572"/>
        <v>2.5</v>
      </c>
      <c r="AF6905" s="580">
        <f t="shared" si="573"/>
        <v>2.5</v>
      </c>
      <c r="AG6905" s="580">
        <f t="shared" si="574"/>
        <v>0</v>
      </c>
      <c r="AH6905" s="580">
        <f t="shared" si="575"/>
        <v>0</v>
      </c>
    </row>
    <row r="6906" spans="28:34">
      <c r="AB6906" s="580">
        <f>HLOOKUP("*"&amp;'Output annual'!$AC$2&amp;'Output annual'!$AD$2&amp;"*Zone People Number Of Occupants [](Hourly)",'Eplus results'!$1:$1048576,ROW(),FALSE)</f>
        <v>0</v>
      </c>
      <c r="AC6906" s="580">
        <f>HLOOKUP("*"&amp;'Output annual'!$AC$2&amp;'Output annual'!$AD$2&amp;"*FangerPMV(Hourly)",'Eplus results'!$1:$1048576,ROW(),FALSE)</f>
        <v>0</v>
      </c>
      <c r="AD6906" s="580">
        <f t="shared" si="571"/>
        <v>5</v>
      </c>
      <c r="AE6906" s="580">
        <f t="shared" si="572"/>
        <v>2.5</v>
      </c>
      <c r="AF6906" s="580">
        <f t="shared" si="573"/>
        <v>2.5</v>
      </c>
      <c r="AG6906" s="580">
        <f t="shared" si="574"/>
        <v>0</v>
      </c>
      <c r="AH6906" s="580">
        <f t="shared" si="575"/>
        <v>0</v>
      </c>
    </row>
    <row r="6907" spans="28:34">
      <c r="AB6907" s="580">
        <f>HLOOKUP("*"&amp;'Output annual'!$AC$2&amp;'Output annual'!$AD$2&amp;"*Zone People Number Of Occupants [](Hourly)",'Eplus results'!$1:$1048576,ROW(),FALSE)</f>
        <v>0</v>
      </c>
      <c r="AC6907" s="580">
        <f>HLOOKUP("*"&amp;'Output annual'!$AC$2&amp;'Output annual'!$AD$2&amp;"*FangerPMV(Hourly)",'Eplus results'!$1:$1048576,ROW(),FALSE)</f>
        <v>0</v>
      </c>
      <c r="AD6907" s="580">
        <f t="shared" si="571"/>
        <v>5</v>
      </c>
      <c r="AE6907" s="580">
        <f t="shared" si="572"/>
        <v>2.5</v>
      </c>
      <c r="AF6907" s="580">
        <f t="shared" si="573"/>
        <v>2.5</v>
      </c>
      <c r="AG6907" s="580">
        <f t="shared" si="574"/>
        <v>0</v>
      </c>
      <c r="AH6907" s="580">
        <f t="shared" si="575"/>
        <v>0</v>
      </c>
    </row>
    <row r="6908" spans="28:34">
      <c r="AB6908" s="580">
        <f>HLOOKUP("*"&amp;'Output annual'!$AC$2&amp;'Output annual'!$AD$2&amp;"*Zone People Number Of Occupants [](Hourly)",'Eplus results'!$1:$1048576,ROW(),FALSE)</f>
        <v>0</v>
      </c>
      <c r="AC6908" s="580">
        <f>HLOOKUP("*"&amp;'Output annual'!$AC$2&amp;'Output annual'!$AD$2&amp;"*FangerPMV(Hourly)",'Eplus results'!$1:$1048576,ROW(),FALSE)</f>
        <v>0</v>
      </c>
      <c r="AD6908" s="580">
        <f t="shared" si="571"/>
        <v>5</v>
      </c>
      <c r="AE6908" s="580">
        <f t="shared" si="572"/>
        <v>2.5</v>
      </c>
      <c r="AF6908" s="580">
        <f t="shared" si="573"/>
        <v>2.5</v>
      </c>
      <c r="AG6908" s="580">
        <f t="shared" si="574"/>
        <v>0</v>
      </c>
      <c r="AH6908" s="580">
        <f t="shared" si="575"/>
        <v>0</v>
      </c>
    </row>
    <row r="6909" spans="28:34">
      <c r="AB6909" s="580">
        <f>HLOOKUP("*"&amp;'Output annual'!$AC$2&amp;'Output annual'!$AD$2&amp;"*Zone People Number Of Occupants [](Hourly)",'Eplus results'!$1:$1048576,ROW(),FALSE)</f>
        <v>0</v>
      </c>
      <c r="AC6909" s="580">
        <f>HLOOKUP("*"&amp;'Output annual'!$AC$2&amp;'Output annual'!$AD$2&amp;"*FangerPMV(Hourly)",'Eplus results'!$1:$1048576,ROW(),FALSE)</f>
        <v>0</v>
      </c>
      <c r="AD6909" s="580">
        <f t="shared" si="571"/>
        <v>5</v>
      </c>
      <c r="AE6909" s="580">
        <f t="shared" si="572"/>
        <v>2.5</v>
      </c>
      <c r="AF6909" s="580">
        <f t="shared" si="573"/>
        <v>2.5</v>
      </c>
      <c r="AG6909" s="580">
        <f t="shared" si="574"/>
        <v>0</v>
      </c>
      <c r="AH6909" s="580">
        <f t="shared" si="575"/>
        <v>0</v>
      </c>
    </row>
    <row r="6910" spans="28:34">
      <c r="AB6910" s="580">
        <f>HLOOKUP("*"&amp;'Output annual'!$AC$2&amp;'Output annual'!$AD$2&amp;"*Zone People Number Of Occupants [](Hourly)",'Eplus results'!$1:$1048576,ROW(),FALSE)</f>
        <v>0</v>
      </c>
      <c r="AC6910" s="580">
        <f>HLOOKUP("*"&amp;'Output annual'!$AC$2&amp;'Output annual'!$AD$2&amp;"*FangerPMV(Hourly)",'Eplus results'!$1:$1048576,ROW(),FALSE)</f>
        <v>0</v>
      </c>
      <c r="AD6910" s="580">
        <f t="shared" si="571"/>
        <v>5</v>
      </c>
      <c r="AE6910" s="580">
        <f t="shared" si="572"/>
        <v>2.5</v>
      </c>
      <c r="AF6910" s="580">
        <f t="shared" si="573"/>
        <v>2.5</v>
      </c>
      <c r="AG6910" s="580">
        <f t="shared" si="574"/>
        <v>0</v>
      </c>
      <c r="AH6910" s="580">
        <f t="shared" si="575"/>
        <v>0</v>
      </c>
    </row>
    <row r="6911" spans="28:34">
      <c r="AB6911" s="580">
        <f>HLOOKUP("*"&amp;'Output annual'!$AC$2&amp;'Output annual'!$AD$2&amp;"*Zone People Number Of Occupants [](Hourly)",'Eplus results'!$1:$1048576,ROW(),FALSE)</f>
        <v>0</v>
      </c>
      <c r="AC6911" s="580">
        <f>HLOOKUP("*"&amp;'Output annual'!$AC$2&amp;'Output annual'!$AD$2&amp;"*FangerPMV(Hourly)",'Eplus results'!$1:$1048576,ROW(),FALSE)</f>
        <v>0</v>
      </c>
      <c r="AD6911" s="580">
        <f t="shared" si="571"/>
        <v>5</v>
      </c>
      <c r="AE6911" s="580">
        <f t="shared" si="572"/>
        <v>2.5</v>
      </c>
      <c r="AF6911" s="580">
        <f t="shared" si="573"/>
        <v>2.5</v>
      </c>
      <c r="AG6911" s="580">
        <f t="shared" si="574"/>
        <v>0</v>
      </c>
      <c r="AH6911" s="580">
        <f t="shared" si="575"/>
        <v>0</v>
      </c>
    </row>
    <row r="6912" spans="28:34">
      <c r="AB6912" s="580">
        <f>HLOOKUP("*"&amp;'Output annual'!$AC$2&amp;'Output annual'!$AD$2&amp;"*Zone People Number Of Occupants [](Hourly)",'Eplus results'!$1:$1048576,ROW(),FALSE)</f>
        <v>0</v>
      </c>
      <c r="AC6912" s="580">
        <f>HLOOKUP("*"&amp;'Output annual'!$AC$2&amp;'Output annual'!$AD$2&amp;"*FangerPMV(Hourly)",'Eplus results'!$1:$1048576,ROW(),FALSE)</f>
        <v>0</v>
      </c>
      <c r="AD6912" s="580">
        <f t="shared" si="571"/>
        <v>5</v>
      </c>
      <c r="AE6912" s="580">
        <f t="shared" si="572"/>
        <v>2.5</v>
      </c>
      <c r="AF6912" s="580">
        <f t="shared" si="573"/>
        <v>2.5</v>
      </c>
      <c r="AG6912" s="580">
        <f t="shared" si="574"/>
        <v>0</v>
      </c>
      <c r="AH6912" s="580">
        <f t="shared" si="575"/>
        <v>0</v>
      </c>
    </row>
    <row r="6913" spans="28:34">
      <c r="AB6913" s="580">
        <f>HLOOKUP("*"&amp;'Output annual'!$AC$2&amp;'Output annual'!$AD$2&amp;"*Zone People Number Of Occupants [](Hourly)",'Eplus results'!$1:$1048576,ROW(),FALSE)</f>
        <v>0</v>
      </c>
      <c r="AC6913" s="580">
        <f>HLOOKUP("*"&amp;'Output annual'!$AC$2&amp;'Output annual'!$AD$2&amp;"*FangerPMV(Hourly)",'Eplus results'!$1:$1048576,ROW(),FALSE)</f>
        <v>0</v>
      </c>
      <c r="AD6913" s="580">
        <f t="shared" si="571"/>
        <v>5</v>
      </c>
      <c r="AE6913" s="580">
        <f t="shared" si="572"/>
        <v>2.5</v>
      </c>
      <c r="AF6913" s="580">
        <f t="shared" si="573"/>
        <v>2.5</v>
      </c>
      <c r="AG6913" s="580">
        <f t="shared" si="574"/>
        <v>0</v>
      </c>
      <c r="AH6913" s="580">
        <f t="shared" si="575"/>
        <v>0</v>
      </c>
    </row>
    <row r="6914" spans="28:34">
      <c r="AB6914" s="580">
        <f>HLOOKUP("*"&amp;'Output annual'!$AC$2&amp;'Output annual'!$AD$2&amp;"*Zone People Number Of Occupants [](Hourly)",'Eplus results'!$1:$1048576,ROW(),FALSE)</f>
        <v>0</v>
      </c>
      <c r="AC6914" s="580">
        <f>HLOOKUP("*"&amp;'Output annual'!$AC$2&amp;'Output annual'!$AD$2&amp;"*FangerPMV(Hourly)",'Eplus results'!$1:$1048576,ROW(),FALSE)</f>
        <v>0</v>
      </c>
      <c r="AD6914" s="580">
        <f t="shared" si="571"/>
        <v>5</v>
      </c>
      <c r="AE6914" s="580">
        <f t="shared" si="572"/>
        <v>2.5</v>
      </c>
      <c r="AF6914" s="580">
        <f t="shared" si="573"/>
        <v>2.5</v>
      </c>
      <c r="AG6914" s="580">
        <f t="shared" si="574"/>
        <v>0</v>
      </c>
      <c r="AH6914" s="580">
        <f t="shared" si="575"/>
        <v>0</v>
      </c>
    </row>
    <row r="6915" spans="28:34">
      <c r="AB6915" s="580">
        <f>HLOOKUP("*"&amp;'Output annual'!$AC$2&amp;'Output annual'!$AD$2&amp;"*Zone People Number Of Occupants [](Hourly)",'Eplus results'!$1:$1048576,ROW(),FALSE)</f>
        <v>0</v>
      </c>
      <c r="AC6915" s="580">
        <f>HLOOKUP("*"&amp;'Output annual'!$AC$2&amp;'Output annual'!$AD$2&amp;"*FangerPMV(Hourly)",'Eplus results'!$1:$1048576,ROW(),FALSE)</f>
        <v>0</v>
      </c>
      <c r="AD6915" s="580">
        <f t="shared" ref="AD6915:AD6978" si="576">100-95*EXP(-0.03353*AC6915^4-0.2179*AC6915^2)</f>
        <v>5</v>
      </c>
      <c r="AE6915" s="580">
        <f t="shared" ref="AE6915:AE6978" si="577">AD6915*(1/(1+EXP(-6.3*$AC6915)))</f>
        <v>2.5</v>
      </c>
      <c r="AF6915" s="580">
        <f t="shared" ref="AF6915:AF6978" si="578">(AD6915-AE6915)</f>
        <v>2.5</v>
      </c>
      <c r="AG6915" s="580">
        <f t="shared" ref="AG6915:AG6978" si="579">AE6915*AB6915</f>
        <v>0</v>
      </c>
      <c r="AH6915" s="580">
        <f t="shared" ref="AH6915:AH6978" si="580">AF6915*AB6915</f>
        <v>0</v>
      </c>
    </row>
    <row r="6916" spans="28:34">
      <c r="AB6916" s="580">
        <f>HLOOKUP("*"&amp;'Output annual'!$AC$2&amp;'Output annual'!$AD$2&amp;"*Zone People Number Of Occupants [](Hourly)",'Eplus results'!$1:$1048576,ROW(),FALSE)</f>
        <v>0</v>
      </c>
      <c r="AC6916" s="580">
        <f>HLOOKUP("*"&amp;'Output annual'!$AC$2&amp;'Output annual'!$AD$2&amp;"*FangerPMV(Hourly)",'Eplus results'!$1:$1048576,ROW(),FALSE)</f>
        <v>0</v>
      </c>
      <c r="AD6916" s="580">
        <f t="shared" si="576"/>
        <v>5</v>
      </c>
      <c r="AE6916" s="580">
        <f t="shared" si="577"/>
        <v>2.5</v>
      </c>
      <c r="AF6916" s="580">
        <f t="shared" si="578"/>
        <v>2.5</v>
      </c>
      <c r="AG6916" s="580">
        <f t="shared" si="579"/>
        <v>0</v>
      </c>
      <c r="AH6916" s="580">
        <f t="shared" si="580"/>
        <v>0</v>
      </c>
    </row>
    <row r="6917" spans="28:34">
      <c r="AB6917" s="580">
        <f>HLOOKUP("*"&amp;'Output annual'!$AC$2&amp;'Output annual'!$AD$2&amp;"*Zone People Number Of Occupants [](Hourly)",'Eplus results'!$1:$1048576,ROW(),FALSE)</f>
        <v>0</v>
      </c>
      <c r="AC6917" s="580">
        <f>HLOOKUP("*"&amp;'Output annual'!$AC$2&amp;'Output annual'!$AD$2&amp;"*FangerPMV(Hourly)",'Eplus results'!$1:$1048576,ROW(),FALSE)</f>
        <v>0</v>
      </c>
      <c r="AD6917" s="580">
        <f t="shared" si="576"/>
        <v>5</v>
      </c>
      <c r="AE6917" s="580">
        <f t="shared" si="577"/>
        <v>2.5</v>
      </c>
      <c r="AF6917" s="580">
        <f t="shared" si="578"/>
        <v>2.5</v>
      </c>
      <c r="AG6917" s="580">
        <f t="shared" si="579"/>
        <v>0</v>
      </c>
      <c r="AH6917" s="580">
        <f t="shared" si="580"/>
        <v>0</v>
      </c>
    </row>
    <row r="6918" spans="28:34">
      <c r="AB6918" s="580">
        <f>HLOOKUP("*"&amp;'Output annual'!$AC$2&amp;'Output annual'!$AD$2&amp;"*Zone People Number Of Occupants [](Hourly)",'Eplus results'!$1:$1048576,ROW(),FALSE)</f>
        <v>0</v>
      </c>
      <c r="AC6918" s="580">
        <f>HLOOKUP("*"&amp;'Output annual'!$AC$2&amp;'Output annual'!$AD$2&amp;"*FangerPMV(Hourly)",'Eplus results'!$1:$1048576,ROW(),FALSE)</f>
        <v>0</v>
      </c>
      <c r="AD6918" s="580">
        <f t="shared" si="576"/>
        <v>5</v>
      </c>
      <c r="AE6918" s="580">
        <f t="shared" si="577"/>
        <v>2.5</v>
      </c>
      <c r="AF6918" s="580">
        <f t="shared" si="578"/>
        <v>2.5</v>
      </c>
      <c r="AG6918" s="580">
        <f t="shared" si="579"/>
        <v>0</v>
      </c>
      <c r="AH6918" s="580">
        <f t="shared" si="580"/>
        <v>0</v>
      </c>
    </row>
    <row r="6919" spans="28:34">
      <c r="AB6919" s="580">
        <f>HLOOKUP("*"&amp;'Output annual'!$AC$2&amp;'Output annual'!$AD$2&amp;"*Zone People Number Of Occupants [](Hourly)",'Eplus results'!$1:$1048576,ROW(),FALSE)</f>
        <v>0</v>
      </c>
      <c r="AC6919" s="580">
        <f>HLOOKUP("*"&amp;'Output annual'!$AC$2&amp;'Output annual'!$AD$2&amp;"*FangerPMV(Hourly)",'Eplus results'!$1:$1048576,ROW(),FALSE)</f>
        <v>0</v>
      </c>
      <c r="AD6919" s="580">
        <f t="shared" si="576"/>
        <v>5</v>
      </c>
      <c r="AE6919" s="580">
        <f t="shared" si="577"/>
        <v>2.5</v>
      </c>
      <c r="AF6919" s="580">
        <f t="shared" si="578"/>
        <v>2.5</v>
      </c>
      <c r="AG6919" s="580">
        <f t="shared" si="579"/>
        <v>0</v>
      </c>
      <c r="AH6919" s="580">
        <f t="shared" si="580"/>
        <v>0</v>
      </c>
    </row>
    <row r="6920" spans="28:34">
      <c r="AB6920" s="580">
        <f>HLOOKUP("*"&amp;'Output annual'!$AC$2&amp;'Output annual'!$AD$2&amp;"*Zone People Number Of Occupants [](Hourly)",'Eplus results'!$1:$1048576,ROW(),FALSE)</f>
        <v>0</v>
      </c>
      <c r="AC6920" s="580">
        <f>HLOOKUP("*"&amp;'Output annual'!$AC$2&amp;'Output annual'!$AD$2&amp;"*FangerPMV(Hourly)",'Eplus results'!$1:$1048576,ROW(),FALSE)</f>
        <v>0</v>
      </c>
      <c r="AD6920" s="580">
        <f t="shared" si="576"/>
        <v>5</v>
      </c>
      <c r="AE6920" s="580">
        <f t="shared" si="577"/>
        <v>2.5</v>
      </c>
      <c r="AF6920" s="580">
        <f t="shared" si="578"/>
        <v>2.5</v>
      </c>
      <c r="AG6920" s="580">
        <f t="shared" si="579"/>
        <v>0</v>
      </c>
      <c r="AH6920" s="580">
        <f t="shared" si="580"/>
        <v>0</v>
      </c>
    </row>
    <row r="6921" spans="28:34">
      <c r="AB6921" s="580">
        <f>HLOOKUP("*"&amp;'Output annual'!$AC$2&amp;'Output annual'!$AD$2&amp;"*Zone People Number Of Occupants [](Hourly)",'Eplus results'!$1:$1048576,ROW(),FALSE)</f>
        <v>0</v>
      </c>
      <c r="AC6921" s="580">
        <f>HLOOKUP("*"&amp;'Output annual'!$AC$2&amp;'Output annual'!$AD$2&amp;"*FangerPMV(Hourly)",'Eplus results'!$1:$1048576,ROW(),FALSE)</f>
        <v>0</v>
      </c>
      <c r="AD6921" s="580">
        <f t="shared" si="576"/>
        <v>5</v>
      </c>
      <c r="AE6921" s="580">
        <f t="shared" si="577"/>
        <v>2.5</v>
      </c>
      <c r="AF6921" s="580">
        <f t="shared" si="578"/>
        <v>2.5</v>
      </c>
      <c r="AG6921" s="580">
        <f t="shared" si="579"/>
        <v>0</v>
      </c>
      <c r="AH6921" s="580">
        <f t="shared" si="580"/>
        <v>0</v>
      </c>
    </row>
    <row r="6922" spans="28:34">
      <c r="AB6922" s="580">
        <f>HLOOKUP("*"&amp;'Output annual'!$AC$2&amp;'Output annual'!$AD$2&amp;"*Zone People Number Of Occupants [](Hourly)",'Eplus results'!$1:$1048576,ROW(),FALSE)</f>
        <v>0</v>
      </c>
      <c r="AC6922" s="580">
        <f>HLOOKUP("*"&amp;'Output annual'!$AC$2&amp;'Output annual'!$AD$2&amp;"*FangerPMV(Hourly)",'Eplus results'!$1:$1048576,ROW(),FALSE)</f>
        <v>0</v>
      </c>
      <c r="AD6922" s="580">
        <f t="shared" si="576"/>
        <v>5</v>
      </c>
      <c r="AE6922" s="580">
        <f t="shared" si="577"/>
        <v>2.5</v>
      </c>
      <c r="AF6922" s="580">
        <f t="shared" si="578"/>
        <v>2.5</v>
      </c>
      <c r="AG6922" s="580">
        <f t="shared" si="579"/>
        <v>0</v>
      </c>
      <c r="AH6922" s="580">
        <f t="shared" si="580"/>
        <v>0</v>
      </c>
    </row>
    <row r="6923" spans="28:34">
      <c r="AB6923" s="580">
        <f>HLOOKUP("*"&amp;'Output annual'!$AC$2&amp;'Output annual'!$AD$2&amp;"*Zone People Number Of Occupants [](Hourly)",'Eplus results'!$1:$1048576,ROW(),FALSE)</f>
        <v>0</v>
      </c>
      <c r="AC6923" s="580">
        <f>HLOOKUP("*"&amp;'Output annual'!$AC$2&amp;'Output annual'!$AD$2&amp;"*FangerPMV(Hourly)",'Eplus results'!$1:$1048576,ROW(),FALSE)</f>
        <v>0</v>
      </c>
      <c r="AD6923" s="580">
        <f t="shared" si="576"/>
        <v>5</v>
      </c>
      <c r="AE6923" s="580">
        <f t="shared" si="577"/>
        <v>2.5</v>
      </c>
      <c r="AF6923" s="580">
        <f t="shared" si="578"/>
        <v>2.5</v>
      </c>
      <c r="AG6923" s="580">
        <f t="shared" si="579"/>
        <v>0</v>
      </c>
      <c r="AH6923" s="580">
        <f t="shared" si="580"/>
        <v>0</v>
      </c>
    </row>
    <row r="6924" spans="28:34">
      <c r="AB6924" s="580">
        <f>HLOOKUP("*"&amp;'Output annual'!$AC$2&amp;'Output annual'!$AD$2&amp;"*Zone People Number Of Occupants [](Hourly)",'Eplus results'!$1:$1048576,ROW(),FALSE)</f>
        <v>0</v>
      </c>
      <c r="AC6924" s="580">
        <f>HLOOKUP("*"&amp;'Output annual'!$AC$2&amp;'Output annual'!$AD$2&amp;"*FangerPMV(Hourly)",'Eplus results'!$1:$1048576,ROW(),FALSE)</f>
        <v>0</v>
      </c>
      <c r="AD6924" s="580">
        <f t="shared" si="576"/>
        <v>5</v>
      </c>
      <c r="AE6924" s="580">
        <f t="shared" si="577"/>
        <v>2.5</v>
      </c>
      <c r="AF6924" s="580">
        <f t="shared" si="578"/>
        <v>2.5</v>
      </c>
      <c r="AG6924" s="580">
        <f t="shared" si="579"/>
        <v>0</v>
      </c>
      <c r="AH6924" s="580">
        <f t="shared" si="580"/>
        <v>0</v>
      </c>
    </row>
    <row r="6925" spans="28:34">
      <c r="AB6925" s="580">
        <f>HLOOKUP("*"&amp;'Output annual'!$AC$2&amp;'Output annual'!$AD$2&amp;"*Zone People Number Of Occupants [](Hourly)",'Eplus results'!$1:$1048576,ROW(),FALSE)</f>
        <v>0</v>
      </c>
      <c r="AC6925" s="580">
        <f>HLOOKUP("*"&amp;'Output annual'!$AC$2&amp;'Output annual'!$AD$2&amp;"*FangerPMV(Hourly)",'Eplus results'!$1:$1048576,ROW(),FALSE)</f>
        <v>0</v>
      </c>
      <c r="AD6925" s="580">
        <f t="shared" si="576"/>
        <v>5</v>
      </c>
      <c r="AE6925" s="580">
        <f t="shared" si="577"/>
        <v>2.5</v>
      </c>
      <c r="AF6925" s="580">
        <f t="shared" si="578"/>
        <v>2.5</v>
      </c>
      <c r="AG6925" s="580">
        <f t="shared" si="579"/>
        <v>0</v>
      </c>
      <c r="AH6925" s="580">
        <f t="shared" si="580"/>
        <v>0</v>
      </c>
    </row>
    <row r="6926" spans="28:34">
      <c r="AB6926" s="580">
        <f>HLOOKUP("*"&amp;'Output annual'!$AC$2&amp;'Output annual'!$AD$2&amp;"*Zone People Number Of Occupants [](Hourly)",'Eplus results'!$1:$1048576,ROW(),FALSE)</f>
        <v>0</v>
      </c>
      <c r="AC6926" s="580">
        <f>HLOOKUP("*"&amp;'Output annual'!$AC$2&amp;'Output annual'!$AD$2&amp;"*FangerPMV(Hourly)",'Eplus results'!$1:$1048576,ROW(),FALSE)</f>
        <v>0</v>
      </c>
      <c r="AD6926" s="580">
        <f t="shared" si="576"/>
        <v>5</v>
      </c>
      <c r="AE6926" s="580">
        <f t="shared" si="577"/>
        <v>2.5</v>
      </c>
      <c r="AF6926" s="580">
        <f t="shared" si="578"/>
        <v>2.5</v>
      </c>
      <c r="AG6926" s="580">
        <f t="shared" si="579"/>
        <v>0</v>
      </c>
      <c r="AH6926" s="580">
        <f t="shared" si="580"/>
        <v>0</v>
      </c>
    </row>
    <row r="6927" spans="28:34">
      <c r="AB6927" s="580">
        <f>HLOOKUP("*"&amp;'Output annual'!$AC$2&amp;'Output annual'!$AD$2&amp;"*Zone People Number Of Occupants [](Hourly)",'Eplus results'!$1:$1048576,ROW(),FALSE)</f>
        <v>0</v>
      </c>
      <c r="AC6927" s="580">
        <f>HLOOKUP("*"&amp;'Output annual'!$AC$2&amp;'Output annual'!$AD$2&amp;"*FangerPMV(Hourly)",'Eplus results'!$1:$1048576,ROW(),FALSE)</f>
        <v>0</v>
      </c>
      <c r="AD6927" s="580">
        <f t="shared" si="576"/>
        <v>5</v>
      </c>
      <c r="AE6927" s="580">
        <f t="shared" si="577"/>
        <v>2.5</v>
      </c>
      <c r="AF6927" s="580">
        <f t="shared" si="578"/>
        <v>2.5</v>
      </c>
      <c r="AG6927" s="580">
        <f t="shared" si="579"/>
        <v>0</v>
      </c>
      <c r="AH6927" s="580">
        <f t="shared" si="580"/>
        <v>0</v>
      </c>
    </row>
    <row r="6928" spans="28:34">
      <c r="AB6928" s="580">
        <f>HLOOKUP("*"&amp;'Output annual'!$AC$2&amp;'Output annual'!$AD$2&amp;"*Zone People Number Of Occupants [](Hourly)",'Eplus results'!$1:$1048576,ROW(),FALSE)</f>
        <v>0</v>
      </c>
      <c r="AC6928" s="580">
        <f>HLOOKUP("*"&amp;'Output annual'!$AC$2&amp;'Output annual'!$AD$2&amp;"*FangerPMV(Hourly)",'Eplus results'!$1:$1048576,ROW(),FALSE)</f>
        <v>0</v>
      </c>
      <c r="AD6928" s="580">
        <f t="shared" si="576"/>
        <v>5</v>
      </c>
      <c r="AE6928" s="580">
        <f t="shared" si="577"/>
        <v>2.5</v>
      </c>
      <c r="AF6928" s="580">
        <f t="shared" si="578"/>
        <v>2.5</v>
      </c>
      <c r="AG6928" s="580">
        <f t="shared" si="579"/>
        <v>0</v>
      </c>
      <c r="AH6928" s="580">
        <f t="shared" si="580"/>
        <v>0</v>
      </c>
    </row>
    <row r="6929" spans="28:34">
      <c r="AB6929" s="580">
        <f>HLOOKUP("*"&amp;'Output annual'!$AC$2&amp;'Output annual'!$AD$2&amp;"*Zone People Number Of Occupants [](Hourly)",'Eplus results'!$1:$1048576,ROW(),FALSE)</f>
        <v>0</v>
      </c>
      <c r="AC6929" s="580">
        <f>HLOOKUP("*"&amp;'Output annual'!$AC$2&amp;'Output annual'!$AD$2&amp;"*FangerPMV(Hourly)",'Eplus results'!$1:$1048576,ROW(),FALSE)</f>
        <v>0</v>
      </c>
      <c r="AD6929" s="580">
        <f t="shared" si="576"/>
        <v>5</v>
      </c>
      <c r="AE6929" s="580">
        <f t="shared" si="577"/>
        <v>2.5</v>
      </c>
      <c r="AF6929" s="580">
        <f t="shared" si="578"/>
        <v>2.5</v>
      </c>
      <c r="AG6929" s="580">
        <f t="shared" si="579"/>
        <v>0</v>
      </c>
      <c r="AH6929" s="580">
        <f t="shared" si="580"/>
        <v>0</v>
      </c>
    </row>
    <row r="6930" spans="28:34">
      <c r="AB6930" s="580">
        <f>HLOOKUP("*"&amp;'Output annual'!$AC$2&amp;'Output annual'!$AD$2&amp;"*Zone People Number Of Occupants [](Hourly)",'Eplus results'!$1:$1048576,ROW(),FALSE)</f>
        <v>0</v>
      </c>
      <c r="AC6930" s="580">
        <f>HLOOKUP("*"&amp;'Output annual'!$AC$2&amp;'Output annual'!$AD$2&amp;"*FangerPMV(Hourly)",'Eplus results'!$1:$1048576,ROW(),FALSE)</f>
        <v>0</v>
      </c>
      <c r="AD6930" s="580">
        <f t="shared" si="576"/>
        <v>5</v>
      </c>
      <c r="AE6930" s="580">
        <f t="shared" si="577"/>
        <v>2.5</v>
      </c>
      <c r="AF6930" s="580">
        <f t="shared" si="578"/>
        <v>2.5</v>
      </c>
      <c r="AG6930" s="580">
        <f t="shared" si="579"/>
        <v>0</v>
      </c>
      <c r="AH6930" s="580">
        <f t="shared" si="580"/>
        <v>0</v>
      </c>
    </row>
    <row r="6931" spans="28:34">
      <c r="AB6931" s="580">
        <f>HLOOKUP("*"&amp;'Output annual'!$AC$2&amp;'Output annual'!$AD$2&amp;"*Zone People Number Of Occupants [](Hourly)",'Eplus results'!$1:$1048576,ROW(),FALSE)</f>
        <v>0</v>
      </c>
      <c r="AC6931" s="580">
        <f>HLOOKUP("*"&amp;'Output annual'!$AC$2&amp;'Output annual'!$AD$2&amp;"*FangerPMV(Hourly)",'Eplus results'!$1:$1048576,ROW(),FALSE)</f>
        <v>0</v>
      </c>
      <c r="AD6931" s="580">
        <f t="shared" si="576"/>
        <v>5</v>
      </c>
      <c r="AE6931" s="580">
        <f t="shared" si="577"/>
        <v>2.5</v>
      </c>
      <c r="AF6931" s="580">
        <f t="shared" si="578"/>
        <v>2.5</v>
      </c>
      <c r="AG6931" s="580">
        <f t="shared" si="579"/>
        <v>0</v>
      </c>
      <c r="AH6931" s="580">
        <f t="shared" si="580"/>
        <v>0</v>
      </c>
    </row>
    <row r="6932" spans="28:34">
      <c r="AB6932" s="580">
        <f>HLOOKUP("*"&amp;'Output annual'!$AC$2&amp;'Output annual'!$AD$2&amp;"*Zone People Number Of Occupants [](Hourly)",'Eplus results'!$1:$1048576,ROW(),FALSE)</f>
        <v>0</v>
      </c>
      <c r="AC6932" s="580">
        <f>HLOOKUP("*"&amp;'Output annual'!$AC$2&amp;'Output annual'!$AD$2&amp;"*FangerPMV(Hourly)",'Eplus results'!$1:$1048576,ROW(),FALSE)</f>
        <v>0</v>
      </c>
      <c r="AD6932" s="580">
        <f t="shared" si="576"/>
        <v>5</v>
      </c>
      <c r="AE6932" s="580">
        <f t="shared" si="577"/>
        <v>2.5</v>
      </c>
      <c r="AF6932" s="580">
        <f t="shared" si="578"/>
        <v>2.5</v>
      </c>
      <c r="AG6932" s="580">
        <f t="shared" si="579"/>
        <v>0</v>
      </c>
      <c r="AH6932" s="580">
        <f t="shared" si="580"/>
        <v>0</v>
      </c>
    </row>
    <row r="6933" spans="28:34">
      <c r="AB6933" s="580">
        <f>HLOOKUP("*"&amp;'Output annual'!$AC$2&amp;'Output annual'!$AD$2&amp;"*Zone People Number Of Occupants [](Hourly)",'Eplus results'!$1:$1048576,ROW(),FALSE)</f>
        <v>0</v>
      </c>
      <c r="AC6933" s="580">
        <f>HLOOKUP("*"&amp;'Output annual'!$AC$2&amp;'Output annual'!$AD$2&amp;"*FangerPMV(Hourly)",'Eplus results'!$1:$1048576,ROW(),FALSE)</f>
        <v>0</v>
      </c>
      <c r="AD6933" s="580">
        <f t="shared" si="576"/>
        <v>5</v>
      </c>
      <c r="AE6933" s="580">
        <f t="shared" si="577"/>
        <v>2.5</v>
      </c>
      <c r="AF6933" s="580">
        <f t="shared" si="578"/>
        <v>2.5</v>
      </c>
      <c r="AG6933" s="580">
        <f t="shared" si="579"/>
        <v>0</v>
      </c>
      <c r="AH6933" s="580">
        <f t="shared" si="580"/>
        <v>0</v>
      </c>
    </row>
    <row r="6934" spans="28:34">
      <c r="AB6934" s="580">
        <f>HLOOKUP("*"&amp;'Output annual'!$AC$2&amp;'Output annual'!$AD$2&amp;"*Zone People Number Of Occupants [](Hourly)",'Eplus results'!$1:$1048576,ROW(),FALSE)</f>
        <v>0</v>
      </c>
      <c r="AC6934" s="580">
        <f>HLOOKUP("*"&amp;'Output annual'!$AC$2&amp;'Output annual'!$AD$2&amp;"*FangerPMV(Hourly)",'Eplus results'!$1:$1048576,ROW(),FALSE)</f>
        <v>0</v>
      </c>
      <c r="AD6934" s="580">
        <f t="shared" si="576"/>
        <v>5</v>
      </c>
      <c r="AE6934" s="580">
        <f t="shared" si="577"/>
        <v>2.5</v>
      </c>
      <c r="AF6934" s="580">
        <f t="shared" si="578"/>
        <v>2.5</v>
      </c>
      <c r="AG6934" s="580">
        <f t="shared" si="579"/>
        <v>0</v>
      </c>
      <c r="AH6934" s="580">
        <f t="shared" si="580"/>
        <v>0</v>
      </c>
    </row>
    <row r="6935" spans="28:34">
      <c r="AB6935" s="580">
        <f>HLOOKUP("*"&amp;'Output annual'!$AC$2&amp;'Output annual'!$AD$2&amp;"*Zone People Number Of Occupants [](Hourly)",'Eplus results'!$1:$1048576,ROW(),FALSE)</f>
        <v>0</v>
      </c>
      <c r="AC6935" s="580">
        <f>HLOOKUP("*"&amp;'Output annual'!$AC$2&amp;'Output annual'!$AD$2&amp;"*FangerPMV(Hourly)",'Eplus results'!$1:$1048576,ROW(),FALSE)</f>
        <v>0</v>
      </c>
      <c r="AD6935" s="580">
        <f t="shared" si="576"/>
        <v>5</v>
      </c>
      <c r="AE6935" s="580">
        <f t="shared" si="577"/>
        <v>2.5</v>
      </c>
      <c r="AF6935" s="580">
        <f t="shared" si="578"/>
        <v>2.5</v>
      </c>
      <c r="AG6935" s="580">
        <f t="shared" si="579"/>
        <v>0</v>
      </c>
      <c r="AH6935" s="580">
        <f t="shared" si="580"/>
        <v>0</v>
      </c>
    </row>
    <row r="6936" spans="28:34">
      <c r="AB6936" s="580">
        <f>HLOOKUP("*"&amp;'Output annual'!$AC$2&amp;'Output annual'!$AD$2&amp;"*Zone People Number Of Occupants [](Hourly)",'Eplus results'!$1:$1048576,ROW(),FALSE)</f>
        <v>0</v>
      </c>
      <c r="AC6936" s="580">
        <f>HLOOKUP("*"&amp;'Output annual'!$AC$2&amp;'Output annual'!$AD$2&amp;"*FangerPMV(Hourly)",'Eplus results'!$1:$1048576,ROW(),FALSE)</f>
        <v>0</v>
      </c>
      <c r="AD6936" s="580">
        <f t="shared" si="576"/>
        <v>5</v>
      </c>
      <c r="AE6936" s="580">
        <f t="shared" si="577"/>
        <v>2.5</v>
      </c>
      <c r="AF6936" s="580">
        <f t="shared" si="578"/>
        <v>2.5</v>
      </c>
      <c r="AG6936" s="580">
        <f t="shared" si="579"/>
        <v>0</v>
      </c>
      <c r="AH6936" s="580">
        <f t="shared" si="580"/>
        <v>0</v>
      </c>
    </row>
    <row r="6937" spans="28:34">
      <c r="AB6937" s="580">
        <f>HLOOKUP("*"&amp;'Output annual'!$AC$2&amp;'Output annual'!$AD$2&amp;"*Zone People Number Of Occupants [](Hourly)",'Eplus results'!$1:$1048576,ROW(),FALSE)</f>
        <v>0</v>
      </c>
      <c r="AC6937" s="580">
        <f>HLOOKUP("*"&amp;'Output annual'!$AC$2&amp;'Output annual'!$AD$2&amp;"*FangerPMV(Hourly)",'Eplus results'!$1:$1048576,ROW(),FALSE)</f>
        <v>0</v>
      </c>
      <c r="AD6937" s="580">
        <f t="shared" si="576"/>
        <v>5</v>
      </c>
      <c r="AE6937" s="580">
        <f t="shared" si="577"/>
        <v>2.5</v>
      </c>
      <c r="AF6937" s="580">
        <f t="shared" si="578"/>
        <v>2.5</v>
      </c>
      <c r="AG6937" s="580">
        <f t="shared" si="579"/>
        <v>0</v>
      </c>
      <c r="AH6937" s="580">
        <f t="shared" si="580"/>
        <v>0</v>
      </c>
    </row>
    <row r="6938" spans="28:34">
      <c r="AB6938" s="580">
        <f>HLOOKUP("*"&amp;'Output annual'!$AC$2&amp;'Output annual'!$AD$2&amp;"*Zone People Number Of Occupants [](Hourly)",'Eplus results'!$1:$1048576,ROW(),FALSE)</f>
        <v>0</v>
      </c>
      <c r="AC6938" s="580">
        <f>HLOOKUP("*"&amp;'Output annual'!$AC$2&amp;'Output annual'!$AD$2&amp;"*FangerPMV(Hourly)",'Eplus results'!$1:$1048576,ROW(),FALSE)</f>
        <v>0</v>
      </c>
      <c r="AD6938" s="580">
        <f t="shared" si="576"/>
        <v>5</v>
      </c>
      <c r="AE6938" s="580">
        <f t="shared" si="577"/>
        <v>2.5</v>
      </c>
      <c r="AF6938" s="580">
        <f t="shared" si="578"/>
        <v>2.5</v>
      </c>
      <c r="AG6938" s="580">
        <f t="shared" si="579"/>
        <v>0</v>
      </c>
      <c r="AH6938" s="580">
        <f t="shared" si="580"/>
        <v>0</v>
      </c>
    </row>
    <row r="6939" spans="28:34">
      <c r="AB6939" s="580">
        <f>HLOOKUP("*"&amp;'Output annual'!$AC$2&amp;'Output annual'!$AD$2&amp;"*Zone People Number Of Occupants [](Hourly)",'Eplus results'!$1:$1048576,ROW(),FALSE)</f>
        <v>0</v>
      </c>
      <c r="AC6939" s="580">
        <f>HLOOKUP("*"&amp;'Output annual'!$AC$2&amp;'Output annual'!$AD$2&amp;"*FangerPMV(Hourly)",'Eplus results'!$1:$1048576,ROW(),FALSE)</f>
        <v>0</v>
      </c>
      <c r="AD6939" s="580">
        <f t="shared" si="576"/>
        <v>5</v>
      </c>
      <c r="AE6939" s="580">
        <f t="shared" si="577"/>
        <v>2.5</v>
      </c>
      <c r="AF6939" s="580">
        <f t="shared" si="578"/>
        <v>2.5</v>
      </c>
      <c r="AG6939" s="580">
        <f t="shared" si="579"/>
        <v>0</v>
      </c>
      <c r="AH6939" s="580">
        <f t="shared" si="580"/>
        <v>0</v>
      </c>
    </row>
    <row r="6940" spans="28:34">
      <c r="AB6940" s="580">
        <f>HLOOKUP("*"&amp;'Output annual'!$AC$2&amp;'Output annual'!$AD$2&amp;"*Zone People Number Of Occupants [](Hourly)",'Eplus results'!$1:$1048576,ROW(),FALSE)</f>
        <v>0</v>
      </c>
      <c r="AC6940" s="580">
        <f>HLOOKUP("*"&amp;'Output annual'!$AC$2&amp;'Output annual'!$AD$2&amp;"*FangerPMV(Hourly)",'Eplus results'!$1:$1048576,ROW(),FALSE)</f>
        <v>0</v>
      </c>
      <c r="AD6940" s="580">
        <f t="shared" si="576"/>
        <v>5</v>
      </c>
      <c r="AE6940" s="580">
        <f t="shared" si="577"/>
        <v>2.5</v>
      </c>
      <c r="AF6940" s="580">
        <f t="shared" si="578"/>
        <v>2.5</v>
      </c>
      <c r="AG6940" s="580">
        <f t="shared" si="579"/>
        <v>0</v>
      </c>
      <c r="AH6940" s="580">
        <f t="shared" si="580"/>
        <v>0</v>
      </c>
    </row>
    <row r="6941" spans="28:34">
      <c r="AB6941" s="580">
        <f>HLOOKUP("*"&amp;'Output annual'!$AC$2&amp;'Output annual'!$AD$2&amp;"*Zone People Number Of Occupants [](Hourly)",'Eplus results'!$1:$1048576,ROW(),FALSE)</f>
        <v>0</v>
      </c>
      <c r="AC6941" s="580">
        <f>HLOOKUP("*"&amp;'Output annual'!$AC$2&amp;'Output annual'!$AD$2&amp;"*FangerPMV(Hourly)",'Eplus results'!$1:$1048576,ROW(),FALSE)</f>
        <v>0</v>
      </c>
      <c r="AD6941" s="580">
        <f t="shared" si="576"/>
        <v>5</v>
      </c>
      <c r="AE6941" s="580">
        <f t="shared" si="577"/>
        <v>2.5</v>
      </c>
      <c r="AF6941" s="580">
        <f t="shared" si="578"/>
        <v>2.5</v>
      </c>
      <c r="AG6941" s="580">
        <f t="shared" si="579"/>
        <v>0</v>
      </c>
      <c r="AH6941" s="580">
        <f t="shared" si="580"/>
        <v>0</v>
      </c>
    </row>
    <row r="6942" spans="28:34">
      <c r="AB6942" s="580">
        <f>HLOOKUP("*"&amp;'Output annual'!$AC$2&amp;'Output annual'!$AD$2&amp;"*Zone People Number Of Occupants [](Hourly)",'Eplus results'!$1:$1048576,ROW(),FALSE)</f>
        <v>0</v>
      </c>
      <c r="AC6942" s="580">
        <f>HLOOKUP("*"&amp;'Output annual'!$AC$2&amp;'Output annual'!$AD$2&amp;"*FangerPMV(Hourly)",'Eplus results'!$1:$1048576,ROW(),FALSE)</f>
        <v>0</v>
      </c>
      <c r="AD6942" s="580">
        <f t="shared" si="576"/>
        <v>5</v>
      </c>
      <c r="AE6942" s="580">
        <f t="shared" si="577"/>
        <v>2.5</v>
      </c>
      <c r="AF6942" s="580">
        <f t="shared" si="578"/>
        <v>2.5</v>
      </c>
      <c r="AG6942" s="580">
        <f t="shared" si="579"/>
        <v>0</v>
      </c>
      <c r="AH6942" s="580">
        <f t="shared" si="580"/>
        <v>0</v>
      </c>
    </row>
    <row r="6943" spans="28:34">
      <c r="AB6943" s="580">
        <f>HLOOKUP("*"&amp;'Output annual'!$AC$2&amp;'Output annual'!$AD$2&amp;"*Zone People Number Of Occupants [](Hourly)",'Eplus results'!$1:$1048576,ROW(),FALSE)</f>
        <v>0</v>
      </c>
      <c r="AC6943" s="580">
        <f>HLOOKUP("*"&amp;'Output annual'!$AC$2&amp;'Output annual'!$AD$2&amp;"*FangerPMV(Hourly)",'Eplus results'!$1:$1048576,ROW(),FALSE)</f>
        <v>0</v>
      </c>
      <c r="AD6943" s="580">
        <f t="shared" si="576"/>
        <v>5</v>
      </c>
      <c r="AE6943" s="580">
        <f t="shared" si="577"/>
        <v>2.5</v>
      </c>
      <c r="AF6943" s="580">
        <f t="shared" si="578"/>
        <v>2.5</v>
      </c>
      <c r="AG6943" s="580">
        <f t="shared" si="579"/>
        <v>0</v>
      </c>
      <c r="AH6943" s="580">
        <f t="shared" si="580"/>
        <v>0</v>
      </c>
    </row>
    <row r="6944" spans="28:34">
      <c r="AB6944" s="580">
        <f>HLOOKUP("*"&amp;'Output annual'!$AC$2&amp;'Output annual'!$AD$2&amp;"*Zone People Number Of Occupants [](Hourly)",'Eplus results'!$1:$1048576,ROW(),FALSE)</f>
        <v>0</v>
      </c>
      <c r="AC6944" s="580">
        <f>HLOOKUP("*"&amp;'Output annual'!$AC$2&amp;'Output annual'!$AD$2&amp;"*FangerPMV(Hourly)",'Eplus results'!$1:$1048576,ROW(),FALSE)</f>
        <v>0</v>
      </c>
      <c r="AD6944" s="580">
        <f t="shared" si="576"/>
        <v>5</v>
      </c>
      <c r="AE6944" s="580">
        <f t="shared" si="577"/>
        <v>2.5</v>
      </c>
      <c r="AF6944" s="580">
        <f t="shared" si="578"/>
        <v>2.5</v>
      </c>
      <c r="AG6944" s="580">
        <f t="shared" si="579"/>
        <v>0</v>
      </c>
      <c r="AH6944" s="580">
        <f t="shared" si="580"/>
        <v>0</v>
      </c>
    </row>
    <row r="6945" spans="28:34">
      <c r="AB6945" s="580">
        <f>HLOOKUP("*"&amp;'Output annual'!$AC$2&amp;'Output annual'!$AD$2&amp;"*Zone People Number Of Occupants [](Hourly)",'Eplus results'!$1:$1048576,ROW(),FALSE)</f>
        <v>0</v>
      </c>
      <c r="AC6945" s="580">
        <f>HLOOKUP("*"&amp;'Output annual'!$AC$2&amp;'Output annual'!$AD$2&amp;"*FangerPMV(Hourly)",'Eplus results'!$1:$1048576,ROW(),FALSE)</f>
        <v>0</v>
      </c>
      <c r="AD6945" s="580">
        <f t="shared" si="576"/>
        <v>5</v>
      </c>
      <c r="AE6945" s="580">
        <f t="shared" si="577"/>
        <v>2.5</v>
      </c>
      <c r="AF6945" s="580">
        <f t="shared" si="578"/>
        <v>2.5</v>
      </c>
      <c r="AG6945" s="580">
        <f t="shared" si="579"/>
        <v>0</v>
      </c>
      <c r="AH6945" s="580">
        <f t="shared" si="580"/>
        <v>0</v>
      </c>
    </row>
    <row r="6946" spans="28:34">
      <c r="AB6946" s="580">
        <f>HLOOKUP("*"&amp;'Output annual'!$AC$2&amp;'Output annual'!$AD$2&amp;"*Zone People Number Of Occupants [](Hourly)",'Eplus results'!$1:$1048576,ROW(),FALSE)</f>
        <v>0</v>
      </c>
      <c r="AC6946" s="580">
        <f>HLOOKUP("*"&amp;'Output annual'!$AC$2&amp;'Output annual'!$AD$2&amp;"*FangerPMV(Hourly)",'Eplus results'!$1:$1048576,ROW(),FALSE)</f>
        <v>0</v>
      </c>
      <c r="AD6946" s="580">
        <f t="shared" si="576"/>
        <v>5</v>
      </c>
      <c r="AE6946" s="580">
        <f t="shared" si="577"/>
        <v>2.5</v>
      </c>
      <c r="AF6946" s="580">
        <f t="shared" si="578"/>
        <v>2.5</v>
      </c>
      <c r="AG6946" s="580">
        <f t="shared" si="579"/>
        <v>0</v>
      </c>
      <c r="AH6946" s="580">
        <f t="shared" si="580"/>
        <v>0</v>
      </c>
    </row>
    <row r="6947" spans="28:34">
      <c r="AB6947" s="580">
        <f>HLOOKUP("*"&amp;'Output annual'!$AC$2&amp;'Output annual'!$AD$2&amp;"*Zone People Number Of Occupants [](Hourly)",'Eplus results'!$1:$1048576,ROW(),FALSE)</f>
        <v>0</v>
      </c>
      <c r="AC6947" s="580">
        <f>HLOOKUP("*"&amp;'Output annual'!$AC$2&amp;'Output annual'!$AD$2&amp;"*FangerPMV(Hourly)",'Eplus results'!$1:$1048576,ROW(),FALSE)</f>
        <v>0</v>
      </c>
      <c r="AD6947" s="580">
        <f t="shared" si="576"/>
        <v>5</v>
      </c>
      <c r="AE6947" s="580">
        <f t="shared" si="577"/>
        <v>2.5</v>
      </c>
      <c r="AF6947" s="580">
        <f t="shared" si="578"/>
        <v>2.5</v>
      </c>
      <c r="AG6947" s="580">
        <f t="shared" si="579"/>
        <v>0</v>
      </c>
      <c r="AH6947" s="580">
        <f t="shared" si="580"/>
        <v>0</v>
      </c>
    </row>
    <row r="6948" spans="28:34">
      <c r="AB6948" s="580">
        <f>HLOOKUP("*"&amp;'Output annual'!$AC$2&amp;'Output annual'!$AD$2&amp;"*Zone People Number Of Occupants [](Hourly)",'Eplus results'!$1:$1048576,ROW(),FALSE)</f>
        <v>0</v>
      </c>
      <c r="AC6948" s="580">
        <f>HLOOKUP("*"&amp;'Output annual'!$AC$2&amp;'Output annual'!$AD$2&amp;"*FangerPMV(Hourly)",'Eplus results'!$1:$1048576,ROW(),FALSE)</f>
        <v>0</v>
      </c>
      <c r="AD6948" s="580">
        <f t="shared" si="576"/>
        <v>5</v>
      </c>
      <c r="AE6948" s="580">
        <f t="shared" si="577"/>
        <v>2.5</v>
      </c>
      <c r="AF6948" s="580">
        <f t="shared" si="578"/>
        <v>2.5</v>
      </c>
      <c r="AG6948" s="580">
        <f t="shared" si="579"/>
        <v>0</v>
      </c>
      <c r="AH6948" s="580">
        <f t="shared" si="580"/>
        <v>0</v>
      </c>
    </row>
    <row r="6949" spans="28:34">
      <c r="AB6949" s="580">
        <f>HLOOKUP("*"&amp;'Output annual'!$AC$2&amp;'Output annual'!$AD$2&amp;"*Zone People Number Of Occupants [](Hourly)",'Eplus results'!$1:$1048576,ROW(),FALSE)</f>
        <v>0</v>
      </c>
      <c r="AC6949" s="580">
        <f>HLOOKUP("*"&amp;'Output annual'!$AC$2&amp;'Output annual'!$AD$2&amp;"*FangerPMV(Hourly)",'Eplus results'!$1:$1048576,ROW(),FALSE)</f>
        <v>0</v>
      </c>
      <c r="AD6949" s="580">
        <f t="shared" si="576"/>
        <v>5</v>
      </c>
      <c r="AE6949" s="580">
        <f t="shared" si="577"/>
        <v>2.5</v>
      </c>
      <c r="AF6949" s="580">
        <f t="shared" si="578"/>
        <v>2.5</v>
      </c>
      <c r="AG6949" s="580">
        <f t="shared" si="579"/>
        <v>0</v>
      </c>
      <c r="AH6949" s="580">
        <f t="shared" si="580"/>
        <v>0</v>
      </c>
    </row>
    <row r="6950" spans="28:34">
      <c r="AB6950" s="580">
        <f>HLOOKUP("*"&amp;'Output annual'!$AC$2&amp;'Output annual'!$AD$2&amp;"*Zone People Number Of Occupants [](Hourly)",'Eplus results'!$1:$1048576,ROW(),FALSE)</f>
        <v>0</v>
      </c>
      <c r="AC6950" s="580">
        <f>HLOOKUP("*"&amp;'Output annual'!$AC$2&amp;'Output annual'!$AD$2&amp;"*FangerPMV(Hourly)",'Eplus results'!$1:$1048576,ROW(),FALSE)</f>
        <v>0</v>
      </c>
      <c r="AD6950" s="580">
        <f t="shared" si="576"/>
        <v>5</v>
      </c>
      <c r="AE6950" s="580">
        <f t="shared" si="577"/>
        <v>2.5</v>
      </c>
      <c r="AF6950" s="580">
        <f t="shared" si="578"/>
        <v>2.5</v>
      </c>
      <c r="AG6950" s="580">
        <f t="shared" si="579"/>
        <v>0</v>
      </c>
      <c r="AH6950" s="580">
        <f t="shared" si="580"/>
        <v>0</v>
      </c>
    </row>
    <row r="6951" spans="28:34">
      <c r="AB6951" s="580">
        <f>HLOOKUP("*"&amp;'Output annual'!$AC$2&amp;'Output annual'!$AD$2&amp;"*Zone People Number Of Occupants [](Hourly)",'Eplus results'!$1:$1048576,ROW(),FALSE)</f>
        <v>0</v>
      </c>
      <c r="AC6951" s="580">
        <f>HLOOKUP("*"&amp;'Output annual'!$AC$2&amp;'Output annual'!$AD$2&amp;"*FangerPMV(Hourly)",'Eplus results'!$1:$1048576,ROW(),FALSE)</f>
        <v>0</v>
      </c>
      <c r="AD6951" s="580">
        <f t="shared" si="576"/>
        <v>5</v>
      </c>
      <c r="AE6951" s="580">
        <f t="shared" si="577"/>
        <v>2.5</v>
      </c>
      <c r="AF6951" s="580">
        <f t="shared" si="578"/>
        <v>2.5</v>
      </c>
      <c r="AG6951" s="580">
        <f t="shared" si="579"/>
        <v>0</v>
      </c>
      <c r="AH6951" s="580">
        <f t="shared" si="580"/>
        <v>0</v>
      </c>
    </row>
    <row r="6952" spans="28:34">
      <c r="AB6952" s="580">
        <f>HLOOKUP("*"&amp;'Output annual'!$AC$2&amp;'Output annual'!$AD$2&amp;"*Zone People Number Of Occupants [](Hourly)",'Eplus results'!$1:$1048576,ROW(),FALSE)</f>
        <v>0</v>
      </c>
      <c r="AC6952" s="580">
        <f>HLOOKUP("*"&amp;'Output annual'!$AC$2&amp;'Output annual'!$AD$2&amp;"*FangerPMV(Hourly)",'Eplus results'!$1:$1048576,ROW(),FALSE)</f>
        <v>0</v>
      </c>
      <c r="AD6952" s="580">
        <f t="shared" si="576"/>
        <v>5</v>
      </c>
      <c r="AE6952" s="580">
        <f t="shared" si="577"/>
        <v>2.5</v>
      </c>
      <c r="AF6952" s="580">
        <f t="shared" si="578"/>
        <v>2.5</v>
      </c>
      <c r="AG6952" s="580">
        <f t="shared" si="579"/>
        <v>0</v>
      </c>
      <c r="AH6952" s="580">
        <f t="shared" si="580"/>
        <v>0</v>
      </c>
    </row>
    <row r="6953" spans="28:34">
      <c r="AB6953" s="580">
        <f>HLOOKUP("*"&amp;'Output annual'!$AC$2&amp;'Output annual'!$AD$2&amp;"*Zone People Number Of Occupants [](Hourly)",'Eplus results'!$1:$1048576,ROW(),FALSE)</f>
        <v>0</v>
      </c>
      <c r="AC6953" s="580">
        <f>HLOOKUP("*"&amp;'Output annual'!$AC$2&amp;'Output annual'!$AD$2&amp;"*FangerPMV(Hourly)",'Eplus results'!$1:$1048576,ROW(),FALSE)</f>
        <v>0</v>
      </c>
      <c r="AD6953" s="580">
        <f t="shared" si="576"/>
        <v>5</v>
      </c>
      <c r="AE6953" s="580">
        <f t="shared" si="577"/>
        <v>2.5</v>
      </c>
      <c r="AF6953" s="580">
        <f t="shared" si="578"/>
        <v>2.5</v>
      </c>
      <c r="AG6953" s="580">
        <f t="shared" si="579"/>
        <v>0</v>
      </c>
      <c r="AH6953" s="580">
        <f t="shared" si="580"/>
        <v>0</v>
      </c>
    </row>
    <row r="6954" spans="28:34">
      <c r="AB6954" s="580">
        <f>HLOOKUP("*"&amp;'Output annual'!$AC$2&amp;'Output annual'!$AD$2&amp;"*Zone People Number Of Occupants [](Hourly)",'Eplus results'!$1:$1048576,ROW(),FALSE)</f>
        <v>0</v>
      </c>
      <c r="AC6954" s="580">
        <f>HLOOKUP("*"&amp;'Output annual'!$AC$2&amp;'Output annual'!$AD$2&amp;"*FangerPMV(Hourly)",'Eplus results'!$1:$1048576,ROW(),FALSE)</f>
        <v>0</v>
      </c>
      <c r="AD6954" s="580">
        <f t="shared" si="576"/>
        <v>5</v>
      </c>
      <c r="AE6954" s="580">
        <f t="shared" si="577"/>
        <v>2.5</v>
      </c>
      <c r="AF6954" s="580">
        <f t="shared" si="578"/>
        <v>2.5</v>
      </c>
      <c r="AG6954" s="580">
        <f t="shared" si="579"/>
        <v>0</v>
      </c>
      <c r="AH6954" s="580">
        <f t="shared" si="580"/>
        <v>0</v>
      </c>
    </row>
    <row r="6955" spans="28:34">
      <c r="AB6955" s="580">
        <f>HLOOKUP("*"&amp;'Output annual'!$AC$2&amp;'Output annual'!$AD$2&amp;"*Zone People Number Of Occupants [](Hourly)",'Eplus results'!$1:$1048576,ROW(),FALSE)</f>
        <v>0</v>
      </c>
      <c r="AC6955" s="580">
        <f>HLOOKUP("*"&amp;'Output annual'!$AC$2&amp;'Output annual'!$AD$2&amp;"*FangerPMV(Hourly)",'Eplus results'!$1:$1048576,ROW(),FALSE)</f>
        <v>0</v>
      </c>
      <c r="AD6955" s="580">
        <f t="shared" si="576"/>
        <v>5</v>
      </c>
      <c r="AE6955" s="580">
        <f t="shared" si="577"/>
        <v>2.5</v>
      </c>
      <c r="AF6955" s="580">
        <f t="shared" si="578"/>
        <v>2.5</v>
      </c>
      <c r="AG6955" s="580">
        <f t="shared" si="579"/>
        <v>0</v>
      </c>
      <c r="AH6955" s="580">
        <f t="shared" si="580"/>
        <v>0</v>
      </c>
    </row>
    <row r="6956" spans="28:34">
      <c r="AB6956" s="580">
        <f>HLOOKUP("*"&amp;'Output annual'!$AC$2&amp;'Output annual'!$AD$2&amp;"*Zone People Number Of Occupants [](Hourly)",'Eplus results'!$1:$1048576,ROW(),FALSE)</f>
        <v>0</v>
      </c>
      <c r="AC6956" s="580">
        <f>HLOOKUP("*"&amp;'Output annual'!$AC$2&amp;'Output annual'!$AD$2&amp;"*FangerPMV(Hourly)",'Eplus results'!$1:$1048576,ROW(),FALSE)</f>
        <v>0</v>
      </c>
      <c r="AD6956" s="580">
        <f t="shared" si="576"/>
        <v>5</v>
      </c>
      <c r="AE6956" s="580">
        <f t="shared" si="577"/>
        <v>2.5</v>
      </c>
      <c r="AF6956" s="580">
        <f t="shared" si="578"/>
        <v>2.5</v>
      </c>
      <c r="AG6956" s="580">
        <f t="shared" si="579"/>
        <v>0</v>
      </c>
      <c r="AH6956" s="580">
        <f t="shared" si="580"/>
        <v>0</v>
      </c>
    </row>
    <row r="6957" spans="28:34">
      <c r="AB6957" s="580">
        <f>HLOOKUP("*"&amp;'Output annual'!$AC$2&amp;'Output annual'!$AD$2&amp;"*Zone People Number Of Occupants [](Hourly)",'Eplus results'!$1:$1048576,ROW(),FALSE)</f>
        <v>0</v>
      </c>
      <c r="AC6957" s="580">
        <f>HLOOKUP("*"&amp;'Output annual'!$AC$2&amp;'Output annual'!$AD$2&amp;"*FangerPMV(Hourly)",'Eplus results'!$1:$1048576,ROW(),FALSE)</f>
        <v>0</v>
      </c>
      <c r="AD6957" s="580">
        <f t="shared" si="576"/>
        <v>5</v>
      </c>
      <c r="AE6957" s="580">
        <f t="shared" si="577"/>
        <v>2.5</v>
      </c>
      <c r="AF6957" s="580">
        <f t="shared" si="578"/>
        <v>2.5</v>
      </c>
      <c r="AG6957" s="580">
        <f t="shared" si="579"/>
        <v>0</v>
      </c>
      <c r="AH6957" s="580">
        <f t="shared" si="580"/>
        <v>0</v>
      </c>
    </row>
    <row r="6958" spans="28:34">
      <c r="AB6958" s="580">
        <f>HLOOKUP("*"&amp;'Output annual'!$AC$2&amp;'Output annual'!$AD$2&amp;"*Zone People Number Of Occupants [](Hourly)",'Eplus results'!$1:$1048576,ROW(),FALSE)</f>
        <v>0</v>
      </c>
      <c r="AC6958" s="580">
        <f>HLOOKUP("*"&amp;'Output annual'!$AC$2&amp;'Output annual'!$AD$2&amp;"*FangerPMV(Hourly)",'Eplus results'!$1:$1048576,ROW(),FALSE)</f>
        <v>0</v>
      </c>
      <c r="AD6958" s="580">
        <f t="shared" si="576"/>
        <v>5</v>
      </c>
      <c r="AE6958" s="580">
        <f t="shared" si="577"/>
        <v>2.5</v>
      </c>
      <c r="AF6958" s="580">
        <f t="shared" si="578"/>
        <v>2.5</v>
      </c>
      <c r="AG6958" s="580">
        <f t="shared" si="579"/>
        <v>0</v>
      </c>
      <c r="AH6958" s="580">
        <f t="shared" si="580"/>
        <v>0</v>
      </c>
    </row>
    <row r="6959" spans="28:34">
      <c r="AB6959" s="580">
        <f>HLOOKUP("*"&amp;'Output annual'!$AC$2&amp;'Output annual'!$AD$2&amp;"*Zone People Number Of Occupants [](Hourly)",'Eplus results'!$1:$1048576,ROW(),FALSE)</f>
        <v>0</v>
      </c>
      <c r="AC6959" s="580">
        <f>HLOOKUP("*"&amp;'Output annual'!$AC$2&amp;'Output annual'!$AD$2&amp;"*FangerPMV(Hourly)",'Eplus results'!$1:$1048576,ROW(),FALSE)</f>
        <v>0</v>
      </c>
      <c r="AD6959" s="580">
        <f t="shared" si="576"/>
        <v>5</v>
      </c>
      <c r="AE6959" s="580">
        <f t="shared" si="577"/>
        <v>2.5</v>
      </c>
      <c r="AF6959" s="580">
        <f t="shared" si="578"/>
        <v>2.5</v>
      </c>
      <c r="AG6959" s="580">
        <f t="shared" si="579"/>
        <v>0</v>
      </c>
      <c r="AH6959" s="580">
        <f t="shared" si="580"/>
        <v>0</v>
      </c>
    </row>
    <row r="6960" spans="28:34">
      <c r="AB6960" s="580">
        <f>HLOOKUP("*"&amp;'Output annual'!$AC$2&amp;'Output annual'!$AD$2&amp;"*Zone People Number Of Occupants [](Hourly)",'Eplus results'!$1:$1048576,ROW(),FALSE)</f>
        <v>0</v>
      </c>
      <c r="AC6960" s="580">
        <f>HLOOKUP("*"&amp;'Output annual'!$AC$2&amp;'Output annual'!$AD$2&amp;"*FangerPMV(Hourly)",'Eplus results'!$1:$1048576,ROW(),FALSE)</f>
        <v>0</v>
      </c>
      <c r="AD6960" s="580">
        <f t="shared" si="576"/>
        <v>5</v>
      </c>
      <c r="AE6960" s="580">
        <f t="shared" si="577"/>
        <v>2.5</v>
      </c>
      <c r="AF6960" s="580">
        <f t="shared" si="578"/>
        <v>2.5</v>
      </c>
      <c r="AG6960" s="580">
        <f t="shared" si="579"/>
        <v>0</v>
      </c>
      <c r="AH6960" s="580">
        <f t="shared" si="580"/>
        <v>0</v>
      </c>
    </row>
    <row r="6961" spans="28:34">
      <c r="AB6961" s="580">
        <f>HLOOKUP("*"&amp;'Output annual'!$AC$2&amp;'Output annual'!$AD$2&amp;"*Zone People Number Of Occupants [](Hourly)",'Eplus results'!$1:$1048576,ROW(),FALSE)</f>
        <v>0</v>
      </c>
      <c r="AC6961" s="580">
        <f>HLOOKUP("*"&amp;'Output annual'!$AC$2&amp;'Output annual'!$AD$2&amp;"*FangerPMV(Hourly)",'Eplus results'!$1:$1048576,ROW(),FALSE)</f>
        <v>0</v>
      </c>
      <c r="AD6961" s="580">
        <f t="shared" si="576"/>
        <v>5</v>
      </c>
      <c r="AE6961" s="580">
        <f t="shared" si="577"/>
        <v>2.5</v>
      </c>
      <c r="AF6961" s="580">
        <f t="shared" si="578"/>
        <v>2.5</v>
      </c>
      <c r="AG6961" s="580">
        <f t="shared" si="579"/>
        <v>0</v>
      </c>
      <c r="AH6961" s="580">
        <f t="shared" si="580"/>
        <v>0</v>
      </c>
    </row>
    <row r="6962" spans="28:34">
      <c r="AB6962" s="580">
        <f>HLOOKUP("*"&amp;'Output annual'!$AC$2&amp;'Output annual'!$AD$2&amp;"*Zone People Number Of Occupants [](Hourly)",'Eplus results'!$1:$1048576,ROW(),FALSE)</f>
        <v>0</v>
      </c>
      <c r="AC6962" s="580">
        <f>HLOOKUP("*"&amp;'Output annual'!$AC$2&amp;'Output annual'!$AD$2&amp;"*FangerPMV(Hourly)",'Eplus results'!$1:$1048576,ROW(),FALSE)</f>
        <v>0</v>
      </c>
      <c r="AD6962" s="580">
        <f t="shared" si="576"/>
        <v>5</v>
      </c>
      <c r="AE6962" s="580">
        <f t="shared" si="577"/>
        <v>2.5</v>
      </c>
      <c r="AF6962" s="580">
        <f t="shared" si="578"/>
        <v>2.5</v>
      </c>
      <c r="AG6962" s="580">
        <f t="shared" si="579"/>
        <v>0</v>
      </c>
      <c r="AH6962" s="580">
        <f t="shared" si="580"/>
        <v>0</v>
      </c>
    </row>
    <row r="6963" spans="28:34">
      <c r="AB6963" s="580">
        <f>HLOOKUP("*"&amp;'Output annual'!$AC$2&amp;'Output annual'!$AD$2&amp;"*Zone People Number Of Occupants [](Hourly)",'Eplus results'!$1:$1048576,ROW(),FALSE)</f>
        <v>0</v>
      </c>
      <c r="AC6963" s="580">
        <f>HLOOKUP("*"&amp;'Output annual'!$AC$2&amp;'Output annual'!$AD$2&amp;"*FangerPMV(Hourly)",'Eplus results'!$1:$1048576,ROW(),FALSE)</f>
        <v>0</v>
      </c>
      <c r="AD6963" s="580">
        <f t="shared" si="576"/>
        <v>5</v>
      </c>
      <c r="AE6963" s="580">
        <f t="shared" si="577"/>
        <v>2.5</v>
      </c>
      <c r="AF6963" s="580">
        <f t="shared" si="578"/>
        <v>2.5</v>
      </c>
      <c r="AG6963" s="580">
        <f t="shared" si="579"/>
        <v>0</v>
      </c>
      <c r="AH6963" s="580">
        <f t="shared" si="580"/>
        <v>0</v>
      </c>
    </row>
    <row r="6964" spans="28:34">
      <c r="AB6964" s="580">
        <f>HLOOKUP("*"&amp;'Output annual'!$AC$2&amp;'Output annual'!$AD$2&amp;"*Zone People Number Of Occupants [](Hourly)",'Eplus results'!$1:$1048576,ROW(),FALSE)</f>
        <v>0</v>
      </c>
      <c r="AC6964" s="580">
        <f>HLOOKUP("*"&amp;'Output annual'!$AC$2&amp;'Output annual'!$AD$2&amp;"*FangerPMV(Hourly)",'Eplus results'!$1:$1048576,ROW(),FALSE)</f>
        <v>0</v>
      </c>
      <c r="AD6964" s="580">
        <f t="shared" si="576"/>
        <v>5</v>
      </c>
      <c r="AE6964" s="580">
        <f t="shared" si="577"/>
        <v>2.5</v>
      </c>
      <c r="AF6964" s="580">
        <f t="shared" si="578"/>
        <v>2.5</v>
      </c>
      <c r="AG6964" s="580">
        <f t="shared" si="579"/>
        <v>0</v>
      </c>
      <c r="AH6964" s="580">
        <f t="shared" si="580"/>
        <v>0</v>
      </c>
    </row>
    <row r="6965" spans="28:34">
      <c r="AB6965" s="580">
        <f>HLOOKUP("*"&amp;'Output annual'!$AC$2&amp;'Output annual'!$AD$2&amp;"*Zone People Number Of Occupants [](Hourly)",'Eplus results'!$1:$1048576,ROW(),FALSE)</f>
        <v>0</v>
      </c>
      <c r="AC6965" s="580">
        <f>HLOOKUP("*"&amp;'Output annual'!$AC$2&amp;'Output annual'!$AD$2&amp;"*FangerPMV(Hourly)",'Eplus results'!$1:$1048576,ROW(),FALSE)</f>
        <v>0</v>
      </c>
      <c r="AD6965" s="580">
        <f t="shared" si="576"/>
        <v>5</v>
      </c>
      <c r="AE6965" s="580">
        <f t="shared" si="577"/>
        <v>2.5</v>
      </c>
      <c r="AF6965" s="580">
        <f t="shared" si="578"/>
        <v>2.5</v>
      </c>
      <c r="AG6965" s="580">
        <f t="shared" si="579"/>
        <v>0</v>
      </c>
      <c r="AH6965" s="580">
        <f t="shared" si="580"/>
        <v>0</v>
      </c>
    </row>
    <row r="6966" spans="28:34">
      <c r="AB6966" s="580">
        <f>HLOOKUP("*"&amp;'Output annual'!$AC$2&amp;'Output annual'!$AD$2&amp;"*Zone People Number Of Occupants [](Hourly)",'Eplus results'!$1:$1048576,ROW(),FALSE)</f>
        <v>0</v>
      </c>
      <c r="AC6966" s="580">
        <f>HLOOKUP("*"&amp;'Output annual'!$AC$2&amp;'Output annual'!$AD$2&amp;"*FangerPMV(Hourly)",'Eplus results'!$1:$1048576,ROW(),FALSE)</f>
        <v>0</v>
      </c>
      <c r="AD6966" s="580">
        <f t="shared" si="576"/>
        <v>5</v>
      </c>
      <c r="AE6966" s="580">
        <f t="shared" si="577"/>
        <v>2.5</v>
      </c>
      <c r="AF6966" s="580">
        <f t="shared" si="578"/>
        <v>2.5</v>
      </c>
      <c r="AG6966" s="580">
        <f t="shared" si="579"/>
        <v>0</v>
      </c>
      <c r="AH6966" s="580">
        <f t="shared" si="580"/>
        <v>0</v>
      </c>
    </row>
    <row r="6967" spans="28:34">
      <c r="AB6967" s="580">
        <f>HLOOKUP("*"&amp;'Output annual'!$AC$2&amp;'Output annual'!$AD$2&amp;"*Zone People Number Of Occupants [](Hourly)",'Eplus results'!$1:$1048576,ROW(),FALSE)</f>
        <v>0</v>
      </c>
      <c r="AC6967" s="580">
        <f>HLOOKUP("*"&amp;'Output annual'!$AC$2&amp;'Output annual'!$AD$2&amp;"*FangerPMV(Hourly)",'Eplus results'!$1:$1048576,ROW(),FALSE)</f>
        <v>0</v>
      </c>
      <c r="AD6967" s="580">
        <f t="shared" si="576"/>
        <v>5</v>
      </c>
      <c r="AE6967" s="580">
        <f t="shared" si="577"/>
        <v>2.5</v>
      </c>
      <c r="AF6967" s="580">
        <f t="shared" si="578"/>
        <v>2.5</v>
      </c>
      <c r="AG6967" s="580">
        <f t="shared" si="579"/>
        <v>0</v>
      </c>
      <c r="AH6967" s="580">
        <f t="shared" si="580"/>
        <v>0</v>
      </c>
    </row>
    <row r="6968" spans="28:34">
      <c r="AB6968" s="580">
        <f>HLOOKUP("*"&amp;'Output annual'!$AC$2&amp;'Output annual'!$AD$2&amp;"*Zone People Number Of Occupants [](Hourly)",'Eplus results'!$1:$1048576,ROW(),FALSE)</f>
        <v>0</v>
      </c>
      <c r="AC6968" s="580">
        <f>HLOOKUP("*"&amp;'Output annual'!$AC$2&amp;'Output annual'!$AD$2&amp;"*FangerPMV(Hourly)",'Eplus results'!$1:$1048576,ROW(),FALSE)</f>
        <v>0</v>
      </c>
      <c r="AD6968" s="580">
        <f t="shared" si="576"/>
        <v>5</v>
      </c>
      <c r="AE6968" s="580">
        <f t="shared" si="577"/>
        <v>2.5</v>
      </c>
      <c r="AF6968" s="580">
        <f t="shared" si="578"/>
        <v>2.5</v>
      </c>
      <c r="AG6968" s="580">
        <f t="shared" si="579"/>
        <v>0</v>
      </c>
      <c r="AH6968" s="580">
        <f t="shared" si="580"/>
        <v>0</v>
      </c>
    </row>
    <row r="6969" spans="28:34">
      <c r="AB6969" s="580">
        <f>HLOOKUP("*"&amp;'Output annual'!$AC$2&amp;'Output annual'!$AD$2&amp;"*Zone People Number Of Occupants [](Hourly)",'Eplus results'!$1:$1048576,ROW(),FALSE)</f>
        <v>0</v>
      </c>
      <c r="AC6969" s="580">
        <f>HLOOKUP("*"&amp;'Output annual'!$AC$2&amp;'Output annual'!$AD$2&amp;"*FangerPMV(Hourly)",'Eplus results'!$1:$1048576,ROW(),FALSE)</f>
        <v>0</v>
      </c>
      <c r="AD6969" s="580">
        <f t="shared" si="576"/>
        <v>5</v>
      </c>
      <c r="AE6969" s="580">
        <f t="shared" si="577"/>
        <v>2.5</v>
      </c>
      <c r="AF6969" s="580">
        <f t="shared" si="578"/>
        <v>2.5</v>
      </c>
      <c r="AG6969" s="580">
        <f t="shared" si="579"/>
        <v>0</v>
      </c>
      <c r="AH6969" s="580">
        <f t="shared" si="580"/>
        <v>0</v>
      </c>
    </row>
    <row r="6970" spans="28:34">
      <c r="AB6970" s="580">
        <f>HLOOKUP("*"&amp;'Output annual'!$AC$2&amp;'Output annual'!$AD$2&amp;"*Zone People Number Of Occupants [](Hourly)",'Eplus results'!$1:$1048576,ROW(),FALSE)</f>
        <v>0</v>
      </c>
      <c r="AC6970" s="580">
        <f>HLOOKUP("*"&amp;'Output annual'!$AC$2&amp;'Output annual'!$AD$2&amp;"*FangerPMV(Hourly)",'Eplus results'!$1:$1048576,ROW(),FALSE)</f>
        <v>0</v>
      </c>
      <c r="AD6970" s="580">
        <f t="shared" si="576"/>
        <v>5</v>
      </c>
      <c r="AE6970" s="580">
        <f t="shared" si="577"/>
        <v>2.5</v>
      </c>
      <c r="AF6970" s="580">
        <f t="shared" si="578"/>
        <v>2.5</v>
      </c>
      <c r="AG6970" s="580">
        <f t="shared" si="579"/>
        <v>0</v>
      </c>
      <c r="AH6970" s="580">
        <f t="shared" si="580"/>
        <v>0</v>
      </c>
    </row>
    <row r="6971" spans="28:34">
      <c r="AB6971" s="580">
        <f>HLOOKUP("*"&amp;'Output annual'!$AC$2&amp;'Output annual'!$AD$2&amp;"*Zone People Number Of Occupants [](Hourly)",'Eplus results'!$1:$1048576,ROW(),FALSE)</f>
        <v>0</v>
      </c>
      <c r="AC6971" s="580">
        <f>HLOOKUP("*"&amp;'Output annual'!$AC$2&amp;'Output annual'!$AD$2&amp;"*FangerPMV(Hourly)",'Eplus results'!$1:$1048576,ROW(),FALSE)</f>
        <v>0</v>
      </c>
      <c r="AD6971" s="580">
        <f t="shared" si="576"/>
        <v>5</v>
      </c>
      <c r="AE6971" s="580">
        <f t="shared" si="577"/>
        <v>2.5</v>
      </c>
      <c r="AF6971" s="580">
        <f t="shared" si="578"/>
        <v>2.5</v>
      </c>
      <c r="AG6971" s="580">
        <f t="shared" si="579"/>
        <v>0</v>
      </c>
      <c r="AH6971" s="580">
        <f t="shared" si="580"/>
        <v>0</v>
      </c>
    </row>
    <row r="6972" spans="28:34">
      <c r="AB6972" s="580">
        <f>HLOOKUP("*"&amp;'Output annual'!$AC$2&amp;'Output annual'!$AD$2&amp;"*Zone People Number Of Occupants [](Hourly)",'Eplus results'!$1:$1048576,ROW(),FALSE)</f>
        <v>0</v>
      </c>
      <c r="AC6972" s="580">
        <f>HLOOKUP("*"&amp;'Output annual'!$AC$2&amp;'Output annual'!$AD$2&amp;"*FangerPMV(Hourly)",'Eplus results'!$1:$1048576,ROW(),FALSE)</f>
        <v>0</v>
      </c>
      <c r="AD6972" s="580">
        <f t="shared" si="576"/>
        <v>5</v>
      </c>
      <c r="AE6972" s="580">
        <f t="shared" si="577"/>
        <v>2.5</v>
      </c>
      <c r="AF6972" s="580">
        <f t="shared" si="578"/>
        <v>2.5</v>
      </c>
      <c r="AG6972" s="580">
        <f t="shared" si="579"/>
        <v>0</v>
      </c>
      <c r="AH6972" s="580">
        <f t="shared" si="580"/>
        <v>0</v>
      </c>
    </row>
    <row r="6973" spans="28:34">
      <c r="AB6973" s="580">
        <f>HLOOKUP("*"&amp;'Output annual'!$AC$2&amp;'Output annual'!$AD$2&amp;"*Zone People Number Of Occupants [](Hourly)",'Eplus results'!$1:$1048576,ROW(),FALSE)</f>
        <v>0</v>
      </c>
      <c r="AC6973" s="580">
        <f>HLOOKUP("*"&amp;'Output annual'!$AC$2&amp;'Output annual'!$AD$2&amp;"*FangerPMV(Hourly)",'Eplus results'!$1:$1048576,ROW(),FALSE)</f>
        <v>0</v>
      </c>
      <c r="AD6973" s="580">
        <f t="shared" si="576"/>
        <v>5</v>
      </c>
      <c r="AE6973" s="580">
        <f t="shared" si="577"/>
        <v>2.5</v>
      </c>
      <c r="AF6973" s="580">
        <f t="shared" si="578"/>
        <v>2.5</v>
      </c>
      <c r="AG6973" s="580">
        <f t="shared" si="579"/>
        <v>0</v>
      </c>
      <c r="AH6973" s="580">
        <f t="shared" si="580"/>
        <v>0</v>
      </c>
    </row>
    <row r="6974" spans="28:34">
      <c r="AB6974" s="580">
        <f>HLOOKUP("*"&amp;'Output annual'!$AC$2&amp;'Output annual'!$AD$2&amp;"*Zone People Number Of Occupants [](Hourly)",'Eplus results'!$1:$1048576,ROW(),FALSE)</f>
        <v>0</v>
      </c>
      <c r="AC6974" s="580">
        <f>HLOOKUP("*"&amp;'Output annual'!$AC$2&amp;'Output annual'!$AD$2&amp;"*FangerPMV(Hourly)",'Eplus results'!$1:$1048576,ROW(),FALSE)</f>
        <v>0</v>
      </c>
      <c r="AD6974" s="580">
        <f t="shared" si="576"/>
        <v>5</v>
      </c>
      <c r="AE6974" s="580">
        <f t="shared" si="577"/>
        <v>2.5</v>
      </c>
      <c r="AF6974" s="580">
        <f t="shared" si="578"/>
        <v>2.5</v>
      </c>
      <c r="AG6974" s="580">
        <f t="shared" si="579"/>
        <v>0</v>
      </c>
      <c r="AH6974" s="580">
        <f t="shared" si="580"/>
        <v>0</v>
      </c>
    </row>
    <row r="6975" spans="28:34">
      <c r="AB6975" s="580">
        <f>HLOOKUP("*"&amp;'Output annual'!$AC$2&amp;'Output annual'!$AD$2&amp;"*Zone People Number Of Occupants [](Hourly)",'Eplus results'!$1:$1048576,ROW(),FALSE)</f>
        <v>0</v>
      </c>
      <c r="AC6975" s="580">
        <f>HLOOKUP("*"&amp;'Output annual'!$AC$2&amp;'Output annual'!$AD$2&amp;"*FangerPMV(Hourly)",'Eplus results'!$1:$1048576,ROW(),FALSE)</f>
        <v>0</v>
      </c>
      <c r="AD6975" s="580">
        <f t="shared" si="576"/>
        <v>5</v>
      </c>
      <c r="AE6975" s="580">
        <f t="shared" si="577"/>
        <v>2.5</v>
      </c>
      <c r="AF6975" s="580">
        <f t="shared" si="578"/>
        <v>2.5</v>
      </c>
      <c r="AG6975" s="580">
        <f t="shared" si="579"/>
        <v>0</v>
      </c>
      <c r="AH6975" s="580">
        <f t="shared" si="580"/>
        <v>0</v>
      </c>
    </row>
    <row r="6976" spans="28:34">
      <c r="AB6976" s="580">
        <f>HLOOKUP("*"&amp;'Output annual'!$AC$2&amp;'Output annual'!$AD$2&amp;"*Zone People Number Of Occupants [](Hourly)",'Eplus results'!$1:$1048576,ROW(),FALSE)</f>
        <v>0</v>
      </c>
      <c r="AC6976" s="580">
        <f>HLOOKUP("*"&amp;'Output annual'!$AC$2&amp;'Output annual'!$AD$2&amp;"*FangerPMV(Hourly)",'Eplus results'!$1:$1048576,ROW(),FALSE)</f>
        <v>0</v>
      </c>
      <c r="AD6976" s="580">
        <f t="shared" si="576"/>
        <v>5</v>
      </c>
      <c r="AE6976" s="580">
        <f t="shared" si="577"/>
        <v>2.5</v>
      </c>
      <c r="AF6976" s="580">
        <f t="shared" si="578"/>
        <v>2.5</v>
      </c>
      <c r="AG6976" s="580">
        <f t="shared" si="579"/>
        <v>0</v>
      </c>
      <c r="AH6976" s="580">
        <f t="shared" si="580"/>
        <v>0</v>
      </c>
    </row>
    <row r="6977" spans="28:34">
      <c r="AB6977" s="580">
        <f>HLOOKUP("*"&amp;'Output annual'!$AC$2&amp;'Output annual'!$AD$2&amp;"*Zone People Number Of Occupants [](Hourly)",'Eplus results'!$1:$1048576,ROW(),FALSE)</f>
        <v>0</v>
      </c>
      <c r="AC6977" s="580">
        <f>HLOOKUP("*"&amp;'Output annual'!$AC$2&amp;'Output annual'!$AD$2&amp;"*FangerPMV(Hourly)",'Eplus results'!$1:$1048576,ROW(),FALSE)</f>
        <v>0</v>
      </c>
      <c r="AD6977" s="580">
        <f t="shared" si="576"/>
        <v>5</v>
      </c>
      <c r="AE6977" s="580">
        <f t="shared" si="577"/>
        <v>2.5</v>
      </c>
      <c r="AF6977" s="580">
        <f t="shared" si="578"/>
        <v>2.5</v>
      </c>
      <c r="AG6977" s="580">
        <f t="shared" si="579"/>
        <v>0</v>
      </c>
      <c r="AH6977" s="580">
        <f t="shared" si="580"/>
        <v>0</v>
      </c>
    </row>
    <row r="6978" spans="28:34">
      <c r="AB6978" s="580">
        <f>HLOOKUP("*"&amp;'Output annual'!$AC$2&amp;'Output annual'!$AD$2&amp;"*Zone People Number Of Occupants [](Hourly)",'Eplus results'!$1:$1048576,ROW(),FALSE)</f>
        <v>0</v>
      </c>
      <c r="AC6978" s="580">
        <f>HLOOKUP("*"&amp;'Output annual'!$AC$2&amp;'Output annual'!$AD$2&amp;"*FangerPMV(Hourly)",'Eplus results'!$1:$1048576,ROW(),FALSE)</f>
        <v>0</v>
      </c>
      <c r="AD6978" s="580">
        <f t="shared" si="576"/>
        <v>5</v>
      </c>
      <c r="AE6978" s="580">
        <f t="shared" si="577"/>
        <v>2.5</v>
      </c>
      <c r="AF6978" s="580">
        <f t="shared" si="578"/>
        <v>2.5</v>
      </c>
      <c r="AG6978" s="580">
        <f t="shared" si="579"/>
        <v>0</v>
      </c>
      <c r="AH6978" s="580">
        <f t="shared" si="580"/>
        <v>0</v>
      </c>
    </row>
    <row r="6979" spans="28:34">
      <c r="AB6979" s="580">
        <f>HLOOKUP("*"&amp;'Output annual'!$AC$2&amp;'Output annual'!$AD$2&amp;"*Zone People Number Of Occupants [](Hourly)",'Eplus results'!$1:$1048576,ROW(),FALSE)</f>
        <v>0</v>
      </c>
      <c r="AC6979" s="580">
        <f>HLOOKUP("*"&amp;'Output annual'!$AC$2&amp;'Output annual'!$AD$2&amp;"*FangerPMV(Hourly)",'Eplus results'!$1:$1048576,ROW(),FALSE)</f>
        <v>0</v>
      </c>
      <c r="AD6979" s="580">
        <f t="shared" ref="AD6979:AD7042" si="581">100-95*EXP(-0.03353*AC6979^4-0.2179*AC6979^2)</f>
        <v>5</v>
      </c>
      <c r="AE6979" s="580">
        <f t="shared" ref="AE6979:AE7042" si="582">AD6979*(1/(1+EXP(-6.3*$AC6979)))</f>
        <v>2.5</v>
      </c>
      <c r="AF6979" s="580">
        <f t="shared" ref="AF6979:AF7042" si="583">(AD6979-AE6979)</f>
        <v>2.5</v>
      </c>
      <c r="AG6979" s="580">
        <f t="shared" ref="AG6979:AG7042" si="584">AE6979*AB6979</f>
        <v>0</v>
      </c>
      <c r="AH6979" s="580">
        <f t="shared" ref="AH6979:AH7042" si="585">AF6979*AB6979</f>
        <v>0</v>
      </c>
    </row>
    <row r="6980" spans="28:34">
      <c r="AB6980" s="580">
        <f>HLOOKUP("*"&amp;'Output annual'!$AC$2&amp;'Output annual'!$AD$2&amp;"*Zone People Number Of Occupants [](Hourly)",'Eplus results'!$1:$1048576,ROW(),FALSE)</f>
        <v>0</v>
      </c>
      <c r="AC6980" s="580">
        <f>HLOOKUP("*"&amp;'Output annual'!$AC$2&amp;'Output annual'!$AD$2&amp;"*FangerPMV(Hourly)",'Eplus results'!$1:$1048576,ROW(),FALSE)</f>
        <v>0</v>
      </c>
      <c r="AD6980" s="580">
        <f t="shared" si="581"/>
        <v>5</v>
      </c>
      <c r="AE6980" s="580">
        <f t="shared" si="582"/>
        <v>2.5</v>
      </c>
      <c r="AF6980" s="580">
        <f t="shared" si="583"/>
        <v>2.5</v>
      </c>
      <c r="AG6980" s="580">
        <f t="shared" si="584"/>
        <v>0</v>
      </c>
      <c r="AH6980" s="580">
        <f t="shared" si="585"/>
        <v>0</v>
      </c>
    </row>
    <row r="6981" spans="28:34">
      <c r="AB6981" s="580">
        <f>HLOOKUP("*"&amp;'Output annual'!$AC$2&amp;'Output annual'!$AD$2&amp;"*Zone People Number Of Occupants [](Hourly)",'Eplus results'!$1:$1048576,ROW(),FALSE)</f>
        <v>0</v>
      </c>
      <c r="AC6981" s="580">
        <f>HLOOKUP("*"&amp;'Output annual'!$AC$2&amp;'Output annual'!$AD$2&amp;"*FangerPMV(Hourly)",'Eplus results'!$1:$1048576,ROW(),FALSE)</f>
        <v>0</v>
      </c>
      <c r="AD6981" s="580">
        <f t="shared" si="581"/>
        <v>5</v>
      </c>
      <c r="AE6981" s="580">
        <f t="shared" si="582"/>
        <v>2.5</v>
      </c>
      <c r="AF6981" s="580">
        <f t="shared" si="583"/>
        <v>2.5</v>
      </c>
      <c r="AG6981" s="580">
        <f t="shared" si="584"/>
        <v>0</v>
      </c>
      <c r="AH6981" s="580">
        <f t="shared" si="585"/>
        <v>0</v>
      </c>
    </row>
    <row r="6982" spans="28:34">
      <c r="AB6982" s="580">
        <f>HLOOKUP("*"&amp;'Output annual'!$AC$2&amp;'Output annual'!$AD$2&amp;"*Zone People Number Of Occupants [](Hourly)",'Eplus results'!$1:$1048576,ROW(),FALSE)</f>
        <v>0</v>
      </c>
      <c r="AC6982" s="580">
        <f>HLOOKUP("*"&amp;'Output annual'!$AC$2&amp;'Output annual'!$AD$2&amp;"*FangerPMV(Hourly)",'Eplus results'!$1:$1048576,ROW(),FALSE)</f>
        <v>0</v>
      </c>
      <c r="AD6982" s="580">
        <f t="shared" si="581"/>
        <v>5</v>
      </c>
      <c r="AE6982" s="580">
        <f t="shared" si="582"/>
        <v>2.5</v>
      </c>
      <c r="AF6982" s="580">
        <f t="shared" si="583"/>
        <v>2.5</v>
      </c>
      <c r="AG6982" s="580">
        <f t="shared" si="584"/>
        <v>0</v>
      </c>
      <c r="AH6982" s="580">
        <f t="shared" si="585"/>
        <v>0</v>
      </c>
    </row>
    <row r="6983" spans="28:34">
      <c r="AB6983" s="580">
        <f>HLOOKUP("*"&amp;'Output annual'!$AC$2&amp;'Output annual'!$AD$2&amp;"*Zone People Number Of Occupants [](Hourly)",'Eplus results'!$1:$1048576,ROW(),FALSE)</f>
        <v>0</v>
      </c>
      <c r="AC6983" s="580">
        <f>HLOOKUP("*"&amp;'Output annual'!$AC$2&amp;'Output annual'!$AD$2&amp;"*FangerPMV(Hourly)",'Eplus results'!$1:$1048576,ROW(),FALSE)</f>
        <v>0</v>
      </c>
      <c r="AD6983" s="580">
        <f t="shared" si="581"/>
        <v>5</v>
      </c>
      <c r="AE6983" s="580">
        <f t="shared" si="582"/>
        <v>2.5</v>
      </c>
      <c r="AF6983" s="580">
        <f t="shared" si="583"/>
        <v>2.5</v>
      </c>
      <c r="AG6983" s="580">
        <f t="shared" si="584"/>
        <v>0</v>
      </c>
      <c r="AH6983" s="580">
        <f t="shared" si="585"/>
        <v>0</v>
      </c>
    </row>
    <row r="6984" spans="28:34">
      <c r="AB6984" s="580">
        <f>HLOOKUP("*"&amp;'Output annual'!$AC$2&amp;'Output annual'!$AD$2&amp;"*Zone People Number Of Occupants [](Hourly)",'Eplus results'!$1:$1048576,ROW(),FALSE)</f>
        <v>0</v>
      </c>
      <c r="AC6984" s="580">
        <f>HLOOKUP("*"&amp;'Output annual'!$AC$2&amp;'Output annual'!$AD$2&amp;"*FangerPMV(Hourly)",'Eplus results'!$1:$1048576,ROW(),FALSE)</f>
        <v>0</v>
      </c>
      <c r="AD6984" s="580">
        <f t="shared" si="581"/>
        <v>5</v>
      </c>
      <c r="AE6984" s="580">
        <f t="shared" si="582"/>
        <v>2.5</v>
      </c>
      <c r="AF6984" s="580">
        <f t="shared" si="583"/>
        <v>2.5</v>
      </c>
      <c r="AG6984" s="580">
        <f t="shared" si="584"/>
        <v>0</v>
      </c>
      <c r="AH6984" s="580">
        <f t="shared" si="585"/>
        <v>0</v>
      </c>
    </row>
    <row r="6985" spans="28:34">
      <c r="AB6985" s="580">
        <f>HLOOKUP("*"&amp;'Output annual'!$AC$2&amp;'Output annual'!$AD$2&amp;"*Zone People Number Of Occupants [](Hourly)",'Eplus results'!$1:$1048576,ROW(),FALSE)</f>
        <v>0</v>
      </c>
      <c r="AC6985" s="580">
        <f>HLOOKUP("*"&amp;'Output annual'!$AC$2&amp;'Output annual'!$AD$2&amp;"*FangerPMV(Hourly)",'Eplus results'!$1:$1048576,ROW(),FALSE)</f>
        <v>0</v>
      </c>
      <c r="AD6985" s="580">
        <f t="shared" si="581"/>
        <v>5</v>
      </c>
      <c r="AE6985" s="580">
        <f t="shared" si="582"/>
        <v>2.5</v>
      </c>
      <c r="AF6985" s="580">
        <f t="shared" si="583"/>
        <v>2.5</v>
      </c>
      <c r="AG6985" s="580">
        <f t="shared" si="584"/>
        <v>0</v>
      </c>
      <c r="AH6985" s="580">
        <f t="shared" si="585"/>
        <v>0</v>
      </c>
    </row>
    <row r="6986" spans="28:34">
      <c r="AB6986" s="580">
        <f>HLOOKUP("*"&amp;'Output annual'!$AC$2&amp;'Output annual'!$AD$2&amp;"*Zone People Number Of Occupants [](Hourly)",'Eplus results'!$1:$1048576,ROW(),FALSE)</f>
        <v>0</v>
      </c>
      <c r="AC6986" s="580">
        <f>HLOOKUP("*"&amp;'Output annual'!$AC$2&amp;'Output annual'!$AD$2&amp;"*FangerPMV(Hourly)",'Eplus results'!$1:$1048576,ROW(),FALSE)</f>
        <v>0</v>
      </c>
      <c r="AD6986" s="580">
        <f t="shared" si="581"/>
        <v>5</v>
      </c>
      <c r="AE6986" s="580">
        <f t="shared" si="582"/>
        <v>2.5</v>
      </c>
      <c r="AF6986" s="580">
        <f t="shared" si="583"/>
        <v>2.5</v>
      </c>
      <c r="AG6986" s="580">
        <f t="shared" si="584"/>
        <v>0</v>
      </c>
      <c r="AH6986" s="580">
        <f t="shared" si="585"/>
        <v>0</v>
      </c>
    </row>
    <row r="6987" spans="28:34">
      <c r="AB6987" s="580">
        <f>HLOOKUP("*"&amp;'Output annual'!$AC$2&amp;'Output annual'!$AD$2&amp;"*Zone People Number Of Occupants [](Hourly)",'Eplus results'!$1:$1048576,ROW(),FALSE)</f>
        <v>0</v>
      </c>
      <c r="AC6987" s="580">
        <f>HLOOKUP("*"&amp;'Output annual'!$AC$2&amp;'Output annual'!$AD$2&amp;"*FangerPMV(Hourly)",'Eplus results'!$1:$1048576,ROW(),FALSE)</f>
        <v>0</v>
      </c>
      <c r="AD6987" s="580">
        <f t="shared" si="581"/>
        <v>5</v>
      </c>
      <c r="AE6987" s="580">
        <f t="shared" si="582"/>
        <v>2.5</v>
      </c>
      <c r="AF6987" s="580">
        <f t="shared" si="583"/>
        <v>2.5</v>
      </c>
      <c r="AG6987" s="580">
        <f t="shared" si="584"/>
        <v>0</v>
      </c>
      <c r="AH6987" s="580">
        <f t="shared" si="585"/>
        <v>0</v>
      </c>
    </row>
    <row r="6988" spans="28:34">
      <c r="AB6988" s="580">
        <f>HLOOKUP("*"&amp;'Output annual'!$AC$2&amp;'Output annual'!$AD$2&amp;"*Zone People Number Of Occupants [](Hourly)",'Eplus results'!$1:$1048576,ROW(),FALSE)</f>
        <v>0</v>
      </c>
      <c r="AC6988" s="580">
        <f>HLOOKUP("*"&amp;'Output annual'!$AC$2&amp;'Output annual'!$AD$2&amp;"*FangerPMV(Hourly)",'Eplus results'!$1:$1048576,ROW(),FALSE)</f>
        <v>0</v>
      </c>
      <c r="AD6988" s="580">
        <f t="shared" si="581"/>
        <v>5</v>
      </c>
      <c r="AE6988" s="580">
        <f t="shared" si="582"/>
        <v>2.5</v>
      </c>
      <c r="AF6988" s="580">
        <f t="shared" si="583"/>
        <v>2.5</v>
      </c>
      <c r="AG6988" s="580">
        <f t="shared" si="584"/>
        <v>0</v>
      </c>
      <c r="AH6988" s="580">
        <f t="shared" si="585"/>
        <v>0</v>
      </c>
    </row>
    <row r="6989" spans="28:34">
      <c r="AB6989" s="580">
        <f>HLOOKUP("*"&amp;'Output annual'!$AC$2&amp;'Output annual'!$AD$2&amp;"*Zone People Number Of Occupants [](Hourly)",'Eplus results'!$1:$1048576,ROW(),FALSE)</f>
        <v>0</v>
      </c>
      <c r="AC6989" s="580">
        <f>HLOOKUP("*"&amp;'Output annual'!$AC$2&amp;'Output annual'!$AD$2&amp;"*FangerPMV(Hourly)",'Eplus results'!$1:$1048576,ROW(),FALSE)</f>
        <v>0</v>
      </c>
      <c r="AD6989" s="580">
        <f t="shared" si="581"/>
        <v>5</v>
      </c>
      <c r="AE6989" s="580">
        <f t="shared" si="582"/>
        <v>2.5</v>
      </c>
      <c r="AF6989" s="580">
        <f t="shared" si="583"/>
        <v>2.5</v>
      </c>
      <c r="AG6989" s="580">
        <f t="shared" si="584"/>
        <v>0</v>
      </c>
      <c r="AH6989" s="580">
        <f t="shared" si="585"/>
        <v>0</v>
      </c>
    </row>
    <row r="6990" spans="28:34">
      <c r="AB6990" s="580">
        <f>HLOOKUP("*"&amp;'Output annual'!$AC$2&amp;'Output annual'!$AD$2&amp;"*Zone People Number Of Occupants [](Hourly)",'Eplus results'!$1:$1048576,ROW(),FALSE)</f>
        <v>0</v>
      </c>
      <c r="AC6990" s="580">
        <f>HLOOKUP("*"&amp;'Output annual'!$AC$2&amp;'Output annual'!$AD$2&amp;"*FangerPMV(Hourly)",'Eplus results'!$1:$1048576,ROW(),FALSE)</f>
        <v>0</v>
      </c>
      <c r="AD6990" s="580">
        <f t="shared" si="581"/>
        <v>5</v>
      </c>
      <c r="AE6990" s="580">
        <f t="shared" si="582"/>
        <v>2.5</v>
      </c>
      <c r="AF6990" s="580">
        <f t="shared" si="583"/>
        <v>2.5</v>
      </c>
      <c r="AG6990" s="580">
        <f t="shared" si="584"/>
        <v>0</v>
      </c>
      <c r="AH6990" s="580">
        <f t="shared" si="585"/>
        <v>0</v>
      </c>
    </row>
    <row r="6991" spans="28:34">
      <c r="AB6991" s="580">
        <f>HLOOKUP("*"&amp;'Output annual'!$AC$2&amp;'Output annual'!$AD$2&amp;"*Zone People Number Of Occupants [](Hourly)",'Eplus results'!$1:$1048576,ROW(),FALSE)</f>
        <v>0</v>
      </c>
      <c r="AC6991" s="580">
        <f>HLOOKUP("*"&amp;'Output annual'!$AC$2&amp;'Output annual'!$AD$2&amp;"*FangerPMV(Hourly)",'Eplus results'!$1:$1048576,ROW(),FALSE)</f>
        <v>0</v>
      </c>
      <c r="AD6991" s="580">
        <f t="shared" si="581"/>
        <v>5</v>
      </c>
      <c r="AE6991" s="580">
        <f t="shared" si="582"/>
        <v>2.5</v>
      </c>
      <c r="AF6991" s="580">
        <f t="shared" si="583"/>
        <v>2.5</v>
      </c>
      <c r="AG6991" s="580">
        <f t="shared" si="584"/>
        <v>0</v>
      </c>
      <c r="AH6991" s="580">
        <f t="shared" si="585"/>
        <v>0</v>
      </c>
    </row>
    <row r="6992" spans="28:34">
      <c r="AB6992" s="580">
        <f>HLOOKUP("*"&amp;'Output annual'!$AC$2&amp;'Output annual'!$AD$2&amp;"*Zone People Number Of Occupants [](Hourly)",'Eplus results'!$1:$1048576,ROW(),FALSE)</f>
        <v>0</v>
      </c>
      <c r="AC6992" s="580">
        <f>HLOOKUP("*"&amp;'Output annual'!$AC$2&amp;'Output annual'!$AD$2&amp;"*FangerPMV(Hourly)",'Eplus results'!$1:$1048576,ROW(),FALSE)</f>
        <v>0</v>
      </c>
      <c r="AD6992" s="580">
        <f t="shared" si="581"/>
        <v>5</v>
      </c>
      <c r="AE6992" s="580">
        <f t="shared" si="582"/>
        <v>2.5</v>
      </c>
      <c r="AF6992" s="580">
        <f t="shared" si="583"/>
        <v>2.5</v>
      </c>
      <c r="AG6992" s="580">
        <f t="shared" si="584"/>
        <v>0</v>
      </c>
      <c r="AH6992" s="580">
        <f t="shared" si="585"/>
        <v>0</v>
      </c>
    </row>
    <row r="6993" spans="28:34">
      <c r="AB6993" s="580">
        <f>HLOOKUP("*"&amp;'Output annual'!$AC$2&amp;'Output annual'!$AD$2&amp;"*Zone People Number Of Occupants [](Hourly)",'Eplus results'!$1:$1048576,ROW(),FALSE)</f>
        <v>0</v>
      </c>
      <c r="AC6993" s="580">
        <f>HLOOKUP("*"&amp;'Output annual'!$AC$2&amp;'Output annual'!$AD$2&amp;"*FangerPMV(Hourly)",'Eplus results'!$1:$1048576,ROW(),FALSE)</f>
        <v>0</v>
      </c>
      <c r="AD6993" s="580">
        <f t="shared" si="581"/>
        <v>5</v>
      </c>
      <c r="AE6993" s="580">
        <f t="shared" si="582"/>
        <v>2.5</v>
      </c>
      <c r="AF6993" s="580">
        <f t="shared" si="583"/>
        <v>2.5</v>
      </c>
      <c r="AG6993" s="580">
        <f t="shared" si="584"/>
        <v>0</v>
      </c>
      <c r="AH6993" s="580">
        <f t="shared" si="585"/>
        <v>0</v>
      </c>
    </row>
    <row r="6994" spans="28:34">
      <c r="AB6994" s="580">
        <f>HLOOKUP("*"&amp;'Output annual'!$AC$2&amp;'Output annual'!$AD$2&amp;"*Zone People Number Of Occupants [](Hourly)",'Eplus results'!$1:$1048576,ROW(),FALSE)</f>
        <v>0</v>
      </c>
      <c r="AC6994" s="580">
        <f>HLOOKUP("*"&amp;'Output annual'!$AC$2&amp;'Output annual'!$AD$2&amp;"*FangerPMV(Hourly)",'Eplus results'!$1:$1048576,ROW(),FALSE)</f>
        <v>0</v>
      </c>
      <c r="AD6994" s="580">
        <f t="shared" si="581"/>
        <v>5</v>
      </c>
      <c r="AE6994" s="580">
        <f t="shared" si="582"/>
        <v>2.5</v>
      </c>
      <c r="AF6994" s="580">
        <f t="shared" si="583"/>
        <v>2.5</v>
      </c>
      <c r="AG6994" s="580">
        <f t="shared" si="584"/>
        <v>0</v>
      </c>
      <c r="AH6994" s="580">
        <f t="shared" si="585"/>
        <v>0</v>
      </c>
    </row>
    <row r="6995" spans="28:34">
      <c r="AB6995" s="580">
        <f>HLOOKUP("*"&amp;'Output annual'!$AC$2&amp;'Output annual'!$AD$2&amp;"*Zone People Number Of Occupants [](Hourly)",'Eplus results'!$1:$1048576,ROW(),FALSE)</f>
        <v>0</v>
      </c>
      <c r="AC6995" s="580">
        <f>HLOOKUP("*"&amp;'Output annual'!$AC$2&amp;'Output annual'!$AD$2&amp;"*FangerPMV(Hourly)",'Eplus results'!$1:$1048576,ROW(),FALSE)</f>
        <v>0</v>
      </c>
      <c r="AD6995" s="580">
        <f t="shared" si="581"/>
        <v>5</v>
      </c>
      <c r="AE6995" s="580">
        <f t="shared" si="582"/>
        <v>2.5</v>
      </c>
      <c r="AF6995" s="580">
        <f t="shared" si="583"/>
        <v>2.5</v>
      </c>
      <c r="AG6995" s="580">
        <f t="shared" si="584"/>
        <v>0</v>
      </c>
      <c r="AH6995" s="580">
        <f t="shared" si="585"/>
        <v>0</v>
      </c>
    </row>
    <row r="6996" spans="28:34">
      <c r="AB6996" s="580">
        <f>HLOOKUP("*"&amp;'Output annual'!$AC$2&amp;'Output annual'!$AD$2&amp;"*Zone People Number Of Occupants [](Hourly)",'Eplus results'!$1:$1048576,ROW(),FALSE)</f>
        <v>0</v>
      </c>
      <c r="AC6996" s="580">
        <f>HLOOKUP("*"&amp;'Output annual'!$AC$2&amp;'Output annual'!$AD$2&amp;"*FangerPMV(Hourly)",'Eplus results'!$1:$1048576,ROW(),FALSE)</f>
        <v>0</v>
      </c>
      <c r="AD6996" s="580">
        <f t="shared" si="581"/>
        <v>5</v>
      </c>
      <c r="AE6996" s="580">
        <f t="shared" si="582"/>
        <v>2.5</v>
      </c>
      <c r="AF6996" s="580">
        <f t="shared" si="583"/>
        <v>2.5</v>
      </c>
      <c r="AG6996" s="580">
        <f t="shared" si="584"/>
        <v>0</v>
      </c>
      <c r="AH6996" s="580">
        <f t="shared" si="585"/>
        <v>0</v>
      </c>
    </row>
    <row r="6997" spans="28:34">
      <c r="AB6997" s="580">
        <f>HLOOKUP("*"&amp;'Output annual'!$AC$2&amp;'Output annual'!$AD$2&amp;"*Zone People Number Of Occupants [](Hourly)",'Eplus results'!$1:$1048576,ROW(),FALSE)</f>
        <v>0</v>
      </c>
      <c r="AC6997" s="580">
        <f>HLOOKUP("*"&amp;'Output annual'!$AC$2&amp;'Output annual'!$AD$2&amp;"*FangerPMV(Hourly)",'Eplus results'!$1:$1048576,ROW(),FALSE)</f>
        <v>0</v>
      </c>
      <c r="AD6997" s="580">
        <f t="shared" si="581"/>
        <v>5</v>
      </c>
      <c r="AE6997" s="580">
        <f t="shared" si="582"/>
        <v>2.5</v>
      </c>
      <c r="AF6997" s="580">
        <f t="shared" si="583"/>
        <v>2.5</v>
      </c>
      <c r="AG6997" s="580">
        <f t="shared" si="584"/>
        <v>0</v>
      </c>
      <c r="AH6997" s="580">
        <f t="shared" si="585"/>
        <v>0</v>
      </c>
    </row>
    <row r="6998" spans="28:34">
      <c r="AB6998" s="580">
        <f>HLOOKUP("*"&amp;'Output annual'!$AC$2&amp;'Output annual'!$AD$2&amp;"*Zone People Number Of Occupants [](Hourly)",'Eplus results'!$1:$1048576,ROW(),FALSE)</f>
        <v>0</v>
      </c>
      <c r="AC6998" s="580">
        <f>HLOOKUP("*"&amp;'Output annual'!$AC$2&amp;'Output annual'!$AD$2&amp;"*FangerPMV(Hourly)",'Eplus results'!$1:$1048576,ROW(),FALSE)</f>
        <v>0</v>
      </c>
      <c r="AD6998" s="580">
        <f t="shared" si="581"/>
        <v>5</v>
      </c>
      <c r="AE6998" s="580">
        <f t="shared" si="582"/>
        <v>2.5</v>
      </c>
      <c r="AF6998" s="580">
        <f t="shared" si="583"/>
        <v>2.5</v>
      </c>
      <c r="AG6998" s="580">
        <f t="shared" si="584"/>
        <v>0</v>
      </c>
      <c r="AH6998" s="580">
        <f t="shared" si="585"/>
        <v>0</v>
      </c>
    </row>
    <row r="6999" spans="28:34">
      <c r="AB6999" s="580">
        <f>HLOOKUP("*"&amp;'Output annual'!$AC$2&amp;'Output annual'!$AD$2&amp;"*Zone People Number Of Occupants [](Hourly)",'Eplus results'!$1:$1048576,ROW(),FALSE)</f>
        <v>0</v>
      </c>
      <c r="AC6999" s="580">
        <f>HLOOKUP("*"&amp;'Output annual'!$AC$2&amp;'Output annual'!$AD$2&amp;"*FangerPMV(Hourly)",'Eplus results'!$1:$1048576,ROW(),FALSE)</f>
        <v>0</v>
      </c>
      <c r="AD6999" s="580">
        <f t="shared" si="581"/>
        <v>5</v>
      </c>
      <c r="AE6999" s="580">
        <f t="shared" si="582"/>
        <v>2.5</v>
      </c>
      <c r="AF6999" s="580">
        <f t="shared" si="583"/>
        <v>2.5</v>
      </c>
      <c r="AG6999" s="580">
        <f t="shared" si="584"/>
        <v>0</v>
      </c>
      <c r="AH6999" s="580">
        <f t="shared" si="585"/>
        <v>0</v>
      </c>
    </row>
    <row r="7000" spans="28:34">
      <c r="AB7000" s="580">
        <f>HLOOKUP("*"&amp;'Output annual'!$AC$2&amp;'Output annual'!$AD$2&amp;"*Zone People Number Of Occupants [](Hourly)",'Eplus results'!$1:$1048576,ROW(),FALSE)</f>
        <v>0</v>
      </c>
      <c r="AC7000" s="580">
        <f>HLOOKUP("*"&amp;'Output annual'!$AC$2&amp;'Output annual'!$AD$2&amp;"*FangerPMV(Hourly)",'Eplus results'!$1:$1048576,ROW(),FALSE)</f>
        <v>0</v>
      </c>
      <c r="AD7000" s="580">
        <f t="shared" si="581"/>
        <v>5</v>
      </c>
      <c r="AE7000" s="580">
        <f t="shared" si="582"/>
        <v>2.5</v>
      </c>
      <c r="AF7000" s="580">
        <f t="shared" si="583"/>
        <v>2.5</v>
      </c>
      <c r="AG7000" s="580">
        <f t="shared" si="584"/>
        <v>0</v>
      </c>
      <c r="AH7000" s="580">
        <f t="shared" si="585"/>
        <v>0</v>
      </c>
    </row>
    <row r="7001" spans="28:34">
      <c r="AB7001" s="580">
        <f>HLOOKUP("*"&amp;'Output annual'!$AC$2&amp;'Output annual'!$AD$2&amp;"*Zone People Number Of Occupants [](Hourly)",'Eplus results'!$1:$1048576,ROW(),FALSE)</f>
        <v>0</v>
      </c>
      <c r="AC7001" s="580">
        <f>HLOOKUP("*"&amp;'Output annual'!$AC$2&amp;'Output annual'!$AD$2&amp;"*FangerPMV(Hourly)",'Eplus results'!$1:$1048576,ROW(),FALSE)</f>
        <v>0</v>
      </c>
      <c r="AD7001" s="580">
        <f t="shared" si="581"/>
        <v>5</v>
      </c>
      <c r="AE7001" s="580">
        <f t="shared" si="582"/>
        <v>2.5</v>
      </c>
      <c r="AF7001" s="580">
        <f t="shared" si="583"/>
        <v>2.5</v>
      </c>
      <c r="AG7001" s="580">
        <f t="shared" si="584"/>
        <v>0</v>
      </c>
      <c r="AH7001" s="580">
        <f t="shared" si="585"/>
        <v>0</v>
      </c>
    </row>
    <row r="7002" spans="28:34">
      <c r="AB7002" s="580">
        <f>HLOOKUP("*"&amp;'Output annual'!$AC$2&amp;'Output annual'!$AD$2&amp;"*Zone People Number Of Occupants [](Hourly)",'Eplus results'!$1:$1048576,ROW(),FALSE)</f>
        <v>0</v>
      </c>
      <c r="AC7002" s="580">
        <f>HLOOKUP("*"&amp;'Output annual'!$AC$2&amp;'Output annual'!$AD$2&amp;"*FangerPMV(Hourly)",'Eplus results'!$1:$1048576,ROW(),FALSE)</f>
        <v>0</v>
      </c>
      <c r="AD7002" s="580">
        <f t="shared" si="581"/>
        <v>5</v>
      </c>
      <c r="AE7002" s="580">
        <f t="shared" si="582"/>
        <v>2.5</v>
      </c>
      <c r="AF7002" s="580">
        <f t="shared" si="583"/>
        <v>2.5</v>
      </c>
      <c r="AG7002" s="580">
        <f t="shared" si="584"/>
        <v>0</v>
      </c>
      <c r="AH7002" s="580">
        <f t="shared" si="585"/>
        <v>0</v>
      </c>
    </row>
    <row r="7003" spans="28:34">
      <c r="AB7003" s="580">
        <f>HLOOKUP("*"&amp;'Output annual'!$AC$2&amp;'Output annual'!$AD$2&amp;"*Zone People Number Of Occupants [](Hourly)",'Eplus results'!$1:$1048576,ROW(),FALSE)</f>
        <v>0</v>
      </c>
      <c r="AC7003" s="580">
        <f>HLOOKUP("*"&amp;'Output annual'!$AC$2&amp;'Output annual'!$AD$2&amp;"*FangerPMV(Hourly)",'Eplus results'!$1:$1048576,ROW(),FALSE)</f>
        <v>0</v>
      </c>
      <c r="AD7003" s="580">
        <f t="shared" si="581"/>
        <v>5</v>
      </c>
      <c r="AE7003" s="580">
        <f t="shared" si="582"/>
        <v>2.5</v>
      </c>
      <c r="AF7003" s="580">
        <f t="shared" si="583"/>
        <v>2.5</v>
      </c>
      <c r="AG7003" s="580">
        <f t="shared" si="584"/>
        <v>0</v>
      </c>
      <c r="AH7003" s="580">
        <f t="shared" si="585"/>
        <v>0</v>
      </c>
    </row>
    <row r="7004" spans="28:34">
      <c r="AB7004" s="580">
        <f>HLOOKUP("*"&amp;'Output annual'!$AC$2&amp;'Output annual'!$AD$2&amp;"*Zone People Number Of Occupants [](Hourly)",'Eplus results'!$1:$1048576,ROW(),FALSE)</f>
        <v>0</v>
      </c>
      <c r="AC7004" s="580">
        <f>HLOOKUP("*"&amp;'Output annual'!$AC$2&amp;'Output annual'!$AD$2&amp;"*FangerPMV(Hourly)",'Eplus results'!$1:$1048576,ROW(),FALSE)</f>
        <v>0</v>
      </c>
      <c r="AD7004" s="580">
        <f t="shared" si="581"/>
        <v>5</v>
      </c>
      <c r="AE7004" s="580">
        <f t="shared" si="582"/>
        <v>2.5</v>
      </c>
      <c r="AF7004" s="580">
        <f t="shared" si="583"/>
        <v>2.5</v>
      </c>
      <c r="AG7004" s="580">
        <f t="shared" si="584"/>
        <v>0</v>
      </c>
      <c r="AH7004" s="580">
        <f t="shared" si="585"/>
        <v>0</v>
      </c>
    </row>
    <row r="7005" spans="28:34">
      <c r="AB7005" s="580">
        <f>HLOOKUP("*"&amp;'Output annual'!$AC$2&amp;'Output annual'!$AD$2&amp;"*Zone People Number Of Occupants [](Hourly)",'Eplus results'!$1:$1048576,ROW(),FALSE)</f>
        <v>0</v>
      </c>
      <c r="AC7005" s="580">
        <f>HLOOKUP("*"&amp;'Output annual'!$AC$2&amp;'Output annual'!$AD$2&amp;"*FangerPMV(Hourly)",'Eplus results'!$1:$1048576,ROW(),FALSE)</f>
        <v>0</v>
      </c>
      <c r="AD7005" s="580">
        <f t="shared" si="581"/>
        <v>5</v>
      </c>
      <c r="AE7005" s="580">
        <f t="shared" si="582"/>
        <v>2.5</v>
      </c>
      <c r="AF7005" s="580">
        <f t="shared" si="583"/>
        <v>2.5</v>
      </c>
      <c r="AG7005" s="580">
        <f t="shared" si="584"/>
        <v>0</v>
      </c>
      <c r="AH7005" s="580">
        <f t="shared" si="585"/>
        <v>0</v>
      </c>
    </row>
    <row r="7006" spans="28:34">
      <c r="AB7006" s="580">
        <f>HLOOKUP("*"&amp;'Output annual'!$AC$2&amp;'Output annual'!$AD$2&amp;"*Zone People Number Of Occupants [](Hourly)",'Eplus results'!$1:$1048576,ROW(),FALSE)</f>
        <v>0</v>
      </c>
      <c r="AC7006" s="580">
        <f>HLOOKUP("*"&amp;'Output annual'!$AC$2&amp;'Output annual'!$AD$2&amp;"*FangerPMV(Hourly)",'Eplus results'!$1:$1048576,ROW(),FALSE)</f>
        <v>0</v>
      </c>
      <c r="AD7006" s="580">
        <f t="shared" si="581"/>
        <v>5</v>
      </c>
      <c r="AE7006" s="580">
        <f t="shared" si="582"/>
        <v>2.5</v>
      </c>
      <c r="AF7006" s="580">
        <f t="shared" si="583"/>
        <v>2.5</v>
      </c>
      <c r="AG7006" s="580">
        <f t="shared" si="584"/>
        <v>0</v>
      </c>
      <c r="AH7006" s="580">
        <f t="shared" si="585"/>
        <v>0</v>
      </c>
    </row>
    <row r="7007" spans="28:34">
      <c r="AB7007" s="580">
        <f>HLOOKUP("*"&amp;'Output annual'!$AC$2&amp;'Output annual'!$AD$2&amp;"*Zone People Number Of Occupants [](Hourly)",'Eplus results'!$1:$1048576,ROW(),FALSE)</f>
        <v>0</v>
      </c>
      <c r="AC7007" s="580">
        <f>HLOOKUP("*"&amp;'Output annual'!$AC$2&amp;'Output annual'!$AD$2&amp;"*FangerPMV(Hourly)",'Eplus results'!$1:$1048576,ROW(),FALSE)</f>
        <v>0</v>
      </c>
      <c r="AD7007" s="580">
        <f t="shared" si="581"/>
        <v>5</v>
      </c>
      <c r="AE7007" s="580">
        <f t="shared" si="582"/>
        <v>2.5</v>
      </c>
      <c r="AF7007" s="580">
        <f t="shared" si="583"/>
        <v>2.5</v>
      </c>
      <c r="AG7007" s="580">
        <f t="shared" si="584"/>
        <v>0</v>
      </c>
      <c r="AH7007" s="580">
        <f t="shared" si="585"/>
        <v>0</v>
      </c>
    </row>
    <row r="7008" spans="28:34">
      <c r="AB7008" s="580">
        <f>HLOOKUP("*"&amp;'Output annual'!$AC$2&amp;'Output annual'!$AD$2&amp;"*Zone People Number Of Occupants [](Hourly)",'Eplus results'!$1:$1048576,ROW(),FALSE)</f>
        <v>0</v>
      </c>
      <c r="AC7008" s="580">
        <f>HLOOKUP("*"&amp;'Output annual'!$AC$2&amp;'Output annual'!$AD$2&amp;"*FangerPMV(Hourly)",'Eplus results'!$1:$1048576,ROW(),FALSE)</f>
        <v>0</v>
      </c>
      <c r="AD7008" s="580">
        <f t="shared" si="581"/>
        <v>5</v>
      </c>
      <c r="AE7008" s="580">
        <f t="shared" si="582"/>
        <v>2.5</v>
      </c>
      <c r="AF7008" s="580">
        <f t="shared" si="583"/>
        <v>2.5</v>
      </c>
      <c r="AG7008" s="580">
        <f t="shared" si="584"/>
        <v>0</v>
      </c>
      <c r="AH7008" s="580">
        <f t="shared" si="585"/>
        <v>0</v>
      </c>
    </row>
    <row r="7009" spans="28:34">
      <c r="AB7009" s="580">
        <f>HLOOKUP("*"&amp;'Output annual'!$AC$2&amp;'Output annual'!$AD$2&amp;"*Zone People Number Of Occupants [](Hourly)",'Eplus results'!$1:$1048576,ROW(),FALSE)</f>
        <v>0</v>
      </c>
      <c r="AC7009" s="580">
        <f>HLOOKUP("*"&amp;'Output annual'!$AC$2&amp;'Output annual'!$AD$2&amp;"*FangerPMV(Hourly)",'Eplus results'!$1:$1048576,ROW(),FALSE)</f>
        <v>0</v>
      </c>
      <c r="AD7009" s="580">
        <f t="shared" si="581"/>
        <v>5</v>
      </c>
      <c r="AE7009" s="580">
        <f t="shared" si="582"/>
        <v>2.5</v>
      </c>
      <c r="AF7009" s="580">
        <f t="shared" si="583"/>
        <v>2.5</v>
      </c>
      <c r="AG7009" s="580">
        <f t="shared" si="584"/>
        <v>0</v>
      </c>
      <c r="AH7009" s="580">
        <f t="shared" si="585"/>
        <v>0</v>
      </c>
    </row>
    <row r="7010" spans="28:34">
      <c r="AB7010" s="580">
        <f>HLOOKUP("*"&amp;'Output annual'!$AC$2&amp;'Output annual'!$AD$2&amp;"*Zone People Number Of Occupants [](Hourly)",'Eplus results'!$1:$1048576,ROW(),FALSE)</f>
        <v>0</v>
      </c>
      <c r="AC7010" s="580">
        <f>HLOOKUP("*"&amp;'Output annual'!$AC$2&amp;'Output annual'!$AD$2&amp;"*FangerPMV(Hourly)",'Eplus results'!$1:$1048576,ROW(),FALSE)</f>
        <v>0</v>
      </c>
      <c r="AD7010" s="580">
        <f t="shared" si="581"/>
        <v>5</v>
      </c>
      <c r="AE7010" s="580">
        <f t="shared" si="582"/>
        <v>2.5</v>
      </c>
      <c r="AF7010" s="580">
        <f t="shared" si="583"/>
        <v>2.5</v>
      </c>
      <c r="AG7010" s="580">
        <f t="shared" si="584"/>
        <v>0</v>
      </c>
      <c r="AH7010" s="580">
        <f t="shared" si="585"/>
        <v>0</v>
      </c>
    </row>
    <row r="7011" spans="28:34">
      <c r="AB7011" s="580">
        <f>HLOOKUP("*"&amp;'Output annual'!$AC$2&amp;'Output annual'!$AD$2&amp;"*Zone People Number Of Occupants [](Hourly)",'Eplus results'!$1:$1048576,ROW(),FALSE)</f>
        <v>0</v>
      </c>
      <c r="AC7011" s="580">
        <f>HLOOKUP("*"&amp;'Output annual'!$AC$2&amp;'Output annual'!$AD$2&amp;"*FangerPMV(Hourly)",'Eplus results'!$1:$1048576,ROW(),FALSE)</f>
        <v>0</v>
      </c>
      <c r="AD7011" s="580">
        <f t="shared" si="581"/>
        <v>5</v>
      </c>
      <c r="AE7011" s="580">
        <f t="shared" si="582"/>
        <v>2.5</v>
      </c>
      <c r="AF7011" s="580">
        <f t="shared" si="583"/>
        <v>2.5</v>
      </c>
      <c r="AG7011" s="580">
        <f t="shared" si="584"/>
        <v>0</v>
      </c>
      <c r="AH7011" s="580">
        <f t="shared" si="585"/>
        <v>0</v>
      </c>
    </row>
    <row r="7012" spans="28:34">
      <c r="AB7012" s="580">
        <f>HLOOKUP("*"&amp;'Output annual'!$AC$2&amp;'Output annual'!$AD$2&amp;"*Zone People Number Of Occupants [](Hourly)",'Eplus results'!$1:$1048576,ROW(),FALSE)</f>
        <v>0</v>
      </c>
      <c r="AC7012" s="580">
        <f>HLOOKUP("*"&amp;'Output annual'!$AC$2&amp;'Output annual'!$AD$2&amp;"*FangerPMV(Hourly)",'Eplus results'!$1:$1048576,ROW(),FALSE)</f>
        <v>0</v>
      </c>
      <c r="AD7012" s="580">
        <f t="shared" si="581"/>
        <v>5</v>
      </c>
      <c r="AE7012" s="580">
        <f t="shared" si="582"/>
        <v>2.5</v>
      </c>
      <c r="AF7012" s="580">
        <f t="shared" si="583"/>
        <v>2.5</v>
      </c>
      <c r="AG7012" s="580">
        <f t="shared" si="584"/>
        <v>0</v>
      </c>
      <c r="AH7012" s="580">
        <f t="shared" si="585"/>
        <v>0</v>
      </c>
    </row>
    <row r="7013" spans="28:34">
      <c r="AB7013" s="580">
        <f>HLOOKUP("*"&amp;'Output annual'!$AC$2&amp;'Output annual'!$AD$2&amp;"*Zone People Number Of Occupants [](Hourly)",'Eplus results'!$1:$1048576,ROW(),FALSE)</f>
        <v>0</v>
      </c>
      <c r="AC7013" s="580">
        <f>HLOOKUP("*"&amp;'Output annual'!$AC$2&amp;'Output annual'!$AD$2&amp;"*FangerPMV(Hourly)",'Eplus results'!$1:$1048576,ROW(),FALSE)</f>
        <v>0</v>
      </c>
      <c r="AD7013" s="580">
        <f t="shared" si="581"/>
        <v>5</v>
      </c>
      <c r="AE7013" s="580">
        <f t="shared" si="582"/>
        <v>2.5</v>
      </c>
      <c r="AF7013" s="580">
        <f t="shared" si="583"/>
        <v>2.5</v>
      </c>
      <c r="AG7013" s="580">
        <f t="shared" si="584"/>
        <v>0</v>
      </c>
      <c r="AH7013" s="580">
        <f t="shared" si="585"/>
        <v>0</v>
      </c>
    </row>
    <row r="7014" spans="28:34">
      <c r="AB7014" s="580">
        <f>HLOOKUP("*"&amp;'Output annual'!$AC$2&amp;'Output annual'!$AD$2&amp;"*Zone People Number Of Occupants [](Hourly)",'Eplus results'!$1:$1048576,ROW(),FALSE)</f>
        <v>0</v>
      </c>
      <c r="AC7014" s="580">
        <f>HLOOKUP("*"&amp;'Output annual'!$AC$2&amp;'Output annual'!$AD$2&amp;"*FangerPMV(Hourly)",'Eplus results'!$1:$1048576,ROW(),FALSE)</f>
        <v>0</v>
      </c>
      <c r="AD7014" s="580">
        <f t="shared" si="581"/>
        <v>5</v>
      </c>
      <c r="AE7014" s="580">
        <f t="shared" si="582"/>
        <v>2.5</v>
      </c>
      <c r="AF7014" s="580">
        <f t="shared" si="583"/>
        <v>2.5</v>
      </c>
      <c r="AG7014" s="580">
        <f t="shared" si="584"/>
        <v>0</v>
      </c>
      <c r="AH7014" s="580">
        <f t="shared" si="585"/>
        <v>0</v>
      </c>
    </row>
    <row r="7015" spans="28:34">
      <c r="AB7015" s="580">
        <f>HLOOKUP("*"&amp;'Output annual'!$AC$2&amp;'Output annual'!$AD$2&amp;"*Zone People Number Of Occupants [](Hourly)",'Eplus results'!$1:$1048576,ROW(),FALSE)</f>
        <v>0</v>
      </c>
      <c r="AC7015" s="580">
        <f>HLOOKUP("*"&amp;'Output annual'!$AC$2&amp;'Output annual'!$AD$2&amp;"*FangerPMV(Hourly)",'Eplus results'!$1:$1048576,ROW(),FALSE)</f>
        <v>0</v>
      </c>
      <c r="AD7015" s="580">
        <f t="shared" si="581"/>
        <v>5</v>
      </c>
      <c r="AE7015" s="580">
        <f t="shared" si="582"/>
        <v>2.5</v>
      </c>
      <c r="AF7015" s="580">
        <f t="shared" si="583"/>
        <v>2.5</v>
      </c>
      <c r="AG7015" s="580">
        <f t="shared" si="584"/>
        <v>0</v>
      </c>
      <c r="AH7015" s="580">
        <f t="shared" si="585"/>
        <v>0</v>
      </c>
    </row>
    <row r="7016" spans="28:34">
      <c r="AB7016" s="580">
        <f>HLOOKUP("*"&amp;'Output annual'!$AC$2&amp;'Output annual'!$AD$2&amp;"*Zone People Number Of Occupants [](Hourly)",'Eplus results'!$1:$1048576,ROW(),FALSE)</f>
        <v>0</v>
      </c>
      <c r="AC7016" s="580">
        <f>HLOOKUP("*"&amp;'Output annual'!$AC$2&amp;'Output annual'!$AD$2&amp;"*FangerPMV(Hourly)",'Eplus results'!$1:$1048576,ROW(),FALSE)</f>
        <v>0</v>
      </c>
      <c r="AD7016" s="580">
        <f t="shared" si="581"/>
        <v>5</v>
      </c>
      <c r="AE7016" s="580">
        <f t="shared" si="582"/>
        <v>2.5</v>
      </c>
      <c r="AF7016" s="580">
        <f t="shared" si="583"/>
        <v>2.5</v>
      </c>
      <c r="AG7016" s="580">
        <f t="shared" si="584"/>
        <v>0</v>
      </c>
      <c r="AH7016" s="580">
        <f t="shared" si="585"/>
        <v>0</v>
      </c>
    </row>
    <row r="7017" spans="28:34">
      <c r="AB7017" s="580">
        <f>HLOOKUP("*"&amp;'Output annual'!$AC$2&amp;'Output annual'!$AD$2&amp;"*Zone People Number Of Occupants [](Hourly)",'Eplus results'!$1:$1048576,ROW(),FALSE)</f>
        <v>0</v>
      </c>
      <c r="AC7017" s="580">
        <f>HLOOKUP("*"&amp;'Output annual'!$AC$2&amp;'Output annual'!$AD$2&amp;"*FangerPMV(Hourly)",'Eplus results'!$1:$1048576,ROW(),FALSE)</f>
        <v>0</v>
      </c>
      <c r="AD7017" s="580">
        <f t="shared" si="581"/>
        <v>5</v>
      </c>
      <c r="AE7017" s="580">
        <f t="shared" si="582"/>
        <v>2.5</v>
      </c>
      <c r="AF7017" s="580">
        <f t="shared" si="583"/>
        <v>2.5</v>
      </c>
      <c r="AG7017" s="580">
        <f t="shared" si="584"/>
        <v>0</v>
      </c>
      <c r="AH7017" s="580">
        <f t="shared" si="585"/>
        <v>0</v>
      </c>
    </row>
    <row r="7018" spans="28:34">
      <c r="AB7018" s="580">
        <f>HLOOKUP("*"&amp;'Output annual'!$AC$2&amp;'Output annual'!$AD$2&amp;"*Zone People Number Of Occupants [](Hourly)",'Eplus results'!$1:$1048576,ROW(),FALSE)</f>
        <v>0</v>
      </c>
      <c r="AC7018" s="580">
        <f>HLOOKUP("*"&amp;'Output annual'!$AC$2&amp;'Output annual'!$AD$2&amp;"*FangerPMV(Hourly)",'Eplus results'!$1:$1048576,ROW(),FALSE)</f>
        <v>0</v>
      </c>
      <c r="AD7018" s="580">
        <f t="shared" si="581"/>
        <v>5</v>
      </c>
      <c r="AE7018" s="580">
        <f t="shared" si="582"/>
        <v>2.5</v>
      </c>
      <c r="AF7018" s="580">
        <f t="shared" si="583"/>
        <v>2.5</v>
      </c>
      <c r="AG7018" s="580">
        <f t="shared" si="584"/>
        <v>0</v>
      </c>
      <c r="AH7018" s="580">
        <f t="shared" si="585"/>
        <v>0</v>
      </c>
    </row>
    <row r="7019" spans="28:34">
      <c r="AB7019" s="580">
        <f>HLOOKUP("*"&amp;'Output annual'!$AC$2&amp;'Output annual'!$AD$2&amp;"*Zone People Number Of Occupants [](Hourly)",'Eplus results'!$1:$1048576,ROW(),FALSE)</f>
        <v>0</v>
      </c>
      <c r="AC7019" s="580">
        <f>HLOOKUP("*"&amp;'Output annual'!$AC$2&amp;'Output annual'!$AD$2&amp;"*FangerPMV(Hourly)",'Eplus results'!$1:$1048576,ROW(),FALSE)</f>
        <v>0</v>
      </c>
      <c r="AD7019" s="580">
        <f t="shared" si="581"/>
        <v>5</v>
      </c>
      <c r="AE7019" s="580">
        <f t="shared" si="582"/>
        <v>2.5</v>
      </c>
      <c r="AF7019" s="580">
        <f t="shared" si="583"/>
        <v>2.5</v>
      </c>
      <c r="AG7019" s="580">
        <f t="shared" si="584"/>
        <v>0</v>
      </c>
      <c r="AH7019" s="580">
        <f t="shared" si="585"/>
        <v>0</v>
      </c>
    </row>
    <row r="7020" spans="28:34">
      <c r="AB7020" s="580">
        <f>HLOOKUP("*"&amp;'Output annual'!$AC$2&amp;'Output annual'!$AD$2&amp;"*Zone People Number Of Occupants [](Hourly)",'Eplus results'!$1:$1048576,ROW(),FALSE)</f>
        <v>0</v>
      </c>
      <c r="AC7020" s="580">
        <f>HLOOKUP("*"&amp;'Output annual'!$AC$2&amp;'Output annual'!$AD$2&amp;"*FangerPMV(Hourly)",'Eplus results'!$1:$1048576,ROW(),FALSE)</f>
        <v>0</v>
      </c>
      <c r="AD7020" s="580">
        <f t="shared" si="581"/>
        <v>5</v>
      </c>
      <c r="AE7020" s="580">
        <f t="shared" si="582"/>
        <v>2.5</v>
      </c>
      <c r="AF7020" s="580">
        <f t="shared" si="583"/>
        <v>2.5</v>
      </c>
      <c r="AG7020" s="580">
        <f t="shared" si="584"/>
        <v>0</v>
      </c>
      <c r="AH7020" s="580">
        <f t="shared" si="585"/>
        <v>0</v>
      </c>
    </row>
    <row r="7021" spans="28:34">
      <c r="AB7021" s="580">
        <f>HLOOKUP("*"&amp;'Output annual'!$AC$2&amp;'Output annual'!$AD$2&amp;"*Zone People Number Of Occupants [](Hourly)",'Eplus results'!$1:$1048576,ROW(),FALSE)</f>
        <v>0</v>
      </c>
      <c r="AC7021" s="580">
        <f>HLOOKUP("*"&amp;'Output annual'!$AC$2&amp;'Output annual'!$AD$2&amp;"*FangerPMV(Hourly)",'Eplus results'!$1:$1048576,ROW(),FALSE)</f>
        <v>0</v>
      </c>
      <c r="AD7021" s="580">
        <f t="shared" si="581"/>
        <v>5</v>
      </c>
      <c r="AE7021" s="580">
        <f t="shared" si="582"/>
        <v>2.5</v>
      </c>
      <c r="AF7021" s="580">
        <f t="shared" si="583"/>
        <v>2.5</v>
      </c>
      <c r="AG7021" s="580">
        <f t="shared" si="584"/>
        <v>0</v>
      </c>
      <c r="AH7021" s="580">
        <f t="shared" si="585"/>
        <v>0</v>
      </c>
    </row>
    <row r="7022" spans="28:34">
      <c r="AB7022" s="580">
        <f>HLOOKUP("*"&amp;'Output annual'!$AC$2&amp;'Output annual'!$AD$2&amp;"*Zone People Number Of Occupants [](Hourly)",'Eplus results'!$1:$1048576,ROW(),FALSE)</f>
        <v>0</v>
      </c>
      <c r="AC7022" s="580">
        <f>HLOOKUP("*"&amp;'Output annual'!$AC$2&amp;'Output annual'!$AD$2&amp;"*FangerPMV(Hourly)",'Eplus results'!$1:$1048576,ROW(),FALSE)</f>
        <v>0</v>
      </c>
      <c r="AD7022" s="580">
        <f t="shared" si="581"/>
        <v>5</v>
      </c>
      <c r="AE7022" s="580">
        <f t="shared" si="582"/>
        <v>2.5</v>
      </c>
      <c r="AF7022" s="580">
        <f t="shared" si="583"/>
        <v>2.5</v>
      </c>
      <c r="AG7022" s="580">
        <f t="shared" si="584"/>
        <v>0</v>
      </c>
      <c r="AH7022" s="580">
        <f t="shared" si="585"/>
        <v>0</v>
      </c>
    </row>
    <row r="7023" spans="28:34">
      <c r="AB7023" s="580">
        <f>HLOOKUP("*"&amp;'Output annual'!$AC$2&amp;'Output annual'!$AD$2&amp;"*Zone People Number Of Occupants [](Hourly)",'Eplus results'!$1:$1048576,ROW(),FALSE)</f>
        <v>0</v>
      </c>
      <c r="AC7023" s="580">
        <f>HLOOKUP("*"&amp;'Output annual'!$AC$2&amp;'Output annual'!$AD$2&amp;"*FangerPMV(Hourly)",'Eplus results'!$1:$1048576,ROW(),FALSE)</f>
        <v>0</v>
      </c>
      <c r="AD7023" s="580">
        <f t="shared" si="581"/>
        <v>5</v>
      </c>
      <c r="AE7023" s="580">
        <f t="shared" si="582"/>
        <v>2.5</v>
      </c>
      <c r="AF7023" s="580">
        <f t="shared" si="583"/>
        <v>2.5</v>
      </c>
      <c r="AG7023" s="580">
        <f t="shared" si="584"/>
        <v>0</v>
      </c>
      <c r="AH7023" s="580">
        <f t="shared" si="585"/>
        <v>0</v>
      </c>
    </row>
    <row r="7024" spans="28:34">
      <c r="AB7024" s="580">
        <f>HLOOKUP("*"&amp;'Output annual'!$AC$2&amp;'Output annual'!$AD$2&amp;"*Zone People Number Of Occupants [](Hourly)",'Eplus results'!$1:$1048576,ROW(),FALSE)</f>
        <v>0</v>
      </c>
      <c r="AC7024" s="580">
        <f>HLOOKUP("*"&amp;'Output annual'!$AC$2&amp;'Output annual'!$AD$2&amp;"*FangerPMV(Hourly)",'Eplus results'!$1:$1048576,ROW(),FALSE)</f>
        <v>0</v>
      </c>
      <c r="AD7024" s="580">
        <f t="shared" si="581"/>
        <v>5</v>
      </c>
      <c r="AE7024" s="580">
        <f t="shared" si="582"/>
        <v>2.5</v>
      </c>
      <c r="AF7024" s="580">
        <f t="shared" si="583"/>
        <v>2.5</v>
      </c>
      <c r="AG7024" s="580">
        <f t="shared" si="584"/>
        <v>0</v>
      </c>
      <c r="AH7024" s="580">
        <f t="shared" si="585"/>
        <v>0</v>
      </c>
    </row>
    <row r="7025" spans="28:34">
      <c r="AB7025" s="580">
        <f>HLOOKUP("*"&amp;'Output annual'!$AC$2&amp;'Output annual'!$AD$2&amp;"*Zone People Number Of Occupants [](Hourly)",'Eplus results'!$1:$1048576,ROW(),FALSE)</f>
        <v>0</v>
      </c>
      <c r="AC7025" s="580">
        <f>HLOOKUP("*"&amp;'Output annual'!$AC$2&amp;'Output annual'!$AD$2&amp;"*FangerPMV(Hourly)",'Eplus results'!$1:$1048576,ROW(),FALSE)</f>
        <v>0</v>
      </c>
      <c r="AD7025" s="580">
        <f t="shared" si="581"/>
        <v>5</v>
      </c>
      <c r="AE7025" s="580">
        <f t="shared" si="582"/>
        <v>2.5</v>
      </c>
      <c r="AF7025" s="580">
        <f t="shared" si="583"/>
        <v>2.5</v>
      </c>
      <c r="AG7025" s="580">
        <f t="shared" si="584"/>
        <v>0</v>
      </c>
      <c r="AH7025" s="580">
        <f t="shared" si="585"/>
        <v>0</v>
      </c>
    </row>
    <row r="7026" spans="28:34">
      <c r="AB7026" s="580">
        <f>HLOOKUP("*"&amp;'Output annual'!$AC$2&amp;'Output annual'!$AD$2&amp;"*Zone People Number Of Occupants [](Hourly)",'Eplus results'!$1:$1048576,ROW(),FALSE)</f>
        <v>0</v>
      </c>
      <c r="AC7026" s="580">
        <f>HLOOKUP("*"&amp;'Output annual'!$AC$2&amp;'Output annual'!$AD$2&amp;"*FangerPMV(Hourly)",'Eplus results'!$1:$1048576,ROW(),FALSE)</f>
        <v>0</v>
      </c>
      <c r="AD7026" s="580">
        <f t="shared" si="581"/>
        <v>5</v>
      </c>
      <c r="AE7026" s="580">
        <f t="shared" si="582"/>
        <v>2.5</v>
      </c>
      <c r="AF7026" s="580">
        <f t="shared" si="583"/>
        <v>2.5</v>
      </c>
      <c r="AG7026" s="580">
        <f t="shared" si="584"/>
        <v>0</v>
      </c>
      <c r="AH7026" s="580">
        <f t="shared" si="585"/>
        <v>0</v>
      </c>
    </row>
    <row r="7027" spans="28:34">
      <c r="AB7027" s="580">
        <f>HLOOKUP("*"&amp;'Output annual'!$AC$2&amp;'Output annual'!$AD$2&amp;"*Zone People Number Of Occupants [](Hourly)",'Eplus results'!$1:$1048576,ROW(),FALSE)</f>
        <v>0</v>
      </c>
      <c r="AC7027" s="580">
        <f>HLOOKUP("*"&amp;'Output annual'!$AC$2&amp;'Output annual'!$AD$2&amp;"*FangerPMV(Hourly)",'Eplus results'!$1:$1048576,ROW(),FALSE)</f>
        <v>0</v>
      </c>
      <c r="AD7027" s="580">
        <f t="shared" si="581"/>
        <v>5</v>
      </c>
      <c r="AE7027" s="580">
        <f t="shared" si="582"/>
        <v>2.5</v>
      </c>
      <c r="AF7027" s="580">
        <f t="shared" si="583"/>
        <v>2.5</v>
      </c>
      <c r="AG7027" s="580">
        <f t="shared" si="584"/>
        <v>0</v>
      </c>
      <c r="AH7027" s="580">
        <f t="shared" si="585"/>
        <v>0</v>
      </c>
    </row>
    <row r="7028" spans="28:34">
      <c r="AB7028" s="580">
        <f>HLOOKUP("*"&amp;'Output annual'!$AC$2&amp;'Output annual'!$AD$2&amp;"*Zone People Number Of Occupants [](Hourly)",'Eplus results'!$1:$1048576,ROW(),FALSE)</f>
        <v>0</v>
      </c>
      <c r="AC7028" s="580">
        <f>HLOOKUP("*"&amp;'Output annual'!$AC$2&amp;'Output annual'!$AD$2&amp;"*FangerPMV(Hourly)",'Eplus results'!$1:$1048576,ROW(),FALSE)</f>
        <v>0</v>
      </c>
      <c r="AD7028" s="580">
        <f t="shared" si="581"/>
        <v>5</v>
      </c>
      <c r="AE7028" s="580">
        <f t="shared" si="582"/>
        <v>2.5</v>
      </c>
      <c r="AF7028" s="580">
        <f t="shared" si="583"/>
        <v>2.5</v>
      </c>
      <c r="AG7028" s="580">
        <f t="shared" si="584"/>
        <v>0</v>
      </c>
      <c r="AH7028" s="580">
        <f t="shared" si="585"/>
        <v>0</v>
      </c>
    </row>
    <row r="7029" spans="28:34">
      <c r="AB7029" s="580">
        <f>HLOOKUP("*"&amp;'Output annual'!$AC$2&amp;'Output annual'!$AD$2&amp;"*Zone People Number Of Occupants [](Hourly)",'Eplus results'!$1:$1048576,ROW(),FALSE)</f>
        <v>0</v>
      </c>
      <c r="AC7029" s="580">
        <f>HLOOKUP("*"&amp;'Output annual'!$AC$2&amp;'Output annual'!$AD$2&amp;"*FangerPMV(Hourly)",'Eplus results'!$1:$1048576,ROW(),FALSE)</f>
        <v>0</v>
      </c>
      <c r="AD7029" s="580">
        <f t="shared" si="581"/>
        <v>5</v>
      </c>
      <c r="AE7029" s="580">
        <f t="shared" si="582"/>
        <v>2.5</v>
      </c>
      <c r="AF7029" s="580">
        <f t="shared" si="583"/>
        <v>2.5</v>
      </c>
      <c r="AG7029" s="580">
        <f t="shared" si="584"/>
        <v>0</v>
      </c>
      <c r="AH7029" s="580">
        <f t="shared" si="585"/>
        <v>0</v>
      </c>
    </row>
    <row r="7030" spans="28:34">
      <c r="AB7030" s="580">
        <f>HLOOKUP("*"&amp;'Output annual'!$AC$2&amp;'Output annual'!$AD$2&amp;"*Zone People Number Of Occupants [](Hourly)",'Eplus results'!$1:$1048576,ROW(),FALSE)</f>
        <v>0</v>
      </c>
      <c r="AC7030" s="580">
        <f>HLOOKUP("*"&amp;'Output annual'!$AC$2&amp;'Output annual'!$AD$2&amp;"*FangerPMV(Hourly)",'Eplus results'!$1:$1048576,ROW(),FALSE)</f>
        <v>0</v>
      </c>
      <c r="AD7030" s="580">
        <f t="shared" si="581"/>
        <v>5</v>
      </c>
      <c r="AE7030" s="580">
        <f t="shared" si="582"/>
        <v>2.5</v>
      </c>
      <c r="AF7030" s="580">
        <f t="shared" si="583"/>
        <v>2.5</v>
      </c>
      <c r="AG7030" s="580">
        <f t="shared" si="584"/>
        <v>0</v>
      </c>
      <c r="AH7030" s="580">
        <f t="shared" si="585"/>
        <v>0</v>
      </c>
    </row>
    <row r="7031" spans="28:34">
      <c r="AB7031" s="580">
        <f>HLOOKUP("*"&amp;'Output annual'!$AC$2&amp;'Output annual'!$AD$2&amp;"*Zone People Number Of Occupants [](Hourly)",'Eplus results'!$1:$1048576,ROW(),FALSE)</f>
        <v>0</v>
      </c>
      <c r="AC7031" s="580">
        <f>HLOOKUP("*"&amp;'Output annual'!$AC$2&amp;'Output annual'!$AD$2&amp;"*FangerPMV(Hourly)",'Eplus results'!$1:$1048576,ROW(),FALSE)</f>
        <v>0</v>
      </c>
      <c r="AD7031" s="580">
        <f t="shared" si="581"/>
        <v>5</v>
      </c>
      <c r="AE7031" s="580">
        <f t="shared" si="582"/>
        <v>2.5</v>
      </c>
      <c r="AF7031" s="580">
        <f t="shared" si="583"/>
        <v>2.5</v>
      </c>
      <c r="AG7031" s="580">
        <f t="shared" si="584"/>
        <v>0</v>
      </c>
      <c r="AH7031" s="580">
        <f t="shared" si="585"/>
        <v>0</v>
      </c>
    </row>
    <row r="7032" spans="28:34">
      <c r="AB7032" s="580">
        <f>HLOOKUP("*"&amp;'Output annual'!$AC$2&amp;'Output annual'!$AD$2&amp;"*Zone People Number Of Occupants [](Hourly)",'Eplus results'!$1:$1048576,ROW(),FALSE)</f>
        <v>0</v>
      </c>
      <c r="AC7032" s="580">
        <f>HLOOKUP("*"&amp;'Output annual'!$AC$2&amp;'Output annual'!$AD$2&amp;"*FangerPMV(Hourly)",'Eplus results'!$1:$1048576,ROW(),FALSE)</f>
        <v>0</v>
      </c>
      <c r="AD7032" s="580">
        <f t="shared" si="581"/>
        <v>5</v>
      </c>
      <c r="AE7032" s="580">
        <f t="shared" si="582"/>
        <v>2.5</v>
      </c>
      <c r="AF7032" s="580">
        <f t="shared" si="583"/>
        <v>2.5</v>
      </c>
      <c r="AG7032" s="580">
        <f t="shared" si="584"/>
        <v>0</v>
      </c>
      <c r="AH7032" s="580">
        <f t="shared" si="585"/>
        <v>0</v>
      </c>
    </row>
    <row r="7033" spans="28:34">
      <c r="AB7033" s="580">
        <f>HLOOKUP("*"&amp;'Output annual'!$AC$2&amp;'Output annual'!$AD$2&amp;"*Zone People Number Of Occupants [](Hourly)",'Eplus results'!$1:$1048576,ROW(),FALSE)</f>
        <v>0</v>
      </c>
      <c r="AC7033" s="580">
        <f>HLOOKUP("*"&amp;'Output annual'!$AC$2&amp;'Output annual'!$AD$2&amp;"*FangerPMV(Hourly)",'Eplus results'!$1:$1048576,ROW(),FALSE)</f>
        <v>0</v>
      </c>
      <c r="AD7033" s="580">
        <f t="shared" si="581"/>
        <v>5</v>
      </c>
      <c r="AE7033" s="580">
        <f t="shared" si="582"/>
        <v>2.5</v>
      </c>
      <c r="AF7033" s="580">
        <f t="shared" si="583"/>
        <v>2.5</v>
      </c>
      <c r="AG7033" s="580">
        <f t="shared" si="584"/>
        <v>0</v>
      </c>
      <c r="AH7033" s="580">
        <f t="shared" si="585"/>
        <v>0</v>
      </c>
    </row>
    <row r="7034" spans="28:34">
      <c r="AB7034" s="580">
        <f>HLOOKUP("*"&amp;'Output annual'!$AC$2&amp;'Output annual'!$AD$2&amp;"*Zone People Number Of Occupants [](Hourly)",'Eplus results'!$1:$1048576,ROW(),FALSE)</f>
        <v>0</v>
      </c>
      <c r="AC7034" s="580">
        <f>HLOOKUP("*"&amp;'Output annual'!$AC$2&amp;'Output annual'!$AD$2&amp;"*FangerPMV(Hourly)",'Eplus results'!$1:$1048576,ROW(),FALSE)</f>
        <v>0</v>
      </c>
      <c r="AD7034" s="580">
        <f t="shared" si="581"/>
        <v>5</v>
      </c>
      <c r="AE7034" s="580">
        <f t="shared" si="582"/>
        <v>2.5</v>
      </c>
      <c r="AF7034" s="580">
        <f t="shared" si="583"/>
        <v>2.5</v>
      </c>
      <c r="AG7034" s="580">
        <f t="shared" si="584"/>
        <v>0</v>
      </c>
      <c r="AH7034" s="580">
        <f t="shared" si="585"/>
        <v>0</v>
      </c>
    </row>
    <row r="7035" spans="28:34">
      <c r="AB7035" s="580">
        <f>HLOOKUP("*"&amp;'Output annual'!$AC$2&amp;'Output annual'!$AD$2&amp;"*Zone People Number Of Occupants [](Hourly)",'Eplus results'!$1:$1048576,ROW(),FALSE)</f>
        <v>0</v>
      </c>
      <c r="AC7035" s="580">
        <f>HLOOKUP("*"&amp;'Output annual'!$AC$2&amp;'Output annual'!$AD$2&amp;"*FangerPMV(Hourly)",'Eplus results'!$1:$1048576,ROW(),FALSE)</f>
        <v>0</v>
      </c>
      <c r="AD7035" s="580">
        <f t="shared" si="581"/>
        <v>5</v>
      </c>
      <c r="AE7035" s="580">
        <f t="shared" si="582"/>
        <v>2.5</v>
      </c>
      <c r="AF7035" s="580">
        <f t="shared" si="583"/>
        <v>2.5</v>
      </c>
      <c r="AG7035" s="580">
        <f t="shared" si="584"/>
        <v>0</v>
      </c>
      <c r="AH7035" s="580">
        <f t="shared" si="585"/>
        <v>0</v>
      </c>
    </row>
    <row r="7036" spans="28:34">
      <c r="AB7036" s="580">
        <f>HLOOKUP("*"&amp;'Output annual'!$AC$2&amp;'Output annual'!$AD$2&amp;"*Zone People Number Of Occupants [](Hourly)",'Eplus results'!$1:$1048576,ROW(),FALSE)</f>
        <v>0</v>
      </c>
      <c r="AC7036" s="580">
        <f>HLOOKUP("*"&amp;'Output annual'!$AC$2&amp;'Output annual'!$AD$2&amp;"*FangerPMV(Hourly)",'Eplus results'!$1:$1048576,ROW(),FALSE)</f>
        <v>0</v>
      </c>
      <c r="AD7036" s="580">
        <f t="shared" si="581"/>
        <v>5</v>
      </c>
      <c r="AE7036" s="580">
        <f t="shared" si="582"/>
        <v>2.5</v>
      </c>
      <c r="AF7036" s="580">
        <f t="shared" si="583"/>
        <v>2.5</v>
      </c>
      <c r="AG7036" s="580">
        <f t="shared" si="584"/>
        <v>0</v>
      </c>
      <c r="AH7036" s="580">
        <f t="shared" si="585"/>
        <v>0</v>
      </c>
    </row>
    <row r="7037" spans="28:34">
      <c r="AB7037" s="580">
        <f>HLOOKUP("*"&amp;'Output annual'!$AC$2&amp;'Output annual'!$AD$2&amp;"*Zone People Number Of Occupants [](Hourly)",'Eplus results'!$1:$1048576,ROW(),FALSE)</f>
        <v>0</v>
      </c>
      <c r="AC7037" s="580">
        <f>HLOOKUP("*"&amp;'Output annual'!$AC$2&amp;'Output annual'!$AD$2&amp;"*FangerPMV(Hourly)",'Eplus results'!$1:$1048576,ROW(),FALSE)</f>
        <v>0</v>
      </c>
      <c r="AD7037" s="580">
        <f t="shared" si="581"/>
        <v>5</v>
      </c>
      <c r="AE7037" s="580">
        <f t="shared" si="582"/>
        <v>2.5</v>
      </c>
      <c r="AF7037" s="580">
        <f t="shared" si="583"/>
        <v>2.5</v>
      </c>
      <c r="AG7037" s="580">
        <f t="shared" si="584"/>
        <v>0</v>
      </c>
      <c r="AH7037" s="580">
        <f t="shared" si="585"/>
        <v>0</v>
      </c>
    </row>
    <row r="7038" spans="28:34">
      <c r="AB7038" s="580">
        <f>HLOOKUP("*"&amp;'Output annual'!$AC$2&amp;'Output annual'!$AD$2&amp;"*Zone People Number Of Occupants [](Hourly)",'Eplus results'!$1:$1048576,ROW(),FALSE)</f>
        <v>0</v>
      </c>
      <c r="AC7038" s="580">
        <f>HLOOKUP("*"&amp;'Output annual'!$AC$2&amp;'Output annual'!$AD$2&amp;"*FangerPMV(Hourly)",'Eplus results'!$1:$1048576,ROW(),FALSE)</f>
        <v>0</v>
      </c>
      <c r="AD7038" s="580">
        <f t="shared" si="581"/>
        <v>5</v>
      </c>
      <c r="AE7038" s="580">
        <f t="shared" si="582"/>
        <v>2.5</v>
      </c>
      <c r="AF7038" s="580">
        <f t="shared" si="583"/>
        <v>2.5</v>
      </c>
      <c r="AG7038" s="580">
        <f t="shared" si="584"/>
        <v>0</v>
      </c>
      <c r="AH7038" s="580">
        <f t="shared" si="585"/>
        <v>0</v>
      </c>
    </row>
    <row r="7039" spans="28:34">
      <c r="AB7039" s="580">
        <f>HLOOKUP("*"&amp;'Output annual'!$AC$2&amp;'Output annual'!$AD$2&amp;"*Zone People Number Of Occupants [](Hourly)",'Eplus results'!$1:$1048576,ROW(),FALSE)</f>
        <v>0</v>
      </c>
      <c r="AC7039" s="580">
        <f>HLOOKUP("*"&amp;'Output annual'!$AC$2&amp;'Output annual'!$AD$2&amp;"*FangerPMV(Hourly)",'Eplus results'!$1:$1048576,ROW(),FALSE)</f>
        <v>0</v>
      </c>
      <c r="AD7039" s="580">
        <f t="shared" si="581"/>
        <v>5</v>
      </c>
      <c r="AE7039" s="580">
        <f t="shared" si="582"/>
        <v>2.5</v>
      </c>
      <c r="AF7039" s="580">
        <f t="shared" si="583"/>
        <v>2.5</v>
      </c>
      <c r="AG7039" s="580">
        <f t="shared" si="584"/>
        <v>0</v>
      </c>
      <c r="AH7039" s="580">
        <f t="shared" si="585"/>
        <v>0</v>
      </c>
    </row>
    <row r="7040" spans="28:34">
      <c r="AB7040" s="580">
        <f>HLOOKUP("*"&amp;'Output annual'!$AC$2&amp;'Output annual'!$AD$2&amp;"*Zone People Number Of Occupants [](Hourly)",'Eplus results'!$1:$1048576,ROW(),FALSE)</f>
        <v>0</v>
      </c>
      <c r="AC7040" s="580">
        <f>HLOOKUP("*"&amp;'Output annual'!$AC$2&amp;'Output annual'!$AD$2&amp;"*FangerPMV(Hourly)",'Eplus results'!$1:$1048576,ROW(),FALSE)</f>
        <v>0</v>
      </c>
      <c r="AD7040" s="580">
        <f t="shared" si="581"/>
        <v>5</v>
      </c>
      <c r="AE7040" s="580">
        <f t="shared" si="582"/>
        <v>2.5</v>
      </c>
      <c r="AF7040" s="580">
        <f t="shared" si="583"/>
        <v>2.5</v>
      </c>
      <c r="AG7040" s="580">
        <f t="shared" si="584"/>
        <v>0</v>
      </c>
      <c r="AH7040" s="580">
        <f t="shared" si="585"/>
        <v>0</v>
      </c>
    </row>
    <row r="7041" spans="28:34">
      <c r="AB7041" s="580">
        <f>HLOOKUP("*"&amp;'Output annual'!$AC$2&amp;'Output annual'!$AD$2&amp;"*Zone People Number Of Occupants [](Hourly)",'Eplus results'!$1:$1048576,ROW(),FALSE)</f>
        <v>0</v>
      </c>
      <c r="AC7041" s="580">
        <f>HLOOKUP("*"&amp;'Output annual'!$AC$2&amp;'Output annual'!$AD$2&amp;"*FangerPMV(Hourly)",'Eplus results'!$1:$1048576,ROW(),FALSE)</f>
        <v>0</v>
      </c>
      <c r="AD7041" s="580">
        <f t="shared" si="581"/>
        <v>5</v>
      </c>
      <c r="AE7041" s="580">
        <f t="shared" si="582"/>
        <v>2.5</v>
      </c>
      <c r="AF7041" s="580">
        <f t="shared" si="583"/>
        <v>2.5</v>
      </c>
      <c r="AG7041" s="580">
        <f t="shared" si="584"/>
        <v>0</v>
      </c>
      <c r="AH7041" s="580">
        <f t="shared" si="585"/>
        <v>0</v>
      </c>
    </row>
    <row r="7042" spans="28:34">
      <c r="AB7042" s="580">
        <f>HLOOKUP("*"&amp;'Output annual'!$AC$2&amp;'Output annual'!$AD$2&amp;"*Zone People Number Of Occupants [](Hourly)",'Eplus results'!$1:$1048576,ROW(),FALSE)</f>
        <v>0</v>
      </c>
      <c r="AC7042" s="580">
        <f>HLOOKUP("*"&amp;'Output annual'!$AC$2&amp;'Output annual'!$AD$2&amp;"*FangerPMV(Hourly)",'Eplus results'!$1:$1048576,ROW(),FALSE)</f>
        <v>0</v>
      </c>
      <c r="AD7042" s="580">
        <f t="shared" si="581"/>
        <v>5</v>
      </c>
      <c r="AE7042" s="580">
        <f t="shared" si="582"/>
        <v>2.5</v>
      </c>
      <c r="AF7042" s="580">
        <f t="shared" si="583"/>
        <v>2.5</v>
      </c>
      <c r="AG7042" s="580">
        <f t="shared" si="584"/>
        <v>0</v>
      </c>
      <c r="AH7042" s="580">
        <f t="shared" si="585"/>
        <v>0</v>
      </c>
    </row>
    <row r="7043" spans="28:34">
      <c r="AB7043" s="580">
        <f>HLOOKUP("*"&amp;'Output annual'!$AC$2&amp;'Output annual'!$AD$2&amp;"*Zone People Number Of Occupants [](Hourly)",'Eplus results'!$1:$1048576,ROW(),FALSE)</f>
        <v>0</v>
      </c>
      <c r="AC7043" s="580">
        <f>HLOOKUP("*"&amp;'Output annual'!$AC$2&amp;'Output annual'!$AD$2&amp;"*FangerPMV(Hourly)",'Eplus results'!$1:$1048576,ROW(),FALSE)</f>
        <v>0</v>
      </c>
      <c r="AD7043" s="580">
        <f t="shared" ref="AD7043:AD7106" si="586">100-95*EXP(-0.03353*AC7043^4-0.2179*AC7043^2)</f>
        <v>5</v>
      </c>
      <c r="AE7043" s="580">
        <f t="shared" ref="AE7043:AE7106" si="587">AD7043*(1/(1+EXP(-6.3*$AC7043)))</f>
        <v>2.5</v>
      </c>
      <c r="AF7043" s="580">
        <f t="shared" ref="AF7043:AF7106" si="588">(AD7043-AE7043)</f>
        <v>2.5</v>
      </c>
      <c r="AG7043" s="580">
        <f t="shared" ref="AG7043:AG7106" si="589">AE7043*AB7043</f>
        <v>0</v>
      </c>
      <c r="AH7043" s="580">
        <f t="shared" ref="AH7043:AH7106" si="590">AF7043*AB7043</f>
        <v>0</v>
      </c>
    </row>
    <row r="7044" spans="28:34">
      <c r="AB7044" s="580">
        <f>HLOOKUP("*"&amp;'Output annual'!$AC$2&amp;'Output annual'!$AD$2&amp;"*Zone People Number Of Occupants [](Hourly)",'Eplus results'!$1:$1048576,ROW(),FALSE)</f>
        <v>0</v>
      </c>
      <c r="AC7044" s="580">
        <f>HLOOKUP("*"&amp;'Output annual'!$AC$2&amp;'Output annual'!$AD$2&amp;"*FangerPMV(Hourly)",'Eplus results'!$1:$1048576,ROW(),FALSE)</f>
        <v>0</v>
      </c>
      <c r="AD7044" s="580">
        <f t="shared" si="586"/>
        <v>5</v>
      </c>
      <c r="AE7044" s="580">
        <f t="shared" si="587"/>
        <v>2.5</v>
      </c>
      <c r="AF7044" s="580">
        <f t="shared" si="588"/>
        <v>2.5</v>
      </c>
      <c r="AG7044" s="580">
        <f t="shared" si="589"/>
        <v>0</v>
      </c>
      <c r="AH7044" s="580">
        <f t="shared" si="590"/>
        <v>0</v>
      </c>
    </row>
    <row r="7045" spans="28:34">
      <c r="AB7045" s="580">
        <f>HLOOKUP("*"&amp;'Output annual'!$AC$2&amp;'Output annual'!$AD$2&amp;"*Zone People Number Of Occupants [](Hourly)",'Eplus results'!$1:$1048576,ROW(),FALSE)</f>
        <v>0</v>
      </c>
      <c r="AC7045" s="580">
        <f>HLOOKUP("*"&amp;'Output annual'!$AC$2&amp;'Output annual'!$AD$2&amp;"*FangerPMV(Hourly)",'Eplus results'!$1:$1048576,ROW(),FALSE)</f>
        <v>0</v>
      </c>
      <c r="AD7045" s="580">
        <f t="shared" si="586"/>
        <v>5</v>
      </c>
      <c r="AE7045" s="580">
        <f t="shared" si="587"/>
        <v>2.5</v>
      </c>
      <c r="AF7045" s="580">
        <f t="shared" si="588"/>
        <v>2.5</v>
      </c>
      <c r="AG7045" s="580">
        <f t="shared" si="589"/>
        <v>0</v>
      </c>
      <c r="AH7045" s="580">
        <f t="shared" si="590"/>
        <v>0</v>
      </c>
    </row>
    <row r="7046" spans="28:34">
      <c r="AB7046" s="580">
        <f>HLOOKUP("*"&amp;'Output annual'!$AC$2&amp;'Output annual'!$AD$2&amp;"*Zone People Number Of Occupants [](Hourly)",'Eplus results'!$1:$1048576,ROW(),FALSE)</f>
        <v>0</v>
      </c>
      <c r="AC7046" s="580">
        <f>HLOOKUP("*"&amp;'Output annual'!$AC$2&amp;'Output annual'!$AD$2&amp;"*FangerPMV(Hourly)",'Eplus results'!$1:$1048576,ROW(),FALSE)</f>
        <v>0</v>
      </c>
      <c r="AD7046" s="580">
        <f t="shared" si="586"/>
        <v>5</v>
      </c>
      <c r="AE7046" s="580">
        <f t="shared" si="587"/>
        <v>2.5</v>
      </c>
      <c r="AF7046" s="580">
        <f t="shared" si="588"/>
        <v>2.5</v>
      </c>
      <c r="AG7046" s="580">
        <f t="shared" si="589"/>
        <v>0</v>
      </c>
      <c r="AH7046" s="580">
        <f t="shared" si="590"/>
        <v>0</v>
      </c>
    </row>
    <row r="7047" spans="28:34">
      <c r="AB7047" s="580">
        <f>HLOOKUP("*"&amp;'Output annual'!$AC$2&amp;'Output annual'!$AD$2&amp;"*Zone People Number Of Occupants [](Hourly)",'Eplus results'!$1:$1048576,ROW(),FALSE)</f>
        <v>0</v>
      </c>
      <c r="AC7047" s="580">
        <f>HLOOKUP("*"&amp;'Output annual'!$AC$2&amp;'Output annual'!$AD$2&amp;"*FangerPMV(Hourly)",'Eplus results'!$1:$1048576,ROW(),FALSE)</f>
        <v>0</v>
      </c>
      <c r="AD7047" s="580">
        <f t="shared" si="586"/>
        <v>5</v>
      </c>
      <c r="AE7047" s="580">
        <f t="shared" si="587"/>
        <v>2.5</v>
      </c>
      <c r="AF7047" s="580">
        <f t="shared" si="588"/>
        <v>2.5</v>
      </c>
      <c r="AG7047" s="580">
        <f t="shared" si="589"/>
        <v>0</v>
      </c>
      <c r="AH7047" s="580">
        <f t="shared" si="590"/>
        <v>0</v>
      </c>
    </row>
    <row r="7048" spans="28:34">
      <c r="AB7048" s="580">
        <f>HLOOKUP("*"&amp;'Output annual'!$AC$2&amp;'Output annual'!$AD$2&amp;"*Zone People Number Of Occupants [](Hourly)",'Eplus results'!$1:$1048576,ROW(),FALSE)</f>
        <v>0</v>
      </c>
      <c r="AC7048" s="580">
        <f>HLOOKUP("*"&amp;'Output annual'!$AC$2&amp;'Output annual'!$AD$2&amp;"*FangerPMV(Hourly)",'Eplus results'!$1:$1048576,ROW(),FALSE)</f>
        <v>0</v>
      </c>
      <c r="AD7048" s="580">
        <f t="shared" si="586"/>
        <v>5</v>
      </c>
      <c r="AE7048" s="580">
        <f t="shared" si="587"/>
        <v>2.5</v>
      </c>
      <c r="AF7048" s="580">
        <f t="shared" si="588"/>
        <v>2.5</v>
      </c>
      <c r="AG7048" s="580">
        <f t="shared" si="589"/>
        <v>0</v>
      </c>
      <c r="AH7048" s="580">
        <f t="shared" si="590"/>
        <v>0</v>
      </c>
    </row>
    <row r="7049" spans="28:34">
      <c r="AB7049" s="580">
        <f>HLOOKUP("*"&amp;'Output annual'!$AC$2&amp;'Output annual'!$AD$2&amp;"*Zone People Number Of Occupants [](Hourly)",'Eplus results'!$1:$1048576,ROW(),FALSE)</f>
        <v>0</v>
      </c>
      <c r="AC7049" s="580">
        <f>HLOOKUP("*"&amp;'Output annual'!$AC$2&amp;'Output annual'!$AD$2&amp;"*FangerPMV(Hourly)",'Eplus results'!$1:$1048576,ROW(),FALSE)</f>
        <v>0</v>
      </c>
      <c r="AD7049" s="580">
        <f t="shared" si="586"/>
        <v>5</v>
      </c>
      <c r="AE7049" s="580">
        <f t="shared" si="587"/>
        <v>2.5</v>
      </c>
      <c r="AF7049" s="580">
        <f t="shared" si="588"/>
        <v>2.5</v>
      </c>
      <c r="AG7049" s="580">
        <f t="shared" si="589"/>
        <v>0</v>
      </c>
      <c r="AH7049" s="580">
        <f t="shared" si="590"/>
        <v>0</v>
      </c>
    </row>
    <row r="7050" spans="28:34">
      <c r="AB7050" s="580">
        <f>HLOOKUP("*"&amp;'Output annual'!$AC$2&amp;'Output annual'!$AD$2&amp;"*Zone People Number Of Occupants [](Hourly)",'Eplus results'!$1:$1048576,ROW(),FALSE)</f>
        <v>0</v>
      </c>
      <c r="AC7050" s="580">
        <f>HLOOKUP("*"&amp;'Output annual'!$AC$2&amp;'Output annual'!$AD$2&amp;"*FangerPMV(Hourly)",'Eplus results'!$1:$1048576,ROW(),FALSE)</f>
        <v>0</v>
      </c>
      <c r="AD7050" s="580">
        <f t="shared" si="586"/>
        <v>5</v>
      </c>
      <c r="AE7050" s="580">
        <f t="shared" si="587"/>
        <v>2.5</v>
      </c>
      <c r="AF7050" s="580">
        <f t="shared" si="588"/>
        <v>2.5</v>
      </c>
      <c r="AG7050" s="580">
        <f t="shared" si="589"/>
        <v>0</v>
      </c>
      <c r="AH7050" s="580">
        <f t="shared" si="590"/>
        <v>0</v>
      </c>
    </row>
    <row r="7051" spans="28:34">
      <c r="AB7051" s="580">
        <f>HLOOKUP("*"&amp;'Output annual'!$AC$2&amp;'Output annual'!$AD$2&amp;"*Zone People Number Of Occupants [](Hourly)",'Eplus results'!$1:$1048576,ROW(),FALSE)</f>
        <v>0</v>
      </c>
      <c r="AC7051" s="580">
        <f>HLOOKUP("*"&amp;'Output annual'!$AC$2&amp;'Output annual'!$AD$2&amp;"*FangerPMV(Hourly)",'Eplus results'!$1:$1048576,ROW(),FALSE)</f>
        <v>0</v>
      </c>
      <c r="AD7051" s="580">
        <f t="shared" si="586"/>
        <v>5</v>
      </c>
      <c r="AE7051" s="580">
        <f t="shared" si="587"/>
        <v>2.5</v>
      </c>
      <c r="AF7051" s="580">
        <f t="shared" si="588"/>
        <v>2.5</v>
      </c>
      <c r="AG7051" s="580">
        <f t="shared" si="589"/>
        <v>0</v>
      </c>
      <c r="AH7051" s="580">
        <f t="shared" si="590"/>
        <v>0</v>
      </c>
    </row>
    <row r="7052" spans="28:34">
      <c r="AB7052" s="580">
        <f>HLOOKUP("*"&amp;'Output annual'!$AC$2&amp;'Output annual'!$AD$2&amp;"*Zone People Number Of Occupants [](Hourly)",'Eplus results'!$1:$1048576,ROW(),FALSE)</f>
        <v>0</v>
      </c>
      <c r="AC7052" s="580">
        <f>HLOOKUP("*"&amp;'Output annual'!$AC$2&amp;'Output annual'!$AD$2&amp;"*FangerPMV(Hourly)",'Eplus results'!$1:$1048576,ROW(),FALSE)</f>
        <v>0</v>
      </c>
      <c r="AD7052" s="580">
        <f t="shared" si="586"/>
        <v>5</v>
      </c>
      <c r="AE7052" s="580">
        <f t="shared" si="587"/>
        <v>2.5</v>
      </c>
      <c r="AF7052" s="580">
        <f t="shared" si="588"/>
        <v>2.5</v>
      </c>
      <c r="AG7052" s="580">
        <f t="shared" si="589"/>
        <v>0</v>
      </c>
      <c r="AH7052" s="580">
        <f t="shared" si="590"/>
        <v>0</v>
      </c>
    </row>
    <row r="7053" spans="28:34">
      <c r="AB7053" s="580">
        <f>HLOOKUP("*"&amp;'Output annual'!$AC$2&amp;'Output annual'!$AD$2&amp;"*Zone People Number Of Occupants [](Hourly)",'Eplus results'!$1:$1048576,ROW(),FALSE)</f>
        <v>0</v>
      </c>
      <c r="AC7053" s="580">
        <f>HLOOKUP("*"&amp;'Output annual'!$AC$2&amp;'Output annual'!$AD$2&amp;"*FangerPMV(Hourly)",'Eplus results'!$1:$1048576,ROW(),FALSE)</f>
        <v>0</v>
      </c>
      <c r="AD7053" s="580">
        <f t="shared" si="586"/>
        <v>5</v>
      </c>
      <c r="AE7053" s="580">
        <f t="shared" si="587"/>
        <v>2.5</v>
      </c>
      <c r="AF7053" s="580">
        <f t="shared" si="588"/>
        <v>2.5</v>
      </c>
      <c r="AG7053" s="580">
        <f t="shared" si="589"/>
        <v>0</v>
      </c>
      <c r="AH7053" s="580">
        <f t="shared" si="590"/>
        <v>0</v>
      </c>
    </row>
    <row r="7054" spans="28:34">
      <c r="AB7054" s="580">
        <f>HLOOKUP("*"&amp;'Output annual'!$AC$2&amp;'Output annual'!$AD$2&amp;"*Zone People Number Of Occupants [](Hourly)",'Eplus results'!$1:$1048576,ROW(),FALSE)</f>
        <v>0</v>
      </c>
      <c r="AC7054" s="580">
        <f>HLOOKUP("*"&amp;'Output annual'!$AC$2&amp;'Output annual'!$AD$2&amp;"*FangerPMV(Hourly)",'Eplus results'!$1:$1048576,ROW(),FALSE)</f>
        <v>0</v>
      </c>
      <c r="AD7054" s="580">
        <f t="shared" si="586"/>
        <v>5</v>
      </c>
      <c r="AE7054" s="580">
        <f t="shared" si="587"/>
        <v>2.5</v>
      </c>
      <c r="AF7054" s="580">
        <f t="shared" si="588"/>
        <v>2.5</v>
      </c>
      <c r="AG7054" s="580">
        <f t="shared" si="589"/>
        <v>0</v>
      </c>
      <c r="AH7054" s="580">
        <f t="shared" si="590"/>
        <v>0</v>
      </c>
    </row>
    <row r="7055" spans="28:34">
      <c r="AB7055" s="580">
        <f>HLOOKUP("*"&amp;'Output annual'!$AC$2&amp;'Output annual'!$AD$2&amp;"*Zone People Number Of Occupants [](Hourly)",'Eplus results'!$1:$1048576,ROW(),FALSE)</f>
        <v>0</v>
      </c>
      <c r="AC7055" s="580">
        <f>HLOOKUP("*"&amp;'Output annual'!$AC$2&amp;'Output annual'!$AD$2&amp;"*FangerPMV(Hourly)",'Eplus results'!$1:$1048576,ROW(),FALSE)</f>
        <v>0</v>
      </c>
      <c r="AD7055" s="580">
        <f t="shared" si="586"/>
        <v>5</v>
      </c>
      <c r="AE7055" s="580">
        <f t="shared" si="587"/>
        <v>2.5</v>
      </c>
      <c r="AF7055" s="580">
        <f t="shared" si="588"/>
        <v>2.5</v>
      </c>
      <c r="AG7055" s="580">
        <f t="shared" si="589"/>
        <v>0</v>
      </c>
      <c r="AH7055" s="580">
        <f t="shared" si="590"/>
        <v>0</v>
      </c>
    </row>
    <row r="7056" spans="28:34">
      <c r="AB7056" s="580">
        <f>HLOOKUP("*"&amp;'Output annual'!$AC$2&amp;'Output annual'!$AD$2&amp;"*Zone People Number Of Occupants [](Hourly)",'Eplus results'!$1:$1048576,ROW(),FALSE)</f>
        <v>0</v>
      </c>
      <c r="AC7056" s="580">
        <f>HLOOKUP("*"&amp;'Output annual'!$AC$2&amp;'Output annual'!$AD$2&amp;"*FangerPMV(Hourly)",'Eplus results'!$1:$1048576,ROW(),FALSE)</f>
        <v>0</v>
      </c>
      <c r="AD7056" s="580">
        <f t="shared" si="586"/>
        <v>5</v>
      </c>
      <c r="AE7056" s="580">
        <f t="shared" si="587"/>
        <v>2.5</v>
      </c>
      <c r="AF7056" s="580">
        <f t="shared" si="588"/>
        <v>2.5</v>
      </c>
      <c r="AG7056" s="580">
        <f t="shared" si="589"/>
        <v>0</v>
      </c>
      <c r="AH7056" s="580">
        <f t="shared" si="590"/>
        <v>0</v>
      </c>
    </row>
    <row r="7057" spans="28:34">
      <c r="AB7057" s="580">
        <f>HLOOKUP("*"&amp;'Output annual'!$AC$2&amp;'Output annual'!$AD$2&amp;"*Zone People Number Of Occupants [](Hourly)",'Eplus results'!$1:$1048576,ROW(),FALSE)</f>
        <v>0</v>
      </c>
      <c r="AC7057" s="580">
        <f>HLOOKUP("*"&amp;'Output annual'!$AC$2&amp;'Output annual'!$AD$2&amp;"*FangerPMV(Hourly)",'Eplus results'!$1:$1048576,ROW(),FALSE)</f>
        <v>0</v>
      </c>
      <c r="AD7057" s="580">
        <f t="shared" si="586"/>
        <v>5</v>
      </c>
      <c r="AE7057" s="580">
        <f t="shared" si="587"/>
        <v>2.5</v>
      </c>
      <c r="AF7057" s="580">
        <f t="shared" si="588"/>
        <v>2.5</v>
      </c>
      <c r="AG7057" s="580">
        <f t="shared" si="589"/>
        <v>0</v>
      </c>
      <c r="AH7057" s="580">
        <f t="shared" si="590"/>
        <v>0</v>
      </c>
    </row>
    <row r="7058" spans="28:34">
      <c r="AB7058" s="580">
        <f>HLOOKUP("*"&amp;'Output annual'!$AC$2&amp;'Output annual'!$AD$2&amp;"*Zone People Number Of Occupants [](Hourly)",'Eplus results'!$1:$1048576,ROW(),FALSE)</f>
        <v>0</v>
      </c>
      <c r="AC7058" s="580">
        <f>HLOOKUP("*"&amp;'Output annual'!$AC$2&amp;'Output annual'!$AD$2&amp;"*FangerPMV(Hourly)",'Eplus results'!$1:$1048576,ROW(),FALSE)</f>
        <v>0</v>
      </c>
      <c r="AD7058" s="580">
        <f t="shared" si="586"/>
        <v>5</v>
      </c>
      <c r="AE7058" s="580">
        <f t="shared" si="587"/>
        <v>2.5</v>
      </c>
      <c r="AF7058" s="580">
        <f t="shared" si="588"/>
        <v>2.5</v>
      </c>
      <c r="AG7058" s="580">
        <f t="shared" si="589"/>
        <v>0</v>
      </c>
      <c r="AH7058" s="580">
        <f t="shared" si="590"/>
        <v>0</v>
      </c>
    </row>
    <row r="7059" spans="28:34">
      <c r="AB7059" s="580">
        <f>HLOOKUP("*"&amp;'Output annual'!$AC$2&amp;'Output annual'!$AD$2&amp;"*Zone People Number Of Occupants [](Hourly)",'Eplus results'!$1:$1048576,ROW(),FALSE)</f>
        <v>0</v>
      </c>
      <c r="AC7059" s="580">
        <f>HLOOKUP("*"&amp;'Output annual'!$AC$2&amp;'Output annual'!$AD$2&amp;"*FangerPMV(Hourly)",'Eplus results'!$1:$1048576,ROW(),FALSE)</f>
        <v>0</v>
      </c>
      <c r="AD7059" s="580">
        <f t="shared" si="586"/>
        <v>5</v>
      </c>
      <c r="AE7059" s="580">
        <f t="shared" si="587"/>
        <v>2.5</v>
      </c>
      <c r="AF7059" s="580">
        <f t="shared" si="588"/>
        <v>2.5</v>
      </c>
      <c r="AG7059" s="580">
        <f t="shared" si="589"/>
        <v>0</v>
      </c>
      <c r="AH7059" s="580">
        <f t="shared" si="590"/>
        <v>0</v>
      </c>
    </row>
    <row r="7060" spans="28:34">
      <c r="AB7060" s="580">
        <f>HLOOKUP("*"&amp;'Output annual'!$AC$2&amp;'Output annual'!$AD$2&amp;"*Zone People Number Of Occupants [](Hourly)",'Eplus results'!$1:$1048576,ROW(),FALSE)</f>
        <v>0</v>
      </c>
      <c r="AC7060" s="580">
        <f>HLOOKUP("*"&amp;'Output annual'!$AC$2&amp;'Output annual'!$AD$2&amp;"*FangerPMV(Hourly)",'Eplus results'!$1:$1048576,ROW(),FALSE)</f>
        <v>0</v>
      </c>
      <c r="AD7060" s="580">
        <f t="shared" si="586"/>
        <v>5</v>
      </c>
      <c r="AE7060" s="580">
        <f t="shared" si="587"/>
        <v>2.5</v>
      </c>
      <c r="AF7060" s="580">
        <f t="shared" si="588"/>
        <v>2.5</v>
      </c>
      <c r="AG7060" s="580">
        <f t="shared" si="589"/>
        <v>0</v>
      </c>
      <c r="AH7060" s="580">
        <f t="shared" si="590"/>
        <v>0</v>
      </c>
    </row>
    <row r="7061" spans="28:34">
      <c r="AB7061" s="580">
        <f>HLOOKUP("*"&amp;'Output annual'!$AC$2&amp;'Output annual'!$AD$2&amp;"*Zone People Number Of Occupants [](Hourly)",'Eplus results'!$1:$1048576,ROW(),FALSE)</f>
        <v>0</v>
      </c>
      <c r="AC7061" s="580">
        <f>HLOOKUP("*"&amp;'Output annual'!$AC$2&amp;'Output annual'!$AD$2&amp;"*FangerPMV(Hourly)",'Eplus results'!$1:$1048576,ROW(),FALSE)</f>
        <v>0</v>
      </c>
      <c r="AD7061" s="580">
        <f t="shared" si="586"/>
        <v>5</v>
      </c>
      <c r="AE7061" s="580">
        <f t="shared" si="587"/>
        <v>2.5</v>
      </c>
      <c r="AF7061" s="580">
        <f t="shared" si="588"/>
        <v>2.5</v>
      </c>
      <c r="AG7061" s="580">
        <f t="shared" si="589"/>
        <v>0</v>
      </c>
      <c r="AH7061" s="580">
        <f t="shared" si="590"/>
        <v>0</v>
      </c>
    </row>
    <row r="7062" spans="28:34">
      <c r="AB7062" s="580">
        <f>HLOOKUP("*"&amp;'Output annual'!$AC$2&amp;'Output annual'!$AD$2&amp;"*Zone People Number Of Occupants [](Hourly)",'Eplus results'!$1:$1048576,ROW(),FALSE)</f>
        <v>0</v>
      </c>
      <c r="AC7062" s="580">
        <f>HLOOKUP("*"&amp;'Output annual'!$AC$2&amp;'Output annual'!$AD$2&amp;"*FangerPMV(Hourly)",'Eplus results'!$1:$1048576,ROW(),FALSE)</f>
        <v>0</v>
      </c>
      <c r="AD7062" s="580">
        <f t="shared" si="586"/>
        <v>5</v>
      </c>
      <c r="AE7062" s="580">
        <f t="shared" si="587"/>
        <v>2.5</v>
      </c>
      <c r="AF7062" s="580">
        <f t="shared" si="588"/>
        <v>2.5</v>
      </c>
      <c r="AG7062" s="580">
        <f t="shared" si="589"/>
        <v>0</v>
      </c>
      <c r="AH7062" s="580">
        <f t="shared" si="590"/>
        <v>0</v>
      </c>
    </row>
    <row r="7063" spans="28:34">
      <c r="AB7063" s="580">
        <f>HLOOKUP("*"&amp;'Output annual'!$AC$2&amp;'Output annual'!$AD$2&amp;"*Zone People Number Of Occupants [](Hourly)",'Eplus results'!$1:$1048576,ROW(),FALSE)</f>
        <v>0</v>
      </c>
      <c r="AC7063" s="580">
        <f>HLOOKUP("*"&amp;'Output annual'!$AC$2&amp;'Output annual'!$AD$2&amp;"*FangerPMV(Hourly)",'Eplus results'!$1:$1048576,ROW(),FALSE)</f>
        <v>0</v>
      </c>
      <c r="AD7063" s="580">
        <f t="shared" si="586"/>
        <v>5</v>
      </c>
      <c r="AE7063" s="580">
        <f t="shared" si="587"/>
        <v>2.5</v>
      </c>
      <c r="AF7063" s="580">
        <f t="shared" si="588"/>
        <v>2.5</v>
      </c>
      <c r="AG7063" s="580">
        <f t="shared" si="589"/>
        <v>0</v>
      </c>
      <c r="AH7063" s="580">
        <f t="shared" si="590"/>
        <v>0</v>
      </c>
    </row>
    <row r="7064" spans="28:34">
      <c r="AB7064" s="580">
        <f>HLOOKUP("*"&amp;'Output annual'!$AC$2&amp;'Output annual'!$AD$2&amp;"*Zone People Number Of Occupants [](Hourly)",'Eplus results'!$1:$1048576,ROW(),FALSE)</f>
        <v>0</v>
      </c>
      <c r="AC7064" s="580">
        <f>HLOOKUP("*"&amp;'Output annual'!$AC$2&amp;'Output annual'!$AD$2&amp;"*FangerPMV(Hourly)",'Eplus results'!$1:$1048576,ROW(),FALSE)</f>
        <v>0</v>
      </c>
      <c r="AD7064" s="580">
        <f t="shared" si="586"/>
        <v>5</v>
      </c>
      <c r="AE7064" s="580">
        <f t="shared" si="587"/>
        <v>2.5</v>
      </c>
      <c r="AF7064" s="580">
        <f t="shared" si="588"/>
        <v>2.5</v>
      </c>
      <c r="AG7064" s="580">
        <f t="shared" si="589"/>
        <v>0</v>
      </c>
      <c r="AH7064" s="580">
        <f t="shared" si="590"/>
        <v>0</v>
      </c>
    </row>
    <row r="7065" spans="28:34">
      <c r="AB7065" s="580">
        <f>HLOOKUP("*"&amp;'Output annual'!$AC$2&amp;'Output annual'!$AD$2&amp;"*Zone People Number Of Occupants [](Hourly)",'Eplus results'!$1:$1048576,ROW(),FALSE)</f>
        <v>0</v>
      </c>
      <c r="AC7065" s="580">
        <f>HLOOKUP("*"&amp;'Output annual'!$AC$2&amp;'Output annual'!$AD$2&amp;"*FangerPMV(Hourly)",'Eplus results'!$1:$1048576,ROW(),FALSE)</f>
        <v>0</v>
      </c>
      <c r="AD7065" s="580">
        <f t="shared" si="586"/>
        <v>5</v>
      </c>
      <c r="AE7065" s="580">
        <f t="shared" si="587"/>
        <v>2.5</v>
      </c>
      <c r="AF7065" s="580">
        <f t="shared" si="588"/>
        <v>2.5</v>
      </c>
      <c r="AG7065" s="580">
        <f t="shared" si="589"/>
        <v>0</v>
      </c>
      <c r="AH7065" s="580">
        <f t="shared" si="590"/>
        <v>0</v>
      </c>
    </row>
    <row r="7066" spans="28:34">
      <c r="AB7066" s="580">
        <f>HLOOKUP("*"&amp;'Output annual'!$AC$2&amp;'Output annual'!$AD$2&amp;"*Zone People Number Of Occupants [](Hourly)",'Eplus results'!$1:$1048576,ROW(),FALSE)</f>
        <v>0</v>
      </c>
      <c r="AC7066" s="580">
        <f>HLOOKUP("*"&amp;'Output annual'!$AC$2&amp;'Output annual'!$AD$2&amp;"*FangerPMV(Hourly)",'Eplus results'!$1:$1048576,ROW(),FALSE)</f>
        <v>0</v>
      </c>
      <c r="AD7066" s="580">
        <f t="shared" si="586"/>
        <v>5</v>
      </c>
      <c r="AE7066" s="580">
        <f t="shared" si="587"/>
        <v>2.5</v>
      </c>
      <c r="AF7066" s="580">
        <f t="shared" si="588"/>
        <v>2.5</v>
      </c>
      <c r="AG7066" s="580">
        <f t="shared" si="589"/>
        <v>0</v>
      </c>
      <c r="AH7066" s="580">
        <f t="shared" si="590"/>
        <v>0</v>
      </c>
    </row>
    <row r="7067" spans="28:34">
      <c r="AB7067" s="580">
        <f>HLOOKUP("*"&amp;'Output annual'!$AC$2&amp;'Output annual'!$AD$2&amp;"*Zone People Number Of Occupants [](Hourly)",'Eplus results'!$1:$1048576,ROW(),FALSE)</f>
        <v>0</v>
      </c>
      <c r="AC7067" s="580">
        <f>HLOOKUP("*"&amp;'Output annual'!$AC$2&amp;'Output annual'!$AD$2&amp;"*FangerPMV(Hourly)",'Eplus results'!$1:$1048576,ROW(),FALSE)</f>
        <v>0</v>
      </c>
      <c r="AD7067" s="580">
        <f t="shared" si="586"/>
        <v>5</v>
      </c>
      <c r="AE7067" s="580">
        <f t="shared" si="587"/>
        <v>2.5</v>
      </c>
      <c r="AF7067" s="580">
        <f t="shared" si="588"/>
        <v>2.5</v>
      </c>
      <c r="AG7067" s="580">
        <f t="shared" si="589"/>
        <v>0</v>
      </c>
      <c r="AH7067" s="580">
        <f t="shared" si="590"/>
        <v>0</v>
      </c>
    </row>
    <row r="7068" spans="28:34">
      <c r="AB7068" s="580">
        <f>HLOOKUP("*"&amp;'Output annual'!$AC$2&amp;'Output annual'!$AD$2&amp;"*Zone People Number Of Occupants [](Hourly)",'Eplus results'!$1:$1048576,ROW(),FALSE)</f>
        <v>0</v>
      </c>
      <c r="AC7068" s="580">
        <f>HLOOKUP("*"&amp;'Output annual'!$AC$2&amp;'Output annual'!$AD$2&amp;"*FangerPMV(Hourly)",'Eplus results'!$1:$1048576,ROW(),FALSE)</f>
        <v>0</v>
      </c>
      <c r="AD7068" s="580">
        <f t="shared" si="586"/>
        <v>5</v>
      </c>
      <c r="AE7068" s="580">
        <f t="shared" si="587"/>
        <v>2.5</v>
      </c>
      <c r="AF7068" s="580">
        <f t="shared" si="588"/>
        <v>2.5</v>
      </c>
      <c r="AG7068" s="580">
        <f t="shared" si="589"/>
        <v>0</v>
      </c>
      <c r="AH7068" s="580">
        <f t="shared" si="590"/>
        <v>0</v>
      </c>
    </row>
    <row r="7069" spans="28:34">
      <c r="AB7069" s="580">
        <f>HLOOKUP("*"&amp;'Output annual'!$AC$2&amp;'Output annual'!$AD$2&amp;"*Zone People Number Of Occupants [](Hourly)",'Eplus results'!$1:$1048576,ROW(),FALSE)</f>
        <v>0</v>
      </c>
      <c r="AC7069" s="580">
        <f>HLOOKUP("*"&amp;'Output annual'!$AC$2&amp;'Output annual'!$AD$2&amp;"*FangerPMV(Hourly)",'Eplus results'!$1:$1048576,ROW(),FALSE)</f>
        <v>0</v>
      </c>
      <c r="AD7069" s="580">
        <f t="shared" si="586"/>
        <v>5</v>
      </c>
      <c r="AE7069" s="580">
        <f t="shared" si="587"/>
        <v>2.5</v>
      </c>
      <c r="AF7069" s="580">
        <f t="shared" si="588"/>
        <v>2.5</v>
      </c>
      <c r="AG7069" s="580">
        <f t="shared" si="589"/>
        <v>0</v>
      </c>
      <c r="AH7069" s="580">
        <f t="shared" si="590"/>
        <v>0</v>
      </c>
    </row>
    <row r="7070" spans="28:34">
      <c r="AB7070" s="580">
        <f>HLOOKUP("*"&amp;'Output annual'!$AC$2&amp;'Output annual'!$AD$2&amp;"*Zone People Number Of Occupants [](Hourly)",'Eplus results'!$1:$1048576,ROW(),FALSE)</f>
        <v>0</v>
      </c>
      <c r="AC7070" s="580">
        <f>HLOOKUP("*"&amp;'Output annual'!$AC$2&amp;'Output annual'!$AD$2&amp;"*FangerPMV(Hourly)",'Eplus results'!$1:$1048576,ROW(),FALSE)</f>
        <v>0</v>
      </c>
      <c r="AD7070" s="580">
        <f t="shared" si="586"/>
        <v>5</v>
      </c>
      <c r="AE7070" s="580">
        <f t="shared" si="587"/>
        <v>2.5</v>
      </c>
      <c r="AF7070" s="580">
        <f t="shared" si="588"/>
        <v>2.5</v>
      </c>
      <c r="AG7070" s="580">
        <f t="shared" si="589"/>
        <v>0</v>
      </c>
      <c r="AH7070" s="580">
        <f t="shared" si="590"/>
        <v>0</v>
      </c>
    </row>
    <row r="7071" spans="28:34">
      <c r="AB7071" s="580">
        <f>HLOOKUP("*"&amp;'Output annual'!$AC$2&amp;'Output annual'!$AD$2&amp;"*Zone People Number Of Occupants [](Hourly)",'Eplus results'!$1:$1048576,ROW(),FALSE)</f>
        <v>0</v>
      </c>
      <c r="AC7071" s="580">
        <f>HLOOKUP("*"&amp;'Output annual'!$AC$2&amp;'Output annual'!$AD$2&amp;"*FangerPMV(Hourly)",'Eplus results'!$1:$1048576,ROW(),FALSE)</f>
        <v>0</v>
      </c>
      <c r="AD7071" s="580">
        <f t="shared" si="586"/>
        <v>5</v>
      </c>
      <c r="AE7071" s="580">
        <f t="shared" si="587"/>
        <v>2.5</v>
      </c>
      <c r="AF7071" s="580">
        <f t="shared" si="588"/>
        <v>2.5</v>
      </c>
      <c r="AG7071" s="580">
        <f t="shared" si="589"/>
        <v>0</v>
      </c>
      <c r="AH7071" s="580">
        <f t="shared" si="590"/>
        <v>0</v>
      </c>
    </row>
    <row r="7072" spans="28:34">
      <c r="AB7072" s="580">
        <f>HLOOKUP("*"&amp;'Output annual'!$AC$2&amp;'Output annual'!$AD$2&amp;"*Zone People Number Of Occupants [](Hourly)",'Eplus results'!$1:$1048576,ROW(),FALSE)</f>
        <v>0</v>
      </c>
      <c r="AC7072" s="580">
        <f>HLOOKUP("*"&amp;'Output annual'!$AC$2&amp;'Output annual'!$AD$2&amp;"*FangerPMV(Hourly)",'Eplus results'!$1:$1048576,ROW(),FALSE)</f>
        <v>0</v>
      </c>
      <c r="AD7072" s="580">
        <f t="shared" si="586"/>
        <v>5</v>
      </c>
      <c r="AE7072" s="580">
        <f t="shared" si="587"/>
        <v>2.5</v>
      </c>
      <c r="AF7072" s="580">
        <f t="shared" si="588"/>
        <v>2.5</v>
      </c>
      <c r="AG7072" s="580">
        <f t="shared" si="589"/>
        <v>0</v>
      </c>
      <c r="AH7072" s="580">
        <f t="shared" si="590"/>
        <v>0</v>
      </c>
    </row>
    <row r="7073" spans="28:34">
      <c r="AB7073" s="580">
        <f>HLOOKUP("*"&amp;'Output annual'!$AC$2&amp;'Output annual'!$AD$2&amp;"*Zone People Number Of Occupants [](Hourly)",'Eplus results'!$1:$1048576,ROW(),FALSE)</f>
        <v>0</v>
      </c>
      <c r="AC7073" s="580">
        <f>HLOOKUP("*"&amp;'Output annual'!$AC$2&amp;'Output annual'!$AD$2&amp;"*FangerPMV(Hourly)",'Eplus results'!$1:$1048576,ROW(),FALSE)</f>
        <v>0</v>
      </c>
      <c r="AD7073" s="580">
        <f t="shared" si="586"/>
        <v>5</v>
      </c>
      <c r="AE7073" s="580">
        <f t="shared" si="587"/>
        <v>2.5</v>
      </c>
      <c r="AF7073" s="580">
        <f t="shared" si="588"/>
        <v>2.5</v>
      </c>
      <c r="AG7073" s="580">
        <f t="shared" si="589"/>
        <v>0</v>
      </c>
      <c r="AH7073" s="580">
        <f t="shared" si="590"/>
        <v>0</v>
      </c>
    </row>
    <row r="7074" spans="28:34">
      <c r="AB7074" s="580">
        <f>HLOOKUP("*"&amp;'Output annual'!$AC$2&amp;'Output annual'!$AD$2&amp;"*Zone People Number Of Occupants [](Hourly)",'Eplus results'!$1:$1048576,ROW(),FALSE)</f>
        <v>0</v>
      </c>
      <c r="AC7074" s="580">
        <f>HLOOKUP("*"&amp;'Output annual'!$AC$2&amp;'Output annual'!$AD$2&amp;"*FangerPMV(Hourly)",'Eplus results'!$1:$1048576,ROW(),FALSE)</f>
        <v>0</v>
      </c>
      <c r="AD7074" s="580">
        <f t="shared" si="586"/>
        <v>5</v>
      </c>
      <c r="AE7074" s="580">
        <f t="shared" si="587"/>
        <v>2.5</v>
      </c>
      <c r="AF7074" s="580">
        <f t="shared" si="588"/>
        <v>2.5</v>
      </c>
      <c r="AG7074" s="580">
        <f t="shared" si="589"/>
        <v>0</v>
      </c>
      <c r="AH7074" s="580">
        <f t="shared" si="590"/>
        <v>0</v>
      </c>
    </row>
    <row r="7075" spans="28:34">
      <c r="AB7075" s="580">
        <f>HLOOKUP("*"&amp;'Output annual'!$AC$2&amp;'Output annual'!$AD$2&amp;"*Zone People Number Of Occupants [](Hourly)",'Eplus results'!$1:$1048576,ROW(),FALSE)</f>
        <v>0</v>
      </c>
      <c r="AC7075" s="580">
        <f>HLOOKUP("*"&amp;'Output annual'!$AC$2&amp;'Output annual'!$AD$2&amp;"*FangerPMV(Hourly)",'Eplus results'!$1:$1048576,ROW(),FALSE)</f>
        <v>0</v>
      </c>
      <c r="AD7075" s="580">
        <f t="shared" si="586"/>
        <v>5</v>
      </c>
      <c r="AE7075" s="580">
        <f t="shared" si="587"/>
        <v>2.5</v>
      </c>
      <c r="AF7075" s="580">
        <f t="shared" si="588"/>
        <v>2.5</v>
      </c>
      <c r="AG7075" s="580">
        <f t="shared" si="589"/>
        <v>0</v>
      </c>
      <c r="AH7075" s="580">
        <f t="shared" si="590"/>
        <v>0</v>
      </c>
    </row>
    <row r="7076" spans="28:34">
      <c r="AB7076" s="580">
        <f>HLOOKUP("*"&amp;'Output annual'!$AC$2&amp;'Output annual'!$AD$2&amp;"*Zone People Number Of Occupants [](Hourly)",'Eplus results'!$1:$1048576,ROW(),FALSE)</f>
        <v>0</v>
      </c>
      <c r="AC7076" s="580">
        <f>HLOOKUP("*"&amp;'Output annual'!$AC$2&amp;'Output annual'!$AD$2&amp;"*FangerPMV(Hourly)",'Eplus results'!$1:$1048576,ROW(),FALSE)</f>
        <v>0</v>
      </c>
      <c r="AD7076" s="580">
        <f t="shared" si="586"/>
        <v>5</v>
      </c>
      <c r="AE7076" s="580">
        <f t="shared" si="587"/>
        <v>2.5</v>
      </c>
      <c r="AF7076" s="580">
        <f t="shared" si="588"/>
        <v>2.5</v>
      </c>
      <c r="AG7076" s="580">
        <f t="shared" si="589"/>
        <v>0</v>
      </c>
      <c r="AH7076" s="580">
        <f t="shared" si="590"/>
        <v>0</v>
      </c>
    </row>
    <row r="7077" spans="28:34">
      <c r="AB7077" s="580">
        <f>HLOOKUP("*"&amp;'Output annual'!$AC$2&amp;'Output annual'!$AD$2&amp;"*Zone People Number Of Occupants [](Hourly)",'Eplus results'!$1:$1048576,ROW(),FALSE)</f>
        <v>0</v>
      </c>
      <c r="AC7077" s="580">
        <f>HLOOKUP("*"&amp;'Output annual'!$AC$2&amp;'Output annual'!$AD$2&amp;"*FangerPMV(Hourly)",'Eplus results'!$1:$1048576,ROW(),FALSE)</f>
        <v>0</v>
      </c>
      <c r="AD7077" s="580">
        <f t="shared" si="586"/>
        <v>5</v>
      </c>
      <c r="AE7077" s="580">
        <f t="shared" si="587"/>
        <v>2.5</v>
      </c>
      <c r="AF7077" s="580">
        <f t="shared" si="588"/>
        <v>2.5</v>
      </c>
      <c r="AG7077" s="580">
        <f t="shared" si="589"/>
        <v>0</v>
      </c>
      <c r="AH7077" s="580">
        <f t="shared" si="590"/>
        <v>0</v>
      </c>
    </row>
    <row r="7078" spans="28:34">
      <c r="AB7078" s="580">
        <f>HLOOKUP("*"&amp;'Output annual'!$AC$2&amp;'Output annual'!$AD$2&amp;"*Zone People Number Of Occupants [](Hourly)",'Eplus results'!$1:$1048576,ROW(),FALSE)</f>
        <v>0</v>
      </c>
      <c r="AC7078" s="580">
        <f>HLOOKUP("*"&amp;'Output annual'!$AC$2&amp;'Output annual'!$AD$2&amp;"*FangerPMV(Hourly)",'Eplus results'!$1:$1048576,ROW(),FALSE)</f>
        <v>0</v>
      </c>
      <c r="AD7078" s="580">
        <f t="shared" si="586"/>
        <v>5</v>
      </c>
      <c r="AE7078" s="580">
        <f t="shared" si="587"/>
        <v>2.5</v>
      </c>
      <c r="AF7078" s="580">
        <f t="shared" si="588"/>
        <v>2.5</v>
      </c>
      <c r="AG7078" s="580">
        <f t="shared" si="589"/>
        <v>0</v>
      </c>
      <c r="AH7078" s="580">
        <f t="shared" si="590"/>
        <v>0</v>
      </c>
    </row>
    <row r="7079" spans="28:34">
      <c r="AB7079" s="580">
        <f>HLOOKUP("*"&amp;'Output annual'!$AC$2&amp;'Output annual'!$AD$2&amp;"*Zone People Number Of Occupants [](Hourly)",'Eplus results'!$1:$1048576,ROW(),FALSE)</f>
        <v>0</v>
      </c>
      <c r="AC7079" s="580">
        <f>HLOOKUP("*"&amp;'Output annual'!$AC$2&amp;'Output annual'!$AD$2&amp;"*FangerPMV(Hourly)",'Eplus results'!$1:$1048576,ROW(),FALSE)</f>
        <v>0</v>
      </c>
      <c r="AD7079" s="580">
        <f t="shared" si="586"/>
        <v>5</v>
      </c>
      <c r="AE7079" s="580">
        <f t="shared" si="587"/>
        <v>2.5</v>
      </c>
      <c r="AF7079" s="580">
        <f t="shared" si="588"/>
        <v>2.5</v>
      </c>
      <c r="AG7079" s="580">
        <f t="shared" si="589"/>
        <v>0</v>
      </c>
      <c r="AH7079" s="580">
        <f t="shared" si="590"/>
        <v>0</v>
      </c>
    </row>
    <row r="7080" spans="28:34">
      <c r="AB7080" s="580">
        <f>HLOOKUP("*"&amp;'Output annual'!$AC$2&amp;'Output annual'!$AD$2&amp;"*Zone People Number Of Occupants [](Hourly)",'Eplus results'!$1:$1048576,ROW(),FALSE)</f>
        <v>0</v>
      </c>
      <c r="AC7080" s="580">
        <f>HLOOKUP("*"&amp;'Output annual'!$AC$2&amp;'Output annual'!$AD$2&amp;"*FangerPMV(Hourly)",'Eplus results'!$1:$1048576,ROW(),FALSE)</f>
        <v>0</v>
      </c>
      <c r="AD7080" s="580">
        <f t="shared" si="586"/>
        <v>5</v>
      </c>
      <c r="AE7080" s="580">
        <f t="shared" si="587"/>
        <v>2.5</v>
      </c>
      <c r="AF7080" s="580">
        <f t="shared" si="588"/>
        <v>2.5</v>
      </c>
      <c r="AG7080" s="580">
        <f t="shared" si="589"/>
        <v>0</v>
      </c>
      <c r="AH7080" s="580">
        <f t="shared" si="590"/>
        <v>0</v>
      </c>
    </row>
    <row r="7081" spans="28:34">
      <c r="AB7081" s="580">
        <f>HLOOKUP("*"&amp;'Output annual'!$AC$2&amp;'Output annual'!$AD$2&amp;"*Zone People Number Of Occupants [](Hourly)",'Eplus results'!$1:$1048576,ROW(),FALSE)</f>
        <v>0</v>
      </c>
      <c r="AC7081" s="580">
        <f>HLOOKUP("*"&amp;'Output annual'!$AC$2&amp;'Output annual'!$AD$2&amp;"*FangerPMV(Hourly)",'Eplus results'!$1:$1048576,ROW(),FALSE)</f>
        <v>0</v>
      </c>
      <c r="AD7081" s="580">
        <f t="shared" si="586"/>
        <v>5</v>
      </c>
      <c r="AE7081" s="580">
        <f t="shared" si="587"/>
        <v>2.5</v>
      </c>
      <c r="AF7081" s="580">
        <f t="shared" si="588"/>
        <v>2.5</v>
      </c>
      <c r="AG7081" s="580">
        <f t="shared" si="589"/>
        <v>0</v>
      </c>
      <c r="AH7081" s="580">
        <f t="shared" si="590"/>
        <v>0</v>
      </c>
    </row>
    <row r="7082" spans="28:34">
      <c r="AB7082" s="580">
        <f>HLOOKUP("*"&amp;'Output annual'!$AC$2&amp;'Output annual'!$AD$2&amp;"*Zone People Number Of Occupants [](Hourly)",'Eplus results'!$1:$1048576,ROW(),FALSE)</f>
        <v>0</v>
      </c>
      <c r="AC7082" s="580">
        <f>HLOOKUP("*"&amp;'Output annual'!$AC$2&amp;'Output annual'!$AD$2&amp;"*FangerPMV(Hourly)",'Eplus results'!$1:$1048576,ROW(),FALSE)</f>
        <v>0</v>
      </c>
      <c r="AD7082" s="580">
        <f t="shared" si="586"/>
        <v>5</v>
      </c>
      <c r="AE7082" s="580">
        <f t="shared" si="587"/>
        <v>2.5</v>
      </c>
      <c r="AF7082" s="580">
        <f t="shared" si="588"/>
        <v>2.5</v>
      </c>
      <c r="AG7082" s="580">
        <f t="shared" si="589"/>
        <v>0</v>
      </c>
      <c r="AH7082" s="580">
        <f t="shared" si="590"/>
        <v>0</v>
      </c>
    </row>
    <row r="7083" spans="28:34">
      <c r="AB7083" s="580">
        <f>HLOOKUP("*"&amp;'Output annual'!$AC$2&amp;'Output annual'!$AD$2&amp;"*Zone People Number Of Occupants [](Hourly)",'Eplus results'!$1:$1048576,ROW(),FALSE)</f>
        <v>0</v>
      </c>
      <c r="AC7083" s="580">
        <f>HLOOKUP("*"&amp;'Output annual'!$AC$2&amp;'Output annual'!$AD$2&amp;"*FangerPMV(Hourly)",'Eplus results'!$1:$1048576,ROW(),FALSE)</f>
        <v>0</v>
      </c>
      <c r="AD7083" s="580">
        <f t="shared" si="586"/>
        <v>5</v>
      </c>
      <c r="AE7083" s="580">
        <f t="shared" si="587"/>
        <v>2.5</v>
      </c>
      <c r="AF7083" s="580">
        <f t="shared" si="588"/>
        <v>2.5</v>
      </c>
      <c r="AG7083" s="580">
        <f t="shared" si="589"/>
        <v>0</v>
      </c>
      <c r="AH7083" s="580">
        <f t="shared" si="590"/>
        <v>0</v>
      </c>
    </row>
    <row r="7084" spans="28:34">
      <c r="AB7084" s="580">
        <f>HLOOKUP("*"&amp;'Output annual'!$AC$2&amp;'Output annual'!$AD$2&amp;"*Zone People Number Of Occupants [](Hourly)",'Eplus results'!$1:$1048576,ROW(),FALSE)</f>
        <v>0</v>
      </c>
      <c r="AC7084" s="580">
        <f>HLOOKUP("*"&amp;'Output annual'!$AC$2&amp;'Output annual'!$AD$2&amp;"*FangerPMV(Hourly)",'Eplus results'!$1:$1048576,ROW(),FALSE)</f>
        <v>0</v>
      </c>
      <c r="AD7084" s="580">
        <f t="shared" si="586"/>
        <v>5</v>
      </c>
      <c r="AE7084" s="580">
        <f t="shared" si="587"/>
        <v>2.5</v>
      </c>
      <c r="AF7084" s="580">
        <f t="shared" si="588"/>
        <v>2.5</v>
      </c>
      <c r="AG7084" s="580">
        <f t="shared" si="589"/>
        <v>0</v>
      </c>
      <c r="AH7084" s="580">
        <f t="shared" si="590"/>
        <v>0</v>
      </c>
    </row>
    <row r="7085" spans="28:34">
      <c r="AB7085" s="580">
        <f>HLOOKUP("*"&amp;'Output annual'!$AC$2&amp;'Output annual'!$AD$2&amp;"*Zone People Number Of Occupants [](Hourly)",'Eplus results'!$1:$1048576,ROW(),FALSE)</f>
        <v>0</v>
      </c>
      <c r="AC7085" s="580">
        <f>HLOOKUP("*"&amp;'Output annual'!$AC$2&amp;'Output annual'!$AD$2&amp;"*FangerPMV(Hourly)",'Eplus results'!$1:$1048576,ROW(),FALSE)</f>
        <v>0</v>
      </c>
      <c r="AD7085" s="580">
        <f t="shared" si="586"/>
        <v>5</v>
      </c>
      <c r="AE7085" s="580">
        <f t="shared" si="587"/>
        <v>2.5</v>
      </c>
      <c r="AF7085" s="580">
        <f t="shared" si="588"/>
        <v>2.5</v>
      </c>
      <c r="AG7085" s="580">
        <f t="shared" si="589"/>
        <v>0</v>
      </c>
      <c r="AH7085" s="580">
        <f t="shared" si="590"/>
        <v>0</v>
      </c>
    </row>
    <row r="7086" spans="28:34">
      <c r="AB7086" s="580">
        <f>HLOOKUP("*"&amp;'Output annual'!$AC$2&amp;'Output annual'!$AD$2&amp;"*Zone People Number Of Occupants [](Hourly)",'Eplus results'!$1:$1048576,ROW(),FALSE)</f>
        <v>0</v>
      </c>
      <c r="AC7086" s="580">
        <f>HLOOKUP("*"&amp;'Output annual'!$AC$2&amp;'Output annual'!$AD$2&amp;"*FangerPMV(Hourly)",'Eplus results'!$1:$1048576,ROW(),FALSE)</f>
        <v>0</v>
      </c>
      <c r="AD7086" s="580">
        <f t="shared" si="586"/>
        <v>5</v>
      </c>
      <c r="AE7086" s="580">
        <f t="shared" si="587"/>
        <v>2.5</v>
      </c>
      <c r="AF7086" s="580">
        <f t="shared" si="588"/>
        <v>2.5</v>
      </c>
      <c r="AG7086" s="580">
        <f t="shared" si="589"/>
        <v>0</v>
      </c>
      <c r="AH7086" s="580">
        <f t="shared" si="590"/>
        <v>0</v>
      </c>
    </row>
    <row r="7087" spans="28:34">
      <c r="AB7087" s="580">
        <f>HLOOKUP("*"&amp;'Output annual'!$AC$2&amp;'Output annual'!$AD$2&amp;"*Zone People Number Of Occupants [](Hourly)",'Eplus results'!$1:$1048576,ROW(),FALSE)</f>
        <v>0</v>
      </c>
      <c r="AC7087" s="580">
        <f>HLOOKUP("*"&amp;'Output annual'!$AC$2&amp;'Output annual'!$AD$2&amp;"*FangerPMV(Hourly)",'Eplus results'!$1:$1048576,ROW(),FALSE)</f>
        <v>0</v>
      </c>
      <c r="AD7087" s="580">
        <f t="shared" si="586"/>
        <v>5</v>
      </c>
      <c r="AE7087" s="580">
        <f t="shared" si="587"/>
        <v>2.5</v>
      </c>
      <c r="AF7087" s="580">
        <f t="shared" si="588"/>
        <v>2.5</v>
      </c>
      <c r="AG7087" s="580">
        <f t="shared" si="589"/>
        <v>0</v>
      </c>
      <c r="AH7087" s="580">
        <f t="shared" si="590"/>
        <v>0</v>
      </c>
    </row>
    <row r="7088" spans="28:34">
      <c r="AB7088" s="580">
        <f>HLOOKUP("*"&amp;'Output annual'!$AC$2&amp;'Output annual'!$AD$2&amp;"*Zone People Number Of Occupants [](Hourly)",'Eplus results'!$1:$1048576,ROW(),FALSE)</f>
        <v>0</v>
      </c>
      <c r="AC7088" s="580">
        <f>HLOOKUP("*"&amp;'Output annual'!$AC$2&amp;'Output annual'!$AD$2&amp;"*FangerPMV(Hourly)",'Eplus results'!$1:$1048576,ROW(),FALSE)</f>
        <v>0</v>
      </c>
      <c r="AD7088" s="580">
        <f t="shared" si="586"/>
        <v>5</v>
      </c>
      <c r="AE7088" s="580">
        <f t="shared" si="587"/>
        <v>2.5</v>
      </c>
      <c r="AF7088" s="580">
        <f t="shared" si="588"/>
        <v>2.5</v>
      </c>
      <c r="AG7088" s="580">
        <f t="shared" si="589"/>
        <v>0</v>
      </c>
      <c r="AH7088" s="580">
        <f t="shared" si="590"/>
        <v>0</v>
      </c>
    </row>
    <row r="7089" spans="28:34">
      <c r="AB7089" s="580">
        <f>HLOOKUP("*"&amp;'Output annual'!$AC$2&amp;'Output annual'!$AD$2&amp;"*Zone People Number Of Occupants [](Hourly)",'Eplus results'!$1:$1048576,ROW(),FALSE)</f>
        <v>0</v>
      </c>
      <c r="AC7089" s="580">
        <f>HLOOKUP("*"&amp;'Output annual'!$AC$2&amp;'Output annual'!$AD$2&amp;"*FangerPMV(Hourly)",'Eplus results'!$1:$1048576,ROW(),FALSE)</f>
        <v>0</v>
      </c>
      <c r="AD7089" s="580">
        <f t="shared" si="586"/>
        <v>5</v>
      </c>
      <c r="AE7089" s="580">
        <f t="shared" si="587"/>
        <v>2.5</v>
      </c>
      <c r="AF7089" s="580">
        <f t="shared" si="588"/>
        <v>2.5</v>
      </c>
      <c r="AG7089" s="580">
        <f t="shared" si="589"/>
        <v>0</v>
      </c>
      <c r="AH7089" s="580">
        <f t="shared" si="590"/>
        <v>0</v>
      </c>
    </row>
    <row r="7090" spans="28:34">
      <c r="AB7090" s="580">
        <f>HLOOKUP("*"&amp;'Output annual'!$AC$2&amp;'Output annual'!$AD$2&amp;"*Zone People Number Of Occupants [](Hourly)",'Eplus results'!$1:$1048576,ROW(),FALSE)</f>
        <v>0</v>
      </c>
      <c r="AC7090" s="580">
        <f>HLOOKUP("*"&amp;'Output annual'!$AC$2&amp;'Output annual'!$AD$2&amp;"*FangerPMV(Hourly)",'Eplus results'!$1:$1048576,ROW(),FALSE)</f>
        <v>0</v>
      </c>
      <c r="AD7090" s="580">
        <f t="shared" si="586"/>
        <v>5</v>
      </c>
      <c r="AE7090" s="580">
        <f t="shared" si="587"/>
        <v>2.5</v>
      </c>
      <c r="AF7090" s="580">
        <f t="shared" si="588"/>
        <v>2.5</v>
      </c>
      <c r="AG7090" s="580">
        <f t="shared" si="589"/>
        <v>0</v>
      </c>
      <c r="AH7090" s="580">
        <f t="shared" si="590"/>
        <v>0</v>
      </c>
    </row>
    <row r="7091" spans="28:34">
      <c r="AB7091" s="580">
        <f>HLOOKUP("*"&amp;'Output annual'!$AC$2&amp;'Output annual'!$AD$2&amp;"*Zone People Number Of Occupants [](Hourly)",'Eplus results'!$1:$1048576,ROW(),FALSE)</f>
        <v>0</v>
      </c>
      <c r="AC7091" s="580">
        <f>HLOOKUP("*"&amp;'Output annual'!$AC$2&amp;'Output annual'!$AD$2&amp;"*FangerPMV(Hourly)",'Eplus results'!$1:$1048576,ROW(),FALSE)</f>
        <v>0</v>
      </c>
      <c r="AD7091" s="580">
        <f t="shared" si="586"/>
        <v>5</v>
      </c>
      <c r="AE7091" s="580">
        <f t="shared" si="587"/>
        <v>2.5</v>
      </c>
      <c r="AF7091" s="580">
        <f t="shared" si="588"/>
        <v>2.5</v>
      </c>
      <c r="AG7091" s="580">
        <f t="shared" si="589"/>
        <v>0</v>
      </c>
      <c r="AH7091" s="580">
        <f t="shared" si="590"/>
        <v>0</v>
      </c>
    </row>
    <row r="7092" spans="28:34">
      <c r="AB7092" s="580">
        <f>HLOOKUP("*"&amp;'Output annual'!$AC$2&amp;'Output annual'!$AD$2&amp;"*Zone People Number Of Occupants [](Hourly)",'Eplus results'!$1:$1048576,ROW(),FALSE)</f>
        <v>0</v>
      </c>
      <c r="AC7092" s="580">
        <f>HLOOKUP("*"&amp;'Output annual'!$AC$2&amp;'Output annual'!$AD$2&amp;"*FangerPMV(Hourly)",'Eplus results'!$1:$1048576,ROW(),FALSE)</f>
        <v>0</v>
      </c>
      <c r="AD7092" s="580">
        <f t="shared" si="586"/>
        <v>5</v>
      </c>
      <c r="AE7092" s="580">
        <f t="shared" si="587"/>
        <v>2.5</v>
      </c>
      <c r="AF7092" s="580">
        <f t="shared" si="588"/>
        <v>2.5</v>
      </c>
      <c r="AG7092" s="580">
        <f t="shared" si="589"/>
        <v>0</v>
      </c>
      <c r="AH7092" s="580">
        <f t="shared" si="590"/>
        <v>0</v>
      </c>
    </row>
    <row r="7093" spans="28:34">
      <c r="AB7093" s="580">
        <f>HLOOKUP("*"&amp;'Output annual'!$AC$2&amp;'Output annual'!$AD$2&amp;"*Zone People Number Of Occupants [](Hourly)",'Eplus results'!$1:$1048576,ROW(),FALSE)</f>
        <v>0</v>
      </c>
      <c r="AC7093" s="580">
        <f>HLOOKUP("*"&amp;'Output annual'!$AC$2&amp;'Output annual'!$AD$2&amp;"*FangerPMV(Hourly)",'Eplus results'!$1:$1048576,ROW(),FALSE)</f>
        <v>0</v>
      </c>
      <c r="AD7093" s="580">
        <f t="shared" si="586"/>
        <v>5</v>
      </c>
      <c r="AE7093" s="580">
        <f t="shared" si="587"/>
        <v>2.5</v>
      </c>
      <c r="AF7093" s="580">
        <f t="shared" si="588"/>
        <v>2.5</v>
      </c>
      <c r="AG7093" s="580">
        <f t="shared" si="589"/>
        <v>0</v>
      </c>
      <c r="AH7093" s="580">
        <f t="shared" si="590"/>
        <v>0</v>
      </c>
    </row>
    <row r="7094" spans="28:34">
      <c r="AB7094" s="580">
        <f>HLOOKUP("*"&amp;'Output annual'!$AC$2&amp;'Output annual'!$AD$2&amp;"*Zone People Number Of Occupants [](Hourly)",'Eplus results'!$1:$1048576,ROW(),FALSE)</f>
        <v>0</v>
      </c>
      <c r="AC7094" s="580">
        <f>HLOOKUP("*"&amp;'Output annual'!$AC$2&amp;'Output annual'!$AD$2&amp;"*FangerPMV(Hourly)",'Eplus results'!$1:$1048576,ROW(),FALSE)</f>
        <v>0</v>
      </c>
      <c r="AD7094" s="580">
        <f t="shared" si="586"/>
        <v>5</v>
      </c>
      <c r="AE7094" s="580">
        <f t="shared" si="587"/>
        <v>2.5</v>
      </c>
      <c r="AF7094" s="580">
        <f t="shared" si="588"/>
        <v>2.5</v>
      </c>
      <c r="AG7094" s="580">
        <f t="shared" si="589"/>
        <v>0</v>
      </c>
      <c r="AH7094" s="580">
        <f t="shared" si="590"/>
        <v>0</v>
      </c>
    </row>
    <row r="7095" spans="28:34">
      <c r="AB7095" s="580">
        <f>HLOOKUP("*"&amp;'Output annual'!$AC$2&amp;'Output annual'!$AD$2&amp;"*Zone People Number Of Occupants [](Hourly)",'Eplus results'!$1:$1048576,ROW(),FALSE)</f>
        <v>0</v>
      </c>
      <c r="AC7095" s="580">
        <f>HLOOKUP("*"&amp;'Output annual'!$AC$2&amp;'Output annual'!$AD$2&amp;"*FangerPMV(Hourly)",'Eplus results'!$1:$1048576,ROW(),FALSE)</f>
        <v>0</v>
      </c>
      <c r="AD7095" s="580">
        <f t="shared" si="586"/>
        <v>5</v>
      </c>
      <c r="AE7095" s="580">
        <f t="shared" si="587"/>
        <v>2.5</v>
      </c>
      <c r="AF7095" s="580">
        <f t="shared" si="588"/>
        <v>2.5</v>
      </c>
      <c r="AG7095" s="580">
        <f t="shared" si="589"/>
        <v>0</v>
      </c>
      <c r="AH7095" s="580">
        <f t="shared" si="590"/>
        <v>0</v>
      </c>
    </row>
    <row r="7096" spans="28:34">
      <c r="AB7096" s="580">
        <f>HLOOKUP("*"&amp;'Output annual'!$AC$2&amp;'Output annual'!$AD$2&amp;"*Zone People Number Of Occupants [](Hourly)",'Eplus results'!$1:$1048576,ROW(),FALSE)</f>
        <v>0</v>
      </c>
      <c r="AC7096" s="580">
        <f>HLOOKUP("*"&amp;'Output annual'!$AC$2&amp;'Output annual'!$AD$2&amp;"*FangerPMV(Hourly)",'Eplus results'!$1:$1048576,ROW(),FALSE)</f>
        <v>0</v>
      </c>
      <c r="AD7096" s="580">
        <f t="shared" si="586"/>
        <v>5</v>
      </c>
      <c r="AE7096" s="580">
        <f t="shared" si="587"/>
        <v>2.5</v>
      </c>
      <c r="AF7096" s="580">
        <f t="shared" si="588"/>
        <v>2.5</v>
      </c>
      <c r="AG7096" s="580">
        <f t="shared" si="589"/>
        <v>0</v>
      </c>
      <c r="AH7096" s="580">
        <f t="shared" si="590"/>
        <v>0</v>
      </c>
    </row>
    <row r="7097" spans="28:34">
      <c r="AB7097" s="580">
        <f>HLOOKUP("*"&amp;'Output annual'!$AC$2&amp;'Output annual'!$AD$2&amp;"*Zone People Number Of Occupants [](Hourly)",'Eplus results'!$1:$1048576,ROW(),FALSE)</f>
        <v>0</v>
      </c>
      <c r="AC7097" s="580">
        <f>HLOOKUP("*"&amp;'Output annual'!$AC$2&amp;'Output annual'!$AD$2&amp;"*FangerPMV(Hourly)",'Eplus results'!$1:$1048576,ROW(),FALSE)</f>
        <v>0</v>
      </c>
      <c r="AD7097" s="580">
        <f t="shared" si="586"/>
        <v>5</v>
      </c>
      <c r="AE7097" s="580">
        <f t="shared" si="587"/>
        <v>2.5</v>
      </c>
      <c r="AF7097" s="580">
        <f t="shared" si="588"/>
        <v>2.5</v>
      </c>
      <c r="AG7097" s="580">
        <f t="shared" si="589"/>
        <v>0</v>
      </c>
      <c r="AH7097" s="580">
        <f t="shared" si="590"/>
        <v>0</v>
      </c>
    </row>
    <row r="7098" spans="28:34">
      <c r="AB7098" s="580">
        <f>HLOOKUP("*"&amp;'Output annual'!$AC$2&amp;'Output annual'!$AD$2&amp;"*Zone People Number Of Occupants [](Hourly)",'Eplus results'!$1:$1048576,ROW(),FALSE)</f>
        <v>0</v>
      </c>
      <c r="AC7098" s="580">
        <f>HLOOKUP("*"&amp;'Output annual'!$AC$2&amp;'Output annual'!$AD$2&amp;"*FangerPMV(Hourly)",'Eplus results'!$1:$1048576,ROW(),FALSE)</f>
        <v>0</v>
      </c>
      <c r="AD7098" s="580">
        <f t="shared" si="586"/>
        <v>5</v>
      </c>
      <c r="AE7098" s="580">
        <f t="shared" si="587"/>
        <v>2.5</v>
      </c>
      <c r="AF7098" s="580">
        <f t="shared" si="588"/>
        <v>2.5</v>
      </c>
      <c r="AG7098" s="580">
        <f t="shared" si="589"/>
        <v>0</v>
      </c>
      <c r="AH7098" s="580">
        <f t="shared" si="590"/>
        <v>0</v>
      </c>
    </row>
    <row r="7099" spans="28:34">
      <c r="AB7099" s="580">
        <f>HLOOKUP("*"&amp;'Output annual'!$AC$2&amp;'Output annual'!$AD$2&amp;"*Zone People Number Of Occupants [](Hourly)",'Eplus results'!$1:$1048576,ROW(),FALSE)</f>
        <v>0</v>
      </c>
      <c r="AC7099" s="580">
        <f>HLOOKUP("*"&amp;'Output annual'!$AC$2&amp;'Output annual'!$AD$2&amp;"*FangerPMV(Hourly)",'Eplus results'!$1:$1048576,ROW(),FALSE)</f>
        <v>0</v>
      </c>
      <c r="AD7099" s="580">
        <f t="shared" si="586"/>
        <v>5</v>
      </c>
      <c r="AE7099" s="580">
        <f t="shared" si="587"/>
        <v>2.5</v>
      </c>
      <c r="AF7099" s="580">
        <f t="shared" si="588"/>
        <v>2.5</v>
      </c>
      <c r="AG7099" s="580">
        <f t="shared" si="589"/>
        <v>0</v>
      </c>
      <c r="AH7099" s="580">
        <f t="shared" si="590"/>
        <v>0</v>
      </c>
    </row>
    <row r="7100" spans="28:34">
      <c r="AB7100" s="580">
        <f>HLOOKUP("*"&amp;'Output annual'!$AC$2&amp;'Output annual'!$AD$2&amp;"*Zone People Number Of Occupants [](Hourly)",'Eplus results'!$1:$1048576,ROW(),FALSE)</f>
        <v>0</v>
      </c>
      <c r="AC7100" s="580">
        <f>HLOOKUP("*"&amp;'Output annual'!$AC$2&amp;'Output annual'!$AD$2&amp;"*FangerPMV(Hourly)",'Eplus results'!$1:$1048576,ROW(),FALSE)</f>
        <v>0</v>
      </c>
      <c r="AD7100" s="580">
        <f t="shared" si="586"/>
        <v>5</v>
      </c>
      <c r="AE7100" s="580">
        <f t="shared" si="587"/>
        <v>2.5</v>
      </c>
      <c r="AF7100" s="580">
        <f t="shared" si="588"/>
        <v>2.5</v>
      </c>
      <c r="AG7100" s="580">
        <f t="shared" si="589"/>
        <v>0</v>
      </c>
      <c r="AH7100" s="580">
        <f t="shared" si="590"/>
        <v>0</v>
      </c>
    </row>
    <row r="7101" spans="28:34">
      <c r="AB7101" s="580">
        <f>HLOOKUP("*"&amp;'Output annual'!$AC$2&amp;'Output annual'!$AD$2&amp;"*Zone People Number Of Occupants [](Hourly)",'Eplus results'!$1:$1048576,ROW(),FALSE)</f>
        <v>0</v>
      </c>
      <c r="AC7101" s="580">
        <f>HLOOKUP("*"&amp;'Output annual'!$AC$2&amp;'Output annual'!$AD$2&amp;"*FangerPMV(Hourly)",'Eplus results'!$1:$1048576,ROW(),FALSE)</f>
        <v>0</v>
      </c>
      <c r="AD7101" s="580">
        <f t="shared" si="586"/>
        <v>5</v>
      </c>
      <c r="AE7101" s="580">
        <f t="shared" si="587"/>
        <v>2.5</v>
      </c>
      <c r="AF7101" s="580">
        <f t="shared" si="588"/>
        <v>2.5</v>
      </c>
      <c r="AG7101" s="580">
        <f t="shared" si="589"/>
        <v>0</v>
      </c>
      <c r="AH7101" s="580">
        <f t="shared" si="590"/>
        <v>0</v>
      </c>
    </row>
    <row r="7102" spans="28:34">
      <c r="AB7102" s="580">
        <f>HLOOKUP("*"&amp;'Output annual'!$AC$2&amp;'Output annual'!$AD$2&amp;"*Zone People Number Of Occupants [](Hourly)",'Eplus results'!$1:$1048576,ROW(),FALSE)</f>
        <v>0</v>
      </c>
      <c r="AC7102" s="580">
        <f>HLOOKUP("*"&amp;'Output annual'!$AC$2&amp;'Output annual'!$AD$2&amp;"*FangerPMV(Hourly)",'Eplus results'!$1:$1048576,ROW(),FALSE)</f>
        <v>0</v>
      </c>
      <c r="AD7102" s="580">
        <f t="shared" si="586"/>
        <v>5</v>
      </c>
      <c r="AE7102" s="580">
        <f t="shared" si="587"/>
        <v>2.5</v>
      </c>
      <c r="AF7102" s="580">
        <f t="shared" si="588"/>
        <v>2.5</v>
      </c>
      <c r="AG7102" s="580">
        <f t="shared" si="589"/>
        <v>0</v>
      </c>
      <c r="AH7102" s="580">
        <f t="shared" si="590"/>
        <v>0</v>
      </c>
    </row>
    <row r="7103" spans="28:34">
      <c r="AB7103" s="580">
        <f>HLOOKUP("*"&amp;'Output annual'!$AC$2&amp;'Output annual'!$AD$2&amp;"*Zone People Number Of Occupants [](Hourly)",'Eplus results'!$1:$1048576,ROW(),FALSE)</f>
        <v>0</v>
      </c>
      <c r="AC7103" s="580">
        <f>HLOOKUP("*"&amp;'Output annual'!$AC$2&amp;'Output annual'!$AD$2&amp;"*FangerPMV(Hourly)",'Eplus results'!$1:$1048576,ROW(),FALSE)</f>
        <v>0</v>
      </c>
      <c r="AD7103" s="580">
        <f t="shared" si="586"/>
        <v>5</v>
      </c>
      <c r="AE7103" s="580">
        <f t="shared" si="587"/>
        <v>2.5</v>
      </c>
      <c r="AF7103" s="580">
        <f t="shared" si="588"/>
        <v>2.5</v>
      </c>
      <c r="AG7103" s="580">
        <f t="shared" si="589"/>
        <v>0</v>
      </c>
      <c r="AH7103" s="580">
        <f t="shared" si="590"/>
        <v>0</v>
      </c>
    </row>
    <row r="7104" spans="28:34">
      <c r="AB7104" s="580">
        <f>HLOOKUP("*"&amp;'Output annual'!$AC$2&amp;'Output annual'!$AD$2&amp;"*Zone People Number Of Occupants [](Hourly)",'Eplus results'!$1:$1048576,ROW(),FALSE)</f>
        <v>0</v>
      </c>
      <c r="AC7104" s="580">
        <f>HLOOKUP("*"&amp;'Output annual'!$AC$2&amp;'Output annual'!$AD$2&amp;"*FangerPMV(Hourly)",'Eplus results'!$1:$1048576,ROW(),FALSE)</f>
        <v>0</v>
      </c>
      <c r="AD7104" s="580">
        <f t="shared" si="586"/>
        <v>5</v>
      </c>
      <c r="AE7104" s="580">
        <f t="shared" si="587"/>
        <v>2.5</v>
      </c>
      <c r="AF7104" s="580">
        <f t="shared" si="588"/>
        <v>2.5</v>
      </c>
      <c r="AG7104" s="580">
        <f t="shared" si="589"/>
        <v>0</v>
      </c>
      <c r="AH7104" s="580">
        <f t="shared" si="590"/>
        <v>0</v>
      </c>
    </row>
    <row r="7105" spans="28:34">
      <c r="AB7105" s="580">
        <f>HLOOKUP("*"&amp;'Output annual'!$AC$2&amp;'Output annual'!$AD$2&amp;"*Zone People Number Of Occupants [](Hourly)",'Eplus results'!$1:$1048576,ROW(),FALSE)</f>
        <v>0</v>
      </c>
      <c r="AC7105" s="580">
        <f>HLOOKUP("*"&amp;'Output annual'!$AC$2&amp;'Output annual'!$AD$2&amp;"*FangerPMV(Hourly)",'Eplus results'!$1:$1048576,ROW(),FALSE)</f>
        <v>0</v>
      </c>
      <c r="AD7105" s="580">
        <f t="shared" si="586"/>
        <v>5</v>
      </c>
      <c r="AE7105" s="580">
        <f t="shared" si="587"/>
        <v>2.5</v>
      </c>
      <c r="AF7105" s="580">
        <f t="shared" si="588"/>
        <v>2.5</v>
      </c>
      <c r="AG7105" s="580">
        <f t="shared" si="589"/>
        <v>0</v>
      </c>
      <c r="AH7105" s="580">
        <f t="shared" si="590"/>
        <v>0</v>
      </c>
    </row>
    <row r="7106" spans="28:34">
      <c r="AB7106" s="580">
        <f>HLOOKUP("*"&amp;'Output annual'!$AC$2&amp;'Output annual'!$AD$2&amp;"*Zone People Number Of Occupants [](Hourly)",'Eplus results'!$1:$1048576,ROW(),FALSE)</f>
        <v>0</v>
      </c>
      <c r="AC7106" s="580">
        <f>HLOOKUP("*"&amp;'Output annual'!$AC$2&amp;'Output annual'!$AD$2&amp;"*FangerPMV(Hourly)",'Eplus results'!$1:$1048576,ROW(),FALSE)</f>
        <v>0</v>
      </c>
      <c r="AD7106" s="580">
        <f t="shared" si="586"/>
        <v>5</v>
      </c>
      <c r="AE7106" s="580">
        <f t="shared" si="587"/>
        <v>2.5</v>
      </c>
      <c r="AF7106" s="580">
        <f t="shared" si="588"/>
        <v>2.5</v>
      </c>
      <c r="AG7106" s="580">
        <f t="shared" si="589"/>
        <v>0</v>
      </c>
      <c r="AH7106" s="580">
        <f t="shared" si="590"/>
        <v>0</v>
      </c>
    </row>
    <row r="7107" spans="28:34">
      <c r="AB7107" s="580">
        <f>HLOOKUP("*"&amp;'Output annual'!$AC$2&amp;'Output annual'!$AD$2&amp;"*Zone People Number Of Occupants [](Hourly)",'Eplus results'!$1:$1048576,ROW(),FALSE)</f>
        <v>0</v>
      </c>
      <c r="AC7107" s="580">
        <f>HLOOKUP("*"&amp;'Output annual'!$AC$2&amp;'Output annual'!$AD$2&amp;"*FangerPMV(Hourly)",'Eplus results'!$1:$1048576,ROW(),FALSE)</f>
        <v>0</v>
      </c>
      <c r="AD7107" s="580">
        <f t="shared" ref="AD7107:AD7170" si="591">100-95*EXP(-0.03353*AC7107^4-0.2179*AC7107^2)</f>
        <v>5</v>
      </c>
      <c r="AE7107" s="580">
        <f t="shared" ref="AE7107:AE7170" si="592">AD7107*(1/(1+EXP(-6.3*$AC7107)))</f>
        <v>2.5</v>
      </c>
      <c r="AF7107" s="580">
        <f t="shared" ref="AF7107:AF7170" si="593">(AD7107-AE7107)</f>
        <v>2.5</v>
      </c>
      <c r="AG7107" s="580">
        <f t="shared" ref="AG7107:AG7170" si="594">AE7107*AB7107</f>
        <v>0</v>
      </c>
      <c r="AH7107" s="580">
        <f t="shared" ref="AH7107:AH7170" si="595">AF7107*AB7107</f>
        <v>0</v>
      </c>
    </row>
    <row r="7108" spans="28:34">
      <c r="AB7108" s="580">
        <f>HLOOKUP("*"&amp;'Output annual'!$AC$2&amp;'Output annual'!$AD$2&amp;"*Zone People Number Of Occupants [](Hourly)",'Eplus results'!$1:$1048576,ROW(),FALSE)</f>
        <v>0</v>
      </c>
      <c r="AC7108" s="580">
        <f>HLOOKUP("*"&amp;'Output annual'!$AC$2&amp;'Output annual'!$AD$2&amp;"*FangerPMV(Hourly)",'Eplus results'!$1:$1048576,ROW(),FALSE)</f>
        <v>0</v>
      </c>
      <c r="AD7108" s="580">
        <f t="shared" si="591"/>
        <v>5</v>
      </c>
      <c r="AE7108" s="580">
        <f t="shared" si="592"/>
        <v>2.5</v>
      </c>
      <c r="AF7108" s="580">
        <f t="shared" si="593"/>
        <v>2.5</v>
      </c>
      <c r="AG7108" s="580">
        <f t="shared" si="594"/>
        <v>0</v>
      </c>
      <c r="AH7108" s="580">
        <f t="shared" si="595"/>
        <v>0</v>
      </c>
    </row>
    <row r="7109" spans="28:34">
      <c r="AB7109" s="580">
        <f>HLOOKUP("*"&amp;'Output annual'!$AC$2&amp;'Output annual'!$AD$2&amp;"*Zone People Number Of Occupants [](Hourly)",'Eplus results'!$1:$1048576,ROW(),FALSE)</f>
        <v>0</v>
      </c>
      <c r="AC7109" s="580">
        <f>HLOOKUP("*"&amp;'Output annual'!$AC$2&amp;'Output annual'!$AD$2&amp;"*FangerPMV(Hourly)",'Eplus results'!$1:$1048576,ROW(),FALSE)</f>
        <v>0</v>
      </c>
      <c r="AD7109" s="580">
        <f t="shared" si="591"/>
        <v>5</v>
      </c>
      <c r="AE7109" s="580">
        <f t="shared" si="592"/>
        <v>2.5</v>
      </c>
      <c r="AF7109" s="580">
        <f t="shared" si="593"/>
        <v>2.5</v>
      </c>
      <c r="AG7109" s="580">
        <f t="shared" si="594"/>
        <v>0</v>
      </c>
      <c r="AH7109" s="580">
        <f t="shared" si="595"/>
        <v>0</v>
      </c>
    </row>
    <row r="7110" spans="28:34">
      <c r="AB7110" s="580">
        <f>HLOOKUP("*"&amp;'Output annual'!$AC$2&amp;'Output annual'!$AD$2&amp;"*Zone People Number Of Occupants [](Hourly)",'Eplus results'!$1:$1048576,ROW(),FALSE)</f>
        <v>0</v>
      </c>
      <c r="AC7110" s="580">
        <f>HLOOKUP("*"&amp;'Output annual'!$AC$2&amp;'Output annual'!$AD$2&amp;"*FangerPMV(Hourly)",'Eplus results'!$1:$1048576,ROW(),FALSE)</f>
        <v>0</v>
      </c>
      <c r="AD7110" s="580">
        <f t="shared" si="591"/>
        <v>5</v>
      </c>
      <c r="AE7110" s="580">
        <f t="shared" si="592"/>
        <v>2.5</v>
      </c>
      <c r="AF7110" s="580">
        <f t="shared" si="593"/>
        <v>2.5</v>
      </c>
      <c r="AG7110" s="580">
        <f t="shared" si="594"/>
        <v>0</v>
      </c>
      <c r="AH7110" s="580">
        <f t="shared" si="595"/>
        <v>0</v>
      </c>
    </row>
    <row r="7111" spans="28:34">
      <c r="AB7111" s="580">
        <f>HLOOKUP("*"&amp;'Output annual'!$AC$2&amp;'Output annual'!$AD$2&amp;"*Zone People Number Of Occupants [](Hourly)",'Eplus results'!$1:$1048576,ROW(),FALSE)</f>
        <v>0</v>
      </c>
      <c r="AC7111" s="580">
        <f>HLOOKUP("*"&amp;'Output annual'!$AC$2&amp;'Output annual'!$AD$2&amp;"*FangerPMV(Hourly)",'Eplus results'!$1:$1048576,ROW(),FALSE)</f>
        <v>0</v>
      </c>
      <c r="AD7111" s="580">
        <f t="shared" si="591"/>
        <v>5</v>
      </c>
      <c r="AE7111" s="580">
        <f t="shared" si="592"/>
        <v>2.5</v>
      </c>
      <c r="AF7111" s="580">
        <f t="shared" si="593"/>
        <v>2.5</v>
      </c>
      <c r="AG7111" s="580">
        <f t="shared" si="594"/>
        <v>0</v>
      </c>
      <c r="AH7111" s="580">
        <f t="shared" si="595"/>
        <v>0</v>
      </c>
    </row>
    <row r="7112" spans="28:34">
      <c r="AB7112" s="580">
        <f>HLOOKUP("*"&amp;'Output annual'!$AC$2&amp;'Output annual'!$AD$2&amp;"*Zone People Number Of Occupants [](Hourly)",'Eplus results'!$1:$1048576,ROW(),FALSE)</f>
        <v>0</v>
      </c>
      <c r="AC7112" s="580">
        <f>HLOOKUP("*"&amp;'Output annual'!$AC$2&amp;'Output annual'!$AD$2&amp;"*FangerPMV(Hourly)",'Eplus results'!$1:$1048576,ROW(),FALSE)</f>
        <v>0</v>
      </c>
      <c r="AD7112" s="580">
        <f t="shared" si="591"/>
        <v>5</v>
      </c>
      <c r="AE7112" s="580">
        <f t="shared" si="592"/>
        <v>2.5</v>
      </c>
      <c r="AF7112" s="580">
        <f t="shared" si="593"/>
        <v>2.5</v>
      </c>
      <c r="AG7112" s="580">
        <f t="shared" si="594"/>
        <v>0</v>
      </c>
      <c r="AH7112" s="580">
        <f t="shared" si="595"/>
        <v>0</v>
      </c>
    </row>
    <row r="7113" spans="28:34">
      <c r="AB7113" s="580">
        <f>HLOOKUP("*"&amp;'Output annual'!$AC$2&amp;'Output annual'!$AD$2&amp;"*Zone People Number Of Occupants [](Hourly)",'Eplus results'!$1:$1048576,ROW(),FALSE)</f>
        <v>0</v>
      </c>
      <c r="AC7113" s="580">
        <f>HLOOKUP("*"&amp;'Output annual'!$AC$2&amp;'Output annual'!$AD$2&amp;"*FangerPMV(Hourly)",'Eplus results'!$1:$1048576,ROW(),FALSE)</f>
        <v>0</v>
      </c>
      <c r="AD7113" s="580">
        <f t="shared" si="591"/>
        <v>5</v>
      </c>
      <c r="AE7113" s="580">
        <f t="shared" si="592"/>
        <v>2.5</v>
      </c>
      <c r="AF7113" s="580">
        <f t="shared" si="593"/>
        <v>2.5</v>
      </c>
      <c r="AG7113" s="580">
        <f t="shared" si="594"/>
        <v>0</v>
      </c>
      <c r="AH7113" s="580">
        <f t="shared" si="595"/>
        <v>0</v>
      </c>
    </row>
    <row r="7114" spans="28:34">
      <c r="AB7114" s="580">
        <f>HLOOKUP("*"&amp;'Output annual'!$AC$2&amp;'Output annual'!$AD$2&amp;"*Zone People Number Of Occupants [](Hourly)",'Eplus results'!$1:$1048576,ROW(),FALSE)</f>
        <v>0</v>
      </c>
      <c r="AC7114" s="580">
        <f>HLOOKUP("*"&amp;'Output annual'!$AC$2&amp;'Output annual'!$AD$2&amp;"*FangerPMV(Hourly)",'Eplus results'!$1:$1048576,ROW(),FALSE)</f>
        <v>0</v>
      </c>
      <c r="AD7114" s="580">
        <f t="shared" si="591"/>
        <v>5</v>
      </c>
      <c r="AE7114" s="580">
        <f t="shared" si="592"/>
        <v>2.5</v>
      </c>
      <c r="AF7114" s="580">
        <f t="shared" si="593"/>
        <v>2.5</v>
      </c>
      <c r="AG7114" s="580">
        <f t="shared" si="594"/>
        <v>0</v>
      </c>
      <c r="AH7114" s="580">
        <f t="shared" si="595"/>
        <v>0</v>
      </c>
    </row>
    <row r="7115" spans="28:34">
      <c r="AB7115" s="580">
        <f>HLOOKUP("*"&amp;'Output annual'!$AC$2&amp;'Output annual'!$AD$2&amp;"*Zone People Number Of Occupants [](Hourly)",'Eplus results'!$1:$1048576,ROW(),FALSE)</f>
        <v>0</v>
      </c>
      <c r="AC7115" s="580">
        <f>HLOOKUP("*"&amp;'Output annual'!$AC$2&amp;'Output annual'!$AD$2&amp;"*FangerPMV(Hourly)",'Eplus results'!$1:$1048576,ROW(),FALSE)</f>
        <v>0</v>
      </c>
      <c r="AD7115" s="580">
        <f t="shared" si="591"/>
        <v>5</v>
      </c>
      <c r="AE7115" s="580">
        <f t="shared" si="592"/>
        <v>2.5</v>
      </c>
      <c r="AF7115" s="580">
        <f t="shared" si="593"/>
        <v>2.5</v>
      </c>
      <c r="AG7115" s="580">
        <f t="shared" si="594"/>
        <v>0</v>
      </c>
      <c r="AH7115" s="580">
        <f t="shared" si="595"/>
        <v>0</v>
      </c>
    </row>
    <row r="7116" spans="28:34">
      <c r="AB7116" s="580">
        <f>HLOOKUP("*"&amp;'Output annual'!$AC$2&amp;'Output annual'!$AD$2&amp;"*Zone People Number Of Occupants [](Hourly)",'Eplus results'!$1:$1048576,ROW(),FALSE)</f>
        <v>0</v>
      </c>
      <c r="AC7116" s="580">
        <f>HLOOKUP("*"&amp;'Output annual'!$AC$2&amp;'Output annual'!$AD$2&amp;"*FangerPMV(Hourly)",'Eplus results'!$1:$1048576,ROW(),FALSE)</f>
        <v>0</v>
      </c>
      <c r="AD7116" s="580">
        <f t="shared" si="591"/>
        <v>5</v>
      </c>
      <c r="AE7116" s="580">
        <f t="shared" si="592"/>
        <v>2.5</v>
      </c>
      <c r="AF7116" s="580">
        <f t="shared" si="593"/>
        <v>2.5</v>
      </c>
      <c r="AG7116" s="580">
        <f t="shared" si="594"/>
        <v>0</v>
      </c>
      <c r="AH7116" s="580">
        <f t="shared" si="595"/>
        <v>0</v>
      </c>
    </row>
    <row r="7117" spans="28:34">
      <c r="AB7117" s="580">
        <f>HLOOKUP("*"&amp;'Output annual'!$AC$2&amp;'Output annual'!$AD$2&amp;"*Zone People Number Of Occupants [](Hourly)",'Eplus results'!$1:$1048576,ROW(),FALSE)</f>
        <v>0</v>
      </c>
      <c r="AC7117" s="580">
        <f>HLOOKUP("*"&amp;'Output annual'!$AC$2&amp;'Output annual'!$AD$2&amp;"*FangerPMV(Hourly)",'Eplus results'!$1:$1048576,ROW(),FALSE)</f>
        <v>0</v>
      </c>
      <c r="AD7117" s="580">
        <f t="shared" si="591"/>
        <v>5</v>
      </c>
      <c r="AE7117" s="580">
        <f t="shared" si="592"/>
        <v>2.5</v>
      </c>
      <c r="AF7117" s="580">
        <f t="shared" si="593"/>
        <v>2.5</v>
      </c>
      <c r="AG7117" s="580">
        <f t="shared" si="594"/>
        <v>0</v>
      </c>
      <c r="AH7117" s="580">
        <f t="shared" si="595"/>
        <v>0</v>
      </c>
    </row>
    <row r="7118" spans="28:34">
      <c r="AB7118" s="580">
        <f>HLOOKUP("*"&amp;'Output annual'!$AC$2&amp;'Output annual'!$AD$2&amp;"*Zone People Number Of Occupants [](Hourly)",'Eplus results'!$1:$1048576,ROW(),FALSE)</f>
        <v>0</v>
      </c>
      <c r="AC7118" s="580">
        <f>HLOOKUP("*"&amp;'Output annual'!$AC$2&amp;'Output annual'!$AD$2&amp;"*FangerPMV(Hourly)",'Eplus results'!$1:$1048576,ROW(),FALSE)</f>
        <v>0</v>
      </c>
      <c r="AD7118" s="580">
        <f t="shared" si="591"/>
        <v>5</v>
      </c>
      <c r="AE7118" s="580">
        <f t="shared" si="592"/>
        <v>2.5</v>
      </c>
      <c r="AF7118" s="580">
        <f t="shared" si="593"/>
        <v>2.5</v>
      </c>
      <c r="AG7118" s="580">
        <f t="shared" si="594"/>
        <v>0</v>
      </c>
      <c r="AH7118" s="580">
        <f t="shared" si="595"/>
        <v>0</v>
      </c>
    </row>
    <row r="7119" spans="28:34">
      <c r="AB7119" s="580">
        <f>HLOOKUP("*"&amp;'Output annual'!$AC$2&amp;'Output annual'!$AD$2&amp;"*Zone People Number Of Occupants [](Hourly)",'Eplus results'!$1:$1048576,ROW(),FALSE)</f>
        <v>0</v>
      </c>
      <c r="AC7119" s="580">
        <f>HLOOKUP("*"&amp;'Output annual'!$AC$2&amp;'Output annual'!$AD$2&amp;"*FangerPMV(Hourly)",'Eplus results'!$1:$1048576,ROW(),FALSE)</f>
        <v>0</v>
      </c>
      <c r="AD7119" s="580">
        <f t="shared" si="591"/>
        <v>5</v>
      </c>
      <c r="AE7119" s="580">
        <f t="shared" si="592"/>
        <v>2.5</v>
      </c>
      <c r="AF7119" s="580">
        <f t="shared" si="593"/>
        <v>2.5</v>
      </c>
      <c r="AG7119" s="580">
        <f t="shared" si="594"/>
        <v>0</v>
      </c>
      <c r="AH7119" s="580">
        <f t="shared" si="595"/>
        <v>0</v>
      </c>
    </row>
    <row r="7120" spans="28:34">
      <c r="AB7120" s="580">
        <f>HLOOKUP("*"&amp;'Output annual'!$AC$2&amp;'Output annual'!$AD$2&amp;"*Zone People Number Of Occupants [](Hourly)",'Eplus results'!$1:$1048576,ROW(),FALSE)</f>
        <v>0</v>
      </c>
      <c r="AC7120" s="580">
        <f>HLOOKUP("*"&amp;'Output annual'!$AC$2&amp;'Output annual'!$AD$2&amp;"*FangerPMV(Hourly)",'Eplus results'!$1:$1048576,ROW(),FALSE)</f>
        <v>0</v>
      </c>
      <c r="AD7120" s="580">
        <f t="shared" si="591"/>
        <v>5</v>
      </c>
      <c r="AE7120" s="580">
        <f t="shared" si="592"/>
        <v>2.5</v>
      </c>
      <c r="AF7120" s="580">
        <f t="shared" si="593"/>
        <v>2.5</v>
      </c>
      <c r="AG7120" s="580">
        <f t="shared" si="594"/>
        <v>0</v>
      </c>
      <c r="AH7120" s="580">
        <f t="shared" si="595"/>
        <v>0</v>
      </c>
    </row>
    <row r="7121" spans="28:34">
      <c r="AB7121" s="580">
        <f>HLOOKUP("*"&amp;'Output annual'!$AC$2&amp;'Output annual'!$AD$2&amp;"*Zone People Number Of Occupants [](Hourly)",'Eplus results'!$1:$1048576,ROW(),FALSE)</f>
        <v>0</v>
      </c>
      <c r="AC7121" s="580">
        <f>HLOOKUP("*"&amp;'Output annual'!$AC$2&amp;'Output annual'!$AD$2&amp;"*FangerPMV(Hourly)",'Eplus results'!$1:$1048576,ROW(),FALSE)</f>
        <v>0</v>
      </c>
      <c r="AD7121" s="580">
        <f t="shared" si="591"/>
        <v>5</v>
      </c>
      <c r="AE7121" s="580">
        <f t="shared" si="592"/>
        <v>2.5</v>
      </c>
      <c r="AF7121" s="580">
        <f t="shared" si="593"/>
        <v>2.5</v>
      </c>
      <c r="AG7121" s="580">
        <f t="shared" si="594"/>
        <v>0</v>
      </c>
      <c r="AH7121" s="580">
        <f t="shared" si="595"/>
        <v>0</v>
      </c>
    </row>
    <row r="7122" spans="28:34">
      <c r="AB7122" s="580">
        <f>HLOOKUP("*"&amp;'Output annual'!$AC$2&amp;'Output annual'!$AD$2&amp;"*Zone People Number Of Occupants [](Hourly)",'Eplus results'!$1:$1048576,ROW(),FALSE)</f>
        <v>0</v>
      </c>
      <c r="AC7122" s="580">
        <f>HLOOKUP("*"&amp;'Output annual'!$AC$2&amp;'Output annual'!$AD$2&amp;"*FangerPMV(Hourly)",'Eplus results'!$1:$1048576,ROW(),FALSE)</f>
        <v>0</v>
      </c>
      <c r="AD7122" s="580">
        <f t="shared" si="591"/>
        <v>5</v>
      </c>
      <c r="AE7122" s="580">
        <f t="shared" si="592"/>
        <v>2.5</v>
      </c>
      <c r="AF7122" s="580">
        <f t="shared" si="593"/>
        <v>2.5</v>
      </c>
      <c r="AG7122" s="580">
        <f t="shared" si="594"/>
        <v>0</v>
      </c>
      <c r="AH7122" s="580">
        <f t="shared" si="595"/>
        <v>0</v>
      </c>
    </row>
    <row r="7123" spans="28:34">
      <c r="AB7123" s="580">
        <f>HLOOKUP("*"&amp;'Output annual'!$AC$2&amp;'Output annual'!$AD$2&amp;"*Zone People Number Of Occupants [](Hourly)",'Eplus results'!$1:$1048576,ROW(),FALSE)</f>
        <v>0</v>
      </c>
      <c r="AC7123" s="580">
        <f>HLOOKUP("*"&amp;'Output annual'!$AC$2&amp;'Output annual'!$AD$2&amp;"*FangerPMV(Hourly)",'Eplus results'!$1:$1048576,ROW(),FALSE)</f>
        <v>0</v>
      </c>
      <c r="AD7123" s="580">
        <f t="shared" si="591"/>
        <v>5</v>
      </c>
      <c r="AE7123" s="580">
        <f t="shared" si="592"/>
        <v>2.5</v>
      </c>
      <c r="AF7123" s="580">
        <f t="shared" si="593"/>
        <v>2.5</v>
      </c>
      <c r="AG7123" s="580">
        <f t="shared" si="594"/>
        <v>0</v>
      </c>
      <c r="AH7123" s="580">
        <f t="shared" si="595"/>
        <v>0</v>
      </c>
    </row>
    <row r="7124" spans="28:34">
      <c r="AB7124" s="580">
        <f>HLOOKUP("*"&amp;'Output annual'!$AC$2&amp;'Output annual'!$AD$2&amp;"*Zone People Number Of Occupants [](Hourly)",'Eplus results'!$1:$1048576,ROW(),FALSE)</f>
        <v>0</v>
      </c>
      <c r="AC7124" s="580">
        <f>HLOOKUP("*"&amp;'Output annual'!$AC$2&amp;'Output annual'!$AD$2&amp;"*FangerPMV(Hourly)",'Eplus results'!$1:$1048576,ROW(),FALSE)</f>
        <v>0</v>
      </c>
      <c r="AD7124" s="580">
        <f t="shared" si="591"/>
        <v>5</v>
      </c>
      <c r="AE7124" s="580">
        <f t="shared" si="592"/>
        <v>2.5</v>
      </c>
      <c r="AF7124" s="580">
        <f t="shared" si="593"/>
        <v>2.5</v>
      </c>
      <c r="AG7124" s="580">
        <f t="shared" si="594"/>
        <v>0</v>
      </c>
      <c r="AH7124" s="580">
        <f t="shared" si="595"/>
        <v>0</v>
      </c>
    </row>
    <row r="7125" spans="28:34">
      <c r="AB7125" s="580">
        <f>HLOOKUP("*"&amp;'Output annual'!$AC$2&amp;'Output annual'!$AD$2&amp;"*Zone People Number Of Occupants [](Hourly)",'Eplus results'!$1:$1048576,ROW(),FALSE)</f>
        <v>0</v>
      </c>
      <c r="AC7125" s="580">
        <f>HLOOKUP("*"&amp;'Output annual'!$AC$2&amp;'Output annual'!$AD$2&amp;"*FangerPMV(Hourly)",'Eplus results'!$1:$1048576,ROW(),FALSE)</f>
        <v>0</v>
      </c>
      <c r="AD7125" s="580">
        <f t="shared" si="591"/>
        <v>5</v>
      </c>
      <c r="AE7125" s="580">
        <f t="shared" si="592"/>
        <v>2.5</v>
      </c>
      <c r="AF7125" s="580">
        <f t="shared" si="593"/>
        <v>2.5</v>
      </c>
      <c r="AG7125" s="580">
        <f t="shared" si="594"/>
        <v>0</v>
      </c>
      <c r="AH7125" s="580">
        <f t="shared" si="595"/>
        <v>0</v>
      </c>
    </row>
    <row r="7126" spans="28:34">
      <c r="AB7126" s="580">
        <f>HLOOKUP("*"&amp;'Output annual'!$AC$2&amp;'Output annual'!$AD$2&amp;"*Zone People Number Of Occupants [](Hourly)",'Eplus results'!$1:$1048576,ROW(),FALSE)</f>
        <v>0</v>
      </c>
      <c r="AC7126" s="580">
        <f>HLOOKUP("*"&amp;'Output annual'!$AC$2&amp;'Output annual'!$AD$2&amp;"*FangerPMV(Hourly)",'Eplus results'!$1:$1048576,ROW(),FALSE)</f>
        <v>0</v>
      </c>
      <c r="AD7126" s="580">
        <f t="shared" si="591"/>
        <v>5</v>
      </c>
      <c r="AE7126" s="580">
        <f t="shared" si="592"/>
        <v>2.5</v>
      </c>
      <c r="AF7126" s="580">
        <f t="shared" si="593"/>
        <v>2.5</v>
      </c>
      <c r="AG7126" s="580">
        <f t="shared" si="594"/>
        <v>0</v>
      </c>
      <c r="AH7126" s="580">
        <f t="shared" si="595"/>
        <v>0</v>
      </c>
    </row>
    <row r="7127" spans="28:34">
      <c r="AB7127" s="580">
        <f>HLOOKUP("*"&amp;'Output annual'!$AC$2&amp;'Output annual'!$AD$2&amp;"*Zone People Number Of Occupants [](Hourly)",'Eplus results'!$1:$1048576,ROW(),FALSE)</f>
        <v>0</v>
      </c>
      <c r="AC7127" s="580">
        <f>HLOOKUP("*"&amp;'Output annual'!$AC$2&amp;'Output annual'!$AD$2&amp;"*FangerPMV(Hourly)",'Eplus results'!$1:$1048576,ROW(),FALSE)</f>
        <v>0</v>
      </c>
      <c r="AD7127" s="580">
        <f t="shared" si="591"/>
        <v>5</v>
      </c>
      <c r="AE7127" s="580">
        <f t="shared" si="592"/>
        <v>2.5</v>
      </c>
      <c r="AF7127" s="580">
        <f t="shared" si="593"/>
        <v>2.5</v>
      </c>
      <c r="AG7127" s="580">
        <f t="shared" si="594"/>
        <v>0</v>
      </c>
      <c r="AH7127" s="580">
        <f t="shared" si="595"/>
        <v>0</v>
      </c>
    </row>
    <row r="7128" spans="28:34">
      <c r="AB7128" s="580">
        <f>HLOOKUP("*"&amp;'Output annual'!$AC$2&amp;'Output annual'!$AD$2&amp;"*Zone People Number Of Occupants [](Hourly)",'Eplus results'!$1:$1048576,ROW(),FALSE)</f>
        <v>0</v>
      </c>
      <c r="AC7128" s="580">
        <f>HLOOKUP("*"&amp;'Output annual'!$AC$2&amp;'Output annual'!$AD$2&amp;"*FangerPMV(Hourly)",'Eplus results'!$1:$1048576,ROW(),FALSE)</f>
        <v>0</v>
      </c>
      <c r="AD7128" s="580">
        <f t="shared" si="591"/>
        <v>5</v>
      </c>
      <c r="AE7128" s="580">
        <f t="shared" si="592"/>
        <v>2.5</v>
      </c>
      <c r="AF7128" s="580">
        <f t="shared" si="593"/>
        <v>2.5</v>
      </c>
      <c r="AG7128" s="580">
        <f t="shared" si="594"/>
        <v>0</v>
      </c>
      <c r="AH7128" s="580">
        <f t="shared" si="595"/>
        <v>0</v>
      </c>
    </row>
    <row r="7129" spans="28:34">
      <c r="AB7129" s="580">
        <f>HLOOKUP("*"&amp;'Output annual'!$AC$2&amp;'Output annual'!$AD$2&amp;"*Zone People Number Of Occupants [](Hourly)",'Eplus results'!$1:$1048576,ROW(),FALSE)</f>
        <v>0</v>
      </c>
      <c r="AC7129" s="580">
        <f>HLOOKUP("*"&amp;'Output annual'!$AC$2&amp;'Output annual'!$AD$2&amp;"*FangerPMV(Hourly)",'Eplus results'!$1:$1048576,ROW(),FALSE)</f>
        <v>0</v>
      </c>
      <c r="AD7129" s="580">
        <f t="shared" si="591"/>
        <v>5</v>
      </c>
      <c r="AE7129" s="580">
        <f t="shared" si="592"/>
        <v>2.5</v>
      </c>
      <c r="AF7129" s="580">
        <f t="shared" si="593"/>
        <v>2.5</v>
      </c>
      <c r="AG7129" s="580">
        <f t="shared" si="594"/>
        <v>0</v>
      </c>
      <c r="AH7129" s="580">
        <f t="shared" si="595"/>
        <v>0</v>
      </c>
    </row>
    <row r="7130" spans="28:34">
      <c r="AB7130" s="580">
        <f>HLOOKUP("*"&amp;'Output annual'!$AC$2&amp;'Output annual'!$AD$2&amp;"*Zone People Number Of Occupants [](Hourly)",'Eplus results'!$1:$1048576,ROW(),FALSE)</f>
        <v>0</v>
      </c>
      <c r="AC7130" s="580">
        <f>HLOOKUP("*"&amp;'Output annual'!$AC$2&amp;'Output annual'!$AD$2&amp;"*FangerPMV(Hourly)",'Eplus results'!$1:$1048576,ROW(),FALSE)</f>
        <v>0</v>
      </c>
      <c r="AD7130" s="580">
        <f t="shared" si="591"/>
        <v>5</v>
      </c>
      <c r="AE7130" s="580">
        <f t="shared" si="592"/>
        <v>2.5</v>
      </c>
      <c r="AF7130" s="580">
        <f t="shared" si="593"/>
        <v>2.5</v>
      </c>
      <c r="AG7130" s="580">
        <f t="shared" si="594"/>
        <v>0</v>
      </c>
      <c r="AH7130" s="580">
        <f t="shared" si="595"/>
        <v>0</v>
      </c>
    </row>
    <row r="7131" spans="28:34">
      <c r="AB7131" s="580">
        <f>HLOOKUP("*"&amp;'Output annual'!$AC$2&amp;'Output annual'!$AD$2&amp;"*Zone People Number Of Occupants [](Hourly)",'Eplus results'!$1:$1048576,ROW(),FALSE)</f>
        <v>0</v>
      </c>
      <c r="AC7131" s="580">
        <f>HLOOKUP("*"&amp;'Output annual'!$AC$2&amp;'Output annual'!$AD$2&amp;"*FangerPMV(Hourly)",'Eplus results'!$1:$1048576,ROW(),FALSE)</f>
        <v>0</v>
      </c>
      <c r="AD7131" s="580">
        <f t="shared" si="591"/>
        <v>5</v>
      </c>
      <c r="AE7131" s="580">
        <f t="shared" si="592"/>
        <v>2.5</v>
      </c>
      <c r="AF7131" s="580">
        <f t="shared" si="593"/>
        <v>2.5</v>
      </c>
      <c r="AG7131" s="580">
        <f t="shared" si="594"/>
        <v>0</v>
      </c>
      <c r="AH7131" s="580">
        <f t="shared" si="595"/>
        <v>0</v>
      </c>
    </row>
    <row r="7132" spans="28:34">
      <c r="AB7132" s="580">
        <f>HLOOKUP("*"&amp;'Output annual'!$AC$2&amp;'Output annual'!$AD$2&amp;"*Zone People Number Of Occupants [](Hourly)",'Eplus results'!$1:$1048576,ROW(),FALSE)</f>
        <v>0</v>
      </c>
      <c r="AC7132" s="580">
        <f>HLOOKUP("*"&amp;'Output annual'!$AC$2&amp;'Output annual'!$AD$2&amp;"*FangerPMV(Hourly)",'Eplus results'!$1:$1048576,ROW(),FALSE)</f>
        <v>0</v>
      </c>
      <c r="AD7132" s="580">
        <f t="shared" si="591"/>
        <v>5</v>
      </c>
      <c r="AE7132" s="580">
        <f t="shared" si="592"/>
        <v>2.5</v>
      </c>
      <c r="AF7132" s="580">
        <f t="shared" si="593"/>
        <v>2.5</v>
      </c>
      <c r="AG7132" s="580">
        <f t="shared" si="594"/>
        <v>0</v>
      </c>
      <c r="AH7132" s="580">
        <f t="shared" si="595"/>
        <v>0</v>
      </c>
    </row>
    <row r="7133" spans="28:34">
      <c r="AB7133" s="580">
        <f>HLOOKUP("*"&amp;'Output annual'!$AC$2&amp;'Output annual'!$AD$2&amp;"*Zone People Number Of Occupants [](Hourly)",'Eplus results'!$1:$1048576,ROW(),FALSE)</f>
        <v>0</v>
      </c>
      <c r="AC7133" s="580">
        <f>HLOOKUP("*"&amp;'Output annual'!$AC$2&amp;'Output annual'!$AD$2&amp;"*FangerPMV(Hourly)",'Eplus results'!$1:$1048576,ROW(),FALSE)</f>
        <v>0</v>
      </c>
      <c r="AD7133" s="580">
        <f t="shared" si="591"/>
        <v>5</v>
      </c>
      <c r="AE7133" s="580">
        <f t="shared" si="592"/>
        <v>2.5</v>
      </c>
      <c r="AF7133" s="580">
        <f t="shared" si="593"/>
        <v>2.5</v>
      </c>
      <c r="AG7133" s="580">
        <f t="shared" si="594"/>
        <v>0</v>
      </c>
      <c r="AH7133" s="580">
        <f t="shared" si="595"/>
        <v>0</v>
      </c>
    </row>
    <row r="7134" spans="28:34">
      <c r="AB7134" s="580">
        <f>HLOOKUP("*"&amp;'Output annual'!$AC$2&amp;'Output annual'!$AD$2&amp;"*Zone People Number Of Occupants [](Hourly)",'Eplus results'!$1:$1048576,ROW(),FALSE)</f>
        <v>0</v>
      </c>
      <c r="AC7134" s="580">
        <f>HLOOKUP("*"&amp;'Output annual'!$AC$2&amp;'Output annual'!$AD$2&amp;"*FangerPMV(Hourly)",'Eplus results'!$1:$1048576,ROW(),FALSE)</f>
        <v>0</v>
      </c>
      <c r="AD7134" s="580">
        <f t="shared" si="591"/>
        <v>5</v>
      </c>
      <c r="AE7134" s="580">
        <f t="shared" si="592"/>
        <v>2.5</v>
      </c>
      <c r="AF7134" s="580">
        <f t="shared" si="593"/>
        <v>2.5</v>
      </c>
      <c r="AG7134" s="580">
        <f t="shared" si="594"/>
        <v>0</v>
      </c>
      <c r="AH7134" s="580">
        <f t="shared" si="595"/>
        <v>0</v>
      </c>
    </row>
    <row r="7135" spans="28:34">
      <c r="AB7135" s="580">
        <f>HLOOKUP("*"&amp;'Output annual'!$AC$2&amp;'Output annual'!$AD$2&amp;"*Zone People Number Of Occupants [](Hourly)",'Eplus results'!$1:$1048576,ROW(),FALSE)</f>
        <v>0</v>
      </c>
      <c r="AC7135" s="580">
        <f>HLOOKUP("*"&amp;'Output annual'!$AC$2&amp;'Output annual'!$AD$2&amp;"*FangerPMV(Hourly)",'Eplus results'!$1:$1048576,ROW(),FALSE)</f>
        <v>0</v>
      </c>
      <c r="AD7135" s="580">
        <f t="shared" si="591"/>
        <v>5</v>
      </c>
      <c r="AE7135" s="580">
        <f t="shared" si="592"/>
        <v>2.5</v>
      </c>
      <c r="AF7135" s="580">
        <f t="shared" si="593"/>
        <v>2.5</v>
      </c>
      <c r="AG7135" s="580">
        <f t="shared" si="594"/>
        <v>0</v>
      </c>
      <c r="AH7135" s="580">
        <f t="shared" si="595"/>
        <v>0</v>
      </c>
    </row>
    <row r="7136" spans="28:34">
      <c r="AB7136" s="580">
        <f>HLOOKUP("*"&amp;'Output annual'!$AC$2&amp;'Output annual'!$AD$2&amp;"*Zone People Number Of Occupants [](Hourly)",'Eplus results'!$1:$1048576,ROW(),FALSE)</f>
        <v>0</v>
      </c>
      <c r="AC7136" s="580">
        <f>HLOOKUP("*"&amp;'Output annual'!$AC$2&amp;'Output annual'!$AD$2&amp;"*FangerPMV(Hourly)",'Eplus results'!$1:$1048576,ROW(),FALSE)</f>
        <v>0</v>
      </c>
      <c r="AD7136" s="580">
        <f t="shared" si="591"/>
        <v>5</v>
      </c>
      <c r="AE7136" s="580">
        <f t="shared" si="592"/>
        <v>2.5</v>
      </c>
      <c r="AF7136" s="580">
        <f t="shared" si="593"/>
        <v>2.5</v>
      </c>
      <c r="AG7136" s="580">
        <f t="shared" si="594"/>
        <v>0</v>
      </c>
      <c r="AH7136" s="580">
        <f t="shared" si="595"/>
        <v>0</v>
      </c>
    </row>
    <row r="7137" spans="28:34">
      <c r="AB7137" s="580">
        <f>HLOOKUP("*"&amp;'Output annual'!$AC$2&amp;'Output annual'!$AD$2&amp;"*Zone People Number Of Occupants [](Hourly)",'Eplus results'!$1:$1048576,ROW(),FALSE)</f>
        <v>0</v>
      </c>
      <c r="AC7137" s="580">
        <f>HLOOKUP("*"&amp;'Output annual'!$AC$2&amp;'Output annual'!$AD$2&amp;"*FangerPMV(Hourly)",'Eplus results'!$1:$1048576,ROW(),FALSE)</f>
        <v>0</v>
      </c>
      <c r="AD7137" s="580">
        <f t="shared" si="591"/>
        <v>5</v>
      </c>
      <c r="AE7137" s="580">
        <f t="shared" si="592"/>
        <v>2.5</v>
      </c>
      <c r="AF7137" s="580">
        <f t="shared" si="593"/>
        <v>2.5</v>
      </c>
      <c r="AG7137" s="580">
        <f t="shared" si="594"/>
        <v>0</v>
      </c>
      <c r="AH7137" s="580">
        <f t="shared" si="595"/>
        <v>0</v>
      </c>
    </row>
    <row r="7138" spans="28:34">
      <c r="AB7138" s="580">
        <f>HLOOKUP("*"&amp;'Output annual'!$AC$2&amp;'Output annual'!$AD$2&amp;"*Zone People Number Of Occupants [](Hourly)",'Eplus results'!$1:$1048576,ROW(),FALSE)</f>
        <v>0</v>
      </c>
      <c r="AC7138" s="580">
        <f>HLOOKUP("*"&amp;'Output annual'!$AC$2&amp;'Output annual'!$AD$2&amp;"*FangerPMV(Hourly)",'Eplus results'!$1:$1048576,ROW(),FALSE)</f>
        <v>0</v>
      </c>
      <c r="AD7138" s="580">
        <f t="shared" si="591"/>
        <v>5</v>
      </c>
      <c r="AE7138" s="580">
        <f t="shared" si="592"/>
        <v>2.5</v>
      </c>
      <c r="AF7138" s="580">
        <f t="shared" si="593"/>
        <v>2.5</v>
      </c>
      <c r="AG7138" s="580">
        <f t="shared" si="594"/>
        <v>0</v>
      </c>
      <c r="AH7138" s="580">
        <f t="shared" si="595"/>
        <v>0</v>
      </c>
    </row>
    <row r="7139" spans="28:34">
      <c r="AB7139" s="580">
        <f>HLOOKUP("*"&amp;'Output annual'!$AC$2&amp;'Output annual'!$AD$2&amp;"*Zone People Number Of Occupants [](Hourly)",'Eplus results'!$1:$1048576,ROW(),FALSE)</f>
        <v>0</v>
      </c>
      <c r="AC7139" s="580">
        <f>HLOOKUP("*"&amp;'Output annual'!$AC$2&amp;'Output annual'!$AD$2&amp;"*FangerPMV(Hourly)",'Eplus results'!$1:$1048576,ROW(),FALSE)</f>
        <v>0</v>
      </c>
      <c r="AD7139" s="580">
        <f t="shared" si="591"/>
        <v>5</v>
      </c>
      <c r="AE7139" s="580">
        <f t="shared" si="592"/>
        <v>2.5</v>
      </c>
      <c r="AF7139" s="580">
        <f t="shared" si="593"/>
        <v>2.5</v>
      </c>
      <c r="AG7139" s="580">
        <f t="shared" si="594"/>
        <v>0</v>
      </c>
      <c r="AH7139" s="580">
        <f t="shared" si="595"/>
        <v>0</v>
      </c>
    </row>
    <row r="7140" spans="28:34">
      <c r="AB7140" s="580">
        <f>HLOOKUP("*"&amp;'Output annual'!$AC$2&amp;'Output annual'!$AD$2&amp;"*Zone People Number Of Occupants [](Hourly)",'Eplus results'!$1:$1048576,ROW(),FALSE)</f>
        <v>0</v>
      </c>
      <c r="AC7140" s="580">
        <f>HLOOKUP("*"&amp;'Output annual'!$AC$2&amp;'Output annual'!$AD$2&amp;"*FangerPMV(Hourly)",'Eplus results'!$1:$1048576,ROW(),FALSE)</f>
        <v>0</v>
      </c>
      <c r="AD7140" s="580">
        <f t="shared" si="591"/>
        <v>5</v>
      </c>
      <c r="AE7140" s="580">
        <f t="shared" si="592"/>
        <v>2.5</v>
      </c>
      <c r="AF7140" s="580">
        <f t="shared" si="593"/>
        <v>2.5</v>
      </c>
      <c r="AG7140" s="580">
        <f t="shared" si="594"/>
        <v>0</v>
      </c>
      <c r="AH7140" s="580">
        <f t="shared" si="595"/>
        <v>0</v>
      </c>
    </row>
    <row r="7141" spans="28:34">
      <c r="AB7141" s="580">
        <f>HLOOKUP("*"&amp;'Output annual'!$AC$2&amp;'Output annual'!$AD$2&amp;"*Zone People Number Of Occupants [](Hourly)",'Eplus results'!$1:$1048576,ROW(),FALSE)</f>
        <v>0</v>
      </c>
      <c r="AC7141" s="580">
        <f>HLOOKUP("*"&amp;'Output annual'!$AC$2&amp;'Output annual'!$AD$2&amp;"*FangerPMV(Hourly)",'Eplus results'!$1:$1048576,ROW(),FALSE)</f>
        <v>0</v>
      </c>
      <c r="AD7141" s="580">
        <f t="shared" si="591"/>
        <v>5</v>
      </c>
      <c r="AE7141" s="580">
        <f t="shared" si="592"/>
        <v>2.5</v>
      </c>
      <c r="AF7141" s="580">
        <f t="shared" si="593"/>
        <v>2.5</v>
      </c>
      <c r="AG7141" s="580">
        <f t="shared" si="594"/>
        <v>0</v>
      </c>
      <c r="AH7141" s="580">
        <f t="shared" si="595"/>
        <v>0</v>
      </c>
    </row>
    <row r="7142" spans="28:34">
      <c r="AB7142" s="580">
        <f>HLOOKUP("*"&amp;'Output annual'!$AC$2&amp;'Output annual'!$AD$2&amp;"*Zone People Number Of Occupants [](Hourly)",'Eplus results'!$1:$1048576,ROW(),FALSE)</f>
        <v>0</v>
      </c>
      <c r="AC7142" s="580">
        <f>HLOOKUP("*"&amp;'Output annual'!$AC$2&amp;'Output annual'!$AD$2&amp;"*FangerPMV(Hourly)",'Eplus results'!$1:$1048576,ROW(),FALSE)</f>
        <v>0</v>
      </c>
      <c r="AD7142" s="580">
        <f t="shared" si="591"/>
        <v>5</v>
      </c>
      <c r="AE7142" s="580">
        <f t="shared" si="592"/>
        <v>2.5</v>
      </c>
      <c r="AF7142" s="580">
        <f t="shared" si="593"/>
        <v>2.5</v>
      </c>
      <c r="AG7142" s="580">
        <f t="shared" si="594"/>
        <v>0</v>
      </c>
      <c r="AH7142" s="580">
        <f t="shared" si="595"/>
        <v>0</v>
      </c>
    </row>
    <row r="7143" spans="28:34">
      <c r="AB7143" s="580">
        <f>HLOOKUP("*"&amp;'Output annual'!$AC$2&amp;'Output annual'!$AD$2&amp;"*Zone People Number Of Occupants [](Hourly)",'Eplus results'!$1:$1048576,ROW(),FALSE)</f>
        <v>0</v>
      </c>
      <c r="AC7143" s="580">
        <f>HLOOKUP("*"&amp;'Output annual'!$AC$2&amp;'Output annual'!$AD$2&amp;"*FangerPMV(Hourly)",'Eplus results'!$1:$1048576,ROW(),FALSE)</f>
        <v>0</v>
      </c>
      <c r="AD7143" s="580">
        <f t="shared" si="591"/>
        <v>5</v>
      </c>
      <c r="AE7143" s="580">
        <f t="shared" si="592"/>
        <v>2.5</v>
      </c>
      <c r="AF7143" s="580">
        <f t="shared" si="593"/>
        <v>2.5</v>
      </c>
      <c r="AG7143" s="580">
        <f t="shared" si="594"/>
        <v>0</v>
      </c>
      <c r="AH7143" s="580">
        <f t="shared" si="595"/>
        <v>0</v>
      </c>
    </row>
    <row r="7144" spans="28:34">
      <c r="AB7144" s="580">
        <f>HLOOKUP("*"&amp;'Output annual'!$AC$2&amp;'Output annual'!$AD$2&amp;"*Zone People Number Of Occupants [](Hourly)",'Eplus results'!$1:$1048576,ROW(),FALSE)</f>
        <v>0</v>
      </c>
      <c r="AC7144" s="580">
        <f>HLOOKUP("*"&amp;'Output annual'!$AC$2&amp;'Output annual'!$AD$2&amp;"*FangerPMV(Hourly)",'Eplus results'!$1:$1048576,ROW(),FALSE)</f>
        <v>0</v>
      </c>
      <c r="AD7144" s="580">
        <f t="shared" si="591"/>
        <v>5</v>
      </c>
      <c r="AE7144" s="580">
        <f t="shared" si="592"/>
        <v>2.5</v>
      </c>
      <c r="AF7144" s="580">
        <f t="shared" si="593"/>
        <v>2.5</v>
      </c>
      <c r="AG7144" s="580">
        <f t="shared" si="594"/>
        <v>0</v>
      </c>
      <c r="AH7144" s="580">
        <f t="shared" si="595"/>
        <v>0</v>
      </c>
    </row>
    <row r="7145" spans="28:34">
      <c r="AB7145" s="580">
        <f>HLOOKUP("*"&amp;'Output annual'!$AC$2&amp;'Output annual'!$AD$2&amp;"*Zone People Number Of Occupants [](Hourly)",'Eplus results'!$1:$1048576,ROW(),FALSE)</f>
        <v>0</v>
      </c>
      <c r="AC7145" s="580">
        <f>HLOOKUP("*"&amp;'Output annual'!$AC$2&amp;'Output annual'!$AD$2&amp;"*FangerPMV(Hourly)",'Eplus results'!$1:$1048576,ROW(),FALSE)</f>
        <v>0</v>
      </c>
      <c r="AD7145" s="580">
        <f t="shared" si="591"/>
        <v>5</v>
      </c>
      <c r="AE7145" s="580">
        <f t="shared" si="592"/>
        <v>2.5</v>
      </c>
      <c r="AF7145" s="580">
        <f t="shared" si="593"/>
        <v>2.5</v>
      </c>
      <c r="AG7145" s="580">
        <f t="shared" si="594"/>
        <v>0</v>
      </c>
      <c r="AH7145" s="580">
        <f t="shared" si="595"/>
        <v>0</v>
      </c>
    </row>
    <row r="7146" spans="28:34">
      <c r="AB7146" s="580">
        <f>HLOOKUP("*"&amp;'Output annual'!$AC$2&amp;'Output annual'!$AD$2&amp;"*Zone People Number Of Occupants [](Hourly)",'Eplus results'!$1:$1048576,ROW(),FALSE)</f>
        <v>0</v>
      </c>
      <c r="AC7146" s="580">
        <f>HLOOKUP("*"&amp;'Output annual'!$AC$2&amp;'Output annual'!$AD$2&amp;"*FangerPMV(Hourly)",'Eplus results'!$1:$1048576,ROW(),FALSE)</f>
        <v>0</v>
      </c>
      <c r="AD7146" s="580">
        <f t="shared" si="591"/>
        <v>5</v>
      </c>
      <c r="AE7146" s="580">
        <f t="shared" si="592"/>
        <v>2.5</v>
      </c>
      <c r="AF7146" s="580">
        <f t="shared" si="593"/>
        <v>2.5</v>
      </c>
      <c r="AG7146" s="580">
        <f t="shared" si="594"/>
        <v>0</v>
      </c>
      <c r="AH7146" s="580">
        <f t="shared" si="595"/>
        <v>0</v>
      </c>
    </row>
    <row r="7147" spans="28:34">
      <c r="AB7147" s="580">
        <f>HLOOKUP("*"&amp;'Output annual'!$AC$2&amp;'Output annual'!$AD$2&amp;"*Zone People Number Of Occupants [](Hourly)",'Eplus results'!$1:$1048576,ROW(),FALSE)</f>
        <v>0</v>
      </c>
      <c r="AC7147" s="580">
        <f>HLOOKUP("*"&amp;'Output annual'!$AC$2&amp;'Output annual'!$AD$2&amp;"*FangerPMV(Hourly)",'Eplus results'!$1:$1048576,ROW(),FALSE)</f>
        <v>0</v>
      </c>
      <c r="AD7147" s="580">
        <f t="shared" si="591"/>
        <v>5</v>
      </c>
      <c r="AE7147" s="580">
        <f t="shared" si="592"/>
        <v>2.5</v>
      </c>
      <c r="AF7147" s="580">
        <f t="shared" si="593"/>
        <v>2.5</v>
      </c>
      <c r="AG7147" s="580">
        <f t="shared" si="594"/>
        <v>0</v>
      </c>
      <c r="AH7147" s="580">
        <f t="shared" si="595"/>
        <v>0</v>
      </c>
    </row>
    <row r="7148" spans="28:34">
      <c r="AB7148" s="580">
        <f>HLOOKUP("*"&amp;'Output annual'!$AC$2&amp;'Output annual'!$AD$2&amp;"*Zone People Number Of Occupants [](Hourly)",'Eplus results'!$1:$1048576,ROW(),FALSE)</f>
        <v>0</v>
      </c>
      <c r="AC7148" s="580">
        <f>HLOOKUP("*"&amp;'Output annual'!$AC$2&amp;'Output annual'!$AD$2&amp;"*FangerPMV(Hourly)",'Eplus results'!$1:$1048576,ROW(),FALSE)</f>
        <v>0</v>
      </c>
      <c r="AD7148" s="580">
        <f t="shared" si="591"/>
        <v>5</v>
      </c>
      <c r="AE7148" s="580">
        <f t="shared" si="592"/>
        <v>2.5</v>
      </c>
      <c r="AF7148" s="580">
        <f t="shared" si="593"/>
        <v>2.5</v>
      </c>
      <c r="AG7148" s="580">
        <f t="shared" si="594"/>
        <v>0</v>
      </c>
      <c r="AH7148" s="580">
        <f t="shared" si="595"/>
        <v>0</v>
      </c>
    </row>
    <row r="7149" spans="28:34">
      <c r="AB7149" s="580">
        <f>HLOOKUP("*"&amp;'Output annual'!$AC$2&amp;'Output annual'!$AD$2&amp;"*Zone People Number Of Occupants [](Hourly)",'Eplus results'!$1:$1048576,ROW(),FALSE)</f>
        <v>0</v>
      </c>
      <c r="AC7149" s="580">
        <f>HLOOKUP("*"&amp;'Output annual'!$AC$2&amp;'Output annual'!$AD$2&amp;"*FangerPMV(Hourly)",'Eplus results'!$1:$1048576,ROW(),FALSE)</f>
        <v>0</v>
      </c>
      <c r="AD7149" s="580">
        <f t="shared" si="591"/>
        <v>5</v>
      </c>
      <c r="AE7149" s="580">
        <f t="shared" si="592"/>
        <v>2.5</v>
      </c>
      <c r="AF7149" s="580">
        <f t="shared" si="593"/>
        <v>2.5</v>
      </c>
      <c r="AG7149" s="580">
        <f t="shared" si="594"/>
        <v>0</v>
      </c>
      <c r="AH7149" s="580">
        <f t="shared" si="595"/>
        <v>0</v>
      </c>
    </row>
    <row r="7150" spans="28:34">
      <c r="AB7150" s="580">
        <f>HLOOKUP("*"&amp;'Output annual'!$AC$2&amp;'Output annual'!$AD$2&amp;"*Zone People Number Of Occupants [](Hourly)",'Eplus results'!$1:$1048576,ROW(),FALSE)</f>
        <v>0</v>
      </c>
      <c r="AC7150" s="580">
        <f>HLOOKUP("*"&amp;'Output annual'!$AC$2&amp;'Output annual'!$AD$2&amp;"*FangerPMV(Hourly)",'Eplus results'!$1:$1048576,ROW(),FALSE)</f>
        <v>0</v>
      </c>
      <c r="AD7150" s="580">
        <f t="shared" si="591"/>
        <v>5</v>
      </c>
      <c r="AE7150" s="580">
        <f t="shared" si="592"/>
        <v>2.5</v>
      </c>
      <c r="AF7150" s="580">
        <f t="shared" si="593"/>
        <v>2.5</v>
      </c>
      <c r="AG7150" s="580">
        <f t="shared" si="594"/>
        <v>0</v>
      </c>
      <c r="AH7150" s="580">
        <f t="shared" si="595"/>
        <v>0</v>
      </c>
    </row>
    <row r="7151" spans="28:34">
      <c r="AB7151" s="580">
        <f>HLOOKUP("*"&amp;'Output annual'!$AC$2&amp;'Output annual'!$AD$2&amp;"*Zone People Number Of Occupants [](Hourly)",'Eplus results'!$1:$1048576,ROW(),FALSE)</f>
        <v>0</v>
      </c>
      <c r="AC7151" s="580">
        <f>HLOOKUP("*"&amp;'Output annual'!$AC$2&amp;'Output annual'!$AD$2&amp;"*FangerPMV(Hourly)",'Eplus results'!$1:$1048576,ROW(),FALSE)</f>
        <v>0</v>
      </c>
      <c r="AD7151" s="580">
        <f t="shared" si="591"/>
        <v>5</v>
      </c>
      <c r="AE7151" s="580">
        <f t="shared" si="592"/>
        <v>2.5</v>
      </c>
      <c r="AF7151" s="580">
        <f t="shared" si="593"/>
        <v>2.5</v>
      </c>
      <c r="AG7151" s="580">
        <f t="shared" si="594"/>
        <v>0</v>
      </c>
      <c r="AH7151" s="580">
        <f t="shared" si="595"/>
        <v>0</v>
      </c>
    </row>
    <row r="7152" spans="28:34">
      <c r="AB7152" s="580">
        <f>HLOOKUP("*"&amp;'Output annual'!$AC$2&amp;'Output annual'!$AD$2&amp;"*Zone People Number Of Occupants [](Hourly)",'Eplus results'!$1:$1048576,ROW(),FALSE)</f>
        <v>0</v>
      </c>
      <c r="AC7152" s="580">
        <f>HLOOKUP("*"&amp;'Output annual'!$AC$2&amp;'Output annual'!$AD$2&amp;"*FangerPMV(Hourly)",'Eplus results'!$1:$1048576,ROW(),FALSE)</f>
        <v>0</v>
      </c>
      <c r="AD7152" s="580">
        <f t="shared" si="591"/>
        <v>5</v>
      </c>
      <c r="AE7152" s="580">
        <f t="shared" si="592"/>
        <v>2.5</v>
      </c>
      <c r="AF7152" s="580">
        <f t="shared" si="593"/>
        <v>2.5</v>
      </c>
      <c r="AG7152" s="580">
        <f t="shared" si="594"/>
        <v>0</v>
      </c>
      <c r="AH7152" s="580">
        <f t="shared" si="595"/>
        <v>0</v>
      </c>
    </row>
    <row r="7153" spans="28:34">
      <c r="AB7153" s="580">
        <f>HLOOKUP("*"&amp;'Output annual'!$AC$2&amp;'Output annual'!$AD$2&amp;"*Zone People Number Of Occupants [](Hourly)",'Eplus results'!$1:$1048576,ROW(),FALSE)</f>
        <v>0</v>
      </c>
      <c r="AC7153" s="580">
        <f>HLOOKUP("*"&amp;'Output annual'!$AC$2&amp;'Output annual'!$AD$2&amp;"*FangerPMV(Hourly)",'Eplus results'!$1:$1048576,ROW(),FALSE)</f>
        <v>0</v>
      </c>
      <c r="AD7153" s="580">
        <f t="shared" si="591"/>
        <v>5</v>
      </c>
      <c r="AE7153" s="580">
        <f t="shared" si="592"/>
        <v>2.5</v>
      </c>
      <c r="AF7153" s="580">
        <f t="shared" si="593"/>
        <v>2.5</v>
      </c>
      <c r="AG7153" s="580">
        <f t="shared" si="594"/>
        <v>0</v>
      </c>
      <c r="AH7153" s="580">
        <f t="shared" si="595"/>
        <v>0</v>
      </c>
    </row>
    <row r="7154" spans="28:34">
      <c r="AB7154" s="580">
        <f>HLOOKUP("*"&amp;'Output annual'!$AC$2&amp;'Output annual'!$AD$2&amp;"*Zone People Number Of Occupants [](Hourly)",'Eplus results'!$1:$1048576,ROW(),FALSE)</f>
        <v>0</v>
      </c>
      <c r="AC7154" s="580">
        <f>HLOOKUP("*"&amp;'Output annual'!$AC$2&amp;'Output annual'!$AD$2&amp;"*FangerPMV(Hourly)",'Eplus results'!$1:$1048576,ROW(),FALSE)</f>
        <v>0</v>
      </c>
      <c r="AD7154" s="580">
        <f t="shared" si="591"/>
        <v>5</v>
      </c>
      <c r="AE7154" s="580">
        <f t="shared" si="592"/>
        <v>2.5</v>
      </c>
      <c r="AF7154" s="580">
        <f t="shared" si="593"/>
        <v>2.5</v>
      </c>
      <c r="AG7154" s="580">
        <f t="shared" si="594"/>
        <v>0</v>
      </c>
      <c r="AH7154" s="580">
        <f t="shared" si="595"/>
        <v>0</v>
      </c>
    </row>
    <row r="7155" spans="28:34">
      <c r="AB7155" s="580">
        <f>HLOOKUP("*"&amp;'Output annual'!$AC$2&amp;'Output annual'!$AD$2&amp;"*Zone People Number Of Occupants [](Hourly)",'Eplus results'!$1:$1048576,ROW(),FALSE)</f>
        <v>0</v>
      </c>
      <c r="AC7155" s="580">
        <f>HLOOKUP("*"&amp;'Output annual'!$AC$2&amp;'Output annual'!$AD$2&amp;"*FangerPMV(Hourly)",'Eplus results'!$1:$1048576,ROW(),FALSE)</f>
        <v>0</v>
      </c>
      <c r="AD7155" s="580">
        <f t="shared" si="591"/>
        <v>5</v>
      </c>
      <c r="AE7155" s="580">
        <f t="shared" si="592"/>
        <v>2.5</v>
      </c>
      <c r="AF7155" s="580">
        <f t="shared" si="593"/>
        <v>2.5</v>
      </c>
      <c r="AG7155" s="580">
        <f t="shared" si="594"/>
        <v>0</v>
      </c>
      <c r="AH7155" s="580">
        <f t="shared" si="595"/>
        <v>0</v>
      </c>
    </row>
    <row r="7156" spans="28:34">
      <c r="AB7156" s="580">
        <f>HLOOKUP("*"&amp;'Output annual'!$AC$2&amp;'Output annual'!$AD$2&amp;"*Zone People Number Of Occupants [](Hourly)",'Eplus results'!$1:$1048576,ROW(),FALSE)</f>
        <v>0</v>
      </c>
      <c r="AC7156" s="580">
        <f>HLOOKUP("*"&amp;'Output annual'!$AC$2&amp;'Output annual'!$AD$2&amp;"*FangerPMV(Hourly)",'Eplus results'!$1:$1048576,ROW(),FALSE)</f>
        <v>0</v>
      </c>
      <c r="AD7156" s="580">
        <f t="shared" si="591"/>
        <v>5</v>
      </c>
      <c r="AE7156" s="580">
        <f t="shared" si="592"/>
        <v>2.5</v>
      </c>
      <c r="AF7156" s="580">
        <f t="shared" si="593"/>
        <v>2.5</v>
      </c>
      <c r="AG7156" s="580">
        <f t="shared" si="594"/>
        <v>0</v>
      </c>
      <c r="AH7156" s="580">
        <f t="shared" si="595"/>
        <v>0</v>
      </c>
    </row>
    <row r="7157" spans="28:34">
      <c r="AB7157" s="580">
        <f>HLOOKUP("*"&amp;'Output annual'!$AC$2&amp;'Output annual'!$AD$2&amp;"*Zone People Number Of Occupants [](Hourly)",'Eplus results'!$1:$1048576,ROW(),FALSE)</f>
        <v>0</v>
      </c>
      <c r="AC7157" s="580">
        <f>HLOOKUP("*"&amp;'Output annual'!$AC$2&amp;'Output annual'!$AD$2&amp;"*FangerPMV(Hourly)",'Eplus results'!$1:$1048576,ROW(),FALSE)</f>
        <v>0</v>
      </c>
      <c r="AD7157" s="580">
        <f t="shared" si="591"/>
        <v>5</v>
      </c>
      <c r="AE7157" s="580">
        <f t="shared" si="592"/>
        <v>2.5</v>
      </c>
      <c r="AF7157" s="580">
        <f t="shared" si="593"/>
        <v>2.5</v>
      </c>
      <c r="AG7157" s="580">
        <f t="shared" si="594"/>
        <v>0</v>
      </c>
      <c r="AH7157" s="580">
        <f t="shared" si="595"/>
        <v>0</v>
      </c>
    </row>
    <row r="7158" spans="28:34">
      <c r="AB7158" s="580">
        <f>HLOOKUP("*"&amp;'Output annual'!$AC$2&amp;'Output annual'!$AD$2&amp;"*Zone People Number Of Occupants [](Hourly)",'Eplus results'!$1:$1048576,ROW(),FALSE)</f>
        <v>0</v>
      </c>
      <c r="AC7158" s="580">
        <f>HLOOKUP("*"&amp;'Output annual'!$AC$2&amp;'Output annual'!$AD$2&amp;"*FangerPMV(Hourly)",'Eplus results'!$1:$1048576,ROW(),FALSE)</f>
        <v>0</v>
      </c>
      <c r="AD7158" s="580">
        <f t="shared" si="591"/>
        <v>5</v>
      </c>
      <c r="AE7158" s="580">
        <f t="shared" si="592"/>
        <v>2.5</v>
      </c>
      <c r="AF7158" s="580">
        <f t="shared" si="593"/>
        <v>2.5</v>
      </c>
      <c r="AG7158" s="580">
        <f t="shared" si="594"/>
        <v>0</v>
      </c>
      <c r="AH7158" s="580">
        <f t="shared" si="595"/>
        <v>0</v>
      </c>
    </row>
    <row r="7159" spans="28:34">
      <c r="AB7159" s="580">
        <f>HLOOKUP("*"&amp;'Output annual'!$AC$2&amp;'Output annual'!$AD$2&amp;"*Zone People Number Of Occupants [](Hourly)",'Eplus results'!$1:$1048576,ROW(),FALSE)</f>
        <v>0</v>
      </c>
      <c r="AC7159" s="580">
        <f>HLOOKUP("*"&amp;'Output annual'!$AC$2&amp;'Output annual'!$AD$2&amp;"*FangerPMV(Hourly)",'Eplus results'!$1:$1048576,ROW(),FALSE)</f>
        <v>0</v>
      </c>
      <c r="AD7159" s="580">
        <f t="shared" si="591"/>
        <v>5</v>
      </c>
      <c r="AE7159" s="580">
        <f t="shared" si="592"/>
        <v>2.5</v>
      </c>
      <c r="AF7159" s="580">
        <f t="shared" si="593"/>
        <v>2.5</v>
      </c>
      <c r="AG7159" s="580">
        <f t="shared" si="594"/>
        <v>0</v>
      </c>
      <c r="AH7159" s="580">
        <f t="shared" si="595"/>
        <v>0</v>
      </c>
    </row>
    <row r="7160" spans="28:34">
      <c r="AB7160" s="580">
        <f>HLOOKUP("*"&amp;'Output annual'!$AC$2&amp;'Output annual'!$AD$2&amp;"*Zone People Number Of Occupants [](Hourly)",'Eplus results'!$1:$1048576,ROW(),FALSE)</f>
        <v>0</v>
      </c>
      <c r="AC7160" s="580">
        <f>HLOOKUP("*"&amp;'Output annual'!$AC$2&amp;'Output annual'!$AD$2&amp;"*FangerPMV(Hourly)",'Eplus results'!$1:$1048576,ROW(),FALSE)</f>
        <v>0</v>
      </c>
      <c r="AD7160" s="580">
        <f t="shared" si="591"/>
        <v>5</v>
      </c>
      <c r="AE7160" s="580">
        <f t="shared" si="592"/>
        <v>2.5</v>
      </c>
      <c r="AF7160" s="580">
        <f t="shared" si="593"/>
        <v>2.5</v>
      </c>
      <c r="AG7160" s="580">
        <f t="shared" si="594"/>
        <v>0</v>
      </c>
      <c r="AH7160" s="580">
        <f t="shared" si="595"/>
        <v>0</v>
      </c>
    </row>
    <row r="7161" spans="28:34">
      <c r="AB7161" s="580">
        <f>HLOOKUP("*"&amp;'Output annual'!$AC$2&amp;'Output annual'!$AD$2&amp;"*Zone People Number Of Occupants [](Hourly)",'Eplus results'!$1:$1048576,ROW(),FALSE)</f>
        <v>0</v>
      </c>
      <c r="AC7161" s="580">
        <f>HLOOKUP("*"&amp;'Output annual'!$AC$2&amp;'Output annual'!$AD$2&amp;"*FangerPMV(Hourly)",'Eplus results'!$1:$1048576,ROW(),FALSE)</f>
        <v>0</v>
      </c>
      <c r="AD7161" s="580">
        <f t="shared" si="591"/>
        <v>5</v>
      </c>
      <c r="AE7161" s="580">
        <f t="shared" si="592"/>
        <v>2.5</v>
      </c>
      <c r="AF7161" s="580">
        <f t="shared" si="593"/>
        <v>2.5</v>
      </c>
      <c r="AG7161" s="580">
        <f t="shared" si="594"/>
        <v>0</v>
      </c>
      <c r="AH7161" s="580">
        <f t="shared" si="595"/>
        <v>0</v>
      </c>
    </row>
    <row r="7162" spans="28:34">
      <c r="AB7162" s="580">
        <f>HLOOKUP("*"&amp;'Output annual'!$AC$2&amp;'Output annual'!$AD$2&amp;"*Zone People Number Of Occupants [](Hourly)",'Eplus results'!$1:$1048576,ROW(),FALSE)</f>
        <v>0</v>
      </c>
      <c r="AC7162" s="580">
        <f>HLOOKUP("*"&amp;'Output annual'!$AC$2&amp;'Output annual'!$AD$2&amp;"*FangerPMV(Hourly)",'Eplus results'!$1:$1048576,ROW(),FALSE)</f>
        <v>0</v>
      </c>
      <c r="AD7162" s="580">
        <f t="shared" si="591"/>
        <v>5</v>
      </c>
      <c r="AE7162" s="580">
        <f t="shared" si="592"/>
        <v>2.5</v>
      </c>
      <c r="AF7162" s="580">
        <f t="shared" si="593"/>
        <v>2.5</v>
      </c>
      <c r="AG7162" s="580">
        <f t="shared" si="594"/>
        <v>0</v>
      </c>
      <c r="AH7162" s="580">
        <f t="shared" si="595"/>
        <v>0</v>
      </c>
    </row>
    <row r="7163" spans="28:34">
      <c r="AB7163" s="580">
        <f>HLOOKUP("*"&amp;'Output annual'!$AC$2&amp;'Output annual'!$AD$2&amp;"*Zone People Number Of Occupants [](Hourly)",'Eplus results'!$1:$1048576,ROW(),FALSE)</f>
        <v>0</v>
      </c>
      <c r="AC7163" s="580">
        <f>HLOOKUP("*"&amp;'Output annual'!$AC$2&amp;'Output annual'!$AD$2&amp;"*FangerPMV(Hourly)",'Eplus results'!$1:$1048576,ROW(),FALSE)</f>
        <v>0</v>
      </c>
      <c r="AD7163" s="580">
        <f t="shared" si="591"/>
        <v>5</v>
      </c>
      <c r="AE7163" s="580">
        <f t="shared" si="592"/>
        <v>2.5</v>
      </c>
      <c r="AF7163" s="580">
        <f t="shared" si="593"/>
        <v>2.5</v>
      </c>
      <c r="AG7163" s="580">
        <f t="shared" si="594"/>
        <v>0</v>
      </c>
      <c r="AH7163" s="580">
        <f t="shared" si="595"/>
        <v>0</v>
      </c>
    </row>
    <row r="7164" spans="28:34">
      <c r="AB7164" s="580">
        <f>HLOOKUP("*"&amp;'Output annual'!$AC$2&amp;'Output annual'!$AD$2&amp;"*Zone People Number Of Occupants [](Hourly)",'Eplus results'!$1:$1048576,ROW(),FALSE)</f>
        <v>0</v>
      </c>
      <c r="AC7164" s="580">
        <f>HLOOKUP("*"&amp;'Output annual'!$AC$2&amp;'Output annual'!$AD$2&amp;"*FangerPMV(Hourly)",'Eplus results'!$1:$1048576,ROW(),FALSE)</f>
        <v>0</v>
      </c>
      <c r="AD7164" s="580">
        <f t="shared" si="591"/>
        <v>5</v>
      </c>
      <c r="AE7164" s="580">
        <f t="shared" si="592"/>
        <v>2.5</v>
      </c>
      <c r="AF7164" s="580">
        <f t="shared" si="593"/>
        <v>2.5</v>
      </c>
      <c r="AG7164" s="580">
        <f t="shared" si="594"/>
        <v>0</v>
      </c>
      <c r="AH7164" s="580">
        <f t="shared" si="595"/>
        <v>0</v>
      </c>
    </row>
    <row r="7165" spans="28:34">
      <c r="AB7165" s="580">
        <f>HLOOKUP("*"&amp;'Output annual'!$AC$2&amp;'Output annual'!$AD$2&amp;"*Zone People Number Of Occupants [](Hourly)",'Eplus results'!$1:$1048576,ROW(),FALSE)</f>
        <v>0</v>
      </c>
      <c r="AC7165" s="580">
        <f>HLOOKUP("*"&amp;'Output annual'!$AC$2&amp;'Output annual'!$AD$2&amp;"*FangerPMV(Hourly)",'Eplus results'!$1:$1048576,ROW(),FALSE)</f>
        <v>0</v>
      </c>
      <c r="AD7165" s="580">
        <f t="shared" si="591"/>
        <v>5</v>
      </c>
      <c r="AE7165" s="580">
        <f t="shared" si="592"/>
        <v>2.5</v>
      </c>
      <c r="AF7165" s="580">
        <f t="shared" si="593"/>
        <v>2.5</v>
      </c>
      <c r="AG7165" s="580">
        <f t="shared" si="594"/>
        <v>0</v>
      </c>
      <c r="AH7165" s="580">
        <f t="shared" si="595"/>
        <v>0</v>
      </c>
    </row>
    <row r="7166" spans="28:34">
      <c r="AB7166" s="580">
        <f>HLOOKUP("*"&amp;'Output annual'!$AC$2&amp;'Output annual'!$AD$2&amp;"*Zone People Number Of Occupants [](Hourly)",'Eplus results'!$1:$1048576,ROW(),FALSE)</f>
        <v>0</v>
      </c>
      <c r="AC7166" s="580">
        <f>HLOOKUP("*"&amp;'Output annual'!$AC$2&amp;'Output annual'!$AD$2&amp;"*FangerPMV(Hourly)",'Eplus results'!$1:$1048576,ROW(),FALSE)</f>
        <v>0</v>
      </c>
      <c r="AD7166" s="580">
        <f t="shared" si="591"/>
        <v>5</v>
      </c>
      <c r="AE7166" s="580">
        <f t="shared" si="592"/>
        <v>2.5</v>
      </c>
      <c r="AF7166" s="580">
        <f t="shared" si="593"/>
        <v>2.5</v>
      </c>
      <c r="AG7166" s="580">
        <f t="shared" si="594"/>
        <v>0</v>
      </c>
      <c r="AH7166" s="580">
        <f t="shared" si="595"/>
        <v>0</v>
      </c>
    </row>
    <row r="7167" spans="28:34">
      <c r="AB7167" s="580">
        <f>HLOOKUP("*"&amp;'Output annual'!$AC$2&amp;'Output annual'!$AD$2&amp;"*Zone People Number Of Occupants [](Hourly)",'Eplus results'!$1:$1048576,ROW(),FALSE)</f>
        <v>0</v>
      </c>
      <c r="AC7167" s="580">
        <f>HLOOKUP("*"&amp;'Output annual'!$AC$2&amp;'Output annual'!$AD$2&amp;"*FangerPMV(Hourly)",'Eplus results'!$1:$1048576,ROW(),FALSE)</f>
        <v>0</v>
      </c>
      <c r="AD7167" s="580">
        <f t="shared" si="591"/>
        <v>5</v>
      </c>
      <c r="AE7167" s="580">
        <f t="shared" si="592"/>
        <v>2.5</v>
      </c>
      <c r="AF7167" s="580">
        <f t="shared" si="593"/>
        <v>2.5</v>
      </c>
      <c r="AG7167" s="580">
        <f t="shared" si="594"/>
        <v>0</v>
      </c>
      <c r="AH7167" s="580">
        <f t="shared" si="595"/>
        <v>0</v>
      </c>
    </row>
    <row r="7168" spans="28:34">
      <c r="AB7168" s="580">
        <f>HLOOKUP("*"&amp;'Output annual'!$AC$2&amp;'Output annual'!$AD$2&amp;"*Zone People Number Of Occupants [](Hourly)",'Eplus results'!$1:$1048576,ROW(),FALSE)</f>
        <v>0</v>
      </c>
      <c r="AC7168" s="580">
        <f>HLOOKUP("*"&amp;'Output annual'!$AC$2&amp;'Output annual'!$AD$2&amp;"*FangerPMV(Hourly)",'Eplus results'!$1:$1048576,ROW(),FALSE)</f>
        <v>0</v>
      </c>
      <c r="AD7168" s="580">
        <f t="shared" si="591"/>
        <v>5</v>
      </c>
      <c r="AE7168" s="580">
        <f t="shared" si="592"/>
        <v>2.5</v>
      </c>
      <c r="AF7168" s="580">
        <f t="shared" si="593"/>
        <v>2.5</v>
      </c>
      <c r="AG7168" s="580">
        <f t="shared" si="594"/>
        <v>0</v>
      </c>
      <c r="AH7168" s="580">
        <f t="shared" si="595"/>
        <v>0</v>
      </c>
    </row>
    <row r="7169" spans="28:34">
      <c r="AB7169" s="580">
        <f>HLOOKUP("*"&amp;'Output annual'!$AC$2&amp;'Output annual'!$AD$2&amp;"*Zone People Number Of Occupants [](Hourly)",'Eplus results'!$1:$1048576,ROW(),FALSE)</f>
        <v>0</v>
      </c>
      <c r="AC7169" s="580">
        <f>HLOOKUP("*"&amp;'Output annual'!$AC$2&amp;'Output annual'!$AD$2&amp;"*FangerPMV(Hourly)",'Eplus results'!$1:$1048576,ROW(),FALSE)</f>
        <v>0</v>
      </c>
      <c r="AD7169" s="580">
        <f t="shared" si="591"/>
        <v>5</v>
      </c>
      <c r="AE7169" s="580">
        <f t="shared" si="592"/>
        <v>2.5</v>
      </c>
      <c r="AF7169" s="580">
        <f t="shared" si="593"/>
        <v>2.5</v>
      </c>
      <c r="AG7169" s="580">
        <f t="shared" si="594"/>
        <v>0</v>
      </c>
      <c r="AH7169" s="580">
        <f t="shared" si="595"/>
        <v>0</v>
      </c>
    </row>
    <row r="7170" spans="28:34">
      <c r="AB7170" s="580">
        <f>HLOOKUP("*"&amp;'Output annual'!$AC$2&amp;'Output annual'!$AD$2&amp;"*Zone People Number Of Occupants [](Hourly)",'Eplus results'!$1:$1048576,ROW(),FALSE)</f>
        <v>0</v>
      </c>
      <c r="AC7170" s="580">
        <f>HLOOKUP("*"&amp;'Output annual'!$AC$2&amp;'Output annual'!$AD$2&amp;"*FangerPMV(Hourly)",'Eplus results'!$1:$1048576,ROW(),FALSE)</f>
        <v>0</v>
      </c>
      <c r="AD7170" s="580">
        <f t="shared" si="591"/>
        <v>5</v>
      </c>
      <c r="AE7170" s="580">
        <f t="shared" si="592"/>
        <v>2.5</v>
      </c>
      <c r="AF7170" s="580">
        <f t="shared" si="593"/>
        <v>2.5</v>
      </c>
      <c r="AG7170" s="580">
        <f t="shared" si="594"/>
        <v>0</v>
      </c>
      <c r="AH7170" s="580">
        <f t="shared" si="595"/>
        <v>0</v>
      </c>
    </row>
    <row r="7171" spans="28:34">
      <c r="AB7171" s="580">
        <f>HLOOKUP("*"&amp;'Output annual'!$AC$2&amp;'Output annual'!$AD$2&amp;"*Zone People Number Of Occupants [](Hourly)",'Eplus results'!$1:$1048576,ROW(),FALSE)</f>
        <v>0</v>
      </c>
      <c r="AC7171" s="580">
        <f>HLOOKUP("*"&amp;'Output annual'!$AC$2&amp;'Output annual'!$AD$2&amp;"*FangerPMV(Hourly)",'Eplus results'!$1:$1048576,ROW(),FALSE)</f>
        <v>0</v>
      </c>
      <c r="AD7171" s="580">
        <f t="shared" ref="AD7171:AD7234" si="596">100-95*EXP(-0.03353*AC7171^4-0.2179*AC7171^2)</f>
        <v>5</v>
      </c>
      <c r="AE7171" s="580">
        <f t="shared" ref="AE7171:AE7234" si="597">AD7171*(1/(1+EXP(-6.3*$AC7171)))</f>
        <v>2.5</v>
      </c>
      <c r="AF7171" s="580">
        <f t="shared" ref="AF7171:AF7234" si="598">(AD7171-AE7171)</f>
        <v>2.5</v>
      </c>
      <c r="AG7171" s="580">
        <f t="shared" ref="AG7171:AG7234" si="599">AE7171*AB7171</f>
        <v>0</v>
      </c>
      <c r="AH7171" s="580">
        <f t="shared" ref="AH7171:AH7234" si="600">AF7171*AB7171</f>
        <v>0</v>
      </c>
    </row>
    <row r="7172" spans="28:34">
      <c r="AB7172" s="580">
        <f>HLOOKUP("*"&amp;'Output annual'!$AC$2&amp;'Output annual'!$AD$2&amp;"*Zone People Number Of Occupants [](Hourly)",'Eplus results'!$1:$1048576,ROW(),FALSE)</f>
        <v>0</v>
      </c>
      <c r="AC7172" s="580">
        <f>HLOOKUP("*"&amp;'Output annual'!$AC$2&amp;'Output annual'!$AD$2&amp;"*FangerPMV(Hourly)",'Eplus results'!$1:$1048576,ROW(),FALSE)</f>
        <v>0</v>
      </c>
      <c r="AD7172" s="580">
        <f t="shared" si="596"/>
        <v>5</v>
      </c>
      <c r="AE7172" s="580">
        <f t="shared" si="597"/>
        <v>2.5</v>
      </c>
      <c r="AF7172" s="580">
        <f t="shared" si="598"/>
        <v>2.5</v>
      </c>
      <c r="AG7172" s="580">
        <f t="shared" si="599"/>
        <v>0</v>
      </c>
      <c r="AH7172" s="580">
        <f t="shared" si="600"/>
        <v>0</v>
      </c>
    </row>
    <row r="7173" spans="28:34">
      <c r="AB7173" s="580">
        <f>HLOOKUP("*"&amp;'Output annual'!$AC$2&amp;'Output annual'!$AD$2&amp;"*Zone People Number Of Occupants [](Hourly)",'Eplus results'!$1:$1048576,ROW(),FALSE)</f>
        <v>0</v>
      </c>
      <c r="AC7173" s="580">
        <f>HLOOKUP("*"&amp;'Output annual'!$AC$2&amp;'Output annual'!$AD$2&amp;"*FangerPMV(Hourly)",'Eplus results'!$1:$1048576,ROW(),FALSE)</f>
        <v>0</v>
      </c>
      <c r="AD7173" s="580">
        <f t="shared" si="596"/>
        <v>5</v>
      </c>
      <c r="AE7173" s="580">
        <f t="shared" si="597"/>
        <v>2.5</v>
      </c>
      <c r="AF7173" s="580">
        <f t="shared" si="598"/>
        <v>2.5</v>
      </c>
      <c r="AG7173" s="580">
        <f t="shared" si="599"/>
        <v>0</v>
      </c>
      <c r="AH7173" s="580">
        <f t="shared" si="600"/>
        <v>0</v>
      </c>
    </row>
    <row r="7174" spans="28:34">
      <c r="AB7174" s="580">
        <f>HLOOKUP("*"&amp;'Output annual'!$AC$2&amp;'Output annual'!$AD$2&amp;"*Zone People Number Of Occupants [](Hourly)",'Eplus results'!$1:$1048576,ROW(),FALSE)</f>
        <v>0</v>
      </c>
      <c r="AC7174" s="580">
        <f>HLOOKUP("*"&amp;'Output annual'!$AC$2&amp;'Output annual'!$AD$2&amp;"*FangerPMV(Hourly)",'Eplus results'!$1:$1048576,ROW(),FALSE)</f>
        <v>0</v>
      </c>
      <c r="AD7174" s="580">
        <f t="shared" si="596"/>
        <v>5</v>
      </c>
      <c r="AE7174" s="580">
        <f t="shared" si="597"/>
        <v>2.5</v>
      </c>
      <c r="AF7174" s="580">
        <f t="shared" si="598"/>
        <v>2.5</v>
      </c>
      <c r="AG7174" s="580">
        <f t="shared" si="599"/>
        <v>0</v>
      </c>
      <c r="AH7174" s="580">
        <f t="shared" si="600"/>
        <v>0</v>
      </c>
    </row>
    <row r="7175" spans="28:34">
      <c r="AB7175" s="580">
        <f>HLOOKUP("*"&amp;'Output annual'!$AC$2&amp;'Output annual'!$AD$2&amp;"*Zone People Number Of Occupants [](Hourly)",'Eplus results'!$1:$1048576,ROW(),FALSE)</f>
        <v>0</v>
      </c>
      <c r="AC7175" s="580">
        <f>HLOOKUP("*"&amp;'Output annual'!$AC$2&amp;'Output annual'!$AD$2&amp;"*FangerPMV(Hourly)",'Eplus results'!$1:$1048576,ROW(),FALSE)</f>
        <v>0</v>
      </c>
      <c r="AD7175" s="580">
        <f t="shared" si="596"/>
        <v>5</v>
      </c>
      <c r="AE7175" s="580">
        <f t="shared" si="597"/>
        <v>2.5</v>
      </c>
      <c r="AF7175" s="580">
        <f t="shared" si="598"/>
        <v>2.5</v>
      </c>
      <c r="AG7175" s="580">
        <f t="shared" si="599"/>
        <v>0</v>
      </c>
      <c r="AH7175" s="580">
        <f t="shared" si="600"/>
        <v>0</v>
      </c>
    </row>
    <row r="7176" spans="28:34">
      <c r="AB7176" s="580">
        <f>HLOOKUP("*"&amp;'Output annual'!$AC$2&amp;'Output annual'!$AD$2&amp;"*Zone People Number Of Occupants [](Hourly)",'Eplus results'!$1:$1048576,ROW(),FALSE)</f>
        <v>0</v>
      </c>
      <c r="AC7176" s="580">
        <f>HLOOKUP("*"&amp;'Output annual'!$AC$2&amp;'Output annual'!$AD$2&amp;"*FangerPMV(Hourly)",'Eplus results'!$1:$1048576,ROW(),FALSE)</f>
        <v>0</v>
      </c>
      <c r="AD7176" s="580">
        <f t="shared" si="596"/>
        <v>5</v>
      </c>
      <c r="AE7176" s="580">
        <f t="shared" si="597"/>
        <v>2.5</v>
      </c>
      <c r="AF7176" s="580">
        <f t="shared" si="598"/>
        <v>2.5</v>
      </c>
      <c r="AG7176" s="580">
        <f t="shared" si="599"/>
        <v>0</v>
      </c>
      <c r="AH7176" s="580">
        <f t="shared" si="600"/>
        <v>0</v>
      </c>
    </row>
    <row r="7177" spans="28:34">
      <c r="AB7177" s="580">
        <f>HLOOKUP("*"&amp;'Output annual'!$AC$2&amp;'Output annual'!$AD$2&amp;"*Zone People Number Of Occupants [](Hourly)",'Eplus results'!$1:$1048576,ROW(),FALSE)</f>
        <v>0</v>
      </c>
      <c r="AC7177" s="580">
        <f>HLOOKUP("*"&amp;'Output annual'!$AC$2&amp;'Output annual'!$AD$2&amp;"*FangerPMV(Hourly)",'Eplus results'!$1:$1048576,ROW(),FALSE)</f>
        <v>0</v>
      </c>
      <c r="AD7177" s="580">
        <f t="shared" si="596"/>
        <v>5</v>
      </c>
      <c r="AE7177" s="580">
        <f t="shared" si="597"/>
        <v>2.5</v>
      </c>
      <c r="AF7177" s="580">
        <f t="shared" si="598"/>
        <v>2.5</v>
      </c>
      <c r="AG7177" s="580">
        <f t="shared" si="599"/>
        <v>0</v>
      </c>
      <c r="AH7177" s="580">
        <f t="shared" si="600"/>
        <v>0</v>
      </c>
    </row>
    <row r="7178" spans="28:34">
      <c r="AB7178" s="580">
        <f>HLOOKUP("*"&amp;'Output annual'!$AC$2&amp;'Output annual'!$AD$2&amp;"*Zone People Number Of Occupants [](Hourly)",'Eplus results'!$1:$1048576,ROW(),FALSE)</f>
        <v>0</v>
      </c>
      <c r="AC7178" s="580">
        <f>HLOOKUP("*"&amp;'Output annual'!$AC$2&amp;'Output annual'!$AD$2&amp;"*FangerPMV(Hourly)",'Eplus results'!$1:$1048576,ROW(),FALSE)</f>
        <v>0</v>
      </c>
      <c r="AD7178" s="580">
        <f t="shared" si="596"/>
        <v>5</v>
      </c>
      <c r="AE7178" s="580">
        <f t="shared" si="597"/>
        <v>2.5</v>
      </c>
      <c r="AF7178" s="580">
        <f t="shared" si="598"/>
        <v>2.5</v>
      </c>
      <c r="AG7178" s="580">
        <f t="shared" si="599"/>
        <v>0</v>
      </c>
      <c r="AH7178" s="580">
        <f t="shared" si="600"/>
        <v>0</v>
      </c>
    </row>
    <row r="7179" spans="28:34">
      <c r="AB7179" s="580">
        <f>HLOOKUP("*"&amp;'Output annual'!$AC$2&amp;'Output annual'!$AD$2&amp;"*Zone People Number Of Occupants [](Hourly)",'Eplus results'!$1:$1048576,ROW(),FALSE)</f>
        <v>0</v>
      </c>
      <c r="AC7179" s="580">
        <f>HLOOKUP("*"&amp;'Output annual'!$AC$2&amp;'Output annual'!$AD$2&amp;"*FangerPMV(Hourly)",'Eplus results'!$1:$1048576,ROW(),FALSE)</f>
        <v>0</v>
      </c>
      <c r="AD7179" s="580">
        <f t="shared" si="596"/>
        <v>5</v>
      </c>
      <c r="AE7179" s="580">
        <f t="shared" si="597"/>
        <v>2.5</v>
      </c>
      <c r="AF7179" s="580">
        <f t="shared" si="598"/>
        <v>2.5</v>
      </c>
      <c r="AG7179" s="580">
        <f t="shared" si="599"/>
        <v>0</v>
      </c>
      <c r="AH7179" s="580">
        <f t="shared" si="600"/>
        <v>0</v>
      </c>
    </row>
    <row r="7180" spans="28:34">
      <c r="AB7180" s="580">
        <f>HLOOKUP("*"&amp;'Output annual'!$AC$2&amp;'Output annual'!$AD$2&amp;"*Zone People Number Of Occupants [](Hourly)",'Eplus results'!$1:$1048576,ROW(),FALSE)</f>
        <v>0</v>
      </c>
      <c r="AC7180" s="580">
        <f>HLOOKUP("*"&amp;'Output annual'!$AC$2&amp;'Output annual'!$AD$2&amp;"*FangerPMV(Hourly)",'Eplus results'!$1:$1048576,ROW(),FALSE)</f>
        <v>0</v>
      </c>
      <c r="AD7180" s="580">
        <f t="shared" si="596"/>
        <v>5</v>
      </c>
      <c r="AE7180" s="580">
        <f t="shared" si="597"/>
        <v>2.5</v>
      </c>
      <c r="AF7180" s="580">
        <f t="shared" si="598"/>
        <v>2.5</v>
      </c>
      <c r="AG7180" s="580">
        <f t="shared" si="599"/>
        <v>0</v>
      </c>
      <c r="AH7180" s="580">
        <f t="shared" si="600"/>
        <v>0</v>
      </c>
    </row>
    <row r="7181" spans="28:34">
      <c r="AB7181" s="580">
        <f>HLOOKUP("*"&amp;'Output annual'!$AC$2&amp;'Output annual'!$AD$2&amp;"*Zone People Number Of Occupants [](Hourly)",'Eplus results'!$1:$1048576,ROW(),FALSE)</f>
        <v>0</v>
      </c>
      <c r="AC7181" s="580">
        <f>HLOOKUP("*"&amp;'Output annual'!$AC$2&amp;'Output annual'!$AD$2&amp;"*FangerPMV(Hourly)",'Eplus results'!$1:$1048576,ROW(),FALSE)</f>
        <v>0</v>
      </c>
      <c r="AD7181" s="580">
        <f t="shared" si="596"/>
        <v>5</v>
      </c>
      <c r="AE7181" s="580">
        <f t="shared" si="597"/>
        <v>2.5</v>
      </c>
      <c r="AF7181" s="580">
        <f t="shared" si="598"/>
        <v>2.5</v>
      </c>
      <c r="AG7181" s="580">
        <f t="shared" si="599"/>
        <v>0</v>
      </c>
      <c r="AH7181" s="580">
        <f t="shared" si="600"/>
        <v>0</v>
      </c>
    </row>
    <row r="7182" spans="28:34">
      <c r="AB7182" s="580">
        <f>HLOOKUP("*"&amp;'Output annual'!$AC$2&amp;'Output annual'!$AD$2&amp;"*Zone People Number Of Occupants [](Hourly)",'Eplus results'!$1:$1048576,ROW(),FALSE)</f>
        <v>0</v>
      </c>
      <c r="AC7182" s="580">
        <f>HLOOKUP("*"&amp;'Output annual'!$AC$2&amp;'Output annual'!$AD$2&amp;"*FangerPMV(Hourly)",'Eplus results'!$1:$1048576,ROW(),FALSE)</f>
        <v>0</v>
      </c>
      <c r="AD7182" s="580">
        <f t="shared" si="596"/>
        <v>5</v>
      </c>
      <c r="AE7182" s="580">
        <f t="shared" si="597"/>
        <v>2.5</v>
      </c>
      <c r="AF7182" s="580">
        <f t="shared" si="598"/>
        <v>2.5</v>
      </c>
      <c r="AG7182" s="580">
        <f t="shared" si="599"/>
        <v>0</v>
      </c>
      <c r="AH7182" s="580">
        <f t="shared" si="600"/>
        <v>0</v>
      </c>
    </row>
    <row r="7183" spans="28:34">
      <c r="AB7183" s="580">
        <f>HLOOKUP("*"&amp;'Output annual'!$AC$2&amp;'Output annual'!$AD$2&amp;"*Zone People Number Of Occupants [](Hourly)",'Eplus results'!$1:$1048576,ROW(),FALSE)</f>
        <v>0</v>
      </c>
      <c r="AC7183" s="580">
        <f>HLOOKUP("*"&amp;'Output annual'!$AC$2&amp;'Output annual'!$AD$2&amp;"*FangerPMV(Hourly)",'Eplus results'!$1:$1048576,ROW(),FALSE)</f>
        <v>0</v>
      </c>
      <c r="AD7183" s="580">
        <f t="shared" si="596"/>
        <v>5</v>
      </c>
      <c r="AE7183" s="580">
        <f t="shared" si="597"/>
        <v>2.5</v>
      </c>
      <c r="AF7183" s="580">
        <f t="shared" si="598"/>
        <v>2.5</v>
      </c>
      <c r="AG7183" s="580">
        <f t="shared" si="599"/>
        <v>0</v>
      </c>
      <c r="AH7183" s="580">
        <f t="shared" si="600"/>
        <v>0</v>
      </c>
    </row>
    <row r="7184" spans="28:34">
      <c r="AB7184" s="580">
        <f>HLOOKUP("*"&amp;'Output annual'!$AC$2&amp;'Output annual'!$AD$2&amp;"*Zone People Number Of Occupants [](Hourly)",'Eplus results'!$1:$1048576,ROW(),FALSE)</f>
        <v>0</v>
      </c>
      <c r="AC7184" s="580">
        <f>HLOOKUP("*"&amp;'Output annual'!$AC$2&amp;'Output annual'!$AD$2&amp;"*FangerPMV(Hourly)",'Eplus results'!$1:$1048576,ROW(),FALSE)</f>
        <v>0</v>
      </c>
      <c r="AD7184" s="580">
        <f t="shared" si="596"/>
        <v>5</v>
      </c>
      <c r="AE7184" s="580">
        <f t="shared" si="597"/>
        <v>2.5</v>
      </c>
      <c r="AF7184" s="580">
        <f t="shared" si="598"/>
        <v>2.5</v>
      </c>
      <c r="AG7184" s="580">
        <f t="shared" si="599"/>
        <v>0</v>
      </c>
      <c r="AH7184" s="580">
        <f t="shared" si="600"/>
        <v>0</v>
      </c>
    </row>
    <row r="7185" spans="28:34">
      <c r="AB7185" s="580">
        <f>HLOOKUP("*"&amp;'Output annual'!$AC$2&amp;'Output annual'!$AD$2&amp;"*Zone People Number Of Occupants [](Hourly)",'Eplus results'!$1:$1048576,ROW(),FALSE)</f>
        <v>0</v>
      </c>
      <c r="AC7185" s="580">
        <f>HLOOKUP("*"&amp;'Output annual'!$AC$2&amp;'Output annual'!$AD$2&amp;"*FangerPMV(Hourly)",'Eplus results'!$1:$1048576,ROW(),FALSE)</f>
        <v>0</v>
      </c>
      <c r="AD7185" s="580">
        <f t="shared" si="596"/>
        <v>5</v>
      </c>
      <c r="AE7185" s="580">
        <f t="shared" si="597"/>
        <v>2.5</v>
      </c>
      <c r="AF7185" s="580">
        <f t="shared" si="598"/>
        <v>2.5</v>
      </c>
      <c r="AG7185" s="580">
        <f t="shared" si="599"/>
        <v>0</v>
      </c>
      <c r="AH7185" s="580">
        <f t="shared" si="600"/>
        <v>0</v>
      </c>
    </row>
    <row r="7186" spans="28:34">
      <c r="AB7186" s="580">
        <f>HLOOKUP("*"&amp;'Output annual'!$AC$2&amp;'Output annual'!$AD$2&amp;"*Zone People Number Of Occupants [](Hourly)",'Eplus results'!$1:$1048576,ROW(),FALSE)</f>
        <v>0</v>
      </c>
      <c r="AC7186" s="580">
        <f>HLOOKUP("*"&amp;'Output annual'!$AC$2&amp;'Output annual'!$AD$2&amp;"*FangerPMV(Hourly)",'Eplus results'!$1:$1048576,ROW(),FALSE)</f>
        <v>0</v>
      </c>
      <c r="AD7186" s="580">
        <f t="shared" si="596"/>
        <v>5</v>
      </c>
      <c r="AE7186" s="580">
        <f t="shared" si="597"/>
        <v>2.5</v>
      </c>
      <c r="AF7186" s="580">
        <f t="shared" si="598"/>
        <v>2.5</v>
      </c>
      <c r="AG7186" s="580">
        <f t="shared" si="599"/>
        <v>0</v>
      </c>
      <c r="AH7186" s="580">
        <f t="shared" si="600"/>
        <v>0</v>
      </c>
    </row>
    <row r="7187" spans="28:34">
      <c r="AB7187" s="580">
        <f>HLOOKUP("*"&amp;'Output annual'!$AC$2&amp;'Output annual'!$AD$2&amp;"*Zone People Number Of Occupants [](Hourly)",'Eplus results'!$1:$1048576,ROW(),FALSE)</f>
        <v>0</v>
      </c>
      <c r="AC7187" s="580">
        <f>HLOOKUP("*"&amp;'Output annual'!$AC$2&amp;'Output annual'!$AD$2&amp;"*FangerPMV(Hourly)",'Eplus results'!$1:$1048576,ROW(),FALSE)</f>
        <v>0</v>
      </c>
      <c r="AD7187" s="580">
        <f t="shared" si="596"/>
        <v>5</v>
      </c>
      <c r="AE7187" s="580">
        <f t="shared" si="597"/>
        <v>2.5</v>
      </c>
      <c r="AF7187" s="580">
        <f t="shared" si="598"/>
        <v>2.5</v>
      </c>
      <c r="AG7187" s="580">
        <f t="shared" si="599"/>
        <v>0</v>
      </c>
      <c r="AH7187" s="580">
        <f t="shared" si="600"/>
        <v>0</v>
      </c>
    </row>
    <row r="7188" spans="28:34">
      <c r="AB7188" s="580">
        <f>HLOOKUP("*"&amp;'Output annual'!$AC$2&amp;'Output annual'!$AD$2&amp;"*Zone People Number Of Occupants [](Hourly)",'Eplus results'!$1:$1048576,ROW(),FALSE)</f>
        <v>0</v>
      </c>
      <c r="AC7188" s="580">
        <f>HLOOKUP("*"&amp;'Output annual'!$AC$2&amp;'Output annual'!$AD$2&amp;"*FangerPMV(Hourly)",'Eplus results'!$1:$1048576,ROW(),FALSE)</f>
        <v>0</v>
      </c>
      <c r="AD7188" s="580">
        <f t="shared" si="596"/>
        <v>5</v>
      </c>
      <c r="AE7188" s="580">
        <f t="shared" si="597"/>
        <v>2.5</v>
      </c>
      <c r="AF7188" s="580">
        <f t="shared" si="598"/>
        <v>2.5</v>
      </c>
      <c r="AG7188" s="580">
        <f t="shared" si="599"/>
        <v>0</v>
      </c>
      <c r="AH7188" s="580">
        <f t="shared" si="600"/>
        <v>0</v>
      </c>
    </row>
    <row r="7189" spans="28:34">
      <c r="AB7189" s="580">
        <f>HLOOKUP("*"&amp;'Output annual'!$AC$2&amp;'Output annual'!$AD$2&amp;"*Zone People Number Of Occupants [](Hourly)",'Eplus results'!$1:$1048576,ROW(),FALSE)</f>
        <v>0</v>
      </c>
      <c r="AC7189" s="580">
        <f>HLOOKUP("*"&amp;'Output annual'!$AC$2&amp;'Output annual'!$AD$2&amp;"*FangerPMV(Hourly)",'Eplus results'!$1:$1048576,ROW(),FALSE)</f>
        <v>0</v>
      </c>
      <c r="AD7189" s="580">
        <f t="shared" si="596"/>
        <v>5</v>
      </c>
      <c r="AE7189" s="580">
        <f t="shared" si="597"/>
        <v>2.5</v>
      </c>
      <c r="AF7189" s="580">
        <f t="shared" si="598"/>
        <v>2.5</v>
      </c>
      <c r="AG7189" s="580">
        <f t="shared" si="599"/>
        <v>0</v>
      </c>
      <c r="AH7189" s="580">
        <f t="shared" si="600"/>
        <v>0</v>
      </c>
    </row>
    <row r="7190" spans="28:34">
      <c r="AB7190" s="580">
        <f>HLOOKUP("*"&amp;'Output annual'!$AC$2&amp;'Output annual'!$AD$2&amp;"*Zone People Number Of Occupants [](Hourly)",'Eplus results'!$1:$1048576,ROW(),FALSE)</f>
        <v>0</v>
      </c>
      <c r="AC7190" s="580">
        <f>HLOOKUP("*"&amp;'Output annual'!$AC$2&amp;'Output annual'!$AD$2&amp;"*FangerPMV(Hourly)",'Eplus results'!$1:$1048576,ROW(),FALSE)</f>
        <v>0</v>
      </c>
      <c r="AD7190" s="580">
        <f t="shared" si="596"/>
        <v>5</v>
      </c>
      <c r="AE7190" s="580">
        <f t="shared" si="597"/>
        <v>2.5</v>
      </c>
      <c r="AF7190" s="580">
        <f t="shared" si="598"/>
        <v>2.5</v>
      </c>
      <c r="AG7190" s="580">
        <f t="shared" si="599"/>
        <v>0</v>
      </c>
      <c r="AH7190" s="580">
        <f t="shared" si="600"/>
        <v>0</v>
      </c>
    </row>
    <row r="7191" spans="28:34">
      <c r="AB7191" s="580">
        <f>HLOOKUP("*"&amp;'Output annual'!$AC$2&amp;'Output annual'!$AD$2&amp;"*Zone People Number Of Occupants [](Hourly)",'Eplus results'!$1:$1048576,ROW(),FALSE)</f>
        <v>0</v>
      </c>
      <c r="AC7191" s="580">
        <f>HLOOKUP("*"&amp;'Output annual'!$AC$2&amp;'Output annual'!$AD$2&amp;"*FangerPMV(Hourly)",'Eplus results'!$1:$1048576,ROW(),FALSE)</f>
        <v>0</v>
      </c>
      <c r="AD7191" s="580">
        <f t="shared" si="596"/>
        <v>5</v>
      </c>
      <c r="AE7191" s="580">
        <f t="shared" si="597"/>
        <v>2.5</v>
      </c>
      <c r="AF7191" s="580">
        <f t="shared" si="598"/>
        <v>2.5</v>
      </c>
      <c r="AG7191" s="580">
        <f t="shared" si="599"/>
        <v>0</v>
      </c>
      <c r="AH7191" s="580">
        <f t="shared" si="600"/>
        <v>0</v>
      </c>
    </row>
    <row r="7192" spans="28:34">
      <c r="AB7192" s="580">
        <f>HLOOKUP("*"&amp;'Output annual'!$AC$2&amp;'Output annual'!$AD$2&amp;"*Zone People Number Of Occupants [](Hourly)",'Eplus results'!$1:$1048576,ROW(),FALSE)</f>
        <v>0</v>
      </c>
      <c r="AC7192" s="580">
        <f>HLOOKUP("*"&amp;'Output annual'!$AC$2&amp;'Output annual'!$AD$2&amp;"*FangerPMV(Hourly)",'Eplus results'!$1:$1048576,ROW(),FALSE)</f>
        <v>0</v>
      </c>
      <c r="AD7192" s="580">
        <f t="shared" si="596"/>
        <v>5</v>
      </c>
      <c r="AE7192" s="580">
        <f t="shared" si="597"/>
        <v>2.5</v>
      </c>
      <c r="AF7192" s="580">
        <f t="shared" si="598"/>
        <v>2.5</v>
      </c>
      <c r="AG7192" s="580">
        <f t="shared" si="599"/>
        <v>0</v>
      </c>
      <c r="AH7192" s="580">
        <f t="shared" si="600"/>
        <v>0</v>
      </c>
    </row>
    <row r="7193" spans="28:34">
      <c r="AB7193" s="580">
        <f>HLOOKUP("*"&amp;'Output annual'!$AC$2&amp;'Output annual'!$AD$2&amp;"*Zone People Number Of Occupants [](Hourly)",'Eplus results'!$1:$1048576,ROW(),FALSE)</f>
        <v>0</v>
      </c>
      <c r="AC7193" s="580">
        <f>HLOOKUP("*"&amp;'Output annual'!$AC$2&amp;'Output annual'!$AD$2&amp;"*FangerPMV(Hourly)",'Eplus results'!$1:$1048576,ROW(),FALSE)</f>
        <v>0</v>
      </c>
      <c r="AD7193" s="580">
        <f t="shared" si="596"/>
        <v>5</v>
      </c>
      <c r="AE7193" s="580">
        <f t="shared" si="597"/>
        <v>2.5</v>
      </c>
      <c r="AF7193" s="580">
        <f t="shared" si="598"/>
        <v>2.5</v>
      </c>
      <c r="AG7193" s="580">
        <f t="shared" si="599"/>
        <v>0</v>
      </c>
      <c r="AH7193" s="580">
        <f t="shared" si="600"/>
        <v>0</v>
      </c>
    </row>
    <row r="7194" spans="28:34">
      <c r="AB7194" s="580">
        <f>HLOOKUP("*"&amp;'Output annual'!$AC$2&amp;'Output annual'!$AD$2&amp;"*Zone People Number Of Occupants [](Hourly)",'Eplus results'!$1:$1048576,ROW(),FALSE)</f>
        <v>0</v>
      </c>
      <c r="AC7194" s="580">
        <f>HLOOKUP("*"&amp;'Output annual'!$AC$2&amp;'Output annual'!$AD$2&amp;"*FangerPMV(Hourly)",'Eplus results'!$1:$1048576,ROW(),FALSE)</f>
        <v>0</v>
      </c>
      <c r="AD7194" s="580">
        <f t="shared" si="596"/>
        <v>5</v>
      </c>
      <c r="AE7194" s="580">
        <f t="shared" si="597"/>
        <v>2.5</v>
      </c>
      <c r="AF7194" s="580">
        <f t="shared" si="598"/>
        <v>2.5</v>
      </c>
      <c r="AG7194" s="580">
        <f t="shared" si="599"/>
        <v>0</v>
      </c>
      <c r="AH7194" s="580">
        <f t="shared" si="600"/>
        <v>0</v>
      </c>
    </row>
    <row r="7195" spans="28:34">
      <c r="AB7195" s="580">
        <f>HLOOKUP("*"&amp;'Output annual'!$AC$2&amp;'Output annual'!$AD$2&amp;"*Zone People Number Of Occupants [](Hourly)",'Eplus results'!$1:$1048576,ROW(),FALSE)</f>
        <v>0</v>
      </c>
      <c r="AC7195" s="580">
        <f>HLOOKUP("*"&amp;'Output annual'!$AC$2&amp;'Output annual'!$AD$2&amp;"*FangerPMV(Hourly)",'Eplus results'!$1:$1048576,ROW(),FALSE)</f>
        <v>0</v>
      </c>
      <c r="AD7195" s="580">
        <f t="shared" si="596"/>
        <v>5</v>
      </c>
      <c r="AE7195" s="580">
        <f t="shared" si="597"/>
        <v>2.5</v>
      </c>
      <c r="AF7195" s="580">
        <f t="shared" si="598"/>
        <v>2.5</v>
      </c>
      <c r="AG7195" s="580">
        <f t="shared" si="599"/>
        <v>0</v>
      </c>
      <c r="AH7195" s="580">
        <f t="shared" si="600"/>
        <v>0</v>
      </c>
    </row>
    <row r="7196" spans="28:34">
      <c r="AB7196" s="580">
        <f>HLOOKUP("*"&amp;'Output annual'!$AC$2&amp;'Output annual'!$AD$2&amp;"*Zone People Number Of Occupants [](Hourly)",'Eplus results'!$1:$1048576,ROW(),FALSE)</f>
        <v>0</v>
      </c>
      <c r="AC7196" s="580">
        <f>HLOOKUP("*"&amp;'Output annual'!$AC$2&amp;'Output annual'!$AD$2&amp;"*FangerPMV(Hourly)",'Eplus results'!$1:$1048576,ROW(),FALSE)</f>
        <v>0</v>
      </c>
      <c r="AD7196" s="580">
        <f t="shared" si="596"/>
        <v>5</v>
      </c>
      <c r="AE7196" s="580">
        <f t="shared" si="597"/>
        <v>2.5</v>
      </c>
      <c r="AF7196" s="580">
        <f t="shared" si="598"/>
        <v>2.5</v>
      </c>
      <c r="AG7196" s="580">
        <f t="shared" si="599"/>
        <v>0</v>
      </c>
      <c r="AH7196" s="580">
        <f t="shared" si="600"/>
        <v>0</v>
      </c>
    </row>
    <row r="7197" spans="28:34">
      <c r="AB7197" s="580">
        <f>HLOOKUP("*"&amp;'Output annual'!$AC$2&amp;'Output annual'!$AD$2&amp;"*Zone People Number Of Occupants [](Hourly)",'Eplus results'!$1:$1048576,ROW(),FALSE)</f>
        <v>0</v>
      </c>
      <c r="AC7197" s="580">
        <f>HLOOKUP("*"&amp;'Output annual'!$AC$2&amp;'Output annual'!$AD$2&amp;"*FangerPMV(Hourly)",'Eplus results'!$1:$1048576,ROW(),FALSE)</f>
        <v>0</v>
      </c>
      <c r="AD7197" s="580">
        <f t="shared" si="596"/>
        <v>5</v>
      </c>
      <c r="AE7197" s="580">
        <f t="shared" si="597"/>
        <v>2.5</v>
      </c>
      <c r="AF7197" s="580">
        <f t="shared" si="598"/>
        <v>2.5</v>
      </c>
      <c r="AG7197" s="580">
        <f t="shared" si="599"/>
        <v>0</v>
      </c>
      <c r="AH7197" s="580">
        <f t="shared" si="600"/>
        <v>0</v>
      </c>
    </row>
    <row r="7198" spans="28:34">
      <c r="AB7198" s="580">
        <f>HLOOKUP("*"&amp;'Output annual'!$AC$2&amp;'Output annual'!$AD$2&amp;"*Zone People Number Of Occupants [](Hourly)",'Eplus results'!$1:$1048576,ROW(),FALSE)</f>
        <v>0</v>
      </c>
      <c r="AC7198" s="580">
        <f>HLOOKUP("*"&amp;'Output annual'!$AC$2&amp;'Output annual'!$AD$2&amp;"*FangerPMV(Hourly)",'Eplus results'!$1:$1048576,ROW(),FALSE)</f>
        <v>0</v>
      </c>
      <c r="AD7198" s="580">
        <f t="shared" si="596"/>
        <v>5</v>
      </c>
      <c r="AE7198" s="580">
        <f t="shared" si="597"/>
        <v>2.5</v>
      </c>
      <c r="AF7198" s="580">
        <f t="shared" si="598"/>
        <v>2.5</v>
      </c>
      <c r="AG7198" s="580">
        <f t="shared" si="599"/>
        <v>0</v>
      </c>
      <c r="AH7198" s="580">
        <f t="shared" si="600"/>
        <v>0</v>
      </c>
    </row>
    <row r="7199" spans="28:34">
      <c r="AB7199" s="580">
        <f>HLOOKUP("*"&amp;'Output annual'!$AC$2&amp;'Output annual'!$AD$2&amp;"*Zone People Number Of Occupants [](Hourly)",'Eplus results'!$1:$1048576,ROW(),FALSE)</f>
        <v>0</v>
      </c>
      <c r="AC7199" s="580">
        <f>HLOOKUP("*"&amp;'Output annual'!$AC$2&amp;'Output annual'!$AD$2&amp;"*FangerPMV(Hourly)",'Eplus results'!$1:$1048576,ROW(),FALSE)</f>
        <v>0</v>
      </c>
      <c r="AD7199" s="580">
        <f t="shared" si="596"/>
        <v>5</v>
      </c>
      <c r="AE7199" s="580">
        <f t="shared" si="597"/>
        <v>2.5</v>
      </c>
      <c r="AF7199" s="580">
        <f t="shared" si="598"/>
        <v>2.5</v>
      </c>
      <c r="AG7199" s="580">
        <f t="shared" si="599"/>
        <v>0</v>
      </c>
      <c r="AH7199" s="580">
        <f t="shared" si="600"/>
        <v>0</v>
      </c>
    </row>
    <row r="7200" spans="28:34">
      <c r="AB7200" s="580">
        <f>HLOOKUP("*"&amp;'Output annual'!$AC$2&amp;'Output annual'!$AD$2&amp;"*Zone People Number Of Occupants [](Hourly)",'Eplus results'!$1:$1048576,ROW(),FALSE)</f>
        <v>0</v>
      </c>
      <c r="AC7200" s="580">
        <f>HLOOKUP("*"&amp;'Output annual'!$AC$2&amp;'Output annual'!$AD$2&amp;"*FangerPMV(Hourly)",'Eplus results'!$1:$1048576,ROW(),FALSE)</f>
        <v>0</v>
      </c>
      <c r="AD7200" s="580">
        <f t="shared" si="596"/>
        <v>5</v>
      </c>
      <c r="AE7200" s="580">
        <f t="shared" si="597"/>
        <v>2.5</v>
      </c>
      <c r="AF7200" s="580">
        <f t="shared" si="598"/>
        <v>2.5</v>
      </c>
      <c r="AG7200" s="580">
        <f t="shared" si="599"/>
        <v>0</v>
      </c>
      <c r="AH7200" s="580">
        <f t="shared" si="600"/>
        <v>0</v>
      </c>
    </row>
    <row r="7201" spans="28:34">
      <c r="AB7201" s="580">
        <f>HLOOKUP("*"&amp;'Output annual'!$AC$2&amp;'Output annual'!$AD$2&amp;"*Zone People Number Of Occupants [](Hourly)",'Eplus results'!$1:$1048576,ROW(),FALSE)</f>
        <v>0</v>
      </c>
      <c r="AC7201" s="580">
        <f>HLOOKUP("*"&amp;'Output annual'!$AC$2&amp;'Output annual'!$AD$2&amp;"*FangerPMV(Hourly)",'Eplus results'!$1:$1048576,ROW(),FALSE)</f>
        <v>0</v>
      </c>
      <c r="AD7201" s="580">
        <f t="shared" si="596"/>
        <v>5</v>
      </c>
      <c r="AE7201" s="580">
        <f t="shared" si="597"/>
        <v>2.5</v>
      </c>
      <c r="AF7201" s="580">
        <f t="shared" si="598"/>
        <v>2.5</v>
      </c>
      <c r="AG7201" s="580">
        <f t="shared" si="599"/>
        <v>0</v>
      </c>
      <c r="AH7201" s="580">
        <f t="shared" si="600"/>
        <v>0</v>
      </c>
    </row>
    <row r="7202" spans="28:34">
      <c r="AB7202" s="580">
        <f>HLOOKUP("*"&amp;'Output annual'!$AC$2&amp;'Output annual'!$AD$2&amp;"*Zone People Number Of Occupants [](Hourly)",'Eplus results'!$1:$1048576,ROW(),FALSE)</f>
        <v>0</v>
      </c>
      <c r="AC7202" s="580">
        <f>HLOOKUP("*"&amp;'Output annual'!$AC$2&amp;'Output annual'!$AD$2&amp;"*FangerPMV(Hourly)",'Eplus results'!$1:$1048576,ROW(),FALSE)</f>
        <v>0</v>
      </c>
      <c r="AD7202" s="580">
        <f t="shared" si="596"/>
        <v>5</v>
      </c>
      <c r="AE7202" s="580">
        <f t="shared" si="597"/>
        <v>2.5</v>
      </c>
      <c r="AF7202" s="580">
        <f t="shared" si="598"/>
        <v>2.5</v>
      </c>
      <c r="AG7202" s="580">
        <f t="shared" si="599"/>
        <v>0</v>
      </c>
      <c r="AH7202" s="580">
        <f t="shared" si="600"/>
        <v>0</v>
      </c>
    </row>
    <row r="7203" spans="28:34">
      <c r="AB7203" s="580">
        <f>HLOOKUP("*"&amp;'Output annual'!$AC$2&amp;'Output annual'!$AD$2&amp;"*Zone People Number Of Occupants [](Hourly)",'Eplus results'!$1:$1048576,ROW(),FALSE)</f>
        <v>0</v>
      </c>
      <c r="AC7203" s="580">
        <f>HLOOKUP("*"&amp;'Output annual'!$AC$2&amp;'Output annual'!$AD$2&amp;"*FangerPMV(Hourly)",'Eplus results'!$1:$1048576,ROW(),FALSE)</f>
        <v>0</v>
      </c>
      <c r="AD7203" s="580">
        <f t="shared" si="596"/>
        <v>5</v>
      </c>
      <c r="AE7203" s="580">
        <f t="shared" si="597"/>
        <v>2.5</v>
      </c>
      <c r="AF7203" s="580">
        <f t="shared" si="598"/>
        <v>2.5</v>
      </c>
      <c r="AG7203" s="580">
        <f t="shared" si="599"/>
        <v>0</v>
      </c>
      <c r="AH7203" s="580">
        <f t="shared" si="600"/>
        <v>0</v>
      </c>
    </row>
    <row r="7204" spans="28:34">
      <c r="AB7204" s="580">
        <f>HLOOKUP("*"&amp;'Output annual'!$AC$2&amp;'Output annual'!$AD$2&amp;"*Zone People Number Of Occupants [](Hourly)",'Eplus results'!$1:$1048576,ROW(),FALSE)</f>
        <v>0</v>
      </c>
      <c r="AC7204" s="580">
        <f>HLOOKUP("*"&amp;'Output annual'!$AC$2&amp;'Output annual'!$AD$2&amp;"*FangerPMV(Hourly)",'Eplus results'!$1:$1048576,ROW(),FALSE)</f>
        <v>0</v>
      </c>
      <c r="AD7204" s="580">
        <f t="shared" si="596"/>
        <v>5</v>
      </c>
      <c r="AE7204" s="580">
        <f t="shared" si="597"/>
        <v>2.5</v>
      </c>
      <c r="AF7204" s="580">
        <f t="shared" si="598"/>
        <v>2.5</v>
      </c>
      <c r="AG7204" s="580">
        <f t="shared" si="599"/>
        <v>0</v>
      </c>
      <c r="AH7204" s="580">
        <f t="shared" si="600"/>
        <v>0</v>
      </c>
    </row>
    <row r="7205" spans="28:34">
      <c r="AB7205" s="580">
        <f>HLOOKUP("*"&amp;'Output annual'!$AC$2&amp;'Output annual'!$AD$2&amp;"*Zone People Number Of Occupants [](Hourly)",'Eplus results'!$1:$1048576,ROW(),FALSE)</f>
        <v>0</v>
      </c>
      <c r="AC7205" s="580">
        <f>HLOOKUP("*"&amp;'Output annual'!$AC$2&amp;'Output annual'!$AD$2&amp;"*FangerPMV(Hourly)",'Eplus results'!$1:$1048576,ROW(),FALSE)</f>
        <v>0</v>
      </c>
      <c r="AD7205" s="580">
        <f t="shared" si="596"/>
        <v>5</v>
      </c>
      <c r="AE7205" s="580">
        <f t="shared" si="597"/>
        <v>2.5</v>
      </c>
      <c r="AF7205" s="580">
        <f t="shared" si="598"/>
        <v>2.5</v>
      </c>
      <c r="AG7205" s="580">
        <f t="shared" si="599"/>
        <v>0</v>
      </c>
      <c r="AH7205" s="580">
        <f t="shared" si="600"/>
        <v>0</v>
      </c>
    </row>
    <row r="7206" spans="28:34">
      <c r="AB7206" s="580">
        <f>HLOOKUP("*"&amp;'Output annual'!$AC$2&amp;'Output annual'!$AD$2&amp;"*Zone People Number Of Occupants [](Hourly)",'Eplus results'!$1:$1048576,ROW(),FALSE)</f>
        <v>0</v>
      </c>
      <c r="AC7206" s="580">
        <f>HLOOKUP("*"&amp;'Output annual'!$AC$2&amp;'Output annual'!$AD$2&amp;"*FangerPMV(Hourly)",'Eplus results'!$1:$1048576,ROW(),FALSE)</f>
        <v>0</v>
      </c>
      <c r="AD7206" s="580">
        <f t="shared" si="596"/>
        <v>5</v>
      </c>
      <c r="AE7206" s="580">
        <f t="shared" si="597"/>
        <v>2.5</v>
      </c>
      <c r="AF7206" s="580">
        <f t="shared" si="598"/>
        <v>2.5</v>
      </c>
      <c r="AG7206" s="580">
        <f t="shared" si="599"/>
        <v>0</v>
      </c>
      <c r="AH7206" s="580">
        <f t="shared" si="600"/>
        <v>0</v>
      </c>
    </row>
    <row r="7207" spans="28:34">
      <c r="AB7207" s="580">
        <f>HLOOKUP("*"&amp;'Output annual'!$AC$2&amp;'Output annual'!$AD$2&amp;"*Zone People Number Of Occupants [](Hourly)",'Eplus results'!$1:$1048576,ROW(),FALSE)</f>
        <v>0</v>
      </c>
      <c r="AC7207" s="580">
        <f>HLOOKUP("*"&amp;'Output annual'!$AC$2&amp;'Output annual'!$AD$2&amp;"*FangerPMV(Hourly)",'Eplus results'!$1:$1048576,ROW(),FALSE)</f>
        <v>0</v>
      </c>
      <c r="AD7207" s="580">
        <f t="shared" si="596"/>
        <v>5</v>
      </c>
      <c r="AE7207" s="580">
        <f t="shared" si="597"/>
        <v>2.5</v>
      </c>
      <c r="AF7207" s="580">
        <f t="shared" si="598"/>
        <v>2.5</v>
      </c>
      <c r="AG7207" s="580">
        <f t="shared" si="599"/>
        <v>0</v>
      </c>
      <c r="AH7207" s="580">
        <f t="shared" si="600"/>
        <v>0</v>
      </c>
    </row>
    <row r="7208" spans="28:34">
      <c r="AB7208" s="580">
        <f>HLOOKUP("*"&amp;'Output annual'!$AC$2&amp;'Output annual'!$AD$2&amp;"*Zone People Number Of Occupants [](Hourly)",'Eplus results'!$1:$1048576,ROW(),FALSE)</f>
        <v>0</v>
      </c>
      <c r="AC7208" s="580">
        <f>HLOOKUP("*"&amp;'Output annual'!$AC$2&amp;'Output annual'!$AD$2&amp;"*FangerPMV(Hourly)",'Eplus results'!$1:$1048576,ROW(),FALSE)</f>
        <v>0</v>
      </c>
      <c r="AD7208" s="580">
        <f t="shared" si="596"/>
        <v>5</v>
      </c>
      <c r="AE7208" s="580">
        <f t="shared" si="597"/>
        <v>2.5</v>
      </c>
      <c r="AF7208" s="580">
        <f t="shared" si="598"/>
        <v>2.5</v>
      </c>
      <c r="AG7208" s="580">
        <f t="shared" si="599"/>
        <v>0</v>
      </c>
      <c r="AH7208" s="580">
        <f t="shared" si="600"/>
        <v>0</v>
      </c>
    </row>
    <row r="7209" spans="28:34">
      <c r="AB7209" s="580">
        <f>HLOOKUP("*"&amp;'Output annual'!$AC$2&amp;'Output annual'!$AD$2&amp;"*Zone People Number Of Occupants [](Hourly)",'Eplus results'!$1:$1048576,ROW(),FALSE)</f>
        <v>0</v>
      </c>
      <c r="AC7209" s="580">
        <f>HLOOKUP("*"&amp;'Output annual'!$AC$2&amp;'Output annual'!$AD$2&amp;"*FangerPMV(Hourly)",'Eplus results'!$1:$1048576,ROW(),FALSE)</f>
        <v>0</v>
      </c>
      <c r="AD7209" s="580">
        <f t="shared" si="596"/>
        <v>5</v>
      </c>
      <c r="AE7209" s="580">
        <f t="shared" si="597"/>
        <v>2.5</v>
      </c>
      <c r="AF7209" s="580">
        <f t="shared" si="598"/>
        <v>2.5</v>
      </c>
      <c r="AG7209" s="580">
        <f t="shared" si="599"/>
        <v>0</v>
      </c>
      <c r="AH7209" s="580">
        <f t="shared" si="600"/>
        <v>0</v>
      </c>
    </row>
    <row r="7210" spans="28:34">
      <c r="AB7210" s="580">
        <f>HLOOKUP("*"&amp;'Output annual'!$AC$2&amp;'Output annual'!$AD$2&amp;"*Zone People Number Of Occupants [](Hourly)",'Eplus results'!$1:$1048576,ROW(),FALSE)</f>
        <v>0</v>
      </c>
      <c r="AC7210" s="580">
        <f>HLOOKUP("*"&amp;'Output annual'!$AC$2&amp;'Output annual'!$AD$2&amp;"*FangerPMV(Hourly)",'Eplus results'!$1:$1048576,ROW(),FALSE)</f>
        <v>0</v>
      </c>
      <c r="AD7210" s="580">
        <f t="shared" si="596"/>
        <v>5</v>
      </c>
      <c r="AE7210" s="580">
        <f t="shared" si="597"/>
        <v>2.5</v>
      </c>
      <c r="AF7210" s="580">
        <f t="shared" si="598"/>
        <v>2.5</v>
      </c>
      <c r="AG7210" s="580">
        <f t="shared" si="599"/>
        <v>0</v>
      </c>
      <c r="AH7210" s="580">
        <f t="shared" si="600"/>
        <v>0</v>
      </c>
    </row>
    <row r="7211" spans="28:34">
      <c r="AB7211" s="580">
        <f>HLOOKUP("*"&amp;'Output annual'!$AC$2&amp;'Output annual'!$AD$2&amp;"*Zone People Number Of Occupants [](Hourly)",'Eplus results'!$1:$1048576,ROW(),FALSE)</f>
        <v>0</v>
      </c>
      <c r="AC7211" s="580">
        <f>HLOOKUP("*"&amp;'Output annual'!$AC$2&amp;'Output annual'!$AD$2&amp;"*FangerPMV(Hourly)",'Eplus results'!$1:$1048576,ROW(),FALSE)</f>
        <v>0</v>
      </c>
      <c r="AD7211" s="580">
        <f t="shared" si="596"/>
        <v>5</v>
      </c>
      <c r="AE7211" s="580">
        <f t="shared" si="597"/>
        <v>2.5</v>
      </c>
      <c r="AF7211" s="580">
        <f t="shared" si="598"/>
        <v>2.5</v>
      </c>
      <c r="AG7211" s="580">
        <f t="shared" si="599"/>
        <v>0</v>
      </c>
      <c r="AH7211" s="580">
        <f t="shared" si="600"/>
        <v>0</v>
      </c>
    </row>
    <row r="7212" spans="28:34">
      <c r="AB7212" s="580">
        <f>HLOOKUP("*"&amp;'Output annual'!$AC$2&amp;'Output annual'!$AD$2&amp;"*Zone People Number Of Occupants [](Hourly)",'Eplus results'!$1:$1048576,ROW(),FALSE)</f>
        <v>0</v>
      </c>
      <c r="AC7212" s="580">
        <f>HLOOKUP("*"&amp;'Output annual'!$AC$2&amp;'Output annual'!$AD$2&amp;"*FangerPMV(Hourly)",'Eplus results'!$1:$1048576,ROW(),FALSE)</f>
        <v>0</v>
      </c>
      <c r="AD7212" s="580">
        <f t="shared" si="596"/>
        <v>5</v>
      </c>
      <c r="AE7212" s="580">
        <f t="shared" si="597"/>
        <v>2.5</v>
      </c>
      <c r="AF7212" s="580">
        <f t="shared" si="598"/>
        <v>2.5</v>
      </c>
      <c r="AG7212" s="580">
        <f t="shared" si="599"/>
        <v>0</v>
      </c>
      <c r="AH7212" s="580">
        <f t="shared" si="600"/>
        <v>0</v>
      </c>
    </row>
    <row r="7213" spans="28:34">
      <c r="AB7213" s="580">
        <f>HLOOKUP("*"&amp;'Output annual'!$AC$2&amp;'Output annual'!$AD$2&amp;"*Zone People Number Of Occupants [](Hourly)",'Eplus results'!$1:$1048576,ROW(),FALSE)</f>
        <v>0</v>
      </c>
      <c r="AC7213" s="580">
        <f>HLOOKUP("*"&amp;'Output annual'!$AC$2&amp;'Output annual'!$AD$2&amp;"*FangerPMV(Hourly)",'Eplus results'!$1:$1048576,ROW(),FALSE)</f>
        <v>0</v>
      </c>
      <c r="AD7213" s="580">
        <f t="shared" si="596"/>
        <v>5</v>
      </c>
      <c r="AE7213" s="580">
        <f t="shared" si="597"/>
        <v>2.5</v>
      </c>
      <c r="AF7213" s="580">
        <f t="shared" si="598"/>
        <v>2.5</v>
      </c>
      <c r="AG7213" s="580">
        <f t="shared" si="599"/>
        <v>0</v>
      </c>
      <c r="AH7213" s="580">
        <f t="shared" si="600"/>
        <v>0</v>
      </c>
    </row>
    <row r="7214" spans="28:34">
      <c r="AB7214" s="580">
        <f>HLOOKUP("*"&amp;'Output annual'!$AC$2&amp;'Output annual'!$AD$2&amp;"*Zone People Number Of Occupants [](Hourly)",'Eplus results'!$1:$1048576,ROW(),FALSE)</f>
        <v>0</v>
      </c>
      <c r="AC7214" s="580">
        <f>HLOOKUP("*"&amp;'Output annual'!$AC$2&amp;'Output annual'!$AD$2&amp;"*FangerPMV(Hourly)",'Eplus results'!$1:$1048576,ROW(),FALSE)</f>
        <v>0</v>
      </c>
      <c r="AD7214" s="580">
        <f t="shared" si="596"/>
        <v>5</v>
      </c>
      <c r="AE7214" s="580">
        <f t="shared" si="597"/>
        <v>2.5</v>
      </c>
      <c r="AF7214" s="580">
        <f t="shared" si="598"/>
        <v>2.5</v>
      </c>
      <c r="AG7214" s="580">
        <f t="shared" si="599"/>
        <v>0</v>
      </c>
      <c r="AH7214" s="580">
        <f t="shared" si="600"/>
        <v>0</v>
      </c>
    </row>
    <row r="7215" spans="28:34">
      <c r="AB7215" s="580">
        <f>HLOOKUP("*"&amp;'Output annual'!$AC$2&amp;'Output annual'!$AD$2&amp;"*Zone People Number Of Occupants [](Hourly)",'Eplus results'!$1:$1048576,ROW(),FALSE)</f>
        <v>0</v>
      </c>
      <c r="AC7215" s="580">
        <f>HLOOKUP("*"&amp;'Output annual'!$AC$2&amp;'Output annual'!$AD$2&amp;"*FangerPMV(Hourly)",'Eplus results'!$1:$1048576,ROW(),FALSE)</f>
        <v>0</v>
      </c>
      <c r="AD7215" s="580">
        <f t="shared" si="596"/>
        <v>5</v>
      </c>
      <c r="AE7215" s="580">
        <f t="shared" si="597"/>
        <v>2.5</v>
      </c>
      <c r="AF7215" s="580">
        <f t="shared" si="598"/>
        <v>2.5</v>
      </c>
      <c r="AG7215" s="580">
        <f t="shared" si="599"/>
        <v>0</v>
      </c>
      <c r="AH7215" s="580">
        <f t="shared" si="600"/>
        <v>0</v>
      </c>
    </row>
    <row r="7216" spans="28:34">
      <c r="AB7216" s="580">
        <f>HLOOKUP("*"&amp;'Output annual'!$AC$2&amp;'Output annual'!$AD$2&amp;"*Zone People Number Of Occupants [](Hourly)",'Eplus results'!$1:$1048576,ROW(),FALSE)</f>
        <v>0</v>
      </c>
      <c r="AC7216" s="580">
        <f>HLOOKUP("*"&amp;'Output annual'!$AC$2&amp;'Output annual'!$AD$2&amp;"*FangerPMV(Hourly)",'Eplus results'!$1:$1048576,ROW(),FALSE)</f>
        <v>0</v>
      </c>
      <c r="AD7216" s="580">
        <f t="shared" si="596"/>
        <v>5</v>
      </c>
      <c r="AE7216" s="580">
        <f t="shared" si="597"/>
        <v>2.5</v>
      </c>
      <c r="AF7216" s="580">
        <f t="shared" si="598"/>
        <v>2.5</v>
      </c>
      <c r="AG7216" s="580">
        <f t="shared" si="599"/>
        <v>0</v>
      </c>
      <c r="AH7216" s="580">
        <f t="shared" si="600"/>
        <v>0</v>
      </c>
    </row>
    <row r="7217" spans="28:34">
      <c r="AB7217" s="580">
        <f>HLOOKUP("*"&amp;'Output annual'!$AC$2&amp;'Output annual'!$AD$2&amp;"*Zone People Number Of Occupants [](Hourly)",'Eplus results'!$1:$1048576,ROW(),FALSE)</f>
        <v>0</v>
      </c>
      <c r="AC7217" s="580">
        <f>HLOOKUP("*"&amp;'Output annual'!$AC$2&amp;'Output annual'!$AD$2&amp;"*FangerPMV(Hourly)",'Eplus results'!$1:$1048576,ROW(),FALSE)</f>
        <v>0</v>
      </c>
      <c r="AD7217" s="580">
        <f t="shared" si="596"/>
        <v>5</v>
      </c>
      <c r="AE7217" s="580">
        <f t="shared" si="597"/>
        <v>2.5</v>
      </c>
      <c r="AF7217" s="580">
        <f t="shared" si="598"/>
        <v>2.5</v>
      </c>
      <c r="AG7217" s="580">
        <f t="shared" si="599"/>
        <v>0</v>
      </c>
      <c r="AH7217" s="580">
        <f t="shared" si="600"/>
        <v>0</v>
      </c>
    </row>
    <row r="7218" spans="28:34">
      <c r="AB7218" s="580">
        <f>HLOOKUP("*"&amp;'Output annual'!$AC$2&amp;'Output annual'!$AD$2&amp;"*Zone People Number Of Occupants [](Hourly)",'Eplus results'!$1:$1048576,ROW(),FALSE)</f>
        <v>0</v>
      </c>
      <c r="AC7218" s="580">
        <f>HLOOKUP("*"&amp;'Output annual'!$AC$2&amp;'Output annual'!$AD$2&amp;"*FangerPMV(Hourly)",'Eplus results'!$1:$1048576,ROW(),FALSE)</f>
        <v>0</v>
      </c>
      <c r="AD7218" s="580">
        <f t="shared" si="596"/>
        <v>5</v>
      </c>
      <c r="AE7218" s="580">
        <f t="shared" si="597"/>
        <v>2.5</v>
      </c>
      <c r="AF7218" s="580">
        <f t="shared" si="598"/>
        <v>2.5</v>
      </c>
      <c r="AG7218" s="580">
        <f t="shared" si="599"/>
        <v>0</v>
      </c>
      <c r="AH7218" s="580">
        <f t="shared" si="600"/>
        <v>0</v>
      </c>
    </row>
    <row r="7219" spans="28:34">
      <c r="AB7219" s="580">
        <f>HLOOKUP("*"&amp;'Output annual'!$AC$2&amp;'Output annual'!$AD$2&amp;"*Zone People Number Of Occupants [](Hourly)",'Eplus results'!$1:$1048576,ROW(),FALSE)</f>
        <v>0</v>
      </c>
      <c r="AC7219" s="580">
        <f>HLOOKUP("*"&amp;'Output annual'!$AC$2&amp;'Output annual'!$AD$2&amp;"*FangerPMV(Hourly)",'Eplus results'!$1:$1048576,ROW(),FALSE)</f>
        <v>0</v>
      </c>
      <c r="AD7219" s="580">
        <f t="shared" si="596"/>
        <v>5</v>
      </c>
      <c r="AE7219" s="580">
        <f t="shared" si="597"/>
        <v>2.5</v>
      </c>
      <c r="AF7219" s="580">
        <f t="shared" si="598"/>
        <v>2.5</v>
      </c>
      <c r="AG7219" s="580">
        <f t="shared" si="599"/>
        <v>0</v>
      </c>
      <c r="AH7219" s="580">
        <f t="shared" si="600"/>
        <v>0</v>
      </c>
    </row>
    <row r="7220" spans="28:34">
      <c r="AB7220" s="580">
        <f>HLOOKUP("*"&amp;'Output annual'!$AC$2&amp;'Output annual'!$AD$2&amp;"*Zone People Number Of Occupants [](Hourly)",'Eplus results'!$1:$1048576,ROW(),FALSE)</f>
        <v>0</v>
      </c>
      <c r="AC7220" s="580">
        <f>HLOOKUP("*"&amp;'Output annual'!$AC$2&amp;'Output annual'!$AD$2&amp;"*FangerPMV(Hourly)",'Eplus results'!$1:$1048576,ROW(),FALSE)</f>
        <v>0</v>
      </c>
      <c r="AD7220" s="580">
        <f t="shared" si="596"/>
        <v>5</v>
      </c>
      <c r="AE7220" s="580">
        <f t="shared" si="597"/>
        <v>2.5</v>
      </c>
      <c r="AF7220" s="580">
        <f t="shared" si="598"/>
        <v>2.5</v>
      </c>
      <c r="AG7220" s="580">
        <f t="shared" si="599"/>
        <v>0</v>
      </c>
      <c r="AH7220" s="580">
        <f t="shared" si="600"/>
        <v>0</v>
      </c>
    </row>
    <row r="7221" spans="28:34">
      <c r="AB7221" s="580">
        <f>HLOOKUP("*"&amp;'Output annual'!$AC$2&amp;'Output annual'!$AD$2&amp;"*Zone People Number Of Occupants [](Hourly)",'Eplus results'!$1:$1048576,ROW(),FALSE)</f>
        <v>0</v>
      </c>
      <c r="AC7221" s="580">
        <f>HLOOKUP("*"&amp;'Output annual'!$AC$2&amp;'Output annual'!$AD$2&amp;"*FangerPMV(Hourly)",'Eplus results'!$1:$1048576,ROW(),FALSE)</f>
        <v>0</v>
      </c>
      <c r="AD7221" s="580">
        <f t="shared" si="596"/>
        <v>5</v>
      </c>
      <c r="AE7221" s="580">
        <f t="shared" si="597"/>
        <v>2.5</v>
      </c>
      <c r="AF7221" s="580">
        <f t="shared" si="598"/>
        <v>2.5</v>
      </c>
      <c r="AG7221" s="580">
        <f t="shared" si="599"/>
        <v>0</v>
      </c>
      <c r="AH7221" s="580">
        <f t="shared" si="600"/>
        <v>0</v>
      </c>
    </row>
    <row r="7222" spans="28:34">
      <c r="AB7222" s="580">
        <f>HLOOKUP("*"&amp;'Output annual'!$AC$2&amp;'Output annual'!$AD$2&amp;"*Zone People Number Of Occupants [](Hourly)",'Eplus results'!$1:$1048576,ROW(),FALSE)</f>
        <v>0</v>
      </c>
      <c r="AC7222" s="580">
        <f>HLOOKUP("*"&amp;'Output annual'!$AC$2&amp;'Output annual'!$AD$2&amp;"*FangerPMV(Hourly)",'Eplus results'!$1:$1048576,ROW(),FALSE)</f>
        <v>0</v>
      </c>
      <c r="AD7222" s="580">
        <f t="shared" si="596"/>
        <v>5</v>
      </c>
      <c r="AE7222" s="580">
        <f t="shared" si="597"/>
        <v>2.5</v>
      </c>
      <c r="AF7222" s="580">
        <f t="shared" si="598"/>
        <v>2.5</v>
      </c>
      <c r="AG7222" s="580">
        <f t="shared" si="599"/>
        <v>0</v>
      </c>
      <c r="AH7222" s="580">
        <f t="shared" si="600"/>
        <v>0</v>
      </c>
    </row>
    <row r="7223" spans="28:34">
      <c r="AB7223" s="580">
        <f>HLOOKUP("*"&amp;'Output annual'!$AC$2&amp;'Output annual'!$AD$2&amp;"*Zone People Number Of Occupants [](Hourly)",'Eplus results'!$1:$1048576,ROW(),FALSE)</f>
        <v>0</v>
      </c>
      <c r="AC7223" s="580">
        <f>HLOOKUP("*"&amp;'Output annual'!$AC$2&amp;'Output annual'!$AD$2&amp;"*FangerPMV(Hourly)",'Eplus results'!$1:$1048576,ROW(),FALSE)</f>
        <v>0</v>
      </c>
      <c r="AD7223" s="580">
        <f t="shared" si="596"/>
        <v>5</v>
      </c>
      <c r="AE7223" s="580">
        <f t="shared" si="597"/>
        <v>2.5</v>
      </c>
      <c r="AF7223" s="580">
        <f t="shared" si="598"/>
        <v>2.5</v>
      </c>
      <c r="AG7223" s="580">
        <f t="shared" si="599"/>
        <v>0</v>
      </c>
      <c r="AH7223" s="580">
        <f t="shared" si="600"/>
        <v>0</v>
      </c>
    </row>
    <row r="7224" spans="28:34">
      <c r="AB7224" s="580">
        <f>HLOOKUP("*"&amp;'Output annual'!$AC$2&amp;'Output annual'!$AD$2&amp;"*Zone People Number Of Occupants [](Hourly)",'Eplus results'!$1:$1048576,ROW(),FALSE)</f>
        <v>0</v>
      </c>
      <c r="AC7224" s="580">
        <f>HLOOKUP("*"&amp;'Output annual'!$AC$2&amp;'Output annual'!$AD$2&amp;"*FangerPMV(Hourly)",'Eplus results'!$1:$1048576,ROW(),FALSE)</f>
        <v>0</v>
      </c>
      <c r="AD7224" s="580">
        <f t="shared" si="596"/>
        <v>5</v>
      </c>
      <c r="AE7224" s="580">
        <f t="shared" si="597"/>
        <v>2.5</v>
      </c>
      <c r="AF7224" s="580">
        <f t="shared" si="598"/>
        <v>2.5</v>
      </c>
      <c r="AG7224" s="580">
        <f t="shared" si="599"/>
        <v>0</v>
      </c>
      <c r="AH7224" s="580">
        <f t="shared" si="600"/>
        <v>0</v>
      </c>
    </row>
    <row r="7225" spans="28:34">
      <c r="AB7225" s="580">
        <f>HLOOKUP("*"&amp;'Output annual'!$AC$2&amp;'Output annual'!$AD$2&amp;"*Zone People Number Of Occupants [](Hourly)",'Eplus results'!$1:$1048576,ROW(),FALSE)</f>
        <v>0</v>
      </c>
      <c r="AC7225" s="580">
        <f>HLOOKUP("*"&amp;'Output annual'!$AC$2&amp;'Output annual'!$AD$2&amp;"*FangerPMV(Hourly)",'Eplus results'!$1:$1048576,ROW(),FALSE)</f>
        <v>0</v>
      </c>
      <c r="AD7225" s="580">
        <f t="shared" si="596"/>
        <v>5</v>
      </c>
      <c r="AE7225" s="580">
        <f t="shared" si="597"/>
        <v>2.5</v>
      </c>
      <c r="AF7225" s="580">
        <f t="shared" si="598"/>
        <v>2.5</v>
      </c>
      <c r="AG7225" s="580">
        <f t="shared" si="599"/>
        <v>0</v>
      </c>
      <c r="AH7225" s="580">
        <f t="shared" si="600"/>
        <v>0</v>
      </c>
    </row>
    <row r="7226" spans="28:34">
      <c r="AB7226" s="580">
        <f>HLOOKUP("*"&amp;'Output annual'!$AC$2&amp;'Output annual'!$AD$2&amp;"*Zone People Number Of Occupants [](Hourly)",'Eplus results'!$1:$1048576,ROW(),FALSE)</f>
        <v>0</v>
      </c>
      <c r="AC7226" s="580">
        <f>HLOOKUP("*"&amp;'Output annual'!$AC$2&amp;'Output annual'!$AD$2&amp;"*FangerPMV(Hourly)",'Eplus results'!$1:$1048576,ROW(),FALSE)</f>
        <v>0</v>
      </c>
      <c r="AD7226" s="580">
        <f t="shared" si="596"/>
        <v>5</v>
      </c>
      <c r="AE7226" s="580">
        <f t="shared" si="597"/>
        <v>2.5</v>
      </c>
      <c r="AF7226" s="580">
        <f t="shared" si="598"/>
        <v>2.5</v>
      </c>
      <c r="AG7226" s="580">
        <f t="shared" si="599"/>
        <v>0</v>
      </c>
      <c r="AH7226" s="580">
        <f t="shared" si="600"/>
        <v>0</v>
      </c>
    </row>
    <row r="7227" spans="28:34">
      <c r="AB7227" s="580">
        <f>HLOOKUP("*"&amp;'Output annual'!$AC$2&amp;'Output annual'!$AD$2&amp;"*Zone People Number Of Occupants [](Hourly)",'Eplus results'!$1:$1048576,ROW(),FALSE)</f>
        <v>0</v>
      </c>
      <c r="AC7227" s="580">
        <f>HLOOKUP("*"&amp;'Output annual'!$AC$2&amp;'Output annual'!$AD$2&amp;"*FangerPMV(Hourly)",'Eplus results'!$1:$1048576,ROW(),FALSE)</f>
        <v>0</v>
      </c>
      <c r="AD7227" s="580">
        <f t="shared" si="596"/>
        <v>5</v>
      </c>
      <c r="AE7227" s="580">
        <f t="shared" si="597"/>
        <v>2.5</v>
      </c>
      <c r="AF7227" s="580">
        <f t="shared" si="598"/>
        <v>2.5</v>
      </c>
      <c r="AG7227" s="580">
        <f t="shared" si="599"/>
        <v>0</v>
      </c>
      <c r="AH7227" s="580">
        <f t="shared" si="600"/>
        <v>0</v>
      </c>
    </row>
    <row r="7228" spans="28:34">
      <c r="AB7228" s="580">
        <f>HLOOKUP("*"&amp;'Output annual'!$AC$2&amp;'Output annual'!$AD$2&amp;"*Zone People Number Of Occupants [](Hourly)",'Eplus results'!$1:$1048576,ROW(),FALSE)</f>
        <v>0</v>
      </c>
      <c r="AC7228" s="580">
        <f>HLOOKUP("*"&amp;'Output annual'!$AC$2&amp;'Output annual'!$AD$2&amp;"*FangerPMV(Hourly)",'Eplus results'!$1:$1048576,ROW(),FALSE)</f>
        <v>0</v>
      </c>
      <c r="AD7228" s="580">
        <f t="shared" si="596"/>
        <v>5</v>
      </c>
      <c r="AE7228" s="580">
        <f t="shared" si="597"/>
        <v>2.5</v>
      </c>
      <c r="AF7228" s="580">
        <f t="shared" si="598"/>
        <v>2.5</v>
      </c>
      <c r="AG7228" s="580">
        <f t="shared" si="599"/>
        <v>0</v>
      </c>
      <c r="AH7228" s="580">
        <f t="shared" si="600"/>
        <v>0</v>
      </c>
    </row>
    <row r="7229" spans="28:34">
      <c r="AB7229" s="580">
        <f>HLOOKUP("*"&amp;'Output annual'!$AC$2&amp;'Output annual'!$AD$2&amp;"*Zone People Number Of Occupants [](Hourly)",'Eplus results'!$1:$1048576,ROW(),FALSE)</f>
        <v>0</v>
      </c>
      <c r="AC7229" s="580">
        <f>HLOOKUP("*"&amp;'Output annual'!$AC$2&amp;'Output annual'!$AD$2&amp;"*FangerPMV(Hourly)",'Eplus results'!$1:$1048576,ROW(),FALSE)</f>
        <v>0</v>
      </c>
      <c r="AD7229" s="580">
        <f t="shared" si="596"/>
        <v>5</v>
      </c>
      <c r="AE7229" s="580">
        <f t="shared" si="597"/>
        <v>2.5</v>
      </c>
      <c r="AF7229" s="580">
        <f t="shared" si="598"/>
        <v>2.5</v>
      </c>
      <c r="AG7229" s="580">
        <f t="shared" si="599"/>
        <v>0</v>
      </c>
      <c r="AH7229" s="580">
        <f t="shared" si="600"/>
        <v>0</v>
      </c>
    </row>
    <row r="7230" spans="28:34">
      <c r="AB7230" s="580">
        <f>HLOOKUP("*"&amp;'Output annual'!$AC$2&amp;'Output annual'!$AD$2&amp;"*Zone People Number Of Occupants [](Hourly)",'Eplus results'!$1:$1048576,ROW(),FALSE)</f>
        <v>0</v>
      </c>
      <c r="AC7230" s="580">
        <f>HLOOKUP("*"&amp;'Output annual'!$AC$2&amp;'Output annual'!$AD$2&amp;"*FangerPMV(Hourly)",'Eplus results'!$1:$1048576,ROW(),FALSE)</f>
        <v>0</v>
      </c>
      <c r="AD7230" s="580">
        <f t="shared" si="596"/>
        <v>5</v>
      </c>
      <c r="AE7230" s="580">
        <f t="shared" si="597"/>
        <v>2.5</v>
      </c>
      <c r="AF7230" s="580">
        <f t="shared" si="598"/>
        <v>2.5</v>
      </c>
      <c r="AG7230" s="580">
        <f t="shared" si="599"/>
        <v>0</v>
      </c>
      <c r="AH7230" s="580">
        <f t="shared" si="600"/>
        <v>0</v>
      </c>
    </row>
    <row r="7231" spans="28:34">
      <c r="AB7231" s="580">
        <f>HLOOKUP("*"&amp;'Output annual'!$AC$2&amp;'Output annual'!$AD$2&amp;"*Zone People Number Of Occupants [](Hourly)",'Eplus results'!$1:$1048576,ROW(),FALSE)</f>
        <v>0</v>
      </c>
      <c r="AC7231" s="580">
        <f>HLOOKUP("*"&amp;'Output annual'!$AC$2&amp;'Output annual'!$AD$2&amp;"*FangerPMV(Hourly)",'Eplus results'!$1:$1048576,ROW(),FALSE)</f>
        <v>0</v>
      </c>
      <c r="AD7231" s="580">
        <f t="shared" si="596"/>
        <v>5</v>
      </c>
      <c r="AE7231" s="580">
        <f t="shared" si="597"/>
        <v>2.5</v>
      </c>
      <c r="AF7231" s="580">
        <f t="shared" si="598"/>
        <v>2.5</v>
      </c>
      <c r="AG7231" s="580">
        <f t="shared" si="599"/>
        <v>0</v>
      </c>
      <c r="AH7231" s="580">
        <f t="shared" si="600"/>
        <v>0</v>
      </c>
    </row>
    <row r="7232" spans="28:34">
      <c r="AB7232" s="580">
        <f>HLOOKUP("*"&amp;'Output annual'!$AC$2&amp;'Output annual'!$AD$2&amp;"*Zone People Number Of Occupants [](Hourly)",'Eplus results'!$1:$1048576,ROW(),FALSE)</f>
        <v>0</v>
      </c>
      <c r="AC7232" s="580">
        <f>HLOOKUP("*"&amp;'Output annual'!$AC$2&amp;'Output annual'!$AD$2&amp;"*FangerPMV(Hourly)",'Eplus results'!$1:$1048576,ROW(),FALSE)</f>
        <v>0</v>
      </c>
      <c r="AD7232" s="580">
        <f t="shared" si="596"/>
        <v>5</v>
      </c>
      <c r="AE7232" s="580">
        <f t="shared" si="597"/>
        <v>2.5</v>
      </c>
      <c r="AF7232" s="580">
        <f t="shared" si="598"/>
        <v>2.5</v>
      </c>
      <c r="AG7232" s="580">
        <f t="shared" si="599"/>
        <v>0</v>
      </c>
      <c r="AH7232" s="580">
        <f t="shared" si="600"/>
        <v>0</v>
      </c>
    </row>
    <row r="7233" spans="28:34">
      <c r="AB7233" s="580">
        <f>HLOOKUP("*"&amp;'Output annual'!$AC$2&amp;'Output annual'!$AD$2&amp;"*Zone People Number Of Occupants [](Hourly)",'Eplus results'!$1:$1048576,ROW(),FALSE)</f>
        <v>0</v>
      </c>
      <c r="AC7233" s="580">
        <f>HLOOKUP("*"&amp;'Output annual'!$AC$2&amp;'Output annual'!$AD$2&amp;"*FangerPMV(Hourly)",'Eplus results'!$1:$1048576,ROW(),FALSE)</f>
        <v>0</v>
      </c>
      <c r="AD7233" s="580">
        <f t="shared" si="596"/>
        <v>5</v>
      </c>
      <c r="AE7233" s="580">
        <f t="shared" si="597"/>
        <v>2.5</v>
      </c>
      <c r="AF7233" s="580">
        <f t="shared" si="598"/>
        <v>2.5</v>
      </c>
      <c r="AG7233" s="580">
        <f t="shared" si="599"/>
        <v>0</v>
      </c>
      <c r="AH7233" s="580">
        <f t="shared" si="600"/>
        <v>0</v>
      </c>
    </row>
    <row r="7234" spans="28:34">
      <c r="AB7234" s="580">
        <f>HLOOKUP("*"&amp;'Output annual'!$AC$2&amp;'Output annual'!$AD$2&amp;"*Zone People Number Of Occupants [](Hourly)",'Eplus results'!$1:$1048576,ROW(),FALSE)</f>
        <v>0</v>
      </c>
      <c r="AC7234" s="580">
        <f>HLOOKUP("*"&amp;'Output annual'!$AC$2&amp;'Output annual'!$AD$2&amp;"*FangerPMV(Hourly)",'Eplus results'!$1:$1048576,ROW(),FALSE)</f>
        <v>0</v>
      </c>
      <c r="AD7234" s="580">
        <f t="shared" si="596"/>
        <v>5</v>
      </c>
      <c r="AE7234" s="580">
        <f t="shared" si="597"/>
        <v>2.5</v>
      </c>
      <c r="AF7234" s="580">
        <f t="shared" si="598"/>
        <v>2.5</v>
      </c>
      <c r="AG7234" s="580">
        <f t="shared" si="599"/>
        <v>0</v>
      </c>
      <c r="AH7234" s="580">
        <f t="shared" si="600"/>
        <v>0</v>
      </c>
    </row>
    <row r="7235" spans="28:34">
      <c r="AB7235" s="580">
        <f>HLOOKUP("*"&amp;'Output annual'!$AC$2&amp;'Output annual'!$AD$2&amp;"*Zone People Number Of Occupants [](Hourly)",'Eplus results'!$1:$1048576,ROW(),FALSE)</f>
        <v>0</v>
      </c>
      <c r="AC7235" s="580">
        <f>HLOOKUP("*"&amp;'Output annual'!$AC$2&amp;'Output annual'!$AD$2&amp;"*FangerPMV(Hourly)",'Eplus results'!$1:$1048576,ROW(),FALSE)</f>
        <v>0</v>
      </c>
      <c r="AD7235" s="580">
        <f t="shared" ref="AD7235:AD7298" si="601">100-95*EXP(-0.03353*AC7235^4-0.2179*AC7235^2)</f>
        <v>5</v>
      </c>
      <c r="AE7235" s="580">
        <f t="shared" ref="AE7235:AE7298" si="602">AD7235*(1/(1+EXP(-6.3*$AC7235)))</f>
        <v>2.5</v>
      </c>
      <c r="AF7235" s="580">
        <f t="shared" ref="AF7235:AF7298" si="603">(AD7235-AE7235)</f>
        <v>2.5</v>
      </c>
      <c r="AG7235" s="580">
        <f t="shared" ref="AG7235:AG7298" si="604">AE7235*AB7235</f>
        <v>0</v>
      </c>
      <c r="AH7235" s="580">
        <f t="shared" ref="AH7235:AH7298" si="605">AF7235*AB7235</f>
        <v>0</v>
      </c>
    </row>
    <row r="7236" spans="28:34">
      <c r="AB7236" s="580">
        <f>HLOOKUP("*"&amp;'Output annual'!$AC$2&amp;'Output annual'!$AD$2&amp;"*Zone People Number Of Occupants [](Hourly)",'Eplus results'!$1:$1048576,ROW(),FALSE)</f>
        <v>0</v>
      </c>
      <c r="AC7236" s="580">
        <f>HLOOKUP("*"&amp;'Output annual'!$AC$2&amp;'Output annual'!$AD$2&amp;"*FangerPMV(Hourly)",'Eplus results'!$1:$1048576,ROW(),FALSE)</f>
        <v>0</v>
      </c>
      <c r="AD7236" s="580">
        <f t="shared" si="601"/>
        <v>5</v>
      </c>
      <c r="AE7236" s="580">
        <f t="shared" si="602"/>
        <v>2.5</v>
      </c>
      <c r="AF7236" s="580">
        <f t="shared" si="603"/>
        <v>2.5</v>
      </c>
      <c r="AG7236" s="580">
        <f t="shared" si="604"/>
        <v>0</v>
      </c>
      <c r="AH7236" s="580">
        <f t="shared" si="605"/>
        <v>0</v>
      </c>
    </row>
    <row r="7237" spans="28:34">
      <c r="AB7237" s="580">
        <f>HLOOKUP("*"&amp;'Output annual'!$AC$2&amp;'Output annual'!$AD$2&amp;"*Zone People Number Of Occupants [](Hourly)",'Eplus results'!$1:$1048576,ROW(),FALSE)</f>
        <v>0</v>
      </c>
      <c r="AC7237" s="580">
        <f>HLOOKUP("*"&amp;'Output annual'!$AC$2&amp;'Output annual'!$AD$2&amp;"*FangerPMV(Hourly)",'Eplus results'!$1:$1048576,ROW(),FALSE)</f>
        <v>0</v>
      </c>
      <c r="AD7237" s="580">
        <f t="shared" si="601"/>
        <v>5</v>
      </c>
      <c r="AE7237" s="580">
        <f t="shared" si="602"/>
        <v>2.5</v>
      </c>
      <c r="AF7237" s="580">
        <f t="shared" si="603"/>
        <v>2.5</v>
      </c>
      <c r="AG7237" s="580">
        <f t="shared" si="604"/>
        <v>0</v>
      </c>
      <c r="AH7237" s="580">
        <f t="shared" si="605"/>
        <v>0</v>
      </c>
    </row>
    <row r="7238" spans="28:34">
      <c r="AB7238" s="580">
        <f>HLOOKUP("*"&amp;'Output annual'!$AC$2&amp;'Output annual'!$AD$2&amp;"*Zone People Number Of Occupants [](Hourly)",'Eplus results'!$1:$1048576,ROW(),FALSE)</f>
        <v>0</v>
      </c>
      <c r="AC7238" s="580">
        <f>HLOOKUP("*"&amp;'Output annual'!$AC$2&amp;'Output annual'!$AD$2&amp;"*FangerPMV(Hourly)",'Eplus results'!$1:$1048576,ROW(),FALSE)</f>
        <v>0</v>
      </c>
      <c r="AD7238" s="580">
        <f t="shared" si="601"/>
        <v>5</v>
      </c>
      <c r="AE7238" s="580">
        <f t="shared" si="602"/>
        <v>2.5</v>
      </c>
      <c r="AF7238" s="580">
        <f t="shared" si="603"/>
        <v>2.5</v>
      </c>
      <c r="AG7238" s="580">
        <f t="shared" si="604"/>
        <v>0</v>
      </c>
      <c r="AH7238" s="580">
        <f t="shared" si="605"/>
        <v>0</v>
      </c>
    </row>
    <row r="7239" spans="28:34">
      <c r="AB7239" s="580">
        <f>HLOOKUP("*"&amp;'Output annual'!$AC$2&amp;'Output annual'!$AD$2&amp;"*Zone People Number Of Occupants [](Hourly)",'Eplus results'!$1:$1048576,ROW(),FALSE)</f>
        <v>0</v>
      </c>
      <c r="AC7239" s="580">
        <f>HLOOKUP("*"&amp;'Output annual'!$AC$2&amp;'Output annual'!$AD$2&amp;"*FangerPMV(Hourly)",'Eplus results'!$1:$1048576,ROW(),FALSE)</f>
        <v>0</v>
      </c>
      <c r="AD7239" s="580">
        <f t="shared" si="601"/>
        <v>5</v>
      </c>
      <c r="AE7239" s="580">
        <f t="shared" si="602"/>
        <v>2.5</v>
      </c>
      <c r="AF7239" s="580">
        <f t="shared" si="603"/>
        <v>2.5</v>
      </c>
      <c r="AG7239" s="580">
        <f t="shared" si="604"/>
        <v>0</v>
      </c>
      <c r="AH7239" s="580">
        <f t="shared" si="605"/>
        <v>0</v>
      </c>
    </row>
    <row r="7240" spans="28:34">
      <c r="AB7240" s="580">
        <f>HLOOKUP("*"&amp;'Output annual'!$AC$2&amp;'Output annual'!$AD$2&amp;"*Zone People Number Of Occupants [](Hourly)",'Eplus results'!$1:$1048576,ROW(),FALSE)</f>
        <v>0</v>
      </c>
      <c r="AC7240" s="580">
        <f>HLOOKUP("*"&amp;'Output annual'!$AC$2&amp;'Output annual'!$AD$2&amp;"*FangerPMV(Hourly)",'Eplus results'!$1:$1048576,ROW(),FALSE)</f>
        <v>0</v>
      </c>
      <c r="AD7240" s="580">
        <f t="shared" si="601"/>
        <v>5</v>
      </c>
      <c r="AE7240" s="580">
        <f t="shared" si="602"/>
        <v>2.5</v>
      </c>
      <c r="AF7240" s="580">
        <f t="shared" si="603"/>
        <v>2.5</v>
      </c>
      <c r="AG7240" s="580">
        <f t="shared" si="604"/>
        <v>0</v>
      </c>
      <c r="AH7240" s="580">
        <f t="shared" si="605"/>
        <v>0</v>
      </c>
    </row>
    <row r="7241" spans="28:34">
      <c r="AB7241" s="580">
        <f>HLOOKUP("*"&amp;'Output annual'!$AC$2&amp;'Output annual'!$AD$2&amp;"*Zone People Number Of Occupants [](Hourly)",'Eplus results'!$1:$1048576,ROW(),FALSE)</f>
        <v>0</v>
      </c>
      <c r="AC7241" s="580">
        <f>HLOOKUP("*"&amp;'Output annual'!$AC$2&amp;'Output annual'!$AD$2&amp;"*FangerPMV(Hourly)",'Eplus results'!$1:$1048576,ROW(),FALSE)</f>
        <v>0</v>
      </c>
      <c r="AD7241" s="580">
        <f t="shared" si="601"/>
        <v>5</v>
      </c>
      <c r="AE7241" s="580">
        <f t="shared" si="602"/>
        <v>2.5</v>
      </c>
      <c r="AF7241" s="580">
        <f t="shared" si="603"/>
        <v>2.5</v>
      </c>
      <c r="AG7241" s="580">
        <f t="shared" si="604"/>
        <v>0</v>
      </c>
      <c r="AH7241" s="580">
        <f t="shared" si="605"/>
        <v>0</v>
      </c>
    </row>
    <row r="7242" spans="28:34">
      <c r="AB7242" s="580">
        <f>HLOOKUP("*"&amp;'Output annual'!$AC$2&amp;'Output annual'!$AD$2&amp;"*Zone People Number Of Occupants [](Hourly)",'Eplus results'!$1:$1048576,ROW(),FALSE)</f>
        <v>0</v>
      </c>
      <c r="AC7242" s="580">
        <f>HLOOKUP("*"&amp;'Output annual'!$AC$2&amp;'Output annual'!$AD$2&amp;"*FangerPMV(Hourly)",'Eplus results'!$1:$1048576,ROW(),FALSE)</f>
        <v>0</v>
      </c>
      <c r="AD7242" s="580">
        <f t="shared" si="601"/>
        <v>5</v>
      </c>
      <c r="AE7242" s="580">
        <f t="shared" si="602"/>
        <v>2.5</v>
      </c>
      <c r="AF7242" s="580">
        <f t="shared" si="603"/>
        <v>2.5</v>
      </c>
      <c r="AG7242" s="580">
        <f t="shared" si="604"/>
        <v>0</v>
      </c>
      <c r="AH7242" s="580">
        <f t="shared" si="605"/>
        <v>0</v>
      </c>
    </row>
    <row r="7243" spans="28:34">
      <c r="AB7243" s="580">
        <f>HLOOKUP("*"&amp;'Output annual'!$AC$2&amp;'Output annual'!$AD$2&amp;"*Zone People Number Of Occupants [](Hourly)",'Eplus results'!$1:$1048576,ROW(),FALSE)</f>
        <v>0</v>
      </c>
      <c r="AC7243" s="580">
        <f>HLOOKUP("*"&amp;'Output annual'!$AC$2&amp;'Output annual'!$AD$2&amp;"*FangerPMV(Hourly)",'Eplus results'!$1:$1048576,ROW(),FALSE)</f>
        <v>0</v>
      </c>
      <c r="AD7243" s="580">
        <f t="shared" si="601"/>
        <v>5</v>
      </c>
      <c r="AE7243" s="580">
        <f t="shared" si="602"/>
        <v>2.5</v>
      </c>
      <c r="AF7243" s="580">
        <f t="shared" si="603"/>
        <v>2.5</v>
      </c>
      <c r="AG7243" s="580">
        <f t="shared" si="604"/>
        <v>0</v>
      </c>
      <c r="AH7243" s="580">
        <f t="shared" si="605"/>
        <v>0</v>
      </c>
    </row>
    <row r="7244" spans="28:34">
      <c r="AB7244" s="580">
        <f>HLOOKUP("*"&amp;'Output annual'!$AC$2&amp;'Output annual'!$AD$2&amp;"*Zone People Number Of Occupants [](Hourly)",'Eplus results'!$1:$1048576,ROW(),FALSE)</f>
        <v>0</v>
      </c>
      <c r="AC7244" s="580">
        <f>HLOOKUP("*"&amp;'Output annual'!$AC$2&amp;'Output annual'!$AD$2&amp;"*FangerPMV(Hourly)",'Eplus results'!$1:$1048576,ROW(),FALSE)</f>
        <v>0</v>
      </c>
      <c r="AD7244" s="580">
        <f t="shared" si="601"/>
        <v>5</v>
      </c>
      <c r="AE7244" s="580">
        <f t="shared" si="602"/>
        <v>2.5</v>
      </c>
      <c r="AF7244" s="580">
        <f t="shared" si="603"/>
        <v>2.5</v>
      </c>
      <c r="AG7244" s="580">
        <f t="shared" si="604"/>
        <v>0</v>
      </c>
      <c r="AH7244" s="580">
        <f t="shared" si="605"/>
        <v>0</v>
      </c>
    </row>
    <row r="7245" spans="28:34">
      <c r="AB7245" s="580">
        <f>HLOOKUP("*"&amp;'Output annual'!$AC$2&amp;'Output annual'!$AD$2&amp;"*Zone People Number Of Occupants [](Hourly)",'Eplus results'!$1:$1048576,ROW(),FALSE)</f>
        <v>0</v>
      </c>
      <c r="AC7245" s="580">
        <f>HLOOKUP("*"&amp;'Output annual'!$AC$2&amp;'Output annual'!$AD$2&amp;"*FangerPMV(Hourly)",'Eplus results'!$1:$1048576,ROW(),FALSE)</f>
        <v>0</v>
      </c>
      <c r="AD7245" s="580">
        <f t="shared" si="601"/>
        <v>5</v>
      </c>
      <c r="AE7245" s="580">
        <f t="shared" si="602"/>
        <v>2.5</v>
      </c>
      <c r="AF7245" s="580">
        <f t="shared" si="603"/>
        <v>2.5</v>
      </c>
      <c r="AG7245" s="580">
        <f t="shared" si="604"/>
        <v>0</v>
      </c>
      <c r="AH7245" s="580">
        <f t="shared" si="605"/>
        <v>0</v>
      </c>
    </row>
    <row r="7246" spans="28:34">
      <c r="AB7246" s="580">
        <f>HLOOKUP("*"&amp;'Output annual'!$AC$2&amp;'Output annual'!$AD$2&amp;"*Zone People Number Of Occupants [](Hourly)",'Eplus results'!$1:$1048576,ROW(),FALSE)</f>
        <v>0</v>
      </c>
      <c r="AC7246" s="580">
        <f>HLOOKUP("*"&amp;'Output annual'!$AC$2&amp;'Output annual'!$AD$2&amp;"*FangerPMV(Hourly)",'Eplus results'!$1:$1048576,ROW(),FALSE)</f>
        <v>0</v>
      </c>
      <c r="AD7246" s="580">
        <f t="shared" si="601"/>
        <v>5</v>
      </c>
      <c r="AE7246" s="580">
        <f t="shared" si="602"/>
        <v>2.5</v>
      </c>
      <c r="AF7246" s="580">
        <f t="shared" si="603"/>
        <v>2.5</v>
      </c>
      <c r="AG7246" s="580">
        <f t="shared" si="604"/>
        <v>0</v>
      </c>
      <c r="AH7246" s="580">
        <f t="shared" si="605"/>
        <v>0</v>
      </c>
    </row>
    <row r="7247" spans="28:34">
      <c r="AB7247" s="580">
        <f>HLOOKUP("*"&amp;'Output annual'!$AC$2&amp;'Output annual'!$AD$2&amp;"*Zone People Number Of Occupants [](Hourly)",'Eplus results'!$1:$1048576,ROW(),FALSE)</f>
        <v>0</v>
      </c>
      <c r="AC7247" s="580">
        <f>HLOOKUP("*"&amp;'Output annual'!$AC$2&amp;'Output annual'!$AD$2&amp;"*FangerPMV(Hourly)",'Eplus results'!$1:$1048576,ROW(),FALSE)</f>
        <v>0</v>
      </c>
      <c r="AD7247" s="580">
        <f t="shared" si="601"/>
        <v>5</v>
      </c>
      <c r="AE7247" s="580">
        <f t="shared" si="602"/>
        <v>2.5</v>
      </c>
      <c r="AF7247" s="580">
        <f t="shared" si="603"/>
        <v>2.5</v>
      </c>
      <c r="AG7247" s="580">
        <f t="shared" si="604"/>
        <v>0</v>
      </c>
      <c r="AH7247" s="580">
        <f t="shared" si="605"/>
        <v>0</v>
      </c>
    </row>
    <row r="7248" spans="28:34">
      <c r="AB7248" s="580">
        <f>HLOOKUP("*"&amp;'Output annual'!$AC$2&amp;'Output annual'!$AD$2&amp;"*Zone People Number Of Occupants [](Hourly)",'Eplus results'!$1:$1048576,ROW(),FALSE)</f>
        <v>0</v>
      </c>
      <c r="AC7248" s="580">
        <f>HLOOKUP("*"&amp;'Output annual'!$AC$2&amp;'Output annual'!$AD$2&amp;"*FangerPMV(Hourly)",'Eplus results'!$1:$1048576,ROW(),FALSE)</f>
        <v>0</v>
      </c>
      <c r="AD7248" s="580">
        <f t="shared" si="601"/>
        <v>5</v>
      </c>
      <c r="AE7248" s="580">
        <f t="shared" si="602"/>
        <v>2.5</v>
      </c>
      <c r="AF7248" s="580">
        <f t="shared" si="603"/>
        <v>2.5</v>
      </c>
      <c r="AG7248" s="580">
        <f t="shared" si="604"/>
        <v>0</v>
      </c>
      <c r="AH7248" s="580">
        <f t="shared" si="605"/>
        <v>0</v>
      </c>
    </row>
    <row r="7249" spans="28:34">
      <c r="AB7249" s="580">
        <f>HLOOKUP("*"&amp;'Output annual'!$AC$2&amp;'Output annual'!$AD$2&amp;"*Zone People Number Of Occupants [](Hourly)",'Eplus results'!$1:$1048576,ROW(),FALSE)</f>
        <v>0</v>
      </c>
      <c r="AC7249" s="580">
        <f>HLOOKUP("*"&amp;'Output annual'!$AC$2&amp;'Output annual'!$AD$2&amp;"*FangerPMV(Hourly)",'Eplus results'!$1:$1048576,ROW(),FALSE)</f>
        <v>0</v>
      </c>
      <c r="AD7249" s="580">
        <f t="shared" si="601"/>
        <v>5</v>
      </c>
      <c r="AE7249" s="580">
        <f t="shared" si="602"/>
        <v>2.5</v>
      </c>
      <c r="AF7249" s="580">
        <f t="shared" si="603"/>
        <v>2.5</v>
      </c>
      <c r="AG7249" s="580">
        <f t="shared" si="604"/>
        <v>0</v>
      </c>
      <c r="AH7249" s="580">
        <f t="shared" si="605"/>
        <v>0</v>
      </c>
    </row>
    <row r="7250" spans="28:34">
      <c r="AB7250" s="580">
        <f>HLOOKUP("*"&amp;'Output annual'!$AC$2&amp;'Output annual'!$AD$2&amp;"*Zone People Number Of Occupants [](Hourly)",'Eplus results'!$1:$1048576,ROW(),FALSE)</f>
        <v>0</v>
      </c>
      <c r="AC7250" s="580">
        <f>HLOOKUP("*"&amp;'Output annual'!$AC$2&amp;'Output annual'!$AD$2&amp;"*FangerPMV(Hourly)",'Eplus results'!$1:$1048576,ROW(),FALSE)</f>
        <v>0</v>
      </c>
      <c r="AD7250" s="580">
        <f t="shared" si="601"/>
        <v>5</v>
      </c>
      <c r="AE7250" s="580">
        <f t="shared" si="602"/>
        <v>2.5</v>
      </c>
      <c r="AF7250" s="580">
        <f t="shared" si="603"/>
        <v>2.5</v>
      </c>
      <c r="AG7250" s="580">
        <f t="shared" si="604"/>
        <v>0</v>
      </c>
      <c r="AH7250" s="580">
        <f t="shared" si="605"/>
        <v>0</v>
      </c>
    </row>
    <row r="7251" spans="28:34">
      <c r="AB7251" s="580">
        <f>HLOOKUP("*"&amp;'Output annual'!$AC$2&amp;'Output annual'!$AD$2&amp;"*Zone People Number Of Occupants [](Hourly)",'Eplus results'!$1:$1048576,ROW(),FALSE)</f>
        <v>0</v>
      </c>
      <c r="AC7251" s="580">
        <f>HLOOKUP("*"&amp;'Output annual'!$AC$2&amp;'Output annual'!$AD$2&amp;"*FangerPMV(Hourly)",'Eplus results'!$1:$1048576,ROW(),FALSE)</f>
        <v>0</v>
      </c>
      <c r="AD7251" s="580">
        <f t="shared" si="601"/>
        <v>5</v>
      </c>
      <c r="AE7251" s="580">
        <f t="shared" si="602"/>
        <v>2.5</v>
      </c>
      <c r="AF7251" s="580">
        <f t="shared" si="603"/>
        <v>2.5</v>
      </c>
      <c r="AG7251" s="580">
        <f t="shared" si="604"/>
        <v>0</v>
      </c>
      <c r="AH7251" s="580">
        <f t="shared" si="605"/>
        <v>0</v>
      </c>
    </row>
    <row r="7252" spans="28:34">
      <c r="AB7252" s="580">
        <f>HLOOKUP("*"&amp;'Output annual'!$AC$2&amp;'Output annual'!$AD$2&amp;"*Zone People Number Of Occupants [](Hourly)",'Eplus results'!$1:$1048576,ROW(),FALSE)</f>
        <v>0</v>
      </c>
      <c r="AC7252" s="580">
        <f>HLOOKUP("*"&amp;'Output annual'!$AC$2&amp;'Output annual'!$AD$2&amp;"*FangerPMV(Hourly)",'Eplus results'!$1:$1048576,ROW(),FALSE)</f>
        <v>0</v>
      </c>
      <c r="AD7252" s="580">
        <f t="shared" si="601"/>
        <v>5</v>
      </c>
      <c r="AE7252" s="580">
        <f t="shared" si="602"/>
        <v>2.5</v>
      </c>
      <c r="AF7252" s="580">
        <f t="shared" si="603"/>
        <v>2.5</v>
      </c>
      <c r="AG7252" s="580">
        <f t="shared" si="604"/>
        <v>0</v>
      </c>
      <c r="AH7252" s="580">
        <f t="shared" si="605"/>
        <v>0</v>
      </c>
    </row>
    <row r="7253" spans="28:34">
      <c r="AB7253" s="580">
        <f>HLOOKUP("*"&amp;'Output annual'!$AC$2&amp;'Output annual'!$AD$2&amp;"*Zone People Number Of Occupants [](Hourly)",'Eplus results'!$1:$1048576,ROW(),FALSE)</f>
        <v>0</v>
      </c>
      <c r="AC7253" s="580">
        <f>HLOOKUP("*"&amp;'Output annual'!$AC$2&amp;'Output annual'!$AD$2&amp;"*FangerPMV(Hourly)",'Eplus results'!$1:$1048576,ROW(),FALSE)</f>
        <v>0</v>
      </c>
      <c r="AD7253" s="580">
        <f t="shared" si="601"/>
        <v>5</v>
      </c>
      <c r="AE7253" s="580">
        <f t="shared" si="602"/>
        <v>2.5</v>
      </c>
      <c r="AF7253" s="580">
        <f t="shared" si="603"/>
        <v>2.5</v>
      </c>
      <c r="AG7253" s="580">
        <f t="shared" si="604"/>
        <v>0</v>
      </c>
      <c r="AH7253" s="580">
        <f t="shared" si="605"/>
        <v>0</v>
      </c>
    </row>
    <row r="7254" spans="28:34">
      <c r="AB7254" s="580">
        <f>HLOOKUP("*"&amp;'Output annual'!$AC$2&amp;'Output annual'!$AD$2&amp;"*Zone People Number Of Occupants [](Hourly)",'Eplus results'!$1:$1048576,ROW(),FALSE)</f>
        <v>0</v>
      </c>
      <c r="AC7254" s="580">
        <f>HLOOKUP("*"&amp;'Output annual'!$AC$2&amp;'Output annual'!$AD$2&amp;"*FangerPMV(Hourly)",'Eplus results'!$1:$1048576,ROW(),FALSE)</f>
        <v>0</v>
      </c>
      <c r="AD7254" s="580">
        <f t="shared" si="601"/>
        <v>5</v>
      </c>
      <c r="AE7254" s="580">
        <f t="shared" si="602"/>
        <v>2.5</v>
      </c>
      <c r="AF7254" s="580">
        <f t="shared" si="603"/>
        <v>2.5</v>
      </c>
      <c r="AG7254" s="580">
        <f t="shared" si="604"/>
        <v>0</v>
      </c>
      <c r="AH7254" s="580">
        <f t="shared" si="605"/>
        <v>0</v>
      </c>
    </row>
    <row r="7255" spans="28:34">
      <c r="AB7255" s="580">
        <f>HLOOKUP("*"&amp;'Output annual'!$AC$2&amp;'Output annual'!$AD$2&amp;"*Zone People Number Of Occupants [](Hourly)",'Eplus results'!$1:$1048576,ROW(),FALSE)</f>
        <v>0</v>
      </c>
      <c r="AC7255" s="580">
        <f>HLOOKUP("*"&amp;'Output annual'!$AC$2&amp;'Output annual'!$AD$2&amp;"*FangerPMV(Hourly)",'Eplus results'!$1:$1048576,ROW(),FALSE)</f>
        <v>0</v>
      </c>
      <c r="AD7255" s="580">
        <f t="shared" si="601"/>
        <v>5</v>
      </c>
      <c r="AE7255" s="580">
        <f t="shared" si="602"/>
        <v>2.5</v>
      </c>
      <c r="AF7255" s="580">
        <f t="shared" si="603"/>
        <v>2.5</v>
      </c>
      <c r="AG7255" s="580">
        <f t="shared" si="604"/>
        <v>0</v>
      </c>
      <c r="AH7255" s="580">
        <f t="shared" si="605"/>
        <v>0</v>
      </c>
    </row>
    <row r="7256" spans="28:34">
      <c r="AB7256" s="580">
        <f>HLOOKUP("*"&amp;'Output annual'!$AC$2&amp;'Output annual'!$AD$2&amp;"*Zone People Number Of Occupants [](Hourly)",'Eplus results'!$1:$1048576,ROW(),FALSE)</f>
        <v>0</v>
      </c>
      <c r="AC7256" s="580">
        <f>HLOOKUP("*"&amp;'Output annual'!$AC$2&amp;'Output annual'!$AD$2&amp;"*FangerPMV(Hourly)",'Eplus results'!$1:$1048576,ROW(),FALSE)</f>
        <v>0</v>
      </c>
      <c r="AD7256" s="580">
        <f t="shared" si="601"/>
        <v>5</v>
      </c>
      <c r="AE7256" s="580">
        <f t="shared" si="602"/>
        <v>2.5</v>
      </c>
      <c r="AF7256" s="580">
        <f t="shared" si="603"/>
        <v>2.5</v>
      </c>
      <c r="AG7256" s="580">
        <f t="shared" si="604"/>
        <v>0</v>
      </c>
      <c r="AH7256" s="580">
        <f t="shared" si="605"/>
        <v>0</v>
      </c>
    </row>
    <row r="7257" spans="28:34">
      <c r="AB7257" s="580">
        <f>HLOOKUP("*"&amp;'Output annual'!$AC$2&amp;'Output annual'!$AD$2&amp;"*Zone People Number Of Occupants [](Hourly)",'Eplus results'!$1:$1048576,ROW(),FALSE)</f>
        <v>0</v>
      </c>
      <c r="AC7257" s="580">
        <f>HLOOKUP("*"&amp;'Output annual'!$AC$2&amp;'Output annual'!$AD$2&amp;"*FangerPMV(Hourly)",'Eplus results'!$1:$1048576,ROW(),FALSE)</f>
        <v>0</v>
      </c>
      <c r="AD7257" s="580">
        <f t="shared" si="601"/>
        <v>5</v>
      </c>
      <c r="AE7257" s="580">
        <f t="shared" si="602"/>
        <v>2.5</v>
      </c>
      <c r="AF7257" s="580">
        <f t="shared" si="603"/>
        <v>2.5</v>
      </c>
      <c r="AG7257" s="580">
        <f t="shared" si="604"/>
        <v>0</v>
      </c>
      <c r="AH7257" s="580">
        <f t="shared" si="605"/>
        <v>0</v>
      </c>
    </row>
    <row r="7258" spans="28:34">
      <c r="AB7258" s="580">
        <f>HLOOKUP("*"&amp;'Output annual'!$AC$2&amp;'Output annual'!$AD$2&amp;"*Zone People Number Of Occupants [](Hourly)",'Eplus results'!$1:$1048576,ROW(),FALSE)</f>
        <v>0</v>
      </c>
      <c r="AC7258" s="580">
        <f>HLOOKUP("*"&amp;'Output annual'!$AC$2&amp;'Output annual'!$AD$2&amp;"*FangerPMV(Hourly)",'Eplus results'!$1:$1048576,ROW(),FALSE)</f>
        <v>0</v>
      </c>
      <c r="AD7258" s="580">
        <f t="shared" si="601"/>
        <v>5</v>
      </c>
      <c r="AE7258" s="580">
        <f t="shared" si="602"/>
        <v>2.5</v>
      </c>
      <c r="AF7258" s="580">
        <f t="shared" si="603"/>
        <v>2.5</v>
      </c>
      <c r="AG7258" s="580">
        <f t="shared" si="604"/>
        <v>0</v>
      </c>
      <c r="AH7258" s="580">
        <f t="shared" si="605"/>
        <v>0</v>
      </c>
    </row>
    <row r="7259" spans="28:34">
      <c r="AB7259" s="580">
        <f>HLOOKUP("*"&amp;'Output annual'!$AC$2&amp;'Output annual'!$AD$2&amp;"*Zone People Number Of Occupants [](Hourly)",'Eplus results'!$1:$1048576,ROW(),FALSE)</f>
        <v>0</v>
      </c>
      <c r="AC7259" s="580">
        <f>HLOOKUP("*"&amp;'Output annual'!$AC$2&amp;'Output annual'!$AD$2&amp;"*FangerPMV(Hourly)",'Eplus results'!$1:$1048576,ROW(),FALSE)</f>
        <v>0</v>
      </c>
      <c r="AD7259" s="580">
        <f t="shared" si="601"/>
        <v>5</v>
      </c>
      <c r="AE7259" s="580">
        <f t="shared" si="602"/>
        <v>2.5</v>
      </c>
      <c r="AF7259" s="580">
        <f t="shared" si="603"/>
        <v>2.5</v>
      </c>
      <c r="AG7259" s="580">
        <f t="shared" si="604"/>
        <v>0</v>
      </c>
      <c r="AH7259" s="580">
        <f t="shared" si="605"/>
        <v>0</v>
      </c>
    </row>
    <row r="7260" spans="28:34">
      <c r="AB7260" s="580">
        <f>HLOOKUP("*"&amp;'Output annual'!$AC$2&amp;'Output annual'!$AD$2&amp;"*Zone People Number Of Occupants [](Hourly)",'Eplus results'!$1:$1048576,ROW(),FALSE)</f>
        <v>0</v>
      </c>
      <c r="AC7260" s="580">
        <f>HLOOKUP("*"&amp;'Output annual'!$AC$2&amp;'Output annual'!$AD$2&amp;"*FangerPMV(Hourly)",'Eplus results'!$1:$1048576,ROW(),FALSE)</f>
        <v>0</v>
      </c>
      <c r="AD7260" s="580">
        <f t="shared" si="601"/>
        <v>5</v>
      </c>
      <c r="AE7260" s="580">
        <f t="shared" si="602"/>
        <v>2.5</v>
      </c>
      <c r="AF7260" s="580">
        <f t="shared" si="603"/>
        <v>2.5</v>
      </c>
      <c r="AG7260" s="580">
        <f t="shared" si="604"/>
        <v>0</v>
      </c>
      <c r="AH7260" s="580">
        <f t="shared" si="605"/>
        <v>0</v>
      </c>
    </row>
    <row r="7261" spans="28:34">
      <c r="AB7261" s="580">
        <f>HLOOKUP("*"&amp;'Output annual'!$AC$2&amp;'Output annual'!$AD$2&amp;"*Zone People Number Of Occupants [](Hourly)",'Eplus results'!$1:$1048576,ROW(),FALSE)</f>
        <v>0</v>
      </c>
      <c r="AC7261" s="580">
        <f>HLOOKUP("*"&amp;'Output annual'!$AC$2&amp;'Output annual'!$AD$2&amp;"*FangerPMV(Hourly)",'Eplus results'!$1:$1048576,ROW(),FALSE)</f>
        <v>0</v>
      </c>
      <c r="AD7261" s="580">
        <f t="shared" si="601"/>
        <v>5</v>
      </c>
      <c r="AE7261" s="580">
        <f t="shared" si="602"/>
        <v>2.5</v>
      </c>
      <c r="AF7261" s="580">
        <f t="shared" si="603"/>
        <v>2.5</v>
      </c>
      <c r="AG7261" s="580">
        <f t="shared" si="604"/>
        <v>0</v>
      </c>
      <c r="AH7261" s="580">
        <f t="shared" si="605"/>
        <v>0</v>
      </c>
    </row>
    <row r="7262" spans="28:34">
      <c r="AB7262" s="580">
        <f>HLOOKUP("*"&amp;'Output annual'!$AC$2&amp;'Output annual'!$AD$2&amp;"*Zone People Number Of Occupants [](Hourly)",'Eplus results'!$1:$1048576,ROW(),FALSE)</f>
        <v>0</v>
      </c>
      <c r="AC7262" s="580">
        <f>HLOOKUP("*"&amp;'Output annual'!$AC$2&amp;'Output annual'!$AD$2&amp;"*FangerPMV(Hourly)",'Eplus results'!$1:$1048576,ROW(),FALSE)</f>
        <v>0</v>
      </c>
      <c r="AD7262" s="580">
        <f t="shared" si="601"/>
        <v>5</v>
      </c>
      <c r="AE7262" s="580">
        <f t="shared" si="602"/>
        <v>2.5</v>
      </c>
      <c r="AF7262" s="580">
        <f t="shared" si="603"/>
        <v>2.5</v>
      </c>
      <c r="AG7262" s="580">
        <f t="shared" si="604"/>
        <v>0</v>
      </c>
      <c r="AH7262" s="580">
        <f t="shared" si="605"/>
        <v>0</v>
      </c>
    </row>
    <row r="7263" spans="28:34">
      <c r="AB7263" s="580">
        <f>HLOOKUP("*"&amp;'Output annual'!$AC$2&amp;'Output annual'!$AD$2&amp;"*Zone People Number Of Occupants [](Hourly)",'Eplus results'!$1:$1048576,ROW(),FALSE)</f>
        <v>0</v>
      </c>
      <c r="AC7263" s="580">
        <f>HLOOKUP("*"&amp;'Output annual'!$AC$2&amp;'Output annual'!$AD$2&amp;"*FangerPMV(Hourly)",'Eplus results'!$1:$1048576,ROW(),FALSE)</f>
        <v>0</v>
      </c>
      <c r="AD7263" s="580">
        <f t="shared" si="601"/>
        <v>5</v>
      </c>
      <c r="AE7263" s="580">
        <f t="shared" si="602"/>
        <v>2.5</v>
      </c>
      <c r="AF7263" s="580">
        <f t="shared" si="603"/>
        <v>2.5</v>
      </c>
      <c r="AG7263" s="580">
        <f t="shared" si="604"/>
        <v>0</v>
      </c>
      <c r="AH7263" s="580">
        <f t="shared" si="605"/>
        <v>0</v>
      </c>
    </row>
    <row r="7264" spans="28:34">
      <c r="AB7264" s="580">
        <f>HLOOKUP("*"&amp;'Output annual'!$AC$2&amp;'Output annual'!$AD$2&amp;"*Zone People Number Of Occupants [](Hourly)",'Eplus results'!$1:$1048576,ROW(),FALSE)</f>
        <v>0</v>
      </c>
      <c r="AC7264" s="580">
        <f>HLOOKUP("*"&amp;'Output annual'!$AC$2&amp;'Output annual'!$AD$2&amp;"*FangerPMV(Hourly)",'Eplus results'!$1:$1048576,ROW(),FALSE)</f>
        <v>0</v>
      </c>
      <c r="AD7264" s="580">
        <f t="shared" si="601"/>
        <v>5</v>
      </c>
      <c r="AE7264" s="580">
        <f t="shared" si="602"/>
        <v>2.5</v>
      </c>
      <c r="AF7264" s="580">
        <f t="shared" si="603"/>
        <v>2.5</v>
      </c>
      <c r="AG7264" s="580">
        <f t="shared" si="604"/>
        <v>0</v>
      </c>
      <c r="AH7264" s="580">
        <f t="shared" si="605"/>
        <v>0</v>
      </c>
    </row>
    <row r="7265" spans="28:34">
      <c r="AB7265" s="580">
        <f>HLOOKUP("*"&amp;'Output annual'!$AC$2&amp;'Output annual'!$AD$2&amp;"*Zone People Number Of Occupants [](Hourly)",'Eplus results'!$1:$1048576,ROW(),FALSE)</f>
        <v>0</v>
      </c>
      <c r="AC7265" s="580">
        <f>HLOOKUP("*"&amp;'Output annual'!$AC$2&amp;'Output annual'!$AD$2&amp;"*FangerPMV(Hourly)",'Eplus results'!$1:$1048576,ROW(),FALSE)</f>
        <v>0</v>
      </c>
      <c r="AD7265" s="580">
        <f t="shared" si="601"/>
        <v>5</v>
      </c>
      <c r="AE7265" s="580">
        <f t="shared" si="602"/>
        <v>2.5</v>
      </c>
      <c r="AF7265" s="580">
        <f t="shared" si="603"/>
        <v>2.5</v>
      </c>
      <c r="AG7265" s="580">
        <f t="shared" si="604"/>
        <v>0</v>
      </c>
      <c r="AH7265" s="580">
        <f t="shared" si="605"/>
        <v>0</v>
      </c>
    </row>
    <row r="7266" spans="28:34">
      <c r="AB7266" s="580">
        <f>HLOOKUP("*"&amp;'Output annual'!$AC$2&amp;'Output annual'!$AD$2&amp;"*Zone People Number Of Occupants [](Hourly)",'Eplus results'!$1:$1048576,ROW(),FALSE)</f>
        <v>0</v>
      </c>
      <c r="AC7266" s="580">
        <f>HLOOKUP("*"&amp;'Output annual'!$AC$2&amp;'Output annual'!$AD$2&amp;"*FangerPMV(Hourly)",'Eplus results'!$1:$1048576,ROW(),FALSE)</f>
        <v>0</v>
      </c>
      <c r="AD7266" s="580">
        <f t="shared" si="601"/>
        <v>5</v>
      </c>
      <c r="AE7266" s="580">
        <f t="shared" si="602"/>
        <v>2.5</v>
      </c>
      <c r="AF7266" s="580">
        <f t="shared" si="603"/>
        <v>2.5</v>
      </c>
      <c r="AG7266" s="580">
        <f t="shared" si="604"/>
        <v>0</v>
      </c>
      <c r="AH7266" s="580">
        <f t="shared" si="605"/>
        <v>0</v>
      </c>
    </row>
    <row r="7267" spans="28:34">
      <c r="AB7267" s="580">
        <f>HLOOKUP("*"&amp;'Output annual'!$AC$2&amp;'Output annual'!$AD$2&amp;"*Zone People Number Of Occupants [](Hourly)",'Eplus results'!$1:$1048576,ROW(),FALSE)</f>
        <v>0</v>
      </c>
      <c r="AC7267" s="580">
        <f>HLOOKUP("*"&amp;'Output annual'!$AC$2&amp;'Output annual'!$AD$2&amp;"*FangerPMV(Hourly)",'Eplus results'!$1:$1048576,ROW(),FALSE)</f>
        <v>0</v>
      </c>
      <c r="AD7267" s="580">
        <f t="shared" si="601"/>
        <v>5</v>
      </c>
      <c r="AE7267" s="580">
        <f t="shared" si="602"/>
        <v>2.5</v>
      </c>
      <c r="AF7267" s="580">
        <f t="shared" si="603"/>
        <v>2.5</v>
      </c>
      <c r="AG7267" s="580">
        <f t="shared" si="604"/>
        <v>0</v>
      </c>
      <c r="AH7267" s="580">
        <f t="shared" si="605"/>
        <v>0</v>
      </c>
    </row>
    <row r="7268" spans="28:34">
      <c r="AB7268" s="580">
        <f>HLOOKUP("*"&amp;'Output annual'!$AC$2&amp;'Output annual'!$AD$2&amp;"*Zone People Number Of Occupants [](Hourly)",'Eplus results'!$1:$1048576,ROW(),FALSE)</f>
        <v>0</v>
      </c>
      <c r="AC7268" s="580">
        <f>HLOOKUP("*"&amp;'Output annual'!$AC$2&amp;'Output annual'!$AD$2&amp;"*FangerPMV(Hourly)",'Eplus results'!$1:$1048576,ROW(),FALSE)</f>
        <v>0</v>
      </c>
      <c r="AD7268" s="580">
        <f t="shared" si="601"/>
        <v>5</v>
      </c>
      <c r="AE7268" s="580">
        <f t="shared" si="602"/>
        <v>2.5</v>
      </c>
      <c r="AF7268" s="580">
        <f t="shared" si="603"/>
        <v>2.5</v>
      </c>
      <c r="AG7268" s="580">
        <f t="shared" si="604"/>
        <v>0</v>
      </c>
      <c r="AH7268" s="580">
        <f t="shared" si="605"/>
        <v>0</v>
      </c>
    </row>
    <row r="7269" spans="28:34">
      <c r="AB7269" s="580">
        <f>HLOOKUP("*"&amp;'Output annual'!$AC$2&amp;'Output annual'!$AD$2&amp;"*Zone People Number Of Occupants [](Hourly)",'Eplus results'!$1:$1048576,ROW(),FALSE)</f>
        <v>0</v>
      </c>
      <c r="AC7269" s="580">
        <f>HLOOKUP("*"&amp;'Output annual'!$AC$2&amp;'Output annual'!$AD$2&amp;"*FangerPMV(Hourly)",'Eplus results'!$1:$1048576,ROW(),FALSE)</f>
        <v>0</v>
      </c>
      <c r="AD7269" s="580">
        <f t="shared" si="601"/>
        <v>5</v>
      </c>
      <c r="AE7269" s="580">
        <f t="shared" si="602"/>
        <v>2.5</v>
      </c>
      <c r="AF7269" s="580">
        <f t="shared" si="603"/>
        <v>2.5</v>
      </c>
      <c r="AG7269" s="580">
        <f t="shared" si="604"/>
        <v>0</v>
      </c>
      <c r="AH7269" s="580">
        <f t="shared" si="605"/>
        <v>0</v>
      </c>
    </row>
    <row r="7270" spans="28:34">
      <c r="AB7270" s="580">
        <f>HLOOKUP("*"&amp;'Output annual'!$AC$2&amp;'Output annual'!$AD$2&amp;"*Zone People Number Of Occupants [](Hourly)",'Eplus results'!$1:$1048576,ROW(),FALSE)</f>
        <v>0</v>
      </c>
      <c r="AC7270" s="580">
        <f>HLOOKUP("*"&amp;'Output annual'!$AC$2&amp;'Output annual'!$AD$2&amp;"*FangerPMV(Hourly)",'Eplus results'!$1:$1048576,ROW(),FALSE)</f>
        <v>0</v>
      </c>
      <c r="AD7270" s="580">
        <f t="shared" si="601"/>
        <v>5</v>
      </c>
      <c r="AE7270" s="580">
        <f t="shared" si="602"/>
        <v>2.5</v>
      </c>
      <c r="AF7270" s="580">
        <f t="shared" si="603"/>
        <v>2.5</v>
      </c>
      <c r="AG7270" s="580">
        <f t="shared" si="604"/>
        <v>0</v>
      </c>
      <c r="AH7270" s="580">
        <f t="shared" si="605"/>
        <v>0</v>
      </c>
    </row>
    <row r="7271" spans="28:34">
      <c r="AB7271" s="580">
        <f>HLOOKUP("*"&amp;'Output annual'!$AC$2&amp;'Output annual'!$AD$2&amp;"*Zone People Number Of Occupants [](Hourly)",'Eplus results'!$1:$1048576,ROW(),FALSE)</f>
        <v>0</v>
      </c>
      <c r="AC7271" s="580">
        <f>HLOOKUP("*"&amp;'Output annual'!$AC$2&amp;'Output annual'!$AD$2&amp;"*FangerPMV(Hourly)",'Eplus results'!$1:$1048576,ROW(),FALSE)</f>
        <v>0</v>
      </c>
      <c r="AD7271" s="580">
        <f t="shared" si="601"/>
        <v>5</v>
      </c>
      <c r="AE7271" s="580">
        <f t="shared" si="602"/>
        <v>2.5</v>
      </c>
      <c r="AF7271" s="580">
        <f t="shared" si="603"/>
        <v>2.5</v>
      </c>
      <c r="AG7271" s="580">
        <f t="shared" si="604"/>
        <v>0</v>
      </c>
      <c r="AH7271" s="580">
        <f t="shared" si="605"/>
        <v>0</v>
      </c>
    </row>
    <row r="7272" spans="28:34">
      <c r="AB7272" s="580">
        <f>HLOOKUP("*"&amp;'Output annual'!$AC$2&amp;'Output annual'!$AD$2&amp;"*Zone People Number Of Occupants [](Hourly)",'Eplus results'!$1:$1048576,ROW(),FALSE)</f>
        <v>0</v>
      </c>
      <c r="AC7272" s="580">
        <f>HLOOKUP("*"&amp;'Output annual'!$AC$2&amp;'Output annual'!$AD$2&amp;"*FangerPMV(Hourly)",'Eplus results'!$1:$1048576,ROW(),FALSE)</f>
        <v>0</v>
      </c>
      <c r="AD7272" s="580">
        <f t="shared" si="601"/>
        <v>5</v>
      </c>
      <c r="AE7272" s="580">
        <f t="shared" si="602"/>
        <v>2.5</v>
      </c>
      <c r="AF7272" s="580">
        <f t="shared" si="603"/>
        <v>2.5</v>
      </c>
      <c r="AG7272" s="580">
        <f t="shared" si="604"/>
        <v>0</v>
      </c>
      <c r="AH7272" s="580">
        <f t="shared" si="605"/>
        <v>0</v>
      </c>
    </row>
    <row r="7273" spans="28:34">
      <c r="AB7273" s="580">
        <f>HLOOKUP("*"&amp;'Output annual'!$AC$2&amp;'Output annual'!$AD$2&amp;"*Zone People Number Of Occupants [](Hourly)",'Eplus results'!$1:$1048576,ROW(),FALSE)</f>
        <v>0</v>
      </c>
      <c r="AC7273" s="580">
        <f>HLOOKUP("*"&amp;'Output annual'!$AC$2&amp;'Output annual'!$AD$2&amp;"*FangerPMV(Hourly)",'Eplus results'!$1:$1048576,ROW(),FALSE)</f>
        <v>0</v>
      </c>
      <c r="AD7273" s="580">
        <f t="shared" si="601"/>
        <v>5</v>
      </c>
      <c r="AE7273" s="580">
        <f t="shared" si="602"/>
        <v>2.5</v>
      </c>
      <c r="AF7273" s="580">
        <f t="shared" si="603"/>
        <v>2.5</v>
      </c>
      <c r="AG7273" s="580">
        <f t="shared" si="604"/>
        <v>0</v>
      </c>
      <c r="AH7273" s="580">
        <f t="shared" si="605"/>
        <v>0</v>
      </c>
    </row>
    <row r="7274" spans="28:34">
      <c r="AB7274" s="580">
        <f>HLOOKUP("*"&amp;'Output annual'!$AC$2&amp;'Output annual'!$AD$2&amp;"*Zone People Number Of Occupants [](Hourly)",'Eplus results'!$1:$1048576,ROW(),FALSE)</f>
        <v>0</v>
      </c>
      <c r="AC7274" s="580">
        <f>HLOOKUP("*"&amp;'Output annual'!$AC$2&amp;'Output annual'!$AD$2&amp;"*FangerPMV(Hourly)",'Eplus results'!$1:$1048576,ROW(),FALSE)</f>
        <v>0</v>
      </c>
      <c r="AD7274" s="580">
        <f t="shared" si="601"/>
        <v>5</v>
      </c>
      <c r="AE7274" s="580">
        <f t="shared" si="602"/>
        <v>2.5</v>
      </c>
      <c r="AF7274" s="580">
        <f t="shared" si="603"/>
        <v>2.5</v>
      </c>
      <c r="AG7274" s="580">
        <f t="shared" si="604"/>
        <v>0</v>
      </c>
      <c r="AH7274" s="580">
        <f t="shared" si="605"/>
        <v>0</v>
      </c>
    </row>
    <row r="7275" spans="28:34">
      <c r="AB7275" s="580">
        <f>HLOOKUP("*"&amp;'Output annual'!$AC$2&amp;'Output annual'!$AD$2&amp;"*Zone People Number Of Occupants [](Hourly)",'Eplus results'!$1:$1048576,ROW(),FALSE)</f>
        <v>0</v>
      </c>
      <c r="AC7275" s="580">
        <f>HLOOKUP("*"&amp;'Output annual'!$AC$2&amp;'Output annual'!$AD$2&amp;"*FangerPMV(Hourly)",'Eplus results'!$1:$1048576,ROW(),FALSE)</f>
        <v>0</v>
      </c>
      <c r="AD7275" s="580">
        <f t="shared" si="601"/>
        <v>5</v>
      </c>
      <c r="AE7275" s="580">
        <f t="shared" si="602"/>
        <v>2.5</v>
      </c>
      <c r="AF7275" s="580">
        <f t="shared" si="603"/>
        <v>2.5</v>
      </c>
      <c r="AG7275" s="580">
        <f t="shared" si="604"/>
        <v>0</v>
      </c>
      <c r="AH7275" s="580">
        <f t="shared" si="605"/>
        <v>0</v>
      </c>
    </row>
    <row r="7276" spans="28:34">
      <c r="AB7276" s="580">
        <f>HLOOKUP("*"&amp;'Output annual'!$AC$2&amp;'Output annual'!$AD$2&amp;"*Zone People Number Of Occupants [](Hourly)",'Eplus results'!$1:$1048576,ROW(),FALSE)</f>
        <v>0</v>
      </c>
      <c r="AC7276" s="580">
        <f>HLOOKUP("*"&amp;'Output annual'!$AC$2&amp;'Output annual'!$AD$2&amp;"*FangerPMV(Hourly)",'Eplus results'!$1:$1048576,ROW(),FALSE)</f>
        <v>0</v>
      </c>
      <c r="AD7276" s="580">
        <f t="shared" si="601"/>
        <v>5</v>
      </c>
      <c r="AE7276" s="580">
        <f t="shared" si="602"/>
        <v>2.5</v>
      </c>
      <c r="AF7276" s="580">
        <f t="shared" si="603"/>
        <v>2.5</v>
      </c>
      <c r="AG7276" s="580">
        <f t="shared" si="604"/>
        <v>0</v>
      </c>
      <c r="AH7276" s="580">
        <f t="shared" si="605"/>
        <v>0</v>
      </c>
    </row>
    <row r="7277" spans="28:34">
      <c r="AB7277" s="580">
        <f>HLOOKUP("*"&amp;'Output annual'!$AC$2&amp;'Output annual'!$AD$2&amp;"*Zone People Number Of Occupants [](Hourly)",'Eplus results'!$1:$1048576,ROW(),FALSE)</f>
        <v>0</v>
      </c>
      <c r="AC7277" s="580">
        <f>HLOOKUP("*"&amp;'Output annual'!$AC$2&amp;'Output annual'!$AD$2&amp;"*FangerPMV(Hourly)",'Eplus results'!$1:$1048576,ROW(),FALSE)</f>
        <v>0</v>
      </c>
      <c r="AD7277" s="580">
        <f t="shared" si="601"/>
        <v>5</v>
      </c>
      <c r="AE7277" s="580">
        <f t="shared" si="602"/>
        <v>2.5</v>
      </c>
      <c r="AF7277" s="580">
        <f t="shared" si="603"/>
        <v>2.5</v>
      </c>
      <c r="AG7277" s="580">
        <f t="shared" si="604"/>
        <v>0</v>
      </c>
      <c r="AH7277" s="580">
        <f t="shared" si="605"/>
        <v>0</v>
      </c>
    </row>
    <row r="7278" spans="28:34">
      <c r="AB7278" s="580">
        <f>HLOOKUP("*"&amp;'Output annual'!$AC$2&amp;'Output annual'!$AD$2&amp;"*Zone People Number Of Occupants [](Hourly)",'Eplus results'!$1:$1048576,ROW(),FALSE)</f>
        <v>0</v>
      </c>
      <c r="AC7278" s="580">
        <f>HLOOKUP("*"&amp;'Output annual'!$AC$2&amp;'Output annual'!$AD$2&amp;"*FangerPMV(Hourly)",'Eplus results'!$1:$1048576,ROW(),FALSE)</f>
        <v>0</v>
      </c>
      <c r="AD7278" s="580">
        <f t="shared" si="601"/>
        <v>5</v>
      </c>
      <c r="AE7278" s="580">
        <f t="shared" si="602"/>
        <v>2.5</v>
      </c>
      <c r="AF7278" s="580">
        <f t="shared" si="603"/>
        <v>2.5</v>
      </c>
      <c r="AG7278" s="580">
        <f t="shared" si="604"/>
        <v>0</v>
      </c>
      <c r="AH7278" s="580">
        <f t="shared" si="605"/>
        <v>0</v>
      </c>
    </row>
    <row r="7279" spans="28:34">
      <c r="AB7279" s="580">
        <f>HLOOKUP("*"&amp;'Output annual'!$AC$2&amp;'Output annual'!$AD$2&amp;"*Zone People Number Of Occupants [](Hourly)",'Eplus results'!$1:$1048576,ROW(),FALSE)</f>
        <v>0</v>
      </c>
      <c r="AC7279" s="580">
        <f>HLOOKUP("*"&amp;'Output annual'!$AC$2&amp;'Output annual'!$AD$2&amp;"*FangerPMV(Hourly)",'Eplus results'!$1:$1048576,ROW(),FALSE)</f>
        <v>0</v>
      </c>
      <c r="AD7279" s="580">
        <f t="shared" si="601"/>
        <v>5</v>
      </c>
      <c r="AE7279" s="580">
        <f t="shared" si="602"/>
        <v>2.5</v>
      </c>
      <c r="AF7279" s="580">
        <f t="shared" si="603"/>
        <v>2.5</v>
      </c>
      <c r="AG7279" s="580">
        <f t="shared" si="604"/>
        <v>0</v>
      </c>
      <c r="AH7279" s="580">
        <f t="shared" si="605"/>
        <v>0</v>
      </c>
    </row>
    <row r="7280" spans="28:34">
      <c r="AB7280" s="580">
        <f>HLOOKUP("*"&amp;'Output annual'!$AC$2&amp;'Output annual'!$AD$2&amp;"*Zone People Number Of Occupants [](Hourly)",'Eplus results'!$1:$1048576,ROW(),FALSE)</f>
        <v>0</v>
      </c>
      <c r="AC7280" s="580">
        <f>HLOOKUP("*"&amp;'Output annual'!$AC$2&amp;'Output annual'!$AD$2&amp;"*FangerPMV(Hourly)",'Eplus results'!$1:$1048576,ROW(),FALSE)</f>
        <v>0</v>
      </c>
      <c r="AD7280" s="580">
        <f t="shared" si="601"/>
        <v>5</v>
      </c>
      <c r="AE7280" s="580">
        <f t="shared" si="602"/>
        <v>2.5</v>
      </c>
      <c r="AF7280" s="580">
        <f t="shared" si="603"/>
        <v>2.5</v>
      </c>
      <c r="AG7280" s="580">
        <f t="shared" si="604"/>
        <v>0</v>
      </c>
      <c r="AH7280" s="580">
        <f t="shared" si="605"/>
        <v>0</v>
      </c>
    </row>
    <row r="7281" spans="28:34">
      <c r="AB7281" s="580">
        <f>HLOOKUP("*"&amp;'Output annual'!$AC$2&amp;'Output annual'!$AD$2&amp;"*Zone People Number Of Occupants [](Hourly)",'Eplus results'!$1:$1048576,ROW(),FALSE)</f>
        <v>0</v>
      </c>
      <c r="AC7281" s="580">
        <f>HLOOKUP("*"&amp;'Output annual'!$AC$2&amp;'Output annual'!$AD$2&amp;"*FangerPMV(Hourly)",'Eplus results'!$1:$1048576,ROW(),FALSE)</f>
        <v>0</v>
      </c>
      <c r="AD7281" s="580">
        <f t="shared" si="601"/>
        <v>5</v>
      </c>
      <c r="AE7281" s="580">
        <f t="shared" si="602"/>
        <v>2.5</v>
      </c>
      <c r="AF7281" s="580">
        <f t="shared" si="603"/>
        <v>2.5</v>
      </c>
      <c r="AG7281" s="580">
        <f t="shared" si="604"/>
        <v>0</v>
      </c>
      <c r="AH7281" s="580">
        <f t="shared" si="605"/>
        <v>0</v>
      </c>
    </row>
    <row r="7282" spans="28:34">
      <c r="AB7282" s="580">
        <f>HLOOKUP("*"&amp;'Output annual'!$AC$2&amp;'Output annual'!$AD$2&amp;"*Zone People Number Of Occupants [](Hourly)",'Eplus results'!$1:$1048576,ROW(),FALSE)</f>
        <v>0</v>
      </c>
      <c r="AC7282" s="580">
        <f>HLOOKUP("*"&amp;'Output annual'!$AC$2&amp;'Output annual'!$AD$2&amp;"*FangerPMV(Hourly)",'Eplus results'!$1:$1048576,ROW(),FALSE)</f>
        <v>0</v>
      </c>
      <c r="AD7282" s="580">
        <f t="shared" si="601"/>
        <v>5</v>
      </c>
      <c r="AE7282" s="580">
        <f t="shared" si="602"/>
        <v>2.5</v>
      </c>
      <c r="AF7282" s="580">
        <f t="shared" si="603"/>
        <v>2.5</v>
      </c>
      <c r="AG7282" s="580">
        <f t="shared" si="604"/>
        <v>0</v>
      </c>
      <c r="AH7282" s="580">
        <f t="shared" si="605"/>
        <v>0</v>
      </c>
    </row>
    <row r="7283" spans="28:34">
      <c r="AB7283" s="580">
        <f>HLOOKUP("*"&amp;'Output annual'!$AC$2&amp;'Output annual'!$AD$2&amp;"*Zone People Number Of Occupants [](Hourly)",'Eplus results'!$1:$1048576,ROW(),FALSE)</f>
        <v>0</v>
      </c>
      <c r="AC7283" s="580">
        <f>HLOOKUP("*"&amp;'Output annual'!$AC$2&amp;'Output annual'!$AD$2&amp;"*FangerPMV(Hourly)",'Eplus results'!$1:$1048576,ROW(),FALSE)</f>
        <v>0</v>
      </c>
      <c r="AD7283" s="580">
        <f t="shared" si="601"/>
        <v>5</v>
      </c>
      <c r="AE7283" s="580">
        <f t="shared" si="602"/>
        <v>2.5</v>
      </c>
      <c r="AF7283" s="580">
        <f t="shared" si="603"/>
        <v>2.5</v>
      </c>
      <c r="AG7283" s="580">
        <f t="shared" si="604"/>
        <v>0</v>
      </c>
      <c r="AH7283" s="580">
        <f t="shared" si="605"/>
        <v>0</v>
      </c>
    </row>
    <row r="7284" spans="28:34">
      <c r="AB7284" s="580">
        <f>HLOOKUP("*"&amp;'Output annual'!$AC$2&amp;'Output annual'!$AD$2&amp;"*Zone People Number Of Occupants [](Hourly)",'Eplus results'!$1:$1048576,ROW(),FALSE)</f>
        <v>0</v>
      </c>
      <c r="AC7284" s="580">
        <f>HLOOKUP("*"&amp;'Output annual'!$AC$2&amp;'Output annual'!$AD$2&amp;"*FangerPMV(Hourly)",'Eplus results'!$1:$1048576,ROW(),FALSE)</f>
        <v>0</v>
      </c>
      <c r="AD7284" s="580">
        <f t="shared" si="601"/>
        <v>5</v>
      </c>
      <c r="AE7284" s="580">
        <f t="shared" si="602"/>
        <v>2.5</v>
      </c>
      <c r="AF7284" s="580">
        <f t="shared" si="603"/>
        <v>2.5</v>
      </c>
      <c r="AG7284" s="580">
        <f t="shared" si="604"/>
        <v>0</v>
      </c>
      <c r="AH7284" s="580">
        <f t="shared" si="605"/>
        <v>0</v>
      </c>
    </row>
    <row r="7285" spans="28:34">
      <c r="AB7285" s="580">
        <f>HLOOKUP("*"&amp;'Output annual'!$AC$2&amp;'Output annual'!$AD$2&amp;"*Zone People Number Of Occupants [](Hourly)",'Eplus results'!$1:$1048576,ROW(),FALSE)</f>
        <v>0</v>
      </c>
      <c r="AC7285" s="580">
        <f>HLOOKUP("*"&amp;'Output annual'!$AC$2&amp;'Output annual'!$AD$2&amp;"*FangerPMV(Hourly)",'Eplus results'!$1:$1048576,ROW(),FALSE)</f>
        <v>0</v>
      </c>
      <c r="AD7285" s="580">
        <f t="shared" si="601"/>
        <v>5</v>
      </c>
      <c r="AE7285" s="580">
        <f t="shared" si="602"/>
        <v>2.5</v>
      </c>
      <c r="AF7285" s="580">
        <f t="shared" si="603"/>
        <v>2.5</v>
      </c>
      <c r="AG7285" s="580">
        <f t="shared" si="604"/>
        <v>0</v>
      </c>
      <c r="AH7285" s="580">
        <f t="shared" si="605"/>
        <v>0</v>
      </c>
    </row>
    <row r="7286" spans="28:34">
      <c r="AB7286" s="580">
        <f>HLOOKUP("*"&amp;'Output annual'!$AC$2&amp;'Output annual'!$AD$2&amp;"*Zone People Number Of Occupants [](Hourly)",'Eplus results'!$1:$1048576,ROW(),FALSE)</f>
        <v>0</v>
      </c>
      <c r="AC7286" s="580">
        <f>HLOOKUP("*"&amp;'Output annual'!$AC$2&amp;'Output annual'!$AD$2&amp;"*FangerPMV(Hourly)",'Eplus results'!$1:$1048576,ROW(),FALSE)</f>
        <v>0</v>
      </c>
      <c r="AD7286" s="580">
        <f t="shared" si="601"/>
        <v>5</v>
      </c>
      <c r="AE7286" s="580">
        <f t="shared" si="602"/>
        <v>2.5</v>
      </c>
      <c r="AF7286" s="580">
        <f t="shared" si="603"/>
        <v>2.5</v>
      </c>
      <c r="AG7286" s="580">
        <f t="shared" si="604"/>
        <v>0</v>
      </c>
      <c r="AH7286" s="580">
        <f t="shared" si="605"/>
        <v>0</v>
      </c>
    </row>
    <row r="7287" spans="28:34">
      <c r="AB7287" s="580">
        <f>HLOOKUP("*"&amp;'Output annual'!$AC$2&amp;'Output annual'!$AD$2&amp;"*Zone People Number Of Occupants [](Hourly)",'Eplus results'!$1:$1048576,ROW(),FALSE)</f>
        <v>0</v>
      </c>
      <c r="AC7287" s="580">
        <f>HLOOKUP("*"&amp;'Output annual'!$AC$2&amp;'Output annual'!$AD$2&amp;"*FangerPMV(Hourly)",'Eplus results'!$1:$1048576,ROW(),FALSE)</f>
        <v>0</v>
      </c>
      <c r="AD7287" s="580">
        <f t="shared" si="601"/>
        <v>5</v>
      </c>
      <c r="AE7287" s="580">
        <f t="shared" si="602"/>
        <v>2.5</v>
      </c>
      <c r="AF7287" s="580">
        <f t="shared" si="603"/>
        <v>2.5</v>
      </c>
      <c r="AG7287" s="580">
        <f t="shared" si="604"/>
        <v>0</v>
      </c>
      <c r="AH7287" s="580">
        <f t="shared" si="605"/>
        <v>0</v>
      </c>
    </row>
    <row r="7288" spans="28:34">
      <c r="AB7288" s="580">
        <f>HLOOKUP("*"&amp;'Output annual'!$AC$2&amp;'Output annual'!$AD$2&amp;"*Zone People Number Of Occupants [](Hourly)",'Eplus results'!$1:$1048576,ROW(),FALSE)</f>
        <v>0</v>
      </c>
      <c r="AC7288" s="580">
        <f>HLOOKUP("*"&amp;'Output annual'!$AC$2&amp;'Output annual'!$AD$2&amp;"*FangerPMV(Hourly)",'Eplus results'!$1:$1048576,ROW(),FALSE)</f>
        <v>0</v>
      </c>
      <c r="AD7288" s="580">
        <f t="shared" si="601"/>
        <v>5</v>
      </c>
      <c r="AE7288" s="580">
        <f t="shared" si="602"/>
        <v>2.5</v>
      </c>
      <c r="AF7288" s="580">
        <f t="shared" si="603"/>
        <v>2.5</v>
      </c>
      <c r="AG7288" s="580">
        <f t="shared" si="604"/>
        <v>0</v>
      </c>
      <c r="AH7288" s="580">
        <f t="shared" si="605"/>
        <v>0</v>
      </c>
    </row>
    <row r="7289" spans="28:34">
      <c r="AB7289" s="580">
        <f>HLOOKUP("*"&amp;'Output annual'!$AC$2&amp;'Output annual'!$AD$2&amp;"*Zone People Number Of Occupants [](Hourly)",'Eplus results'!$1:$1048576,ROW(),FALSE)</f>
        <v>0</v>
      </c>
      <c r="AC7289" s="580">
        <f>HLOOKUP("*"&amp;'Output annual'!$AC$2&amp;'Output annual'!$AD$2&amp;"*FangerPMV(Hourly)",'Eplus results'!$1:$1048576,ROW(),FALSE)</f>
        <v>0</v>
      </c>
      <c r="AD7289" s="580">
        <f t="shared" si="601"/>
        <v>5</v>
      </c>
      <c r="AE7289" s="580">
        <f t="shared" si="602"/>
        <v>2.5</v>
      </c>
      <c r="AF7289" s="580">
        <f t="shared" si="603"/>
        <v>2.5</v>
      </c>
      <c r="AG7289" s="580">
        <f t="shared" si="604"/>
        <v>0</v>
      </c>
      <c r="AH7289" s="580">
        <f t="shared" si="605"/>
        <v>0</v>
      </c>
    </row>
    <row r="7290" spans="28:34">
      <c r="AB7290" s="580">
        <f>HLOOKUP("*"&amp;'Output annual'!$AC$2&amp;'Output annual'!$AD$2&amp;"*Zone People Number Of Occupants [](Hourly)",'Eplus results'!$1:$1048576,ROW(),FALSE)</f>
        <v>0</v>
      </c>
      <c r="AC7290" s="580">
        <f>HLOOKUP("*"&amp;'Output annual'!$AC$2&amp;'Output annual'!$AD$2&amp;"*FangerPMV(Hourly)",'Eplus results'!$1:$1048576,ROW(),FALSE)</f>
        <v>0</v>
      </c>
      <c r="AD7290" s="580">
        <f t="shared" si="601"/>
        <v>5</v>
      </c>
      <c r="AE7290" s="580">
        <f t="shared" si="602"/>
        <v>2.5</v>
      </c>
      <c r="AF7290" s="580">
        <f t="shared" si="603"/>
        <v>2.5</v>
      </c>
      <c r="AG7290" s="580">
        <f t="shared" si="604"/>
        <v>0</v>
      </c>
      <c r="AH7290" s="580">
        <f t="shared" si="605"/>
        <v>0</v>
      </c>
    </row>
    <row r="7291" spans="28:34">
      <c r="AB7291" s="580">
        <f>HLOOKUP("*"&amp;'Output annual'!$AC$2&amp;'Output annual'!$AD$2&amp;"*Zone People Number Of Occupants [](Hourly)",'Eplus results'!$1:$1048576,ROW(),FALSE)</f>
        <v>0</v>
      </c>
      <c r="AC7291" s="580">
        <f>HLOOKUP("*"&amp;'Output annual'!$AC$2&amp;'Output annual'!$AD$2&amp;"*FangerPMV(Hourly)",'Eplus results'!$1:$1048576,ROW(),FALSE)</f>
        <v>0</v>
      </c>
      <c r="AD7291" s="580">
        <f t="shared" si="601"/>
        <v>5</v>
      </c>
      <c r="AE7291" s="580">
        <f t="shared" si="602"/>
        <v>2.5</v>
      </c>
      <c r="AF7291" s="580">
        <f t="shared" si="603"/>
        <v>2.5</v>
      </c>
      <c r="AG7291" s="580">
        <f t="shared" si="604"/>
        <v>0</v>
      </c>
      <c r="AH7291" s="580">
        <f t="shared" si="605"/>
        <v>0</v>
      </c>
    </row>
    <row r="7292" spans="28:34">
      <c r="AB7292" s="580">
        <f>HLOOKUP("*"&amp;'Output annual'!$AC$2&amp;'Output annual'!$AD$2&amp;"*Zone People Number Of Occupants [](Hourly)",'Eplus results'!$1:$1048576,ROW(),FALSE)</f>
        <v>0</v>
      </c>
      <c r="AC7292" s="580">
        <f>HLOOKUP("*"&amp;'Output annual'!$AC$2&amp;'Output annual'!$AD$2&amp;"*FangerPMV(Hourly)",'Eplus results'!$1:$1048576,ROW(),FALSE)</f>
        <v>0</v>
      </c>
      <c r="AD7292" s="580">
        <f t="shared" si="601"/>
        <v>5</v>
      </c>
      <c r="AE7292" s="580">
        <f t="shared" si="602"/>
        <v>2.5</v>
      </c>
      <c r="AF7292" s="580">
        <f t="shared" si="603"/>
        <v>2.5</v>
      </c>
      <c r="AG7292" s="580">
        <f t="shared" si="604"/>
        <v>0</v>
      </c>
      <c r="AH7292" s="580">
        <f t="shared" si="605"/>
        <v>0</v>
      </c>
    </row>
    <row r="7293" spans="28:34">
      <c r="AB7293" s="580">
        <f>HLOOKUP("*"&amp;'Output annual'!$AC$2&amp;'Output annual'!$AD$2&amp;"*Zone People Number Of Occupants [](Hourly)",'Eplus results'!$1:$1048576,ROW(),FALSE)</f>
        <v>0</v>
      </c>
      <c r="AC7293" s="580">
        <f>HLOOKUP("*"&amp;'Output annual'!$AC$2&amp;'Output annual'!$AD$2&amp;"*FangerPMV(Hourly)",'Eplus results'!$1:$1048576,ROW(),FALSE)</f>
        <v>0</v>
      </c>
      <c r="AD7293" s="580">
        <f t="shared" si="601"/>
        <v>5</v>
      </c>
      <c r="AE7293" s="580">
        <f t="shared" si="602"/>
        <v>2.5</v>
      </c>
      <c r="AF7293" s="580">
        <f t="shared" si="603"/>
        <v>2.5</v>
      </c>
      <c r="AG7293" s="580">
        <f t="shared" si="604"/>
        <v>0</v>
      </c>
      <c r="AH7293" s="580">
        <f t="shared" si="605"/>
        <v>0</v>
      </c>
    </row>
    <row r="7294" spans="28:34">
      <c r="AB7294" s="580">
        <f>HLOOKUP("*"&amp;'Output annual'!$AC$2&amp;'Output annual'!$AD$2&amp;"*Zone People Number Of Occupants [](Hourly)",'Eplus results'!$1:$1048576,ROW(),FALSE)</f>
        <v>0</v>
      </c>
      <c r="AC7294" s="580">
        <f>HLOOKUP("*"&amp;'Output annual'!$AC$2&amp;'Output annual'!$AD$2&amp;"*FangerPMV(Hourly)",'Eplus results'!$1:$1048576,ROW(),FALSE)</f>
        <v>0</v>
      </c>
      <c r="AD7294" s="580">
        <f t="shared" si="601"/>
        <v>5</v>
      </c>
      <c r="AE7294" s="580">
        <f t="shared" si="602"/>
        <v>2.5</v>
      </c>
      <c r="AF7294" s="580">
        <f t="shared" si="603"/>
        <v>2.5</v>
      </c>
      <c r="AG7294" s="580">
        <f t="shared" si="604"/>
        <v>0</v>
      </c>
      <c r="AH7294" s="580">
        <f t="shared" si="605"/>
        <v>0</v>
      </c>
    </row>
    <row r="7295" spans="28:34">
      <c r="AB7295" s="580">
        <f>HLOOKUP("*"&amp;'Output annual'!$AC$2&amp;'Output annual'!$AD$2&amp;"*Zone People Number Of Occupants [](Hourly)",'Eplus results'!$1:$1048576,ROW(),FALSE)</f>
        <v>0</v>
      </c>
      <c r="AC7295" s="580">
        <f>HLOOKUP("*"&amp;'Output annual'!$AC$2&amp;'Output annual'!$AD$2&amp;"*FangerPMV(Hourly)",'Eplus results'!$1:$1048576,ROW(),FALSE)</f>
        <v>0</v>
      </c>
      <c r="AD7295" s="580">
        <f t="shared" si="601"/>
        <v>5</v>
      </c>
      <c r="AE7295" s="580">
        <f t="shared" si="602"/>
        <v>2.5</v>
      </c>
      <c r="AF7295" s="580">
        <f t="shared" si="603"/>
        <v>2.5</v>
      </c>
      <c r="AG7295" s="580">
        <f t="shared" si="604"/>
        <v>0</v>
      </c>
      <c r="AH7295" s="580">
        <f t="shared" si="605"/>
        <v>0</v>
      </c>
    </row>
    <row r="7296" spans="28:34">
      <c r="AB7296" s="580">
        <f>HLOOKUP("*"&amp;'Output annual'!$AC$2&amp;'Output annual'!$AD$2&amp;"*Zone People Number Of Occupants [](Hourly)",'Eplus results'!$1:$1048576,ROW(),FALSE)</f>
        <v>0</v>
      </c>
      <c r="AC7296" s="580">
        <f>HLOOKUP("*"&amp;'Output annual'!$AC$2&amp;'Output annual'!$AD$2&amp;"*FangerPMV(Hourly)",'Eplus results'!$1:$1048576,ROW(),FALSE)</f>
        <v>0</v>
      </c>
      <c r="AD7296" s="580">
        <f t="shared" si="601"/>
        <v>5</v>
      </c>
      <c r="AE7296" s="580">
        <f t="shared" si="602"/>
        <v>2.5</v>
      </c>
      <c r="AF7296" s="580">
        <f t="shared" si="603"/>
        <v>2.5</v>
      </c>
      <c r="AG7296" s="580">
        <f t="shared" si="604"/>
        <v>0</v>
      </c>
      <c r="AH7296" s="580">
        <f t="shared" si="605"/>
        <v>0</v>
      </c>
    </row>
    <row r="7297" spans="28:34">
      <c r="AB7297" s="580">
        <f>HLOOKUP("*"&amp;'Output annual'!$AC$2&amp;'Output annual'!$AD$2&amp;"*Zone People Number Of Occupants [](Hourly)",'Eplus results'!$1:$1048576,ROW(),FALSE)</f>
        <v>0</v>
      </c>
      <c r="AC7297" s="580">
        <f>HLOOKUP("*"&amp;'Output annual'!$AC$2&amp;'Output annual'!$AD$2&amp;"*FangerPMV(Hourly)",'Eplus results'!$1:$1048576,ROW(),FALSE)</f>
        <v>0</v>
      </c>
      <c r="AD7297" s="580">
        <f t="shared" si="601"/>
        <v>5</v>
      </c>
      <c r="AE7297" s="580">
        <f t="shared" si="602"/>
        <v>2.5</v>
      </c>
      <c r="AF7297" s="580">
        <f t="shared" si="603"/>
        <v>2.5</v>
      </c>
      <c r="AG7297" s="580">
        <f t="shared" si="604"/>
        <v>0</v>
      </c>
      <c r="AH7297" s="580">
        <f t="shared" si="605"/>
        <v>0</v>
      </c>
    </row>
    <row r="7298" spans="28:34">
      <c r="AB7298" s="580">
        <f>HLOOKUP("*"&amp;'Output annual'!$AC$2&amp;'Output annual'!$AD$2&amp;"*Zone People Number Of Occupants [](Hourly)",'Eplus results'!$1:$1048576,ROW(),FALSE)</f>
        <v>0</v>
      </c>
      <c r="AC7298" s="580">
        <f>HLOOKUP("*"&amp;'Output annual'!$AC$2&amp;'Output annual'!$AD$2&amp;"*FangerPMV(Hourly)",'Eplus results'!$1:$1048576,ROW(),FALSE)</f>
        <v>0</v>
      </c>
      <c r="AD7298" s="580">
        <f t="shared" si="601"/>
        <v>5</v>
      </c>
      <c r="AE7298" s="580">
        <f t="shared" si="602"/>
        <v>2.5</v>
      </c>
      <c r="AF7298" s="580">
        <f t="shared" si="603"/>
        <v>2.5</v>
      </c>
      <c r="AG7298" s="580">
        <f t="shared" si="604"/>
        <v>0</v>
      </c>
      <c r="AH7298" s="580">
        <f t="shared" si="605"/>
        <v>0</v>
      </c>
    </row>
    <row r="7299" spans="28:34">
      <c r="AB7299" s="580">
        <f>HLOOKUP("*"&amp;'Output annual'!$AC$2&amp;'Output annual'!$AD$2&amp;"*Zone People Number Of Occupants [](Hourly)",'Eplus results'!$1:$1048576,ROW(),FALSE)</f>
        <v>0</v>
      </c>
      <c r="AC7299" s="580">
        <f>HLOOKUP("*"&amp;'Output annual'!$AC$2&amp;'Output annual'!$AD$2&amp;"*FangerPMV(Hourly)",'Eplus results'!$1:$1048576,ROW(),FALSE)</f>
        <v>0</v>
      </c>
      <c r="AD7299" s="580">
        <f t="shared" ref="AD7299:AD7362" si="606">100-95*EXP(-0.03353*AC7299^4-0.2179*AC7299^2)</f>
        <v>5</v>
      </c>
      <c r="AE7299" s="580">
        <f t="shared" ref="AE7299:AE7362" si="607">AD7299*(1/(1+EXP(-6.3*$AC7299)))</f>
        <v>2.5</v>
      </c>
      <c r="AF7299" s="580">
        <f t="shared" ref="AF7299:AF7362" si="608">(AD7299-AE7299)</f>
        <v>2.5</v>
      </c>
      <c r="AG7299" s="580">
        <f t="shared" ref="AG7299:AG7362" si="609">AE7299*AB7299</f>
        <v>0</v>
      </c>
      <c r="AH7299" s="580">
        <f t="shared" ref="AH7299:AH7362" si="610">AF7299*AB7299</f>
        <v>0</v>
      </c>
    </row>
    <row r="7300" spans="28:34">
      <c r="AB7300" s="580">
        <f>HLOOKUP("*"&amp;'Output annual'!$AC$2&amp;'Output annual'!$AD$2&amp;"*Zone People Number Of Occupants [](Hourly)",'Eplus results'!$1:$1048576,ROW(),FALSE)</f>
        <v>0</v>
      </c>
      <c r="AC7300" s="580">
        <f>HLOOKUP("*"&amp;'Output annual'!$AC$2&amp;'Output annual'!$AD$2&amp;"*FangerPMV(Hourly)",'Eplus results'!$1:$1048576,ROW(),FALSE)</f>
        <v>0</v>
      </c>
      <c r="AD7300" s="580">
        <f t="shared" si="606"/>
        <v>5</v>
      </c>
      <c r="AE7300" s="580">
        <f t="shared" si="607"/>
        <v>2.5</v>
      </c>
      <c r="AF7300" s="580">
        <f t="shared" si="608"/>
        <v>2.5</v>
      </c>
      <c r="AG7300" s="580">
        <f t="shared" si="609"/>
        <v>0</v>
      </c>
      <c r="AH7300" s="580">
        <f t="shared" si="610"/>
        <v>0</v>
      </c>
    </row>
    <row r="7301" spans="28:34">
      <c r="AB7301" s="580">
        <f>HLOOKUP("*"&amp;'Output annual'!$AC$2&amp;'Output annual'!$AD$2&amp;"*Zone People Number Of Occupants [](Hourly)",'Eplus results'!$1:$1048576,ROW(),FALSE)</f>
        <v>0</v>
      </c>
      <c r="AC7301" s="580">
        <f>HLOOKUP("*"&amp;'Output annual'!$AC$2&amp;'Output annual'!$AD$2&amp;"*FangerPMV(Hourly)",'Eplus results'!$1:$1048576,ROW(),FALSE)</f>
        <v>0</v>
      </c>
      <c r="AD7301" s="580">
        <f t="shared" si="606"/>
        <v>5</v>
      </c>
      <c r="AE7301" s="580">
        <f t="shared" si="607"/>
        <v>2.5</v>
      </c>
      <c r="AF7301" s="580">
        <f t="shared" si="608"/>
        <v>2.5</v>
      </c>
      <c r="AG7301" s="580">
        <f t="shared" si="609"/>
        <v>0</v>
      </c>
      <c r="AH7301" s="580">
        <f t="shared" si="610"/>
        <v>0</v>
      </c>
    </row>
    <row r="7302" spans="28:34">
      <c r="AB7302" s="580">
        <f>HLOOKUP("*"&amp;'Output annual'!$AC$2&amp;'Output annual'!$AD$2&amp;"*Zone People Number Of Occupants [](Hourly)",'Eplus results'!$1:$1048576,ROW(),FALSE)</f>
        <v>0</v>
      </c>
      <c r="AC7302" s="580">
        <f>HLOOKUP("*"&amp;'Output annual'!$AC$2&amp;'Output annual'!$AD$2&amp;"*FangerPMV(Hourly)",'Eplus results'!$1:$1048576,ROW(),FALSE)</f>
        <v>0</v>
      </c>
      <c r="AD7302" s="580">
        <f t="shared" si="606"/>
        <v>5</v>
      </c>
      <c r="AE7302" s="580">
        <f t="shared" si="607"/>
        <v>2.5</v>
      </c>
      <c r="AF7302" s="580">
        <f t="shared" si="608"/>
        <v>2.5</v>
      </c>
      <c r="AG7302" s="580">
        <f t="shared" si="609"/>
        <v>0</v>
      </c>
      <c r="AH7302" s="580">
        <f t="shared" si="610"/>
        <v>0</v>
      </c>
    </row>
    <row r="7303" spans="28:34">
      <c r="AB7303" s="580">
        <f>HLOOKUP("*"&amp;'Output annual'!$AC$2&amp;'Output annual'!$AD$2&amp;"*Zone People Number Of Occupants [](Hourly)",'Eplus results'!$1:$1048576,ROW(),FALSE)</f>
        <v>0</v>
      </c>
      <c r="AC7303" s="580">
        <f>HLOOKUP("*"&amp;'Output annual'!$AC$2&amp;'Output annual'!$AD$2&amp;"*FangerPMV(Hourly)",'Eplus results'!$1:$1048576,ROW(),FALSE)</f>
        <v>0</v>
      </c>
      <c r="AD7303" s="580">
        <f t="shared" si="606"/>
        <v>5</v>
      </c>
      <c r="AE7303" s="580">
        <f t="shared" si="607"/>
        <v>2.5</v>
      </c>
      <c r="AF7303" s="580">
        <f t="shared" si="608"/>
        <v>2.5</v>
      </c>
      <c r="AG7303" s="580">
        <f t="shared" si="609"/>
        <v>0</v>
      </c>
      <c r="AH7303" s="580">
        <f t="shared" si="610"/>
        <v>0</v>
      </c>
    </row>
    <row r="7304" spans="28:34">
      <c r="AB7304" s="580">
        <f>HLOOKUP("*"&amp;'Output annual'!$AC$2&amp;'Output annual'!$AD$2&amp;"*Zone People Number Of Occupants [](Hourly)",'Eplus results'!$1:$1048576,ROW(),FALSE)</f>
        <v>0</v>
      </c>
      <c r="AC7304" s="580">
        <f>HLOOKUP("*"&amp;'Output annual'!$AC$2&amp;'Output annual'!$AD$2&amp;"*FangerPMV(Hourly)",'Eplus results'!$1:$1048576,ROW(),FALSE)</f>
        <v>0</v>
      </c>
      <c r="AD7304" s="580">
        <f t="shared" si="606"/>
        <v>5</v>
      </c>
      <c r="AE7304" s="580">
        <f t="shared" si="607"/>
        <v>2.5</v>
      </c>
      <c r="AF7304" s="580">
        <f t="shared" si="608"/>
        <v>2.5</v>
      </c>
      <c r="AG7304" s="580">
        <f t="shared" si="609"/>
        <v>0</v>
      </c>
      <c r="AH7304" s="580">
        <f t="shared" si="610"/>
        <v>0</v>
      </c>
    </row>
    <row r="7305" spans="28:34">
      <c r="AB7305" s="580">
        <f>HLOOKUP("*"&amp;'Output annual'!$AC$2&amp;'Output annual'!$AD$2&amp;"*Zone People Number Of Occupants [](Hourly)",'Eplus results'!$1:$1048576,ROW(),FALSE)</f>
        <v>0</v>
      </c>
      <c r="AC7305" s="580">
        <f>HLOOKUP("*"&amp;'Output annual'!$AC$2&amp;'Output annual'!$AD$2&amp;"*FangerPMV(Hourly)",'Eplus results'!$1:$1048576,ROW(),FALSE)</f>
        <v>0</v>
      </c>
      <c r="AD7305" s="580">
        <f t="shared" si="606"/>
        <v>5</v>
      </c>
      <c r="AE7305" s="580">
        <f t="shared" si="607"/>
        <v>2.5</v>
      </c>
      <c r="AF7305" s="580">
        <f t="shared" si="608"/>
        <v>2.5</v>
      </c>
      <c r="AG7305" s="580">
        <f t="shared" si="609"/>
        <v>0</v>
      </c>
      <c r="AH7305" s="580">
        <f t="shared" si="610"/>
        <v>0</v>
      </c>
    </row>
    <row r="7306" spans="28:34">
      <c r="AB7306" s="580">
        <f>HLOOKUP("*"&amp;'Output annual'!$AC$2&amp;'Output annual'!$AD$2&amp;"*Zone People Number Of Occupants [](Hourly)",'Eplus results'!$1:$1048576,ROW(),FALSE)</f>
        <v>0</v>
      </c>
      <c r="AC7306" s="580">
        <f>HLOOKUP("*"&amp;'Output annual'!$AC$2&amp;'Output annual'!$AD$2&amp;"*FangerPMV(Hourly)",'Eplus results'!$1:$1048576,ROW(),FALSE)</f>
        <v>0</v>
      </c>
      <c r="AD7306" s="580">
        <f t="shared" si="606"/>
        <v>5</v>
      </c>
      <c r="AE7306" s="580">
        <f t="shared" si="607"/>
        <v>2.5</v>
      </c>
      <c r="AF7306" s="580">
        <f t="shared" si="608"/>
        <v>2.5</v>
      </c>
      <c r="AG7306" s="580">
        <f t="shared" si="609"/>
        <v>0</v>
      </c>
      <c r="AH7306" s="580">
        <f t="shared" si="610"/>
        <v>0</v>
      </c>
    </row>
    <row r="7307" spans="28:34">
      <c r="AB7307" s="580">
        <f>HLOOKUP("*"&amp;'Output annual'!$AC$2&amp;'Output annual'!$AD$2&amp;"*Zone People Number Of Occupants [](Hourly)",'Eplus results'!$1:$1048576,ROW(),FALSE)</f>
        <v>0</v>
      </c>
      <c r="AC7307" s="580">
        <f>HLOOKUP("*"&amp;'Output annual'!$AC$2&amp;'Output annual'!$AD$2&amp;"*FangerPMV(Hourly)",'Eplus results'!$1:$1048576,ROW(),FALSE)</f>
        <v>0</v>
      </c>
      <c r="AD7307" s="580">
        <f t="shared" si="606"/>
        <v>5</v>
      </c>
      <c r="AE7307" s="580">
        <f t="shared" si="607"/>
        <v>2.5</v>
      </c>
      <c r="AF7307" s="580">
        <f t="shared" si="608"/>
        <v>2.5</v>
      </c>
      <c r="AG7307" s="580">
        <f t="shared" si="609"/>
        <v>0</v>
      </c>
      <c r="AH7307" s="580">
        <f t="shared" si="610"/>
        <v>0</v>
      </c>
    </row>
    <row r="7308" spans="28:34">
      <c r="AB7308" s="580">
        <f>HLOOKUP("*"&amp;'Output annual'!$AC$2&amp;'Output annual'!$AD$2&amp;"*Zone People Number Of Occupants [](Hourly)",'Eplus results'!$1:$1048576,ROW(),FALSE)</f>
        <v>0</v>
      </c>
      <c r="AC7308" s="580">
        <f>HLOOKUP("*"&amp;'Output annual'!$AC$2&amp;'Output annual'!$AD$2&amp;"*FangerPMV(Hourly)",'Eplus results'!$1:$1048576,ROW(),FALSE)</f>
        <v>0</v>
      </c>
      <c r="AD7308" s="580">
        <f t="shared" si="606"/>
        <v>5</v>
      </c>
      <c r="AE7308" s="580">
        <f t="shared" si="607"/>
        <v>2.5</v>
      </c>
      <c r="AF7308" s="580">
        <f t="shared" si="608"/>
        <v>2.5</v>
      </c>
      <c r="AG7308" s="580">
        <f t="shared" si="609"/>
        <v>0</v>
      </c>
      <c r="AH7308" s="580">
        <f t="shared" si="610"/>
        <v>0</v>
      </c>
    </row>
    <row r="7309" spans="28:34">
      <c r="AB7309" s="580">
        <f>HLOOKUP("*"&amp;'Output annual'!$AC$2&amp;'Output annual'!$AD$2&amp;"*Zone People Number Of Occupants [](Hourly)",'Eplus results'!$1:$1048576,ROW(),FALSE)</f>
        <v>0</v>
      </c>
      <c r="AC7309" s="580">
        <f>HLOOKUP("*"&amp;'Output annual'!$AC$2&amp;'Output annual'!$AD$2&amp;"*FangerPMV(Hourly)",'Eplus results'!$1:$1048576,ROW(),FALSE)</f>
        <v>0</v>
      </c>
      <c r="AD7309" s="580">
        <f t="shared" si="606"/>
        <v>5</v>
      </c>
      <c r="AE7309" s="580">
        <f t="shared" si="607"/>
        <v>2.5</v>
      </c>
      <c r="AF7309" s="580">
        <f t="shared" si="608"/>
        <v>2.5</v>
      </c>
      <c r="AG7309" s="580">
        <f t="shared" si="609"/>
        <v>0</v>
      </c>
      <c r="AH7309" s="580">
        <f t="shared" si="610"/>
        <v>0</v>
      </c>
    </row>
    <row r="7310" spans="28:34">
      <c r="AB7310" s="580">
        <f>HLOOKUP("*"&amp;'Output annual'!$AC$2&amp;'Output annual'!$AD$2&amp;"*Zone People Number Of Occupants [](Hourly)",'Eplus results'!$1:$1048576,ROW(),FALSE)</f>
        <v>0</v>
      </c>
      <c r="AC7310" s="580">
        <f>HLOOKUP("*"&amp;'Output annual'!$AC$2&amp;'Output annual'!$AD$2&amp;"*FangerPMV(Hourly)",'Eplus results'!$1:$1048576,ROW(),FALSE)</f>
        <v>0</v>
      </c>
      <c r="AD7310" s="580">
        <f t="shared" si="606"/>
        <v>5</v>
      </c>
      <c r="AE7310" s="580">
        <f t="shared" si="607"/>
        <v>2.5</v>
      </c>
      <c r="AF7310" s="580">
        <f t="shared" si="608"/>
        <v>2.5</v>
      </c>
      <c r="AG7310" s="580">
        <f t="shared" si="609"/>
        <v>0</v>
      </c>
      <c r="AH7310" s="580">
        <f t="shared" si="610"/>
        <v>0</v>
      </c>
    </row>
    <row r="7311" spans="28:34">
      <c r="AB7311" s="580">
        <f>HLOOKUP("*"&amp;'Output annual'!$AC$2&amp;'Output annual'!$AD$2&amp;"*Zone People Number Of Occupants [](Hourly)",'Eplus results'!$1:$1048576,ROW(),FALSE)</f>
        <v>0</v>
      </c>
      <c r="AC7311" s="580">
        <f>HLOOKUP("*"&amp;'Output annual'!$AC$2&amp;'Output annual'!$AD$2&amp;"*FangerPMV(Hourly)",'Eplus results'!$1:$1048576,ROW(),FALSE)</f>
        <v>0</v>
      </c>
      <c r="AD7311" s="580">
        <f t="shared" si="606"/>
        <v>5</v>
      </c>
      <c r="AE7311" s="580">
        <f t="shared" si="607"/>
        <v>2.5</v>
      </c>
      <c r="AF7311" s="580">
        <f t="shared" si="608"/>
        <v>2.5</v>
      </c>
      <c r="AG7311" s="580">
        <f t="shared" si="609"/>
        <v>0</v>
      </c>
      <c r="AH7311" s="580">
        <f t="shared" si="610"/>
        <v>0</v>
      </c>
    </row>
    <row r="7312" spans="28:34">
      <c r="AB7312" s="580">
        <f>HLOOKUP("*"&amp;'Output annual'!$AC$2&amp;'Output annual'!$AD$2&amp;"*Zone People Number Of Occupants [](Hourly)",'Eplus results'!$1:$1048576,ROW(),FALSE)</f>
        <v>0</v>
      </c>
      <c r="AC7312" s="580">
        <f>HLOOKUP("*"&amp;'Output annual'!$AC$2&amp;'Output annual'!$AD$2&amp;"*FangerPMV(Hourly)",'Eplus results'!$1:$1048576,ROW(),FALSE)</f>
        <v>0</v>
      </c>
      <c r="AD7312" s="580">
        <f t="shared" si="606"/>
        <v>5</v>
      </c>
      <c r="AE7312" s="580">
        <f t="shared" si="607"/>
        <v>2.5</v>
      </c>
      <c r="AF7312" s="580">
        <f t="shared" si="608"/>
        <v>2.5</v>
      </c>
      <c r="AG7312" s="580">
        <f t="shared" si="609"/>
        <v>0</v>
      </c>
      <c r="AH7312" s="580">
        <f t="shared" si="610"/>
        <v>0</v>
      </c>
    </row>
    <row r="7313" spans="28:34">
      <c r="AB7313" s="580">
        <f>HLOOKUP("*"&amp;'Output annual'!$AC$2&amp;'Output annual'!$AD$2&amp;"*Zone People Number Of Occupants [](Hourly)",'Eplus results'!$1:$1048576,ROW(),FALSE)</f>
        <v>0</v>
      </c>
      <c r="AC7313" s="580">
        <f>HLOOKUP("*"&amp;'Output annual'!$AC$2&amp;'Output annual'!$AD$2&amp;"*FangerPMV(Hourly)",'Eplus results'!$1:$1048576,ROW(),FALSE)</f>
        <v>0</v>
      </c>
      <c r="AD7313" s="580">
        <f t="shared" si="606"/>
        <v>5</v>
      </c>
      <c r="AE7313" s="580">
        <f t="shared" si="607"/>
        <v>2.5</v>
      </c>
      <c r="AF7313" s="580">
        <f t="shared" si="608"/>
        <v>2.5</v>
      </c>
      <c r="AG7313" s="580">
        <f t="shared" si="609"/>
        <v>0</v>
      </c>
      <c r="AH7313" s="580">
        <f t="shared" si="610"/>
        <v>0</v>
      </c>
    </row>
    <row r="7314" spans="28:34">
      <c r="AB7314" s="580">
        <f>HLOOKUP("*"&amp;'Output annual'!$AC$2&amp;'Output annual'!$AD$2&amp;"*Zone People Number Of Occupants [](Hourly)",'Eplus results'!$1:$1048576,ROW(),FALSE)</f>
        <v>0</v>
      </c>
      <c r="AC7314" s="580">
        <f>HLOOKUP("*"&amp;'Output annual'!$AC$2&amp;'Output annual'!$AD$2&amp;"*FangerPMV(Hourly)",'Eplus results'!$1:$1048576,ROW(),FALSE)</f>
        <v>0</v>
      </c>
      <c r="AD7314" s="580">
        <f t="shared" si="606"/>
        <v>5</v>
      </c>
      <c r="AE7314" s="580">
        <f t="shared" si="607"/>
        <v>2.5</v>
      </c>
      <c r="AF7314" s="580">
        <f t="shared" si="608"/>
        <v>2.5</v>
      </c>
      <c r="AG7314" s="580">
        <f t="shared" si="609"/>
        <v>0</v>
      </c>
      <c r="AH7314" s="580">
        <f t="shared" si="610"/>
        <v>0</v>
      </c>
    </row>
    <row r="7315" spans="28:34">
      <c r="AB7315" s="580">
        <f>HLOOKUP("*"&amp;'Output annual'!$AC$2&amp;'Output annual'!$AD$2&amp;"*Zone People Number Of Occupants [](Hourly)",'Eplus results'!$1:$1048576,ROW(),FALSE)</f>
        <v>0</v>
      </c>
      <c r="AC7315" s="580">
        <f>HLOOKUP("*"&amp;'Output annual'!$AC$2&amp;'Output annual'!$AD$2&amp;"*FangerPMV(Hourly)",'Eplus results'!$1:$1048576,ROW(),FALSE)</f>
        <v>0</v>
      </c>
      <c r="AD7315" s="580">
        <f t="shared" si="606"/>
        <v>5</v>
      </c>
      <c r="AE7315" s="580">
        <f t="shared" si="607"/>
        <v>2.5</v>
      </c>
      <c r="AF7315" s="580">
        <f t="shared" si="608"/>
        <v>2.5</v>
      </c>
      <c r="AG7315" s="580">
        <f t="shared" si="609"/>
        <v>0</v>
      </c>
      <c r="AH7315" s="580">
        <f t="shared" si="610"/>
        <v>0</v>
      </c>
    </row>
    <row r="7316" spans="28:34">
      <c r="AB7316" s="580">
        <f>HLOOKUP("*"&amp;'Output annual'!$AC$2&amp;'Output annual'!$AD$2&amp;"*Zone People Number Of Occupants [](Hourly)",'Eplus results'!$1:$1048576,ROW(),FALSE)</f>
        <v>0</v>
      </c>
      <c r="AC7316" s="580">
        <f>HLOOKUP("*"&amp;'Output annual'!$AC$2&amp;'Output annual'!$AD$2&amp;"*FangerPMV(Hourly)",'Eplus results'!$1:$1048576,ROW(),FALSE)</f>
        <v>0</v>
      </c>
      <c r="AD7316" s="580">
        <f t="shared" si="606"/>
        <v>5</v>
      </c>
      <c r="AE7316" s="580">
        <f t="shared" si="607"/>
        <v>2.5</v>
      </c>
      <c r="AF7316" s="580">
        <f t="shared" si="608"/>
        <v>2.5</v>
      </c>
      <c r="AG7316" s="580">
        <f t="shared" si="609"/>
        <v>0</v>
      </c>
      <c r="AH7316" s="580">
        <f t="shared" si="610"/>
        <v>0</v>
      </c>
    </row>
    <row r="7317" spans="28:34">
      <c r="AB7317" s="580">
        <f>HLOOKUP("*"&amp;'Output annual'!$AC$2&amp;'Output annual'!$AD$2&amp;"*Zone People Number Of Occupants [](Hourly)",'Eplus results'!$1:$1048576,ROW(),FALSE)</f>
        <v>0</v>
      </c>
      <c r="AC7317" s="580">
        <f>HLOOKUP("*"&amp;'Output annual'!$AC$2&amp;'Output annual'!$AD$2&amp;"*FangerPMV(Hourly)",'Eplus results'!$1:$1048576,ROW(),FALSE)</f>
        <v>0</v>
      </c>
      <c r="AD7317" s="580">
        <f t="shared" si="606"/>
        <v>5</v>
      </c>
      <c r="AE7317" s="580">
        <f t="shared" si="607"/>
        <v>2.5</v>
      </c>
      <c r="AF7317" s="580">
        <f t="shared" si="608"/>
        <v>2.5</v>
      </c>
      <c r="AG7317" s="580">
        <f t="shared" si="609"/>
        <v>0</v>
      </c>
      <c r="AH7317" s="580">
        <f t="shared" si="610"/>
        <v>0</v>
      </c>
    </row>
    <row r="7318" spans="28:34">
      <c r="AB7318" s="580">
        <f>HLOOKUP("*"&amp;'Output annual'!$AC$2&amp;'Output annual'!$AD$2&amp;"*Zone People Number Of Occupants [](Hourly)",'Eplus results'!$1:$1048576,ROW(),FALSE)</f>
        <v>0</v>
      </c>
      <c r="AC7318" s="580">
        <f>HLOOKUP("*"&amp;'Output annual'!$AC$2&amp;'Output annual'!$AD$2&amp;"*FangerPMV(Hourly)",'Eplus results'!$1:$1048576,ROW(),FALSE)</f>
        <v>0</v>
      </c>
      <c r="AD7318" s="580">
        <f t="shared" si="606"/>
        <v>5</v>
      </c>
      <c r="AE7318" s="580">
        <f t="shared" si="607"/>
        <v>2.5</v>
      </c>
      <c r="AF7318" s="580">
        <f t="shared" si="608"/>
        <v>2.5</v>
      </c>
      <c r="AG7318" s="580">
        <f t="shared" si="609"/>
        <v>0</v>
      </c>
      <c r="AH7318" s="580">
        <f t="shared" si="610"/>
        <v>0</v>
      </c>
    </row>
    <row r="7319" spans="28:34">
      <c r="AB7319" s="580">
        <f>HLOOKUP("*"&amp;'Output annual'!$AC$2&amp;'Output annual'!$AD$2&amp;"*Zone People Number Of Occupants [](Hourly)",'Eplus results'!$1:$1048576,ROW(),FALSE)</f>
        <v>0</v>
      </c>
      <c r="AC7319" s="580">
        <f>HLOOKUP("*"&amp;'Output annual'!$AC$2&amp;'Output annual'!$AD$2&amp;"*FangerPMV(Hourly)",'Eplus results'!$1:$1048576,ROW(),FALSE)</f>
        <v>0</v>
      </c>
      <c r="AD7319" s="580">
        <f t="shared" si="606"/>
        <v>5</v>
      </c>
      <c r="AE7319" s="580">
        <f t="shared" si="607"/>
        <v>2.5</v>
      </c>
      <c r="AF7319" s="580">
        <f t="shared" si="608"/>
        <v>2.5</v>
      </c>
      <c r="AG7319" s="580">
        <f t="shared" si="609"/>
        <v>0</v>
      </c>
      <c r="AH7319" s="580">
        <f t="shared" si="610"/>
        <v>0</v>
      </c>
    </row>
    <row r="7320" spans="28:34">
      <c r="AB7320" s="580">
        <f>HLOOKUP("*"&amp;'Output annual'!$AC$2&amp;'Output annual'!$AD$2&amp;"*Zone People Number Of Occupants [](Hourly)",'Eplus results'!$1:$1048576,ROW(),FALSE)</f>
        <v>0</v>
      </c>
      <c r="AC7320" s="580">
        <f>HLOOKUP("*"&amp;'Output annual'!$AC$2&amp;'Output annual'!$AD$2&amp;"*FangerPMV(Hourly)",'Eplus results'!$1:$1048576,ROW(),FALSE)</f>
        <v>0</v>
      </c>
      <c r="AD7320" s="580">
        <f t="shared" si="606"/>
        <v>5</v>
      </c>
      <c r="AE7320" s="580">
        <f t="shared" si="607"/>
        <v>2.5</v>
      </c>
      <c r="AF7320" s="580">
        <f t="shared" si="608"/>
        <v>2.5</v>
      </c>
      <c r="AG7320" s="580">
        <f t="shared" si="609"/>
        <v>0</v>
      </c>
      <c r="AH7320" s="580">
        <f t="shared" si="610"/>
        <v>0</v>
      </c>
    </row>
    <row r="7321" spans="28:34">
      <c r="AB7321" s="580">
        <f>HLOOKUP("*"&amp;'Output annual'!$AC$2&amp;'Output annual'!$AD$2&amp;"*Zone People Number Of Occupants [](Hourly)",'Eplus results'!$1:$1048576,ROW(),FALSE)</f>
        <v>0</v>
      </c>
      <c r="AC7321" s="580">
        <f>HLOOKUP("*"&amp;'Output annual'!$AC$2&amp;'Output annual'!$AD$2&amp;"*FangerPMV(Hourly)",'Eplus results'!$1:$1048576,ROW(),FALSE)</f>
        <v>0</v>
      </c>
      <c r="AD7321" s="580">
        <f t="shared" si="606"/>
        <v>5</v>
      </c>
      <c r="AE7321" s="580">
        <f t="shared" si="607"/>
        <v>2.5</v>
      </c>
      <c r="AF7321" s="580">
        <f t="shared" si="608"/>
        <v>2.5</v>
      </c>
      <c r="AG7321" s="580">
        <f t="shared" si="609"/>
        <v>0</v>
      </c>
      <c r="AH7321" s="580">
        <f t="shared" si="610"/>
        <v>0</v>
      </c>
    </row>
    <row r="7322" spans="28:34">
      <c r="AB7322" s="580">
        <f>HLOOKUP("*"&amp;'Output annual'!$AC$2&amp;'Output annual'!$AD$2&amp;"*Zone People Number Of Occupants [](Hourly)",'Eplus results'!$1:$1048576,ROW(),FALSE)</f>
        <v>0</v>
      </c>
      <c r="AC7322" s="580">
        <f>HLOOKUP("*"&amp;'Output annual'!$AC$2&amp;'Output annual'!$AD$2&amp;"*FangerPMV(Hourly)",'Eplus results'!$1:$1048576,ROW(),FALSE)</f>
        <v>0</v>
      </c>
      <c r="AD7322" s="580">
        <f t="shared" si="606"/>
        <v>5</v>
      </c>
      <c r="AE7322" s="580">
        <f t="shared" si="607"/>
        <v>2.5</v>
      </c>
      <c r="AF7322" s="580">
        <f t="shared" si="608"/>
        <v>2.5</v>
      </c>
      <c r="AG7322" s="580">
        <f t="shared" si="609"/>
        <v>0</v>
      </c>
      <c r="AH7322" s="580">
        <f t="shared" si="610"/>
        <v>0</v>
      </c>
    </row>
    <row r="7323" spans="28:34">
      <c r="AB7323" s="580">
        <f>HLOOKUP("*"&amp;'Output annual'!$AC$2&amp;'Output annual'!$AD$2&amp;"*Zone People Number Of Occupants [](Hourly)",'Eplus results'!$1:$1048576,ROW(),FALSE)</f>
        <v>0</v>
      </c>
      <c r="AC7323" s="580">
        <f>HLOOKUP("*"&amp;'Output annual'!$AC$2&amp;'Output annual'!$AD$2&amp;"*FangerPMV(Hourly)",'Eplus results'!$1:$1048576,ROW(),FALSE)</f>
        <v>0</v>
      </c>
      <c r="AD7323" s="580">
        <f t="shared" si="606"/>
        <v>5</v>
      </c>
      <c r="AE7323" s="580">
        <f t="shared" si="607"/>
        <v>2.5</v>
      </c>
      <c r="AF7323" s="580">
        <f t="shared" si="608"/>
        <v>2.5</v>
      </c>
      <c r="AG7323" s="580">
        <f t="shared" si="609"/>
        <v>0</v>
      </c>
      <c r="AH7323" s="580">
        <f t="shared" si="610"/>
        <v>0</v>
      </c>
    </row>
    <row r="7324" spans="28:34">
      <c r="AB7324" s="580">
        <f>HLOOKUP("*"&amp;'Output annual'!$AC$2&amp;'Output annual'!$AD$2&amp;"*Zone People Number Of Occupants [](Hourly)",'Eplus results'!$1:$1048576,ROW(),FALSE)</f>
        <v>0</v>
      </c>
      <c r="AC7324" s="580">
        <f>HLOOKUP("*"&amp;'Output annual'!$AC$2&amp;'Output annual'!$AD$2&amp;"*FangerPMV(Hourly)",'Eplus results'!$1:$1048576,ROW(),FALSE)</f>
        <v>0</v>
      </c>
      <c r="AD7324" s="580">
        <f t="shared" si="606"/>
        <v>5</v>
      </c>
      <c r="AE7324" s="580">
        <f t="shared" si="607"/>
        <v>2.5</v>
      </c>
      <c r="AF7324" s="580">
        <f t="shared" si="608"/>
        <v>2.5</v>
      </c>
      <c r="AG7324" s="580">
        <f t="shared" si="609"/>
        <v>0</v>
      </c>
      <c r="AH7324" s="580">
        <f t="shared" si="610"/>
        <v>0</v>
      </c>
    </row>
    <row r="7325" spans="28:34">
      <c r="AB7325" s="580">
        <f>HLOOKUP("*"&amp;'Output annual'!$AC$2&amp;'Output annual'!$AD$2&amp;"*Zone People Number Of Occupants [](Hourly)",'Eplus results'!$1:$1048576,ROW(),FALSE)</f>
        <v>0</v>
      </c>
      <c r="AC7325" s="580">
        <f>HLOOKUP("*"&amp;'Output annual'!$AC$2&amp;'Output annual'!$AD$2&amp;"*FangerPMV(Hourly)",'Eplus results'!$1:$1048576,ROW(),FALSE)</f>
        <v>0</v>
      </c>
      <c r="AD7325" s="580">
        <f t="shared" si="606"/>
        <v>5</v>
      </c>
      <c r="AE7325" s="580">
        <f t="shared" si="607"/>
        <v>2.5</v>
      </c>
      <c r="AF7325" s="580">
        <f t="shared" si="608"/>
        <v>2.5</v>
      </c>
      <c r="AG7325" s="580">
        <f t="shared" si="609"/>
        <v>0</v>
      </c>
      <c r="AH7325" s="580">
        <f t="shared" si="610"/>
        <v>0</v>
      </c>
    </row>
    <row r="7326" spans="28:34">
      <c r="AB7326" s="580">
        <f>HLOOKUP("*"&amp;'Output annual'!$AC$2&amp;'Output annual'!$AD$2&amp;"*Zone People Number Of Occupants [](Hourly)",'Eplus results'!$1:$1048576,ROW(),FALSE)</f>
        <v>0</v>
      </c>
      <c r="AC7326" s="580">
        <f>HLOOKUP("*"&amp;'Output annual'!$AC$2&amp;'Output annual'!$AD$2&amp;"*FangerPMV(Hourly)",'Eplus results'!$1:$1048576,ROW(),FALSE)</f>
        <v>0</v>
      </c>
      <c r="AD7326" s="580">
        <f t="shared" si="606"/>
        <v>5</v>
      </c>
      <c r="AE7326" s="580">
        <f t="shared" si="607"/>
        <v>2.5</v>
      </c>
      <c r="AF7326" s="580">
        <f t="shared" si="608"/>
        <v>2.5</v>
      </c>
      <c r="AG7326" s="580">
        <f t="shared" si="609"/>
        <v>0</v>
      </c>
      <c r="AH7326" s="580">
        <f t="shared" si="610"/>
        <v>0</v>
      </c>
    </row>
    <row r="7327" spans="28:34">
      <c r="AB7327" s="580">
        <f>HLOOKUP("*"&amp;'Output annual'!$AC$2&amp;'Output annual'!$AD$2&amp;"*Zone People Number Of Occupants [](Hourly)",'Eplus results'!$1:$1048576,ROW(),FALSE)</f>
        <v>0</v>
      </c>
      <c r="AC7327" s="580">
        <f>HLOOKUP("*"&amp;'Output annual'!$AC$2&amp;'Output annual'!$AD$2&amp;"*FangerPMV(Hourly)",'Eplus results'!$1:$1048576,ROW(),FALSE)</f>
        <v>0</v>
      </c>
      <c r="AD7327" s="580">
        <f t="shared" si="606"/>
        <v>5</v>
      </c>
      <c r="AE7327" s="580">
        <f t="shared" si="607"/>
        <v>2.5</v>
      </c>
      <c r="AF7327" s="580">
        <f t="shared" si="608"/>
        <v>2.5</v>
      </c>
      <c r="AG7327" s="580">
        <f t="shared" si="609"/>
        <v>0</v>
      </c>
      <c r="AH7327" s="580">
        <f t="shared" si="610"/>
        <v>0</v>
      </c>
    </row>
    <row r="7328" spans="28:34">
      <c r="AB7328" s="580">
        <f>HLOOKUP("*"&amp;'Output annual'!$AC$2&amp;'Output annual'!$AD$2&amp;"*Zone People Number Of Occupants [](Hourly)",'Eplus results'!$1:$1048576,ROW(),FALSE)</f>
        <v>0</v>
      </c>
      <c r="AC7328" s="580">
        <f>HLOOKUP("*"&amp;'Output annual'!$AC$2&amp;'Output annual'!$AD$2&amp;"*FangerPMV(Hourly)",'Eplus results'!$1:$1048576,ROW(),FALSE)</f>
        <v>0</v>
      </c>
      <c r="AD7328" s="580">
        <f t="shared" si="606"/>
        <v>5</v>
      </c>
      <c r="AE7328" s="580">
        <f t="shared" si="607"/>
        <v>2.5</v>
      </c>
      <c r="AF7328" s="580">
        <f t="shared" si="608"/>
        <v>2.5</v>
      </c>
      <c r="AG7328" s="580">
        <f t="shared" si="609"/>
        <v>0</v>
      </c>
      <c r="AH7328" s="580">
        <f t="shared" si="610"/>
        <v>0</v>
      </c>
    </row>
    <row r="7329" spans="28:34">
      <c r="AB7329" s="580">
        <f>HLOOKUP("*"&amp;'Output annual'!$AC$2&amp;'Output annual'!$AD$2&amp;"*Zone People Number Of Occupants [](Hourly)",'Eplus results'!$1:$1048576,ROW(),FALSE)</f>
        <v>0</v>
      </c>
      <c r="AC7329" s="580">
        <f>HLOOKUP("*"&amp;'Output annual'!$AC$2&amp;'Output annual'!$AD$2&amp;"*FangerPMV(Hourly)",'Eplus results'!$1:$1048576,ROW(),FALSE)</f>
        <v>0</v>
      </c>
      <c r="AD7329" s="580">
        <f t="shared" si="606"/>
        <v>5</v>
      </c>
      <c r="AE7329" s="580">
        <f t="shared" si="607"/>
        <v>2.5</v>
      </c>
      <c r="AF7329" s="580">
        <f t="shared" si="608"/>
        <v>2.5</v>
      </c>
      <c r="AG7329" s="580">
        <f t="shared" si="609"/>
        <v>0</v>
      </c>
      <c r="AH7329" s="580">
        <f t="shared" si="610"/>
        <v>0</v>
      </c>
    </row>
    <row r="7330" spans="28:34">
      <c r="AB7330" s="580">
        <f>HLOOKUP("*"&amp;'Output annual'!$AC$2&amp;'Output annual'!$AD$2&amp;"*Zone People Number Of Occupants [](Hourly)",'Eplus results'!$1:$1048576,ROW(),FALSE)</f>
        <v>0</v>
      </c>
      <c r="AC7330" s="580">
        <f>HLOOKUP("*"&amp;'Output annual'!$AC$2&amp;'Output annual'!$AD$2&amp;"*FangerPMV(Hourly)",'Eplus results'!$1:$1048576,ROW(),FALSE)</f>
        <v>0</v>
      </c>
      <c r="AD7330" s="580">
        <f t="shared" si="606"/>
        <v>5</v>
      </c>
      <c r="AE7330" s="580">
        <f t="shared" si="607"/>
        <v>2.5</v>
      </c>
      <c r="AF7330" s="580">
        <f t="shared" si="608"/>
        <v>2.5</v>
      </c>
      <c r="AG7330" s="580">
        <f t="shared" si="609"/>
        <v>0</v>
      </c>
      <c r="AH7330" s="580">
        <f t="shared" si="610"/>
        <v>0</v>
      </c>
    </row>
    <row r="7331" spans="28:34">
      <c r="AB7331" s="580">
        <f>HLOOKUP("*"&amp;'Output annual'!$AC$2&amp;'Output annual'!$AD$2&amp;"*Zone People Number Of Occupants [](Hourly)",'Eplus results'!$1:$1048576,ROW(),FALSE)</f>
        <v>0</v>
      </c>
      <c r="AC7331" s="580">
        <f>HLOOKUP("*"&amp;'Output annual'!$AC$2&amp;'Output annual'!$AD$2&amp;"*FangerPMV(Hourly)",'Eplus results'!$1:$1048576,ROW(),FALSE)</f>
        <v>0</v>
      </c>
      <c r="AD7331" s="580">
        <f t="shared" si="606"/>
        <v>5</v>
      </c>
      <c r="AE7331" s="580">
        <f t="shared" si="607"/>
        <v>2.5</v>
      </c>
      <c r="AF7331" s="580">
        <f t="shared" si="608"/>
        <v>2.5</v>
      </c>
      <c r="AG7331" s="580">
        <f t="shared" si="609"/>
        <v>0</v>
      </c>
      <c r="AH7331" s="580">
        <f t="shared" si="610"/>
        <v>0</v>
      </c>
    </row>
    <row r="7332" spans="28:34">
      <c r="AB7332" s="580">
        <f>HLOOKUP("*"&amp;'Output annual'!$AC$2&amp;'Output annual'!$AD$2&amp;"*Zone People Number Of Occupants [](Hourly)",'Eplus results'!$1:$1048576,ROW(),FALSE)</f>
        <v>0</v>
      </c>
      <c r="AC7332" s="580">
        <f>HLOOKUP("*"&amp;'Output annual'!$AC$2&amp;'Output annual'!$AD$2&amp;"*FangerPMV(Hourly)",'Eplus results'!$1:$1048576,ROW(),FALSE)</f>
        <v>0</v>
      </c>
      <c r="AD7332" s="580">
        <f t="shared" si="606"/>
        <v>5</v>
      </c>
      <c r="AE7332" s="580">
        <f t="shared" si="607"/>
        <v>2.5</v>
      </c>
      <c r="AF7332" s="580">
        <f t="shared" si="608"/>
        <v>2.5</v>
      </c>
      <c r="AG7332" s="580">
        <f t="shared" si="609"/>
        <v>0</v>
      </c>
      <c r="AH7332" s="580">
        <f t="shared" si="610"/>
        <v>0</v>
      </c>
    </row>
    <row r="7333" spans="28:34">
      <c r="AB7333" s="580">
        <f>HLOOKUP("*"&amp;'Output annual'!$AC$2&amp;'Output annual'!$AD$2&amp;"*Zone People Number Of Occupants [](Hourly)",'Eplus results'!$1:$1048576,ROW(),FALSE)</f>
        <v>0</v>
      </c>
      <c r="AC7333" s="580">
        <f>HLOOKUP("*"&amp;'Output annual'!$AC$2&amp;'Output annual'!$AD$2&amp;"*FangerPMV(Hourly)",'Eplus results'!$1:$1048576,ROW(),FALSE)</f>
        <v>0</v>
      </c>
      <c r="AD7333" s="580">
        <f t="shared" si="606"/>
        <v>5</v>
      </c>
      <c r="AE7333" s="580">
        <f t="shared" si="607"/>
        <v>2.5</v>
      </c>
      <c r="AF7333" s="580">
        <f t="shared" si="608"/>
        <v>2.5</v>
      </c>
      <c r="AG7333" s="580">
        <f t="shared" si="609"/>
        <v>0</v>
      </c>
      <c r="AH7333" s="580">
        <f t="shared" si="610"/>
        <v>0</v>
      </c>
    </row>
    <row r="7334" spans="28:34">
      <c r="AB7334" s="580">
        <f>HLOOKUP("*"&amp;'Output annual'!$AC$2&amp;'Output annual'!$AD$2&amp;"*Zone People Number Of Occupants [](Hourly)",'Eplus results'!$1:$1048576,ROW(),FALSE)</f>
        <v>0</v>
      </c>
      <c r="AC7334" s="580">
        <f>HLOOKUP("*"&amp;'Output annual'!$AC$2&amp;'Output annual'!$AD$2&amp;"*FangerPMV(Hourly)",'Eplus results'!$1:$1048576,ROW(),FALSE)</f>
        <v>0</v>
      </c>
      <c r="AD7334" s="580">
        <f t="shared" si="606"/>
        <v>5</v>
      </c>
      <c r="AE7334" s="580">
        <f t="shared" si="607"/>
        <v>2.5</v>
      </c>
      <c r="AF7334" s="580">
        <f t="shared" si="608"/>
        <v>2.5</v>
      </c>
      <c r="AG7334" s="580">
        <f t="shared" si="609"/>
        <v>0</v>
      </c>
      <c r="AH7334" s="580">
        <f t="shared" si="610"/>
        <v>0</v>
      </c>
    </row>
    <row r="7335" spans="28:34">
      <c r="AB7335" s="580">
        <f>HLOOKUP("*"&amp;'Output annual'!$AC$2&amp;'Output annual'!$AD$2&amp;"*Zone People Number Of Occupants [](Hourly)",'Eplus results'!$1:$1048576,ROW(),FALSE)</f>
        <v>0</v>
      </c>
      <c r="AC7335" s="580">
        <f>HLOOKUP("*"&amp;'Output annual'!$AC$2&amp;'Output annual'!$AD$2&amp;"*FangerPMV(Hourly)",'Eplus results'!$1:$1048576,ROW(),FALSE)</f>
        <v>0</v>
      </c>
      <c r="AD7335" s="580">
        <f t="shared" si="606"/>
        <v>5</v>
      </c>
      <c r="AE7335" s="580">
        <f t="shared" si="607"/>
        <v>2.5</v>
      </c>
      <c r="AF7335" s="580">
        <f t="shared" si="608"/>
        <v>2.5</v>
      </c>
      <c r="AG7335" s="580">
        <f t="shared" si="609"/>
        <v>0</v>
      </c>
      <c r="AH7335" s="580">
        <f t="shared" si="610"/>
        <v>0</v>
      </c>
    </row>
    <row r="7336" spans="28:34">
      <c r="AB7336" s="580">
        <f>HLOOKUP("*"&amp;'Output annual'!$AC$2&amp;'Output annual'!$AD$2&amp;"*Zone People Number Of Occupants [](Hourly)",'Eplus results'!$1:$1048576,ROW(),FALSE)</f>
        <v>0</v>
      </c>
      <c r="AC7336" s="580">
        <f>HLOOKUP("*"&amp;'Output annual'!$AC$2&amp;'Output annual'!$AD$2&amp;"*FangerPMV(Hourly)",'Eplus results'!$1:$1048576,ROW(),FALSE)</f>
        <v>0</v>
      </c>
      <c r="AD7336" s="580">
        <f t="shared" si="606"/>
        <v>5</v>
      </c>
      <c r="AE7336" s="580">
        <f t="shared" si="607"/>
        <v>2.5</v>
      </c>
      <c r="AF7336" s="580">
        <f t="shared" si="608"/>
        <v>2.5</v>
      </c>
      <c r="AG7336" s="580">
        <f t="shared" si="609"/>
        <v>0</v>
      </c>
      <c r="AH7336" s="580">
        <f t="shared" si="610"/>
        <v>0</v>
      </c>
    </row>
    <row r="7337" spans="28:34">
      <c r="AB7337" s="580">
        <f>HLOOKUP("*"&amp;'Output annual'!$AC$2&amp;'Output annual'!$AD$2&amp;"*Zone People Number Of Occupants [](Hourly)",'Eplus results'!$1:$1048576,ROW(),FALSE)</f>
        <v>0</v>
      </c>
      <c r="AC7337" s="580">
        <f>HLOOKUP("*"&amp;'Output annual'!$AC$2&amp;'Output annual'!$AD$2&amp;"*FangerPMV(Hourly)",'Eplus results'!$1:$1048576,ROW(),FALSE)</f>
        <v>0</v>
      </c>
      <c r="AD7337" s="580">
        <f t="shared" si="606"/>
        <v>5</v>
      </c>
      <c r="AE7337" s="580">
        <f t="shared" si="607"/>
        <v>2.5</v>
      </c>
      <c r="AF7337" s="580">
        <f t="shared" si="608"/>
        <v>2.5</v>
      </c>
      <c r="AG7337" s="580">
        <f t="shared" si="609"/>
        <v>0</v>
      </c>
      <c r="AH7337" s="580">
        <f t="shared" si="610"/>
        <v>0</v>
      </c>
    </row>
    <row r="7338" spans="28:34">
      <c r="AB7338" s="580">
        <f>HLOOKUP("*"&amp;'Output annual'!$AC$2&amp;'Output annual'!$AD$2&amp;"*Zone People Number Of Occupants [](Hourly)",'Eplus results'!$1:$1048576,ROW(),FALSE)</f>
        <v>0</v>
      </c>
      <c r="AC7338" s="580">
        <f>HLOOKUP("*"&amp;'Output annual'!$AC$2&amp;'Output annual'!$AD$2&amp;"*FangerPMV(Hourly)",'Eplus results'!$1:$1048576,ROW(),FALSE)</f>
        <v>0</v>
      </c>
      <c r="AD7338" s="580">
        <f t="shared" si="606"/>
        <v>5</v>
      </c>
      <c r="AE7338" s="580">
        <f t="shared" si="607"/>
        <v>2.5</v>
      </c>
      <c r="AF7338" s="580">
        <f t="shared" si="608"/>
        <v>2.5</v>
      </c>
      <c r="AG7338" s="580">
        <f t="shared" si="609"/>
        <v>0</v>
      </c>
      <c r="AH7338" s="580">
        <f t="shared" si="610"/>
        <v>0</v>
      </c>
    </row>
    <row r="7339" spans="28:34">
      <c r="AB7339" s="580">
        <f>HLOOKUP("*"&amp;'Output annual'!$AC$2&amp;'Output annual'!$AD$2&amp;"*Zone People Number Of Occupants [](Hourly)",'Eplus results'!$1:$1048576,ROW(),FALSE)</f>
        <v>0</v>
      </c>
      <c r="AC7339" s="580">
        <f>HLOOKUP("*"&amp;'Output annual'!$AC$2&amp;'Output annual'!$AD$2&amp;"*FangerPMV(Hourly)",'Eplus results'!$1:$1048576,ROW(),FALSE)</f>
        <v>0</v>
      </c>
      <c r="AD7339" s="580">
        <f t="shared" si="606"/>
        <v>5</v>
      </c>
      <c r="AE7339" s="580">
        <f t="shared" si="607"/>
        <v>2.5</v>
      </c>
      <c r="AF7339" s="580">
        <f t="shared" si="608"/>
        <v>2.5</v>
      </c>
      <c r="AG7339" s="580">
        <f t="shared" si="609"/>
        <v>0</v>
      </c>
      <c r="AH7339" s="580">
        <f t="shared" si="610"/>
        <v>0</v>
      </c>
    </row>
    <row r="7340" spans="28:34">
      <c r="AB7340" s="580">
        <f>HLOOKUP("*"&amp;'Output annual'!$AC$2&amp;'Output annual'!$AD$2&amp;"*Zone People Number Of Occupants [](Hourly)",'Eplus results'!$1:$1048576,ROW(),FALSE)</f>
        <v>0</v>
      </c>
      <c r="AC7340" s="580">
        <f>HLOOKUP("*"&amp;'Output annual'!$AC$2&amp;'Output annual'!$AD$2&amp;"*FangerPMV(Hourly)",'Eplus results'!$1:$1048576,ROW(),FALSE)</f>
        <v>0</v>
      </c>
      <c r="AD7340" s="580">
        <f t="shared" si="606"/>
        <v>5</v>
      </c>
      <c r="AE7340" s="580">
        <f t="shared" si="607"/>
        <v>2.5</v>
      </c>
      <c r="AF7340" s="580">
        <f t="shared" si="608"/>
        <v>2.5</v>
      </c>
      <c r="AG7340" s="580">
        <f t="shared" si="609"/>
        <v>0</v>
      </c>
      <c r="AH7340" s="580">
        <f t="shared" si="610"/>
        <v>0</v>
      </c>
    </row>
    <row r="7341" spans="28:34">
      <c r="AB7341" s="580">
        <f>HLOOKUP("*"&amp;'Output annual'!$AC$2&amp;'Output annual'!$AD$2&amp;"*Zone People Number Of Occupants [](Hourly)",'Eplus results'!$1:$1048576,ROW(),FALSE)</f>
        <v>0</v>
      </c>
      <c r="AC7341" s="580">
        <f>HLOOKUP("*"&amp;'Output annual'!$AC$2&amp;'Output annual'!$AD$2&amp;"*FangerPMV(Hourly)",'Eplus results'!$1:$1048576,ROW(),FALSE)</f>
        <v>0</v>
      </c>
      <c r="AD7341" s="580">
        <f t="shared" si="606"/>
        <v>5</v>
      </c>
      <c r="AE7341" s="580">
        <f t="shared" si="607"/>
        <v>2.5</v>
      </c>
      <c r="AF7341" s="580">
        <f t="shared" si="608"/>
        <v>2.5</v>
      </c>
      <c r="AG7341" s="580">
        <f t="shared" si="609"/>
        <v>0</v>
      </c>
      <c r="AH7341" s="580">
        <f t="shared" si="610"/>
        <v>0</v>
      </c>
    </row>
    <row r="7342" spans="28:34">
      <c r="AB7342" s="580">
        <f>HLOOKUP("*"&amp;'Output annual'!$AC$2&amp;'Output annual'!$AD$2&amp;"*Zone People Number Of Occupants [](Hourly)",'Eplus results'!$1:$1048576,ROW(),FALSE)</f>
        <v>0</v>
      </c>
      <c r="AC7342" s="580">
        <f>HLOOKUP("*"&amp;'Output annual'!$AC$2&amp;'Output annual'!$AD$2&amp;"*FangerPMV(Hourly)",'Eplus results'!$1:$1048576,ROW(),FALSE)</f>
        <v>0</v>
      </c>
      <c r="AD7342" s="580">
        <f t="shared" si="606"/>
        <v>5</v>
      </c>
      <c r="AE7342" s="580">
        <f t="shared" si="607"/>
        <v>2.5</v>
      </c>
      <c r="AF7342" s="580">
        <f t="shared" si="608"/>
        <v>2.5</v>
      </c>
      <c r="AG7342" s="580">
        <f t="shared" si="609"/>
        <v>0</v>
      </c>
      <c r="AH7342" s="580">
        <f t="shared" si="610"/>
        <v>0</v>
      </c>
    </row>
    <row r="7343" spans="28:34">
      <c r="AB7343" s="580">
        <f>HLOOKUP("*"&amp;'Output annual'!$AC$2&amp;'Output annual'!$AD$2&amp;"*Zone People Number Of Occupants [](Hourly)",'Eplus results'!$1:$1048576,ROW(),FALSE)</f>
        <v>0</v>
      </c>
      <c r="AC7343" s="580">
        <f>HLOOKUP("*"&amp;'Output annual'!$AC$2&amp;'Output annual'!$AD$2&amp;"*FangerPMV(Hourly)",'Eplus results'!$1:$1048576,ROW(),FALSE)</f>
        <v>0</v>
      </c>
      <c r="AD7343" s="580">
        <f t="shared" si="606"/>
        <v>5</v>
      </c>
      <c r="AE7343" s="580">
        <f t="shared" si="607"/>
        <v>2.5</v>
      </c>
      <c r="AF7343" s="580">
        <f t="shared" si="608"/>
        <v>2.5</v>
      </c>
      <c r="AG7343" s="580">
        <f t="shared" si="609"/>
        <v>0</v>
      </c>
      <c r="AH7343" s="580">
        <f t="shared" si="610"/>
        <v>0</v>
      </c>
    </row>
    <row r="7344" spans="28:34">
      <c r="AB7344" s="580">
        <f>HLOOKUP("*"&amp;'Output annual'!$AC$2&amp;'Output annual'!$AD$2&amp;"*Zone People Number Of Occupants [](Hourly)",'Eplus results'!$1:$1048576,ROW(),FALSE)</f>
        <v>0</v>
      </c>
      <c r="AC7344" s="580">
        <f>HLOOKUP("*"&amp;'Output annual'!$AC$2&amp;'Output annual'!$AD$2&amp;"*FangerPMV(Hourly)",'Eplus results'!$1:$1048576,ROW(),FALSE)</f>
        <v>0</v>
      </c>
      <c r="AD7344" s="580">
        <f t="shared" si="606"/>
        <v>5</v>
      </c>
      <c r="AE7344" s="580">
        <f t="shared" si="607"/>
        <v>2.5</v>
      </c>
      <c r="AF7344" s="580">
        <f t="shared" si="608"/>
        <v>2.5</v>
      </c>
      <c r="AG7344" s="580">
        <f t="shared" si="609"/>
        <v>0</v>
      </c>
      <c r="AH7344" s="580">
        <f t="shared" si="610"/>
        <v>0</v>
      </c>
    </row>
    <row r="7345" spans="28:34">
      <c r="AB7345" s="580">
        <f>HLOOKUP("*"&amp;'Output annual'!$AC$2&amp;'Output annual'!$AD$2&amp;"*Zone People Number Of Occupants [](Hourly)",'Eplus results'!$1:$1048576,ROW(),FALSE)</f>
        <v>0</v>
      </c>
      <c r="AC7345" s="580">
        <f>HLOOKUP("*"&amp;'Output annual'!$AC$2&amp;'Output annual'!$AD$2&amp;"*FangerPMV(Hourly)",'Eplus results'!$1:$1048576,ROW(),FALSE)</f>
        <v>0</v>
      </c>
      <c r="AD7345" s="580">
        <f t="shared" si="606"/>
        <v>5</v>
      </c>
      <c r="AE7345" s="580">
        <f t="shared" si="607"/>
        <v>2.5</v>
      </c>
      <c r="AF7345" s="580">
        <f t="shared" si="608"/>
        <v>2.5</v>
      </c>
      <c r="AG7345" s="580">
        <f t="shared" si="609"/>
        <v>0</v>
      </c>
      <c r="AH7345" s="580">
        <f t="shared" si="610"/>
        <v>0</v>
      </c>
    </row>
    <row r="7346" spans="28:34">
      <c r="AB7346" s="580">
        <f>HLOOKUP("*"&amp;'Output annual'!$AC$2&amp;'Output annual'!$AD$2&amp;"*Zone People Number Of Occupants [](Hourly)",'Eplus results'!$1:$1048576,ROW(),FALSE)</f>
        <v>0</v>
      </c>
      <c r="AC7346" s="580">
        <f>HLOOKUP("*"&amp;'Output annual'!$AC$2&amp;'Output annual'!$AD$2&amp;"*FangerPMV(Hourly)",'Eplus results'!$1:$1048576,ROW(),FALSE)</f>
        <v>0</v>
      </c>
      <c r="AD7346" s="580">
        <f t="shared" si="606"/>
        <v>5</v>
      </c>
      <c r="AE7346" s="580">
        <f t="shared" si="607"/>
        <v>2.5</v>
      </c>
      <c r="AF7346" s="580">
        <f t="shared" si="608"/>
        <v>2.5</v>
      </c>
      <c r="AG7346" s="580">
        <f t="shared" si="609"/>
        <v>0</v>
      </c>
      <c r="AH7346" s="580">
        <f t="shared" si="610"/>
        <v>0</v>
      </c>
    </row>
    <row r="7347" spans="28:34">
      <c r="AB7347" s="580">
        <f>HLOOKUP("*"&amp;'Output annual'!$AC$2&amp;'Output annual'!$AD$2&amp;"*Zone People Number Of Occupants [](Hourly)",'Eplus results'!$1:$1048576,ROW(),FALSE)</f>
        <v>0</v>
      </c>
      <c r="AC7347" s="580">
        <f>HLOOKUP("*"&amp;'Output annual'!$AC$2&amp;'Output annual'!$AD$2&amp;"*FangerPMV(Hourly)",'Eplus results'!$1:$1048576,ROW(),FALSE)</f>
        <v>0</v>
      </c>
      <c r="AD7347" s="580">
        <f t="shared" si="606"/>
        <v>5</v>
      </c>
      <c r="AE7347" s="580">
        <f t="shared" si="607"/>
        <v>2.5</v>
      </c>
      <c r="AF7347" s="580">
        <f t="shared" si="608"/>
        <v>2.5</v>
      </c>
      <c r="AG7347" s="580">
        <f t="shared" si="609"/>
        <v>0</v>
      </c>
      <c r="AH7347" s="580">
        <f t="shared" si="610"/>
        <v>0</v>
      </c>
    </row>
    <row r="7348" spans="28:34">
      <c r="AB7348" s="580">
        <f>HLOOKUP("*"&amp;'Output annual'!$AC$2&amp;'Output annual'!$AD$2&amp;"*Zone People Number Of Occupants [](Hourly)",'Eplus results'!$1:$1048576,ROW(),FALSE)</f>
        <v>0</v>
      </c>
      <c r="AC7348" s="580">
        <f>HLOOKUP("*"&amp;'Output annual'!$AC$2&amp;'Output annual'!$AD$2&amp;"*FangerPMV(Hourly)",'Eplus results'!$1:$1048576,ROW(),FALSE)</f>
        <v>0</v>
      </c>
      <c r="AD7348" s="580">
        <f t="shared" si="606"/>
        <v>5</v>
      </c>
      <c r="AE7348" s="580">
        <f t="shared" si="607"/>
        <v>2.5</v>
      </c>
      <c r="AF7348" s="580">
        <f t="shared" si="608"/>
        <v>2.5</v>
      </c>
      <c r="AG7348" s="580">
        <f t="shared" si="609"/>
        <v>0</v>
      </c>
      <c r="AH7348" s="580">
        <f t="shared" si="610"/>
        <v>0</v>
      </c>
    </row>
    <row r="7349" spans="28:34">
      <c r="AB7349" s="580">
        <f>HLOOKUP("*"&amp;'Output annual'!$AC$2&amp;'Output annual'!$AD$2&amp;"*Zone People Number Of Occupants [](Hourly)",'Eplus results'!$1:$1048576,ROW(),FALSE)</f>
        <v>0</v>
      </c>
      <c r="AC7349" s="580">
        <f>HLOOKUP("*"&amp;'Output annual'!$AC$2&amp;'Output annual'!$AD$2&amp;"*FangerPMV(Hourly)",'Eplus results'!$1:$1048576,ROW(),FALSE)</f>
        <v>0</v>
      </c>
      <c r="AD7349" s="580">
        <f t="shared" si="606"/>
        <v>5</v>
      </c>
      <c r="AE7349" s="580">
        <f t="shared" si="607"/>
        <v>2.5</v>
      </c>
      <c r="AF7349" s="580">
        <f t="shared" si="608"/>
        <v>2.5</v>
      </c>
      <c r="AG7349" s="580">
        <f t="shared" si="609"/>
        <v>0</v>
      </c>
      <c r="AH7349" s="580">
        <f t="shared" si="610"/>
        <v>0</v>
      </c>
    </row>
    <row r="7350" spans="28:34">
      <c r="AB7350" s="580">
        <f>HLOOKUP("*"&amp;'Output annual'!$AC$2&amp;'Output annual'!$AD$2&amp;"*Zone People Number Of Occupants [](Hourly)",'Eplus results'!$1:$1048576,ROW(),FALSE)</f>
        <v>0</v>
      </c>
      <c r="AC7350" s="580">
        <f>HLOOKUP("*"&amp;'Output annual'!$AC$2&amp;'Output annual'!$AD$2&amp;"*FangerPMV(Hourly)",'Eplus results'!$1:$1048576,ROW(),FALSE)</f>
        <v>0</v>
      </c>
      <c r="AD7350" s="580">
        <f t="shared" si="606"/>
        <v>5</v>
      </c>
      <c r="AE7350" s="580">
        <f t="shared" si="607"/>
        <v>2.5</v>
      </c>
      <c r="AF7350" s="580">
        <f t="shared" si="608"/>
        <v>2.5</v>
      </c>
      <c r="AG7350" s="580">
        <f t="shared" si="609"/>
        <v>0</v>
      </c>
      <c r="AH7350" s="580">
        <f t="shared" si="610"/>
        <v>0</v>
      </c>
    </row>
    <row r="7351" spans="28:34">
      <c r="AB7351" s="580">
        <f>HLOOKUP("*"&amp;'Output annual'!$AC$2&amp;'Output annual'!$AD$2&amp;"*Zone People Number Of Occupants [](Hourly)",'Eplus results'!$1:$1048576,ROW(),FALSE)</f>
        <v>0</v>
      </c>
      <c r="AC7351" s="580">
        <f>HLOOKUP("*"&amp;'Output annual'!$AC$2&amp;'Output annual'!$AD$2&amp;"*FangerPMV(Hourly)",'Eplus results'!$1:$1048576,ROW(),FALSE)</f>
        <v>0</v>
      </c>
      <c r="AD7351" s="580">
        <f t="shared" si="606"/>
        <v>5</v>
      </c>
      <c r="AE7351" s="580">
        <f t="shared" si="607"/>
        <v>2.5</v>
      </c>
      <c r="AF7351" s="580">
        <f t="shared" si="608"/>
        <v>2.5</v>
      </c>
      <c r="AG7351" s="580">
        <f t="shared" si="609"/>
        <v>0</v>
      </c>
      <c r="AH7351" s="580">
        <f t="shared" si="610"/>
        <v>0</v>
      </c>
    </row>
    <row r="7352" spans="28:34">
      <c r="AB7352" s="580">
        <f>HLOOKUP("*"&amp;'Output annual'!$AC$2&amp;'Output annual'!$AD$2&amp;"*Zone People Number Of Occupants [](Hourly)",'Eplus results'!$1:$1048576,ROW(),FALSE)</f>
        <v>0</v>
      </c>
      <c r="AC7352" s="580">
        <f>HLOOKUP("*"&amp;'Output annual'!$AC$2&amp;'Output annual'!$AD$2&amp;"*FangerPMV(Hourly)",'Eplus results'!$1:$1048576,ROW(),FALSE)</f>
        <v>0</v>
      </c>
      <c r="AD7352" s="580">
        <f t="shared" si="606"/>
        <v>5</v>
      </c>
      <c r="AE7352" s="580">
        <f t="shared" si="607"/>
        <v>2.5</v>
      </c>
      <c r="AF7352" s="580">
        <f t="shared" si="608"/>
        <v>2.5</v>
      </c>
      <c r="AG7352" s="580">
        <f t="shared" si="609"/>
        <v>0</v>
      </c>
      <c r="AH7352" s="580">
        <f t="shared" si="610"/>
        <v>0</v>
      </c>
    </row>
    <row r="7353" spans="28:34">
      <c r="AB7353" s="580">
        <f>HLOOKUP("*"&amp;'Output annual'!$AC$2&amp;'Output annual'!$AD$2&amp;"*Zone People Number Of Occupants [](Hourly)",'Eplus results'!$1:$1048576,ROW(),FALSE)</f>
        <v>0</v>
      </c>
      <c r="AC7353" s="580">
        <f>HLOOKUP("*"&amp;'Output annual'!$AC$2&amp;'Output annual'!$AD$2&amp;"*FangerPMV(Hourly)",'Eplus results'!$1:$1048576,ROW(),FALSE)</f>
        <v>0</v>
      </c>
      <c r="AD7353" s="580">
        <f t="shared" si="606"/>
        <v>5</v>
      </c>
      <c r="AE7353" s="580">
        <f t="shared" si="607"/>
        <v>2.5</v>
      </c>
      <c r="AF7353" s="580">
        <f t="shared" si="608"/>
        <v>2.5</v>
      </c>
      <c r="AG7353" s="580">
        <f t="shared" si="609"/>
        <v>0</v>
      </c>
      <c r="AH7353" s="580">
        <f t="shared" si="610"/>
        <v>0</v>
      </c>
    </row>
    <row r="7354" spans="28:34">
      <c r="AB7354" s="580">
        <f>HLOOKUP("*"&amp;'Output annual'!$AC$2&amp;'Output annual'!$AD$2&amp;"*Zone People Number Of Occupants [](Hourly)",'Eplus results'!$1:$1048576,ROW(),FALSE)</f>
        <v>0</v>
      </c>
      <c r="AC7354" s="580">
        <f>HLOOKUP("*"&amp;'Output annual'!$AC$2&amp;'Output annual'!$AD$2&amp;"*FangerPMV(Hourly)",'Eplus results'!$1:$1048576,ROW(),FALSE)</f>
        <v>0</v>
      </c>
      <c r="AD7354" s="580">
        <f t="shared" si="606"/>
        <v>5</v>
      </c>
      <c r="AE7354" s="580">
        <f t="shared" si="607"/>
        <v>2.5</v>
      </c>
      <c r="AF7354" s="580">
        <f t="shared" si="608"/>
        <v>2.5</v>
      </c>
      <c r="AG7354" s="580">
        <f t="shared" si="609"/>
        <v>0</v>
      </c>
      <c r="AH7354" s="580">
        <f t="shared" si="610"/>
        <v>0</v>
      </c>
    </row>
    <row r="7355" spans="28:34">
      <c r="AB7355" s="580">
        <f>HLOOKUP("*"&amp;'Output annual'!$AC$2&amp;'Output annual'!$AD$2&amp;"*Zone People Number Of Occupants [](Hourly)",'Eplus results'!$1:$1048576,ROW(),FALSE)</f>
        <v>0</v>
      </c>
      <c r="AC7355" s="580">
        <f>HLOOKUP("*"&amp;'Output annual'!$AC$2&amp;'Output annual'!$AD$2&amp;"*FangerPMV(Hourly)",'Eplus results'!$1:$1048576,ROW(),FALSE)</f>
        <v>0</v>
      </c>
      <c r="AD7355" s="580">
        <f t="shared" si="606"/>
        <v>5</v>
      </c>
      <c r="AE7355" s="580">
        <f t="shared" si="607"/>
        <v>2.5</v>
      </c>
      <c r="AF7355" s="580">
        <f t="shared" si="608"/>
        <v>2.5</v>
      </c>
      <c r="AG7355" s="580">
        <f t="shared" si="609"/>
        <v>0</v>
      </c>
      <c r="AH7355" s="580">
        <f t="shared" si="610"/>
        <v>0</v>
      </c>
    </row>
    <row r="7356" spans="28:34">
      <c r="AB7356" s="580">
        <f>HLOOKUP("*"&amp;'Output annual'!$AC$2&amp;'Output annual'!$AD$2&amp;"*Zone People Number Of Occupants [](Hourly)",'Eplus results'!$1:$1048576,ROW(),FALSE)</f>
        <v>0</v>
      </c>
      <c r="AC7356" s="580">
        <f>HLOOKUP("*"&amp;'Output annual'!$AC$2&amp;'Output annual'!$AD$2&amp;"*FangerPMV(Hourly)",'Eplus results'!$1:$1048576,ROW(),FALSE)</f>
        <v>0</v>
      </c>
      <c r="AD7356" s="580">
        <f t="shared" si="606"/>
        <v>5</v>
      </c>
      <c r="AE7356" s="580">
        <f t="shared" si="607"/>
        <v>2.5</v>
      </c>
      <c r="AF7356" s="580">
        <f t="shared" si="608"/>
        <v>2.5</v>
      </c>
      <c r="AG7356" s="580">
        <f t="shared" si="609"/>
        <v>0</v>
      </c>
      <c r="AH7356" s="580">
        <f t="shared" si="610"/>
        <v>0</v>
      </c>
    </row>
    <row r="7357" spans="28:34">
      <c r="AB7357" s="580">
        <f>HLOOKUP("*"&amp;'Output annual'!$AC$2&amp;'Output annual'!$AD$2&amp;"*Zone People Number Of Occupants [](Hourly)",'Eplus results'!$1:$1048576,ROW(),FALSE)</f>
        <v>0</v>
      </c>
      <c r="AC7357" s="580">
        <f>HLOOKUP("*"&amp;'Output annual'!$AC$2&amp;'Output annual'!$AD$2&amp;"*FangerPMV(Hourly)",'Eplus results'!$1:$1048576,ROW(),FALSE)</f>
        <v>0</v>
      </c>
      <c r="AD7357" s="580">
        <f t="shared" si="606"/>
        <v>5</v>
      </c>
      <c r="AE7357" s="580">
        <f t="shared" si="607"/>
        <v>2.5</v>
      </c>
      <c r="AF7357" s="580">
        <f t="shared" si="608"/>
        <v>2.5</v>
      </c>
      <c r="AG7357" s="580">
        <f t="shared" si="609"/>
        <v>0</v>
      </c>
      <c r="AH7357" s="580">
        <f t="shared" si="610"/>
        <v>0</v>
      </c>
    </row>
    <row r="7358" spans="28:34">
      <c r="AB7358" s="580">
        <f>HLOOKUP("*"&amp;'Output annual'!$AC$2&amp;'Output annual'!$AD$2&amp;"*Zone People Number Of Occupants [](Hourly)",'Eplus results'!$1:$1048576,ROW(),FALSE)</f>
        <v>0</v>
      </c>
      <c r="AC7358" s="580">
        <f>HLOOKUP("*"&amp;'Output annual'!$AC$2&amp;'Output annual'!$AD$2&amp;"*FangerPMV(Hourly)",'Eplus results'!$1:$1048576,ROW(),FALSE)</f>
        <v>0</v>
      </c>
      <c r="AD7358" s="580">
        <f t="shared" si="606"/>
        <v>5</v>
      </c>
      <c r="AE7358" s="580">
        <f t="shared" si="607"/>
        <v>2.5</v>
      </c>
      <c r="AF7358" s="580">
        <f t="shared" si="608"/>
        <v>2.5</v>
      </c>
      <c r="AG7358" s="580">
        <f t="shared" si="609"/>
        <v>0</v>
      </c>
      <c r="AH7358" s="580">
        <f t="shared" si="610"/>
        <v>0</v>
      </c>
    </row>
    <row r="7359" spans="28:34">
      <c r="AB7359" s="580">
        <f>HLOOKUP("*"&amp;'Output annual'!$AC$2&amp;'Output annual'!$AD$2&amp;"*Zone People Number Of Occupants [](Hourly)",'Eplus results'!$1:$1048576,ROW(),FALSE)</f>
        <v>0</v>
      </c>
      <c r="AC7359" s="580">
        <f>HLOOKUP("*"&amp;'Output annual'!$AC$2&amp;'Output annual'!$AD$2&amp;"*FangerPMV(Hourly)",'Eplus results'!$1:$1048576,ROW(),FALSE)</f>
        <v>0</v>
      </c>
      <c r="AD7359" s="580">
        <f t="shared" si="606"/>
        <v>5</v>
      </c>
      <c r="AE7359" s="580">
        <f t="shared" si="607"/>
        <v>2.5</v>
      </c>
      <c r="AF7359" s="580">
        <f t="shared" si="608"/>
        <v>2.5</v>
      </c>
      <c r="AG7359" s="580">
        <f t="shared" si="609"/>
        <v>0</v>
      </c>
      <c r="AH7359" s="580">
        <f t="shared" si="610"/>
        <v>0</v>
      </c>
    </row>
    <row r="7360" spans="28:34">
      <c r="AB7360" s="580">
        <f>HLOOKUP("*"&amp;'Output annual'!$AC$2&amp;'Output annual'!$AD$2&amp;"*Zone People Number Of Occupants [](Hourly)",'Eplus results'!$1:$1048576,ROW(),FALSE)</f>
        <v>0</v>
      </c>
      <c r="AC7360" s="580">
        <f>HLOOKUP("*"&amp;'Output annual'!$AC$2&amp;'Output annual'!$AD$2&amp;"*FangerPMV(Hourly)",'Eplus results'!$1:$1048576,ROW(),FALSE)</f>
        <v>0</v>
      </c>
      <c r="AD7360" s="580">
        <f t="shared" si="606"/>
        <v>5</v>
      </c>
      <c r="AE7360" s="580">
        <f t="shared" si="607"/>
        <v>2.5</v>
      </c>
      <c r="AF7360" s="580">
        <f t="shared" si="608"/>
        <v>2.5</v>
      </c>
      <c r="AG7360" s="580">
        <f t="shared" si="609"/>
        <v>0</v>
      </c>
      <c r="AH7360" s="580">
        <f t="shared" si="610"/>
        <v>0</v>
      </c>
    </row>
    <row r="7361" spans="28:34">
      <c r="AB7361" s="580">
        <f>HLOOKUP("*"&amp;'Output annual'!$AC$2&amp;'Output annual'!$AD$2&amp;"*Zone People Number Of Occupants [](Hourly)",'Eplus results'!$1:$1048576,ROW(),FALSE)</f>
        <v>0</v>
      </c>
      <c r="AC7361" s="580">
        <f>HLOOKUP("*"&amp;'Output annual'!$AC$2&amp;'Output annual'!$AD$2&amp;"*FangerPMV(Hourly)",'Eplus results'!$1:$1048576,ROW(),FALSE)</f>
        <v>0</v>
      </c>
      <c r="AD7361" s="580">
        <f t="shared" si="606"/>
        <v>5</v>
      </c>
      <c r="AE7361" s="580">
        <f t="shared" si="607"/>
        <v>2.5</v>
      </c>
      <c r="AF7361" s="580">
        <f t="shared" si="608"/>
        <v>2.5</v>
      </c>
      <c r="AG7361" s="580">
        <f t="shared" si="609"/>
        <v>0</v>
      </c>
      <c r="AH7361" s="580">
        <f t="shared" si="610"/>
        <v>0</v>
      </c>
    </row>
    <row r="7362" spans="28:34">
      <c r="AB7362" s="580">
        <f>HLOOKUP("*"&amp;'Output annual'!$AC$2&amp;'Output annual'!$AD$2&amp;"*Zone People Number Of Occupants [](Hourly)",'Eplus results'!$1:$1048576,ROW(),FALSE)</f>
        <v>0</v>
      </c>
      <c r="AC7362" s="580">
        <f>HLOOKUP("*"&amp;'Output annual'!$AC$2&amp;'Output annual'!$AD$2&amp;"*FangerPMV(Hourly)",'Eplus results'!$1:$1048576,ROW(),FALSE)</f>
        <v>0</v>
      </c>
      <c r="AD7362" s="580">
        <f t="shared" si="606"/>
        <v>5</v>
      </c>
      <c r="AE7362" s="580">
        <f t="shared" si="607"/>
        <v>2.5</v>
      </c>
      <c r="AF7362" s="580">
        <f t="shared" si="608"/>
        <v>2.5</v>
      </c>
      <c r="AG7362" s="580">
        <f t="shared" si="609"/>
        <v>0</v>
      </c>
      <c r="AH7362" s="580">
        <f t="shared" si="610"/>
        <v>0</v>
      </c>
    </row>
    <row r="7363" spans="28:34">
      <c r="AB7363" s="580">
        <f>HLOOKUP("*"&amp;'Output annual'!$AC$2&amp;'Output annual'!$AD$2&amp;"*Zone People Number Of Occupants [](Hourly)",'Eplus results'!$1:$1048576,ROW(),FALSE)</f>
        <v>0</v>
      </c>
      <c r="AC7363" s="580">
        <f>HLOOKUP("*"&amp;'Output annual'!$AC$2&amp;'Output annual'!$AD$2&amp;"*FangerPMV(Hourly)",'Eplus results'!$1:$1048576,ROW(),FALSE)</f>
        <v>0</v>
      </c>
      <c r="AD7363" s="580">
        <f t="shared" ref="AD7363:AD7426" si="611">100-95*EXP(-0.03353*AC7363^4-0.2179*AC7363^2)</f>
        <v>5</v>
      </c>
      <c r="AE7363" s="580">
        <f t="shared" ref="AE7363:AE7426" si="612">AD7363*(1/(1+EXP(-6.3*$AC7363)))</f>
        <v>2.5</v>
      </c>
      <c r="AF7363" s="580">
        <f t="shared" ref="AF7363:AF7426" si="613">(AD7363-AE7363)</f>
        <v>2.5</v>
      </c>
      <c r="AG7363" s="580">
        <f t="shared" ref="AG7363:AG7426" si="614">AE7363*AB7363</f>
        <v>0</v>
      </c>
      <c r="AH7363" s="580">
        <f t="shared" ref="AH7363:AH7426" si="615">AF7363*AB7363</f>
        <v>0</v>
      </c>
    </row>
    <row r="7364" spans="28:34">
      <c r="AB7364" s="580">
        <f>HLOOKUP("*"&amp;'Output annual'!$AC$2&amp;'Output annual'!$AD$2&amp;"*Zone People Number Of Occupants [](Hourly)",'Eplus results'!$1:$1048576,ROW(),FALSE)</f>
        <v>0</v>
      </c>
      <c r="AC7364" s="580">
        <f>HLOOKUP("*"&amp;'Output annual'!$AC$2&amp;'Output annual'!$AD$2&amp;"*FangerPMV(Hourly)",'Eplus results'!$1:$1048576,ROW(),FALSE)</f>
        <v>0</v>
      </c>
      <c r="AD7364" s="580">
        <f t="shared" si="611"/>
        <v>5</v>
      </c>
      <c r="AE7364" s="580">
        <f t="shared" si="612"/>
        <v>2.5</v>
      </c>
      <c r="AF7364" s="580">
        <f t="shared" si="613"/>
        <v>2.5</v>
      </c>
      <c r="AG7364" s="580">
        <f t="shared" si="614"/>
        <v>0</v>
      </c>
      <c r="AH7364" s="580">
        <f t="shared" si="615"/>
        <v>0</v>
      </c>
    </row>
    <row r="7365" spans="28:34">
      <c r="AB7365" s="580">
        <f>HLOOKUP("*"&amp;'Output annual'!$AC$2&amp;'Output annual'!$AD$2&amp;"*Zone People Number Of Occupants [](Hourly)",'Eplus results'!$1:$1048576,ROW(),FALSE)</f>
        <v>0</v>
      </c>
      <c r="AC7365" s="580">
        <f>HLOOKUP("*"&amp;'Output annual'!$AC$2&amp;'Output annual'!$AD$2&amp;"*FangerPMV(Hourly)",'Eplus results'!$1:$1048576,ROW(),FALSE)</f>
        <v>0</v>
      </c>
      <c r="AD7365" s="580">
        <f t="shared" si="611"/>
        <v>5</v>
      </c>
      <c r="AE7365" s="580">
        <f t="shared" si="612"/>
        <v>2.5</v>
      </c>
      <c r="AF7365" s="580">
        <f t="shared" si="613"/>
        <v>2.5</v>
      </c>
      <c r="AG7365" s="580">
        <f t="shared" si="614"/>
        <v>0</v>
      </c>
      <c r="AH7365" s="580">
        <f t="shared" si="615"/>
        <v>0</v>
      </c>
    </row>
    <row r="7366" spans="28:34">
      <c r="AB7366" s="580">
        <f>HLOOKUP("*"&amp;'Output annual'!$AC$2&amp;'Output annual'!$AD$2&amp;"*Zone People Number Of Occupants [](Hourly)",'Eplus results'!$1:$1048576,ROW(),FALSE)</f>
        <v>0</v>
      </c>
      <c r="AC7366" s="580">
        <f>HLOOKUP("*"&amp;'Output annual'!$AC$2&amp;'Output annual'!$AD$2&amp;"*FangerPMV(Hourly)",'Eplus results'!$1:$1048576,ROW(),FALSE)</f>
        <v>0</v>
      </c>
      <c r="AD7366" s="580">
        <f t="shared" si="611"/>
        <v>5</v>
      </c>
      <c r="AE7366" s="580">
        <f t="shared" si="612"/>
        <v>2.5</v>
      </c>
      <c r="AF7366" s="580">
        <f t="shared" si="613"/>
        <v>2.5</v>
      </c>
      <c r="AG7366" s="580">
        <f t="shared" si="614"/>
        <v>0</v>
      </c>
      <c r="AH7366" s="580">
        <f t="shared" si="615"/>
        <v>0</v>
      </c>
    </row>
    <row r="7367" spans="28:34">
      <c r="AB7367" s="580">
        <f>HLOOKUP("*"&amp;'Output annual'!$AC$2&amp;'Output annual'!$AD$2&amp;"*Zone People Number Of Occupants [](Hourly)",'Eplus results'!$1:$1048576,ROW(),FALSE)</f>
        <v>0</v>
      </c>
      <c r="AC7367" s="580">
        <f>HLOOKUP("*"&amp;'Output annual'!$AC$2&amp;'Output annual'!$AD$2&amp;"*FangerPMV(Hourly)",'Eplus results'!$1:$1048576,ROW(),FALSE)</f>
        <v>0</v>
      </c>
      <c r="AD7367" s="580">
        <f t="shared" si="611"/>
        <v>5</v>
      </c>
      <c r="AE7367" s="580">
        <f t="shared" si="612"/>
        <v>2.5</v>
      </c>
      <c r="AF7367" s="580">
        <f t="shared" si="613"/>
        <v>2.5</v>
      </c>
      <c r="AG7367" s="580">
        <f t="shared" si="614"/>
        <v>0</v>
      </c>
      <c r="AH7367" s="580">
        <f t="shared" si="615"/>
        <v>0</v>
      </c>
    </row>
    <row r="7368" spans="28:34">
      <c r="AB7368" s="580">
        <f>HLOOKUP("*"&amp;'Output annual'!$AC$2&amp;'Output annual'!$AD$2&amp;"*Zone People Number Of Occupants [](Hourly)",'Eplus results'!$1:$1048576,ROW(),FALSE)</f>
        <v>0</v>
      </c>
      <c r="AC7368" s="580">
        <f>HLOOKUP("*"&amp;'Output annual'!$AC$2&amp;'Output annual'!$AD$2&amp;"*FangerPMV(Hourly)",'Eplus results'!$1:$1048576,ROW(),FALSE)</f>
        <v>0</v>
      </c>
      <c r="AD7368" s="580">
        <f t="shared" si="611"/>
        <v>5</v>
      </c>
      <c r="AE7368" s="580">
        <f t="shared" si="612"/>
        <v>2.5</v>
      </c>
      <c r="AF7368" s="580">
        <f t="shared" si="613"/>
        <v>2.5</v>
      </c>
      <c r="AG7368" s="580">
        <f t="shared" si="614"/>
        <v>0</v>
      </c>
      <c r="AH7368" s="580">
        <f t="shared" si="615"/>
        <v>0</v>
      </c>
    </row>
    <row r="7369" spans="28:34">
      <c r="AB7369" s="580">
        <f>HLOOKUP("*"&amp;'Output annual'!$AC$2&amp;'Output annual'!$AD$2&amp;"*Zone People Number Of Occupants [](Hourly)",'Eplus results'!$1:$1048576,ROW(),FALSE)</f>
        <v>0</v>
      </c>
      <c r="AC7369" s="580">
        <f>HLOOKUP("*"&amp;'Output annual'!$AC$2&amp;'Output annual'!$AD$2&amp;"*FangerPMV(Hourly)",'Eplus results'!$1:$1048576,ROW(),FALSE)</f>
        <v>0</v>
      </c>
      <c r="AD7369" s="580">
        <f t="shared" si="611"/>
        <v>5</v>
      </c>
      <c r="AE7369" s="580">
        <f t="shared" si="612"/>
        <v>2.5</v>
      </c>
      <c r="AF7369" s="580">
        <f t="shared" si="613"/>
        <v>2.5</v>
      </c>
      <c r="AG7369" s="580">
        <f t="shared" si="614"/>
        <v>0</v>
      </c>
      <c r="AH7369" s="580">
        <f t="shared" si="615"/>
        <v>0</v>
      </c>
    </row>
    <row r="7370" spans="28:34">
      <c r="AB7370" s="580">
        <f>HLOOKUP("*"&amp;'Output annual'!$AC$2&amp;'Output annual'!$AD$2&amp;"*Zone People Number Of Occupants [](Hourly)",'Eplus results'!$1:$1048576,ROW(),FALSE)</f>
        <v>0</v>
      </c>
      <c r="AC7370" s="580">
        <f>HLOOKUP("*"&amp;'Output annual'!$AC$2&amp;'Output annual'!$AD$2&amp;"*FangerPMV(Hourly)",'Eplus results'!$1:$1048576,ROW(),FALSE)</f>
        <v>0</v>
      </c>
      <c r="AD7370" s="580">
        <f t="shared" si="611"/>
        <v>5</v>
      </c>
      <c r="AE7370" s="580">
        <f t="shared" si="612"/>
        <v>2.5</v>
      </c>
      <c r="AF7370" s="580">
        <f t="shared" si="613"/>
        <v>2.5</v>
      </c>
      <c r="AG7370" s="580">
        <f t="shared" si="614"/>
        <v>0</v>
      </c>
      <c r="AH7370" s="580">
        <f t="shared" si="615"/>
        <v>0</v>
      </c>
    </row>
    <row r="7371" spans="28:34">
      <c r="AB7371" s="580">
        <f>HLOOKUP("*"&amp;'Output annual'!$AC$2&amp;'Output annual'!$AD$2&amp;"*Zone People Number Of Occupants [](Hourly)",'Eplus results'!$1:$1048576,ROW(),FALSE)</f>
        <v>0</v>
      </c>
      <c r="AC7371" s="580">
        <f>HLOOKUP("*"&amp;'Output annual'!$AC$2&amp;'Output annual'!$AD$2&amp;"*FangerPMV(Hourly)",'Eplus results'!$1:$1048576,ROW(),FALSE)</f>
        <v>0</v>
      </c>
      <c r="AD7371" s="580">
        <f t="shared" si="611"/>
        <v>5</v>
      </c>
      <c r="AE7371" s="580">
        <f t="shared" si="612"/>
        <v>2.5</v>
      </c>
      <c r="AF7371" s="580">
        <f t="shared" si="613"/>
        <v>2.5</v>
      </c>
      <c r="AG7371" s="580">
        <f t="shared" si="614"/>
        <v>0</v>
      </c>
      <c r="AH7371" s="580">
        <f t="shared" si="615"/>
        <v>0</v>
      </c>
    </row>
    <row r="7372" spans="28:34">
      <c r="AB7372" s="580">
        <f>HLOOKUP("*"&amp;'Output annual'!$AC$2&amp;'Output annual'!$AD$2&amp;"*Zone People Number Of Occupants [](Hourly)",'Eplus results'!$1:$1048576,ROW(),FALSE)</f>
        <v>0</v>
      </c>
      <c r="AC7372" s="580">
        <f>HLOOKUP("*"&amp;'Output annual'!$AC$2&amp;'Output annual'!$AD$2&amp;"*FangerPMV(Hourly)",'Eplus results'!$1:$1048576,ROW(),FALSE)</f>
        <v>0</v>
      </c>
      <c r="AD7372" s="580">
        <f t="shared" si="611"/>
        <v>5</v>
      </c>
      <c r="AE7372" s="580">
        <f t="shared" si="612"/>
        <v>2.5</v>
      </c>
      <c r="AF7372" s="580">
        <f t="shared" si="613"/>
        <v>2.5</v>
      </c>
      <c r="AG7372" s="580">
        <f t="shared" si="614"/>
        <v>0</v>
      </c>
      <c r="AH7372" s="580">
        <f t="shared" si="615"/>
        <v>0</v>
      </c>
    </row>
    <row r="7373" spans="28:34">
      <c r="AB7373" s="580">
        <f>HLOOKUP("*"&amp;'Output annual'!$AC$2&amp;'Output annual'!$AD$2&amp;"*Zone People Number Of Occupants [](Hourly)",'Eplus results'!$1:$1048576,ROW(),FALSE)</f>
        <v>0</v>
      </c>
      <c r="AC7373" s="580">
        <f>HLOOKUP("*"&amp;'Output annual'!$AC$2&amp;'Output annual'!$AD$2&amp;"*FangerPMV(Hourly)",'Eplus results'!$1:$1048576,ROW(),FALSE)</f>
        <v>0</v>
      </c>
      <c r="AD7373" s="580">
        <f t="shared" si="611"/>
        <v>5</v>
      </c>
      <c r="AE7373" s="580">
        <f t="shared" si="612"/>
        <v>2.5</v>
      </c>
      <c r="AF7373" s="580">
        <f t="shared" si="613"/>
        <v>2.5</v>
      </c>
      <c r="AG7373" s="580">
        <f t="shared" si="614"/>
        <v>0</v>
      </c>
      <c r="AH7373" s="580">
        <f t="shared" si="615"/>
        <v>0</v>
      </c>
    </row>
    <row r="7374" spans="28:34">
      <c r="AB7374" s="580">
        <f>HLOOKUP("*"&amp;'Output annual'!$AC$2&amp;'Output annual'!$AD$2&amp;"*Zone People Number Of Occupants [](Hourly)",'Eplus results'!$1:$1048576,ROW(),FALSE)</f>
        <v>0</v>
      </c>
      <c r="AC7374" s="580">
        <f>HLOOKUP("*"&amp;'Output annual'!$AC$2&amp;'Output annual'!$AD$2&amp;"*FangerPMV(Hourly)",'Eplus results'!$1:$1048576,ROW(),FALSE)</f>
        <v>0</v>
      </c>
      <c r="AD7374" s="580">
        <f t="shared" si="611"/>
        <v>5</v>
      </c>
      <c r="AE7374" s="580">
        <f t="shared" si="612"/>
        <v>2.5</v>
      </c>
      <c r="AF7374" s="580">
        <f t="shared" si="613"/>
        <v>2.5</v>
      </c>
      <c r="AG7374" s="580">
        <f t="shared" si="614"/>
        <v>0</v>
      </c>
      <c r="AH7374" s="580">
        <f t="shared" si="615"/>
        <v>0</v>
      </c>
    </row>
    <row r="7375" spans="28:34">
      <c r="AB7375" s="580">
        <f>HLOOKUP("*"&amp;'Output annual'!$AC$2&amp;'Output annual'!$AD$2&amp;"*Zone People Number Of Occupants [](Hourly)",'Eplus results'!$1:$1048576,ROW(),FALSE)</f>
        <v>0</v>
      </c>
      <c r="AC7375" s="580">
        <f>HLOOKUP("*"&amp;'Output annual'!$AC$2&amp;'Output annual'!$AD$2&amp;"*FangerPMV(Hourly)",'Eplus results'!$1:$1048576,ROW(),FALSE)</f>
        <v>0</v>
      </c>
      <c r="AD7375" s="580">
        <f t="shared" si="611"/>
        <v>5</v>
      </c>
      <c r="AE7375" s="580">
        <f t="shared" si="612"/>
        <v>2.5</v>
      </c>
      <c r="AF7375" s="580">
        <f t="shared" si="613"/>
        <v>2.5</v>
      </c>
      <c r="AG7375" s="580">
        <f t="shared" si="614"/>
        <v>0</v>
      </c>
      <c r="AH7375" s="580">
        <f t="shared" si="615"/>
        <v>0</v>
      </c>
    </row>
    <row r="7376" spans="28:34">
      <c r="AB7376" s="580">
        <f>HLOOKUP("*"&amp;'Output annual'!$AC$2&amp;'Output annual'!$AD$2&amp;"*Zone People Number Of Occupants [](Hourly)",'Eplus results'!$1:$1048576,ROW(),FALSE)</f>
        <v>0</v>
      </c>
      <c r="AC7376" s="580">
        <f>HLOOKUP("*"&amp;'Output annual'!$AC$2&amp;'Output annual'!$AD$2&amp;"*FangerPMV(Hourly)",'Eplus results'!$1:$1048576,ROW(),FALSE)</f>
        <v>0</v>
      </c>
      <c r="AD7376" s="580">
        <f t="shared" si="611"/>
        <v>5</v>
      </c>
      <c r="AE7376" s="580">
        <f t="shared" si="612"/>
        <v>2.5</v>
      </c>
      <c r="AF7376" s="580">
        <f t="shared" si="613"/>
        <v>2.5</v>
      </c>
      <c r="AG7376" s="580">
        <f t="shared" si="614"/>
        <v>0</v>
      </c>
      <c r="AH7376" s="580">
        <f t="shared" si="615"/>
        <v>0</v>
      </c>
    </row>
    <row r="7377" spans="28:34">
      <c r="AB7377" s="580">
        <f>HLOOKUP("*"&amp;'Output annual'!$AC$2&amp;'Output annual'!$AD$2&amp;"*Zone People Number Of Occupants [](Hourly)",'Eplus results'!$1:$1048576,ROW(),FALSE)</f>
        <v>0</v>
      </c>
      <c r="AC7377" s="580">
        <f>HLOOKUP("*"&amp;'Output annual'!$AC$2&amp;'Output annual'!$AD$2&amp;"*FangerPMV(Hourly)",'Eplus results'!$1:$1048576,ROW(),FALSE)</f>
        <v>0</v>
      </c>
      <c r="AD7377" s="580">
        <f t="shared" si="611"/>
        <v>5</v>
      </c>
      <c r="AE7377" s="580">
        <f t="shared" si="612"/>
        <v>2.5</v>
      </c>
      <c r="AF7377" s="580">
        <f t="shared" si="613"/>
        <v>2.5</v>
      </c>
      <c r="AG7377" s="580">
        <f t="shared" si="614"/>
        <v>0</v>
      </c>
      <c r="AH7377" s="580">
        <f t="shared" si="615"/>
        <v>0</v>
      </c>
    </row>
    <row r="7378" spans="28:34">
      <c r="AB7378" s="580">
        <f>HLOOKUP("*"&amp;'Output annual'!$AC$2&amp;'Output annual'!$AD$2&amp;"*Zone People Number Of Occupants [](Hourly)",'Eplus results'!$1:$1048576,ROW(),FALSE)</f>
        <v>0</v>
      </c>
      <c r="AC7378" s="580">
        <f>HLOOKUP("*"&amp;'Output annual'!$AC$2&amp;'Output annual'!$AD$2&amp;"*FangerPMV(Hourly)",'Eplus results'!$1:$1048576,ROW(),FALSE)</f>
        <v>0</v>
      </c>
      <c r="AD7378" s="580">
        <f t="shared" si="611"/>
        <v>5</v>
      </c>
      <c r="AE7378" s="580">
        <f t="shared" si="612"/>
        <v>2.5</v>
      </c>
      <c r="AF7378" s="580">
        <f t="shared" si="613"/>
        <v>2.5</v>
      </c>
      <c r="AG7378" s="580">
        <f t="shared" si="614"/>
        <v>0</v>
      </c>
      <c r="AH7378" s="580">
        <f t="shared" si="615"/>
        <v>0</v>
      </c>
    </row>
    <row r="7379" spans="28:34">
      <c r="AB7379" s="580">
        <f>HLOOKUP("*"&amp;'Output annual'!$AC$2&amp;'Output annual'!$AD$2&amp;"*Zone People Number Of Occupants [](Hourly)",'Eplus results'!$1:$1048576,ROW(),FALSE)</f>
        <v>0</v>
      </c>
      <c r="AC7379" s="580">
        <f>HLOOKUP("*"&amp;'Output annual'!$AC$2&amp;'Output annual'!$AD$2&amp;"*FangerPMV(Hourly)",'Eplus results'!$1:$1048576,ROW(),FALSE)</f>
        <v>0</v>
      </c>
      <c r="AD7379" s="580">
        <f t="shared" si="611"/>
        <v>5</v>
      </c>
      <c r="AE7379" s="580">
        <f t="shared" si="612"/>
        <v>2.5</v>
      </c>
      <c r="AF7379" s="580">
        <f t="shared" si="613"/>
        <v>2.5</v>
      </c>
      <c r="AG7379" s="580">
        <f t="shared" si="614"/>
        <v>0</v>
      </c>
      <c r="AH7379" s="580">
        <f t="shared" si="615"/>
        <v>0</v>
      </c>
    </row>
    <row r="7380" spans="28:34">
      <c r="AB7380" s="580">
        <f>HLOOKUP("*"&amp;'Output annual'!$AC$2&amp;'Output annual'!$AD$2&amp;"*Zone People Number Of Occupants [](Hourly)",'Eplus results'!$1:$1048576,ROW(),FALSE)</f>
        <v>0</v>
      </c>
      <c r="AC7380" s="580">
        <f>HLOOKUP("*"&amp;'Output annual'!$AC$2&amp;'Output annual'!$AD$2&amp;"*FangerPMV(Hourly)",'Eplus results'!$1:$1048576,ROW(),FALSE)</f>
        <v>0</v>
      </c>
      <c r="AD7380" s="580">
        <f t="shared" si="611"/>
        <v>5</v>
      </c>
      <c r="AE7380" s="580">
        <f t="shared" si="612"/>
        <v>2.5</v>
      </c>
      <c r="AF7380" s="580">
        <f t="shared" si="613"/>
        <v>2.5</v>
      </c>
      <c r="AG7380" s="580">
        <f t="shared" si="614"/>
        <v>0</v>
      </c>
      <c r="AH7380" s="580">
        <f t="shared" si="615"/>
        <v>0</v>
      </c>
    </row>
    <row r="7381" spans="28:34">
      <c r="AB7381" s="580">
        <f>HLOOKUP("*"&amp;'Output annual'!$AC$2&amp;'Output annual'!$AD$2&amp;"*Zone People Number Of Occupants [](Hourly)",'Eplus results'!$1:$1048576,ROW(),FALSE)</f>
        <v>0</v>
      </c>
      <c r="AC7381" s="580">
        <f>HLOOKUP("*"&amp;'Output annual'!$AC$2&amp;'Output annual'!$AD$2&amp;"*FangerPMV(Hourly)",'Eplus results'!$1:$1048576,ROW(),FALSE)</f>
        <v>0</v>
      </c>
      <c r="AD7381" s="580">
        <f t="shared" si="611"/>
        <v>5</v>
      </c>
      <c r="AE7381" s="580">
        <f t="shared" si="612"/>
        <v>2.5</v>
      </c>
      <c r="AF7381" s="580">
        <f t="shared" si="613"/>
        <v>2.5</v>
      </c>
      <c r="AG7381" s="580">
        <f t="shared" si="614"/>
        <v>0</v>
      </c>
      <c r="AH7381" s="580">
        <f t="shared" si="615"/>
        <v>0</v>
      </c>
    </row>
    <row r="7382" spans="28:34">
      <c r="AB7382" s="580">
        <f>HLOOKUP("*"&amp;'Output annual'!$AC$2&amp;'Output annual'!$AD$2&amp;"*Zone People Number Of Occupants [](Hourly)",'Eplus results'!$1:$1048576,ROW(),FALSE)</f>
        <v>0</v>
      </c>
      <c r="AC7382" s="580">
        <f>HLOOKUP("*"&amp;'Output annual'!$AC$2&amp;'Output annual'!$AD$2&amp;"*FangerPMV(Hourly)",'Eplus results'!$1:$1048576,ROW(),FALSE)</f>
        <v>0</v>
      </c>
      <c r="AD7382" s="580">
        <f t="shared" si="611"/>
        <v>5</v>
      </c>
      <c r="AE7382" s="580">
        <f t="shared" si="612"/>
        <v>2.5</v>
      </c>
      <c r="AF7382" s="580">
        <f t="shared" si="613"/>
        <v>2.5</v>
      </c>
      <c r="AG7382" s="580">
        <f t="shared" si="614"/>
        <v>0</v>
      </c>
      <c r="AH7382" s="580">
        <f t="shared" si="615"/>
        <v>0</v>
      </c>
    </row>
    <row r="7383" spans="28:34">
      <c r="AB7383" s="580">
        <f>HLOOKUP("*"&amp;'Output annual'!$AC$2&amp;'Output annual'!$AD$2&amp;"*Zone People Number Of Occupants [](Hourly)",'Eplus results'!$1:$1048576,ROW(),FALSE)</f>
        <v>0</v>
      </c>
      <c r="AC7383" s="580">
        <f>HLOOKUP("*"&amp;'Output annual'!$AC$2&amp;'Output annual'!$AD$2&amp;"*FangerPMV(Hourly)",'Eplus results'!$1:$1048576,ROW(),FALSE)</f>
        <v>0</v>
      </c>
      <c r="AD7383" s="580">
        <f t="shared" si="611"/>
        <v>5</v>
      </c>
      <c r="AE7383" s="580">
        <f t="shared" si="612"/>
        <v>2.5</v>
      </c>
      <c r="AF7383" s="580">
        <f t="shared" si="613"/>
        <v>2.5</v>
      </c>
      <c r="AG7383" s="580">
        <f t="shared" si="614"/>
        <v>0</v>
      </c>
      <c r="AH7383" s="580">
        <f t="shared" si="615"/>
        <v>0</v>
      </c>
    </row>
    <row r="7384" spans="28:34">
      <c r="AB7384" s="580">
        <f>HLOOKUP("*"&amp;'Output annual'!$AC$2&amp;'Output annual'!$AD$2&amp;"*Zone People Number Of Occupants [](Hourly)",'Eplus results'!$1:$1048576,ROW(),FALSE)</f>
        <v>0</v>
      </c>
      <c r="AC7384" s="580">
        <f>HLOOKUP("*"&amp;'Output annual'!$AC$2&amp;'Output annual'!$AD$2&amp;"*FangerPMV(Hourly)",'Eplus results'!$1:$1048576,ROW(),FALSE)</f>
        <v>0</v>
      </c>
      <c r="AD7384" s="580">
        <f t="shared" si="611"/>
        <v>5</v>
      </c>
      <c r="AE7384" s="580">
        <f t="shared" si="612"/>
        <v>2.5</v>
      </c>
      <c r="AF7384" s="580">
        <f t="shared" si="613"/>
        <v>2.5</v>
      </c>
      <c r="AG7384" s="580">
        <f t="shared" si="614"/>
        <v>0</v>
      </c>
      <c r="AH7384" s="580">
        <f t="shared" si="615"/>
        <v>0</v>
      </c>
    </row>
    <row r="7385" spans="28:34">
      <c r="AB7385" s="580">
        <f>HLOOKUP("*"&amp;'Output annual'!$AC$2&amp;'Output annual'!$AD$2&amp;"*Zone People Number Of Occupants [](Hourly)",'Eplus results'!$1:$1048576,ROW(),FALSE)</f>
        <v>0</v>
      </c>
      <c r="AC7385" s="580">
        <f>HLOOKUP("*"&amp;'Output annual'!$AC$2&amp;'Output annual'!$AD$2&amp;"*FangerPMV(Hourly)",'Eplus results'!$1:$1048576,ROW(),FALSE)</f>
        <v>0</v>
      </c>
      <c r="AD7385" s="580">
        <f t="shared" si="611"/>
        <v>5</v>
      </c>
      <c r="AE7385" s="580">
        <f t="shared" si="612"/>
        <v>2.5</v>
      </c>
      <c r="AF7385" s="580">
        <f t="shared" si="613"/>
        <v>2.5</v>
      </c>
      <c r="AG7385" s="580">
        <f t="shared" si="614"/>
        <v>0</v>
      </c>
      <c r="AH7385" s="580">
        <f t="shared" si="615"/>
        <v>0</v>
      </c>
    </row>
    <row r="7386" spans="28:34">
      <c r="AB7386" s="580">
        <f>HLOOKUP("*"&amp;'Output annual'!$AC$2&amp;'Output annual'!$AD$2&amp;"*Zone People Number Of Occupants [](Hourly)",'Eplus results'!$1:$1048576,ROW(),FALSE)</f>
        <v>0</v>
      </c>
      <c r="AC7386" s="580">
        <f>HLOOKUP("*"&amp;'Output annual'!$AC$2&amp;'Output annual'!$AD$2&amp;"*FangerPMV(Hourly)",'Eplus results'!$1:$1048576,ROW(),FALSE)</f>
        <v>0</v>
      </c>
      <c r="AD7386" s="580">
        <f t="shared" si="611"/>
        <v>5</v>
      </c>
      <c r="AE7386" s="580">
        <f t="shared" si="612"/>
        <v>2.5</v>
      </c>
      <c r="AF7386" s="580">
        <f t="shared" si="613"/>
        <v>2.5</v>
      </c>
      <c r="AG7386" s="580">
        <f t="shared" si="614"/>
        <v>0</v>
      </c>
      <c r="AH7386" s="580">
        <f t="shared" si="615"/>
        <v>0</v>
      </c>
    </row>
    <row r="7387" spans="28:34">
      <c r="AB7387" s="580">
        <f>HLOOKUP("*"&amp;'Output annual'!$AC$2&amp;'Output annual'!$AD$2&amp;"*Zone People Number Of Occupants [](Hourly)",'Eplus results'!$1:$1048576,ROW(),FALSE)</f>
        <v>0</v>
      </c>
      <c r="AC7387" s="580">
        <f>HLOOKUP("*"&amp;'Output annual'!$AC$2&amp;'Output annual'!$AD$2&amp;"*FangerPMV(Hourly)",'Eplus results'!$1:$1048576,ROW(),FALSE)</f>
        <v>0</v>
      </c>
      <c r="AD7387" s="580">
        <f t="shared" si="611"/>
        <v>5</v>
      </c>
      <c r="AE7387" s="580">
        <f t="shared" si="612"/>
        <v>2.5</v>
      </c>
      <c r="AF7387" s="580">
        <f t="shared" si="613"/>
        <v>2.5</v>
      </c>
      <c r="AG7387" s="580">
        <f t="shared" si="614"/>
        <v>0</v>
      </c>
      <c r="AH7387" s="580">
        <f t="shared" si="615"/>
        <v>0</v>
      </c>
    </row>
    <row r="7388" spans="28:34">
      <c r="AB7388" s="580">
        <f>HLOOKUP("*"&amp;'Output annual'!$AC$2&amp;'Output annual'!$AD$2&amp;"*Zone People Number Of Occupants [](Hourly)",'Eplus results'!$1:$1048576,ROW(),FALSE)</f>
        <v>0</v>
      </c>
      <c r="AC7388" s="580">
        <f>HLOOKUP("*"&amp;'Output annual'!$AC$2&amp;'Output annual'!$AD$2&amp;"*FangerPMV(Hourly)",'Eplus results'!$1:$1048576,ROW(),FALSE)</f>
        <v>0</v>
      </c>
      <c r="AD7388" s="580">
        <f t="shared" si="611"/>
        <v>5</v>
      </c>
      <c r="AE7388" s="580">
        <f t="shared" si="612"/>
        <v>2.5</v>
      </c>
      <c r="AF7388" s="580">
        <f t="shared" si="613"/>
        <v>2.5</v>
      </c>
      <c r="AG7388" s="580">
        <f t="shared" si="614"/>
        <v>0</v>
      </c>
      <c r="AH7388" s="580">
        <f t="shared" si="615"/>
        <v>0</v>
      </c>
    </row>
    <row r="7389" spans="28:34">
      <c r="AB7389" s="580">
        <f>HLOOKUP("*"&amp;'Output annual'!$AC$2&amp;'Output annual'!$AD$2&amp;"*Zone People Number Of Occupants [](Hourly)",'Eplus results'!$1:$1048576,ROW(),FALSE)</f>
        <v>0</v>
      </c>
      <c r="AC7389" s="580">
        <f>HLOOKUP("*"&amp;'Output annual'!$AC$2&amp;'Output annual'!$AD$2&amp;"*FangerPMV(Hourly)",'Eplus results'!$1:$1048576,ROW(),FALSE)</f>
        <v>0</v>
      </c>
      <c r="AD7389" s="580">
        <f t="shared" si="611"/>
        <v>5</v>
      </c>
      <c r="AE7389" s="580">
        <f t="shared" si="612"/>
        <v>2.5</v>
      </c>
      <c r="AF7389" s="580">
        <f t="shared" si="613"/>
        <v>2.5</v>
      </c>
      <c r="AG7389" s="580">
        <f t="shared" si="614"/>
        <v>0</v>
      </c>
      <c r="AH7389" s="580">
        <f t="shared" si="615"/>
        <v>0</v>
      </c>
    </row>
    <row r="7390" spans="28:34">
      <c r="AB7390" s="580">
        <f>HLOOKUP("*"&amp;'Output annual'!$AC$2&amp;'Output annual'!$AD$2&amp;"*Zone People Number Of Occupants [](Hourly)",'Eplus results'!$1:$1048576,ROW(),FALSE)</f>
        <v>0</v>
      </c>
      <c r="AC7390" s="580">
        <f>HLOOKUP("*"&amp;'Output annual'!$AC$2&amp;'Output annual'!$AD$2&amp;"*FangerPMV(Hourly)",'Eplus results'!$1:$1048576,ROW(),FALSE)</f>
        <v>0</v>
      </c>
      <c r="AD7390" s="580">
        <f t="shared" si="611"/>
        <v>5</v>
      </c>
      <c r="AE7390" s="580">
        <f t="shared" si="612"/>
        <v>2.5</v>
      </c>
      <c r="AF7390" s="580">
        <f t="shared" si="613"/>
        <v>2.5</v>
      </c>
      <c r="AG7390" s="580">
        <f t="shared" si="614"/>
        <v>0</v>
      </c>
      <c r="AH7390" s="580">
        <f t="shared" si="615"/>
        <v>0</v>
      </c>
    </row>
    <row r="7391" spans="28:34">
      <c r="AB7391" s="580">
        <f>HLOOKUP("*"&amp;'Output annual'!$AC$2&amp;'Output annual'!$AD$2&amp;"*Zone People Number Of Occupants [](Hourly)",'Eplus results'!$1:$1048576,ROW(),FALSE)</f>
        <v>0</v>
      </c>
      <c r="AC7391" s="580">
        <f>HLOOKUP("*"&amp;'Output annual'!$AC$2&amp;'Output annual'!$AD$2&amp;"*FangerPMV(Hourly)",'Eplus results'!$1:$1048576,ROW(),FALSE)</f>
        <v>0</v>
      </c>
      <c r="AD7391" s="580">
        <f t="shared" si="611"/>
        <v>5</v>
      </c>
      <c r="AE7391" s="580">
        <f t="shared" si="612"/>
        <v>2.5</v>
      </c>
      <c r="AF7391" s="580">
        <f t="shared" si="613"/>
        <v>2.5</v>
      </c>
      <c r="AG7391" s="580">
        <f t="shared" si="614"/>
        <v>0</v>
      </c>
      <c r="AH7391" s="580">
        <f t="shared" si="615"/>
        <v>0</v>
      </c>
    </row>
    <row r="7392" spans="28:34">
      <c r="AB7392" s="580">
        <f>HLOOKUP("*"&amp;'Output annual'!$AC$2&amp;'Output annual'!$AD$2&amp;"*Zone People Number Of Occupants [](Hourly)",'Eplus results'!$1:$1048576,ROW(),FALSE)</f>
        <v>0</v>
      </c>
      <c r="AC7392" s="580">
        <f>HLOOKUP("*"&amp;'Output annual'!$AC$2&amp;'Output annual'!$AD$2&amp;"*FangerPMV(Hourly)",'Eplus results'!$1:$1048576,ROW(),FALSE)</f>
        <v>0</v>
      </c>
      <c r="AD7392" s="580">
        <f t="shared" si="611"/>
        <v>5</v>
      </c>
      <c r="AE7392" s="580">
        <f t="shared" si="612"/>
        <v>2.5</v>
      </c>
      <c r="AF7392" s="580">
        <f t="shared" si="613"/>
        <v>2.5</v>
      </c>
      <c r="AG7392" s="580">
        <f t="shared" si="614"/>
        <v>0</v>
      </c>
      <c r="AH7392" s="580">
        <f t="shared" si="615"/>
        <v>0</v>
      </c>
    </row>
    <row r="7393" spans="28:34">
      <c r="AB7393" s="580">
        <f>HLOOKUP("*"&amp;'Output annual'!$AC$2&amp;'Output annual'!$AD$2&amp;"*Zone People Number Of Occupants [](Hourly)",'Eplus results'!$1:$1048576,ROW(),FALSE)</f>
        <v>0</v>
      </c>
      <c r="AC7393" s="580">
        <f>HLOOKUP("*"&amp;'Output annual'!$AC$2&amp;'Output annual'!$AD$2&amp;"*FangerPMV(Hourly)",'Eplus results'!$1:$1048576,ROW(),FALSE)</f>
        <v>0</v>
      </c>
      <c r="AD7393" s="580">
        <f t="shared" si="611"/>
        <v>5</v>
      </c>
      <c r="AE7393" s="580">
        <f t="shared" si="612"/>
        <v>2.5</v>
      </c>
      <c r="AF7393" s="580">
        <f t="shared" si="613"/>
        <v>2.5</v>
      </c>
      <c r="AG7393" s="580">
        <f t="shared" si="614"/>
        <v>0</v>
      </c>
      <c r="AH7393" s="580">
        <f t="shared" si="615"/>
        <v>0</v>
      </c>
    </row>
    <row r="7394" spans="28:34">
      <c r="AB7394" s="580">
        <f>HLOOKUP("*"&amp;'Output annual'!$AC$2&amp;'Output annual'!$AD$2&amp;"*Zone People Number Of Occupants [](Hourly)",'Eplus results'!$1:$1048576,ROW(),FALSE)</f>
        <v>0</v>
      </c>
      <c r="AC7394" s="580">
        <f>HLOOKUP("*"&amp;'Output annual'!$AC$2&amp;'Output annual'!$AD$2&amp;"*FangerPMV(Hourly)",'Eplus results'!$1:$1048576,ROW(),FALSE)</f>
        <v>0</v>
      </c>
      <c r="AD7394" s="580">
        <f t="shared" si="611"/>
        <v>5</v>
      </c>
      <c r="AE7394" s="580">
        <f t="shared" si="612"/>
        <v>2.5</v>
      </c>
      <c r="AF7394" s="580">
        <f t="shared" si="613"/>
        <v>2.5</v>
      </c>
      <c r="AG7394" s="580">
        <f t="shared" si="614"/>
        <v>0</v>
      </c>
      <c r="AH7394" s="580">
        <f t="shared" si="615"/>
        <v>0</v>
      </c>
    </row>
    <row r="7395" spans="28:34">
      <c r="AB7395" s="580">
        <f>HLOOKUP("*"&amp;'Output annual'!$AC$2&amp;'Output annual'!$AD$2&amp;"*Zone People Number Of Occupants [](Hourly)",'Eplus results'!$1:$1048576,ROW(),FALSE)</f>
        <v>0</v>
      </c>
      <c r="AC7395" s="580">
        <f>HLOOKUP("*"&amp;'Output annual'!$AC$2&amp;'Output annual'!$AD$2&amp;"*FangerPMV(Hourly)",'Eplus results'!$1:$1048576,ROW(),FALSE)</f>
        <v>0</v>
      </c>
      <c r="AD7395" s="580">
        <f t="shared" si="611"/>
        <v>5</v>
      </c>
      <c r="AE7395" s="580">
        <f t="shared" si="612"/>
        <v>2.5</v>
      </c>
      <c r="AF7395" s="580">
        <f t="shared" si="613"/>
        <v>2.5</v>
      </c>
      <c r="AG7395" s="580">
        <f t="shared" si="614"/>
        <v>0</v>
      </c>
      <c r="AH7395" s="580">
        <f t="shared" si="615"/>
        <v>0</v>
      </c>
    </row>
    <row r="7396" spans="28:34">
      <c r="AB7396" s="580">
        <f>HLOOKUP("*"&amp;'Output annual'!$AC$2&amp;'Output annual'!$AD$2&amp;"*Zone People Number Of Occupants [](Hourly)",'Eplus results'!$1:$1048576,ROW(),FALSE)</f>
        <v>0</v>
      </c>
      <c r="AC7396" s="580">
        <f>HLOOKUP("*"&amp;'Output annual'!$AC$2&amp;'Output annual'!$AD$2&amp;"*FangerPMV(Hourly)",'Eplus results'!$1:$1048576,ROW(),FALSE)</f>
        <v>0</v>
      </c>
      <c r="AD7396" s="580">
        <f t="shared" si="611"/>
        <v>5</v>
      </c>
      <c r="AE7396" s="580">
        <f t="shared" si="612"/>
        <v>2.5</v>
      </c>
      <c r="AF7396" s="580">
        <f t="shared" si="613"/>
        <v>2.5</v>
      </c>
      <c r="AG7396" s="580">
        <f t="shared" si="614"/>
        <v>0</v>
      </c>
      <c r="AH7396" s="580">
        <f t="shared" si="615"/>
        <v>0</v>
      </c>
    </row>
    <row r="7397" spans="28:34">
      <c r="AB7397" s="580">
        <f>HLOOKUP("*"&amp;'Output annual'!$AC$2&amp;'Output annual'!$AD$2&amp;"*Zone People Number Of Occupants [](Hourly)",'Eplus results'!$1:$1048576,ROW(),FALSE)</f>
        <v>0</v>
      </c>
      <c r="AC7397" s="580">
        <f>HLOOKUP("*"&amp;'Output annual'!$AC$2&amp;'Output annual'!$AD$2&amp;"*FangerPMV(Hourly)",'Eplus results'!$1:$1048576,ROW(),FALSE)</f>
        <v>0</v>
      </c>
      <c r="AD7397" s="580">
        <f t="shared" si="611"/>
        <v>5</v>
      </c>
      <c r="AE7397" s="580">
        <f t="shared" si="612"/>
        <v>2.5</v>
      </c>
      <c r="AF7397" s="580">
        <f t="shared" si="613"/>
        <v>2.5</v>
      </c>
      <c r="AG7397" s="580">
        <f t="shared" si="614"/>
        <v>0</v>
      </c>
      <c r="AH7397" s="580">
        <f t="shared" si="615"/>
        <v>0</v>
      </c>
    </row>
    <row r="7398" spans="28:34">
      <c r="AB7398" s="580">
        <f>HLOOKUP("*"&amp;'Output annual'!$AC$2&amp;'Output annual'!$AD$2&amp;"*Zone People Number Of Occupants [](Hourly)",'Eplus results'!$1:$1048576,ROW(),FALSE)</f>
        <v>0</v>
      </c>
      <c r="AC7398" s="580">
        <f>HLOOKUP("*"&amp;'Output annual'!$AC$2&amp;'Output annual'!$AD$2&amp;"*FangerPMV(Hourly)",'Eplus results'!$1:$1048576,ROW(),FALSE)</f>
        <v>0</v>
      </c>
      <c r="AD7398" s="580">
        <f t="shared" si="611"/>
        <v>5</v>
      </c>
      <c r="AE7398" s="580">
        <f t="shared" si="612"/>
        <v>2.5</v>
      </c>
      <c r="AF7398" s="580">
        <f t="shared" si="613"/>
        <v>2.5</v>
      </c>
      <c r="AG7398" s="580">
        <f t="shared" si="614"/>
        <v>0</v>
      </c>
      <c r="AH7398" s="580">
        <f t="shared" si="615"/>
        <v>0</v>
      </c>
    </row>
    <row r="7399" spans="28:34">
      <c r="AB7399" s="580">
        <f>HLOOKUP("*"&amp;'Output annual'!$AC$2&amp;'Output annual'!$AD$2&amp;"*Zone People Number Of Occupants [](Hourly)",'Eplus results'!$1:$1048576,ROW(),FALSE)</f>
        <v>0</v>
      </c>
      <c r="AC7399" s="580">
        <f>HLOOKUP("*"&amp;'Output annual'!$AC$2&amp;'Output annual'!$AD$2&amp;"*FangerPMV(Hourly)",'Eplus results'!$1:$1048576,ROW(),FALSE)</f>
        <v>0</v>
      </c>
      <c r="AD7399" s="580">
        <f t="shared" si="611"/>
        <v>5</v>
      </c>
      <c r="AE7399" s="580">
        <f t="shared" si="612"/>
        <v>2.5</v>
      </c>
      <c r="AF7399" s="580">
        <f t="shared" si="613"/>
        <v>2.5</v>
      </c>
      <c r="AG7399" s="580">
        <f t="shared" si="614"/>
        <v>0</v>
      </c>
      <c r="AH7399" s="580">
        <f t="shared" si="615"/>
        <v>0</v>
      </c>
    </row>
    <row r="7400" spans="28:34">
      <c r="AB7400" s="580">
        <f>HLOOKUP("*"&amp;'Output annual'!$AC$2&amp;'Output annual'!$AD$2&amp;"*Zone People Number Of Occupants [](Hourly)",'Eplus results'!$1:$1048576,ROW(),FALSE)</f>
        <v>0</v>
      </c>
      <c r="AC7400" s="580">
        <f>HLOOKUP("*"&amp;'Output annual'!$AC$2&amp;'Output annual'!$AD$2&amp;"*FangerPMV(Hourly)",'Eplus results'!$1:$1048576,ROW(),FALSE)</f>
        <v>0</v>
      </c>
      <c r="AD7400" s="580">
        <f t="shared" si="611"/>
        <v>5</v>
      </c>
      <c r="AE7400" s="580">
        <f t="shared" si="612"/>
        <v>2.5</v>
      </c>
      <c r="AF7400" s="580">
        <f t="shared" si="613"/>
        <v>2.5</v>
      </c>
      <c r="AG7400" s="580">
        <f t="shared" si="614"/>
        <v>0</v>
      </c>
      <c r="AH7400" s="580">
        <f t="shared" si="615"/>
        <v>0</v>
      </c>
    </row>
    <row r="7401" spans="28:34">
      <c r="AB7401" s="580">
        <f>HLOOKUP("*"&amp;'Output annual'!$AC$2&amp;'Output annual'!$AD$2&amp;"*Zone People Number Of Occupants [](Hourly)",'Eplus results'!$1:$1048576,ROW(),FALSE)</f>
        <v>0</v>
      </c>
      <c r="AC7401" s="580">
        <f>HLOOKUP("*"&amp;'Output annual'!$AC$2&amp;'Output annual'!$AD$2&amp;"*FangerPMV(Hourly)",'Eplus results'!$1:$1048576,ROW(),FALSE)</f>
        <v>0</v>
      </c>
      <c r="AD7401" s="580">
        <f t="shared" si="611"/>
        <v>5</v>
      </c>
      <c r="AE7401" s="580">
        <f t="shared" si="612"/>
        <v>2.5</v>
      </c>
      <c r="AF7401" s="580">
        <f t="shared" si="613"/>
        <v>2.5</v>
      </c>
      <c r="AG7401" s="580">
        <f t="shared" si="614"/>
        <v>0</v>
      </c>
      <c r="AH7401" s="580">
        <f t="shared" si="615"/>
        <v>0</v>
      </c>
    </row>
    <row r="7402" spans="28:34">
      <c r="AB7402" s="580">
        <f>HLOOKUP("*"&amp;'Output annual'!$AC$2&amp;'Output annual'!$AD$2&amp;"*Zone People Number Of Occupants [](Hourly)",'Eplus results'!$1:$1048576,ROW(),FALSE)</f>
        <v>0</v>
      </c>
      <c r="AC7402" s="580">
        <f>HLOOKUP("*"&amp;'Output annual'!$AC$2&amp;'Output annual'!$AD$2&amp;"*FangerPMV(Hourly)",'Eplus results'!$1:$1048576,ROW(),FALSE)</f>
        <v>0</v>
      </c>
      <c r="AD7402" s="580">
        <f t="shared" si="611"/>
        <v>5</v>
      </c>
      <c r="AE7402" s="580">
        <f t="shared" si="612"/>
        <v>2.5</v>
      </c>
      <c r="AF7402" s="580">
        <f t="shared" si="613"/>
        <v>2.5</v>
      </c>
      <c r="AG7402" s="580">
        <f t="shared" si="614"/>
        <v>0</v>
      </c>
      <c r="AH7402" s="580">
        <f t="shared" si="615"/>
        <v>0</v>
      </c>
    </row>
    <row r="7403" spans="28:34">
      <c r="AB7403" s="580">
        <f>HLOOKUP("*"&amp;'Output annual'!$AC$2&amp;'Output annual'!$AD$2&amp;"*Zone People Number Of Occupants [](Hourly)",'Eplus results'!$1:$1048576,ROW(),FALSE)</f>
        <v>0</v>
      </c>
      <c r="AC7403" s="580">
        <f>HLOOKUP("*"&amp;'Output annual'!$AC$2&amp;'Output annual'!$AD$2&amp;"*FangerPMV(Hourly)",'Eplus results'!$1:$1048576,ROW(),FALSE)</f>
        <v>0</v>
      </c>
      <c r="AD7403" s="580">
        <f t="shared" si="611"/>
        <v>5</v>
      </c>
      <c r="AE7403" s="580">
        <f t="shared" si="612"/>
        <v>2.5</v>
      </c>
      <c r="AF7403" s="580">
        <f t="shared" si="613"/>
        <v>2.5</v>
      </c>
      <c r="AG7403" s="580">
        <f t="shared" si="614"/>
        <v>0</v>
      </c>
      <c r="AH7403" s="580">
        <f t="shared" si="615"/>
        <v>0</v>
      </c>
    </row>
    <row r="7404" spans="28:34">
      <c r="AB7404" s="580">
        <f>HLOOKUP("*"&amp;'Output annual'!$AC$2&amp;'Output annual'!$AD$2&amp;"*Zone People Number Of Occupants [](Hourly)",'Eplus results'!$1:$1048576,ROW(),FALSE)</f>
        <v>0</v>
      </c>
      <c r="AC7404" s="580">
        <f>HLOOKUP("*"&amp;'Output annual'!$AC$2&amp;'Output annual'!$AD$2&amp;"*FangerPMV(Hourly)",'Eplus results'!$1:$1048576,ROW(),FALSE)</f>
        <v>0</v>
      </c>
      <c r="AD7404" s="580">
        <f t="shared" si="611"/>
        <v>5</v>
      </c>
      <c r="AE7404" s="580">
        <f t="shared" si="612"/>
        <v>2.5</v>
      </c>
      <c r="AF7404" s="580">
        <f t="shared" si="613"/>
        <v>2.5</v>
      </c>
      <c r="AG7404" s="580">
        <f t="shared" si="614"/>
        <v>0</v>
      </c>
      <c r="AH7404" s="580">
        <f t="shared" si="615"/>
        <v>0</v>
      </c>
    </row>
    <row r="7405" spans="28:34">
      <c r="AB7405" s="580">
        <f>HLOOKUP("*"&amp;'Output annual'!$AC$2&amp;'Output annual'!$AD$2&amp;"*Zone People Number Of Occupants [](Hourly)",'Eplus results'!$1:$1048576,ROW(),FALSE)</f>
        <v>0</v>
      </c>
      <c r="AC7405" s="580">
        <f>HLOOKUP("*"&amp;'Output annual'!$AC$2&amp;'Output annual'!$AD$2&amp;"*FangerPMV(Hourly)",'Eplus results'!$1:$1048576,ROW(),FALSE)</f>
        <v>0</v>
      </c>
      <c r="AD7405" s="580">
        <f t="shared" si="611"/>
        <v>5</v>
      </c>
      <c r="AE7405" s="580">
        <f t="shared" si="612"/>
        <v>2.5</v>
      </c>
      <c r="AF7405" s="580">
        <f t="shared" si="613"/>
        <v>2.5</v>
      </c>
      <c r="AG7405" s="580">
        <f t="shared" si="614"/>
        <v>0</v>
      </c>
      <c r="AH7405" s="580">
        <f t="shared" si="615"/>
        <v>0</v>
      </c>
    </row>
    <row r="7406" spans="28:34">
      <c r="AB7406" s="580">
        <f>HLOOKUP("*"&amp;'Output annual'!$AC$2&amp;'Output annual'!$AD$2&amp;"*Zone People Number Of Occupants [](Hourly)",'Eplus results'!$1:$1048576,ROW(),FALSE)</f>
        <v>0</v>
      </c>
      <c r="AC7406" s="580">
        <f>HLOOKUP("*"&amp;'Output annual'!$AC$2&amp;'Output annual'!$AD$2&amp;"*FangerPMV(Hourly)",'Eplus results'!$1:$1048576,ROW(),FALSE)</f>
        <v>0</v>
      </c>
      <c r="AD7406" s="580">
        <f t="shared" si="611"/>
        <v>5</v>
      </c>
      <c r="AE7406" s="580">
        <f t="shared" si="612"/>
        <v>2.5</v>
      </c>
      <c r="AF7406" s="580">
        <f t="shared" si="613"/>
        <v>2.5</v>
      </c>
      <c r="AG7406" s="580">
        <f t="shared" si="614"/>
        <v>0</v>
      </c>
      <c r="AH7406" s="580">
        <f t="shared" si="615"/>
        <v>0</v>
      </c>
    </row>
    <row r="7407" spans="28:34">
      <c r="AB7407" s="580">
        <f>HLOOKUP("*"&amp;'Output annual'!$AC$2&amp;'Output annual'!$AD$2&amp;"*Zone People Number Of Occupants [](Hourly)",'Eplus results'!$1:$1048576,ROW(),FALSE)</f>
        <v>0</v>
      </c>
      <c r="AC7407" s="580">
        <f>HLOOKUP("*"&amp;'Output annual'!$AC$2&amp;'Output annual'!$AD$2&amp;"*FangerPMV(Hourly)",'Eplus results'!$1:$1048576,ROW(),FALSE)</f>
        <v>0</v>
      </c>
      <c r="AD7407" s="580">
        <f t="shared" si="611"/>
        <v>5</v>
      </c>
      <c r="AE7407" s="580">
        <f t="shared" si="612"/>
        <v>2.5</v>
      </c>
      <c r="AF7407" s="580">
        <f t="shared" si="613"/>
        <v>2.5</v>
      </c>
      <c r="AG7407" s="580">
        <f t="shared" si="614"/>
        <v>0</v>
      </c>
      <c r="AH7407" s="580">
        <f t="shared" si="615"/>
        <v>0</v>
      </c>
    </row>
    <row r="7408" spans="28:34">
      <c r="AB7408" s="580">
        <f>HLOOKUP("*"&amp;'Output annual'!$AC$2&amp;'Output annual'!$AD$2&amp;"*Zone People Number Of Occupants [](Hourly)",'Eplus results'!$1:$1048576,ROW(),FALSE)</f>
        <v>0</v>
      </c>
      <c r="AC7408" s="580">
        <f>HLOOKUP("*"&amp;'Output annual'!$AC$2&amp;'Output annual'!$AD$2&amp;"*FangerPMV(Hourly)",'Eplus results'!$1:$1048576,ROW(),FALSE)</f>
        <v>0</v>
      </c>
      <c r="AD7408" s="580">
        <f t="shared" si="611"/>
        <v>5</v>
      </c>
      <c r="AE7408" s="580">
        <f t="shared" si="612"/>
        <v>2.5</v>
      </c>
      <c r="AF7408" s="580">
        <f t="shared" si="613"/>
        <v>2.5</v>
      </c>
      <c r="AG7408" s="580">
        <f t="shared" si="614"/>
        <v>0</v>
      </c>
      <c r="AH7408" s="580">
        <f t="shared" si="615"/>
        <v>0</v>
      </c>
    </row>
    <row r="7409" spans="28:34">
      <c r="AB7409" s="580">
        <f>HLOOKUP("*"&amp;'Output annual'!$AC$2&amp;'Output annual'!$AD$2&amp;"*Zone People Number Of Occupants [](Hourly)",'Eplus results'!$1:$1048576,ROW(),FALSE)</f>
        <v>0</v>
      </c>
      <c r="AC7409" s="580">
        <f>HLOOKUP("*"&amp;'Output annual'!$AC$2&amp;'Output annual'!$AD$2&amp;"*FangerPMV(Hourly)",'Eplus results'!$1:$1048576,ROW(),FALSE)</f>
        <v>0</v>
      </c>
      <c r="AD7409" s="580">
        <f t="shared" si="611"/>
        <v>5</v>
      </c>
      <c r="AE7409" s="580">
        <f t="shared" si="612"/>
        <v>2.5</v>
      </c>
      <c r="AF7409" s="580">
        <f t="shared" si="613"/>
        <v>2.5</v>
      </c>
      <c r="AG7409" s="580">
        <f t="shared" si="614"/>
        <v>0</v>
      </c>
      <c r="AH7409" s="580">
        <f t="shared" si="615"/>
        <v>0</v>
      </c>
    </row>
    <row r="7410" spans="28:34">
      <c r="AB7410" s="580">
        <f>HLOOKUP("*"&amp;'Output annual'!$AC$2&amp;'Output annual'!$AD$2&amp;"*Zone People Number Of Occupants [](Hourly)",'Eplus results'!$1:$1048576,ROW(),FALSE)</f>
        <v>0</v>
      </c>
      <c r="AC7410" s="580">
        <f>HLOOKUP("*"&amp;'Output annual'!$AC$2&amp;'Output annual'!$AD$2&amp;"*FangerPMV(Hourly)",'Eplus results'!$1:$1048576,ROW(),FALSE)</f>
        <v>0</v>
      </c>
      <c r="AD7410" s="580">
        <f t="shared" si="611"/>
        <v>5</v>
      </c>
      <c r="AE7410" s="580">
        <f t="shared" si="612"/>
        <v>2.5</v>
      </c>
      <c r="AF7410" s="580">
        <f t="shared" si="613"/>
        <v>2.5</v>
      </c>
      <c r="AG7410" s="580">
        <f t="shared" si="614"/>
        <v>0</v>
      </c>
      <c r="AH7410" s="580">
        <f t="shared" si="615"/>
        <v>0</v>
      </c>
    </row>
    <row r="7411" spans="28:34">
      <c r="AB7411" s="580">
        <f>HLOOKUP("*"&amp;'Output annual'!$AC$2&amp;'Output annual'!$AD$2&amp;"*Zone People Number Of Occupants [](Hourly)",'Eplus results'!$1:$1048576,ROW(),FALSE)</f>
        <v>0</v>
      </c>
      <c r="AC7411" s="580">
        <f>HLOOKUP("*"&amp;'Output annual'!$AC$2&amp;'Output annual'!$AD$2&amp;"*FangerPMV(Hourly)",'Eplus results'!$1:$1048576,ROW(),FALSE)</f>
        <v>0</v>
      </c>
      <c r="AD7411" s="580">
        <f t="shared" si="611"/>
        <v>5</v>
      </c>
      <c r="AE7411" s="580">
        <f t="shared" si="612"/>
        <v>2.5</v>
      </c>
      <c r="AF7411" s="580">
        <f t="shared" si="613"/>
        <v>2.5</v>
      </c>
      <c r="AG7411" s="580">
        <f t="shared" si="614"/>
        <v>0</v>
      </c>
      <c r="AH7411" s="580">
        <f t="shared" si="615"/>
        <v>0</v>
      </c>
    </row>
    <row r="7412" spans="28:34">
      <c r="AB7412" s="580">
        <f>HLOOKUP("*"&amp;'Output annual'!$AC$2&amp;'Output annual'!$AD$2&amp;"*Zone People Number Of Occupants [](Hourly)",'Eplus results'!$1:$1048576,ROW(),FALSE)</f>
        <v>0</v>
      </c>
      <c r="AC7412" s="580">
        <f>HLOOKUP("*"&amp;'Output annual'!$AC$2&amp;'Output annual'!$AD$2&amp;"*FangerPMV(Hourly)",'Eplus results'!$1:$1048576,ROW(),FALSE)</f>
        <v>0</v>
      </c>
      <c r="AD7412" s="580">
        <f t="shared" si="611"/>
        <v>5</v>
      </c>
      <c r="AE7412" s="580">
        <f t="shared" si="612"/>
        <v>2.5</v>
      </c>
      <c r="AF7412" s="580">
        <f t="shared" si="613"/>
        <v>2.5</v>
      </c>
      <c r="AG7412" s="580">
        <f t="shared" si="614"/>
        <v>0</v>
      </c>
      <c r="AH7412" s="580">
        <f t="shared" si="615"/>
        <v>0</v>
      </c>
    </row>
    <row r="7413" spans="28:34">
      <c r="AB7413" s="580">
        <f>HLOOKUP("*"&amp;'Output annual'!$AC$2&amp;'Output annual'!$AD$2&amp;"*Zone People Number Of Occupants [](Hourly)",'Eplus results'!$1:$1048576,ROW(),FALSE)</f>
        <v>0</v>
      </c>
      <c r="AC7413" s="580">
        <f>HLOOKUP("*"&amp;'Output annual'!$AC$2&amp;'Output annual'!$AD$2&amp;"*FangerPMV(Hourly)",'Eplus results'!$1:$1048576,ROW(),FALSE)</f>
        <v>0</v>
      </c>
      <c r="AD7413" s="580">
        <f t="shared" si="611"/>
        <v>5</v>
      </c>
      <c r="AE7413" s="580">
        <f t="shared" si="612"/>
        <v>2.5</v>
      </c>
      <c r="AF7413" s="580">
        <f t="shared" si="613"/>
        <v>2.5</v>
      </c>
      <c r="AG7413" s="580">
        <f t="shared" si="614"/>
        <v>0</v>
      </c>
      <c r="AH7413" s="580">
        <f t="shared" si="615"/>
        <v>0</v>
      </c>
    </row>
    <row r="7414" spans="28:34">
      <c r="AB7414" s="580">
        <f>HLOOKUP("*"&amp;'Output annual'!$AC$2&amp;'Output annual'!$AD$2&amp;"*Zone People Number Of Occupants [](Hourly)",'Eplus results'!$1:$1048576,ROW(),FALSE)</f>
        <v>0</v>
      </c>
      <c r="AC7414" s="580">
        <f>HLOOKUP("*"&amp;'Output annual'!$AC$2&amp;'Output annual'!$AD$2&amp;"*FangerPMV(Hourly)",'Eplus results'!$1:$1048576,ROW(),FALSE)</f>
        <v>0</v>
      </c>
      <c r="AD7414" s="580">
        <f t="shared" si="611"/>
        <v>5</v>
      </c>
      <c r="AE7414" s="580">
        <f t="shared" si="612"/>
        <v>2.5</v>
      </c>
      <c r="AF7414" s="580">
        <f t="shared" si="613"/>
        <v>2.5</v>
      </c>
      <c r="AG7414" s="580">
        <f t="shared" si="614"/>
        <v>0</v>
      </c>
      <c r="AH7414" s="580">
        <f t="shared" si="615"/>
        <v>0</v>
      </c>
    </row>
    <row r="7415" spans="28:34">
      <c r="AB7415" s="580">
        <f>HLOOKUP("*"&amp;'Output annual'!$AC$2&amp;'Output annual'!$AD$2&amp;"*Zone People Number Of Occupants [](Hourly)",'Eplus results'!$1:$1048576,ROW(),FALSE)</f>
        <v>0</v>
      </c>
      <c r="AC7415" s="580">
        <f>HLOOKUP("*"&amp;'Output annual'!$AC$2&amp;'Output annual'!$AD$2&amp;"*FangerPMV(Hourly)",'Eplus results'!$1:$1048576,ROW(),FALSE)</f>
        <v>0</v>
      </c>
      <c r="AD7415" s="580">
        <f t="shared" si="611"/>
        <v>5</v>
      </c>
      <c r="AE7415" s="580">
        <f t="shared" si="612"/>
        <v>2.5</v>
      </c>
      <c r="AF7415" s="580">
        <f t="shared" si="613"/>
        <v>2.5</v>
      </c>
      <c r="AG7415" s="580">
        <f t="shared" si="614"/>
        <v>0</v>
      </c>
      <c r="AH7415" s="580">
        <f t="shared" si="615"/>
        <v>0</v>
      </c>
    </row>
    <row r="7416" spans="28:34">
      <c r="AB7416" s="580">
        <f>HLOOKUP("*"&amp;'Output annual'!$AC$2&amp;'Output annual'!$AD$2&amp;"*Zone People Number Of Occupants [](Hourly)",'Eplus results'!$1:$1048576,ROW(),FALSE)</f>
        <v>0</v>
      </c>
      <c r="AC7416" s="580">
        <f>HLOOKUP("*"&amp;'Output annual'!$AC$2&amp;'Output annual'!$AD$2&amp;"*FangerPMV(Hourly)",'Eplus results'!$1:$1048576,ROW(),FALSE)</f>
        <v>0</v>
      </c>
      <c r="AD7416" s="580">
        <f t="shared" si="611"/>
        <v>5</v>
      </c>
      <c r="AE7416" s="580">
        <f t="shared" si="612"/>
        <v>2.5</v>
      </c>
      <c r="AF7416" s="580">
        <f t="shared" si="613"/>
        <v>2.5</v>
      </c>
      <c r="AG7416" s="580">
        <f t="shared" si="614"/>
        <v>0</v>
      </c>
      <c r="AH7416" s="580">
        <f t="shared" si="615"/>
        <v>0</v>
      </c>
    </row>
    <row r="7417" spans="28:34">
      <c r="AB7417" s="580">
        <f>HLOOKUP("*"&amp;'Output annual'!$AC$2&amp;'Output annual'!$AD$2&amp;"*Zone People Number Of Occupants [](Hourly)",'Eplus results'!$1:$1048576,ROW(),FALSE)</f>
        <v>0</v>
      </c>
      <c r="AC7417" s="580">
        <f>HLOOKUP("*"&amp;'Output annual'!$AC$2&amp;'Output annual'!$AD$2&amp;"*FangerPMV(Hourly)",'Eplus results'!$1:$1048576,ROW(),FALSE)</f>
        <v>0</v>
      </c>
      <c r="AD7417" s="580">
        <f t="shared" si="611"/>
        <v>5</v>
      </c>
      <c r="AE7417" s="580">
        <f t="shared" si="612"/>
        <v>2.5</v>
      </c>
      <c r="AF7417" s="580">
        <f t="shared" si="613"/>
        <v>2.5</v>
      </c>
      <c r="AG7417" s="580">
        <f t="shared" si="614"/>
        <v>0</v>
      </c>
      <c r="AH7417" s="580">
        <f t="shared" si="615"/>
        <v>0</v>
      </c>
    </row>
    <row r="7418" spans="28:34">
      <c r="AB7418" s="580">
        <f>HLOOKUP("*"&amp;'Output annual'!$AC$2&amp;'Output annual'!$AD$2&amp;"*Zone People Number Of Occupants [](Hourly)",'Eplus results'!$1:$1048576,ROW(),FALSE)</f>
        <v>0</v>
      </c>
      <c r="AC7418" s="580">
        <f>HLOOKUP("*"&amp;'Output annual'!$AC$2&amp;'Output annual'!$AD$2&amp;"*FangerPMV(Hourly)",'Eplus results'!$1:$1048576,ROW(),FALSE)</f>
        <v>0</v>
      </c>
      <c r="AD7418" s="580">
        <f t="shared" si="611"/>
        <v>5</v>
      </c>
      <c r="AE7418" s="580">
        <f t="shared" si="612"/>
        <v>2.5</v>
      </c>
      <c r="AF7418" s="580">
        <f t="shared" si="613"/>
        <v>2.5</v>
      </c>
      <c r="AG7418" s="580">
        <f t="shared" si="614"/>
        <v>0</v>
      </c>
      <c r="AH7418" s="580">
        <f t="shared" si="615"/>
        <v>0</v>
      </c>
    </row>
    <row r="7419" spans="28:34">
      <c r="AB7419" s="580">
        <f>HLOOKUP("*"&amp;'Output annual'!$AC$2&amp;'Output annual'!$AD$2&amp;"*Zone People Number Of Occupants [](Hourly)",'Eplus results'!$1:$1048576,ROW(),FALSE)</f>
        <v>0</v>
      </c>
      <c r="AC7419" s="580">
        <f>HLOOKUP("*"&amp;'Output annual'!$AC$2&amp;'Output annual'!$AD$2&amp;"*FangerPMV(Hourly)",'Eplus results'!$1:$1048576,ROW(),FALSE)</f>
        <v>0</v>
      </c>
      <c r="AD7419" s="580">
        <f t="shared" si="611"/>
        <v>5</v>
      </c>
      <c r="AE7419" s="580">
        <f t="shared" si="612"/>
        <v>2.5</v>
      </c>
      <c r="AF7419" s="580">
        <f t="shared" si="613"/>
        <v>2.5</v>
      </c>
      <c r="AG7419" s="580">
        <f t="shared" si="614"/>
        <v>0</v>
      </c>
      <c r="AH7419" s="580">
        <f t="shared" si="615"/>
        <v>0</v>
      </c>
    </row>
    <row r="7420" spans="28:34">
      <c r="AB7420" s="580">
        <f>HLOOKUP("*"&amp;'Output annual'!$AC$2&amp;'Output annual'!$AD$2&amp;"*Zone People Number Of Occupants [](Hourly)",'Eplus results'!$1:$1048576,ROW(),FALSE)</f>
        <v>0</v>
      </c>
      <c r="AC7420" s="580">
        <f>HLOOKUP("*"&amp;'Output annual'!$AC$2&amp;'Output annual'!$AD$2&amp;"*FangerPMV(Hourly)",'Eplus results'!$1:$1048576,ROW(),FALSE)</f>
        <v>0</v>
      </c>
      <c r="AD7420" s="580">
        <f t="shared" si="611"/>
        <v>5</v>
      </c>
      <c r="AE7420" s="580">
        <f t="shared" si="612"/>
        <v>2.5</v>
      </c>
      <c r="AF7420" s="580">
        <f t="shared" si="613"/>
        <v>2.5</v>
      </c>
      <c r="AG7420" s="580">
        <f t="shared" si="614"/>
        <v>0</v>
      </c>
      <c r="AH7420" s="580">
        <f t="shared" si="615"/>
        <v>0</v>
      </c>
    </row>
    <row r="7421" spans="28:34">
      <c r="AB7421" s="580">
        <f>HLOOKUP("*"&amp;'Output annual'!$AC$2&amp;'Output annual'!$AD$2&amp;"*Zone People Number Of Occupants [](Hourly)",'Eplus results'!$1:$1048576,ROW(),FALSE)</f>
        <v>0</v>
      </c>
      <c r="AC7421" s="580">
        <f>HLOOKUP("*"&amp;'Output annual'!$AC$2&amp;'Output annual'!$AD$2&amp;"*FangerPMV(Hourly)",'Eplus results'!$1:$1048576,ROW(),FALSE)</f>
        <v>0</v>
      </c>
      <c r="AD7421" s="580">
        <f t="shared" si="611"/>
        <v>5</v>
      </c>
      <c r="AE7421" s="580">
        <f t="shared" si="612"/>
        <v>2.5</v>
      </c>
      <c r="AF7421" s="580">
        <f t="shared" si="613"/>
        <v>2.5</v>
      </c>
      <c r="AG7421" s="580">
        <f t="shared" si="614"/>
        <v>0</v>
      </c>
      <c r="AH7421" s="580">
        <f t="shared" si="615"/>
        <v>0</v>
      </c>
    </row>
    <row r="7422" spans="28:34">
      <c r="AB7422" s="580">
        <f>HLOOKUP("*"&amp;'Output annual'!$AC$2&amp;'Output annual'!$AD$2&amp;"*Zone People Number Of Occupants [](Hourly)",'Eplus results'!$1:$1048576,ROW(),FALSE)</f>
        <v>0</v>
      </c>
      <c r="AC7422" s="580">
        <f>HLOOKUP("*"&amp;'Output annual'!$AC$2&amp;'Output annual'!$AD$2&amp;"*FangerPMV(Hourly)",'Eplus results'!$1:$1048576,ROW(),FALSE)</f>
        <v>0</v>
      </c>
      <c r="AD7422" s="580">
        <f t="shared" si="611"/>
        <v>5</v>
      </c>
      <c r="AE7422" s="580">
        <f t="shared" si="612"/>
        <v>2.5</v>
      </c>
      <c r="AF7422" s="580">
        <f t="shared" si="613"/>
        <v>2.5</v>
      </c>
      <c r="AG7422" s="580">
        <f t="shared" si="614"/>
        <v>0</v>
      </c>
      <c r="AH7422" s="580">
        <f t="shared" si="615"/>
        <v>0</v>
      </c>
    </row>
    <row r="7423" spans="28:34">
      <c r="AB7423" s="580">
        <f>HLOOKUP("*"&amp;'Output annual'!$AC$2&amp;'Output annual'!$AD$2&amp;"*Zone People Number Of Occupants [](Hourly)",'Eplus results'!$1:$1048576,ROW(),FALSE)</f>
        <v>0</v>
      </c>
      <c r="AC7423" s="580">
        <f>HLOOKUP("*"&amp;'Output annual'!$AC$2&amp;'Output annual'!$AD$2&amp;"*FangerPMV(Hourly)",'Eplus results'!$1:$1048576,ROW(),FALSE)</f>
        <v>0</v>
      </c>
      <c r="AD7423" s="580">
        <f t="shared" si="611"/>
        <v>5</v>
      </c>
      <c r="AE7423" s="580">
        <f t="shared" si="612"/>
        <v>2.5</v>
      </c>
      <c r="AF7423" s="580">
        <f t="shared" si="613"/>
        <v>2.5</v>
      </c>
      <c r="AG7423" s="580">
        <f t="shared" si="614"/>
        <v>0</v>
      </c>
      <c r="AH7423" s="580">
        <f t="shared" si="615"/>
        <v>0</v>
      </c>
    </row>
    <row r="7424" spans="28:34">
      <c r="AB7424" s="580">
        <f>HLOOKUP("*"&amp;'Output annual'!$AC$2&amp;'Output annual'!$AD$2&amp;"*Zone People Number Of Occupants [](Hourly)",'Eplus results'!$1:$1048576,ROW(),FALSE)</f>
        <v>0</v>
      </c>
      <c r="AC7424" s="580">
        <f>HLOOKUP("*"&amp;'Output annual'!$AC$2&amp;'Output annual'!$AD$2&amp;"*FangerPMV(Hourly)",'Eplus results'!$1:$1048576,ROW(),FALSE)</f>
        <v>0</v>
      </c>
      <c r="AD7424" s="580">
        <f t="shared" si="611"/>
        <v>5</v>
      </c>
      <c r="AE7424" s="580">
        <f t="shared" si="612"/>
        <v>2.5</v>
      </c>
      <c r="AF7424" s="580">
        <f t="shared" si="613"/>
        <v>2.5</v>
      </c>
      <c r="AG7424" s="580">
        <f t="shared" si="614"/>
        <v>0</v>
      </c>
      <c r="AH7424" s="580">
        <f t="shared" si="615"/>
        <v>0</v>
      </c>
    </row>
    <row r="7425" spans="28:34">
      <c r="AB7425" s="580">
        <f>HLOOKUP("*"&amp;'Output annual'!$AC$2&amp;'Output annual'!$AD$2&amp;"*Zone People Number Of Occupants [](Hourly)",'Eplus results'!$1:$1048576,ROW(),FALSE)</f>
        <v>0</v>
      </c>
      <c r="AC7425" s="580">
        <f>HLOOKUP("*"&amp;'Output annual'!$AC$2&amp;'Output annual'!$AD$2&amp;"*FangerPMV(Hourly)",'Eplus results'!$1:$1048576,ROW(),FALSE)</f>
        <v>0</v>
      </c>
      <c r="AD7425" s="580">
        <f t="shared" si="611"/>
        <v>5</v>
      </c>
      <c r="AE7425" s="580">
        <f t="shared" si="612"/>
        <v>2.5</v>
      </c>
      <c r="AF7425" s="580">
        <f t="shared" si="613"/>
        <v>2.5</v>
      </c>
      <c r="AG7425" s="580">
        <f t="shared" si="614"/>
        <v>0</v>
      </c>
      <c r="AH7425" s="580">
        <f t="shared" si="615"/>
        <v>0</v>
      </c>
    </row>
    <row r="7426" spans="28:34">
      <c r="AB7426" s="580">
        <f>HLOOKUP("*"&amp;'Output annual'!$AC$2&amp;'Output annual'!$AD$2&amp;"*Zone People Number Of Occupants [](Hourly)",'Eplus results'!$1:$1048576,ROW(),FALSE)</f>
        <v>0</v>
      </c>
      <c r="AC7426" s="580">
        <f>HLOOKUP("*"&amp;'Output annual'!$AC$2&amp;'Output annual'!$AD$2&amp;"*FangerPMV(Hourly)",'Eplus results'!$1:$1048576,ROW(),FALSE)</f>
        <v>0</v>
      </c>
      <c r="AD7426" s="580">
        <f t="shared" si="611"/>
        <v>5</v>
      </c>
      <c r="AE7426" s="580">
        <f t="shared" si="612"/>
        <v>2.5</v>
      </c>
      <c r="AF7426" s="580">
        <f t="shared" si="613"/>
        <v>2.5</v>
      </c>
      <c r="AG7426" s="580">
        <f t="shared" si="614"/>
        <v>0</v>
      </c>
      <c r="AH7426" s="580">
        <f t="shared" si="615"/>
        <v>0</v>
      </c>
    </row>
    <row r="7427" spans="28:34">
      <c r="AB7427" s="580">
        <f>HLOOKUP("*"&amp;'Output annual'!$AC$2&amp;'Output annual'!$AD$2&amp;"*Zone People Number Of Occupants [](Hourly)",'Eplus results'!$1:$1048576,ROW(),FALSE)</f>
        <v>0</v>
      </c>
      <c r="AC7427" s="580">
        <f>HLOOKUP("*"&amp;'Output annual'!$AC$2&amp;'Output annual'!$AD$2&amp;"*FangerPMV(Hourly)",'Eplus results'!$1:$1048576,ROW(),FALSE)</f>
        <v>0</v>
      </c>
      <c r="AD7427" s="580">
        <f t="shared" ref="AD7427:AD7490" si="616">100-95*EXP(-0.03353*AC7427^4-0.2179*AC7427^2)</f>
        <v>5</v>
      </c>
      <c r="AE7427" s="580">
        <f t="shared" ref="AE7427:AE7490" si="617">AD7427*(1/(1+EXP(-6.3*$AC7427)))</f>
        <v>2.5</v>
      </c>
      <c r="AF7427" s="580">
        <f t="shared" ref="AF7427:AF7490" si="618">(AD7427-AE7427)</f>
        <v>2.5</v>
      </c>
      <c r="AG7427" s="580">
        <f t="shared" ref="AG7427:AG7490" si="619">AE7427*AB7427</f>
        <v>0</v>
      </c>
      <c r="AH7427" s="580">
        <f t="shared" ref="AH7427:AH7490" si="620">AF7427*AB7427</f>
        <v>0</v>
      </c>
    </row>
    <row r="7428" spans="28:34">
      <c r="AB7428" s="580">
        <f>HLOOKUP("*"&amp;'Output annual'!$AC$2&amp;'Output annual'!$AD$2&amp;"*Zone People Number Of Occupants [](Hourly)",'Eplus results'!$1:$1048576,ROW(),FALSE)</f>
        <v>0</v>
      </c>
      <c r="AC7428" s="580">
        <f>HLOOKUP("*"&amp;'Output annual'!$AC$2&amp;'Output annual'!$AD$2&amp;"*FangerPMV(Hourly)",'Eplus results'!$1:$1048576,ROW(),FALSE)</f>
        <v>0</v>
      </c>
      <c r="AD7428" s="580">
        <f t="shared" si="616"/>
        <v>5</v>
      </c>
      <c r="AE7428" s="580">
        <f t="shared" si="617"/>
        <v>2.5</v>
      </c>
      <c r="AF7428" s="580">
        <f t="shared" si="618"/>
        <v>2.5</v>
      </c>
      <c r="AG7428" s="580">
        <f t="shared" si="619"/>
        <v>0</v>
      </c>
      <c r="AH7428" s="580">
        <f t="shared" si="620"/>
        <v>0</v>
      </c>
    </row>
    <row r="7429" spans="28:34">
      <c r="AB7429" s="580">
        <f>HLOOKUP("*"&amp;'Output annual'!$AC$2&amp;'Output annual'!$AD$2&amp;"*Zone People Number Of Occupants [](Hourly)",'Eplus results'!$1:$1048576,ROW(),FALSE)</f>
        <v>0</v>
      </c>
      <c r="AC7429" s="580">
        <f>HLOOKUP("*"&amp;'Output annual'!$AC$2&amp;'Output annual'!$AD$2&amp;"*FangerPMV(Hourly)",'Eplus results'!$1:$1048576,ROW(),FALSE)</f>
        <v>0</v>
      </c>
      <c r="AD7429" s="580">
        <f t="shared" si="616"/>
        <v>5</v>
      </c>
      <c r="AE7429" s="580">
        <f t="shared" si="617"/>
        <v>2.5</v>
      </c>
      <c r="AF7429" s="580">
        <f t="shared" si="618"/>
        <v>2.5</v>
      </c>
      <c r="AG7429" s="580">
        <f t="shared" si="619"/>
        <v>0</v>
      </c>
      <c r="AH7429" s="580">
        <f t="shared" si="620"/>
        <v>0</v>
      </c>
    </row>
    <row r="7430" spans="28:34">
      <c r="AB7430" s="580">
        <f>HLOOKUP("*"&amp;'Output annual'!$AC$2&amp;'Output annual'!$AD$2&amp;"*Zone People Number Of Occupants [](Hourly)",'Eplus results'!$1:$1048576,ROW(),FALSE)</f>
        <v>0</v>
      </c>
      <c r="AC7430" s="580">
        <f>HLOOKUP("*"&amp;'Output annual'!$AC$2&amp;'Output annual'!$AD$2&amp;"*FangerPMV(Hourly)",'Eplus results'!$1:$1048576,ROW(),FALSE)</f>
        <v>0</v>
      </c>
      <c r="AD7430" s="580">
        <f t="shared" si="616"/>
        <v>5</v>
      </c>
      <c r="AE7430" s="580">
        <f t="shared" si="617"/>
        <v>2.5</v>
      </c>
      <c r="AF7430" s="580">
        <f t="shared" si="618"/>
        <v>2.5</v>
      </c>
      <c r="AG7430" s="580">
        <f t="shared" si="619"/>
        <v>0</v>
      </c>
      <c r="AH7430" s="580">
        <f t="shared" si="620"/>
        <v>0</v>
      </c>
    </row>
    <row r="7431" spans="28:34">
      <c r="AB7431" s="580">
        <f>HLOOKUP("*"&amp;'Output annual'!$AC$2&amp;'Output annual'!$AD$2&amp;"*Zone People Number Of Occupants [](Hourly)",'Eplus results'!$1:$1048576,ROW(),FALSE)</f>
        <v>0</v>
      </c>
      <c r="AC7431" s="580">
        <f>HLOOKUP("*"&amp;'Output annual'!$AC$2&amp;'Output annual'!$AD$2&amp;"*FangerPMV(Hourly)",'Eplus results'!$1:$1048576,ROW(),FALSE)</f>
        <v>0</v>
      </c>
      <c r="AD7431" s="580">
        <f t="shared" si="616"/>
        <v>5</v>
      </c>
      <c r="AE7431" s="580">
        <f t="shared" si="617"/>
        <v>2.5</v>
      </c>
      <c r="AF7431" s="580">
        <f t="shared" si="618"/>
        <v>2.5</v>
      </c>
      <c r="AG7431" s="580">
        <f t="shared" si="619"/>
        <v>0</v>
      </c>
      <c r="AH7431" s="580">
        <f t="shared" si="620"/>
        <v>0</v>
      </c>
    </row>
    <row r="7432" spans="28:34">
      <c r="AB7432" s="580">
        <f>HLOOKUP("*"&amp;'Output annual'!$AC$2&amp;'Output annual'!$AD$2&amp;"*Zone People Number Of Occupants [](Hourly)",'Eplus results'!$1:$1048576,ROW(),FALSE)</f>
        <v>0</v>
      </c>
      <c r="AC7432" s="580">
        <f>HLOOKUP("*"&amp;'Output annual'!$AC$2&amp;'Output annual'!$AD$2&amp;"*FangerPMV(Hourly)",'Eplus results'!$1:$1048576,ROW(),FALSE)</f>
        <v>0</v>
      </c>
      <c r="AD7432" s="580">
        <f t="shared" si="616"/>
        <v>5</v>
      </c>
      <c r="AE7432" s="580">
        <f t="shared" si="617"/>
        <v>2.5</v>
      </c>
      <c r="AF7432" s="580">
        <f t="shared" si="618"/>
        <v>2.5</v>
      </c>
      <c r="AG7432" s="580">
        <f t="shared" si="619"/>
        <v>0</v>
      </c>
      <c r="AH7432" s="580">
        <f t="shared" si="620"/>
        <v>0</v>
      </c>
    </row>
    <row r="7433" spans="28:34">
      <c r="AB7433" s="580">
        <f>HLOOKUP("*"&amp;'Output annual'!$AC$2&amp;'Output annual'!$AD$2&amp;"*Zone People Number Of Occupants [](Hourly)",'Eplus results'!$1:$1048576,ROW(),FALSE)</f>
        <v>0</v>
      </c>
      <c r="AC7433" s="580">
        <f>HLOOKUP("*"&amp;'Output annual'!$AC$2&amp;'Output annual'!$AD$2&amp;"*FangerPMV(Hourly)",'Eplus results'!$1:$1048576,ROW(),FALSE)</f>
        <v>0</v>
      </c>
      <c r="AD7433" s="580">
        <f t="shared" si="616"/>
        <v>5</v>
      </c>
      <c r="AE7433" s="580">
        <f t="shared" si="617"/>
        <v>2.5</v>
      </c>
      <c r="AF7433" s="580">
        <f t="shared" si="618"/>
        <v>2.5</v>
      </c>
      <c r="AG7433" s="580">
        <f t="shared" si="619"/>
        <v>0</v>
      </c>
      <c r="AH7433" s="580">
        <f t="shared" si="620"/>
        <v>0</v>
      </c>
    </row>
    <row r="7434" spans="28:34">
      <c r="AB7434" s="580">
        <f>HLOOKUP("*"&amp;'Output annual'!$AC$2&amp;'Output annual'!$AD$2&amp;"*Zone People Number Of Occupants [](Hourly)",'Eplus results'!$1:$1048576,ROW(),FALSE)</f>
        <v>0</v>
      </c>
      <c r="AC7434" s="580">
        <f>HLOOKUP("*"&amp;'Output annual'!$AC$2&amp;'Output annual'!$AD$2&amp;"*FangerPMV(Hourly)",'Eplus results'!$1:$1048576,ROW(),FALSE)</f>
        <v>0</v>
      </c>
      <c r="AD7434" s="580">
        <f t="shared" si="616"/>
        <v>5</v>
      </c>
      <c r="AE7434" s="580">
        <f t="shared" si="617"/>
        <v>2.5</v>
      </c>
      <c r="AF7434" s="580">
        <f t="shared" si="618"/>
        <v>2.5</v>
      </c>
      <c r="AG7434" s="580">
        <f t="shared" si="619"/>
        <v>0</v>
      </c>
      <c r="AH7434" s="580">
        <f t="shared" si="620"/>
        <v>0</v>
      </c>
    </row>
    <row r="7435" spans="28:34">
      <c r="AB7435" s="580">
        <f>HLOOKUP("*"&amp;'Output annual'!$AC$2&amp;'Output annual'!$AD$2&amp;"*Zone People Number Of Occupants [](Hourly)",'Eplus results'!$1:$1048576,ROW(),FALSE)</f>
        <v>0</v>
      </c>
      <c r="AC7435" s="580">
        <f>HLOOKUP("*"&amp;'Output annual'!$AC$2&amp;'Output annual'!$AD$2&amp;"*FangerPMV(Hourly)",'Eplus results'!$1:$1048576,ROW(),FALSE)</f>
        <v>0</v>
      </c>
      <c r="AD7435" s="580">
        <f t="shared" si="616"/>
        <v>5</v>
      </c>
      <c r="AE7435" s="580">
        <f t="shared" si="617"/>
        <v>2.5</v>
      </c>
      <c r="AF7435" s="580">
        <f t="shared" si="618"/>
        <v>2.5</v>
      </c>
      <c r="AG7435" s="580">
        <f t="shared" si="619"/>
        <v>0</v>
      </c>
      <c r="AH7435" s="580">
        <f t="shared" si="620"/>
        <v>0</v>
      </c>
    </row>
    <row r="7436" spans="28:34">
      <c r="AB7436" s="580">
        <f>HLOOKUP("*"&amp;'Output annual'!$AC$2&amp;'Output annual'!$AD$2&amp;"*Zone People Number Of Occupants [](Hourly)",'Eplus results'!$1:$1048576,ROW(),FALSE)</f>
        <v>0</v>
      </c>
      <c r="AC7436" s="580">
        <f>HLOOKUP("*"&amp;'Output annual'!$AC$2&amp;'Output annual'!$AD$2&amp;"*FangerPMV(Hourly)",'Eplus results'!$1:$1048576,ROW(),FALSE)</f>
        <v>0</v>
      </c>
      <c r="AD7436" s="580">
        <f t="shared" si="616"/>
        <v>5</v>
      </c>
      <c r="AE7436" s="580">
        <f t="shared" si="617"/>
        <v>2.5</v>
      </c>
      <c r="AF7436" s="580">
        <f t="shared" si="618"/>
        <v>2.5</v>
      </c>
      <c r="AG7436" s="580">
        <f t="shared" si="619"/>
        <v>0</v>
      </c>
      <c r="AH7436" s="580">
        <f t="shared" si="620"/>
        <v>0</v>
      </c>
    </row>
    <row r="7437" spans="28:34">
      <c r="AB7437" s="580">
        <f>HLOOKUP("*"&amp;'Output annual'!$AC$2&amp;'Output annual'!$AD$2&amp;"*Zone People Number Of Occupants [](Hourly)",'Eplus results'!$1:$1048576,ROW(),FALSE)</f>
        <v>0</v>
      </c>
      <c r="AC7437" s="580">
        <f>HLOOKUP("*"&amp;'Output annual'!$AC$2&amp;'Output annual'!$AD$2&amp;"*FangerPMV(Hourly)",'Eplus results'!$1:$1048576,ROW(),FALSE)</f>
        <v>0</v>
      </c>
      <c r="AD7437" s="580">
        <f t="shared" si="616"/>
        <v>5</v>
      </c>
      <c r="AE7437" s="580">
        <f t="shared" si="617"/>
        <v>2.5</v>
      </c>
      <c r="AF7437" s="580">
        <f t="shared" si="618"/>
        <v>2.5</v>
      </c>
      <c r="AG7437" s="580">
        <f t="shared" si="619"/>
        <v>0</v>
      </c>
      <c r="AH7437" s="580">
        <f t="shared" si="620"/>
        <v>0</v>
      </c>
    </row>
    <row r="7438" spans="28:34">
      <c r="AB7438" s="580">
        <f>HLOOKUP("*"&amp;'Output annual'!$AC$2&amp;'Output annual'!$AD$2&amp;"*Zone People Number Of Occupants [](Hourly)",'Eplus results'!$1:$1048576,ROW(),FALSE)</f>
        <v>0</v>
      </c>
      <c r="AC7438" s="580">
        <f>HLOOKUP("*"&amp;'Output annual'!$AC$2&amp;'Output annual'!$AD$2&amp;"*FangerPMV(Hourly)",'Eplus results'!$1:$1048576,ROW(),FALSE)</f>
        <v>0</v>
      </c>
      <c r="AD7438" s="580">
        <f t="shared" si="616"/>
        <v>5</v>
      </c>
      <c r="AE7438" s="580">
        <f t="shared" si="617"/>
        <v>2.5</v>
      </c>
      <c r="AF7438" s="580">
        <f t="shared" si="618"/>
        <v>2.5</v>
      </c>
      <c r="AG7438" s="580">
        <f t="shared" si="619"/>
        <v>0</v>
      </c>
      <c r="AH7438" s="580">
        <f t="shared" si="620"/>
        <v>0</v>
      </c>
    </row>
    <row r="7439" spans="28:34">
      <c r="AB7439" s="580">
        <f>HLOOKUP("*"&amp;'Output annual'!$AC$2&amp;'Output annual'!$AD$2&amp;"*Zone People Number Of Occupants [](Hourly)",'Eplus results'!$1:$1048576,ROW(),FALSE)</f>
        <v>0</v>
      </c>
      <c r="AC7439" s="580">
        <f>HLOOKUP("*"&amp;'Output annual'!$AC$2&amp;'Output annual'!$AD$2&amp;"*FangerPMV(Hourly)",'Eplus results'!$1:$1048576,ROW(),FALSE)</f>
        <v>0</v>
      </c>
      <c r="AD7439" s="580">
        <f t="shared" si="616"/>
        <v>5</v>
      </c>
      <c r="AE7439" s="580">
        <f t="shared" si="617"/>
        <v>2.5</v>
      </c>
      <c r="AF7439" s="580">
        <f t="shared" si="618"/>
        <v>2.5</v>
      </c>
      <c r="AG7439" s="580">
        <f t="shared" si="619"/>
        <v>0</v>
      </c>
      <c r="AH7439" s="580">
        <f t="shared" si="620"/>
        <v>0</v>
      </c>
    </row>
    <row r="7440" spans="28:34">
      <c r="AB7440" s="580">
        <f>HLOOKUP("*"&amp;'Output annual'!$AC$2&amp;'Output annual'!$AD$2&amp;"*Zone People Number Of Occupants [](Hourly)",'Eplus results'!$1:$1048576,ROW(),FALSE)</f>
        <v>0</v>
      </c>
      <c r="AC7440" s="580">
        <f>HLOOKUP("*"&amp;'Output annual'!$AC$2&amp;'Output annual'!$AD$2&amp;"*FangerPMV(Hourly)",'Eplus results'!$1:$1048576,ROW(),FALSE)</f>
        <v>0</v>
      </c>
      <c r="AD7440" s="580">
        <f t="shared" si="616"/>
        <v>5</v>
      </c>
      <c r="AE7440" s="580">
        <f t="shared" si="617"/>
        <v>2.5</v>
      </c>
      <c r="AF7440" s="580">
        <f t="shared" si="618"/>
        <v>2.5</v>
      </c>
      <c r="AG7440" s="580">
        <f t="shared" si="619"/>
        <v>0</v>
      </c>
      <c r="AH7440" s="580">
        <f t="shared" si="620"/>
        <v>0</v>
      </c>
    </row>
    <row r="7441" spans="28:34">
      <c r="AB7441" s="580">
        <f>HLOOKUP("*"&amp;'Output annual'!$AC$2&amp;'Output annual'!$AD$2&amp;"*Zone People Number Of Occupants [](Hourly)",'Eplus results'!$1:$1048576,ROW(),FALSE)</f>
        <v>0</v>
      </c>
      <c r="AC7441" s="580">
        <f>HLOOKUP("*"&amp;'Output annual'!$AC$2&amp;'Output annual'!$AD$2&amp;"*FangerPMV(Hourly)",'Eplus results'!$1:$1048576,ROW(),FALSE)</f>
        <v>0</v>
      </c>
      <c r="AD7441" s="580">
        <f t="shared" si="616"/>
        <v>5</v>
      </c>
      <c r="AE7441" s="580">
        <f t="shared" si="617"/>
        <v>2.5</v>
      </c>
      <c r="AF7441" s="580">
        <f t="shared" si="618"/>
        <v>2.5</v>
      </c>
      <c r="AG7441" s="580">
        <f t="shared" si="619"/>
        <v>0</v>
      </c>
      <c r="AH7441" s="580">
        <f t="shared" si="620"/>
        <v>0</v>
      </c>
    </row>
    <row r="7442" spans="28:34">
      <c r="AB7442" s="580">
        <f>HLOOKUP("*"&amp;'Output annual'!$AC$2&amp;'Output annual'!$AD$2&amp;"*Zone People Number Of Occupants [](Hourly)",'Eplus results'!$1:$1048576,ROW(),FALSE)</f>
        <v>0</v>
      </c>
      <c r="AC7442" s="580">
        <f>HLOOKUP("*"&amp;'Output annual'!$AC$2&amp;'Output annual'!$AD$2&amp;"*FangerPMV(Hourly)",'Eplus results'!$1:$1048576,ROW(),FALSE)</f>
        <v>0</v>
      </c>
      <c r="AD7442" s="580">
        <f t="shared" si="616"/>
        <v>5</v>
      </c>
      <c r="AE7442" s="580">
        <f t="shared" si="617"/>
        <v>2.5</v>
      </c>
      <c r="AF7442" s="580">
        <f t="shared" si="618"/>
        <v>2.5</v>
      </c>
      <c r="AG7442" s="580">
        <f t="shared" si="619"/>
        <v>0</v>
      </c>
      <c r="AH7442" s="580">
        <f t="shared" si="620"/>
        <v>0</v>
      </c>
    </row>
    <row r="7443" spans="28:34">
      <c r="AB7443" s="580">
        <f>HLOOKUP("*"&amp;'Output annual'!$AC$2&amp;'Output annual'!$AD$2&amp;"*Zone People Number Of Occupants [](Hourly)",'Eplus results'!$1:$1048576,ROW(),FALSE)</f>
        <v>0</v>
      </c>
      <c r="AC7443" s="580">
        <f>HLOOKUP("*"&amp;'Output annual'!$AC$2&amp;'Output annual'!$AD$2&amp;"*FangerPMV(Hourly)",'Eplus results'!$1:$1048576,ROW(),FALSE)</f>
        <v>0</v>
      </c>
      <c r="AD7443" s="580">
        <f t="shared" si="616"/>
        <v>5</v>
      </c>
      <c r="AE7443" s="580">
        <f t="shared" si="617"/>
        <v>2.5</v>
      </c>
      <c r="AF7443" s="580">
        <f t="shared" si="618"/>
        <v>2.5</v>
      </c>
      <c r="AG7443" s="580">
        <f t="shared" si="619"/>
        <v>0</v>
      </c>
      <c r="AH7443" s="580">
        <f t="shared" si="620"/>
        <v>0</v>
      </c>
    </row>
    <row r="7444" spans="28:34">
      <c r="AB7444" s="580">
        <f>HLOOKUP("*"&amp;'Output annual'!$AC$2&amp;'Output annual'!$AD$2&amp;"*Zone People Number Of Occupants [](Hourly)",'Eplus results'!$1:$1048576,ROW(),FALSE)</f>
        <v>0</v>
      </c>
      <c r="AC7444" s="580">
        <f>HLOOKUP("*"&amp;'Output annual'!$AC$2&amp;'Output annual'!$AD$2&amp;"*FangerPMV(Hourly)",'Eplus results'!$1:$1048576,ROW(),FALSE)</f>
        <v>0</v>
      </c>
      <c r="AD7444" s="580">
        <f t="shared" si="616"/>
        <v>5</v>
      </c>
      <c r="AE7444" s="580">
        <f t="shared" si="617"/>
        <v>2.5</v>
      </c>
      <c r="AF7444" s="580">
        <f t="shared" si="618"/>
        <v>2.5</v>
      </c>
      <c r="AG7444" s="580">
        <f t="shared" si="619"/>
        <v>0</v>
      </c>
      <c r="AH7444" s="580">
        <f t="shared" si="620"/>
        <v>0</v>
      </c>
    </row>
    <row r="7445" spans="28:34">
      <c r="AB7445" s="580">
        <f>HLOOKUP("*"&amp;'Output annual'!$AC$2&amp;'Output annual'!$AD$2&amp;"*Zone People Number Of Occupants [](Hourly)",'Eplus results'!$1:$1048576,ROW(),FALSE)</f>
        <v>0</v>
      </c>
      <c r="AC7445" s="580">
        <f>HLOOKUP("*"&amp;'Output annual'!$AC$2&amp;'Output annual'!$AD$2&amp;"*FangerPMV(Hourly)",'Eplus results'!$1:$1048576,ROW(),FALSE)</f>
        <v>0</v>
      </c>
      <c r="AD7445" s="580">
        <f t="shared" si="616"/>
        <v>5</v>
      </c>
      <c r="AE7445" s="580">
        <f t="shared" si="617"/>
        <v>2.5</v>
      </c>
      <c r="AF7445" s="580">
        <f t="shared" si="618"/>
        <v>2.5</v>
      </c>
      <c r="AG7445" s="580">
        <f t="shared" si="619"/>
        <v>0</v>
      </c>
      <c r="AH7445" s="580">
        <f t="shared" si="620"/>
        <v>0</v>
      </c>
    </row>
    <row r="7446" spans="28:34">
      <c r="AB7446" s="580">
        <f>HLOOKUP("*"&amp;'Output annual'!$AC$2&amp;'Output annual'!$AD$2&amp;"*Zone People Number Of Occupants [](Hourly)",'Eplus results'!$1:$1048576,ROW(),FALSE)</f>
        <v>0</v>
      </c>
      <c r="AC7446" s="580">
        <f>HLOOKUP("*"&amp;'Output annual'!$AC$2&amp;'Output annual'!$AD$2&amp;"*FangerPMV(Hourly)",'Eplus results'!$1:$1048576,ROW(),FALSE)</f>
        <v>0</v>
      </c>
      <c r="AD7446" s="580">
        <f t="shared" si="616"/>
        <v>5</v>
      </c>
      <c r="AE7446" s="580">
        <f t="shared" si="617"/>
        <v>2.5</v>
      </c>
      <c r="AF7446" s="580">
        <f t="shared" si="618"/>
        <v>2.5</v>
      </c>
      <c r="AG7446" s="580">
        <f t="shared" si="619"/>
        <v>0</v>
      </c>
      <c r="AH7446" s="580">
        <f t="shared" si="620"/>
        <v>0</v>
      </c>
    </row>
    <row r="7447" spans="28:34">
      <c r="AB7447" s="580">
        <f>HLOOKUP("*"&amp;'Output annual'!$AC$2&amp;'Output annual'!$AD$2&amp;"*Zone People Number Of Occupants [](Hourly)",'Eplus results'!$1:$1048576,ROW(),FALSE)</f>
        <v>0</v>
      </c>
      <c r="AC7447" s="580">
        <f>HLOOKUP("*"&amp;'Output annual'!$AC$2&amp;'Output annual'!$AD$2&amp;"*FangerPMV(Hourly)",'Eplus results'!$1:$1048576,ROW(),FALSE)</f>
        <v>0</v>
      </c>
      <c r="AD7447" s="580">
        <f t="shared" si="616"/>
        <v>5</v>
      </c>
      <c r="AE7447" s="580">
        <f t="shared" si="617"/>
        <v>2.5</v>
      </c>
      <c r="AF7447" s="580">
        <f t="shared" si="618"/>
        <v>2.5</v>
      </c>
      <c r="AG7447" s="580">
        <f t="shared" si="619"/>
        <v>0</v>
      </c>
      <c r="AH7447" s="580">
        <f t="shared" si="620"/>
        <v>0</v>
      </c>
    </row>
    <row r="7448" spans="28:34">
      <c r="AB7448" s="580">
        <f>HLOOKUP("*"&amp;'Output annual'!$AC$2&amp;'Output annual'!$AD$2&amp;"*Zone People Number Of Occupants [](Hourly)",'Eplus results'!$1:$1048576,ROW(),FALSE)</f>
        <v>0</v>
      </c>
      <c r="AC7448" s="580">
        <f>HLOOKUP("*"&amp;'Output annual'!$AC$2&amp;'Output annual'!$AD$2&amp;"*FangerPMV(Hourly)",'Eplus results'!$1:$1048576,ROW(),FALSE)</f>
        <v>0</v>
      </c>
      <c r="AD7448" s="580">
        <f t="shared" si="616"/>
        <v>5</v>
      </c>
      <c r="AE7448" s="580">
        <f t="shared" si="617"/>
        <v>2.5</v>
      </c>
      <c r="AF7448" s="580">
        <f t="shared" si="618"/>
        <v>2.5</v>
      </c>
      <c r="AG7448" s="580">
        <f t="shared" si="619"/>
        <v>0</v>
      </c>
      <c r="AH7448" s="580">
        <f t="shared" si="620"/>
        <v>0</v>
      </c>
    </row>
    <row r="7449" spans="28:34">
      <c r="AB7449" s="580">
        <f>HLOOKUP("*"&amp;'Output annual'!$AC$2&amp;'Output annual'!$AD$2&amp;"*Zone People Number Of Occupants [](Hourly)",'Eplus results'!$1:$1048576,ROW(),FALSE)</f>
        <v>0</v>
      </c>
      <c r="AC7449" s="580">
        <f>HLOOKUP("*"&amp;'Output annual'!$AC$2&amp;'Output annual'!$AD$2&amp;"*FangerPMV(Hourly)",'Eplus results'!$1:$1048576,ROW(),FALSE)</f>
        <v>0</v>
      </c>
      <c r="AD7449" s="580">
        <f t="shared" si="616"/>
        <v>5</v>
      </c>
      <c r="AE7449" s="580">
        <f t="shared" si="617"/>
        <v>2.5</v>
      </c>
      <c r="AF7449" s="580">
        <f t="shared" si="618"/>
        <v>2.5</v>
      </c>
      <c r="AG7449" s="580">
        <f t="shared" si="619"/>
        <v>0</v>
      </c>
      <c r="AH7449" s="580">
        <f t="shared" si="620"/>
        <v>0</v>
      </c>
    </row>
    <row r="7450" spans="28:34">
      <c r="AB7450" s="580">
        <f>HLOOKUP("*"&amp;'Output annual'!$AC$2&amp;'Output annual'!$AD$2&amp;"*Zone People Number Of Occupants [](Hourly)",'Eplus results'!$1:$1048576,ROW(),FALSE)</f>
        <v>0</v>
      </c>
      <c r="AC7450" s="580">
        <f>HLOOKUP("*"&amp;'Output annual'!$AC$2&amp;'Output annual'!$AD$2&amp;"*FangerPMV(Hourly)",'Eplus results'!$1:$1048576,ROW(),FALSE)</f>
        <v>0</v>
      </c>
      <c r="AD7450" s="580">
        <f t="shared" si="616"/>
        <v>5</v>
      </c>
      <c r="AE7450" s="580">
        <f t="shared" si="617"/>
        <v>2.5</v>
      </c>
      <c r="AF7450" s="580">
        <f t="shared" si="618"/>
        <v>2.5</v>
      </c>
      <c r="AG7450" s="580">
        <f t="shared" si="619"/>
        <v>0</v>
      </c>
      <c r="AH7450" s="580">
        <f t="shared" si="620"/>
        <v>0</v>
      </c>
    </row>
    <row r="7451" spans="28:34">
      <c r="AB7451" s="580">
        <f>HLOOKUP("*"&amp;'Output annual'!$AC$2&amp;'Output annual'!$AD$2&amp;"*Zone People Number Of Occupants [](Hourly)",'Eplus results'!$1:$1048576,ROW(),FALSE)</f>
        <v>0</v>
      </c>
      <c r="AC7451" s="580">
        <f>HLOOKUP("*"&amp;'Output annual'!$AC$2&amp;'Output annual'!$AD$2&amp;"*FangerPMV(Hourly)",'Eplus results'!$1:$1048576,ROW(),FALSE)</f>
        <v>0</v>
      </c>
      <c r="AD7451" s="580">
        <f t="shared" si="616"/>
        <v>5</v>
      </c>
      <c r="AE7451" s="580">
        <f t="shared" si="617"/>
        <v>2.5</v>
      </c>
      <c r="AF7451" s="580">
        <f t="shared" si="618"/>
        <v>2.5</v>
      </c>
      <c r="AG7451" s="580">
        <f t="shared" si="619"/>
        <v>0</v>
      </c>
      <c r="AH7451" s="580">
        <f t="shared" si="620"/>
        <v>0</v>
      </c>
    </row>
    <row r="7452" spans="28:34">
      <c r="AB7452" s="580">
        <f>HLOOKUP("*"&amp;'Output annual'!$AC$2&amp;'Output annual'!$AD$2&amp;"*Zone People Number Of Occupants [](Hourly)",'Eplus results'!$1:$1048576,ROW(),FALSE)</f>
        <v>0</v>
      </c>
      <c r="AC7452" s="580">
        <f>HLOOKUP("*"&amp;'Output annual'!$AC$2&amp;'Output annual'!$AD$2&amp;"*FangerPMV(Hourly)",'Eplus results'!$1:$1048576,ROW(),FALSE)</f>
        <v>0</v>
      </c>
      <c r="AD7452" s="580">
        <f t="shared" si="616"/>
        <v>5</v>
      </c>
      <c r="AE7452" s="580">
        <f t="shared" si="617"/>
        <v>2.5</v>
      </c>
      <c r="AF7452" s="580">
        <f t="shared" si="618"/>
        <v>2.5</v>
      </c>
      <c r="AG7452" s="580">
        <f t="shared" si="619"/>
        <v>0</v>
      </c>
      <c r="AH7452" s="580">
        <f t="shared" si="620"/>
        <v>0</v>
      </c>
    </row>
    <row r="7453" spans="28:34">
      <c r="AB7453" s="580">
        <f>HLOOKUP("*"&amp;'Output annual'!$AC$2&amp;'Output annual'!$AD$2&amp;"*Zone People Number Of Occupants [](Hourly)",'Eplus results'!$1:$1048576,ROW(),FALSE)</f>
        <v>0</v>
      </c>
      <c r="AC7453" s="580">
        <f>HLOOKUP("*"&amp;'Output annual'!$AC$2&amp;'Output annual'!$AD$2&amp;"*FangerPMV(Hourly)",'Eplus results'!$1:$1048576,ROW(),FALSE)</f>
        <v>0</v>
      </c>
      <c r="AD7453" s="580">
        <f t="shared" si="616"/>
        <v>5</v>
      </c>
      <c r="AE7453" s="580">
        <f t="shared" si="617"/>
        <v>2.5</v>
      </c>
      <c r="AF7453" s="580">
        <f t="shared" si="618"/>
        <v>2.5</v>
      </c>
      <c r="AG7453" s="580">
        <f t="shared" si="619"/>
        <v>0</v>
      </c>
      <c r="AH7453" s="580">
        <f t="shared" si="620"/>
        <v>0</v>
      </c>
    </row>
    <row r="7454" spans="28:34">
      <c r="AB7454" s="580">
        <f>HLOOKUP("*"&amp;'Output annual'!$AC$2&amp;'Output annual'!$AD$2&amp;"*Zone People Number Of Occupants [](Hourly)",'Eplus results'!$1:$1048576,ROW(),FALSE)</f>
        <v>0</v>
      </c>
      <c r="AC7454" s="580">
        <f>HLOOKUP("*"&amp;'Output annual'!$AC$2&amp;'Output annual'!$AD$2&amp;"*FangerPMV(Hourly)",'Eplus results'!$1:$1048576,ROW(),FALSE)</f>
        <v>0</v>
      </c>
      <c r="AD7454" s="580">
        <f t="shared" si="616"/>
        <v>5</v>
      </c>
      <c r="AE7454" s="580">
        <f t="shared" si="617"/>
        <v>2.5</v>
      </c>
      <c r="AF7454" s="580">
        <f t="shared" si="618"/>
        <v>2.5</v>
      </c>
      <c r="AG7454" s="580">
        <f t="shared" si="619"/>
        <v>0</v>
      </c>
      <c r="AH7454" s="580">
        <f t="shared" si="620"/>
        <v>0</v>
      </c>
    </row>
    <row r="7455" spans="28:34">
      <c r="AB7455" s="580">
        <f>HLOOKUP("*"&amp;'Output annual'!$AC$2&amp;'Output annual'!$AD$2&amp;"*Zone People Number Of Occupants [](Hourly)",'Eplus results'!$1:$1048576,ROW(),FALSE)</f>
        <v>0</v>
      </c>
      <c r="AC7455" s="580">
        <f>HLOOKUP("*"&amp;'Output annual'!$AC$2&amp;'Output annual'!$AD$2&amp;"*FangerPMV(Hourly)",'Eplus results'!$1:$1048576,ROW(),FALSE)</f>
        <v>0</v>
      </c>
      <c r="AD7455" s="580">
        <f t="shared" si="616"/>
        <v>5</v>
      </c>
      <c r="AE7455" s="580">
        <f t="shared" si="617"/>
        <v>2.5</v>
      </c>
      <c r="AF7455" s="580">
        <f t="shared" si="618"/>
        <v>2.5</v>
      </c>
      <c r="AG7455" s="580">
        <f t="shared" si="619"/>
        <v>0</v>
      </c>
      <c r="AH7455" s="580">
        <f t="shared" si="620"/>
        <v>0</v>
      </c>
    </row>
    <row r="7456" spans="28:34">
      <c r="AB7456" s="580">
        <f>HLOOKUP("*"&amp;'Output annual'!$AC$2&amp;'Output annual'!$AD$2&amp;"*Zone People Number Of Occupants [](Hourly)",'Eplus results'!$1:$1048576,ROW(),FALSE)</f>
        <v>0</v>
      </c>
      <c r="AC7456" s="580">
        <f>HLOOKUP("*"&amp;'Output annual'!$AC$2&amp;'Output annual'!$AD$2&amp;"*FangerPMV(Hourly)",'Eplus results'!$1:$1048576,ROW(),FALSE)</f>
        <v>0</v>
      </c>
      <c r="AD7456" s="580">
        <f t="shared" si="616"/>
        <v>5</v>
      </c>
      <c r="AE7456" s="580">
        <f t="shared" si="617"/>
        <v>2.5</v>
      </c>
      <c r="AF7456" s="580">
        <f t="shared" si="618"/>
        <v>2.5</v>
      </c>
      <c r="AG7456" s="580">
        <f t="shared" si="619"/>
        <v>0</v>
      </c>
      <c r="AH7456" s="580">
        <f t="shared" si="620"/>
        <v>0</v>
      </c>
    </row>
    <row r="7457" spans="28:34">
      <c r="AB7457" s="580">
        <f>HLOOKUP("*"&amp;'Output annual'!$AC$2&amp;'Output annual'!$AD$2&amp;"*Zone People Number Of Occupants [](Hourly)",'Eplus results'!$1:$1048576,ROW(),FALSE)</f>
        <v>0</v>
      </c>
      <c r="AC7457" s="580">
        <f>HLOOKUP("*"&amp;'Output annual'!$AC$2&amp;'Output annual'!$AD$2&amp;"*FangerPMV(Hourly)",'Eplus results'!$1:$1048576,ROW(),FALSE)</f>
        <v>0</v>
      </c>
      <c r="AD7457" s="580">
        <f t="shared" si="616"/>
        <v>5</v>
      </c>
      <c r="AE7457" s="580">
        <f t="shared" si="617"/>
        <v>2.5</v>
      </c>
      <c r="AF7457" s="580">
        <f t="shared" si="618"/>
        <v>2.5</v>
      </c>
      <c r="AG7457" s="580">
        <f t="shared" si="619"/>
        <v>0</v>
      </c>
      <c r="AH7457" s="580">
        <f t="shared" si="620"/>
        <v>0</v>
      </c>
    </row>
    <row r="7458" spans="28:34">
      <c r="AB7458" s="580">
        <f>HLOOKUP("*"&amp;'Output annual'!$AC$2&amp;'Output annual'!$AD$2&amp;"*Zone People Number Of Occupants [](Hourly)",'Eplus results'!$1:$1048576,ROW(),FALSE)</f>
        <v>0</v>
      </c>
      <c r="AC7458" s="580">
        <f>HLOOKUP("*"&amp;'Output annual'!$AC$2&amp;'Output annual'!$AD$2&amp;"*FangerPMV(Hourly)",'Eplus results'!$1:$1048576,ROW(),FALSE)</f>
        <v>0</v>
      </c>
      <c r="AD7458" s="580">
        <f t="shared" si="616"/>
        <v>5</v>
      </c>
      <c r="AE7458" s="580">
        <f t="shared" si="617"/>
        <v>2.5</v>
      </c>
      <c r="AF7458" s="580">
        <f t="shared" si="618"/>
        <v>2.5</v>
      </c>
      <c r="AG7458" s="580">
        <f t="shared" si="619"/>
        <v>0</v>
      </c>
      <c r="AH7458" s="580">
        <f t="shared" si="620"/>
        <v>0</v>
      </c>
    </row>
    <row r="7459" spans="28:34">
      <c r="AB7459" s="580">
        <f>HLOOKUP("*"&amp;'Output annual'!$AC$2&amp;'Output annual'!$AD$2&amp;"*Zone People Number Of Occupants [](Hourly)",'Eplus results'!$1:$1048576,ROW(),FALSE)</f>
        <v>0</v>
      </c>
      <c r="AC7459" s="580">
        <f>HLOOKUP("*"&amp;'Output annual'!$AC$2&amp;'Output annual'!$AD$2&amp;"*FangerPMV(Hourly)",'Eplus results'!$1:$1048576,ROW(),FALSE)</f>
        <v>0</v>
      </c>
      <c r="AD7459" s="580">
        <f t="shared" si="616"/>
        <v>5</v>
      </c>
      <c r="AE7459" s="580">
        <f t="shared" si="617"/>
        <v>2.5</v>
      </c>
      <c r="AF7459" s="580">
        <f t="shared" si="618"/>
        <v>2.5</v>
      </c>
      <c r="AG7459" s="580">
        <f t="shared" si="619"/>
        <v>0</v>
      </c>
      <c r="AH7459" s="580">
        <f t="shared" si="620"/>
        <v>0</v>
      </c>
    </row>
    <row r="7460" spans="28:34">
      <c r="AB7460" s="580">
        <f>HLOOKUP("*"&amp;'Output annual'!$AC$2&amp;'Output annual'!$AD$2&amp;"*Zone People Number Of Occupants [](Hourly)",'Eplus results'!$1:$1048576,ROW(),FALSE)</f>
        <v>0</v>
      </c>
      <c r="AC7460" s="580">
        <f>HLOOKUP("*"&amp;'Output annual'!$AC$2&amp;'Output annual'!$AD$2&amp;"*FangerPMV(Hourly)",'Eplus results'!$1:$1048576,ROW(),FALSE)</f>
        <v>0</v>
      </c>
      <c r="AD7460" s="580">
        <f t="shared" si="616"/>
        <v>5</v>
      </c>
      <c r="AE7460" s="580">
        <f t="shared" si="617"/>
        <v>2.5</v>
      </c>
      <c r="AF7460" s="580">
        <f t="shared" si="618"/>
        <v>2.5</v>
      </c>
      <c r="AG7460" s="580">
        <f t="shared" si="619"/>
        <v>0</v>
      </c>
      <c r="AH7460" s="580">
        <f t="shared" si="620"/>
        <v>0</v>
      </c>
    </row>
    <row r="7461" spans="28:34">
      <c r="AB7461" s="580">
        <f>HLOOKUP("*"&amp;'Output annual'!$AC$2&amp;'Output annual'!$AD$2&amp;"*Zone People Number Of Occupants [](Hourly)",'Eplus results'!$1:$1048576,ROW(),FALSE)</f>
        <v>0</v>
      </c>
      <c r="AC7461" s="580">
        <f>HLOOKUP("*"&amp;'Output annual'!$AC$2&amp;'Output annual'!$AD$2&amp;"*FangerPMV(Hourly)",'Eplus results'!$1:$1048576,ROW(),FALSE)</f>
        <v>0</v>
      </c>
      <c r="AD7461" s="580">
        <f t="shared" si="616"/>
        <v>5</v>
      </c>
      <c r="AE7461" s="580">
        <f t="shared" si="617"/>
        <v>2.5</v>
      </c>
      <c r="AF7461" s="580">
        <f t="shared" si="618"/>
        <v>2.5</v>
      </c>
      <c r="AG7461" s="580">
        <f t="shared" si="619"/>
        <v>0</v>
      </c>
      <c r="AH7461" s="580">
        <f t="shared" si="620"/>
        <v>0</v>
      </c>
    </row>
    <row r="7462" spans="28:34">
      <c r="AB7462" s="580">
        <f>HLOOKUP("*"&amp;'Output annual'!$AC$2&amp;'Output annual'!$AD$2&amp;"*Zone People Number Of Occupants [](Hourly)",'Eplus results'!$1:$1048576,ROW(),FALSE)</f>
        <v>0</v>
      </c>
      <c r="AC7462" s="580">
        <f>HLOOKUP("*"&amp;'Output annual'!$AC$2&amp;'Output annual'!$AD$2&amp;"*FangerPMV(Hourly)",'Eplus results'!$1:$1048576,ROW(),FALSE)</f>
        <v>0</v>
      </c>
      <c r="AD7462" s="580">
        <f t="shared" si="616"/>
        <v>5</v>
      </c>
      <c r="AE7462" s="580">
        <f t="shared" si="617"/>
        <v>2.5</v>
      </c>
      <c r="AF7462" s="580">
        <f t="shared" si="618"/>
        <v>2.5</v>
      </c>
      <c r="AG7462" s="580">
        <f t="shared" si="619"/>
        <v>0</v>
      </c>
      <c r="AH7462" s="580">
        <f t="shared" si="620"/>
        <v>0</v>
      </c>
    </row>
    <row r="7463" spans="28:34">
      <c r="AB7463" s="580">
        <f>HLOOKUP("*"&amp;'Output annual'!$AC$2&amp;'Output annual'!$AD$2&amp;"*Zone People Number Of Occupants [](Hourly)",'Eplus results'!$1:$1048576,ROW(),FALSE)</f>
        <v>0</v>
      </c>
      <c r="AC7463" s="580">
        <f>HLOOKUP("*"&amp;'Output annual'!$AC$2&amp;'Output annual'!$AD$2&amp;"*FangerPMV(Hourly)",'Eplus results'!$1:$1048576,ROW(),FALSE)</f>
        <v>0</v>
      </c>
      <c r="AD7463" s="580">
        <f t="shared" si="616"/>
        <v>5</v>
      </c>
      <c r="AE7463" s="580">
        <f t="shared" si="617"/>
        <v>2.5</v>
      </c>
      <c r="AF7463" s="580">
        <f t="shared" si="618"/>
        <v>2.5</v>
      </c>
      <c r="AG7463" s="580">
        <f t="shared" si="619"/>
        <v>0</v>
      </c>
      <c r="AH7463" s="580">
        <f t="shared" si="620"/>
        <v>0</v>
      </c>
    </row>
    <row r="7464" spans="28:34">
      <c r="AB7464" s="580">
        <f>HLOOKUP("*"&amp;'Output annual'!$AC$2&amp;'Output annual'!$AD$2&amp;"*Zone People Number Of Occupants [](Hourly)",'Eplus results'!$1:$1048576,ROW(),FALSE)</f>
        <v>0</v>
      </c>
      <c r="AC7464" s="580">
        <f>HLOOKUP("*"&amp;'Output annual'!$AC$2&amp;'Output annual'!$AD$2&amp;"*FangerPMV(Hourly)",'Eplus results'!$1:$1048576,ROW(),FALSE)</f>
        <v>0</v>
      </c>
      <c r="AD7464" s="580">
        <f t="shared" si="616"/>
        <v>5</v>
      </c>
      <c r="AE7464" s="580">
        <f t="shared" si="617"/>
        <v>2.5</v>
      </c>
      <c r="AF7464" s="580">
        <f t="shared" si="618"/>
        <v>2.5</v>
      </c>
      <c r="AG7464" s="580">
        <f t="shared" si="619"/>
        <v>0</v>
      </c>
      <c r="AH7464" s="580">
        <f t="shared" si="620"/>
        <v>0</v>
      </c>
    </row>
    <row r="7465" spans="28:34">
      <c r="AB7465" s="580">
        <f>HLOOKUP("*"&amp;'Output annual'!$AC$2&amp;'Output annual'!$AD$2&amp;"*Zone People Number Of Occupants [](Hourly)",'Eplus results'!$1:$1048576,ROW(),FALSE)</f>
        <v>0</v>
      </c>
      <c r="AC7465" s="580">
        <f>HLOOKUP("*"&amp;'Output annual'!$AC$2&amp;'Output annual'!$AD$2&amp;"*FangerPMV(Hourly)",'Eplus results'!$1:$1048576,ROW(),FALSE)</f>
        <v>0</v>
      </c>
      <c r="AD7465" s="580">
        <f t="shared" si="616"/>
        <v>5</v>
      </c>
      <c r="AE7465" s="580">
        <f t="shared" si="617"/>
        <v>2.5</v>
      </c>
      <c r="AF7465" s="580">
        <f t="shared" si="618"/>
        <v>2.5</v>
      </c>
      <c r="AG7465" s="580">
        <f t="shared" si="619"/>
        <v>0</v>
      </c>
      <c r="AH7465" s="580">
        <f t="shared" si="620"/>
        <v>0</v>
      </c>
    </row>
    <row r="7466" spans="28:34">
      <c r="AB7466" s="580">
        <f>HLOOKUP("*"&amp;'Output annual'!$AC$2&amp;'Output annual'!$AD$2&amp;"*Zone People Number Of Occupants [](Hourly)",'Eplus results'!$1:$1048576,ROW(),FALSE)</f>
        <v>0</v>
      </c>
      <c r="AC7466" s="580">
        <f>HLOOKUP("*"&amp;'Output annual'!$AC$2&amp;'Output annual'!$AD$2&amp;"*FangerPMV(Hourly)",'Eplus results'!$1:$1048576,ROW(),FALSE)</f>
        <v>0</v>
      </c>
      <c r="AD7466" s="580">
        <f t="shared" si="616"/>
        <v>5</v>
      </c>
      <c r="AE7466" s="580">
        <f t="shared" si="617"/>
        <v>2.5</v>
      </c>
      <c r="AF7466" s="580">
        <f t="shared" si="618"/>
        <v>2.5</v>
      </c>
      <c r="AG7466" s="580">
        <f t="shared" si="619"/>
        <v>0</v>
      </c>
      <c r="AH7466" s="580">
        <f t="shared" si="620"/>
        <v>0</v>
      </c>
    </row>
    <row r="7467" spans="28:34">
      <c r="AB7467" s="580">
        <f>HLOOKUP("*"&amp;'Output annual'!$AC$2&amp;'Output annual'!$AD$2&amp;"*Zone People Number Of Occupants [](Hourly)",'Eplus results'!$1:$1048576,ROW(),FALSE)</f>
        <v>0</v>
      </c>
      <c r="AC7467" s="580">
        <f>HLOOKUP("*"&amp;'Output annual'!$AC$2&amp;'Output annual'!$AD$2&amp;"*FangerPMV(Hourly)",'Eplus results'!$1:$1048576,ROW(),FALSE)</f>
        <v>0</v>
      </c>
      <c r="AD7467" s="580">
        <f t="shared" si="616"/>
        <v>5</v>
      </c>
      <c r="AE7467" s="580">
        <f t="shared" si="617"/>
        <v>2.5</v>
      </c>
      <c r="AF7467" s="580">
        <f t="shared" si="618"/>
        <v>2.5</v>
      </c>
      <c r="AG7467" s="580">
        <f t="shared" si="619"/>
        <v>0</v>
      </c>
      <c r="AH7467" s="580">
        <f t="shared" si="620"/>
        <v>0</v>
      </c>
    </row>
    <row r="7468" spans="28:34">
      <c r="AB7468" s="580">
        <f>HLOOKUP("*"&amp;'Output annual'!$AC$2&amp;'Output annual'!$AD$2&amp;"*Zone People Number Of Occupants [](Hourly)",'Eplus results'!$1:$1048576,ROW(),FALSE)</f>
        <v>0</v>
      </c>
      <c r="AC7468" s="580">
        <f>HLOOKUP("*"&amp;'Output annual'!$AC$2&amp;'Output annual'!$AD$2&amp;"*FangerPMV(Hourly)",'Eplus results'!$1:$1048576,ROW(),FALSE)</f>
        <v>0</v>
      </c>
      <c r="AD7468" s="580">
        <f t="shared" si="616"/>
        <v>5</v>
      </c>
      <c r="AE7468" s="580">
        <f t="shared" si="617"/>
        <v>2.5</v>
      </c>
      <c r="AF7468" s="580">
        <f t="shared" si="618"/>
        <v>2.5</v>
      </c>
      <c r="AG7468" s="580">
        <f t="shared" si="619"/>
        <v>0</v>
      </c>
      <c r="AH7468" s="580">
        <f t="shared" si="620"/>
        <v>0</v>
      </c>
    </row>
    <row r="7469" spans="28:34">
      <c r="AB7469" s="580">
        <f>HLOOKUP("*"&amp;'Output annual'!$AC$2&amp;'Output annual'!$AD$2&amp;"*Zone People Number Of Occupants [](Hourly)",'Eplus results'!$1:$1048576,ROW(),FALSE)</f>
        <v>0</v>
      </c>
      <c r="AC7469" s="580">
        <f>HLOOKUP("*"&amp;'Output annual'!$AC$2&amp;'Output annual'!$AD$2&amp;"*FangerPMV(Hourly)",'Eplus results'!$1:$1048576,ROW(),FALSE)</f>
        <v>0</v>
      </c>
      <c r="AD7469" s="580">
        <f t="shared" si="616"/>
        <v>5</v>
      </c>
      <c r="AE7469" s="580">
        <f t="shared" si="617"/>
        <v>2.5</v>
      </c>
      <c r="AF7469" s="580">
        <f t="shared" si="618"/>
        <v>2.5</v>
      </c>
      <c r="AG7469" s="580">
        <f t="shared" si="619"/>
        <v>0</v>
      </c>
      <c r="AH7469" s="580">
        <f t="shared" si="620"/>
        <v>0</v>
      </c>
    </row>
    <row r="7470" spans="28:34">
      <c r="AB7470" s="580">
        <f>HLOOKUP("*"&amp;'Output annual'!$AC$2&amp;'Output annual'!$AD$2&amp;"*Zone People Number Of Occupants [](Hourly)",'Eplus results'!$1:$1048576,ROW(),FALSE)</f>
        <v>0</v>
      </c>
      <c r="AC7470" s="580">
        <f>HLOOKUP("*"&amp;'Output annual'!$AC$2&amp;'Output annual'!$AD$2&amp;"*FangerPMV(Hourly)",'Eplus results'!$1:$1048576,ROW(),FALSE)</f>
        <v>0</v>
      </c>
      <c r="AD7470" s="580">
        <f t="shared" si="616"/>
        <v>5</v>
      </c>
      <c r="AE7470" s="580">
        <f t="shared" si="617"/>
        <v>2.5</v>
      </c>
      <c r="AF7470" s="580">
        <f t="shared" si="618"/>
        <v>2.5</v>
      </c>
      <c r="AG7470" s="580">
        <f t="shared" si="619"/>
        <v>0</v>
      </c>
      <c r="AH7470" s="580">
        <f t="shared" si="620"/>
        <v>0</v>
      </c>
    </row>
    <row r="7471" spans="28:34">
      <c r="AB7471" s="580">
        <f>HLOOKUP("*"&amp;'Output annual'!$AC$2&amp;'Output annual'!$AD$2&amp;"*Zone People Number Of Occupants [](Hourly)",'Eplus results'!$1:$1048576,ROW(),FALSE)</f>
        <v>0</v>
      </c>
      <c r="AC7471" s="580">
        <f>HLOOKUP("*"&amp;'Output annual'!$AC$2&amp;'Output annual'!$AD$2&amp;"*FangerPMV(Hourly)",'Eplus results'!$1:$1048576,ROW(),FALSE)</f>
        <v>0</v>
      </c>
      <c r="AD7471" s="580">
        <f t="shared" si="616"/>
        <v>5</v>
      </c>
      <c r="AE7471" s="580">
        <f t="shared" si="617"/>
        <v>2.5</v>
      </c>
      <c r="AF7471" s="580">
        <f t="shared" si="618"/>
        <v>2.5</v>
      </c>
      <c r="AG7471" s="580">
        <f t="shared" si="619"/>
        <v>0</v>
      </c>
      <c r="AH7471" s="580">
        <f t="shared" si="620"/>
        <v>0</v>
      </c>
    </row>
    <row r="7472" spans="28:34">
      <c r="AB7472" s="580">
        <f>HLOOKUP("*"&amp;'Output annual'!$AC$2&amp;'Output annual'!$AD$2&amp;"*Zone People Number Of Occupants [](Hourly)",'Eplus results'!$1:$1048576,ROW(),FALSE)</f>
        <v>0</v>
      </c>
      <c r="AC7472" s="580">
        <f>HLOOKUP("*"&amp;'Output annual'!$AC$2&amp;'Output annual'!$AD$2&amp;"*FangerPMV(Hourly)",'Eplus results'!$1:$1048576,ROW(),FALSE)</f>
        <v>0</v>
      </c>
      <c r="AD7472" s="580">
        <f t="shared" si="616"/>
        <v>5</v>
      </c>
      <c r="AE7472" s="580">
        <f t="shared" si="617"/>
        <v>2.5</v>
      </c>
      <c r="AF7472" s="580">
        <f t="shared" si="618"/>
        <v>2.5</v>
      </c>
      <c r="AG7472" s="580">
        <f t="shared" si="619"/>
        <v>0</v>
      </c>
      <c r="AH7472" s="580">
        <f t="shared" si="620"/>
        <v>0</v>
      </c>
    </row>
    <row r="7473" spans="28:34">
      <c r="AB7473" s="580">
        <f>HLOOKUP("*"&amp;'Output annual'!$AC$2&amp;'Output annual'!$AD$2&amp;"*Zone People Number Of Occupants [](Hourly)",'Eplus results'!$1:$1048576,ROW(),FALSE)</f>
        <v>0</v>
      </c>
      <c r="AC7473" s="580">
        <f>HLOOKUP("*"&amp;'Output annual'!$AC$2&amp;'Output annual'!$AD$2&amp;"*FangerPMV(Hourly)",'Eplus results'!$1:$1048576,ROW(),FALSE)</f>
        <v>0</v>
      </c>
      <c r="AD7473" s="580">
        <f t="shared" si="616"/>
        <v>5</v>
      </c>
      <c r="AE7473" s="580">
        <f t="shared" si="617"/>
        <v>2.5</v>
      </c>
      <c r="AF7473" s="580">
        <f t="shared" si="618"/>
        <v>2.5</v>
      </c>
      <c r="AG7473" s="580">
        <f t="shared" si="619"/>
        <v>0</v>
      </c>
      <c r="AH7473" s="580">
        <f t="shared" si="620"/>
        <v>0</v>
      </c>
    </row>
    <row r="7474" spans="28:34">
      <c r="AB7474" s="580">
        <f>HLOOKUP("*"&amp;'Output annual'!$AC$2&amp;'Output annual'!$AD$2&amp;"*Zone People Number Of Occupants [](Hourly)",'Eplus results'!$1:$1048576,ROW(),FALSE)</f>
        <v>0</v>
      </c>
      <c r="AC7474" s="580">
        <f>HLOOKUP("*"&amp;'Output annual'!$AC$2&amp;'Output annual'!$AD$2&amp;"*FangerPMV(Hourly)",'Eplus results'!$1:$1048576,ROW(),FALSE)</f>
        <v>0</v>
      </c>
      <c r="AD7474" s="580">
        <f t="shared" si="616"/>
        <v>5</v>
      </c>
      <c r="AE7474" s="580">
        <f t="shared" si="617"/>
        <v>2.5</v>
      </c>
      <c r="AF7474" s="580">
        <f t="shared" si="618"/>
        <v>2.5</v>
      </c>
      <c r="AG7474" s="580">
        <f t="shared" si="619"/>
        <v>0</v>
      </c>
      <c r="AH7474" s="580">
        <f t="shared" si="620"/>
        <v>0</v>
      </c>
    </row>
    <row r="7475" spans="28:34">
      <c r="AB7475" s="580">
        <f>HLOOKUP("*"&amp;'Output annual'!$AC$2&amp;'Output annual'!$AD$2&amp;"*Zone People Number Of Occupants [](Hourly)",'Eplus results'!$1:$1048576,ROW(),FALSE)</f>
        <v>0</v>
      </c>
      <c r="AC7475" s="580">
        <f>HLOOKUP("*"&amp;'Output annual'!$AC$2&amp;'Output annual'!$AD$2&amp;"*FangerPMV(Hourly)",'Eplus results'!$1:$1048576,ROW(),FALSE)</f>
        <v>0</v>
      </c>
      <c r="AD7475" s="580">
        <f t="shared" si="616"/>
        <v>5</v>
      </c>
      <c r="AE7475" s="580">
        <f t="shared" si="617"/>
        <v>2.5</v>
      </c>
      <c r="AF7475" s="580">
        <f t="shared" si="618"/>
        <v>2.5</v>
      </c>
      <c r="AG7475" s="580">
        <f t="shared" si="619"/>
        <v>0</v>
      </c>
      <c r="AH7475" s="580">
        <f t="shared" si="620"/>
        <v>0</v>
      </c>
    </row>
    <row r="7476" spans="28:34">
      <c r="AB7476" s="580">
        <f>HLOOKUP("*"&amp;'Output annual'!$AC$2&amp;'Output annual'!$AD$2&amp;"*Zone People Number Of Occupants [](Hourly)",'Eplus results'!$1:$1048576,ROW(),FALSE)</f>
        <v>0</v>
      </c>
      <c r="AC7476" s="580">
        <f>HLOOKUP("*"&amp;'Output annual'!$AC$2&amp;'Output annual'!$AD$2&amp;"*FangerPMV(Hourly)",'Eplus results'!$1:$1048576,ROW(),FALSE)</f>
        <v>0</v>
      </c>
      <c r="AD7476" s="580">
        <f t="shared" si="616"/>
        <v>5</v>
      </c>
      <c r="AE7476" s="580">
        <f t="shared" si="617"/>
        <v>2.5</v>
      </c>
      <c r="AF7476" s="580">
        <f t="shared" si="618"/>
        <v>2.5</v>
      </c>
      <c r="AG7476" s="580">
        <f t="shared" si="619"/>
        <v>0</v>
      </c>
      <c r="AH7476" s="580">
        <f t="shared" si="620"/>
        <v>0</v>
      </c>
    </row>
    <row r="7477" spans="28:34">
      <c r="AB7477" s="580">
        <f>HLOOKUP("*"&amp;'Output annual'!$AC$2&amp;'Output annual'!$AD$2&amp;"*Zone People Number Of Occupants [](Hourly)",'Eplus results'!$1:$1048576,ROW(),FALSE)</f>
        <v>0</v>
      </c>
      <c r="AC7477" s="580">
        <f>HLOOKUP("*"&amp;'Output annual'!$AC$2&amp;'Output annual'!$AD$2&amp;"*FangerPMV(Hourly)",'Eplus results'!$1:$1048576,ROW(),FALSE)</f>
        <v>0</v>
      </c>
      <c r="AD7477" s="580">
        <f t="shared" si="616"/>
        <v>5</v>
      </c>
      <c r="AE7477" s="580">
        <f t="shared" si="617"/>
        <v>2.5</v>
      </c>
      <c r="AF7477" s="580">
        <f t="shared" si="618"/>
        <v>2.5</v>
      </c>
      <c r="AG7477" s="580">
        <f t="shared" si="619"/>
        <v>0</v>
      </c>
      <c r="AH7477" s="580">
        <f t="shared" si="620"/>
        <v>0</v>
      </c>
    </row>
    <row r="7478" spans="28:34">
      <c r="AB7478" s="580">
        <f>HLOOKUP("*"&amp;'Output annual'!$AC$2&amp;'Output annual'!$AD$2&amp;"*Zone People Number Of Occupants [](Hourly)",'Eplus results'!$1:$1048576,ROW(),FALSE)</f>
        <v>0</v>
      </c>
      <c r="AC7478" s="580">
        <f>HLOOKUP("*"&amp;'Output annual'!$AC$2&amp;'Output annual'!$AD$2&amp;"*FangerPMV(Hourly)",'Eplus results'!$1:$1048576,ROW(),FALSE)</f>
        <v>0</v>
      </c>
      <c r="AD7478" s="580">
        <f t="shared" si="616"/>
        <v>5</v>
      </c>
      <c r="AE7478" s="580">
        <f t="shared" si="617"/>
        <v>2.5</v>
      </c>
      <c r="AF7478" s="580">
        <f t="shared" si="618"/>
        <v>2.5</v>
      </c>
      <c r="AG7478" s="580">
        <f t="shared" si="619"/>
        <v>0</v>
      </c>
      <c r="AH7478" s="580">
        <f t="shared" si="620"/>
        <v>0</v>
      </c>
    </row>
    <row r="7479" spans="28:34">
      <c r="AB7479" s="580">
        <f>HLOOKUP("*"&amp;'Output annual'!$AC$2&amp;'Output annual'!$AD$2&amp;"*Zone People Number Of Occupants [](Hourly)",'Eplus results'!$1:$1048576,ROW(),FALSE)</f>
        <v>0</v>
      </c>
      <c r="AC7479" s="580">
        <f>HLOOKUP("*"&amp;'Output annual'!$AC$2&amp;'Output annual'!$AD$2&amp;"*FangerPMV(Hourly)",'Eplus results'!$1:$1048576,ROW(),FALSE)</f>
        <v>0</v>
      </c>
      <c r="AD7479" s="580">
        <f t="shared" si="616"/>
        <v>5</v>
      </c>
      <c r="AE7479" s="580">
        <f t="shared" si="617"/>
        <v>2.5</v>
      </c>
      <c r="AF7479" s="580">
        <f t="shared" si="618"/>
        <v>2.5</v>
      </c>
      <c r="AG7479" s="580">
        <f t="shared" si="619"/>
        <v>0</v>
      </c>
      <c r="AH7479" s="580">
        <f t="shared" si="620"/>
        <v>0</v>
      </c>
    </row>
    <row r="7480" spans="28:34">
      <c r="AB7480" s="580">
        <f>HLOOKUP("*"&amp;'Output annual'!$AC$2&amp;'Output annual'!$AD$2&amp;"*Zone People Number Of Occupants [](Hourly)",'Eplus results'!$1:$1048576,ROW(),FALSE)</f>
        <v>0</v>
      </c>
      <c r="AC7480" s="580">
        <f>HLOOKUP("*"&amp;'Output annual'!$AC$2&amp;'Output annual'!$AD$2&amp;"*FangerPMV(Hourly)",'Eplus results'!$1:$1048576,ROW(),FALSE)</f>
        <v>0</v>
      </c>
      <c r="AD7480" s="580">
        <f t="shared" si="616"/>
        <v>5</v>
      </c>
      <c r="AE7480" s="580">
        <f t="shared" si="617"/>
        <v>2.5</v>
      </c>
      <c r="AF7480" s="580">
        <f t="shared" si="618"/>
        <v>2.5</v>
      </c>
      <c r="AG7480" s="580">
        <f t="shared" si="619"/>
        <v>0</v>
      </c>
      <c r="AH7480" s="580">
        <f t="shared" si="620"/>
        <v>0</v>
      </c>
    </row>
    <row r="7481" spans="28:34">
      <c r="AB7481" s="580">
        <f>HLOOKUP("*"&amp;'Output annual'!$AC$2&amp;'Output annual'!$AD$2&amp;"*Zone People Number Of Occupants [](Hourly)",'Eplus results'!$1:$1048576,ROW(),FALSE)</f>
        <v>0</v>
      </c>
      <c r="AC7481" s="580">
        <f>HLOOKUP("*"&amp;'Output annual'!$AC$2&amp;'Output annual'!$AD$2&amp;"*FangerPMV(Hourly)",'Eplus results'!$1:$1048576,ROW(),FALSE)</f>
        <v>0</v>
      </c>
      <c r="AD7481" s="580">
        <f t="shared" si="616"/>
        <v>5</v>
      </c>
      <c r="AE7481" s="580">
        <f t="shared" si="617"/>
        <v>2.5</v>
      </c>
      <c r="AF7481" s="580">
        <f t="shared" si="618"/>
        <v>2.5</v>
      </c>
      <c r="AG7481" s="580">
        <f t="shared" si="619"/>
        <v>0</v>
      </c>
      <c r="AH7481" s="580">
        <f t="shared" si="620"/>
        <v>0</v>
      </c>
    </row>
    <row r="7482" spans="28:34">
      <c r="AB7482" s="580">
        <f>HLOOKUP("*"&amp;'Output annual'!$AC$2&amp;'Output annual'!$AD$2&amp;"*Zone People Number Of Occupants [](Hourly)",'Eplus results'!$1:$1048576,ROW(),FALSE)</f>
        <v>0</v>
      </c>
      <c r="AC7482" s="580">
        <f>HLOOKUP("*"&amp;'Output annual'!$AC$2&amp;'Output annual'!$AD$2&amp;"*FangerPMV(Hourly)",'Eplus results'!$1:$1048576,ROW(),FALSE)</f>
        <v>0</v>
      </c>
      <c r="AD7482" s="580">
        <f t="shared" si="616"/>
        <v>5</v>
      </c>
      <c r="AE7482" s="580">
        <f t="shared" si="617"/>
        <v>2.5</v>
      </c>
      <c r="AF7482" s="580">
        <f t="shared" si="618"/>
        <v>2.5</v>
      </c>
      <c r="AG7482" s="580">
        <f t="shared" si="619"/>
        <v>0</v>
      </c>
      <c r="AH7482" s="580">
        <f t="shared" si="620"/>
        <v>0</v>
      </c>
    </row>
    <row r="7483" spans="28:34">
      <c r="AB7483" s="580">
        <f>HLOOKUP("*"&amp;'Output annual'!$AC$2&amp;'Output annual'!$AD$2&amp;"*Zone People Number Of Occupants [](Hourly)",'Eplus results'!$1:$1048576,ROW(),FALSE)</f>
        <v>0</v>
      </c>
      <c r="AC7483" s="580">
        <f>HLOOKUP("*"&amp;'Output annual'!$AC$2&amp;'Output annual'!$AD$2&amp;"*FangerPMV(Hourly)",'Eplus results'!$1:$1048576,ROW(),FALSE)</f>
        <v>0</v>
      </c>
      <c r="AD7483" s="580">
        <f t="shared" si="616"/>
        <v>5</v>
      </c>
      <c r="AE7483" s="580">
        <f t="shared" si="617"/>
        <v>2.5</v>
      </c>
      <c r="AF7483" s="580">
        <f t="shared" si="618"/>
        <v>2.5</v>
      </c>
      <c r="AG7483" s="580">
        <f t="shared" si="619"/>
        <v>0</v>
      </c>
      <c r="AH7483" s="580">
        <f t="shared" si="620"/>
        <v>0</v>
      </c>
    </row>
    <row r="7484" spans="28:34">
      <c r="AB7484" s="580">
        <f>HLOOKUP("*"&amp;'Output annual'!$AC$2&amp;'Output annual'!$AD$2&amp;"*Zone People Number Of Occupants [](Hourly)",'Eplus results'!$1:$1048576,ROW(),FALSE)</f>
        <v>0</v>
      </c>
      <c r="AC7484" s="580">
        <f>HLOOKUP("*"&amp;'Output annual'!$AC$2&amp;'Output annual'!$AD$2&amp;"*FangerPMV(Hourly)",'Eplus results'!$1:$1048576,ROW(),FALSE)</f>
        <v>0</v>
      </c>
      <c r="AD7484" s="580">
        <f t="shared" si="616"/>
        <v>5</v>
      </c>
      <c r="AE7484" s="580">
        <f t="shared" si="617"/>
        <v>2.5</v>
      </c>
      <c r="AF7484" s="580">
        <f t="shared" si="618"/>
        <v>2.5</v>
      </c>
      <c r="AG7484" s="580">
        <f t="shared" si="619"/>
        <v>0</v>
      </c>
      <c r="AH7484" s="580">
        <f t="shared" si="620"/>
        <v>0</v>
      </c>
    </row>
    <row r="7485" spans="28:34">
      <c r="AB7485" s="580">
        <f>HLOOKUP("*"&amp;'Output annual'!$AC$2&amp;'Output annual'!$AD$2&amp;"*Zone People Number Of Occupants [](Hourly)",'Eplus results'!$1:$1048576,ROW(),FALSE)</f>
        <v>0</v>
      </c>
      <c r="AC7485" s="580">
        <f>HLOOKUP("*"&amp;'Output annual'!$AC$2&amp;'Output annual'!$AD$2&amp;"*FangerPMV(Hourly)",'Eplus results'!$1:$1048576,ROW(),FALSE)</f>
        <v>0</v>
      </c>
      <c r="AD7485" s="580">
        <f t="shared" si="616"/>
        <v>5</v>
      </c>
      <c r="AE7485" s="580">
        <f t="shared" si="617"/>
        <v>2.5</v>
      </c>
      <c r="AF7485" s="580">
        <f t="shared" si="618"/>
        <v>2.5</v>
      </c>
      <c r="AG7485" s="580">
        <f t="shared" si="619"/>
        <v>0</v>
      </c>
      <c r="AH7485" s="580">
        <f t="shared" si="620"/>
        <v>0</v>
      </c>
    </row>
    <row r="7486" spans="28:34">
      <c r="AB7486" s="580">
        <f>HLOOKUP("*"&amp;'Output annual'!$AC$2&amp;'Output annual'!$AD$2&amp;"*Zone People Number Of Occupants [](Hourly)",'Eplus results'!$1:$1048576,ROW(),FALSE)</f>
        <v>0</v>
      </c>
      <c r="AC7486" s="580">
        <f>HLOOKUP("*"&amp;'Output annual'!$AC$2&amp;'Output annual'!$AD$2&amp;"*FangerPMV(Hourly)",'Eplus results'!$1:$1048576,ROW(),FALSE)</f>
        <v>0</v>
      </c>
      <c r="AD7486" s="580">
        <f t="shared" si="616"/>
        <v>5</v>
      </c>
      <c r="AE7486" s="580">
        <f t="shared" si="617"/>
        <v>2.5</v>
      </c>
      <c r="AF7486" s="580">
        <f t="shared" si="618"/>
        <v>2.5</v>
      </c>
      <c r="AG7486" s="580">
        <f t="shared" si="619"/>
        <v>0</v>
      </c>
      <c r="AH7486" s="580">
        <f t="shared" si="620"/>
        <v>0</v>
      </c>
    </row>
    <row r="7487" spans="28:34">
      <c r="AB7487" s="580">
        <f>HLOOKUP("*"&amp;'Output annual'!$AC$2&amp;'Output annual'!$AD$2&amp;"*Zone People Number Of Occupants [](Hourly)",'Eplus results'!$1:$1048576,ROW(),FALSE)</f>
        <v>0</v>
      </c>
      <c r="AC7487" s="580">
        <f>HLOOKUP("*"&amp;'Output annual'!$AC$2&amp;'Output annual'!$AD$2&amp;"*FangerPMV(Hourly)",'Eplus results'!$1:$1048576,ROW(),FALSE)</f>
        <v>0</v>
      </c>
      <c r="AD7487" s="580">
        <f t="shared" si="616"/>
        <v>5</v>
      </c>
      <c r="AE7487" s="580">
        <f t="shared" si="617"/>
        <v>2.5</v>
      </c>
      <c r="AF7487" s="580">
        <f t="shared" si="618"/>
        <v>2.5</v>
      </c>
      <c r="AG7487" s="580">
        <f t="shared" si="619"/>
        <v>0</v>
      </c>
      <c r="AH7487" s="580">
        <f t="shared" si="620"/>
        <v>0</v>
      </c>
    </row>
    <row r="7488" spans="28:34">
      <c r="AB7488" s="580">
        <f>HLOOKUP("*"&amp;'Output annual'!$AC$2&amp;'Output annual'!$AD$2&amp;"*Zone People Number Of Occupants [](Hourly)",'Eplus results'!$1:$1048576,ROW(),FALSE)</f>
        <v>0</v>
      </c>
      <c r="AC7488" s="580">
        <f>HLOOKUP("*"&amp;'Output annual'!$AC$2&amp;'Output annual'!$AD$2&amp;"*FangerPMV(Hourly)",'Eplus results'!$1:$1048576,ROW(),FALSE)</f>
        <v>0</v>
      </c>
      <c r="AD7488" s="580">
        <f t="shared" si="616"/>
        <v>5</v>
      </c>
      <c r="AE7488" s="580">
        <f t="shared" si="617"/>
        <v>2.5</v>
      </c>
      <c r="AF7488" s="580">
        <f t="shared" si="618"/>
        <v>2.5</v>
      </c>
      <c r="AG7488" s="580">
        <f t="shared" si="619"/>
        <v>0</v>
      </c>
      <c r="AH7488" s="580">
        <f t="shared" si="620"/>
        <v>0</v>
      </c>
    </row>
    <row r="7489" spans="28:34">
      <c r="AB7489" s="580">
        <f>HLOOKUP("*"&amp;'Output annual'!$AC$2&amp;'Output annual'!$AD$2&amp;"*Zone People Number Of Occupants [](Hourly)",'Eplus results'!$1:$1048576,ROW(),FALSE)</f>
        <v>0</v>
      </c>
      <c r="AC7489" s="580">
        <f>HLOOKUP("*"&amp;'Output annual'!$AC$2&amp;'Output annual'!$AD$2&amp;"*FangerPMV(Hourly)",'Eplus results'!$1:$1048576,ROW(),FALSE)</f>
        <v>0</v>
      </c>
      <c r="AD7489" s="580">
        <f t="shared" si="616"/>
        <v>5</v>
      </c>
      <c r="AE7489" s="580">
        <f t="shared" si="617"/>
        <v>2.5</v>
      </c>
      <c r="AF7489" s="580">
        <f t="shared" si="618"/>
        <v>2.5</v>
      </c>
      <c r="AG7489" s="580">
        <f t="shared" si="619"/>
        <v>0</v>
      </c>
      <c r="AH7489" s="580">
        <f t="shared" si="620"/>
        <v>0</v>
      </c>
    </row>
    <row r="7490" spans="28:34">
      <c r="AB7490" s="580">
        <f>HLOOKUP("*"&amp;'Output annual'!$AC$2&amp;'Output annual'!$AD$2&amp;"*Zone People Number Of Occupants [](Hourly)",'Eplus results'!$1:$1048576,ROW(),FALSE)</f>
        <v>0</v>
      </c>
      <c r="AC7490" s="580">
        <f>HLOOKUP("*"&amp;'Output annual'!$AC$2&amp;'Output annual'!$AD$2&amp;"*FangerPMV(Hourly)",'Eplus results'!$1:$1048576,ROW(),FALSE)</f>
        <v>0</v>
      </c>
      <c r="AD7490" s="580">
        <f t="shared" si="616"/>
        <v>5</v>
      </c>
      <c r="AE7490" s="580">
        <f t="shared" si="617"/>
        <v>2.5</v>
      </c>
      <c r="AF7490" s="580">
        <f t="shared" si="618"/>
        <v>2.5</v>
      </c>
      <c r="AG7490" s="580">
        <f t="shared" si="619"/>
        <v>0</v>
      </c>
      <c r="AH7490" s="580">
        <f t="shared" si="620"/>
        <v>0</v>
      </c>
    </row>
    <row r="7491" spans="28:34">
      <c r="AB7491" s="580">
        <f>HLOOKUP("*"&amp;'Output annual'!$AC$2&amp;'Output annual'!$AD$2&amp;"*Zone People Number Of Occupants [](Hourly)",'Eplus results'!$1:$1048576,ROW(),FALSE)</f>
        <v>0</v>
      </c>
      <c r="AC7491" s="580">
        <f>HLOOKUP("*"&amp;'Output annual'!$AC$2&amp;'Output annual'!$AD$2&amp;"*FangerPMV(Hourly)",'Eplus results'!$1:$1048576,ROW(),FALSE)</f>
        <v>0</v>
      </c>
      <c r="AD7491" s="580">
        <f t="shared" ref="AD7491:AD7554" si="621">100-95*EXP(-0.03353*AC7491^4-0.2179*AC7491^2)</f>
        <v>5</v>
      </c>
      <c r="AE7491" s="580">
        <f t="shared" ref="AE7491:AE7554" si="622">AD7491*(1/(1+EXP(-6.3*$AC7491)))</f>
        <v>2.5</v>
      </c>
      <c r="AF7491" s="580">
        <f t="shared" ref="AF7491:AF7554" si="623">(AD7491-AE7491)</f>
        <v>2.5</v>
      </c>
      <c r="AG7491" s="580">
        <f t="shared" ref="AG7491:AG7554" si="624">AE7491*AB7491</f>
        <v>0</v>
      </c>
      <c r="AH7491" s="580">
        <f t="shared" ref="AH7491:AH7554" si="625">AF7491*AB7491</f>
        <v>0</v>
      </c>
    </row>
    <row r="7492" spans="28:34">
      <c r="AB7492" s="580">
        <f>HLOOKUP("*"&amp;'Output annual'!$AC$2&amp;'Output annual'!$AD$2&amp;"*Zone People Number Of Occupants [](Hourly)",'Eplus results'!$1:$1048576,ROW(),FALSE)</f>
        <v>0</v>
      </c>
      <c r="AC7492" s="580">
        <f>HLOOKUP("*"&amp;'Output annual'!$AC$2&amp;'Output annual'!$AD$2&amp;"*FangerPMV(Hourly)",'Eplus results'!$1:$1048576,ROW(),FALSE)</f>
        <v>0</v>
      </c>
      <c r="AD7492" s="580">
        <f t="shared" si="621"/>
        <v>5</v>
      </c>
      <c r="AE7492" s="580">
        <f t="shared" si="622"/>
        <v>2.5</v>
      </c>
      <c r="AF7492" s="580">
        <f t="shared" si="623"/>
        <v>2.5</v>
      </c>
      <c r="AG7492" s="580">
        <f t="shared" si="624"/>
        <v>0</v>
      </c>
      <c r="AH7492" s="580">
        <f t="shared" si="625"/>
        <v>0</v>
      </c>
    </row>
    <row r="7493" spans="28:34">
      <c r="AB7493" s="580">
        <f>HLOOKUP("*"&amp;'Output annual'!$AC$2&amp;'Output annual'!$AD$2&amp;"*Zone People Number Of Occupants [](Hourly)",'Eplus results'!$1:$1048576,ROW(),FALSE)</f>
        <v>0</v>
      </c>
      <c r="AC7493" s="580">
        <f>HLOOKUP("*"&amp;'Output annual'!$AC$2&amp;'Output annual'!$AD$2&amp;"*FangerPMV(Hourly)",'Eplus results'!$1:$1048576,ROW(),FALSE)</f>
        <v>0</v>
      </c>
      <c r="AD7493" s="580">
        <f t="shared" si="621"/>
        <v>5</v>
      </c>
      <c r="AE7493" s="580">
        <f t="shared" si="622"/>
        <v>2.5</v>
      </c>
      <c r="AF7493" s="580">
        <f t="shared" si="623"/>
        <v>2.5</v>
      </c>
      <c r="AG7493" s="580">
        <f t="shared" si="624"/>
        <v>0</v>
      </c>
      <c r="AH7493" s="580">
        <f t="shared" si="625"/>
        <v>0</v>
      </c>
    </row>
    <row r="7494" spans="28:34">
      <c r="AB7494" s="580">
        <f>HLOOKUP("*"&amp;'Output annual'!$AC$2&amp;'Output annual'!$AD$2&amp;"*Zone People Number Of Occupants [](Hourly)",'Eplus results'!$1:$1048576,ROW(),FALSE)</f>
        <v>0</v>
      </c>
      <c r="AC7494" s="580">
        <f>HLOOKUP("*"&amp;'Output annual'!$AC$2&amp;'Output annual'!$AD$2&amp;"*FangerPMV(Hourly)",'Eplus results'!$1:$1048576,ROW(),FALSE)</f>
        <v>0</v>
      </c>
      <c r="AD7494" s="580">
        <f t="shared" si="621"/>
        <v>5</v>
      </c>
      <c r="AE7494" s="580">
        <f t="shared" si="622"/>
        <v>2.5</v>
      </c>
      <c r="AF7494" s="580">
        <f t="shared" si="623"/>
        <v>2.5</v>
      </c>
      <c r="AG7494" s="580">
        <f t="shared" si="624"/>
        <v>0</v>
      </c>
      <c r="AH7494" s="580">
        <f t="shared" si="625"/>
        <v>0</v>
      </c>
    </row>
    <row r="7495" spans="28:34">
      <c r="AB7495" s="580">
        <f>HLOOKUP("*"&amp;'Output annual'!$AC$2&amp;'Output annual'!$AD$2&amp;"*Zone People Number Of Occupants [](Hourly)",'Eplus results'!$1:$1048576,ROW(),FALSE)</f>
        <v>0</v>
      </c>
      <c r="AC7495" s="580">
        <f>HLOOKUP("*"&amp;'Output annual'!$AC$2&amp;'Output annual'!$AD$2&amp;"*FangerPMV(Hourly)",'Eplus results'!$1:$1048576,ROW(),FALSE)</f>
        <v>0</v>
      </c>
      <c r="AD7495" s="580">
        <f t="shared" si="621"/>
        <v>5</v>
      </c>
      <c r="AE7495" s="580">
        <f t="shared" si="622"/>
        <v>2.5</v>
      </c>
      <c r="AF7495" s="580">
        <f t="shared" si="623"/>
        <v>2.5</v>
      </c>
      <c r="AG7495" s="580">
        <f t="shared" si="624"/>
        <v>0</v>
      </c>
      <c r="AH7495" s="580">
        <f t="shared" si="625"/>
        <v>0</v>
      </c>
    </row>
    <row r="7496" spans="28:34">
      <c r="AB7496" s="580">
        <f>HLOOKUP("*"&amp;'Output annual'!$AC$2&amp;'Output annual'!$AD$2&amp;"*Zone People Number Of Occupants [](Hourly)",'Eplus results'!$1:$1048576,ROW(),FALSE)</f>
        <v>0</v>
      </c>
      <c r="AC7496" s="580">
        <f>HLOOKUP("*"&amp;'Output annual'!$AC$2&amp;'Output annual'!$AD$2&amp;"*FangerPMV(Hourly)",'Eplus results'!$1:$1048576,ROW(),FALSE)</f>
        <v>0</v>
      </c>
      <c r="AD7496" s="580">
        <f t="shared" si="621"/>
        <v>5</v>
      </c>
      <c r="AE7496" s="580">
        <f t="shared" si="622"/>
        <v>2.5</v>
      </c>
      <c r="AF7496" s="580">
        <f t="shared" si="623"/>
        <v>2.5</v>
      </c>
      <c r="AG7496" s="580">
        <f t="shared" si="624"/>
        <v>0</v>
      </c>
      <c r="AH7496" s="580">
        <f t="shared" si="625"/>
        <v>0</v>
      </c>
    </row>
    <row r="7497" spans="28:34">
      <c r="AB7497" s="580">
        <f>HLOOKUP("*"&amp;'Output annual'!$AC$2&amp;'Output annual'!$AD$2&amp;"*Zone People Number Of Occupants [](Hourly)",'Eplus results'!$1:$1048576,ROW(),FALSE)</f>
        <v>0</v>
      </c>
      <c r="AC7497" s="580">
        <f>HLOOKUP("*"&amp;'Output annual'!$AC$2&amp;'Output annual'!$AD$2&amp;"*FangerPMV(Hourly)",'Eplus results'!$1:$1048576,ROW(),FALSE)</f>
        <v>0</v>
      </c>
      <c r="AD7497" s="580">
        <f t="shared" si="621"/>
        <v>5</v>
      </c>
      <c r="AE7497" s="580">
        <f t="shared" si="622"/>
        <v>2.5</v>
      </c>
      <c r="AF7497" s="580">
        <f t="shared" si="623"/>
        <v>2.5</v>
      </c>
      <c r="AG7497" s="580">
        <f t="shared" si="624"/>
        <v>0</v>
      </c>
      <c r="AH7497" s="580">
        <f t="shared" si="625"/>
        <v>0</v>
      </c>
    </row>
    <row r="7498" spans="28:34">
      <c r="AB7498" s="580">
        <f>HLOOKUP("*"&amp;'Output annual'!$AC$2&amp;'Output annual'!$AD$2&amp;"*Zone People Number Of Occupants [](Hourly)",'Eplus results'!$1:$1048576,ROW(),FALSE)</f>
        <v>0</v>
      </c>
      <c r="AC7498" s="580">
        <f>HLOOKUP("*"&amp;'Output annual'!$AC$2&amp;'Output annual'!$AD$2&amp;"*FangerPMV(Hourly)",'Eplus results'!$1:$1048576,ROW(),FALSE)</f>
        <v>0</v>
      </c>
      <c r="AD7498" s="580">
        <f t="shared" si="621"/>
        <v>5</v>
      </c>
      <c r="AE7498" s="580">
        <f t="shared" si="622"/>
        <v>2.5</v>
      </c>
      <c r="AF7498" s="580">
        <f t="shared" si="623"/>
        <v>2.5</v>
      </c>
      <c r="AG7498" s="580">
        <f t="shared" si="624"/>
        <v>0</v>
      </c>
      <c r="AH7498" s="580">
        <f t="shared" si="625"/>
        <v>0</v>
      </c>
    </row>
    <row r="7499" spans="28:34">
      <c r="AB7499" s="580">
        <f>HLOOKUP("*"&amp;'Output annual'!$AC$2&amp;'Output annual'!$AD$2&amp;"*Zone People Number Of Occupants [](Hourly)",'Eplus results'!$1:$1048576,ROW(),FALSE)</f>
        <v>0</v>
      </c>
      <c r="AC7499" s="580">
        <f>HLOOKUP("*"&amp;'Output annual'!$AC$2&amp;'Output annual'!$AD$2&amp;"*FangerPMV(Hourly)",'Eplus results'!$1:$1048576,ROW(),FALSE)</f>
        <v>0</v>
      </c>
      <c r="AD7499" s="580">
        <f t="shared" si="621"/>
        <v>5</v>
      </c>
      <c r="AE7499" s="580">
        <f t="shared" si="622"/>
        <v>2.5</v>
      </c>
      <c r="AF7499" s="580">
        <f t="shared" si="623"/>
        <v>2.5</v>
      </c>
      <c r="AG7499" s="580">
        <f t="shared" si="624"/>
        <v>0</v>
      </c>
      <c r="AH7499" s="580">
        <f t="shared" si="625"/>
        <v>0</v>
      </c>
    </row>
    <row r="7500" spans="28:34">
      <c r="AB7500" s="580">
        <f>HLOOKUP("*"&amp;'Output annual'!$AC$2&amp;'Output annual'!$AD$2&amp;"*Zone People Number Of Occupants [](Hourly)",'Eplus results'!$1:$1048576,ROW(),FALSE)</f>
        <v>0</v>
      </c>
      <c r="AC7500" s="580">
        <f>HLOOKUP("*"&amp;'Output annual'!$AC$2&amp;'Output annual'!$AD$2&amp;"*FangerPMV(Hourly)",'Eplus results'!$1:$1048576,ROW(),FALSE)</f>
        <v>0</v>
      </c>
      <c r="AD7500" s="580">
        <f t="shared" si="621"/>
        <v>5</v>
      </c>
      <c r="AE7500" s="580">
        <f t="shared" si="622"/>
        <v>2.5</v>
      </c>
      <c r="AF7500" s="580">
        <f t="shared" si="623"/>
        <v>2.5</v>
      </c>
      <c r="AG7500" s="580">
        <f t="shared" si="624"/>
        <v>0</v>
      </c>
      <c r="AH7500" s="580">
        <f t="shared" si="625"/>
        <v>0</v>
      </c>
    </row>
    <row r="7501" spans="28:34">
      <c r="AB7501" s="580">
        <f>HLOOKUP("*"&amp;'Output annual'!$AC$2&amp;'Output annual'!$AD$2&amp;"*Zone People Number Of Occupants [](Hourly)",'Eplus results'!$1:$1048576,ROW(),FALSE)</f>
        <v>0</v>
      </c>
      <c r="AC7501" s="580">
        <f>HLOOKUP("*"&amp;'Output annual'!$AC$2&amp;'Output annual'!$AD$2&amp;"*FangerPMV(Hourly)",'Eplus results'!$1:$1048576,ROW(),FALSE)</f>
        <v>0</v>
      </c>
      <c r="AD7501" s="580">
        <f t="shared" si="621"/>
        <v>5</v>
      </c>
      <c r="AE7501" s="580">
        <f t="shared" si="622"/>
        <v>2.5</v>
      </c>
      <c r="AF7501" s="580">
        <f t="shared" si="623"/>
        <v>2.5</v>
      </c>
      <c r="AG7501" s="580">
        <f t="shared" si="624"/>
        <v>0</v>
      </c>
      <c r="AH7501" s="580">
        <f t="shared" si="625"/>
        <v>0</v>
      </c>
    </row>
    <row r="7502" spans="28:34">
      <c r="AB7502" s="580">
        <f>HLOOKUP("*"&amp;'Output annual'!$AC$2&amp;'Output annual'!$AD$2&amp;"*Zone People Number Of Occupants [](Hourly)",'Eplus results'!$1:$1048576,ROW(),FALSE)</f>
        <v>0</v>
      </c>
      <c r="AC7502" s="580">
        <f>HLOOKUP("*"&amp;'Output annual'!$AC$2&amp;'Output annual'!$AD$2&amp;"*FangerPMV(Hourly)",'Eplus results'!$1:$1048576,ROW(),FALSE)</f>
        <v>0</v>
      </c>
      <c r="AD7502" s="580">
        <f t="shared" si="621"/>
        <v>5</v>
      </c>
      <c r="AE7502" s="580">
        <f t="shared" si="622"/>
        <v>2.5</v>
      </c>
      <c r="AF7502" s="580">
        <f t="shared" si="623"/>
        <v>2.5</v>
      </c>
      <c r="AG7502" s="580">
        <f t="shared" si="624"/>
        <v>0</v>
      </c>
      <c r="AH7502" s="580">
        <f t="shared" si="625"/>
        <v>0</v>
      </c>
    </row>
    <row r="7503" spans="28:34">
      <c r="AB7503" s="580">
        <f>HLOOKUP("*"&amp;'Output annual'!$AC$2&amp;'Output annual'!$AD$2&amp;"*Zone People Number Of Occupants [](Hourly)",'Eplus results'!$1:$1048576,ROW(),FALSE)</f>
        <v>0</v>
      </c>
      <c r="AC7503" s="580">
        <f>HLOOKUP("*"&amp;'Output annual'!$AC$2&amp;'Output annual'!$AD$2&amp;"*FangerPMV(Hourly)",'Eplus results'!$1:$1048576,ROW(),FALSE)</f>
        <v>0</v>
      </c>
      <c r="AD7503" s="580">
        <f t="shared" si="621"/>
        <v>5</v>
      </c>
      <c r="AE7503" s="580">
        <f t="shared" si="622"/>
        <v>2.5</v>
      </c>
      <c r="AF7503" s="580">
        <f t="shared" si="623"/>
        <v>2.5</v>
      </c>
      <c r="AG7503" s="580">
        <f t="shared" si="624"/>
        <v>0</v>
      </c>
      <c r="AH7503" s="580">
        <f t="shared" si="625"/>
        <v>0</v>
      </c>
    </row>
    <row r="7504" spans="28:34">
      <c r="AB7504" s="580">
        <f>HLOOKUP("*"&amp;'Output annual'!$AC$2&amp;'Output annual'!$AD$2&amp;"*Zone People Number Of Occupants [](Hourly)",'Eplus results'!$1:$1048576,ROW(),FALSE)</f>
        <v>0</v>
      </c>
      <c r="AC7504" s="580">
        <f>HLOOKUP("*"&amp;'Output annual'!$AC$2&amp;'Output annual'!$AD$2&amp;"*FangerPMV(Hourly)",'Eplus results'!$1:$1048576,ROW(),FALSE)</f>
        <v>0</v>
      </c>
      <c r="AD7504" s="580">
        <f t="shared" si="621"/>
        <v>5</v>
      </c>
      <c r="AE7504" s="580">
        <f t="shared" si="622"/>
        <v>2.5</v>
      </c>
      <c r="AF7504" s="580">
        <f t="shared" si="623"/>
        <v>2.5</v>
      </c>
      <c r="AG7504" s="580">
        <f t="shared" si="624"/>
        <v>0</v>
      </c>
      <c r="AH7504" s="580">
        <f t="shared" si="625"/>
        <v>0</v>
      </c>
    </row>
    <row r="7505" spans="28:34">
      <c r="AB7505" s="580">
        <f>HLOOKUP("*"&amp;'Output annual'!$AC$2&amp;'Output annual'!$AD$2&amp;"*Zone People Number Of Occupants [](Hourly)",'Eplus results'!$1:$1048576,ROW(),FALSE)</f>
        <v>0</v>
      </c>
      <c r="AC7505" s="580">
        <f>HLOOKUP("*"&amp;'Output annual'!$AC$2&amp;'Output annual'!$AD$2&amp;"*FangerPMV(Hourly)",'Eplus results'!$1:$1048576,ROW(),FALSE)</f>
        <v>0</v>
      </c>
      <c r="AD7505" s="580">
        <f t="shared" si="621"/>
        <v>5</v>
      </c>
      <c r="AE7505" s="580">
        <f t="shared" si="622"/>
        <v>2.5</v>
      </c>
      <c r="AF7505" s="580">
        <f t="shared" si="623"/>
        <v>2.5</v>
      </c>
      <c r="AG7505" s="580">
        <f t="shared" si="624"/>
        <v>0</v>
      </c>
      <c r="AH7505" s="580">
        <f t="shared" si="625"/>
        <v>0</v>
      </c>
    </row>
    <row r="7506" spans="28:34">
      <c r="AB7506" s="580">
        <f>HLOOKUP("*"&amp;'Output annual'!$AC$2&amp;'Output annual'!$AD$2&amp;"*Zone People Number Of Occupants [](Hourly)",'Eplus results'!$1:$1048576,ROW(),FALSE)</f>
        <v>0</v>
      </c>
      <c r="AC7506" s="580">
        <f>HLOOKUP("*"&amp;'Output annual'!$AC$2&amp;'Output annual'!$AD$2&amp;"*FangerPMV(Hourly)",'Eplus results'!$1:$1048576,ROW(),FALSE)</f>
        <v>0</v>
      </c>
      <c r="AD7506" s="580">
        <f t="shared" si="621"/>
        <v>5</v>
      </c>
      <c r="AE7506" s="580">
        <f t="shared" si="622"/>
        <v>2.5</v>
      </c>
      <c r="AF7506" s="580">
        <f t="shared" si="623"/>
        <v>2.5</v>
      </c>
      <c r="AG7506" s="580">
        <f t="shared" si="624"/>
        <v>0</v>
      </c>
      <c r="AH7506" s="580">
        <f t="shared" si="625"/>
        <v>0</v>
      </c>
    </row>
    <row r="7507" spans="28:34">
      <c r="AB7507" s="580">
        <f>HLOOKUP("*"&amp;'Output annual'!$AC$2&amp;'Output annual'!$AD$2&amp;"*Zone People Number Of Occupants [](Hourly)",'Eplus results'!$1:$1048576,ROW(),FALSE)</f>
        <v>0</v>
      </c>
      <c r="AC7507" s="580">
        <f>HLOOKUP("*"&amp;'Output annual'!$AC$2&amp;'Output annual'!$AD$2&amp;"*FangerPMV(Hourly)",'Eplus results'!$1:$1048576,ROW(),FALSE)</f>
        <v>0</v>
      </c>
      <c r="AD7507" s="580">
        <f t="shared" si="621"/>
        <v>5</v>
      </c>
      <c r="AE7507" s="580">
        <f t="shared" si="622"/>
        <v>2.5</v>
      </c>
      <c r="AF7507" s="580">
        <f t="shared" si="623"/>
        <v>2.5</v>
      </c>
      <c r="AG7507" s="580">
        <f t="shared" si="624"/>
        <v>0</v>
      </c>
      <c r="AH7507" s="580">
        <f t="shared" si="625"/>
        <v>0</v>
      </c>
    </row>
    <row r="7508" spans="28:34">
      <c r="AB7508" s="580">
        <f>HLOOKUP("*"&amp;'Output annual'!$AC$2&amp;'Output annual'!$AD$2&amp;"*Zone People Number Of Occupants [](Hourly)",'Eplus results'!$1:$1048576,ROW(),FALSE)</f>
        <v>0</v>
      </c>
      <c r="AC7508" s="580">
        <f>HLOOKUP("*"&amp;'Output annual'!$AC$2&amp;'Output annual'!$AD$2&amp;"*FangerPMV(Hourly)",'Eplus results'!$1:$1048576,ROW(),FALSE)</f>
        <v>0</v>
      </c>
      <c r="AD7508" s="580">
        <f t="shared" si="621"/>
        <v>5</v>
      </c>
      <c r="AE7508" s="580">
        <f t="shared" si="622"/>
        <v>2.5</v>
      </c>
      <c r="AF7508" s="580">
        <f t="shared" si="623"/>
        <v>2.5</v>
      </c>
      <c r="AG7508" s="580">
        <f t="shared" si="624"/>
        <v>0</v>
      </c>
      <c r="AH7508" s="580">
        <f t="shared" si="625"/>
        <v>0</v>
      </c>
    </row>
    <row r="7509" spans="28:34">
      <c r="AB7509" s="580">
        <f>HLOOKUP("*"&amp;'Output annual'!$AC$2&amp;'Output annual'!$AD$2&amp;"*Zone People Number Of Occupants [](Hourly)",'Eplus results'!$1:$1048576,ROW(),FALSE)</f>
        <v>0</v>
      </c>
      <c r="AC7509" s="580">
        <f>HLOOKUP("*"&amp;'Output annual'!$AC$2&amp;'Output annual'!$AD$2&amp;"*FangerPMV(Hourly)",'Eplus results'!$1:$1048576,ROW(),FALSE)</f>
        <v>0</v>
      </c>
      <c r="AD7509" s="580">
        <f t="shared" si="621"/>
        <v>5</v>
      </c>
      <c r="AE7509" s="580">
        <f t="shared" si="622"/>
        <v>2.5</v>
      </c>
      <c r="AF7509" s="580">
        <f t="shared" si="623"/>
        <v>2.5</v>
      </c>
      <c r="AG7509" s="580">
        <f t="shared" si="624"/>
        <v>0</v>
      </c>
      <c r="AH7509" s="580">
        <f t="shared" si="625"/>
        <v>0</v>
      </c>
    </row>
    <row r="7510" spans="28:34">
      <c r="AB7510" s="580">
        <f>HLOOKUP("*"&amp;'Output annual'!$AC$2&amp;'Output annual'!$AD$2&amp;"*Zone People Number Of Occupants [](Hourly)",'Eplus results'!$1:$1048576,ROW(),FALSE)</f>
        <v>0</v>
      </c>
      <c r="AC7510" s="580">
        <f>HLOOKUP("*"&amp;'Output annual'!$AC$2&amp;'Output annual'!$AD$2&amp;"*FangerPMV(Hourly)",'Eplus results'!$1:$1048576,ROW(),FALSE)</f>
        <v>0</v>
      </c>
      <c r="AD7510" s="580">
        <f t="shared" si="621"/>
        <v>5</v>
      </c>
      <c r="AE7510" s="580">
        <f t="shared" si="622"/>
        <v>2.5</v>
      </c>
      <c r="AF7510" s="580">
        <f t="shared" si="623"/>
        <v>2.5</v>
      </c>
      <c r="AG7510" s="580">
        <f t="shared" si="624"/>
        <v>0</v>
      </c>
      <c r="AH7510" s="580">
        <f t="shared" si="625"/>
        <v>0</v>
      </c>
    </row>
    <row r="7511" spans="28:34">
      <c r="AB7511" s="580">
        <f>HLOOKUP("*"&amp;'Output annual'!$AC$2&amp;'Output annual'!$AD$2&amp;"*Zone People Number Of Occupants [](Hourly)",'Eplus results'!$1:$1048576,ROW(),FALSE)</f>
        <v>0</v>
      </c>
      <c r="AC7511" s="580">
        <f>HLOOKUP("*"&amp;'Output annual'!$AC$2&amp;'Output annual'!$AD$2&amp;"*FangerPMV(Hourly)",'Eplus results'!$1:$1048576,ROW(),FALSE)</f>
        <v>0</v>
      </c>
      <c r="AD7511" s="580">
        <f t="shared" si="621"/>
        <v>5</v>
      </c>
      <c r="AE7511" s="580">
        <f t="shared" si="622"/>
        <v>2.5</v>
      </c>
      <c r="AF7511" s="580">
        <f t="shared" si="623"/>
        <v>2.5</v>
      </c>
      <c r="AG7511" s="580">
        <f t="shared" si="624"/>
        <v>0</v>
      </c>
      <c r="AH7511" s="580">
        <f t="shared" si="625"/>
        <v>0</v>
      </c>
    </row>
    <row r="7512" spans="28:34">
      <c r="AB7512" s="580">
        <f>HLOOKUP("*"&amp;'Output annual'!$AC$2&amp;'Output annual'!$AD$2&amp;"*Zone People Number Of Occupants [](Hourly)",'Eplus results'!$1:$1048576,ROW(),FALSE)</f>
        <v>0</v>
      </c>
      <c r="AC7512" s="580">
        <f>HLOOKUP("*"&amp;'Output annual'!$AC$2&amp;'Output annual'!$AD$2&amp;"*FangerPMV(Hourly)",'Eplus results'!$1:$1048576,ROW(),FALSE)</f>
        <v>0</v>
      </c>
      <c r="AD7512" s="580">
        <f t="shared" si="621"/>
        <v>5</v>
      </c>
      <c r="AE7512" s="580">
        <f t="shared" si="622"/>
        <v>2.5</v>
      </c>
      <c r="AF7512" s="580">
        <f t="shared" si="623"/>
        <v>2.5</v>
      </c>
      <c r="AG7512" s="580">
        <f t="shared" si="624"/>
        <v>0</v>
      </c>
      <c r="AH7512" s="580">
        <f t="shared" si="625"/>
        <v>0</v>
      </c>
    </row>
    <row r="7513" spans="28:34">
      <c r="AB7513" s="580">
        <f>HLOOKUP("*"&amp;'Output annual'!$AC$2&amp;'Output annual'!$AD$2&amp;"*Zone People Number Of Occupants [](Hourly)",'Eplus results'!$1:$1048576,ROW(),FALSE)</f>
        <v>0</v>
      </c>
      <c r="AC7513" s="580">
        <f>HLOOKUP("*"&amp;'Output annual'!$AC$2&amp;'Output annual'!$AD$2&amp;"*FangerPMV(Hourly)",'Eplus results'!$1:$1048576,ROW(),FALSE)</f>
        <v>0</v>
      </c>
      <c r="AD7513" s="580">
        <f t="shared" si="621"/>
        <v>5</v>
      </c>
      <c r="AE7513" s="580">
        <f t="shared" si="622"/>
        <v>2.5</v>
      </c>
      <c r="AF7513" s="580">
        <f t="shared" si="623"/>
        <v>2.5</v>
      </c>
      <c r="AG7513" s="580">
        <f t="shared" si="624"/>
        <v>0</v>
      </c>
      <c r="AH7513" s="580">
        <f t="shared" si="625"/>
        <v>0</v>
      </c>
    </row>
    <row r="7514" spans="28:34">
      <c r="AB7514" s="580">
        <f>HLOOKUP("*"&amp;'Output annual'!$AC$2&amp;'Output annual'!$AD$2&amp;"*Zone People Number Of Occupants [](Hourly)",'Eplus results'!$1:$1048576,ROW(),FALSE)</f>
        <v>0</v>
      </c>
      <c r="AC7514" s="580">
        <f>HLOOKUP("*"&amp;'Output annual'!$AC$2&amp;'Output annual'!$AD$2&amp;"*FangerPMV(Hourly)",'Eplus results'!$1:$1048576,ROW(),FALSE)</f>
        <v>0</v>
      </c>
      <c r="AD7514" s="580">
        <f t="shared" si="621"/>
        <v>5</v>
      </c>
      <c r="AE7514" s="580">
        <f t="shared" si="622"/>
        <v>2.5</v>
      </c>
      <c r="AF7514" s="580">
        <f t="shared" si="623"/>
        <v>2.5</v>
      </c>
      <c r="AG7514" s="580">
        <f t="shared" si="624"/>
        <v>0</v>
      </c>
      <c r="AH7514" s="580">
        <f t="shared" si="625"/>
        <v>0</v>
      </c>
    </row>
    <row r="7515" spans="28:34">
      <c r="AB7515" s="580">
        <f>HLOOKUP("*"&amp;'Output annual'!$AC$2&amp;'Output annual'!$AD$2&amp;"*Zone People Number Of Occupants [](Hourly)",'Eplus results'!$1:$1048576,ROW(),FALSE)</f>
        <v>0</v>
      </c>
      <c r="AC7515" s="580">
        <f>HLOOKUP("*"&amp;'Output annual'!$AC$2&amp;'Output annual'!$AD$2&amp;"*FangerPMV(Hourly)",'Eplus results'!$1:$1048576,ROW(),FALSE)</f>
        <v>0</v>
      </c>
      <c r="AD7515" s="580">
        <f t="shared" si="621"/>
        <v>5</v>
      </c>
      <c r="AE7515" s="580">
        <f t="shared" si="622"/>
        <v>2.5</v>
      </c>
      <c r="AF7515" s="580">
        <f t="shared" si="623"/>
        <v>2.5</v>
      </c>
      <c r="AG7515" s="580">
        <f t="shared" si="624"/>
        <v>0</v>
      </c>
      <c r="AH7515" s="580">
        <f t="shared" si="625"/>
        <v>0</v>
      </c>
    </row>
    <row r="7516" spans="28:34">
      <c r="AB7516" s="580">
        <f>HLOOKUP("*"&amp;'Output annual'!$AC$2&amp;'Output annual'!$AD$2&amp;"*Zone People Number Of Occupants [](Hourly)",'Eplus results'!$1:$1048576,ROW(),FALSE)</f>
        <v>0</v>
      </c>
      <c r="AC7516" s="580">
        <f>HLOOKUP("*"&amp;'Output annual'!$AC$2&amp;'Output annual'!$AD$2&amp;"*FangerPMV(Hourly)",'Eplus results'!$1:$1048576,ROW(),FALSE)</f>
        <v>0</v>
      </c>
      <c r="AD7516" s="580">
        <f t="shared" si="621"/>
        <v>5</v>
      </c>
      <c r="AE7516" s="580">
        <f t="shared" si="622"/>
        <v>2.5</v>
      </c>
      <c r="AF7516" s="580">
        <f t="shared" si="623"/>
        <v>2.5</v>
      </c>
      <c r="AG7516" s="580">
        <f t="shared" si="624"/>
        <v>0</v>
      </c>
      <c r="AH7516" s="580">
        <f t="shared" si="625"/>
        <v>0</v>
      </c>
    </row>
    <row r="7517" spans="28:34">
      <c r="AB7517" s="580">
        <f>HLOOKUP("*"&amp;'Output annual'!$AC$2&amp;'Output annual'!$AD$2&amp;"*Zone People Number Of Occupants [](Hourly)",'Eplus results'!$1:$1048576,ROW(),FALSE)</f>
        <v>0</v>
      </c>
      <c r="AC7517" s="580">
        <f>HLOOKUP("*"&amp;'Output annual'!$AC$2&amp;'Output annual'!$AD$2&amp;"*FangerPMV(Hourly)",'Eplus results'!$1:$1048576,ROW(),FALSE)</f>
        <v>0</v>
      </c>
      <c r="AD7517" s="580">
        <f t="shared" si="621"/>
        <v>5</v>
      </c>
      <c r="AE7517" s="580">
        <f t="shared" si="622"/>
        <v>2.5</v>
      </c>
      <c r="AF7517" s="580">
        <f t="shared" si="623"/>
        <v>2.5</v>
      </c>
      <c r="AG7517" s="580">
        <f t="shared" si="624"/>
        <v>0</v>
      </c>
      <c r="AH7517" s="580">
        <f t="shared" si="625"/>
        <v>0</v>
      </c>
    </row>
    <row r="7518" spans="28:34">
      <c r="AB7518" s="580">
        <f>HLOOKUP("*"&amp;'Output annual'!$AC$2&amp;'Output annual'!$AD$2&amp;"*Zone People Number Of Occupants [](Hourly)",'Eplus results'!$1:$1048576,ROW(),FALSE)</f>
        <v>0</v>
      </c>
      <c r="AC7518" s="580">
        <f>HLOOKUP("*"&amp;'Output annual'!$AC$2&amp;'Output annual'!$AD$2&amp;"*FangerPMV(Hourly)",'Eplus results'!$1:$1048576,ROW(),FALSE)</f>
        <v>0</v>
      </c>
      <c r="AD7518" s="580">
        <f t="shared" si="621"/>
        <v>5</v>
      </c>
      <c r="AE7518" s="580">
        <f t="shared" si="622"/>
        <v>2.5</v>
      </c>
      <c r="AF7518" s="580">
        <f t="shared" si="623"/>
        <v>2.5</v>
      </c>
      <c r="AG7518" s="580">
        <f t="shared" si="624"/>
        <v>0</v>
      </c>
      <c r="AH7518" s="580">
        <f t="shared" si="625"/>
        <v>0</v>
      </c>
    </row>
    <row r="7519" spans="28:34">
      <c r="AB7519" s="580">
        <f>HLOOKUP("*"&amp;'Output annual'!$AC$2&amp;'Output annual'!$AD$2&amp;"*Zone People Number Of Occupants [](Hourly)",'Eplus results'!$1:$1048576,ROW(),FALSE)</f>
        <v>0</v>
      </c>
      <c r="AC7519" s="580">
        <f>HLOOKUP("*"&amp;'Output annual'!$AC$2&amp;'Output annual'!$AD$2&amp;"*FangerPMV(Hourly)",'Eplus results'!$1:$1048576,ROW(),FALSE)</f>
        <v>0</v>
      </c>
      <c r="AD7519" s="580">
        <f t="shared" si="621"/>
        <v>5</v>
      </c>
      <c r="AE7519" s="580">
        <f t="shared" si="622"/>
        <v>2.5</v>
      </c>
      <c r="AF7519" s="580">
        <f t="shared" si="623"/>
        <v>2.5</v>
      </c>
      <c r="AG7519" s="580">
        <f t="shared" si="624"/>
        <v>0</v>
      </c>
      <c r="AH7519" s="580">
        <f t="shared" si="625"/>
        <v>0</v>
      </c>
    </row>
    <row r="7520" spans="28:34">
      <c r="AB7520" s="580">
        <f>HLOOKUP("*"&amp;'Output annual'!$AC$2&amp;'Output annual'!$AD$2&amp;"*Zone People Number Of Occupants [](Hourly)",'Eplus results'!$1:$1048576,ROW(),FALSE)</f>
        <v>0</v>
      </c>
      <c r="AC7520" s="580">
        <f>HLOOKUP("*"&amp;'Output annual'!$AC$2&amp;'Output annual'!$AD$2&amp;"*FangerPMV(Hourly)",'Eplus results'!$1:$1048576,ROW(),FALSE)</f>
        <v>0</v>
      </c>
      <c r="AD7520" s="580">
        <f t="shared" si="621"/>
        <v>5</v>
      </c>
      <c r="AE7520" s="580">
        <f t="shared" si="622"/>
        <v>2.5</v>
      </c>
      <c r="AF7520" s="580">
        <f t="shared" si="623"/>
        <v>2.5</v>
      </c>
      <c r="AG7520" s="580">
        <f t="shared" si="624"/>
        <v>0</v>
      </c>
      <c r="AH7520" s="580">
        <f t="shared" si="625"/>
        <v>0</v>
      </c>
    </row>
    <row r="7521" spans="28:34">
      <c r="AB7521" s="580">
        <f>HLOOKUP("*"&amp;'Output annual'!$AC$2&amp;'Output annual'!$AD$2&amp;"*Zone People Number Of Occupants [](Hourly)",'Eplus results'!$1:$1048576,ROW(),FALSE)</f>
        <v>0</v>
      </c>
      <c r="AC7521" s="580">
        <f>HLOOKUP("*"&amp;'Output annual'!$AC$2&amp;'Output annual'!$AD$2&amp;"*FangerPMV(Hourly)",'Eplus results'!$1:$1048576,ROW(),FALSE)</f>
        <v>0</v>
      </c>
      <c r="AD7521" s="580">
        <f t="shared" si="621"/>
        <v>5</v>
      </c>
      <c r="AE7521" s="580">
        <f t="shared" si="622"/>
        <v>2.5</v>
      </c>
      <c r="AF7521" s="580">
        <f t="shared" si="623"/>
        <v>2.5</v>
      </c>
      <c r="AG7521" s="580">
        <f t="shared" si="624"/>
        <v>0</v>
      </c>
      <c r="AH7521" s="580">
        <f t="shared" si="625"/>
        <v>0</v>
      </c>
    </row>
    <row r="7522" spans="28:34">
      <c r="AB7522" s="580">
        <f>HLOOKUP("*"&amp;'Output annual'!$AC$2&amp;'Output annual'!$AD$2&amp;"*Zone People Number Of Occupants [](Hourly)",'Eplus results'!$1:$1048576,ROW(),FALSE)</f>
        <v>0</v>
      </c>
      <c r="AC7522" s="580">
        <f>HLOOKUP("*"&amp;'Output annual'!$AC$2&amp;'Output annual'!$AD$2&amp;"*FangerPMV(Hourly)",'Eplus results'!$1:$1048576,ROW(),FALSE)</f>
        <v>0</v>
      </c>
      <c r="AD7522" s="580">
        <f t="shared" si="621"/>
        <v>5</v>
      </c>
      <c r="AE7522" s="580">
        <f t="shared" si="622"/>
        <v>2.5</v>
      </c>
      <c r="AF7522" s="580">
        <f t="shared" si="623"/>
        <v>2.5</v>
      </c>
      <c r="AG7522" s="580">
        <f t="shared" si="624"/>
        <v>0</v>
      </c>
      <c r="AH7522" s="580">
        <f t="shared" si="625"/>
        <v>0</v>
      </c>
    </row>
    <row r="7523" spans="28:34">
      <c r="AB7523" s="580">
        <f>HLOOKUP("*"&amp;'Output annual'!$AC$2&amp;'Output annual'!$AD$2&amp;"*Zone People Number Of Occupants [](Hourly)",'Eplus results'!$1:$1048576,ROW(),FALSE)</f>
        <v>0</v>
      </c>
      <c r="AC7523" s="580">
        <f>HLOOKUP("*"&amp;'Output annual'!$AC$2&amp;'Output annual'!$AD$2&amp;"*FangerPMV(Hourly)",'Eplus results'!$1:$1048576,ROW(),FALSE)</f>
        <v>0</v>
      </c>
      <c r="AD7523" s="580">
        <f t="shared" si="621"/>
        <v>5</v>
      </c>
      <c r="AE7523" s="580">
        <f t="shared" si="622"/>
        <v>2.5</v>
      </c>
      <c r="AF7523" s="580">
        <f t="shared" si="623"/>
        <v>2.5</v>
      </c>
      <c r="AG7523" s="580">
        <f t="shared" si="624"/>
        <v>0</v>
      </c>
      <c r="AH7523" s="580">
        <f t="shared" si="625"/>
        <v>0</v>
      </c>
    </row>
    <row r="7524" spans="28:34">
      <c r="AB7524" s="580">
        <f>HLOOKUP("*"&amp;'Output annual'!$AC$2&amp;'Output annual'!$AD$2&amp;"*Zone People Number Of Occupants [](Hourly)",'Eplus results'!$1:$1048576,ROW(),FALSE)</f>
        <v>0</v>
      </c>
      <c r="AC7524" s="580">
        <f>HLOOKUP("*"&amp;'Output annual'!$AC$2&amp;'Output annual'!$AD$2&amp;"*FangerPMV(Hourly)",'Eplus results'!$1:$1048576,ROW(),FALSE)</f>
        <v>0</v>
      </c>
      <c r="AD7524" s="580">
        <f t="shared" si="621"/>
        <v>5</v>
      </c>
      <c r="AE7524" s="580">
        <f t="shared" si="622"/>
        <v>2.5</v>
      </c>
      <c r="AF7524" s="580">
        <f t="shared" si="623"/>
        <v>2.5</v>
      </c>
      <c r="AG7524" s="580">
        <f t="shared" si="624"/>
        <v>0</v>
      </c>
      <c r="AH7524" s="580">
        <f t="shared" si="625"/>
        <v>0</v>
      </c>
    </row>
    <row r="7525" spans="28:34">
      <c r="AB7525" s="580">
        <f>HLOOKUP("*"&amp;'Output annual'!$AC$2&amp;'Output annual'!$AD$2&amp;"*Zone People Number Of Occupants [](Hourly)",'Eplus results'!$1:$1048576,ROW(),FALSE)</f>
        <v>0</v>
      </c>
      <c r="AC7525" s="580">
        <f>HLOOKUP("*"&amp;'Output annual'!$AC$2&amp;'Output annual'!$AD$2&amp;"*FangerPMV(Hourly)",'Eplus results'!$1:$1048576,ROW(),FALSE)</f>
        <v>0</v>
      </c>
      <c r="AD7525" s="580">
        <f t="shared" si="621"/>
        <v>5</v>
      </c>
      <c r="AE7525" s="580">
        <f t="shared" si="622"/>
        <v>2.5</v>
      </c>
      <c r="AF7525" s="580">
        <f t="shared" si="623"/>
        <v>2.5</v>
      </c>
      <c r="AG7525" s="580">
        <f t="shared" si="624"/>
        <v>0</v>
      </c>
      <c r="AH7525" s="580">
        <f t="shared" si="625"/>
        <v>0</v>
      </c>
    </row>
    <row r="7526" spans="28:34">
      <c r="AB7526" s="580">
        <f>HLOOKUP("*"&amp;'Output annual'!$AC$2&amp;'Output annual'!$AD$2&amp;"*Zone People Number Of Occupants [](Hourly)",'Eplus results'!$1:$1048576,ROW(),FALSE)</f>
        <v>0</v>
      </c>
      <c r="AC7526" s="580">
        <f>HLOOKUP("*"&amp;'Output annual'!$AC$2&amp;'Output annual'!$AD$2&amp;"*FangerPMV(Hourly)",'Eplus results'!$1:$1048576,ROW(),FALSE)</f>
        <v>0</v>
      </c>
      <c r="AD7526" s="580">
        <f t="shared" si="621"/>
        <v>5</v>
      </c>
      <c r="AE7526" s="580">
        <f t="shared" si="622"/>
        <v>2.5</v>
      </c>
      <c r="AF7526" s="580">
        <f t="shared" si="623"/>
        <v>2.5</v>
      </c>
      <c r="AG7526" s="580">
        <f t="shared" si="624"/>
        <v>0</v>
      </c>
      <c r="AH7526" s="580">
        <f t="shared" si="625"/>
        <v>0</v>
      </c>
    </row>
    <row r="7527" spans="28:34">
      <c r="AB7527" s="580">
        <f>HLOOKUP("*"&amp;'Output annual'!$AC$2&amp;'Output annual'!$AD$2&amp;"*Zone People Number Of Occupants [](Hourly)",'Eplus results'!$1:$1048576,ROW(),FALSE)</f>
        <v>0</v>
      </c>
      <c r="AC7527" s="580">
        <f>HLOOKUP("*"&amp;'Output annual'!$AC$2&amp;'Output annual'!$AD$2&amp;"*FangerPMV(Hourly)",'Eplus results'!$1:$1048576,ROW(),FALSE)</f>
        <v>0</v>
      </c>
      <c r="AD7527" s="580">
        <f t="shared" si="621"/>
        <v>5</v>
      </c>
      <c r="AE7527" s="580">
        <f t="shared" si="622"/>
        <v>2.5</v>
      </c>
      <c r="AF7527" s="580">
        <f t="shared" si="623"/>
        <v>2.5</v>
      </c>
      <c r="AG7527" s="580">
        <f t="shared" si="624"/>
        <v>0</v>
      </c>
      <c r="AH7527" s="580">
        <f t="shared" si="625"/>
        <v>0</v>
      </c>
    </row>
    <row r="7528" spans="28:34">
      <c r="AB7528" s="580">
        <f>HLOOKUP("*"&amp;'Output annual'!$AC$2&amp;'Output annual'!$AD$2&amp;"*Zone People Number Of Occupants [](Hourly)",'Eplus results'!$1:$1048576,ROW(),FALSE)</f>
        <v>0</v>
      </c>
      <c r="AC7528" s="580">
        <f>HLOOKUP("*"&amp;'Output annual'!$AC$2&amp;'Output annual'!$AD$2&amp;"*FangerPMV(Hourly)",'Eplus results'!$1:$1048576,ROW(),FALSE)</f>
        <v>0</v>
      </c>
      <c r="AD7528" s="580">
        <f t="shared" si="621"/>
        <v>5</v>
      </c>
      <c r="AE7528" s="580">
        <f t="shared" si="622"/>
        <v>2.5</v>
      </c>
      <c r="AF7528" s="580">
        <f t="shared" si="623"/>
        <v>2.5</v>
      </c>
      <c r="AG7528" s="580">
        <f t="shared" si="624"/>
        <v>0</v>
      </c>
      <c r="AH7528" s="580">
        <f t="shared" si="625"/>
        <v>0</v>
      </c>
    </row>
    <row r="7529" spans="28:34">
      <c r="AB7529" s="580">
        <f>HLOOKUP("*"&amp;'Output annual'!$AC$2&amp;'Output annual'!$AD$2&amp;"*Zone People Number Of Occupants [](Hourly)",'Eplus results'!$1:$1048576,ROW(),FALSE)</f>
        <v>0</v>
      </c>
      <c r="AC7529" s="580">
        <f>HLOOKUP("*"&amp;'Output annual'!$AC$2&amp;'Output annual'!$AD$2&amp;"*FangerPMV(Hourly)",'Eplus results'!$1:$1048576,ROW(),FALSE)</f>
        <v>0</v>
      </c>
      <c r="AD7529" s="580">
        <f t="shared" si="621"/>
        <v>5</v>
      </c>
      <c r="AE7529" s="580">
        <f t="shared" si="622"/>
        <v>2.5</v>
      </c>
      <c r="AF7529" s="580">
        <f t="shared" si="623"/>
        <v>2.5</v>
      </c>
      <c r="AG7529" s="580">
        <f t="shared" si="624"/>
        <v>0</v>
      </c>
      <c r="AH7529" s="580">
        <f t="shared" si="625"/>
        <v>0</v>
      </c>
    </row>
    <row r="7530" spans="28:34">
      <c r="AB7530" s="580">
        <f>HLOOKUP("*"&amp;'Output annual'!$AC$2&amp;'Output annual'!$AD$2&amp;"*Zone People Number Of Occupants [](Hourly)",'Eplus results'!$1:$1048576,ROW(),FALSE)</f>
        <v>0</v>
      </c>
      <c r="AC7530" s="580">
        <f>HLOOKUP("*"&amp;'Output annual'!$AC$2&amp;'Output annual'!$AD$2&amp;"*FangerPMV(Hourly)",'Eplus results'!$1:$1048576,ROW(),FALSE)</f>
        <v>0</v>
      </c>
      <c r="AD7530" s="580">
        <f t="shared" si="621"/>
        <v>5</v>
      </c>
      <c r="AE7530" s="580">
        <f t="shared" si="622"/>
        <v>2.5</v>
      </c>
      <c r="AF7530" s="580">
        <f t="shared" si="623"/>
        <v>2.5</v>
      </c>
      <c r="AG7530" s="580">
        <f t="shared" si="624"/>
        <v>0</v>
      </c>
      <c r="AH7530" s="580">
        <f t="shared" si="625"/>
        <v>0</v>
      </c>
    </row>
    <row r="7531" spans="28:34">
      <c r="AB7531" s="580">
        <f>HLOOKUP("*"&amp;'Output annual'!$AC$2&amp;'Output annual'!$AD$2&amp;"*Zone People Number Of Occupants [](Hourly)",'Eplus results'!$1:$1048576,ROW(),FALSE)</f>
        <v>0</v>
      </c>
      <c r="AC7531" s="580">
        <f>HLOOKUP("*"&amp;'Output annual'!$AC$2&amp;'Output annual'!$AD$2&amp;"*FangerPMV(Hourly)",'Eplus results'!$1:$1048576,ROW(),FALSE)</f>
        <v>0</v>
      </c>
      <c r="AD7531" s="580">
        <f t="shared" si="621"/>
        <v>5</v>
      </c>
      <c r="AE7531" s="580">
        <f t="shared" si="622"/>
        <v>2.5</v>
      </c>
      <c r="AF7531" s="580">
        <f t="shared" si="623"/>
        <v>2.5</v>
      </c>
      <c r="AG7531" s="580">
        <f t="shared" si="624"/>
        <v>0</v>
      </c>
      <c r="AH7531" s="580">
        <f t="shared" si="625"/>
        <v>0</v>
      </c>
    </row>
    <row r="7532" spans="28:34">
      <c r="AB7532" s="580">
        <f>HLOOKUP("*"&amp;'Output annual'!$AC$2&amp;'Output annual'!$AD$2&amp;"*Zone People Number Of Occupants [](Hourly)",'Eplus results'!$1:$1048576,ROW(),FALSE)</f>
        <v>0</v>
      </c>
      <c r="AC7532" s="580">
        <f>HLOOKUP("*"&amp;'Output annual'!$AC$2&amp;'Output annual'!$AD$2&amp;"*FangerPMV(Hourly)",'Eplus results'!$1:$1048576,ROW(),FALSE)</f>
        <v>0</v>
      </c>
      <c r="AD7532" s="580">
        <f t="shared" si="621"/>
        <v>5</v>
      </c>
      <c r="AE7532" s="580">
        <f t="shared" si="622"/>
        <v>2.5</v>
      </c>
      <c r="AF7532" s="580">
        <f t="shared" si="623"/>
        <v>2.5</v>
      </c>
      <c r="AG7532" s="580">
        <f t="shared" si="624"/>
        <v>0</v>
      </c>
      <c r="AH7532" s="580">
        <f t="shared" si="625"/>
        <v>0</v>
      </c>
    </row>
    <row r="7533" spans="28:34">
      <c r="AB7533" s="580">
        <f>HLOOKUP("*"&amp;'Output annual'!$AC$2&amp;'Output annual'!$AD$2&amp;"*Zone People Number Of Occupants [](Hourly)",'Eplus results'!$1:$1048576,ROW(),FALSE)</f>
        <v>0</v>
      </c>
      <c r="AC7533" s="580">
        <f>HLOOKUP("*"&amp;'Output annual'!$AC$2&amp;'Output annual'!$AD$2&amp;"*FangerPMV(Hourly)",'Eplus results'!$1:$1048576,ROW(),FALSE)</f>
        <v>0</v>
      </c>
      <c r="AD7533" s="580">
        <f t="shared" si="621"/>
        <v>5</v>
      </c>
      <c r="AE7533" s="580">
        <f t="shared" si="622"/>
        <v>2.5</v>
      </c>
      <c r="AF7533" s="580">
        <f t="shared" si="623"/>
        <v>2.5</v>
      </c>
      <c r="AG7533" s="580">
        <f t="shared" si="624"/>
        <v>0</v>
      </c>
      <c r="AH7533" s="580">
        <f t="shared" si="625"/>
        <v>0</v>
      </c>
    </row>
    <row r="7534" spans="28:34">
      <c r="AB7534" s="580">
        <f>HLOOKUP("*"&amp;'Output annual'!$AC$2&amp;'Output annual'!$AD$2&amp;"*Zone People Number Of Occupants [](Hourly)",'Eplus results'!$1:$1048576,ROW(),FALSE)</f>
        <v>0</v>
      </c>
      <c r="AC7534" s="580">
        <f>HLOOKUP("*"&amp;'Output annual'!$AC$2&amp;'Output annual'!$AD$2&amp;"*FangerPMV(Hourly)",'Eplus results'!$1:$1048576,ROW(),FALSE)</f>
        <v>0</v>
      </c>
      <c r="AD7534" s="580">
        <f t="shared" si="621"/>
        <v>5</v>
      </c>
      <c r="AE7534" s="580">
        <f t="shared" si="622"/>
        <v>2.5</v>
      </c>
      <c r="AF7534" s="580">
        <f t="shared" si="623"/>
        <v>2.5</v>
      </c>
      <c r="AG7534" s="580">
        <f t="shared" si="624"/>
        <v>0</v>
      </c>
      <c r="AH7534" s="580">
        <f t="shared" si="625"/>
        <v>0</v>
      </c>
    </row>
    <row r="7535" spans="28:34">
      <c r="AB7535" s="580">
        <f>HLOOKUP("*"&amp;'Output annual'!$AC$2&amp;'Output annual'!$AD$2&amp;"*Zone People Number Of Occupants [](Hourly)",'Eplus results'!$1:$1048576,ROW(),FALSE)</f>
        <v>0</v>
      </c>
      <c r="AC7535" s="580">
        <f>HLOOKUP("*"&amp;'Output annual'!$AC$2&amp;'Output annual'!$AD$2&amp;"*FangerPMV(Hourly)",'Eplus results'!$1:$1048576,ROW(),FALSE)</f>
        <v>0</v>
      </c>
      <c r="AD7535" s="580">
        <f t="shared" si="621"/>
        <v>5</v>
      </c>
      <c r="AE7535" s="580">
        <f t="shared" si="622"/>
        <v>2.5</v>
      </c>
      <c r="AF7535" s="580">
        <f t="shared" si="623"/>
        <v>2.5</v>
      </c>
      <c r="AG7535" s="580">
        <f t="shared" si="624"/>
        <v>0</v>
      </c>
      <c r="AH7535" s="580">
        <f t="shared" si="625"/>
        <v>0</v>
      </c>
    </row>
    <row r="7536" spans="28:34">
      <c r="AB7536" s="580">
        <f>HLOOKUP("*"&amp;'Output annual'!$AC$2&amp;'Output annual'!$AD$2&amp;"*Zone People Number Of Occupants [](Hourly)",'Eplus results'!$1:$1048576,ROW(),FALSE)</f>
        <v>0</v>
      </c>
      <c r="AC7536" s="580">
        <f>HLOOKUP("*"&amp;'Output annual'!$AC$2&amp;'Output annual'!$AD$2&amp;"*FangerPMV(Hourly)",'Eplus results'!$1:$1048576,ROW(),FALSE)</f>
        <v>0</v>
      </c>
      <c r="AD7536" s="580">
        <f t="shared" si="621"/>
        <v>5</v>
      </c>
      <c r="AE7536" s="580">
        <f t="shared" si="622"/>
        <v>2.5</v>
      </c>
      <c r="AF7536" s="580">
        <f t="shared" si="623"/>
        <v>2.5</v>
      </c>
      <c r="AG7536" s="580">
        <f t="shared" si="624"/>
        <v>0</v>
      </c>
      <c r="AH7536" s="580">
        <f t="shared" si="625"/>
        <v>0</v>
      </c>
    </row>
    <row r="7537" spans="28:34">
      <c r="AB7537" s="580">
        <f>HLOOKUP("*"&amp;'Output annual'!$AC$2&amp;'Output annual'!$AD$2&amp;"*Zone People Number Of Occupants [](Hourly)",'Eplus results'!$1:$1048576,ROW(),FALSE)</f>
        <v>0</v>
      </c>
      <c r="AC7537" s="580">
        <f>HLOOKUP("*"&amp;'Output annual'!$AC$2&amp;'Output annual'!$AD$2&amp;"*FangerPMV(Hourly)",'Eplus results'!$1:$1048576,ROW(),FALSE)</f>
        <v>0</v>
      </c>
      <c r="AD7537" s="580">
        <f t="shared" si="621"/>
        <v>5</v>
      </c>
      <c r="AE7537" s="580">
        <f t="shared" si="622"/>
        <v>2.5</v>
      </c>
      <c r="AF7537" s="580">
        <f t="shared" si="623"/>
        <v>2.5</v>
      </c>
      <c r="AG7537" s="580">
        <f t="shared" si="624"/>
        <v>0</v>
      </c>
      <c r="AH7537" s="580">
        <f t="shared" si="625"/>
        <v>0</v>
      </c>
    </row>
    <row r="7538" spans="28:34">
      <c r="AB7538" s="580">
        <f>HLOOKUP("*"&amp;'Output annual'!$AC$2&amp;'Output annual'!$AD$2&amp;"*Zone People Number Of Occupants [](Hourly)",'Eplus results'!$1:$1048576,ROW(),FALSE)</f>
        <v>0</v>
      </c>
      <c r="AC7538" s="580">
        <f>HLOOKUP("*"&amp;'Output annual'!$AC$2&amp;'Output annual'!$AD$2&amp;"*FangerPMV(Hourly)",'Eplus results'!$1:$1048576,ROW(),FALSE)</f>
        <v>0</v>
      </c>
      <c r="AD7538" s="580">
        <f t="shared" si="621"/>
        <v>5</v>
      </c>
      <c r="AE7538" s="580">
        <f t="shared" si="622"/>
        <v>2.5</v>
      </c>
      <c r="AF7538" s="580">
        <f t="shared" si="623"/>
        <v>2.5</v>
      </c>
      <c r="AG7538" s="580">
        <f t="shared" si="624"/>
        <v>0</v>
      </c>
      <c r="AH7538" s="580">
        <f t="shared" si="625"/>
        <v>0</v>
      </c>
    </row>
    <row r="7539" spans="28:34">
      <c r="AB7539" s="580">
        <f>HLOOKUP("*"&amp;'Output annual'!$AC$2&amp;'Output annual'!$AD$2&amp;"*Zone People Number Of Occupants [](Hourly)",'Eplus results'!$1:$1048576,ROW(),FALSE)</f>
        <v>0</v>
      </c>
      <c r="AC7539" s="580">
        <f>HLOOKUP("*"&amp;'Output annual'!$AC$2&amp;'Output annual'!$AD$2&amp;"*FangerPMV(Hourly)",'Eplus results'!$1:$1048576,ROW(),FALSE)</f>
        <v>0</v>
      </c>
      <c r="AD7539" s="580">
        <f t="shared" si="621"/>
        <v>5</v>
      </c>
      <c r="AE7539" s="580">
        <f t="shared" si="622"/>
        <v>2.5</v>
      </c>
      <c r="AF7539" s="580">
        <f t="shared" si="623"/>
        <v>2.5</v>
      </c>
      <c r="AG7539" s="580">
        <f t="shared" si="624"/>
        <v>0</v>
      </c>
      <c r="AH7539" s="580">
        <f t="shared" si="625"/>
        <v>0</v>
      </c>
    </row>
    <row r="7540" spans="28:34">
      <c r="AB7540" s="580">
        <f>HLOOKUP("*"&amp;'Output annual'!$AC$2&amp;'Output annual'!$AD$2&amp;"*Zone People Number Of Occupants [](Hourly)",'Eplus results'!$1:$1048576,ROW(),FALSE)</f>
        <v>0</v>
      </c>
      <c r="AC7540" s="580">
        <f>HLOOKUP("*"&amp;'Output annual'!$AC$2&amp;'Output annual'!$AD$2&amp;"*FangerPMV(Hourly)",'Eplus results'!$1:$1048576,ROW(),FALSE)</f>
        <v>0</v>
      </c>
      <c r="AD7540" s="580">
        <f t="shared" si="621"/>
        <v>5</v>
      </c>
      <c r="AE7540" s="580">
        <f t="shared" si="622"/>
        <v>2.5</v>
      </c>
      <c r="AF7540" s="580">
        <f t="shared" si="623"/>
        <v>2.5</v>
      </c>
      <c r="AG7540" s="580">
        <f t="shared" si="624"/>
        <v>0</v>
      </c>
      <c r="AH7540" s="580">
        <f t="shared" si="625"/>
        <v>0</v>
      </c>
    </row>
    <row r="7541" spans="28:34">
      <c r="AB7541" s="580">
        <f>HLOOKUP("*"&amp;'Output annual'!$AC$2&amp;'Output annual'!$AD$2&amp;"*Zone People Number Of Occupants [](Hourly)",'Eplus results'!$1:$1048576,ROW(),FALSE)</f>
        <v>0</v>
      </c>
      <c r="AC7541" s="580">
        <f>HLOOKUP("*"&amp;'Output annual'!$AC$2&amp;'Output annual'!$AD$2&amp;"*FangerPMV(Hourly)",'Eplus results'!$1:$1048576,ROW(),FALSE)</f>
        <v>0</v>
      </c>
      <c r="AD7541" s="580">
        <f t="shared" si="621"/>
        <v>5</v>
      </c>
      <c r="AE7541" s="580">
        <f t="shared" si="622"/>
        <v>2.5</v>
      </c>
      <c r="AF7541" s="580">
        <f t="shared" si="623"/>
        <v>2.5</v>
      </c>
      <c r="AG7541" s="580">
        <f t="shared" si="624"/>
        <v>0</v>
      </c>
      <c r="AH7541" s="580">
        <f t="shared" si="625"/>
        <v>0</v>
      </c>
    </row>
    <row r="7542" spans="28:34">
      <c r="AB7542" s="580">
        <f>HLOOKUP("*"&amp;'Output annual'!$AC$2&amp;'Output annual'!$AD$2&amp;"*Zone People Number Of Occupants [](Hourly)",'Eplus results'!$1:$1048576,ROW(),FALSE)</f>
        <v>0</v>
      </c>
      <c r="AC7542" s="580">
        <f>HLOOKUP("*"&amp;'Output annual'!$AC$2&amp;'Output annual'!$AD$2&amp;"*FangerPMV(Hourly)",'Eplus results'!$1:$1048576,ROW(),FALSE)</f>
        <v>0</v>
      </c>
      <c r="AD7542" s="580">
        <f t="shared" si="621"/>
        <v>5</v>
      </c>
      <c r="AE7542" s="580">
        <f t="shared" si="622"/>
        <v>2.5</v>
      </c>
      <c r="AF7542" s="580">
        <f t="shared" si="623"/>
        <v>2.5</v>
      </c>
      <c r="AG7542" s="580">
        <f t="shared" si="624"/>
        <v>0</v>
      </c>
      <c r="AH7542" s="580">
        <f t="shared" si="625"/>
        <v>0</v>
      </c>
    </row>
    <row r="7543" spans="28:34">
      <c r="AB7543" s="580">
        <f>HLOOKUP("*"&amp;'Output annual'!$AC$2&amp;'Output annual'!$AD$2&amp;"*Zone People Number Of Occupants [](Hourly)",'Eplus results'!$1:$1048576,ROW(),FALSE)</f>
        <v>0</v>
      </c>
      <c r="AC7543" s="580">
        <f>HLOOKUP("*"&amp;'Output annual'!$AC$2&amp;'Output annual'!$AD$2&amp;"*FangerPMV(Hourly)",'Eplus results'!$1:$1048576,ROW(),FALSE)</f>
        <v>0</v>
      </c>
      <c r="AD7543" s="580">
        <f t="shared" si="621"/>
        <v>5</v>
      </c>
      <c r="AE7543" s="580">
        <f t="shared" si="622"/>
        <v>2.5</v>
      </c>
      <c r="AF7543" s="580">
        <f t="shared" si="623"/>
        <v>2.5</v>
      </c>
      <c r="AG7543" s="580">
        <f t="shared" si="624"/>
        <v>0</v>
      </c>
      <c r="AH7543" s="580">
        <f t="shared" si="625"/>
        <v>0</v>
      </c>
    </row>
    <row r="7544" spans="28:34">
      <c r="AB7544" s="580">
        <f>HLOOKUP("*"&amp;'Output annual'!$AC$2&amp;'Output annual'!$AD$2&amp;"*Zone People Number Of Occupants [](Hourly)",'Eplus results'!$1:$1048576,ROW(),FALSE)</f>
        <v>0</v>
      </c>
      <c r="AC7544" s="580">
        <f>HLOOKUP("*"&amp;'Output annual'!$AC$2&amp;'Output annual'!$AD$2&amp;"*FangerPMV(Hourly)",'Eplus results'!$1:$1048576,ROW(),FALSE)</f>
        <v>0</v>
      </c>
      <c r="AD7544" s="580">
        <f t="shared" si="621"/>
        <v>5</v>
      </c>
      <c r="AE7544" s="580">
        <f t="shared" si="622"/>
        <v>2.5</v>
      </c>
      <c r="AF7544" s="580">
        <f t="shared" si="623"/>
        <v>2.5</v>
      </c>
      <c r="AG7544" s="580">
        <f t="shared" si="624"/>
        <v>0</v>
      </c>
      <c r="AH7544" s="580">
        <f t="shared" si="625"/>
        <v>0</v>
      </c>
    </row>
    <row r="7545" spans="28:34">
      <c r="AB7545" s="580">
        <f>HLOOKUP("*"&amp;'Output annual'!$AC$2&amp;'Output annual'!$AD$2&amp;"*Zone People Number Of Occupants [](Hourly)",'Eplus results'!$1:$1048576,ROW(),FALSE)</f>
        <v>0</v>
      </c>
      <c r="AC7545" s="580">
        <f>HLOOKUP("*"&amp;'Output annual'!$AC$2&amp;'Output annual'!$AD$2&amp;"*FangerPMV(Hourly)",'Eplus results'!$1:$1048576,ROW(),FALSE)</f>
        <v>0</v>
      </c>
      <c r="AD7545" s="580">
        <f t="shared" si="621"/>
        <v>5</v>
      </c>
      <c r="AE7545" s="580">
        <f t="shared" si="622"/>
        <v>2.5</v>
      </c>
      <c r="AF7545" s="580">
        <f t="shared" si="623"/>
        <v>2.5</v>
      </c>
      <c r="AG7545" s="580">
        <f t="shared" si="624"/>
        <v>0</v>
      </c>
      <c r="AH7545" s="580">
        <f t="shared" si="625"/>
        <v>0</v>
      </c>
    </row>
    <row r="7546" spans="28:34">
      <c r="AB7546" s="580">
        <f>HLOOKUP("*"&amp;'Output annual'!$AC$2&amp;'Output annual'!$AD$2&amp;"*Zone People Number Of Occupants [](Hourly)",'Eplus results'!$1:$1048576,ROW(),FALSE)</f>
        <v>0</v>
      </c>
      <c r="AC7546" s="580">
        <f>HLOOKUP("*"&amp;'Output annual'!$AC$2&amp;'Output annual'!$AD$2&amp;"*FangerPMV(Hourly)",'Eplus results'!$1:$1048576,ROW(),FALSE)</f>
        <v>0</v>
      </c>
      <c r="AD7546" s="580">
        <f t="shared" si="621"/>
        <v>5</v>
      </c>
      <c r="AE7546" s="580">
        <f t="shared" si="622"/>
        <v>2.5</v>
      </c>
      <c r="AF7546" s="580">
        <f t="shared" si="623"/>
        <v>2.5</v>
      </c>
      <c r="AG7546" s="580">
        <f t="shared" si="624"/>
        <v>0</v>
      </c>
      <c r="AH7546" s="580">
        <f t="shared" si="625"/>
        <v>0</v>
      </c>
    </row>
    <row r="7547" spans="28:34">
      <c r="AB7547" s="580">
        <f>HLOOKUP("*"&amp;'Output annual'!$AC$2&amp;'Output annual'!$AD$2&amp;"*Zone People Number Of Occupants [](Hourly)",'Eplus results'!$1:$1048576,ROW(),FALSE)</f>
        <v>0</v>
      </c>
      <c r="AC7547" s="580">
        <f>HLOOKUP("*"&amp;'Output annual'!$AC$2&amp;'Output annual'!$AD$2&amp;"*FangerPMV(Hourly)",'Eplus results'!$1:$1048576,ROW(),FALSE)</f>
        <v>0</v>
      </c>
      <c r="AD7547" s="580">
        <f t="shared" si="621"/>
        <v>5</v>
      </c>
      <c r="AE7547" s="580">
        <f t="shared" si="622"/>
        <v>2.5</v>
      </c>
      <c r="AF7547" s="580">
        <f t="shared" si="623"/>
        <v>2.5</v>
      </c>
      <c r="AG7547" s="580">
        <f t="shared" si="624"/>
        <v>0</v>
      </c>
      <c r="AH7547" s="580">
        <f t="shared" si="625"/>
        <v>0</v>
      </c>
    </row>
    <row r="7548" spans="28:34">
      <c r="AB7548" s="580">
        <f>HLOOKUP("*"&amp;'Output annual'!$AC$2&amp;'Output annual'!$AD$2&amp;"*Zone People Number Of Occupants [](Hourly)",'Eplus results'!$1:$1048576,ROW(),FALSE)</f>
        <v>0</v>
      </c>
      <c r="AC7548" s="580">
        <f>HLOOKUP("*"&amp;'Output annual'!$AC$2&amp;'Output annual'!$AD$2&amp;"*FangerPMV(Hourly)",'Eplus results'!$1:$1048576,ROW(),FALSE)</f>
        <v>0</v>
      </c>
      <c r="AD7548" s="580">
        <f t="shared" si="621"/>
        <v>5</v>
      </c>
      <c r="AE7548" s="580">
        <f t="shared" si="622"/>
        <v>2.5</v>
      </c>
      <c r="AF7548" s="580">
        <f t="shared" si="623"/>
        <v>2.5</v>
      </c>
      <c r="AG7548" s="580">
        <f t="shared" si="624"/>
        <v>0</v>
      </c>
      <c r="AH7548" s="580">
        <f t="shared" si="625"/>
        <v>0</v>
      </c>
    </row>
    <row r="7549" spans="28:34">
      <c r="AB7549" s="580">
        <f>HLOOKUP("*"&amp;'Output annual'!$AC$2&amp;'Output annual'!$AD$2&amp;"*Zone People Number Of Occupants [](Hourly)",'Eplus results'!$1:$1048576,ROW(),FALSE)</f>
        <v>0</v>
      </c>
      <c r="AC7549" s="580">
        <f>HLOOKUP("*"&amp;'Output annual'!$AC$2&amp;'Output annual'!$AD$2&amp;"*FangerPMV(Hourly)",'Eplus results'!$1:$1048576,ROW(),FALSE)</f>
        <v>0</v>
      </c>
      <c r="AD7549" s="580">
        <f t="shared" si="621"/>
        <v>5</v>
      </c>
      <c r="AE7549" s="580">
        <f t="shared" si="622"/>
        <v>2.5</v>
      </c>
      <c r="AF7549" s="580">
        <f t="shared" si="623"/>
        <v>2.5</v>
      </c>
      <c r="AG7549" s="580">
        <f t="shared" si="624"/>
        <v>0</v>
      </c>
      <c r="AH7549" s="580">
        <f t="shared" si="625"/>
        <v>0</v>
      </c>
    </row>
    <row r="7550" spans="28:34">
      <c r="AB7550" s="580">
        <f>HLOOKUP("*"&amp;'Output annual'!$AC$2&amp;'Output annual'!$AD$2&amp;"*Zone People Number Of Occupants [](Hourly)",'Eplus results'!$1:$1048576,ROW(),FALSE)</f>
        <v>0</v>
      </c>
      <c r="AC7550" s="580">
        <f>HLOOKUP("*"&amp;'Output annual'!$AC$2&amp;'Output annual'!$AD$2&amp;"*FangerPMV(Hourly)",'Eplus results'!$1:$1048576,ROW(),FALSE)</f>
        <v>0</v>
      </c>
      <c r="AD7550" s="580">
        <f t="shared" si="621"/>
        <v>5</v>
      </c>
      <c r="AE7550" s="580">
        <f t="shared" si="622"/>
        <v>2.5</v>
      </c>
      <c r="AF7550" s="580">
        <f t="shared" si="623"/>
        <v>2.5</v>
      </c>
      <c r="AG7550" s="580">
        <f t="shared" si="624"/>
        <v>0</v>
      </c>
      <c r="AH7550" s="580">
        <f t="shared" si="625"/>
        <v>0</v>
      </c>
    </row>
    <row r="7551" spans="28:34">
      <c r="AB7551" s="580">
        <f>HLOOKUP("*"&amp;'Output annual'!$AC$2&amp;'Output annual'!$AD$2&amp;"*Zone People Number Of Occupants [](Hourly)",'Eplus results'!$1:$1048576,ROW(),FALSE)</f>
        <v>0</v>
      </c>
      <c r="AC7551" s="580">
        <f>HLOOKUP("*"&amp;'Output annual'!$AC$2&amp;'Output annual'!$AD$2&amp;"*FangerPMV(Hourly)",'Eplus results'!$1:$1048576,ROW(),FALSE)</f>
        <v>0</v>
      </c>
      <c r="AD7551" s="580">
        <f t="shared" si="621"/>
        <v>5</v>
      </c>
      <c r="AE7551" s="580">
        <f t="shared" si="622"/>
        <v>2.5</v>
      </c>
      <c r="AF7551" s="580">
        <f t="shared" si="623"/>
        <v>2.5</v>
      </c>
      <c r="AG7551" s="580">
        <f t="shared" si="624"/>
        <v>0</v>
      </c>
      <c r="AH7551" s="580">
        <f t="shared" si="625"/>
        <v>0</v>
      </c>
    </row>
    <row r="7552" spans="28:34">
      <c r="AB7552" s="580">
        <f>HLOOKUP("*"&amp;'Output annual'!$AC$2&amp;'Output annual'!$AD$2&amp;"*Zone People Number Of Occupants [](Hourly)",'Eplus results'!$1:$1048576,ROW(),FALSE)</f>
        <v>0</v>
      </c>
      <c r="AC7552" s="580">
        <f>HLOOKUP("*"&amp;'Output annual'!$AC$2&amp;'Output annual'!$AD$2&amp;"*FangerPMV(Hourly)",'Eplus results'!$1:$1048576,ROW(),FALSE)</f>
        <v>0</v>
      </c>
      <c r="AD7552" s="580">
        <f t="shared" si="621"/>
        <v>5</v>
      </c>
      <c r="AE7552" s="580">
        <f t="shared" si="622"/>
        <v>2.5</v>
      </c>
      <c r="AF7552" s="580">
        <f t="shared" si="623"/>
        <v>2.5</v>
      </c>
      <c r="AG7552" s="580">
        <f t="shared" si="624"/>
        <v>0</v>
      </c>
      <c r="AH7552" s="580">
        <f t="shared" si="625"/>
        <v>0</v>
      </c>
    </row>
    <row r="7553" spans="28:34">
      <c r="AB7553" s="580">
        <f>HLOOKUP("*"&amp;'Output annual'!$AC$2&amp;'Output annual'!$AD$2&amp;"*Zone People Number Of Occupants [](Hourly)",'Eplus results'!$1:$1048576,ROW(),FALSE)</f>
        <v>0</v>
      </c>
      <c r="AC7553" s="580">
        <f>HLOOKUP("*"&amp;'Output annual'!$AC$2&amp;'Output annual'!$AD$2&amp;"*FangerPMV(Hourly)",'Eplus results'!$1:$1048576,ROW(),FALSE)</f>
        <v>0</v>
      </c>
      <c r="AD7553" s="580">
        <f t="shared" si="621"/>
        <v>5</v>
      </c>
      <c r="AE7553" s="580">
        <f t="shared" si="622"/>
        <v>2.5</v>
      </c>
      <c r="AF7553" s="580">
        <f t="shared" si="623"/>
        <v>2.5</v>
      </c>
      <c r="AG7553" s="580">
        <f t="shared" si="624"/>
        <v>0</v>
      </c>
      <c r="AH7553" s="580">
        <f t="shared" si="625"/>
        <v>0</v>
      </c>
    </row>
    <row r="7554" spans="28:34">
      <c r="AB7554" s="580">
        <f>HLOOKUP("*"&amp;'Output annual'!$AC$2&amp;'Output annual'!$AD$2&amp;"*Zone People Number Of Occupants [](Hourly)",'Eplus results'!$1:$1048576,ROW(),FALSE)</f>
        <v>0</v>
      </c>
      <c r="AC7554" s="580">
        <f>HLOOKUP("*"&amp;'Output annual'!$AC$2&amp;'Output annual'!$AD$2&amp;"*FangerPMV(Hourly)",'Eplus results'!$1:$1048576,ROW(),FALSE)</f>
        <v>0</v>
      </c>
      <c r="AD7554" s="580">
        <f t="shared" si="621"/>
        <v>5</v>
      </c>
      <c r="AE7554" s="580">
        <f t="shared" si="622"/>
        <v>2.5</v>
      </c>
      <c r="AF7554" s="580">
        <f t="shared" si="623"/>
        <v>2.5</v>
      </c>
      <c r="AG7554" s="580">
        <f t="shared" si="624"/>
        <v>0</v>
      </c>
      <c r="AH7554" s="580">
        <f t="shared" si="625"/>
        <v>0</v>
      </c>
    </row>
    <row r="7555" spans="28:34">
      <c r="AB7555" s="580">
        <f>HLOOKUP("*"&amp;'Output annual'!$AC$2&amp;'Output annual'!$AD$2&amp;"*Zone People Number Of Occupants [](Hourly)",'Eplus results'!$1:$1048576,ROW(),FALSE)</f>
        <v>0</v>
      </c>
      <c r="AC7555" s="580">
        <f>HLOOKUP("*"&amp;'Output annual'!$AC$2&amp;'Output annual'!$AD$2&amp;"*FangerPMV(Hourly)",'Eplus results'!$1:$1048576,ROW(),FALSE)</f>
        <v>0</v>
      </c>
      <c r="AD7555" s="580">
        <f t="shared" ref="AD7555:AD7618" si="626">100-95*EXP(-0.03353*AC7555^4-0.2179*AC7555^2)</f>
        <v>5</v>
      </c>
      <c r="AE7555" s="580">
        <f t="shared" ref="AE7555:AE7618" si="627">AD7555*(1/(1+EXP(-6.3*$AC7555)))</f>
        <v>2.5</v>
      </c>
      <c r="AF7555" s="580">
        <f t="shared" ref="AF7555:AF7618" si="628">(AD7555-AE7555)</f>
        <v>2.5</v>
      </c>
      <c r="AG7555" s="580">
        <f t="shared" ref="AG7555:AG7618" si="629">AE7555*AB7555</f>
        <v>0</v>
      </c>
      <c r="AH7555" s="580">
        <f t="shared" ref="AH7555:AH7618" si="630">AF7555*AB7555</f>
        <v>0</v>
      </c>
    </row>
    <row r="7556" spans="28:34">
      <c r="AB7556" s="580">
        <f>HLOOKUP("*"&amp;'Output annual'!$AC$2&amp;'Output annual'!$AD$2&amp;"*Zone People Number Of Occupants [](Hourly)",'Eplus results'!$1:$1048576,ROW(),FALSE)</f>
        <v>0</v>
      </c>
      <c r="AC7556" s="580">
        <f>HLOOKUP("*"&amp;'Output annual'!$AC$2&amp;'Output annual'!$AD$2&amp;"*FangerPMV(Hourly)",'Eplus results'!$1:$1048576,ROW(),FALSE)</f>
        <v>0</v>
      </c>
      <c r="AD7556" s="580">
        <f t="shared" si="626"/>
        <v>5</v>
      </c>
      <c r="AE7556" s="580">
        <f t="shared" si="627"/>
        <v>2.5</v>
      </c>
      <c r="AF7556" s="580">
        <f t="shared" si="628"/>
        <v>2.5</v>
      </c>
      <c r="AG7556" s="580">
        <f t="shared" si="629"/>
        <v>0</v>
      </c>
      <c r="AH7556" s="580">
        <f t="shared" si="630"/>
        <v>0</v>
      </c>
    </row>
    <row r="7557" spans="28:34">
      <c r="AB7557" s="580">
        <f>HLOOKUP("*"&amp;'Output annual'!$AC$2&amp;'Output annual'!$AD$2&amp;"*Zone People Number Of Occupants [](Hourly)",'Eplus results'!$1:$1048576,ROW(),FALSE)</f>
        <v>0</v>
      </c>
      <c r="AC7557" s="580">
        <f>HLOOKUP("*"&amp;'Output annual'!$AC$2&amp;'Output annual'!$AD$2&amp;"*FangerPMV(Hourly)",'Eplus results'!$1:$1048576,ROW(),FALSE)</f>
        <v>0</v>
      </c>
      <c r="AD7557" s="580">
        <f t="shared" si="626"/>
        <v>5</v>
      </c>
      <c r="AE7557" s="580">
        <f t="shared" si="627"/>
        <v>2.5</v>
      </c>
      <c r="AF7557" s="580">
        <f t="shared" si="628"/>
        <v>2.5</v>
      </c>
      <c r="AG7557" s="580">
        <f t="shared" si="629"/>
        <v>0</v>
      </c>
      <c r="AH7557" s="580">
        <f t="shared" si="630"/>
        <v>0</v>
      </c>
    </row>
    <row r="7558" spans="28:34">
      <c r="AB7558" s="580">
        <f>HLOOKUP("*"&amp;'Output annual'!$AC$2&amp;'Output annual'!$AD$2&amp;"*Zone People Number Of Occupants [](Hourly)",'Eplus results'!$1:$1048576,ROW(),FALSE)</f>
        <v>0</v>
      </c>
      <c r="AC7558" s="580">
        <f>HLOOKUP("*"&amp;'Output annual'!$AC$2&amp;'Output annual'!$AD$2&amp;"*FangerPMV(Hourly)",'Eplus results'!$1:$1048576,ROW(),FALSE)</f>
        <v>0</v>
      </c>
      <c r="AD7558" s="580">
        <f t="shared" si="626"/>
        <v>5</v>
      </c>
      <c r="AE7558" s="580">
        <f t="shared" si="627"/>
        <v>2.5</v>
      </c>
      <c r="AF7558" s="580">
        <f t="shared" si="628"/>
        <v>2.5</v>
      </c>
      <c r="AG7558" s="580">
        <f t="shared" si="629"/>
        <v>0</v>
      </c>
      <c r="AH7558" s="580">
        <f t="shared" si="630"/>
        <v>0</v>
      </c>
    </row>
    <row r="7559" spans="28:34">
      <c r="AB7559" s="580">
        <f>HLOOKUP("*"&amp;'Output annual'!$AC$2&amp;'Output annual'!$AD$2&amp;"*Zone People Number Of Occupants [](Hourly)",'Eplus results'!$1:$1048576,ROW(),FALSE)</f>
        <v>0</v>
      </c>
      <c r="AC7559" s="580">
        <f>HLOOKUP("*"&amp;'Output annual'!$AC$2&amp;'Output annual'!$AD$2&amp;"*FangerPMV(Hourly)",'Eplus results'!$1:$1048576,ROW(),FALSE)</f>
        <v>0</v>
      </c>
      <c r="AD7559" s="580">
        <f t="shared" si="626"/>
        <v>5</v>
      </c>
      <c r="AE7559" s="580">
        <f t="shared" si="627"/>
        <v>2.5</v>
      </c>
      <c r="AF7559" s="580">
        <f t="shared" si="628"/>
        <v>2.5</v>
      </c>
      <c r="AG7559" s="580">
        <f t="shared" si="629"/>
        <v>0</v>
      </c>
      <c r="AH7559" s="580">
        <f t="shared" si="630"/>
        <v>0</v>
      </c>
    </row>
    <row r="7560" spans="28:34">
      <c r="AB7560" s="580">
        <f>HLOOKUP("*"&amp;'Output annual'!$AC$2&amp;'Output annual'!$AD$2&amp;"*Zone People Number Of Occupants [](Hourly)",'Eplus results'!$1:$1048576,ROW(),FALSE)</f>
        <v>0</v>
      </c>
      <c r="AC7560" s="580">
        <f>HLOOKUP("*"&amp;'Output annual'!$AC$2&amp;'Output annual'!$AD$2&amp;"*FangerPMV(Hourly)",'Eplus results'!$1:$1048576,ROW(),FALSE)</f>
        <v>0</v>
      </c>
      <c r="AD7560" s="580">
        <f t="shared" si="626"/>
        <v>5</v>
      </c>
      <c r="AE7560" s="580">
        <f t="shared" si="627"/>
        <v>2.5</v>
      </c>
      <c r="AF7560" s="580">
        <f t="shared" si="628"/>
        <v>2.5</v>
      </c>
      <c r="AG7560" s="580">
        <f t="shared" si="629"/>
        <v>0</v>
      </c>
      <c r="AH7560" s="580">
        <f t="shared" si="630"/>
        <v>0</v>
      </c>
    </row>
    <row r="7561" spans="28:34">
      <c r="AB7561" s="580">
        <f>HLOOKUP("*"&amp;'Output annual'!$AC$2&amp;'Output annual'!$AD$2&amp;"*Zone People Number Of Occupants [](Hourly)",'Eplus results'!$1:$1048576,ROW(),FALSE)</f>
        <v>0</v>
      </c>
      <c r="AC7561" s="580">
        <f>HLOOKUP("*"&amp;'Output annual'!$AC$2&amp;'Output annual'!$AD$2&amp;"*FangerPMV(Hourly)",'Eplus results'!$1:$1048576,ROW(),FALSE)</f>
        <v>0</v>
      </c>
      <c r="AD7561" s="580">
        <f t="shared" si="626"/>
        <v>5</v>
      </c>
      <c r="AE7561" s="580">
        <f t="shared" si="627"/>
        <v>2.5</v>
      </c>
      <c r="AF7561" s="580">
        <f t="shared" si="628"/>
        <v>2.5</v>
      </c>
      <c r="AG7561" s="580">
        <f t="shared" si="629"/>
        <v>0</v>
      </c>
      <c r="AH7561" s="580">
        <f t="shared" si="630"/>
        <v>0</v>
      </c>
    </row>
    <row r="7562" spans="28:34">
      <c r="AB7562" s="580">
        <f>HLOOKUP("*"&amp;'Output annual'!$AC$2&amp;'Output annual'!$AD$2&amp;"*Zone People Number Of Occupants [](Hourly)",'Eplus results'!$1:$1048576,ROW(),FALSE)</f>
        <v>0</v>
      </c>
      <c r="AC7562" s="580">
        <f>HLOOKUP("*"&amp;'Output annual'!$AC$2&amp;'Output annual'!$AD$2&amp;"*FangerPMV(Hourly)",'Eplus results'!$1:$1048576,ROW(),FALSE)</f>
        <v>0</v>
      </c>
      <c r="AD7562" s="580">
        <f t="shared" si="626"/>
        <v>5</v>
      </c>
      <c r="AE7562" s="580">
        <f t="shared" si="627"/>
        <v>2.5</v>
      </c>
      <c r="AF7562" s="580">
        <f t="shared" si="628"/>
        <v>2.5</v>
      </c>
      <c r="AG7562" s="580">
        <f t="shared" si="629"/>
        <v>0</v>
      </c>
      <c r="AH7562" s="580">
        <f t="shared" si="630"/>
        <v>0</v>
      </c>
    </row>
    <row r="7563" spans="28:34">
      <c r="AB7563" s="580">
        <f>HLOOKUP("*"&amp;'Output annual'!$AC$2&amp;'Output annual'!$AD$2&amp;"*Zone People Number Of Occupants [](Hourly)",'Eplus results'!$1:$1048576,ROW(),FALSE)</f>
        <v>0</v>
      </c>
      <c r="AC7563" s="580">
        <f>HLOOKUP("*"&amp;'Output annual'!$AC$2&amp;'Output annual'!$AD$2&amp;"*FangerPMV(Hourly)",'Eplus results'!$1:$1048576,ROW(),FALSE)</f>
        <v>0</v>
      </c>
      <c r="AD7563" s="580">
        <f t="shared" si="626"/>
        <v>5</v>
      </c>
      <c r="AE7563" s="580">
        <f t="shared" si="627"/>
        <v>2.5</v>
      </c>
      <c r="AF7563" s="580">
        <f t="shared" si="628"/>
        <v>2.5</v>
      </c>
      <c r="AG7563" s="580">
        <f t="shared" si="629"/>
        <v>0</v>
      </c>
      <c r="AH7563" s="580">
        <f t="shared" si="630"/>
        <v>0</v>
      </c>
    </row>
    <row r="7564" spans="28:34">
      <c r="AB7564" s="580">
        <f>HLOOKUP("*"&amp;'Output annual'!$AC$2&amp;'Output annual'!$AD$2&amp;"*Zone People Number Of Occupants [](Hourly)",'Eplus results'!$1:$1048576,ROW(),FALSE)</f>
        <v>0</v>
      </c>
      <c r="AC7564" s="580">
        <f>HLOOKUP("*"&amp;'Output annual'!$AC$2&amp;'Output annual'!$AD$2&amp;"*FangerPMV(Hourly)",'Eplus results'!$1:$1048576,ROW(),FALSE)</f>
        <v>0</v>
      </c>
      <c r="AD7564" s="580">
        <f t="shared" si="626"/>
        <v>5</v>
      </c>
      <c r="AE7564" s="580">
        <f t="shared" si="627"/>
        <v>2.5</v>
      </c>
      <c r="AF7564" s="580">
        <f t="shared" si="628"/>
        <v>2.5</v>
      </c>
      <c r="AG7564" s="580">
        <f t="shared" si="629"/>
        <v>0</v>
      </c>
      <c r="AH7564" s="580">
        <f t="shared" si="630"/>
        <v>0</v>
      </c>
    </row>
    <row r="7565" spans="28:34">
      <c r="AB7565" s="580">
        <f>HLOOKUP("*"&amp;'Output annual'!$AC$2&amp;'Output annual'!$AD$2&amp;"*Zone People Number Of Occupants [](Hourly)",'Eplus results'!$1:$1048576,ROW(),FALSE)</f>
        <v>0</v>
      </c>
      <c r="AC7565" s="580">
        <f>HLOOKUP("*"&amp;'Output annual'!$AC$2&amp;'Output annual'!$AD$2&amp;"*FangerPMV(Hourly)",'Eplus results'!$1:$1048576,ROW(),FALSE)</f>
        <v>0</v>
      </c>
      <c r="AD7565" s="580">
        <f t="shared" si="626"/>
        <v>5</v>
      </c>
      <c r="AE7565" s="580">
        <f t="shared" si="627"/>
        <v>2.5</v>
      </c>
      <c r="AF7565" s="580">
        <f t="shared" si="628"/>
        <v>2.5</v>
      </c>
      <c r="AG7565" s="580">
        <f t="shared" si="629"/>
        <v>0</v>
      </c>
      <c r="AH7565" s="580">
        <f t="shared" si="630"/>
        <v>0</v>
      </c>
    </row>
    <row r="7566" spans="28:34">
      <c r="AB7566" s="580">
        <f>HLOOKUP("*"&amp;'Output annual'!$AC$2&amp;'Output annual'!$AD$2&amp;"*Zone People Number Of Occupants [](Hourly)",'Eplus results'!$1:$1048576,ROW(),FALSE)</f>
        <v>0</v>
      </c>
      <c r="AC7566" s="580">
        <f>HLOOKUP("*"&amp;'Output annual'!$AC$2&amp;'Output annual'!$AD$2&amp;"*FangerPMV(Hourly)",'Eplus results'!$1:$1048576,ROW(),FALSE)</f>
        <v>0</v>
      </c>
      <c r="AD7566" s="580">
        <f t="shared" si="626"/>
        <v>5</v>
      </c>
      <c r="AE7566" s="580">
        <f t="shared" si="627"/>
        <v>2.5</v>
      </c>
      <c r="AF7566" s="580">
        <f t="shared" si="628"/>
        <v>2.5</v>
      </c>
      <c r="AG7566" s="580">
        <f t="shared" si="629"/>
        <v>0</v>
      </c>
      <c r="AH7566" s="580">
        <f t="shared" si="630"/>
        <v>0</v>
      </c>
    </row>
    <row r="7567" spans="28:34">
      <c r="AB7567" s="580">
        <f>HLOOKUP("*"&amp;'Output annual'!$AC$2&amp;'Output annual'!$AD$2&amp;"*Zone People Number Of Occupants [](Hourly)",'Eplus results'!$1:$1048576,ROW(),FALSE)</f>
        <v>0</v>
      </c>
      <c r="AC7567" s="580">
        <f>HLOOKUP("*"&amp;'Output annual'!$AC$2&amp;'Output annual'!$AD$2&amp;"*FangerPMV(Hourly)",'Eplus results'!$1:$1048576,ROW(),FALSE)</f>
        <v>0</v>
      </c>
      <c r="AD7567" s="580">
        <f t="shared" si="626"/>
        <v>5</v>
      </c>
      <c r="AE7567" s="580">
        <f t="shared" si="627"/>
        <v>2.5</v>
      </c>
      <c r="AF7567" s="580">
        <f t="shared" si="628"/>
        <v>2.5</v>
      </c>
      <c r="AG7567" s="580">
        <f t="shared" si="629"/>
        <v>0</v>
      </c>
      <c r="AH7567" s="580">
        <f t="shared" si="630"/>
        <v>0</v>
      </c>
    </row>
    <row r="7568" spans="28:34">
      <c r="AB7568" s="580">
        <f>HLOOKUP("*"&amp;'Output annual'!$AC$2&amp;'Output annual'!$AD$2&amp;"*Zone People Number Of Occupants [](Hourly)",'Eplus results'!$1:$1048576,ROW(),FALSE)</f>
        <v>0</v>
      </c>
      <c r="AC7568" s="580">
        <f>HLOOKUP("*"&amp;'Output annual'!$AC$2&amp;'Output annual'!$AD$2&amp;"*FangerPMV(Hourly)",'Eplus results'!$1:$1048576,ROW(),FALSE)</f>
        <v>0</v>
      </c>
      <c r="AD7568" s="580">
        <f t="shared" si="626"/>
        <v>5</v>
      </c>
      <c r="AE7568" s="580">
        <f t="shared" si="627"/>
        <v>2.5</v>
      </c>
      <c r="AF7568" s="580">
        <f t="shared" si="628"/>
        <v>2.5</v>
      </c>
      <c r="AG7568" s="580">
        <f t="shared" si="629"/>
        <v>0</v>
      </c>
      <c r="AH7568" s="580">
        <f t="shared" si="630"/>
        <v>0</v>
      </c>
    </row>
    <row r="7569" spans="28:34">
      <c r="AB7569" s="580">
        <f>HLOOKUP("*"&amp;'Output annual'!$AC$2&amp;'Output annual'!$AD$2&amp;"*Zone People Number Of Occupants [](Hourly)",'Eplus results'!$1:$1048576,ROW(),FALSE)</f>
        <v>0</v>
      </c>
      <c r="AC7569" s="580">
        <f>HLOOKUP("*"&amp;'Output annual'!$AC$2&amp;'Output annual'!$AD$2&amp;"*FangerPMV(Hourly)",'Eplus results'!$1:$1048576,ROW(),FALSE)</f>
        <v>0</v>
      </c>
      <c r="AD7569" s="580">
        <f t="shared" si="626"/>
        <v>5</v>
      </c>
      <c r="AE7569" s="580">
        <f t="shared" si="627"/>
        <v>2.5</v>
      </c>
      <c r="AF7569" s="580">
        <f t="shared" si="628"/>
        <v>2.5</v>
      </c>
      <c r="AG7569" s="580">
        <f t="shared" si="629"/>
        <v>0</v>
      </c>
      <c r="AH7569" s="580">
        <f t="shared" si="630"/>
        <v>0</v>
      </c>
    </row>
    <row r="7570" spans="28:34">
      <c r="AB7570" s="580">
        <f>HLOOKUP("*"&amp;'Output annual'!$AC$2&amp;'Output annual'!$AD$2&amp;"*Zone People Number Of Occupants [](Hourly)",'Eplus results'!$1:$1048576,ROW(),FALSE)</f>
        <v>0</v>
      </c>
      <c r="AC7570" s="580">
        <f>HLOOKUP("*"&amp;'Output annual'!$AC$2&amp;'Output annual'!$AD$2&amp;"*FangerPMV(Hourly)",'Eplus results'!$1:$1048576,ROW(),FALSE)</f>
        <v>0</v>
      </c>
      <c r="AD7570" s="580">
        <f t="shared" si="626"/>
        <v>5</v>
      </c>
      <c r="AE7570" s="580">
        <f t="shared" si="627"/>
        <v>2.5</v>
      </c>
      <c r="AF7570" s="580">
        <f t="shared" si="628"/>
        <v>2.5</v>
      </c>
      <c r="AG7570" s="580">
        <f t="shared" si="629"/>
        <v>0</v>
      </c>
      <c r="AH7570" s="580">
        <f t="shared" si="630"/>
        <v>0</v>
      </c>
    </row>
    <row r="7571" spans="28:34">
      <c r="AB7571" s="580">
        <f>HLOOKUP("*"&amp;'Output annual'!$AC$2&amp;'Output annual'!$AD$2&amp;"*Zone People Number Of Occupants [](Hourly)",'Eplus results'!$1:$1048576,ROW(),FALSE)</f>
        <v>0</v>
      </c>
      <c r="AC7571" s="580">
        <f>HLOOKUP("*"&amp;'Output annual'!$AC$2&amp;'Output annual'!$AD$2&amp;"*FangerPMV(Hourly)",'Eplus results'!$1:$1048576,ROW(),FALSE)</f>
        <v>0</v>
      </c>
      <c r="AD7571" s="580">
        <f t="shared" si="626"/>
        <v>5</v>
      </c>
      <c r="AE7571" s="580">
        <f t="shared" si="627"/>
        <v>2.5</v>
      </c>
      <c r="AF7571" s="580">
        <f t="shared" si="628"/>
        <v>2.5</v>
      </c>
      <c r="AG7571" s="580">
        <f t="shared" si="629"/>
        <v>0</v>
      </c>
      <c r="AH7571" s="580">
        <f t="shared" si="630"/>
        <v>0</v>
      </c>
    </row>
    <row r="7572" spans="28:34">
      <c r="AB7572" s="580">
        <f>HLOOKUP("*"&amp;'Output annual'!$AC$2&amp;'Output annual'!$AD$2&amp;"*Zone People Number Of Occupants [](Hourly)",'Eplus results'!$1:$1048576,ROW(),FALSE)</f>
        <v>0</v>
      </c>
      <c r="AC7572" s="580">
        <f>HLOOKUP("*"&amp;'Output annual'!$AC$2&amp;'Output annual'!$AD$2&amp;"*FangerPMV(Hourly)",'Eplus results'!$1:$1048576,ROW(),FALSE)</f>
        <v>0</v>
      </c>
      <c r="AD7572" s="580">
        <f t="shared" si="626"/>
        <v>5</v>
      </c>
      <c r="AE7572" s="580">
        <f t="shared" si="627"/>
        <v>2.5</v>
      </c>
      <c r="AF7572" s="580">
        <f t="shared" si="628"/>
        <v>2.5</v>
      </c>
      <c r="AG7572" s="580">
        <f t="shared" si="629"/>
        <v>0</v>
      </c>
      <c r="AH7572" s="580">
        <f t="shared" si="630"/>
        <v>0</v>
      </c>
    </row>
    <row r="7573" spans="28:34">
      <c r="AB7573" s="580">
        <f>HLOOKUP("*"&amp;'Output annual'!$AC$2&amp;'Output annual'!$AD$2&amp;"*Zone People Number Of Occupants [](Hourly)",'Eplus results'!$1:$1048576,ROW(),FALSE)</f>
        <v>0</v>
      </c>
      <c r="AC7573" s="580">
        <f>HLOOKUP("*"&amp;'Output annual'!$AC$2&amp;'Output annual'!$AD$2&amp;"*FangerPMV(Hourly)",'Eplus results'!$1:$1048576,ROW(),FALSE)</f>
        <v>0</v>
      </c>
      <c r="AD7573" s="580">
        <f t="shared" si="626"/>
        <v>5</v>
      </c>
      <c r="AE7573" s="580">
        <f t="shared" si="627"/>
        <v>2.5</v>
      </c>
      <c r="AF7573" s="580">
        <f t="shared" si="628"/>
        <v>2.5</v>
      </c>
      <c r="AG7573" s="580">
        <f t="shared" si="629"/>
        <v>0</v>
      </c>
      <c r="AH7573" s="580">
        <f t="shared" si="630"/>
        <v>0</v>
      </c>
    </row>
    <row r="7574" spans="28:34">
      <c r="AB7574" s="580">
        <f>HLOOKUP("*"&amp;'Output annual'!$AC$2&amp;'Output annual'!$AD$2&amp;"*Zone People Number Of Occupants [](Hourly)",'Eplus results'!$1:$1048576,ROW(),FALSE)</f>
        <v>0</v>
      </c>
      <c r="AC7574" s="580">
        <f>HLOOKUP("*"&amp;'Output annual'!$AC$2&amp;'Output annual'!$AD$2&amp;"*FangerPMV(Hourly)",'Eplus results'!$1:$1048576,ROW(),FALSE)</f>
        <v>0</v>
      </c>
      <c r="AD7574" s="580">
        <f t="shared" si="626"/>
        <v>5</v>
      </c>
      <c r="AE7574" s="580">
        <f t="shared" si="627"/>
        <v>2.5</v>
      </c>
      <c r="AF7574" s="580">
        <f t="shared" si="628"/>
        <v>2.5</v>
      </c>
      <c r="AG7574" s="580">
        <f t="shared" si="629"/>
        <v>0</v>
      </c>
      <c r="AH7574" s="580">
        <f t="shared" si="630"/>
        <v>0</v>
      </c>
    </row>
    <row r="7575" spans="28:34">
      <c r="AB7575" s="580">
        <f>HLOOKUP("*"&amp;'Output annual'!$AC$2&amp;'Output annual'!$AD$2&amp;"*Zone People Number Of Occupants [](Hourly)",'Eplus results'!$1:$1048576,ROW(),FALSE)</f>
        <v>0</v>
      </c>
      <c r="AC7575" s="580">
        <f>HLOOKUP("*"&amp;'Output annual'!$AC$2&amp;'Output annual'!$AD$2&amp;"*FangerPMV(Hourly)",'Eplus results'!$1:$1048576,ROW(),FALSE)</f>
        <v>0</v>
      </c>
      <c r="AD7575" s="580">
        <f t="shared" si="626"/>
        <v>5</v>
      </c>
      <c r="AE7575" s="580">
        <f t="shared" si="627"/>
        <v>2.5</v>
      </c>
      <c r="AF7575" s="580">
        <f t="shared" si="628"/>
        <v>2.5</v>
      </c>
      <c r="AG7575" s="580">
        <f t="shared" si="629"/>
        <v>0</v>
      </c>
      <c r="AH7575" s="580">
        <f t="shared" si="630"/>
        <v>0</v>
      </c>
    </row>
    <row r="7576" spans="28:34">
      <c r="AB7576" s="580">
        <f>HLOOKUP("*"&amp;'Output annual'!$AC$2&amp;'Output annual'!$AD$2&amp;"*Zone People Number Of Occupants [](Hourly)",'Eplus results'!$1:$1048576,ROW(),FALSE)</f>
        <v>0</v>
      </c>
      <c r="AC7576" s="580">
        <f>HLOOKUP("*"&amp;'Output annual'!$AC$2&amp;'Output annual'!$AD$2&amp;"*FangerPMV(Hourly)",'Eplus results'!$1:$1048576,ROW(),FALSE)</f>
        <v>0</v>
      </c>
      <c r="AD7576" s="580">
        <f t="shared" si="626"/>
        <v>5</v>
      </c>
      <c r="AE7576" s="580">
        <f t="shared" si="627"/>
        <v>2.5</v>
      </c>
      <c r="AF7576" s="580">
        <f t="shared" si="628"/>
        <v>2.5</v>
      </c>
      <c r="AG7576" s="580">
        <f t="shared" si="629"/>
        <v>0</v>
      </c>
      <c r="AH7576" s="580">
        <f t="shared" si="630"/>
        <v>0</v>
      </c>
    </row>
    <row r="7577" spans="28:34">
      <c r="AB7577" s="580">
        <f>HLOOKUP("*"&amp;'Output annual'!$AC$2&amp;'Output annual'!$AD$2&amp;"*Zone People Number Of Occupants [](Hourly)",'Eplus results'!$1:$1048576,ROW(),FALSE)</f>
        <v>0</v>
      </c>
      <c r="AC7577" s="580">
        <f>HLOOKUP("*"&amp;'Output annual'!$AC$2&amp;'Output annual'!$AD$2&amp;"*FangerPMV(Hourly)",'Eplus results'!$1:$1048576,ROW(),FALSE)</f>
        <v>0</v>
      </c>
      <c r="AD7577" s="580">
        <f t="shared" si="626"/>
        <v>5</v>
      </c>
      <c r="AE7577" s="580">
        <f t="shared" si="627"/>
        <v>2.5</v>
      </c>
      <c r="AF7577" s="580">
        <f t="shared" si="628"/>
        <v>2.5</v>
      </c>
      <c r="AG7577" s="580">
        <f t="shared" si="629"/>
        <v>0</v>
      </c>
      <c r="AH7577" s="580">
        <f t="shared" si="630"/>
        <v>0</v>
      </c>
    </row>
    <row r="7578" spans="28:34">
      <c r="AB7578" s="580">
        <f>HLOOKUP("*"&amp;'Output annual'!$AC$2&amp;'Output annual'!$AD$2&amp;"*Zone People Number Of Occupants [](Hourly)",'Eplus results'!$1:$1048576,ROW(),FALSE)</f>
        <v>0</v>
      </c>
      <c r="AC7578" s="580">
        <f>HLOOKUP("*"&amp;'Output annual'!$AC$2&amp;'Output annual'!$AD$2&amp;"*FangerPMV(Hourly)",'Eplus results'!$1:$1048576,ROW(),FALSE)</f>
        <v>0</v>
      </c>
      <c r="AD7578" s="580">
        <f t="shared" si="626"/>
        <v>5</v>
      </c>
      <c r="AE7578" s="580">
        <f t="shared" si="627"/>
        <v>2.5</v>
      </c>
      <c r="AF7578" s="580">
        <f t="shared" si="628"/>
        <v>2.5</v>
      </c>
      <c r="AG7578" s="580">
        <f t="shared" si="629"/>
        <v>0</v>
      </c>
      <c r="AH7578" s="580">
        <f t="shared" si="630"/>
        <v>0</v>
      </c>
    </row>
    <row r="7579" spans="28:34">
      <c r="AB7579" s="580">
        <f>HLOOKUP("*"&amp;'Output annual'!$AC$2&amp;'Output annual'!$AD$2&amp;"*Zone People Number Of Occupants [](Hourly)",'Eplus results'!$1:$1048576,ROW(),FALSE)</f>
        <v>0</v>
      </c>
      <c r="AC7579" s="580">
        <f>HLOOKUP("*"&amp;'Output annual'!$AC$2&amp;'Output annual'!$AD$2&amp;"*FangerPMV(Hourly)",'Eplus results'!$1:$1048576,ROW(),FALSE)</f>
        <v>0</v>
      </c>
      <c r="AD7579" s="580">
        <f t="shared" si="626"/>
        <v>5</v>
      </c>
      <c r="AE7579" s="580">
        <f t="shared" si="627"/>
        <v>2.5</v>
      </c>
      <c r="AF7579" s="580">
        <f t="shared" si="628"/>
        <v>2.5</v>
      </c>
      <c r="AG7579" s="580">
        <f t="shared" si="629"/>
        <v>0</v>
      </c>
      <c r="AH7579" s="580">
        <f t="shared" si="630"/>
        <v>0</v>
      </c>
    </row>
    <row r="7580" spans="28:34">
      <c r="AB7580" s="580">
        <f>HLOOKUP("*"&amp;'Output annual'!$AC$2&amp;'Output annual'!$AD$2&amp;"*Zone People Number Of Occupants [](Hourly)",'Eplus results'!$1:$1048576,ROW(),FALSE)</f>
        <v>0</v>
      </c>
      <c r="AC7580" s="580">
        <f>HLOOKUP("*"&amp;'Output annual'!$AC$2&amp;'Output annual'!$AD$2&amp;"*FangerPMV(Hourly)",'Eplus results'!$1:$1048576,ROW(),FALSE)</f>
        <v>0</v>
      </c>
      <c r="AD7580" s="580">
        <f t="shared" si="626"/>
        <v>5</v>
      </c>
      <c r="AE7580" s="580">
        <f t="shared" si="627"/>
        <v>2.5</v>
      </c>
      <c r="AF7580" s="580">
        <f t="shared" si="628"/>
        <v>2.5</v>
      </c>
      <c r="AG7580" s="580">
        <f t="shared" si="629"/>
        <v>0</v>
      </c>
      <c r="AH7580" s="580">
        <f t="shared" si="630"/>
        <v>0</v>
      </c>
    </row>
    <row r="7581" spans="28:34">
      <c r="AB7581" s="580">
        <f>HLOOKUP("*"&amp;'Output annual'!$AC$2&amp;'Output annual'!$AD$2&amp;"*Zone People Number Of Occupants [](Hourly)",'Eplus results'!$1:$1048576,ROW(),FALSE)</f>
        <v>0</v>
      </c>
      <c r="AC7581" s="580">
        <f>HLOOKUP("*"&amp;'Output annual'!$AC$2&amp;'Output annual'!$AD$2&amp;"*FangerPMV(Hourly)",'Eplus results'!$1:$1048576,ROW(),FALSE)</f>
        <v>0</v>
      </c>
      <c r="AD7581" s="580">
        <f t="shared" si="626"/>
        <v>5</v>
      </c>
      <c r="AE7581" s="580">
        <f t="shared" si="627"/>
        <v>2.5</v>
      </c>
      <c r="AF7581" s="580">
        <f t="shared" si="628"/>
        <v>2.5</v>
      </c>
      <c r="AG7581" s="580">
        <f t="shared" si="629"/>
        <v>0</v>
      </c>
      <c r="AH7581" s="580">
        <f t="shared" si="630"/>
        <v>0</v>
      </c>
    </row>
    <row r="7582" spans="28:34">
      <c r="AB7582" s="580">
        <f>HLOOKUP("*"&amp;'Output annual'!$AC$2&amp;'Output annual'!$AD$2&amp;"*Zone People Number Of Occupants [](Hourly)",'Eplus results'!$1:$1048576,ROW(),FALSE)</f>
        <v>0</v>
      </c>
      <c r="AC7582" s="580">
        <f>HLOOKUP("*"&amp;'Output annual'!$AC$2&amp;'Output annual'!$AD$2&amp;"*FangerPMV(Hourly)",'Eplus results'!$1:$1048576,ROW(),FALSE)</f>
        <v>0</v>
      </c>
      <c r="AD7582" s="580">
        <f t="shared" si="626"/>
        <v>5</v>
      </c>
      <c r="AE7582" s="580">
        <f t="shared" si="627"/>
        <v>2.5</v>
      </c>
      <c r="AF7582" s="580">
        <f t="shared" si="628"/>
        <v>2.5</v>
      </c>
      <c r="AG7582" s="580">
        <f t="shared" si="629"/>
        <v>0</v>
      </c>
      <c r="AH7582" s="580">
        <f t="shared" si="630"/>
        <v>0</v>
      </c>
    </row>
    <row r="7583" spans="28:34">
      <c r="AB7583" s="580">
        <f>HLOOKUP("*"&amp;'Output annual'!$AC$2&amp;'Output annual'!$AD$2&amp;"*Zone People Number Of Occupants [](Hourly)",'Eplus results'!$1:$1048576,ROW(),FALSE)</f>
        <v>0</v>
      </c>
      <c r="AC7583" s="580">
        <f>HLOOKUP("*"&amp;'Output annual'!$AC$2&amp;'Output annual'!$AD$2&amp;"*FangerPMV(Hourly)",'Eplus results'!$1:$1048576,ROW(),FALSE)</f>
        <v>0</v>
      </c>
      <c r="AD7583" s="580">
        <f t="shared" si="626"/>
        <v>5</v>
      </c>
      <c r="AE7583" s="580">
        <f t="shared" si="627"/>
        <v>2.5</v>
      </c>
      <c r="AF7583" s="580">
        <f t="shared" si="628"/>
        <v>2.5</v>
      </c>
      <c r="AG7583" s="580">
        <f t="shared" si="629"/>
        <v>0</v>
      </c>
      <c r="AH7583" s="580">
        <f t="shared" si="630"/>
        <v>0</v>
      </c>
    </row>
    <row r="7584" spans="28:34">
      <c r="AB7584" s="580">
        <f>HLOOKUP("*"&amp;'Output annual'!$AC$2&amp;'Output annual'!$AD$2&amp;"*Zone People Number Of Occupants [](Hourly)",'Eplus results'!$1:$1048576,ROW(),FALSE)</f>
        <v>0</v>
      </c>
      <c r="AC7584" s="580">
        <f>HLOOKUP("*"&amp;'Output annual'!$AC$2&amp;'Output annual'!$AD$2&amp;"*FangerPMV(Hourly)",'Eplus results'!$1:$1048576,ROW(),FALSE)</f>
        <v>0</v>
      </c>
      <c r="AD7584" s="580">
        <f t="shared" si="626"/>
        <v>5</v>
      </c>
      <c r="AE7584" s="580">
        <f t="shared" si="627"/>
        <v>2.5</v>
      </c>
      <c r="AF7584" s="580">
        <f t="shared" si="628"/>
        <v>2.5</v>
      </c>
      <c r="AG7584" s="580">
        <f t="shared" si="629"/>
        <v>0</v>
      </c>
      <c r="AH7584" s="580">
        <f t="shared" si="630"/>
        <v>0</v>
      </c>
    </row>
    <row r="7585" spans="28:34">
      <c r="AB7585" s="580">
        <f>HLOOKUP("*"&amp;'Output annual'!$AC$2&amp;'Output annual'!$AD$2&amp;"*Zone People Number Of Occupants [](Hourly)",'Eplus results'!$1:$1048576,ROW(),FALSE)</f>
        <v>0</v>
      </c>
      <c r="AC7585" s="580">
        <f>HLOOKUP("*"&amp;'Output annual'!$AC$2&amp;'Output annual'!$AD$2&amp;"*FangerPMV(Hourly)",'Eplus results'!$1:$1048576,ROW(),FALSE)</f>
        <v>0</v>
      </c>
      <c r="AD7585" s="580">
        <f t="shared" si="626"/>
        <v>5</v>
      </c>
      <c r="AE7585" s="580">
        <f t="shared" si="627"/>
        <v>2.5</v>
      </c>
      <c r="AF7585" s="580">
        <f t="shared" si="628"/>
        <v>2.5</v>
      </c>
      <c r="AG7585" s="580">
        <f t="shared" si="629"/>
        <v>0</v>
      </c>
      <c r="AH7585" s="580">
        <f t="shared" si="630"/>
        <v>0</v>
      </c>
    </row>
    <row r="7586" spans="28:34">
      <c r="AB7586" s="580">
        <f>HLOOKUP("*"&amp;'Output annual'!$AC$2&amp;'Output annual'!$AD$2&amp;"*Zone People Number Of Occupants [](Hourly)",'Eplus results'!$1:$1048576,ROW(),FALSE)</f>
        <v>0</v>
      </c>
      <c r="AC7586" s="580">
        <f>HLOOKUP("*"&amp;'Output annual'!$AC$2&amp;'Output annual'!$AD$2&amp;"*FangerPMV(Hourly)",'Eplus results'!$1:$1048576,ROW(),FALSE)</f>
        <v>0</v>
      </c>
      <c r="AD7586" s="580">
        <f t="shared" si="626"/>
        <v>5</v>
      </c>
      <c r="AE7586" s="580">
        <f t="shared" si="627"/>
        <v>2.5</v>
      </c>
      <c r="AF7586" s="580">
        <f t="shared" si="628"/>
        <v>2.5</v>
      </c>
      <c r="AG7586" s="580">
        <f t="shared" si="629"/>
        <v>0</v>
      </c>
      <c r="AH7586" s="580">
        <f t="shared" si="630"/>
        <v>0</v>
      </c>
    </row>
    <row r="7587" spans="28:34">
      <c r="AB7587" s="580">
        <f>HLOOKUP("*"&amp;'Output annual'!$AC$2&amp;'Output annual'!$AD$2&amp;"*Zone People Number Of Occupants [](Hourly)",'Eplus results'!$1:$1048576,ROW(),FALSE)</f>
        <v>0</v>
      </c>
      <c r="AC7587" s="580">
        <f>HLOOKUP("*"&amp;'Output annual'!$AC$2&amp;'Output annual'!$AD$2&amp;"*FangerPMV(Hourly)",'Eplus results'!$1:$1048576,ROW(),FALSE)</f>
        <v>0</v>
      </c>
      <c r="AD7587" s="580">
        <f t="shared" si="626"/>
        <v>5</v>
      </c>
      <c r="AE7587" s="580">
        <f t="shared" si="627"/>
        <v>2.5</v>
      </c>
      <c r="AF7587" s="580">
        <f t="shared" si="628"/>
        <v>2.5</v>
      </c>
      <c r="AG7587" s="580">
        <f t="shared" si="629"/>
        <v>0</v>
      </c>
      <c r="AH7587" s="580">
        <f t="shared" si="630"/>
        <v>0</v>
      </c>
    </row>
    <row r="7588" spans="28:34">
      <c r="AB7588" s="580">
        <f>HLOOKUP("*"&amp;'Output annual'!$AC$2&amp;'Output annual'!$AD$2&amp;"*Zone People Number Of Occupants [](Hourly)",'Eplus results'!$1:$1048576,ROW(),FALSE)</f>
        <v>0</v>
      </c>
      <c r="AC7588" s="580">
        <f>HLOOKUP("*"&amp;'Output annual'!$AC$2&amp;'Output annual'!$AD$2&amp;"*FangerPMV(Hourly)",'Eplus results'!$1:$1048576,ROW(),FALSE)</f>
        <v>0</v>
      </c>
      <c r="AD7588" s="580">
        <f t="shared" si="626"/>
        <v>5</v>
      </c>
      <c r="AE7588" s="580">
        <f t="shared" si="627"/>
        <v>2.5</v>
      </c>
      <c r="AF7588" s="580">
        <f t="shared" si="628"/>
        <v>2.5</v>
      </c>
      <c r="AG7588" s="580">
        <f t="shared" si="629"/>
        <v>0</v>
      </c>
      <c r="AH7588" s="580">
        <f t="shared" si="630"/>
        <v>0</v>
      </c>
    </row>
    <row r="7589" spans="28:34">
      <c r="AB7589" s="580">
        <f>HLOOKUP("*"&amp;'Output annual'!$AC$2&amp;'Output annual'!$AD$2&amp;"*Zone People Number Of Occupants [](Hourly)",'Eplus results'!$1:$1048576,ROW(),FALSE)</f>
        <v>0</v>
      </c>
      <c r="AC7589" s="580">
        <f>HLOOKUP("*"&amp;'Output annual'!$AC$2&amp;'Output annual'!$AD$2&amp;"*FangerPMV(Hourly)",'Eplus results'!$1:$1048576,ROW(),FALSE)</f>
        <v>0</v>
      </c>
      <c r="AD7589" s="580">
        <f t="shared" si="626"/>
        <v>5</v>
      </c>
      <c r="AE7589" s="580">
        <f t="shared" si="627"/>
        <v>2.5</v>
      </c>
      <c r="AF7589" s="580">
        <f t="shared" si="628"/>
        <v>2.5</v>
      </c>
      <c r="AG7589" s="580">
        <f t="shared" si="629"/>
        <v>0</v>
      </c>
      <c r="AH7589" s="580">
        <f t="shared" si="630"/>
        <v>0</v>
      </c>
    </row>
    <row r="7590" spans="28:34">
      <c r="AB7590" s="580">
        <f>HLOOKUP("*"&amp;'Output annual'!$AC$2&amp;'Output annual'!$AD$2&amp;"*Zone People Number Of Occupants [](Hourly)",'Eplus results'!$1:$1048576,ROW(),FALSE)</f>
        <v>0</v>
      </c>
      <c r="AC7590" s="580">
        <f>HLOOKUP("*"&amp;'Output annual'!$AC$2&amp;'Output annual'!$AD$2&amp;"*FangerPMV(Hourly)",'Eplus results'!$1:$1048576,ROW(),FALSE)</f>
        <v>0</v>
      </c>
      <c r="AD7590" s="580">
        <f t="shared" si="626"/>
        <v>5</v>
      </c>
      <c r="AE7590" s="580">
        <f t="shared" si="627"/>
        <v>2.5</v>
      </c>
      <c r="AF7590" s="580">
        <f t="shared" si="628"/>
        <v>2.5</v>
      </c>
      <c r="AG7590" s="580">
        <f t="shared" si="629"/>
        <v>0</v>
      </c>
      <c r="AH7590" s="580">
        <f t="shared" si="630"/>
        <v>0</v>
      </c>
    </row>
    <row r="7591" spans="28:34">
      <c r="AB7591" s="580">
        <f>HLOOKUP("*"&amp;'Output annual'!$AC$2&amp;'Output annual'!$AD$2&amp;"*Zone People Number Of Occupants [](Hourly)",'Eplus results'!$1:$1048576,ROW(),FALSE)</f>
        <v>0</v>
      </c>
      <c r="AC7591" s="580">
        <f>HLOOKUP("*"&amp;'Output annual'!$AC$2&amp;'Output annual'!$AD$2&amp;"*FangerPMV(Hourly)",'Eplus results'!$1:$1048576,ROW(),FALSE)</f>
        <v>0</v>
      </c>
      <c r="AD7591" s="580">
        <f t="shared" si="626"/>
        <v>5</v>
      </c>
      <c r="AE7591" s="580">
        <f t="shared" si="627"/>
        <v>2.5</v>
      </c>
      <c r="AF7591" s="580">
        <f t="shared" si="628"/>
        <v>2.5</v>
      </c>
      <c r="AG7591" s="580">
        <f t="shared" si="629"/>
        <v>0</v>
      </c>
      <c r="AH7591" s="580">
        <f t="shared" si="630"/>
        <v>0</v>
      </c>
    </row>
    <row r="7592" spans="28:34">
      <c r="AB7592" s="580">
        <f>HLOOKUP("*"&amp;'Output annual'!$AC$2&amp;'Output annual'!$AD$2&amp;"*Zone People Number Of Occupants [](Hourly)",'Eplus results'!$1:$1048576,ROW(),FALSE)</f>
        <v>0</v>
      </c>
      <c r="AC7592" s="580">
        <f>HLOOKUP("*"&amp;'Output annual'!$AC$2&amp;'Output annual'!$AD$2&amp;"*FangerPMV(Hourly)",'Eplus results'!$1:$1048576,ROW(),FALSE)</f>
        <v>0</v>
      </c>
      <c r="AD7592" s="580">
        <f t="shared" si="626"/>
        <v>5</v>
      </c>
      <c r="AE7592" s="580">
        <f t="shared" si="627"/>
        <v>2.5</v>
      </c>
      <c r="AF7592" s="580">
        <f t="shared" si="628"/>
        <v>2.5</v>
      </c>
      <c r="AG7592" s="580">
        <f t="shared" si="629"/>
        <v>0</v>
      </c>
      <c r="AH7592" s="580">
        <f t="shared" si="630"/>
        <v>0</v>
      </c>
    </row>
    <row r="7593" spans="28:34">
      <c r="AB7593" s="580">
        <f>HLOOKUP("*"&amp;'Output annual'!$AC$2&amp;'Output annual'!$AD$2&amp;"*Zone People Number Of Occupants [](Hourly)",'Eplus results'!$1:$1048576,ROW(),FALSE)</f>
        <v>0</v>
      </c>
      <c r="AC7593" s="580">
        <f>HLOOKUP("*"&amp;'Output annual'!$AC$2&amp;'Output annual'!$AD$2&amp;"*FangerPMV(Hourly)",'Eplus results'!$1:$1048576,ROW(),FALSE)</f>
        <v>0</v>
      </c>
      <c r="AD7593" s="580">
        <f t="shared" si="626"/>
        <v>5</v>
      </c>
      <c r="AE7593" s="580">
        <f t="shared" si="627"/>
        <v>2.5</v>
      </c>
      <c r="AF7593" s="580">
        <f t="shared" si="628"/>
        <v>2.5</v>
      </c>
      <c r="AG7593" s="580">
        <f t="shared" si="629"/>
        <v>0</v>
      </c>
      <c r="AH7593" s="580">
        <f t="shared" si="630"/>
        <v>0</v>
      </c>
    </row>
    <row r="7594" spans="28:34">
      <c r="AB7594" s="580">
        <f>HLOOKUP("*"&amp;'Output annual'!$AC$2&amp;'Output annual'!$AD$2&amp;"*Zone People Number Of Occupants [](Hourly)",'Eplus results'!$1:$1048576,ROW(),FALSE)</f>
        <v>0</v>
      </c>
      <c r="AC7594" s="580">
        <f>HLOOKUP("*"&amp;'Output annual'!$AC$2&amp;'Output annual'!$AD$2&amp;"*FangerPMV(Hourly)",'Eplus results'!$1:$1048576,ROW(),FALSE)</f>
        <v>0</v>
      </c>
      <c r="AD7594" s="580">
        <f t="shared" si="626"/>
        <v>5</v>
      </c>
      <c r="AE7594" s="580">
        <f t="shared" si="627"/>
        <v>2.5</v>
      </c>
      <c r="AF7594" s="580">
        <f t="shared" si="628"/>
        <v>2.5</v>
      </c>
      <c r="AG7594" s="580">
        <f t="shared" si="629"/>
        <v>0</v>
      </c>
      <c r="AH7594" s="580">
        <f t="shared" si="630"/>
        <v>0</v>
      </c>
    </row>
    <row r="7595" spans="28:34">
      <c r="AB7595" s="580">
        <f>HLOOKUP("*"&amp;'Output annual'!$AC$2&amp;'Output annual'!$AD$2&amp;"*Zone People Number Of Occupants [](Hourly)",'Eplus results'!$1:$1048576,ROW(),FALSE)</f>
        <v>0</v>
      </c>
      <c r="AC7595" s="580">
        <f>HLOOKUP("*"&amp;'Output annual'!$AC$2&amp;'Output annual'!$AD$2&amp;"*FangerPMV(Hourly)",'Eplus results'!$1:$1048576,ROW(),FALSE)</f>
        <v>0</v>
      </c>
      <c r="AD7595" s="580">
        <f t="shared" si="626"/>
        <v>5</v>
      </c>
      <c r="AE7595" s="580">
        <f t="shared" si="627"/>
        <v>2.5</v>
      </c>
      <c r="AF7595" s="580">
        <f t="shared" si="628"/>
        <v>2.5</v>
      </c>
      <c r="AG7595" s="580">
        <f t="shared" si="629"/>
        <v>0</v>
      </c>
      <c r="AH7595" s="580">
        <f t="shared" si="630"/>
        <v>0</v>
      </c>
    </row>
    <row r="7596" spans="28:34">
      <c r="AB7596" s="580">
        <f>HLOOKUP("*"&amp;'Output annual'!$AC$2&amp;'Output annual'!$AD$2&amp;"*Zone People Number Of Occupants [](Hourly)",'Eplus results'!$1:$1048576,ROW(),FALSE)</f>
        <v>0</v>
      </c>
      <c r="AC7596" s="580">
        <f>HLOOKUP("*"&amp;'Output annual'!$AC$2&amp;'Output annual'!$AD$2&amp;"*FangerPMV(Hourly)",'Eplus results'!$1:$1048576,ROW(),FALSE)</f>
        <v>0</v>
      </c>
      <c r="AD7596" s="580">
        <f t="shared" si="626"/>
        <v>5</v>
      </c>
      <c r="AE7596" s="580">
        <f t="shared" si="627"/>
        <v>2.5</v>
      </c>
      <c r="AF7596" s="580">
        <f t="shared" si="628"/>
        <v>2.5</v>
      </c>
      <c r="AG7596" s="580">
        <f t="shared" si="629"/>
        <v>0</v>
      </c>
      <c r="AH7596" s="580">
        <f t="shared" si="630"/>
        <v>0</v>
      </c>
    </row>
    <row r="7597" spans="28:34">
      <c r="AB7597" s="580">
        <f>HLOOKUP("*"&amp;'Output annual'!$AC$2&amp;'Output annual'!$AD$2&amp;"*Zone People Number Of Occupants [](Hourly)",'Eplus results'!$1:$1048576,ROW(),FALSE)</f>
        <v>0</v>
      </c>
      <c r="AC7597" s="580">
        <f>HLOOKUP("*"&amp;'Output annual'!$AC$2&amp;'Output annual'!$AD$2&amp;"*FangerPMV(Hourly)",'Eplus results'!$1:$1048576,ROW(),FALSE)</f>
        <v>0</v>
      </c>
      <c r="AD7597" s="580">
        <f t="shared" si="626"/>
        <v>5</v>
      </c>
      <c r="AE7597" s="580">
        <f t="shared" si="627"/>
        <v>2.5</v>
      </c>
      <c r="AF7597" s="580">
        <f t="shared" si="628"/>
        <v>2.5</v>
      </c>
      <c r="AG7597" s="580">
        <f t="shared" si="629"/>
        <v>0</v>
      </c>
      <c r="AH7597" s="580">
        <f t="shared" si="630"/>
        <v>0</v>
      </c>
    </row>
    <row r="7598" spans="28:34">
      <c r="AB7598" s="580">
        <f>HLOOKUP("*"&amp;'Output annual'!$AC$2&amp;'Output annual'!$AD$2&amp;"*Zone People Number Of Occupants [](Hourly)",'Eplus results'!$1:$1048576,ROW(),FALSE)</f>
        <v>0</v>
      </c>
      <c r="AC7598" s="580">
        <f>HLOOKUP("*"&amp;'Output annual'!$AC$2&amp;'Output annual'!$AD$2&amp;"*FangerPMV(Hourly)",'Eplus results'!$1:$1048576,ROW(),FALSE)</f>
        <v>0</v>
      </c>
      <c r="AD7598" s="580">
        <f t="shared" si="626"/>
        <v>5</v>
      </c>
      <c r="AE7598" s="580">
        <f t="shared" si="627"/>
        <v>2.5</v>
      </c>
      <c r="AF7598" s="580">
        <f t="shared" si="628"/>
        <v>2.5</v>
      </c>
      <c r="AG7598" s="580">
        <f t="shared" si="629"/>
        <v>0</v>
      </c>
      <c r="AH7598" s="580">
        <f t="shared" si="630"/>
        <v>0</v>
      </c>
    </row>
    <row r="7599" spans="28:34">
      <c r="AB7599" s="580">
        <f>HLOOKUP("*"&amp;'Output annual'!$AC$2&amp;'Output annual'!$AD$2&amp;"*Zone People Number Of Occupants [](Hourly)",'Eplus results'!$1:$1048576,ROW(),FALSE)</f>
        <v>0</v>
      </c>
      <c r="AC7599" s="580">
        <f>HLOOKUP("*"&amp;'Output annual'!$AC$2&amp;'Output annual'!$AD$2&amp;"*FangerPMV(Hourly)",'Eplus results'!$1:$1048576,ROW(),FALSE)</f>
        <v>0</v>
      </c>
      <c r="AD7599" s="580">
        <f t="shared" si="626"/>
        <v>5</v>
      </c>
      <c r="AE7599" s="580">
        <f t="shared" si="627"/>
        <v>2.5</v>
      </c>
      <c r="AF7599" s="580">
        <f t="shared" si="628"/>
        <v>2.5</v>
      </c>
      <c r="AG7599" s="580">
        <f t="shared" si="629"/>
        <v>0</v>
      </c>
      <c r="AH7599" s="580">
        <f t="shared" si="630"/>
        <v>0</v>
      </c>
    </row>
    <row r="7600" spans="28:34">
      <c r="AB7600" s="580">
        <f>HLOOKUP("*"&amp;'Output annual'!$AC$2&amp;'Output annual'!$AD$2&amp;"*Zone People Number Of Occupants [](Hourly)",'Eplus results'!$1:$1048576,ROW(),FALSE)</f>
        <v>0</v>
      </c>
      <c r="AC7600" s="580">
        <f>HLOOKUP("*"&amp;'Output annual'!$AC$2&amp;'Output annual'!$AD$2&amp;"*FangerPMV(Hourly)",'Eplus results'!$1:$1048576,ROW(),FALSE)</f>
        <v>0</v>
      </c>
      <c r="AD7600" s="580">
        <f t="shared" si="626"/>
        <v>5</v>
      </c>
      <c r="AE7600" s="580">
        <f t="shared" si="627"/>
        <v>2.5</v>
      </c>
      <c r="AF7600" s="580">
        <f t="shared" si="628"/>
        <v>2.5</v>
      </c>
      <c r="AG7600" s="580">
        <f t="shared" si="629"/>
        <v>0</v>
      </c>
      <c r="AH7600" s="580">
        <f t="shared" si="630"/>
        <v>0</v>
      </c>
    </row>
    <row r="7601" spans="28:34">
      <c r="AB7601" s="580">
        <f>HLOOKUP("*"&amp;'Output annual'!$AC$2&amp;'Output annual'!$AD$2&amp;"*Zone People Number Of Occupants [](Hourly)",'Eplus results'!$1:$1048576,ROW(),FALSE)</f>
        <v>0</v>
      </c>
      <c r="AC7601" s="580">
        <f>HLOOKUP("*"&amp;'Output annual'!$AC$2&amp;'Output annual'!$AD$2&amp;"*FangerPMV(Hourly)",'Eplus results'!$1:$1048576,ROW(),FALSE)</f>
        <v>0</v>
      </c>
      <c r="AD7601" s="580">
        <f t="shared" si="626"/>
        <v>5</v>
      </c>
      <c r="AE7601" s="580">
        <f t="shared" si="627"/>
        <v>2.5</v>
      </c>
      <c r="AF7601" s="580">
        <f t="shared" si="628"/>
        <v>2.5</v>
      </c>
      <c r="AG7601" s="580">
        <f t="shared" si="629"/>
        <v>0</v>
      </c>
      <c r="AH7601" s="580">
        <f t="shared" si="630"/>
        <v>0</v>
      </c>
    </row>
    <row r="7602" spans="28:34">
      <c r="AB7602" s="580">
        <f>HLOOKUP("*"&amp;'Output annual'!$AC$2&amp;'Output annual'!$AD$2&amp;"*Zone People Number Of Occupants [](Hourly)",'Eplus results'!$1:$1048576,ROW(),FALSE)</f>
        <v>0</v>
      </c>
      <c r="AC7602" s="580">
        <f>HLOOKUP("*"&amp;'Output annual'!$AC$2&amp;'Output annual'!$AD$2&amp;"*FangerPMV(Hourly)",'Eplus results'!$1:$1048576,ROW(),FALSE)</f>
        <v>0</v>
      </c>
      <c r="AD7602" s="580">
        <f t="shared" si="626"/>
        <v>5</v>
      </c>
      <c r="AE7602" s="580">
        <f t="shared" si="627"/>
        <v>2.5</v>
      </c>
      <c r="AF7602" s="580">
        <f t="shared" si="628"/>
        <v>2.5</v>
      </c>
      <c r="AG7602" s="580">
        <f t="shared" si="629"/>
        <v>0</v>
      </c>
      <c r="AH7602" s="580">
        <f t="shared" si="630"/>
        <v>0</v>
      </c>
    </row>
    <row r="7603" spans="28:34">
      <c r="AB7603" s="580">
        <f>HLOOKUP("*"&amp;'Output annual'!$AC$2&amp;'Output annual'!$AD$2&amp;"*Zone People Number Of Occupants [](Hourly)",'Eplus results'!$1:$1048576,ROW(),FALSE)</f>
        <v>0</v>
      </c>
      <c r="AC7603" s="580">
        <f>HLOOKUP("*"&amp;'Output annual'!$AC$2&amp;'Output annual'!$AD$2&amp;"*FangerPMV(Hourly)",'Eplus results'!$1:$1048576,ROW(),FALSE)</f>
        <v>0</v>
      </c>
      <c r="AD7603" s="580">
        <f t="shared" si="626"/>
        <v>5</v>
      </c>
      <c r="AE7603" s="580">
        <f t="shared" si="627"/>
        <v>2.5</v>
      </c>
      <c r="AF7603" s="580">
        <f t="shared" si="628"/>
        <v>2.5</v>
      </c>
      <c r="AG7603" s="580">
        <f t="shared" si="629"/>
        <v>0</v>
      </c>
      <c r="AH7603" s="580">
        <f t="shared" si="630"/>
        <v>0</v>
      </c>
    </row>
    <row r="7604" spans="28:34">
      <c r="AB7604" s="580">
        <f>HLOOKUP("*"&amp;'Output annual'!$AC$2&amp;'Output annual'!$AD$2&amp;"*Zone People Number Of Occupants [](Hourly)",'Eplus results'!$1:$1048576,ROW(),FALSE)</f>
        <v>0</v>
      </c>
      <c r="AC7604" s="580">
        <f>HLOOKUP("*"&amp;'Output annual'!$AC$2&amp;'Output annual'!$AD$2&amp;"*FangerPMV(Hourly)",'Eplus results'!$1:$1048576,ROW(),FALSE)</f>
        <v>0</v>
      </c>
      <c r="AD7604" s="580">
        <f t="shared" si="626"/>
        <v>5</v>
      </c>
      <c r="AE7604" s="580">
        <f t="shared" si="627"/>
        <v>2.5</v>
      </c>
      <c r="AF7604" s="580">
        <f t="shared" si="628"/>
        <v>2.5</v>
      </c>
      <c r="AG7604" s="580">
        <f t="shared" si="629"/>
        <v>0</v>
      </c>
      <c r="AH7604" s="580">
        <f t="shared" si="630"/>
        <v>0</v>
      </c>
    </row>
    <row r="7605" spans="28:34">
      <c r="AB7605" s="580">
        <f>HLOOKUP("*"&amp;'Output annual'!$AC$2&amp;'Output annual'!$AD$2&amp;"*Zone People Number Of Occupants [](Hourly)",'Eplus results'!$1:$1048576,ROW(),FALSE)</f>
        <v>0</v>
      </c>
      <c r="AC7605" s="580">
        <f>HLOOKUP("*"&amp;'Output annual'!$AC$2&amp;'Output annual'!$AD$2&amp;"*FangerPMV(Hourly)",'Eplus results'!$1:$1048576,ROW(),FALSE)</f>
        <v>0</v>
      </c>
      <c r="AD7605" s="580">
        <f t="shared" si="626"/>
        <v>5</v>
      </c>
      <c r="AE7605" s="580">
        <f t="shared" si="627"/>
        <v>2.5</v>
      </c>
      <c r="AF7605" s="580">
        <f t="shared" si="628"/>
        <v>2.5</v>
      </c>
      <c r="AG7605" s="580">
        <f t="shared" si="629"/>
        <v>0</v>
      </c>
      <c r="AH7605" s="580">
        <f t="shared" si="630"/>
        <v>0</v>
      </c>
    </row>
    <row r="7606" spans="28:34">
      <c r="AB7606" s="580">
        <f>HLOOKUP("*"&amp;'Output annual'!$AC$2&amp;'Output annual'!$AD$2&amp;"*Zone People Number Of Occupants [](Hourly)",'Eplus results'!$1:$1048576,ROW(),FALSE)</f>
        <v>0</v>
      </c>
      <c r="AC7606" s="580">
        <f>HLOOKUP("*"&amp;'Output annual'!$AC$2&amp;'Output annual'!$AD$2&amp;"*FangerPMV(Hourly)",'Eplus results'!$1:$1048576,ROW(),FALSE)</f>
        <v>0</v>
      </c>
      <c r="AD7606" s="580">
        <f t="shared" si="626"/>
        <v>5</v>
      </c>
      <c r="AE7606" s="580">
        <f t="shared" si="627"/>
        <v>2.5</v>
      </c>
      <c r="AF7606" s="580">
        <f t="shared" si="628"/>
        <v>2.5</v>
      </c>
      <c r="AG7606" s="580">
        <f t="shared" si="629"/>
        <v>0</v>
      </c>
      <c r="AH7606" s="580">
        <f t="shared" si="630"/>
        <v>0</v>
      </c>
    </row>
    <row r="7607" spans="28:34">
      <c r="AB7607" s="580">
        <f>HLOOKUP("*"&amp;'Output annual'!$AC$2&amp;'Output annual'!$AD$2&amp;"*Zone People Number Of Occupants [](Hourly)",'Eplus results'!$1:$1048576,ROW(),FALSE)</f>
        <v>0</v>
      </c>
      <c r="AC7607" s="580">
        <f>HLOOKUP("*"&amp;'Output annual'!$AC$2&amp;'Output annual'!$AD$2&amp;"*FangerPMV(Hourly)",'Eplus results'!$1:$1048576,ROW(),FALSE)</f>
        <v>0</v>
      </c>
      <c r="AD7607" s="580">
        <f t="shared" si="626"/>
        <v>5</v>
      </c>
      <c r="AE7607" s="580">
        <f t="shared" si="627"/>
        <v>2.5</v>
      </c>
      <c r="AF7607" s="580">
        <f t="shared" si="628"/>
        <v>2.5</v>
      </c>
      <c r="AG7607" s="580">
        <f t="shared" si="629"/>
        <v>0</v>
      </c>
      <c r="AH7607" s="580">
        <f t="shared" si="630"/>
        <v>0</v>
      </c>
    </row>
    <row r="7608" spans="28:34">
      <c r="AB7608" s="580">
        <f>HLOOKUP("*"&amp;'Output annual'!$AC$2&amp;'Output annual'!$AD$2&amp;"*Zone People Number Of Occupants [](Hourly)",'Eplus results'!$1:$1048576,ROW(),FALSE)</f>
        <v>0</v>
      </c>
      <c r="AC7608" s="580">
        <f>HLOOKUP("*"&amp;'Output annual'!$AC$2&amp;'Output annual'!$AD$2&amp;"*FangerPMV(Hourly)",'Eplus results'!$1:$1048576,ROW(),FALSE)</f>
        <v>0</v>
      </c>
      <c r="AD7608" s="580">
        <f t="shared" si="626"/>
        <v>5</v>
      </c>
      <c r="AE7608" s="580">
        <f t="shared" si="627"/>
        <v>2.5</v>
      </c>
      <c r="AF7608" s="580">
        <f t="shared" si="628"/>
        <v>2.5</v>
      </c>
      <c r="AG7608" s="580">
        <f t="shared" si="629"/>
        <v>0</v>
      </c>
      <c r="AH7608" s="580">
        <f t="shared" si="630"/>
        <v>0</v>
      </c>
    </row>
    <row r="7609" spans="28:34">
      <c r="AB7609" s="580">
        <f>HLOOKUP("*"&amp;'Output annual'!$AC$2&amp;'Output annual'!$AD$2&amp;"*Zone People Number Of Occupants [](Hourly)",'Eplus results'!$1:$1048576,ROW(),FALSE)</f>
        <v>0</v>
      </c>
      <c r="AC7609" s="580">
        <f>HLOOKUP("*"&amp;'Output annual'!$AC$2&amp;'Output annual'!$AD$2&amp;"*FangerPMV(Hourly)",'Eplus results'!$1:$1048576,ROW(),FALSE)</f>
        <v>0</v>
      </c>
      <c r="AD7609" s="580">
        <f t="shared" si="626"/>
        <v>5</v>
      </c>
      <c r="AE7609" s="580">
        <f t="shared" si="627"/>
        <v>2.5</v>
      </c>
      <c r="AF7609" s="580">
        <f t="shared" si="628"/>
        <v>2.5</v>
      </c>
      <c r="AG7609" s="580">
        <f t="shared" si="629"/>
        <v>0</v>
      </c>
      <c r="AH7609" s="580">
        <f t="shared" si="630"/>
        <v>0</v>
      </c>
    </row>
    <row r="7610" spans="28:34">
      <c r="AB7610" s="580">
        <f>HLOOKUP("*"&amp;'Output annual'!$AC$2&amp;'Output annual'!$AD$2&amp;"*Zone People Number Of Occupants [](Hourly)",'Eplus results'!$1:$1048576,ROW(),FALSE)</f>
        <v>0</v>
      </c>
      <c r="AC7610" s="580">
        <f>HLOOKUP("*"&amp;'Output annual'!$AC$2&amp;'Output annual'!$AD$2&amp;"*FangerPMV(Hourly)",'Eplus results'!$1:$1048576,ROW(),FALSE)</f>
        <v>0</v>
      </c>
      <c r="AD7610" s="580">
        <f t="shared" si="626"/>
        <v>5</v>
      </c>
      <c r="AE7610" s="580">
        <f t="shared" si="627"/>
        <v>2.5</v>
      </c>
      <c r="AF7610" s="580">
        <f t="shared" si="628"/>
        <v>2.5</v>
      </c>
      <c r="AG7610" s="580">
        <f t="shared" si="629"/>
        <v>0</v>
      </c>
      <c r="AH7610" s="580">
        <f t="shared" si="630"/>
        <v>0</v>
      </c>
    </row>
    <row r="7611" spans="28:34">
      <c r="AB7611" s="580">
        <f>HLOOKUP("*"&amp;'Output annual'!$AC$2&amp;'Output annual'!$AD$2&amp;"*Zone People Number Of Occupants [](Hourly)",'Eplus results'!$1:$1048576,ROW(),FALSE)</f>
        <v>0</v>
      </c>
      <c r="AC7611" s="580">
        <f>HLOOKUP("*"&amp;'Output annual'!$AC$2&amp;'Output annual'!$AD$2&amp;"*FangerPMV(Hourly)",'Eplus results'!$1:$1048576,ROW(),FALSE)</f>
        <v>0</v>
      </c>
      <c r="AD7611" s="580">
        <f t="shared" si="626"/>
        <v>5</v>
      </c>
      <c r="AE7611" s="580">
        <f t="shared" si="627"/>
        <v>2.5</v>
      </c>
      <c r="AF7611" s="580">
        <f t="shared" si="628"/>
        <v>2.5</v>
      </c>
      <c r="AG7611" s="580">
        <f t="shared" si="629"/>
        <v>0</v>
      </c>
      <c r="AH7611" s="580">
        <f t="shared" si="630"/>
        <v>0</v>
      </c>
    </row>
    <row r="7612" spans="28:34">
      <c r="AB7612" s="580">
        <f>HLOOKUP("*"&amp;'Output annual'!$AC$2&amp;'Output annual'!$AD$2&amp;"*Zone People Number Of Occupants [](Hourly)",'Eplus results'!$1:$1048576,ROW(),FALSE)</f>
        <v>0</v>
      </c>
      <c r="AC7612" s="580">
        <f>HLOOKUP("*"&amp;'Output annual'!$AC$2&amp;'Output annual'!$AD$2&amp;"*FangerPMV(Hourly)",'Eplus results'!$1:$1048576,ROW(),FALSE)</f>
        <v>0</v>
      </c>
      <c r="AD7612" s="580">
        <f t="shared" si="626"/>
        <v>5</v>
      </c>
      <c r="AE7612" s="580">
        <f t="shared" si="627"/>
        <v>2.5</v>
      </c>
      <c r="AF7612" s="580">
        <f t="shared" si="628"/>
        <v>2.5</v>
      </c>
      <c r="AG7612" s="580">
        <f t="shared" si="629"/>
        <v>0</v>
      </c>
      <c r="AH7612" s="580">
        <f t="shared" si="630"/>
        <v>0</v>
      </c>
    </row>
    <row r="7613" spans="28:34">
      <c r="AB7613" s="580">
        <f>HLOOKUP("*"&amp;'Output annual'!$AC$2&amp;'Output annual'!$AD$2&amp;"*Zone People Number Of Occupants [](Hourly)",'Eplus results'!$1:$1048576,ROW(),FALSE)</f>
        <v>0</v>
      </c>
      <c r="AC7613" s="580">
        <f>HLOOKUP("*"&amp;'Output annual'!$AC$2&amp;'Output annual'!$AD$2&amp;"*FangerPMV(Hourly)",'Eplus results'!$1:$1048576,ROW(),FALSE)</f>
        <v>0</v>
      </c>
      <c r="AD7613" s="580">
        <f t="shared" si="626"/>
        <v>5</v>
      </c>
      <c r="AE7613" s="580">
        <f t="shared" si="627"/>
        <v>2.5</v>
      </c>
      <c r="AF7613" s="580">
        <f t="shared" si="628"/>
        <v>2.5</v>
      </c>
      <c r="AG7613" s="580">
        <f t="shared" si="629"/>
        <v>0</v>
      </c>
      <c r="AH7613" s="580">
        <f t="shared" si="630"/>
        <v>0</v>
      </c>
    </row>
    <row r="7614" spans="28:34">
      <c r="AB7614" s="580">
        <f>HLOOKUP("*"&amp;'Output annual'!$AC$2&amp;'Output annual'!$AD$2&amp;"*Zone People Number Of Occupants [](Hourly)",'Eplus results'!$1:$1048576,ROW(),FALSE)</f>
        <v>0</v>
      </c>
      <c r="AC7614" s="580">
        <f>HLOOKUP("*"&amp;'Output annual'!$AC$2&amp;'Output annual'!$AD$2&amp;"*FangerPMV(Hourly)",'Eplus results'!$1:$1048576,ROW(),FALSE)</f>
        <v>0</v>
      </c>
      <c r="AD7614" s="580">
        <f t="shared" si="626"/>
        <v>5</v>
      </c>
      <c r="AE7614" s="580">
        <f t="shared" si="627"/>
        <v>2.5</v>
      </c>
      <c r="AF7614" s="580">
        <f t="shared" si="628"/>
        <v>2.5</v>
      </c>
      <c r="AG7614" s="580">
        <f t="shared" si="629"/>
        <v>0</v>
      </c>
      <c r="AH7614" s="580">
        <f t="shared" si="630"/>
        <v>0</v>
      </c>
    </row>
    <row r="7615" spans="28:34">
      <c r="AB7615" s="580">
        <f>HLOOKUP("*"&amp;'Output annual'!$AC$2&amp;'Output annual'!$AD$2&amp;"*Zone People Number Of Occupants [](Hourly)",'Eplus results'!$1:$1048576,ROW(),FALSE)</f>
        <v>0</v>
      </c>
      <c r="AC7615" s="580">
        <f>HLOOKUP("*"&amp;'Output annual'!$AC$2&amp;'Output annual'!$AD$2&amp;"*FangerPMV(Hourly)",'Eplus results'!$1:$1048576,ROW(),FALSE)</f>
        <v>0</v>
      </c>
      <c r="AD7615" s="580">
        <f t="shared" si="626"/>
        <v>5</v>
      </c>
      <c r="AE7615" s="580">
        <f t="shared" si="627"/>
        <v>2.5</v>
      </c>
      <c r="AF7615" s="580">
        <f t="shared" si="628"/>
        <v>2.5</v>
      </c>
      <c r="AG7615" s="580">
        <f t="shared" si="629"/>
        <v>0</v>
      </c>
      <c r="AH7615" s="580">
        <f t="shared" si="630"/>
        <v>0</v>
      </c>
    </row>
    <row r="7616" spans="28:34">
      <c r="AB7616" s="580">
        <f>HLOOKUP("*"&amp;'Output annual'!$AC$2&amp;'Output annual'!$AD$2&amp;"*Zone People Number Of Occupants [](Hourly)",'Eplus results'!$1:$1048576,ROW(),FALSE)</f>
        <v>0</v>
      </c>
      <c r="AC7616" s="580">
        <f>HLOOKUP("*"&amp;'Output annual'!$AC$2&amp;'Output annual'!$AD$2&amp;"*FangerPMV(Hourly)",'Eplus results'!$1:$1048576,ROW(),FALSE)</f>
        <v>0</v>
      </c>
      <c r="AD7616" s="580">
        <f t="shared" si="626"/>
        <v>5</v>
      </c>
      <c r="AE7616" s="580">
        <f t="shared" si="627"/>
        <v>2.5</v>
      </c>
      <c r="AF7616" s="580">
        <f t="shared" si="628"/>
        <v>2.5</v>
      </c>
      <c r="AG7616" s="580">
        <f t="shared" si="629"/>
        <v>0</v>
      </c>
      <c r="AH7616" s="580">
        <f t="shared" si="630"/>
        <v>0</v>
      </c>
    </row>
    <row r="7617" spans="28:34">
      <c r="AB7617" s="580">
        <f>HLOOKUP("*"&amp;'Output annual'!$AC$2&amp;'Output annual'!$AD$2&amp;"*Zone People Number Of Occupants [](Hourly)",'Eplus results'!$1:$1048576,ROW(),FALSE)</f>
        <v>0</v>
      </c>
      <c r="AC7617" s="580">
        <f>HLOOKUP("*"&amp;'Output annual'!$AC$2&amp;'Output annual'!$AD$2&amp;"*FangerPMV(Hourly)",'Eplus results'!$1:$1048576,ROW(),FALSE)</f>
        <v>0</v>
      </c>
      <c r="AD7617" s="580">
        <f t="shared" si="626"/>
        <v>5</v>
      </c>
      <c r="AE7617" s="580">
        <f t="shared" si="627"/>
        <v>2.5</v>
      </c>
      <c r="AF7617" s="580">
        <f t="shared" si="628"/>
        <v>2.5</v>
      </c>
      <c r="AG7617" s="580">
        <f t="shared" si="629"/>
        <v>0</v>
      </c>
      <c r="AH7617" s="580">
        <f t="shared" si="630"/>
        <v>0</v>
      </c>
    </row>
    <row r="7618" spans="28:34">
      <c r="AB7618" s="580">
        <f>HLOOKUP("*"&amp;'Output annual'!$AC$2&amp;'Output annual'!$AD$2&amp;"*Zone People Number Of Occupants [](Hourly)",'Eplus results'!$1:$1048576,ROW(),FALSE)</f>
        <v>0</v>
      </c>
      <c r="AC7618" s="580">
        <f>HLOOKUP("*"&amp;'Output annual'!$AC$2&amp;'Output annual'!$AD$2&amp;"*FangerPMV(Hourly)",'Eplus results'!$1:$1048576,ROW(),FALSE)</f>
        <v>0</v>
      </c>
      <c r="AD7618" s="580">
        <f t="shared" si="626"/>
        <v>5</v>
      </c>
      <c r="AE7618" s="580">
        <f t="shared" si="627"/>
        <v>2.5</v>
      </c>
      <c r="AF7618" s="580">
        <f t="shared" si="628"/>
        <v>2.5</v>
      </c>
      <c r="AG7618" s="580">
        <f t="shared" si="629"/>
        <v>0</v>
      </c>
      <c r="AH7618" s="580">
        <f t="shared" si="630"/>
        <v>0</v>
      </c>
    </row>
    <row r="7619" spans="28:34">
      <c r="AB7619" s="580">
        <f>HLOOKUP("*"&amp;'Output annual'!$AC$2&amp;'Output annual'!$AD$2&amp;"*Zone People Number Of Occupants [](Hourly)",'Eplus results'!$1:$1048576,ROW(),FALSE)</f>
        <v>0</v>
      </c>
      <c r="AC7619" s="580">
        <f>HLOOKUP("*"&amp;'Output annual'!$AC$2&amp;'Output annual'!$AD$2&amp;"*FangerPMV(Hourly)",'Eplus results'!$1:$1048576,ROW(),FALSE)</f>
        <v>0</v>
      </c>
      <c r="AD7619" s="580">
        <f t="shared" ref="AD7619:AD7682" si="631">100-95*EXP(-0.03353*AC7619^4-0.2179*AC7619^2)</f>
        <v>5</v>
      </c>
      <c r="AE7619" s="580">
        <f t="shared" ref="AE7619:AE7682" si="632">AD7619*(1/(1+EXP(-6.3*$AC7619)))</f>
        <v>2.5</v>
      </c>
      <c r="AF7619" s="580">
        <f t="shared" ref="AF7619:AF7682" si="633">(AD7619-AE7619)</f>
        <v>2.5</v>
      </c>
      <c r="AG7619" s="580">
        <f t="shared" ref="AG7619:AG7682" si="634">AE7619*AB7619</f>
        <v>0</v>
      </c>
      <c r="AH7619" s="580">
        <f t="shared" ref="AH7619:AH7682" si="635">AF7619*AB7619</f>
        <v>0</v>
      </c>
    </row>
    <row r="7620" spans="28:34">
      <c r="AB7620" s="580">
        <f>HLOOKUP("*"&amp;'Output annual'!$AC$2&amp;'Output annual'!$AD$2&amp;"*Zone People Number Of Occupants [](Hourly)",'Eplus results'!$1:$1048576,ROW(),FALSE)</f>
        <v>0</v>
      </c>
      <c r="AC7620" s="580">
        <f>HLOOKUP("*"&amp;'Output annual'!$AC$2&amp;'Output annual'!$AD$2&amp;"*FangerPMV(Hourly)",'Eplus results'!$1:$1048576,ROW(),FALSE)</f>
        <v>0</v>
      </c>
      <c r="AD7620" s="580">
        <f t="shared" si="631"/>
        <v>5</v>
      </c>
      <c r="AE7620" s="580">
        <f t="shared" si="632"/>
        <v>2.5</v>
      </c>
      <c r="AF7620" s="580">
        <f t="shared" si="633"/>
        <v>2.5</v>
      </c>
      <c r="AG7620" s="580">
        <f t="shared" si="634"/>
        <v>0</v>
      </c>
      <c r="AH7620" s="580">
        <f t="shared" si="635"/>
        <v>0</v>
      </c>
    </row>
    <row r="7621" spans="28:34">
      <c r="AB7621" s="580">
        <f>HLOOKUP("*"&amp;'Output annual'!$AC$2&amp;'Output annual'!$AD$2&amp;"*Zone People Number Of Occupants [](Hourly)",'Eplus results'!$1:$1048576,ROW(),FALSE)</f>
        <v>0</v>
      </c>
      <c r="AC7621" s="580">
        <f>HLOOKUP("*"&amp;'Output annual'!$AC$2&amp;'Output annual'!$AD$2&amp;"*FangerPMV(Hourly)",'Eplus results'!$1:$1048576,ROW(),FALSE)</f>
        <v>0</v>
      </c>
      <c r="AD7621" s="580">
        <f t="shared" si="631"/>
        <v>5</v>
      </c>
      <c r="AE7621" s="580">
        <f t="shared" si="632"/>
        <v>2.5</v>
      </c>
      <c r="AF7621" s="580">
        <f t="shared" si="633"/>
        <v>2.5</v>
      </c>
      <c r="AG7621" s="580">
        <f t="shared" si="634"/>
        <v>0</v>
      </c>
      <c r="AH7621" s="580">
        <f t="shared" si="635"/>
        <v>0</v>
      </c>
    </row>
    <row r="7622" spans="28:34">
      <c r="AB7622" s="580">
        <f>HLOOKUP("*"&amp;'Output annual'!$AC$2&amp;'Output annual'!$AD$2&amp;"*Zone People Number Of Occupants [](Hourly)",'Eplus results'!$1:$1048576,ROW(),FALSE)</f>
        <v>0</v>
      </c>
      <c r="AC7622" s="580">
        <f>HLOOKUP("*"&amp;'Output annual'!$AC$2&amp;'Output annual'!$AD$2&amp;"*FangerPMV(Hourly)",'Eplus results'!$1:$1048576,ROW(),FALSE)</f>
        <v>0</v>
      </c>
      <c r="AD7622" s="580">
        <f t="shared" si="631"/>
        <v>5</v>
      </c>
      <c r="AE7622" s="580">
        <f t="shared" si="632"/>
        <v>2.5</v>
      </c>
      <c r="AF7622" s="580">
        <f t="shared" si="633"/>
        <v>2.5</v>
      </c>
      <c r="AG7622" s="580">
        <f t="shared" si="634"/>
        <v>0</v>
      </c>
      <c r="AH7622" s="580">
        <f t="shared" si="635"/>
        <v>0</v>
      </c>
    </row>
    <row r="7623" spans="28:34">
      <c r="AB7623" s="580">
        <f>HLOOKUP("*"&amp;'Output annual'!$AC$2&amp;'Output annual'!$AD$2&amp;"*Zone People Number Of Occupants [](Hourly)",'Eplus results'!$1:$1048576,ROW(),FALSE)</f>
        <v>0</v>
      </c>
      <c r="AC7623" s="580">
        <f>HLOOKUP("*"&amp;'Output annual'!$AC$2&amp;'Output annual'!$AD$2&amp;"*FangerPMV(Hourly)",'Eplus results'!$1:$1048576,ROW(),FALSE)</f>
        <v>0</v>
      </c>
      <c r="AD7623" s="580">
        <f t="shared" si="631"/>
        <v>5</v>
      </c>
      <c r="AE7623" s="580">
        <f t="shared" si="632"/>
        <v>2.5</v>
      </c>
      <c r="AF7623" s="580">
        <f t="shared" si="633"/>
        <v>2.5</v>
      </c>
      <c r="AG7623" s="580">
        <f t="shared" si="634"/>
        <v>0</v>
      </c>
      <c r="AH7623" s="580">
        <f t="shared" si="635"/>
        <v>0</v>
      </c>
    </row>
    <row r="7624" spans="28:34">
      <c r="AB7624" s="580">
        <f>HLOOKUP("*"&amp;'Output annual'!$AC$2&amp;'Output annual'!$AD$2&amp;"*Zone People Number Of Occupants [](Hourly)",'Eplus results'!$1:$1048576,ROW(),FALSE)</f>
        <v>0</v>
      </c>
      <c r="AC7624" s="580">
        <f>HLOOKUP("*"&amp;'Output annual'!$AC$2&amp;'Output annual'!$AD$2&amp;"*FangerPMV(Hourly)",'Eplus results'!$1:$1048576,ROW(),FALSE)</f>
        <v>0</v>
      </c>
      <c r="AD7624" s="580">
        <f t="shared" si="631"/>
        <v>5</v>
      </c>
      <c r="AE7624" s="580">
        <f t="shared" si="632"/>
        <v>2.5</v>
      </c>
      <c r="AF7624" s="580">
        <f t="shared" si="633"/>
        <v>2.5</v>
      </c>
      <c r="AG7624" s="580">
        <f t="shared" si="634"/>
        <v>0</v>
      </c>
      <c r="AH7624" s="580">
        <f t="shared" si="635"/>
        <v>0</v>
      </c>
    </row>
    <row r="7625" spans="28:34">
      <c r="AB7625" s="580">
        <f>HLOOKUP("*"&amp;'Output annual'!$AC$2&amp;'Output annual'!$AD$2&amp;"*Zone People Number Of Occupants [](Hourly)",'Eplus results'!$1:$1048576,ROW(),FALSE)</f>
        <v>0</v>
      </c>
      <c r="AC7625" s="580">
        <f>HLOOKUP("*"&amp;'Output annual'!$AC$2&amp;'Output annual'!$AD$2&amp;"*FangerPMV(Hourly)",'Eplus results'!$1:$1048576,ROW(),FALSE)</f>
        <v>0</v>
      </c>
      <c r="AD7625" s="580">
        <f t="shared" si="631"/>
        <v>5</v>
      </c>
      <c r="AE7625" s="580">
        <f t="shared" si="632"/>
        <v>2.5</v>
      </c>
      <c r="AF7625" s="580">
        <f t="shared" si="633"/>
        <v>2.5</v>
      </c>
      <c r="AG7625" s="580">
        <f t="shared" si="634"/>
        <v>0</v>
      </c>
      <c r="AH7625" s="580">
        <f t="shared" si="635"/>
        <v>0</v>
      </c>
    </row>
    <row r="7626" spans="28:34">
      <c r="AB7626" s="580">
        <f>HLOOKUP("*"&amp;'Output annual'!$AC$2&amp;'Output annual'!$AD$2&amp;"*Zone People Number Of Occupants [](Hourly)",'Eplus results'!$1:$1048576,ROW(),FALSE)</f>
        <v>0</v>
      </c>
      <c r="AC7626" s="580">
        <f>HLOOKUP("*"&amp;'Output annual'!$AC$2&amp;'Output annual'!$AD$2&amp;"*FangerPMV(Hourly)",'Eplus results'!$1:$1048576,ROW(),FALSE)</f>
        <v>0</v>
      </c>
      <c r="AD7626" s="580">
        <f t="shared" si="631"/>
        <v>5</v>
      </c>
      <c r="AE7626" s="580">
        <f t="shared" si="632"/>
        <v>2.5</v>
      </c>
      <c r="AF7626" s="580">
        <f t="shared" si="633"/>
        <v>2.5</v>
      </c>
      <c r="AG7626" s="580">
        <f t="shared" si="634"/>
        <v>0</v>
      </c>
      <c r="AH7626" s="580">
        <f t="shared" si="635"/>
        <v>0</v>
      </c>
    </row>
    <row r="7627" spans="28:34">
      <c r="AB7627" s="580">
        <f>HLOOKUP("*"&amp;'Output annual'!$AC$2&amp;'Output annual'!$AD$2&amp;"*Zone People Number Of Occupants [](Hourly)",'Eplus results'!$1:$1048576,ROW(),FALSE)</f>
        <v>0</v>
      </c>
      <c r="AC7627" s="580">
        <f>HLOOKUP("*"&amp;'Output annual'!$AC$2&amp;'Output annual'!$AD$2&amp;"*FangerPMV(Hourly)",'Eplus results'!$1:$1048576,ROW(),FALSE)</f>
        <v>0</v>
      </c>
      <c r="AD7627" s="580">
        <f t="shared" si="631"/>
        <v>5</v>
      </c>
      <c r="AE7627" s="580">
        <f t="shared" si="632"/>
        <v>2.5</v>
      </c>
      <c r="AF7627" s="580">
        <f t="shared" si="633"/>
        <v>2.5</v>
      </c>
      <c r="AG7627" s="580">
        <f t="shared" si="634"/>
        <v>0</v>
      </c>
      <c r="AH7627" s="580">
        <f t="shared" si="635"/>
        <v>0</v>
      </c>
    </row>
    <row r="7628" spans="28:34">
      <c r="AB7628" s="580">
        <f>HLOOKUP("*"&amp;'Output annual'!$AC$2&amp;'Output annual'!$AD$2&amp;"*Zone People Number Of Occupants [](Hourly)",'Eplus results'!$1:$1048576,ROW(),FALSE)</f>
        <v>0</v>
      </c>
      <c r="AC7628" s="580">
        <f>HLOOKUP("*"&amp;'Output annual'!$AC$2&amp;'Output annual'!$AD$2&amp;"*FangerPMV(Hourly)",'Eplus results'!$1:$1048576,ROW(),FALSE)</f>
        <v>0</v>
      </c>
      <c r="AD7628" s="580">
        <f t="shared" si="631"/>
        <v>5</v>
      </c>
      <c r="AE7628" s="580">
        <f t="shared" si="632"/>
        <v>2.5</v>
      </c>
      <c r="AF7628" s="580">
        <f t="shared" si="633"/>
        <v>2.5</v>
      </c>
      <c r="AG7628" s="580">
        <f t="shared" si="634"/>
        <v>0</v>
      </c>
      <c r="AH7628" s="580">
        <f t="shared" si="635"/>
        <v>0</v>
      </c>
    </row>
    <row r="7629" spans="28:34">
      <c r="AB7629" s="580">
        <f>HLOOKUP("*"&amp;'Output annual'!$AC$2&amp;'Output annual'!$AD$2&amp;"*Zone People Number Of Occupants [](Hourly)",'Eplus results'!$1:$1048576,ROW(),FALSE)</f>
        <v>0</v>
      </c>
      <c r="AC7629" s="580">
        <f>HLOOKUP("*"&amp;'Output annual'!$AC$2&amp;'Output annual'!$AD$2&amp;"*FangerPMV(Hourly)",'Eplus results'!$1:$1048576,ROW(),FALSE)</f>
        <v>0</v>
      </c>
      <c r="AD7629" s="580">
        <f t="shared" si="631"/>
        <v>5</v>
      </c>
      <c r="AE7629" s="580">
        <f t="shared" si="632"/>
        <v>2.5</v>
      </c>
      <c r="AF7629" s="580">
        <f t="shared" si="633"/>
        <v>2.5</v>
      </c>
      <c r="AG7629" s="580">
        <f t="shared" si="634"/>
        <v>0</v>
      </c>
      <c r="AH7629" s="580">
        <f t="shared" si="635"/>
        <v>0</v>
      </c>
    </row>
    <row r="7630" spans="28:34">
      <c r="AB7630" s="580">
        <f>HLOOKUP("*"&amp;'Output annual'!$AC$2&amp;'Output annual'!$AD$2&amp;"*Zone People Number Of Occupants [](Hourly)",'Eplus results'!$1:$1048576,ROW(),FALSE)</f>
        <v>0</v>
      </c>
      <c r="AC7630" s="580">
        <f>HLOOKUP("*"&amp;'Output annual'!$AC$2&amp;'Output annual'!$AD$2&amp;"*FangerPMV(Hourly)",'Eplus results'!$1:$1048576,ROW(),FALSE)</f>
        <v>0</v>
      </c>
      <c r="AD7630" s="580">
        <f t="shared" si="631"/>
        <v>5</v>
      </c>
      <c r="AE7630" s="580">
        <f t="shared" si="632"/>
        <v>2.5</v>
      </c>
      <c r="AF7630" s="580">
        <f t="shared" si="633"/>
        <v>2.5</v>
      </c>
      <c r="AG7630" s="580">
        <f t="shared" si="634"/>
        <v>0</v>
      </c>
      <c r="AH7630" s="580">
        <f t="shared" si="635"/>
        <v>0</v>
      </c>
    </row>
    <row r="7631" spans="28:34">
      <c r="AB7631" s="580">
        <f>HLOOKUP("*"&amp;'Output annual'!$AC$2&amp;'Output annual'!$AD$2&amp;"*Zone People Number Of Occupants [](Hourly)",'Eplus results'!$1:$1048576,ROW(),FALSE)</f>
        <v>0</v>
      </c>
      <c r="AC7631" s="580">
        <f>HLOOKUP("*"&amp;'Output annual'!$AC$2&amp;'Output annual'!$AD$2&amp;"*FangerPMV(Hourly)",'Eplus results'!$1:$1048576,ROW(),FALSE)</f>
        <v>0</v>
      </c>
      <c r="AD7631" s="580">
        <f t="shared" si="631"/>
        <v>5</v>
      </c>
      <c r="AE7631" s="580">
        <f t="shared" si="632"/>
        <v>2.5</v>
      </c>
      <c r="AF7631" s="580">
        <f t="shared" si="633"/>
        <v>2.5</v>
      </c>
      <c r="AG7631" s="580">
        <f t="shared" si="634"/>
        <v>0</v>
      </c>
      <c r="AH7631" s="580">
        <f t="shared" si="635"/>
        <v>0</v>
      </c>
    </row>
    <row r="7632" spans="28:34">
      <c r="AB7632" s="580">
        <f>HLOOKUP("*"&amp;'Output annual'!$AC$2&amp;'Output annual'!$AD$2&amp;"*Zone People Number Of Occupants [](Hourly)",'Eplus results'!$1:$1048576,ROW(),FALSE)</f>
        <v>0</v>
      </c>
      <c r="AC7632" s="580">
        <f>HLOOKUP("*"&amp;'Output annual'!$AC$2&amp;'Output annual'!$AD$2&amp;"*FangerPMV(Hourly)",'Eplus results'!$1:$1048576,ROW(),FALSE)</f>
        <v>0</v>
      </c>
      <c r="AD7632" s="580">
        <f t="shared" si="631"/>
        <v>5</v>
      </c>
      <c r="AE7632" s="580">
        <f t="shared" si="632"/>
        <v>2.5</v>
      </c>
      <c r="AF7632" s="580">
        <f t="shared" si="633"/>
        <v>2.5</v>
      </c>
      <c r="AG7632" s="580">
        <f t="shared" si="634"/>
        <v>0</v>
      </c>
      <c r="AH7632" s="580">
        <f t="shared" si="635"/>
        <v>0</v>
      </c>
    </row>
    <row r="7633" spans="28:34">
      <c r="AB7633" s="580">
        <f>HLOOKUP("*"&amp;'Output annual'!$AC$2&amp;'Output annual'!$AD$2&amp;"*Zone People Number Of Occupants [](Hourly)",'Eplus results'!$1:$1048576,ROW(),FALSE)</f>
        <v>0</v>
      </c>
      <c r="AC7633" s="580">
        <f>HLOOKUP("*"&amp;'Output annual'!$AC$2&amp;'Output annual'!$AD$2&amp;"*FangerPMV(Hourly)",'Eplus results'!$1:$1048576,ROW(),FALSE)</f>
        <v>0</v>
      </c>
      <c r="AD7633" s="580">
        <f t="shared" si="631"/>
        <v>5</v>
      </c>
      <c r="AE7633" s="580">
        <f t="shared" si="632"/>
        <v>2.5</v>
      </c>
      <c r="AF7633" s="580">
        <f t="shared" si="633"/>
        <v>2.5</v>
      </c>
      <c r="AG7633" s="580">
        <f t="shared" si="634"/>
        <v>0</v>
      </c>
      <c r="AH7633" s="580">
        <f t="shared" si="635"/>
        <v>0</v>
      </c>
    </row>
    <row r="7634" spans="28:34">
      <c r="AB7634" s="580">
        <f>HLOOKUP("*"&amp;'Output annual'!$AC$2&amp;'Output annual'!$AD$2&amp;"*Zone People Number Of Occupants [](Hourly)",'Eplus results'!$1:$1048576,ROW(),FALSE)</f>
        <v>0</v>
      </c>
      <c r="AC7634" s="580">
        <f>HLOOKUP("*"&amp;'Output annual'!$AC$2&amp;'Output annual'!$AD$2&amp;"*FangerPMV(Hourly)",'Eplus results'!$1:$1048576,ROW(),FALSE)</f>
        <v>0</v>
      </c>
      <c r="AD7634" s="580">
        <f t="shared" si="631"/>
        <v>5</v>
      </c>
      <c r="AE7634" s="580">
        <f t="shared" si="632"/>
        <v>2.5</v>
      </c>
      <c r="AF7634" s="580">
        <f t="shared" si="633"/>
        <v>2.5</v>
      </c>
      <c r="AG7634" s="580">
        <f t="shared" si="634"/>
        <v>0</v>
      </c>
      <c r="AH7634" s="580">
        <f t="shared" si="635"/>
        <v>0</v>
      </c>
    </row>
    <row r="7635" spans="28:34">
      <c r="AB7635" s="580">
        <f>HLOOKUP("*"&amp;'Output annual'!$AC$2&amp;'Output annual'!$AD$2&amp;"*Zone People Number Of Occupants [](Hourly)",'Eplus results'!$1:$1048576,ROW(),FALSE)</f>
        <v>0</v>
      </c>
      <c r="AC7635" s="580">
        <f>HLOOKUP("*"&amp;'Output annual'!$AC$2&amp;'Output annual'!$AD$2&amp;"*FangerPMV(Hourly)",'Eplus results'!$1:$1048576,ROW(),FALSE)</f>
        <v>0</v>
      </c>
      <c r="AD7635" s="580">
        <f t="shared" si="631"/>
        <v>5</v>
      </c>
      <c r="AE7635" s="580">
        <f t="shared" si="632"/>
        <v>2.5</v>
      </c>
      <c r="AF7635" s="580">
        <f t="shared" si="633"/>
        <v>2.5</v>
      </c>
      <c r="AG7635" s="580">
        <f t="shared" si="634"/>
        <v>0</v>
      </c>
      <c r="AH7635" s="580">
        <f t="shared" si="635"/>
        <v>0</v>
      </c>
    </row>
    <row r="7636" spans="28:34">
      <c r="AB7636" s="580">
        <f>HLOOKUP("*"&amp;'Output annual'!$AC$2&amp;'Output annual'!$AD$2&amp;"*Zone People Number Of Occupants [](Hourly)",'Eplus results'!$1:$1048576,ROW(),FALSE)</f>
        <v>0</v>
      </c>
      <c r="AC7636" s="580">
        <f>HLOOKUP("*"&amp;'Output annual'!$AC$2&amp;'Output annual'!$AD$2&amp;"*FangerPMV(Hourly)",'Eplus results'!$1:$1048576,ROW(),FALSE)</f>
        <v>0</v>
      </c>
      <c r="AD7636" s="580">
        <f t="shared" si="631"/>
        <v>5</v>
      </c>
      <c r="AE7636" s="580">
        <f t="shared" si="632"/>
        <v>2.5</v>
      </c>
      <c r="AF7636" s="580">
        <f t="shared" si="633"/>
        <v>2.5</v>
      </c>
      <c r="AG7636" s="580">
        <f t="shared" si="634"/>
        <v>0</v>
      </c>
      <c r="AH7636" s="580">
        <f t="shared" si="635"/>
        <v>0</v>
      </c>
    </row>
    <row r="7637" spans="28:34">
      <c r="AB7637" s="580">
        <f>HLOOKUP("*"&amp;'Output annual'!$AC$2&amp;'Output annual'!$AD$2&amp;"*Zone People Number Of Occupants [](Hourly)",'Eplus results'!$1:$1048576,ROW(),FALSE)</f>
        <v>0</v>
      </c>
      <c r="AC7637" s="580">
        <f>HLOOKUP("*"&amp;'Output annual'!$AC$2&amp;'Output annual'!$AD$2&amp;"*FangerPMV(Hourly)",'Eplus results'!$1:$1048576,ROW(),FALSE)</f>
        <v>0</v>
      </c>
      <c r="AD7637" s="580">
        <f t="shared" si="631"/>
        <v>5</v>
      </c>
      <c r="AE7637" s="580">
        <f t="shared" si="632"/>
        <v>2.5</v>
      </c>
      <c r="AF7637" s="580">
        <f t="shared" si="633"/>
        <v>2.5</v>
      </c>
      <c r="AG7637" s="580">
        <f t="shared" si="634"/>
        <v>0</v>
      </c>
      <c r="AH7637" s="580">
        <f t="shared" si="635"/>
        <v>0</v>
      </c>
    </row>
    <row r="7638" spans="28:34">
      <c r="AB7638" s="580">
        <f>HLOOKUP("*"&amp;'Output annual'!$AC$2&amp;'Output annual'!$AD$2&amp;"*Zone People Number Of Occupants [](Hourly)",'Eplus results'!$1:$1048576,ROW(),FALSE)</f>
        <v>0</v>
      </c>
      <c r="AC7638" s="580">
        <f>HLOOKUP("*"&amp;'Output annual'!$AC$2&amp;'Output annual'!$AD$2&amp;"*FangerPMV(Hourly)",'Eplus results'!$1:$1048576,ROW(),FALSE)</f>
        <v>0</v>
      </c>
      <c r="AD7638" s="580">
        <f t="shared" si="631"/>
        <v>5</v>
      </c>
      <c r="AE7638" s="580">
        <f t="shared" si="632"/>
        <v>2.5</v>
      </c>
      <c r="AF7638" s="580">
        <f t="shared" si="633"/>
        <v>2.5</v>
      </c>
      <c r="AG7638" s="580">
        <f t="shared" si="634"/>
        <v>0</v>
      </c>
      <c r="AH7638" s="580">
        <f t="shared" si="635"/>
        <v>0</v>
      </c>
    </row>
    <row r="7639" spans="28:34">
      <c r="AB7639" s="580">
        <f>HLOOKUP("*"&amp;'Output annual'!$AC$2&amp;'Output annual'!$AD$2&amp;"*Zone People Number Of Occupants [](Hourly)",'Eplus results'!$1:$1048576,ROW(),FALSE)</f>
        <v>0</v>
      </c>
      <c r="AC7639" s="580">
        <f>HLOOKUP("*"&amp;'Output annual'!$AC$2&amp;'Output annual'!$AD$2&amp;"*FangerPMV(Hourly)",'Eplus results'!$1:$1048576,ROW(),FALSE)</f>
        <v>0</v>
      </c>
      <c r="AD7639" s="580">
        <f t="shared" si="631"/>
        <v>5</v>
      </c>
      <c r="AE7639" s="580">
        <f t="shared" si="632"/>
        <v>2.5</v>
      </c>
      <c r="AF7639" s="580">
        <f t="shared" si="633"/>
        <v>2.5</v>
      </c>
      <c r="AG7639" s="580">
        <f t="shared" si="634"/>
        <v>0</v>
      </c>
      <c r="AH7639" s="580">
        <f t="shared" si="635"/>
        <v>0</v>
      </c>
    </row>
    <row r="7640" spans="28:34">
      <c r="AB7640" s="580">
        <f>HLOOKUP("*"&amp;'Output annual'!$AC$2&amp;'Output annual'!$AD$2&amp;"*Zone People Number Of Occupants [](Hourly)",'Eplus results'!$1:$1048576,ROW(),FALSE)</f>
        <v>0</v>
      </c>
      <c r="AC7640" s="580">
        <f>HLOOKUP("*"&amp;'Output annual'!$AC$2&amp;'Output annual'!$AD$2&amp;"*FangerPMV(Hourly)",'Eplus results'!$1:$1048576,ROW(),FALSE)</f>
        <v>0</v>
      </c>
      <c r="AD7640" s="580">
        <f t="shared" si="631"/>
        <v>5</v>
      </c>
      <c r="AE7640" s="580">
        <f t="shared" si="632"/>
        <v>2.5</v>
      </c>
      <c r="AF7640" s="580">
        <f t="shared" si="633"/>
        <v>2.5</v>
      </c>
      <c r="AG7640" s="580">
        <f t="shared" si="634"/>
        <v>0</v>
      </c>
      <c r="AH7640" s="580">
        <f t="shared" si="635"/>
        <v>0</v>
      </c>
    </row>
    <row r="7641" spans="28:34">
      <c r="AB7641" s="580">
        <f>HLOOKUP("*"&amp;'Output annual'!$AC$2&amp;'Output annual'!$AD$2&amp;"*Zone People Number Of Occupants [](Hourly)",'Eplus results'!$1:$1048576,ROW(),FALSE)</f>
        <v>0</v>
      </c>
      <c r="AC7641" s="580">
        <f>HLOOKUP("*"&amp;'Output annual'!$AC$2&amp;'Output annual'!$AD$2&amp;"*FangerPMV(Hourly)",'Eplus results'!$1:$1048576,ROW(),FALSE)</f>
        <v>0</v>
      </c>
      <c r="AD7641" s="580">
        <f t="shared" si="631"/>
        <v>5</v>
      </c>
      <c r="AE7641" s="580">
        <f t="shared" si="632"/>
        <v>2.5</v>
      </c>
      <c r="AF7641" s="580">
        <f t="shared" si="633"/>
        <v>2.5</v>
      </c>
      <c r="AG7641" s="580">
        <f t="shared" si="634"/>
        <v>0</v>
      </c>
      <c r="AH7641" s="580">
        <f t="shared" si="635"/>
        <v>0</v>
      </c>
    </row>
    <row r="7642" spans="28:34">
      <c r="AB7642" s="580">
        <f>HLOOKUP("*"&amp;'Output annual'!$AC$2&amp;'Output annual'!$AD$2&amp;"*Zone People Number Of Occupants [](Hourly)",'Eplus results'!$1:$1048576,ROW(),FALSE)</f>
        <v>0</v>
      </c>
      <c r="AC7642" s="580">
        <f>HLOOKUP("*"&amp;'Output annual'!$AC$2&amp;'Output annual'!$AD$2&amp;"*FangerPMV(Hourly)",'Eplus results'!$1:$1048576,ROW(),FALSE)</f>
        <v>0</v>
      </c>
      <c r="AD7642" s="580">
        <f t="shared" si="631"/>
        <v>5</v>
      </c>
      <c r="AE7642" s="580">
        <f t="shared" si="632"/>
        <v>2.5</v>
      </c>
      <c r="AF7642" s="580">
        <f t="shared" si="633"/>
        <v>2.5</v>
      </c>
      <c r="AG7642" s="580">
        <f t="shared" si="634"/>
        <v>0</v>
      </c>
      <c r="AH7642" s="580">
        <f t="shared" si="635"/>
        <v>0</v>
      </c>
    </row>
    <row r="7643" spans="28:34">
      <c r="AB7643" s="580">
        <f>HLOOKUP("*"&amp;'Output annual'!$AC$2&amp;'Output annual'!$AD$2&amp;"*Zone People Number Of Occupants [](Hourly)",'Eplus results'!$1:$1048576,ROW(),FALSE)</f>
        <v>0</v>
      </c>
      <c r="AC7643" s="580">
        <f>HLOOKUP("*"&amp;'Output annual'!$AC$2&amp;'Output annual'!$AD$2&amp;"*FangerPMV(Hourly)",'Eplus results'!$1:$1048576,ROW(),FALSE)</f>
        <v>0</v>
      </c>
      <c r="AD7643" s="580">
        <f t="shared" si="631"/>
        <v>5</v>
      </c>
      <c r="AE7643" s="580">
        <f t="shared" si="632"/>
        <v>2.5</v>
      </c>
      <c r="AF7643" s="580">
        <f t="shared" si="633"/>
        <v>2.5</v>
      </c>
      <c r="AG7643" s="580">
        <f t="shared" si="634"/>
        <v>0</v>
      </c>
      <c r="AH7643" s="580">
        <f t="shared" si="635"/>
        <v>0</v>
      </c>
    </row>
    <row r="7644" spans="28:34">
      <c r="AB7644" s="580">
        <f>HLOOKUP("*"&amp;'Output annual'!$AC$2&amp;'Output annual'!$AD$2&amp;"*Zone People Number Of Occupants [](Hourly)",'Eplus results'!$1:$1048576,ROW(),FALSE)</f>
        <v>0</v>
      </c>
      <c r="AC7644" s="580">
        <f>HLOOKUP("*"&amp;'Output annual'!$AC$2&amp;'Output annual'!$AD$2&amp;"*FangerPMV(Hourly)",'Eplus results'!$1:$1048576,ROW(),FALSE)</f>
        <v>0</v>
      </c>
      <c r="AD7644" s="580">
        <f t="shared" si="631"/>
        <v>5</v>
      </c>
      <c r="AE7644" s="580">
        <f t="shared" si="632"/>
        <v>2.5</v>
      </c>
      <c r="AF7644" s="580">
        <f t="shared" si="633"/>
        <v>2.5</v>
      </c>
      <c r="AG7644" s="580">
        <f t="shared" si="634"/>
        <v>0</v>
      </c>
      <c r="AH7644" s="580">
        <f t="shared" si="635"/>
        <v>0</v>
      </c>
    </row>
    <row r="7645" spans="28:34">
      <c r="AB7645" s="580">
        <f>HLOOKUP("*"&amp;'Output annual'!$AC$2&amp;'Output annual'!$AD$2&amp;"*Zone People Number Of Occupants [](Hourly)",'Eplus results'!$1:$1048576,ROW(),FALSE)</f>
        <v>0</v>
      </c>
      <c r="AC7645" s="580">
        <f>HLOOKUP("*"&amp;'Output annual'!$AC$2&amp;'Output annual'!$AD$2&amp;"*FangerPMV(Hourly)",'Eplus results'!$1:$1048576,ROW(),FALSE)</f>
        <v>0</v>
      </c>
      <c r="AD7645" s="580">
        <f t="shared" si="631"/>
        <v>5</v>
      </c>
      <c r="AE7645" s="580">
        <f t="shared" si="632"/>
        <v>2.5</v>
      </c>
      <c r="AF7645" s="580">
        <f t="shared" si="633"/>
        <v>2.5</v>
      </c>
      <c r="AG7645" s="580">
        <f t="shared" si="634"/>
        <v>0</v>
      </c>
      <c r="AH7645" s="580">
        <f t="shared" si="635"/>
        <v>0</v>
      </c>
    </row>
    <row r="7646" spans="28:34">
      <c r="AB7646" s="580">
        <f>HLOOKUP("*"&amp;'Output annual'!$AC$2&amp;'Output annual'!$AD$2&amp;"*Zone People Number Of Occupants [](Hourly)",'Eplus results'!$1:$1048576,ROW(),FALSE)</f>
        <v>0</v>
      </c>
      <c r="AC7646" s="580">
        <f>HLOOKUP("*"&amp;'Output annual'!$AC$2&amp;'Output annual'!$AD$2&amp;"*FangerPMV(Hourly)",'Eplus results'!$1:$1048576,ROW(),FALSE)</f>
        <v>0</v>
      </c>
      <c r="AD7646" s="580">
        <f t="shared" si="631"/>
        <v>5</v>
      </c>
      <c r="AE7646" s="580">
        <f t="shared" si="632"/>
        <v>2.5</v>
      </c>
      <c r="AF7646" s="580">
        <f t="shared" si="633"/>
        <v>2.5</v>
      </c>
      <c r="AG7646" s="580">
        <f t="shared" si="634"/>
        <v>0</v>
      </c>
      <c r="AH7646" s="580">
        <f t="shared" si="635"/>
        <v>0</v>
      </c>
    </row>
    <row r="7647" spans="28:34">
      <c r="AB7647" s="580">
        <f>HLOOKUP("*"&amp;'Output annual'!$AC$2&amp;'Output annual'!$AD$2&amp;"*Zone People Number Of Occupants [](Hourly)",'Eplus results'!$1:$1048576,ROW(),FALSE)</f>
        <v>0</v>
      </c>
      <c r="AC7647" s="580">
        <f>HLOOKUP("*"&amp;'Output annual'!$AC$2&amp;'Output annual'!$AD$2&amp;"*FangerPMV(Hourly)",'Eplus results'!$1:$1048576,ROW(),FALSE)</f>
        <v>0</v>
      </c>
      <c r="AD7647" s="580">
        <f t="shared" si="631"/>
        <v>5</v>
      </c>
      <c r="AE7647" s="580">
        <f t="shared" si="632"/>
        <v>2.5</v>
      </c>
      <c r="AF7647" s="580">
        <f t="shared" si="633"/>
        <v>2.5</v>
      </c>
      <c r="AG7647" s="580">
        <f t="shared" si="634"/>
        <v>0</v>
      </c>
      <c r="AH7647" s="580">
        <f t="shared" si="635"/>
        <v>0</v>
      </c>
    </row>
    <row r="7648" spans="28:34">
      <c r="AB7648" s="580">
        <f>HLOOKUP("*"&amp;'Output annual'!$AC$2&amp;'Output annual'!$AD$2&amp;"*Zone People Number Of Occupants [](Hourly)",'Eplus results'!$1:$1048576,ROW(),FALSE)</f>
        <v>0</v>
      </c>
      <c r="AC7648" s="580">
        <f>HLOOKUP("*"&amp;'Output annual'!$AC$2&amp;'Output annual'!$AD$2&amp;"*FangerPMV(Hourly)",'Eplus results'!$1:$1048576,ROW(),FALSE)</f>
        <v>0</v>
      </c>
      <c r="AD7648" s="580">
        <f t="shared" si="631"/>
        <v>5</v>
      </c>
      <c r="AE7648" s="580">
        <f t="shared" si="632"/>
        <v>2.5</v>
      </c>
      <c r="AF7648" s="580">
        <f t="shared" si="633"/>
        <v>2.5</v>
      </c>
      <c r="AG7648" s="580">
        <f t="shared" si="634"/>
        <v>0</v>
      </c>
      <c r="AH7648" s="580">
        <f t="shared" si="635"/>
        <v>0</v>
      </c>
    </row>
    <row r="7649" spans="28:34">
      <c r="AB7649" s="580">
        <f>HLOOKUP("*"&amp;'Output annual'!$AC$2&amp;'Output annual'!$AD$2&amp;"*Zone People Number Of Occupants [](Hourly)",'Eplus results'!$1:$1048576,ROW(),FALSE)</f>
        <v>0</v>
      </c>
      <c r="AC7649" s="580">
        <f>HLOOKUP("*"&amp;'Output annual'!$AC$2&amp;'Output annual'!$AD$2&amp;"*FangerPMV(Hourly)",'Eplus results'!$1:$1048576,ROW(),FALSE)</f>
        <v>0</v>
      </c>
      <c r="AD7649" s="580">
        <f t="shared" si="631"/>
        <v>5</v>
      </c>
      <c r="AE7649" s="580">
        <f t="shared" si="632"/>
        <v>2.5</v>
      </c>
      <c r="AF7649" s="580">
        <f t="shared" si="633"/>
        <v>2.5</v>
      </c>
      <c r="AG7649" s="580">
        <f t="shared" si="634"/>
        <v>0</v>
      </c>
      <c r="AH7649" s="580">
        <f t="shared" si="635"/>
        <v>0</v>
      </c>
    </row>
    <row r="7650" spans="28:34">
      <c r="AB7650" s="580">
        <f>HLOOKUP("*"&amp;'Output annual'!$AC$2&amp;'Output annual'!$AD$2&amp;"*Zone People Number Of Occupants [](Hourly)",'Eplus results'!$1:$1048576,ROW(),FALSE)</f>
        <v>0</v>
      </c>
      <c r="AC7650" s="580">
        <f>HLOOKUP("*"&amp;'Output annual'!$AC$2&amp;'Output annual'!$AD$2&amp;"*FangerPMV(Hourly)",'Eplus results'!$1:$1048576,ROW(),FALSE)</f>
        <v>0</v>
      </c>
      <c r="AD7650" s="580">
        <f t="shared" si="631"/>
        <v>5</v>
      </c>
      <c r="AE7650" s="580">
        <f t="shared" si="632"/>
        <v>2.5</v>
      </c>
      <c r="AF7650" s="580">
        <f t="shared" si="633"/>
        <v>2.5</v>
      </c>
      <c r="AG7650" s="580">
        <f t="shared" si="634"/>
        <v>0</v>
      </c>
      <c r="AH7650" s="580">
        <f t="shared" si="635"/>
        <v>0</v>
      </c>
    </row>
    <row r="7651" spans="28:34">
      <c r="AB7651" s="580">
        <f>HLOOKUP("*"&amp;'Output annual'!$AC$2&amp;'Output annual'!$AD$2&amp;"*Zone People Number Of Occupants [](Hourly)",'Eplus results'!$1:$1048576,ROW(),FALSE)</f>
        <v>0</v>
      </c>
      <c r="AC7651" s="580">
        <f>HLOOKUP("*"&amp;'Output annual'!$AC$2&amp;'Output annual'!$AD$2&amp;"*FangerPMV(Hourly)",'Eplus results'!$1:$1048576,ROW(),FALSE)</f>
        <v>0</v>
      </c>
      <c r="AD7651" s="580">
        <f t="shared" si="631"/>
        <v>5</v>
      </c>
      <c r="AE7651" s="580">
        <f t="shared" si="632"/>
        <v>2.5</v>
      </c>
      <c r="AF7651" s="580">
        <f t="shared" si="633"/>
        <v>2.5</v>
      </c>
      <c r="AG7651" s="580">
        <f t="shared" si="634"/>
        <v>0</v>
      </c>
      <c r="AH7651" s="580">
        <f t="shared" si="635"/>
        <v>0</v>
      </c>
    </row>
    <row r="7652" spans="28:34">
      <c r="AB7652" s="580">
        <f>HLOOKUP("*"&amp;'Output annual'!$AC$2&amp;'Output annual'!$AD$2&amp;"*Zone People Number Of Occupants [](Hourly)",'Eplus results'!$1:$1048576,ROW(),FALSE)</f>
        <v>0</v>
      </c>
      <c r="AC7652" s="580">
        <f>HLOOKUP("*"&amp;'Output annual'!$AC$2&amp;'Output annual'!$AD$2&amp;"*FangerPMV(Hourly)",'Eplus results'!$1:$1048576,ROW(),FALSE)</f>
        <v>0</v>
      </c>
      <c r="AD7652" s="580">
        <f t="shared" si="631"/>
        <v>5</v>
      </c>
      <c r="AE7652" s="580">
        <f t="shared" si="632"/>
        <v>2.5</v>
      </c>
      <c r="AF7652" s="580">
        <f t="shared" si="633"/>
        <v>2.5</v>
      </c>
      <c r="AG7652" s="580">
        <f t="shared" si="634"/>
        <v>0</v>
      </c>
      <c r="AH7652" s="580">
        <f t="shared" si="635"/>
        <v>0</v>
      </c>
    </row>
    <row r="7653" spans="28:34">
      <c r="AB7653" s="580">
        <f>HLOOKUP("*"&amp;'Output annual'!$AC$2&amp;'Output annual'!$AD$2&amp;"*Zone People Number Of Occupants [](Hourly)",'Eplus results'!$1:$1048576,ROW(),FALSE)</f>
        <v>0</v>
      </c>
      <c r="AC7653" s="580">
        <f>HLOOKUP("*"&amp;'Output annual'!$AC$2&amp;'Output annual'!$AD$2&amp;"*FangerPMV(Hourly)",'Eplus results'!$1:$1048576,ROW(),FALSE)</f>
        <v>0</v>
      </c>
      <c r="AD7653" s="580">
        <f t="shared" si="631"/>
        <v>5</v>
      </c>
      <c r="AE7653" s="580">
        <f t="shared" si="632"/>
        <v>2.5</v>
      </c>
      <c r="AF7653" s="580">
        <f t="shared" si="633"/>
        <v>2.5</v>
      </c>
      <c r="AG7653" s="580">
        <f t="shared" si="634"/>
        <v>0</v>
      </c>
      <c r="AH7653" s="580">
        <f t="shared" si="635"/>
        <v>0</v>
      </c>
    </row>
    <row r="7654" spans="28:34">
      <c r="AB7654" s="580">
        <f>HLOOKUP("*"&amp;'Output annual'!$AC$2&amp;'Output annual'!$AD$2&amp;"*Zone People Number Of Occupants [](Hourly)",'Eplus results'!$1:$1048576,ROW(),FALSE)</f>
        <v>0</v>
      </c>
      <c r="AC7654" s="580">
        <f>HLOOKUP("*"&amp;'Output annual'!$AC$2&amp;'Output annual'!$AD$2&amp;"*FangerPMV(Hourly)",'Eplus results'!$1:$1048576,ROW(),FALSE)</f>
        <v>0</v>
      </c>
      <c r="AD7654" s="580">
        <f t="shared" si="631"/>
        <v>5</v>
      </c>
      <c r="AE7654" s="580">
        <f t="shared" si="632"/>
        <v>2.5</v>
      </c>
      <c r="AF7654" s="580">
        <f t="shared" si="633"/>
        <v>2.5</v>
      </c>
      <c r="AG7654" s="580">
        <f t="shared" si="634"/>
        <v>0</v>
      </c>
      <c r="AH7654" s="580">
        <f t="shared" si="635"/>
        <v>0</v>
      </c>
    </row>
    <row r="7655" spans="28:34">
      <c r="AB7655" s="580">
        <f>HLOOKUP("*"&amp;'Output annual'!$AC$2&amp;'Output annual'!$AD$2&amp;"*Zone People Number Of Occupants [](Hourly)",'Eplus results'!$1:$1048576,ROW(),FALSE)</f>
        <v>0</v>
      </c>
      <c r="AC7655" s="580">
        <f>HLOOKUP("*"&amp;'Output annual'!$AC$2&amp;'Output annual'!$AD$2&amp;"*FangerPMV(Hourly)",'Eplus results'!$1:$1048576,ROW(),FALSE)</f>
        <v>0</v>
      </c>
      <c r="AD7655" s="580">
        <f t="shared" si="631"/>
        <v>5</v>
      </c>
      <c r="AE7655" s="580">
        <f t="shared" si="632"/>
        <v>2.5</v>
      </c>
      <c r="AF7655" s="580">
        <f t="shared" si="633"/>
        <v>2.5</v>
      </c>
      <c r="AG7655" s="580">
        <f t="shared" si="634"/>
        <v>0</v>
      </c>
      <c r="AH7655" s="580">
        <f t="shared" si="635"/>
        <v>0</v>
      </c>
    </row>
    <row r="7656" spans="28:34">
      <c r="AB7656" s="580">
        <f>HLOOKUP("*"&amp;'Output annual'!$AC$2&amp;'Output annual'!$AD$2&amp;"*Zone People Number Of Occupants [](Hourly)",'Eplus results'!$1:$1048576,ROW(),FALSE)</f>
        <v>0</v>
      </c>
      <c r="AC7656" s="580">
        <f>HLOOKUP("*"&amp;'Output annual'!$AC$2&amp;'Output annual'!$AD$2&amp;"*FangerPMV(Hourly)",'Eplus results'!$1:$1048576,ROW(),FALSE)</f>
        <v>0</v>
      </c>
      <c r="AD7656" s="580">
        <f t="shared" si="631"/>
        <v>5</v>
      </c>
      <c r="AE7656" s="580">
        <f t="shared" si="632"/>
        <v>2.5</v>
      </c>
      <c r="AF7656" s="580">
        <f t="shared" si="633"/>
        <v>2.5</v>
      </c>
      <c r="AG7656" s="580">
        <f t="shared" si="634"/>
        <v>0</v>
      </c>
      <c r="AH7656" s="580">
        <f t="shared" si="635"/>
        <v>0</v>
      </c>
    </row>
    <row r="7657" spans="28:34">
      <c r="AB7657" s="580">
        <f>HLOOKUP("*"&amp;'Output annual'!$AC$2&amp;'Output annual'!$AD$2&amp;"*Zone People Number Of Occupants [](Hourly)",'Eplus results'!$1:$1048576,ROW(),FALSE)</f>
        <v>0</v>
      </c>
      <c r="AC7657" s="580">
        <f>HLOOKUP("*"&amp;'Output annual'!$AC$2&amp;'Output annual'!$AD$2&amp;"*FangerPMV(Hourly)",'Eplus results'!$1:$1048576,ROW(),FALSE)</f>
        <v>0</v>
      </c>
      <c r="AD7657" s="580">
        <f t="shared" si="631"/>
        <v>5</v>
      </c>
      <c r="AE7657" s="580">
        <f t="shared" si="632"/>
        <v>2.5</v>
      </c>
      <c r="AF7657" s="580">
        <f t="shared" si="633"/>
        <v>2.5</v>
      </c>
      <c r="AG7657" s="580">
        <f t="shared" si="634"/>
        <v>0</v>
      </c>
      <c r="AH7657" s="580">
        <f t="shared" si="635"/>
        <v>0</v>
      </c>
    </row>
    <row r="7658" spans="28:34">
      <c r="AB7658" s="580">
        <f>HLOOKUP("*"&amp;'Output annual'!$AC$2&amp;'Output annual'!$AD$2&amp;"*Zone People Number Of Occupants [](Hourly)",'Eplus results'!$1:$1048576,ROW(),FALSE)</f>
        <v>0</v>
      </c>
      <c r="AC7658" s="580">
        <f>HLOOKUP("*"&amp;'Output annual'!$AC$2&amp;'Output annual'!$AD$2&amp;"*FangerPMV(Hourly)",'Eplus results'!$1:$1048576,ROW(),FALSE)</f>
        <v>0</v>
      </c>
      <c r="AD7658" s="580">
        <f t="shared" si="631"/>
        <v>5</v>
      </c>
      <c r="AE7658" s="580">
        <f t="shared" si="632"/>
        <v>2.5</v>
      </c>
      <c r="AF7658" s="580">
        <f t="shared" si="633"/>
        <v>2.5</v>
      </c>
      <c r="AG7658" s="580">
        <f t="shared" si="634"/>
        <v>0</v>
      </c>
      <c r="AH7658" s="580">
        <f t="shared" si="635"/>
        <v>0</v>
      </c>
    </row>
    <row r="7659" spans="28:34">
      <c r="AB7659" s="580">
        <f>HLOOKUP("*"&amp;'Output annual'!$AC$2&amp;'Output annual'!$AD$2&amp;"*Zone People Number Of Occupants [](Hourly)",'Eplus results'!$1:$1048576,ROW(),FALSE)</f>
        <v>0</v>
      </c>
      <c r="AC7659" s="580">
        <f>HLOOKUP("*"&amp;'Output annual'!$AC$2&amp;'Output annual'!$AD$2&amp;"*FangerPMV(Hourly)",'Eplus results'!$1:$1048576,ROW(),FALSE)</f>
        <v>0</v>
      </c>
      <c r="AD7659" s="580">
        <f t="shared" si="631"/>
        <v>5</v>
      </c>
      <c r="AE7659" s="580">
        <f t="shared" si="632"/>
        <v>2.5</v>
      </c>
      <c r="AF7659" s="580">
        <f t="shared" si="633"/>
        <v>2.5</v>
      </c>
      <c r="AG7659" s="580">
        <f t="shared" si="634"/>
        <v>0</v>
      </c>
      <c r="AH7659" s="580">
        <f t="shared" si="635"/>
        <v>0</v>
      </c>
    </row>
    <row r="7660" spans="28:34">
      <c r="AB7660" s="580">
        <f>HLOOKUP("*"&amp;'Output annual'!$AC$2&amp;'Output annual'!$AD$2&amp;"*Zone People Number Of Occupants [](Hourly)",'Eplus results'!$1:$1048576,ROW(),FALSE)</f>
        <v>0</v>
      </c>
      <c r="AC7660" s="580">
        <f>HLOOKUP("*"&amp;'Output annual'!$AC$2&amp;'Output annual'!$AD$2&amp;"*FangerPMV(Hourly)",'Eplus results'!$1:$1048576,ROW(),FALSE)</f>
        <v>0</v>
      </c>
      <c r="AD7660" s="580">
        <f t="shared" si="631"/>
        <v>5</v>
      </c>
      <c r="AE7660" s="580">
        <f t="shared" si="632"/>
        <v>2.5</v>
      </c>
      <c r="AF7660" s="580">
        <f t="shared" si="633"/>
        <v>2.5</v>
      </c>
      <c r="AG7660" s="580">
        <f t="shared" si="634"/>
        <v>0</v>
      </c>
      <c r="AH7660" s="580">
        <f t="shared" si="635"/>
        <v>0</v>
      </c>
    </row>
    <row r="7661" spans="28:34">
      <c r="AB7661" s="580">
        <f>HLOOKUP("*"&amp;'Output annual'!$AC$2&amp;'Output annual'!$AD$2&amp;"*Zone People Number Of Occupants [](Hourly)",'Eplus results'!$1:$1048576,ROW(),FALSE)</f>
        <v>0</v>
      </c>
      <c r="AC7661" s="580">
        <f>HLOOKUP("*"&amp;'Output annual'!$AC$2&amp;'Output annual'!$AD$2&amp;"*FangerPMV(Hourly)",'Eplus results'!$1:$1048576,ROW(),FALSE)</f>
        <v>0</v>
      </c>
      <c r="AD7661" s="580">
        <f t="shared" si="631"/>
        <v>5</v>
      </c>
      <c r="AE7661" s="580">
        <f t="shared" si="632"/>
        <v>2.5</v>
      </c>
      <c r="AF7661" s="580">
        <f t="shared" si="633"/>
        <v>2.5</v>
      </c>
      <c r="AG7661" s="580">
        <f t="shared" si="634"/>
        <v>0</v>
      </c>
      <c r="AH7661" s="580">
        <f t="shared" si="635"/>
        <v>0</v>
      </c>
    </row>
    <row r="7662" spans="28:34">
      <c r="AB7662" s="580">
        <f>HLOOKUP("*"&amp;'Output annual'!$AC$2&amp;'Output annual'!$AD$2&amp;"*Zone People Number Of Occupants [](Hourly)",'Eplus results'!$1:$1048576,ROW(),FALSE)</f>
        <v>0</v>
      </c>
      <c r="AC7662" s="580">
        <f>HLOOKUP("*"&amp;'Output annual'!$AC$2&amp;'Output annual'!$AD$2&amp;"*FangerPMV(Hourly)",'Eplus results'!$1:$1048576,ROW(),FALSE)</f>
        <v>0</v>
      </c>
      <c r="AD7662" s="580">
        <f t="shared" si="631"/>
        <v>5</v>
      </c>
      <c r="AE7662" s="580">
        <f t="shared" si="632"/>
        <v>2.5</v>
      </c>
      <c r="AF7662" s="580">
        <f t="shared" si="633"/>
        <v>2.5</v>
      </c>
      <c r="AG7662" s="580">
        <f t="shared" si="634"/>
        <v>0</v>
      </c>
      <c r="AH7662" s="580">
        <f t="shared" si="635"/>
        <v>0</v>
      </c>
    </row>
    <row r="7663" spans="28:34">
      <c r="AB7663" s="580">
        <f>HLOOKUP("*"&amp;'Output annual'!$AC$2&amp;'Output annual'!$AD$2&amp;"*Zone People Number Of Occupants [](Hourly)",'Eplus results'!$1:$1048576,ROW(),FALSE)</f>
        <v>0</v>
      </c>
      <c r="AC7663" s="580">
        <f>HLOOKUP("*"&amp;'Output annual'!$AC$2&amp;'Output annual'!$AD$2&amp;"*FangerPMV(Hourly)",'Eplus results'!$1:$1048576,ROW(),FALSE)</f>
        <v>0</v>
      </c>
      <c r="AD7663" s="580">
        <f t="shared" si="631"/>
        <v>5</v>
      </c>
      <c r="AE7663" s="580">
        <f t="shared" si="632"/>
        <v>2.5</v>
      </c>
      <c r="AF7663" s="580">
        <f t="shared" si="633"/>
        <v>2.5</v>
      </c>
      <c r="AG7663" s="580">
        <f t="shared" si="634"/>
        <v>0</v>
      </c>
      <c r="AH7663" s="580">
        <f t="shared" si="635"/>
        <v>0</v>
      </c>
    </row>
    <row r="7664" spans="28:34">
      <c r="AB7664" s="580">
        <f>HLOOKUP("*"&amp;'Output annual'!$AC$2&amp;'Output annual'!$AD$2&amp;"*Zone People Number Of Occupants [](Hourly)",'Eplus results'!$1:$1048576,ROW(),FALSE)</f>
        <v>0</v>
      </c>
      <c r="AC7664" s="580">
        <f>HLOOKUP("*"&amp;'Output annual'!$AC$2&amp;'Output annual'!$AD$2&amp;"*FangerPMV(Hourly)",'Eplus results'!$1:$1048576,ROW(),FALSE)</f>
        <v>0</v>
      </c>
      <c r="AD7664" s="580">
        <f t="shared" si="631"/>
        <v>5</v>
      </c>
      <c r="AE7664" s="580">
        <f t="shared" si="632"/>
        <v>2.5</v>
      </c>
      <c r="AF7664" s="580">
        <f t="shared" si="633"/>
        <v>2.5</v>
      </c>
      <c r="AG7664" s="580">
        <f t="shared" si="634"/>
        <v>0</v>
      </c>
      <c r="AH7664" s="580">
        <f t="shared" si="635"/>
        <v>0</v>
      </c>
    </row>
    <row r="7665" spans="28:34">
      <c r="AB7665" s="580">
        <f>HLOOKUP("*"&amp;'Output annual'!$AC$2&amp;'Output annual'!$AD$2&amp;"*Zone People Number Of Occupants [](Hourly)",'Eplus results'!$1:$1048576,ROW(),FALSE)</f>
        <v>0</v>
      </c>
      <c r="AC7665" s="580">
        <f>HLOOKUP("*"&amp;'Output annual'!$AC$2&amp;'Output annual'!$AD$2&amp;"*FangerPMV(Hourly)",'Eplus results'!$1:$1048576,ROW(),FALSE)</f>
        <v>0</v>
      </c>
      <c r="AD7665" s="580">
        <f t="shared" si="631"/>
        <v>5</v>
      </c>
      <c r="AE7665" s="580">
        <f t="shared" si="632"/>
        <v>2.5</v>
      </c>
      <c r="AF7665" s="580">
        <f t="shared" si="633"/>
        <v>2.5</v>
      </c>
      <c r="AG7665" s="580">
        <f t="shared" si="634"/>
        <v>0</v>
      </c>
      <c r="AH7665" s="580">
        <f t="shared" si="635"/>
        <v>0</v>
      </c>
    </row>
    <row r="7666" spans="28:34">
      <c r="AB7666" s="580">
        <f>HLOOKUP("*"&amp;'Output annual'!$AC$2&amp;'Output annual'!$AD$2&amp;"*Zone People Number Of Occupants [](Hourly)",'Eplus results'!$1:$1048576,ROW(),FALSE)</f>
        <v>0</v>
      </c>
      <c r="AC7666" s="580">
        <f>HLOOKUP("*"&amp;'Output annual'!$AC$2&amp;'Output annual'!$AD$2&amp;"*FangerPMV(Hourly)",'Eplus results'!$1:$1048576,ROW(),FALSE)</f>
        <v>0</v>
      </c>
      <c r="AD7666" s="580">
        <f t="shared" si="631"/>
        <v>5</v>
      </c>
      <c r="AE7666" s="580">
        <f t="shared" si="632"/>
        <v>2.5</v>
      </c>
      <c r="AF7666" s="580">
        <f t="shared" si="633"/>
        <v>2.5</v>
      </c>
      <c r="AG7666" s="580">
        <f t="shared" si="634"/>
        <v>0</v>
      </c>
      <c r="AH7666" s="580">
        <f t="shared" si="635"/>
        <v>0</v>
      </c>
    </row>
    <row r="7667" spans="28:34">
      <c r="AB7667" s="580">
        <f>HLOOKUP("*"&amp;'Output annual'!$AC$2&amp;'Output annual'!$AD$2&amp;"*Zone People Number Of Occupants [](Hourly)",'Eplus results'!$1:$1048576,ROW(),FALSE)</f>
        <v>0</v>
      </c>
      <c r="AC7667" s="580">
        <f>HLOOKUP("*"&amp;'Output annual'!$AC$2&amp;'Output annual'!$AD$2&amp;"*FangerPMV(Hourly)",'Eplus results'!$1:$1048576,ROW(),FALSE)</f>
        <v>0</v>
      </c>
      <c r="AD7667" s="580">
        <f t="shared" si="631"/>
        <v>5</v>
      </c>
      <c r="AE7667" s="580">
        <f t="shared" si="632"/>
        <v>2.5</v>
      </c>
      <c r="AF7667" s="580">
        <f t="shared" si="633"/>
        <v>2.5</v>
      </c>
      <c r="AG7667" s="580">
        <f t="shared" si="634"/>
        <v>0</v>
      </c>
      <c r="AH7667" s="580">
        <f t="shared" si="635"/>
        <v>0</v>
      </c>
    </row>
    <row r="7668" spans="28:34">
      <c r="AB7668" s="580">
        <f>HLOOKUP("*"&amp;'Output annual'!$AC$2&amp;'Output annual'!$AD$2&amp;"*Zone People Number Of Occupants [](Hourly)",'Eplus results'!$1:$1048576,ROW(),FALSE)</f>
        <v>0</v>
      </c>
      <c r="AC7668" s="580">
        <f>HLOOKUP("*"&amp;'Output annual'!$AC$2&amp;'Output annual'!$AD$2&amp;"*FangerPMV(Hourly)",'Eplus results'!$1:$1048576,ROW(),FALSE)</f>
        <v>0</v>
      </c>
      <c r="AD7668" s="580">
        <f t="shared" si="631"/>
        <v>5</v>
      </c>
      <c r="AE7668" s="580">
        <f t="shared" si="632"/>
        <v>2.5</v>
      </c>
      <c r="AF7668" s="580">
        <f t="shared" si="633"/>
        <v>2.5</v>
      </c>
      <c r="AG7668" s="580">
        <f t="shared" si="634"/>
        <v>0</v>
      </c>
      <c r="AH7668" s="580">
        <f t="shared" si="635"/>
        <v>0</v>
      </c>
    </row>
    <row r="7669" spans="28:34">
      <c r="AB7669" s="580">
        <f>HLOOKUP("*"&amp;'Output annual'!$AC$2&amp;'Output annual'!$AD$2&amp;"*Zone People Number Of Occupants [](Hourly)",'Eplus results'!$1:$1048576,ROW(),FALSE)</f>
        <v>0</v>
      </c>
      <c r="AC7669" s="580">
        <f>HLOOKUP("*"&amp;'Output annual'!$AC$2&amp;'Output annual'!$AD$2&amp;"*FangerPMV(Hourly)",'Eplus results'!$1:$1048576,ROW(),FALSE)</f>
        <v>0</v>
      </c>
      <c r="AD7669" s="580">
        <f t="shared" si="631"/>
        <v>5</v>
      </c>
      <c r="AE7669" s="580">
        <f t="shared" si="632"/>
        <v>2.5</v>
      </c>
      <c r="AF7669" s="580">
        <f t="shared" si="633"/>
        <v>2.5</v>
      </c>
      <c r="AG7669" s="580">
        <f t="shared" si="634"/>
        <v>0</v>
      </c>
      <c r="AH7669" s="580">
        <f t="shared" si="635"/>
        <v>0</v>
      </c>
    </row>
    <row r="7670" spans="28:34">
      <c r="AB7670" s="580">
        <f>HLOOKUP("*"&amp;'Output annual'!$AC$2&amp;'Output annual'!$AD$2&amp;"*Zone People Number Of Occupants [](Hourly)",'Eplus results'!$1:$1048576,ROW(),FALSE)</f>
        <v>0</v>
      </c>
      <c r="AC7670" s="580">
        <f>HLOOKUP("*"&amp;'Output annual'!$AC$2&amp;'Output annual'!$AD$2&amp;"*FangerPMV(Hourly)",'Eplus results'!$1:$1048576,ROW(),FALSE)</f>
        <v>0</v>
      </c>
      <c r="AD7670" s="580">
        <f t="shared" si="631"/>
        <v>5</v>
      </c>
      <c r="AE7670" s="580">
        <f t="shared" si="632"/>
        <v>2.5</v>
      </c>
      <c r="AF7670" s="580">
        <f t="shared" si="633"/>
        <v>2.5</v>
      </c>
      <c r="AG7670" s="580">
        <f t="shared" si="634"/>
        <v>0</v>
      </c>
      <c r="AH7670" s="580">
        <f t="shared" si="635"/>
        <v>0</v>
      </c>
    </row>
    <row r="7671" spans="28:34">
      <c r="AB7671" s="580">
        <f>HLOOKUP("*"&amp;'Output annual'!$AC$2&amp;'Output annual'!$AD$2&amp;"*Zone People Number Of Occupants [](Hourly)",'Eplus results'!$1:$1048576,ROW(),FALSE)</f>
        <v>0</v>
      </c>
      <c r="AC7671" s="580">
        <f>HLOOKUP("*"&amp;'Output annual'!$AC$2&amp;'Output annual'!$AD$2&amp;"*FangerPMV(Hourly)",'Eplus results'!$1:$1048576,ROW(),FALSE)</f>
        <v>0</v>
      </c>
      <c r="AD7671" s="580">
        <f t="shared" si="631"/>
        <v>5</v>
      </c>
      <c r="AE7671" s="580">
        <f t="shared" si="632"/>
        <v>2.5</v>
      </c>
      <c r="AF7671" s="580">
        <f t="shared" si="633"/>
        <v>2.5</v>
      </c>
      <c r="AG7671" s="580">
        <f t="shared" si="634"/>
        <v>0</v>
      </c>
      <c r="AH7671" s="580">
        <f t="shared" si="635"/>
        <v>0</v>
      </c>
    </row>
    <row r="7672" spans="28:34">
      <c r="AB7672" s="580">
        <f>HLOOKUP("*"&amp;'Output annual'!$AC$2&amp;'Output annual'!$AD$2&amp;"*Zone People Number Of Occupants [](Hourly)",'Eplus results'!$1:$1048576,ROW(),FALSE)</f>
        <v>0</v>
      </c>
      <c r="AC7672" s="580">
        <f>HLOOKUP("*"&amp;'Output annual'!$AC$2&amp;'Output annual'!$AD$2&amp;"*FangerPMV(Hourly)",'Eplus results'!$1:$1048576,ROW(),FALSE)</f>
        <v>0</v>
      </c>
      <c r="AD7672" s="580">
        <f t="shared" si="631"/>
        <v>5</v>
      </c>
      <c r="AE7672" s="580">
        <f t="shared" si="632"/>
        <v>2.5</v>
      </c>
      <c r="AF7672" s="580">
        <f t="shared" si="633"/>
        <v>2.5</v>
      </c>
      <c r="AG7672" s="580">
        <f t="shared" si="634"/>
        <v>0</v>
      </c>
      <c r="AH7672" s="580">
        <f t="shared" si="635"/>
        <v>0</v>
      </c>
    </row>
    <row r="7673" spans="28:34">
      <c r="AB7673" s="580">
        <f>HLOOKUP("*"&amp;'Output annual'!$AC$2&amp;'Output annual'!$AD$2&amp;"*Zone People Number Of Occupants [](Hourly)",'Eplus results'!$1:$1048576,ROW(),FALSE)</f>
        <v>0</v>
      </c>
      <c r="AC7673" s="580">
        <f>HLOOKUP("*"&amp;'Output annual'!$AC$2&amp;'Output annual'!$AD$2&amp;"*FangerPMV(Hourly)",'Eplus results'!$1:$1048576,ROW(),FALSE)</f>
        <v>0</v>
      </c>
      <c r="AD7673" s="580">
        <f t="shared" si="631"/>
        <v>5</v>
      </c>
      <c r="AE7673" s="580">
        <f t="shared" si="632"/>
        <v>2.5</v>
      </c>
      <c r="AF7673" s="580">
        <f t="shared" si="633"/>
        <v>2.5</v>
      </c>
      <c r="AG7673" s="580">
        <f t="shared" si="634"/>
        <v>0</v>
      </c>
      <c r="AH7673" s="580">
        <f t="shared" si="635"/>
        <v>0</v>
      </c>
    </row>
    <row r="7674" spans="28:34">
      <c r="AB7674" s="580">
        <f>HLOOKUP("*"&amp;'Output annual'!$AC$2&amp;'Output annual'!$AD$2&amp;"*Zone People Number Of Occupants [](Hourly)",'Eplus results'!$1:$1048576,ROW(),FALSE)</f>
        <v>0</v>
      </c>
      <c r="AC7674" s="580">
        <f>HLOOKUP("*"&amp;'Output annual'!$AC$2&amp;'Output annual'!$AD$2&amp;"*FangerPMV(Hourly)",'Eplus results'!$1:$1048576,ROW(),FALSE)</f>
        <v>0</v>
      </c>
      <c r="AD7674" s="580">
        <f t="shared" si="631"/>
        <v>5</v>
      </c>
      <c r="AE7674" s="580">
        <f t="shared" si="632"/>
        <v>2.5</v>
      </c>
      <c r="AF7674" s="580">
        <f t="shared" si="633"/>
        <v>2.5</v>
      </c>
      <c r="AG7674" s="580">
        <f t="shared" si="634"/>
        <v>0</v>
      </c>
      <c r="AH7674" s="580">
        <f t="shared" si="635"/>
        <v>0</v>
      </c>
    </row>
    <row r="7675" spans="28:34">
      <c r="AB7675" s="580">
        <f>HLOOKUP("*"&amp;'Output annual'!$AC$2&amp;'Output annual'!$AD$2&amp;"*Zone People Number Of Occupants [](Hourly)",'Eplus results'!$1:$1048576,ROW(),FALSE)</f>
        <v>0</v>
      </c>
      <c r="AC7675" s="580">
        <f>HLOOKUP("*"&amp;'Output annual'!$AC$2&amp;'Output annual'!$AD$2&amp;"*FangerPMV(Hourly)",'Eplus results'!$1:$1048576,ROW(),FALSE)</f>
        <v>0</v>
      </c>
      <c r="AD7675" s="580">
        <f t="shared" si="631"/>
        <v>5</v>
      </c>
      <c r="AE7675" s="580">
        <f t="shared" si="632"/>
        <v>2.5</v>
      </c>
      <c r="AF7675" s="580">
        <f t="shared" si="633"/>
        <v>2.5</v>
      </c>
      <c r="AG7675" s="580">
        <f t="shared" si="634"/>
        <v>0</v>
      </c>
      <c r="AH7675" s="580">
        <f t="shared" si="635"/>
        <v>0</v>
      </c>
    </row>
    <row r="7676" spans="28:34">
      <c r="AB7676" s="580">
        <f>HLOOKUP("*"&amp;'Output annual'!$AC$2&amp;'Output annual'!$AD$2&amp;"*Zone People Number Of Occupants [](Hourly)",'Eplus results'!$1:$1048576,ROW(),FALSE)</f>
        <v>0</v>
      </c>
      <c r="AC7676" s="580">
        <f>HLOOKUP("*"&amp;'Output annual'!$AC$2&amp;'Output annual'!$AD$2&amp;"*FangerPMV(Hourly)",'Eplus results'!$1:$1048576,ROW(),FALSE)</f>
        <v>0</v>
      </c>
      <c r="AD7676" s="580">
        <f t="shared" si="631"/>
        <v>5</v>
      </c>
      <c r="AE7676" s="580">
        <f t="shared" si="632"/>
        <v>2.5</v>
      </c>
      <c r="AF7676" s="580">
        <f t="shared" si="633"/>
        <v>2.5</v>
      </c>
      <c r="AG7676" s="580">
        <f t="shared" si="634"/>
        <v>0</v>
      </c>
      <c r="AH7676" s="580">
        <f t="shared" si="635"/>
        <v>0</v>
      </c>
    </row>
    <row r="7677" spans="28:34">
      <c r="AB7677" s="580">
        <f>HLOOKUP("*"&amp;'Output annual'!$AC$2&amp;'Output annual'!$AD$2&amp;"*Zone People Number Of Occupants [](Hourly)",'Eplus results'!$1:$1048576,ROW(),FALSE)</f>
        <v>0</v>
      </c>
      <c r="AC7677" s="580">
        <f>HLOOKUP("*"&amp;'Output annual'!$AC$2&amp;'Output annual'!$AD$2&amp;"*FangerPMV(Hourly)",'Eplus results'!$1:$1048576,ROW(),FALSE)</f>
        <v>0</v>
      </c>
      <c r="AD7677" s="580">
        <f t="shared" si="631"/>
        <v>5</v>
      </c>
      <c r="AE7677" s="580">
        <f t="shared" si="632"/>
        <v>2.5</v>
      </c>
      <c r="AF7677" s="580">
        <f t="shared" si="633"/>
        <v>2.5</v>
      </c>
      <c r="AG7677" s="580">
        <f t="shared" si="634"/>
        <v>0</v>
      </c>
      <c r="AH7677" s="580">
        <f t="shared" si="635"/>
        <v>0</v>
      </c>
    </row>
    <row r="7678" spans="28:34">
      <c r="AB7678" s="580">
        <f>HLOOKUP("*"&amp;'Output annual'!$AC$2&amp;'Output annual'!$AD$2&amp;"*Zone People Number Of Occupants [](Hourly)",'Eplus results'!$1:$1048576,ROW(),FALSE)</f>
        <v>0</v>
      </c>
      <c r="AC7678" s="580">
        <f>HLOOKUP("*"&amp;'Output annual'!$AC$2&amp;'Output annual'!$AD$2&amp;"*FangerPMV(Hourly)",'Eplus results'!$1:$1048576,ROW(),FALSE)</f>
        <v>0</v>
      </c>
      <c r="AD7678" s="580">
        <f t="shared" si="631"/>
        <v>5</v>
      </c>
      <c r="AE7678" s="580">
        <f t="shared" si="632"/>
        <v>2.5</v>
      </c>
      <c r="AF7678" s="580">
        <f t="shared" si="633"/>
        <v>2.5</v>
      </c>
      <c r="AG7678" s="580">
        <f t="shared" si="634"/>
        <v>0</v>
      </c>
      <c r="AH7678" s="580">
        <f t="shared" si="635"/>
        <v>0</v>
      </c>
    </row>
    <row r="7679" spans="28:34">
      <c r="AB7679" s="580">
        <f>HLOOKUP("*"&amp;'Output annual'!$AC$2&amp;'Output annual'!$AD$2&amp;"*Zone People Number Of Occupants [](Hourly)",'Eplus results'!$1:$1048576,ROW(),FALSE)</f>
        <v>0</v>
      </c>
      <c r="AC7679" s="580">
        <f>HLOOKUP("*"&amp;'Output annual'!$AC$2&amp;'Output annual'!$AD$2&amp;"*FangerPMV(Hourly)",'Eplus results'!$1:$1048576,ROW(),FALSE)</f>
        <v>0</v>
      </c>
      <c r="AD7679" s="580">
        <f t="shared" si="631"/>
        <v>5</v>
      </c>
      <c r="AE7679" s="580">
        <f t="shared" si="632"/>
        <v>2.5</v>
      </c>
      <c r="AF7679" s="580">
        <f t="shared" si="633"/>
        <v>2.5</v>
      </c>
      <c r="AG7679" s="580">
        <f t="shared" si="634"/>
        <v>0</v>
      </c>
      <c r="AH7679" s="580">
        <f t="shared" si="635"/>
        <v>0</v>
      </c>
    </row>
    <row r="7680" spans="28:34">
      <c r="AB7680" s="580">
        <f>HLOOKUP("*"&amp;'Output annual'!$AC$2&amp;'Output annual'!$AD$2&amp;"*Zone People Number Of Occupants [](Hourly)",'Eplus results'!$1:$1048576,ROW(),FALSE)</f>
        <v>0</v>
      </c>
      <c r="AC7680" s="580">
        <f>HLOOKUP("*"&amp;'Output annual'!$AC$2&amp;'Output annual'!$AD$2&amp;"*FangerPMV(Hourly)",'Eplus results'!$1:$1048576,ROW(),FALSE)</f>
        <v>0</v>
      </c>
      <c r="AD7680" s="580">
        <f t="shared" si="631"/>
        <v>5</v>
      </c>
      <c r="AE7680" s="580">
        <f t="shared" si="632"/>
        <v>2.5</v>
      </c>
      <c r="AF7680" s="580">
        <f t="shared" si="633"/>
        <v>2.5</v>
      </c>
      <c r="AG7680" s="580">
        <f t="shared" si="634"/>
        <v>0</v>
      </c>
      <c r="AH7680" s="580">
        <f t="shared" si="635"/>
        <v>0</v>
      </c>
    </row>
    <row r="7681" spans="28:34">
      <c r="AB7681" s="580">
        <f>HLOOKUP("*"&amp;'Output annual'!$AC$2&amp;'Output annual'!$AD$2&amp;"*Zone People Number Of Occupants [](Hourly)",'Eplus results'!$1:$1048576,ROW(),FALSE)</f>
        <v>0</v>
      </c>
      <c r="AC7681" s="580">
        <f>HLOOKUP("*"&amp;'Output annual'!$AC$2&amp;'Output annual'!$AD$2&amp;"*FangerPMV(Hourly)",'Eplus results'!$1:$1048576,ROW(),FALSE)</f>
        <v>0</v>
      </c>
      <c r="AD7681" s="580">
        <f t="shared" si="631"/>
        <v>5</v>
      </c>
      <c r="AE7681" s="580">
        <f t="shared" si="632"/>
        <v>2.5</v>
      </c>
      <c r="AF7681" s="580">
        <f t="shared" si="633"/>
        <v>2.5</v>
      </c>
      <c r="AG7681" s="580">
        <f t="shared" si="634"/>
        <v>0</v>
      </c>
      <c r="AH7681" s="580">
        <f t="shared" si="635"/>
        <v>0</v>
      </c>
    </row>
    <row r="7682" spans="28:34">
      <c r="AB7682" s="580">
        <f>HLOOKUP("*"&amp;'Output annual'!$AC$2&amp;'Output annual'!$AD$2&amp;"*Zone People Number Of Occupants [](Hourly)",'Eplus results'!$1:$1048576,ROW(),FALSE)</f>
        <v>0</v>
      </c>
      <c r="AC7682" s="580">
        <f>HLOOKUP("*"&amp;'Output annual'!$AC$2&amp;'Output annual'!$AD$2&amp;"*FangerPMV(Hourly)",'Eplus results'!$1:$1048576,ROW(),FALSE)</f>
        <v>0</v>
      </c>
      <c r="AD7682" s="580">
        <f t="shared" si="631"/>
        <v>5</v>
      </c>
      <c r="AE7682" s="580">
        <f t="shared" si="632"/>
        <v>2.5</v>
      </c>
      <c r="AF7682" s="580">
        <f t="shared" si="633"/>
        <v>2.5</v>
      </c>
      <c r="AG7682" s="580">
        <f t="shared" si="634"/>
        <v>0</v>
      </c>
      <c r="AH7682" s="580">
        <f t="shared" si="635"/>
        <v>0</v>
      </c>
    </row>
    <row r="7683" spans="28:34">
      <c r="AB7683" s="580">
        <f>HLOOKUP("*"&amp;'Output annual'!$AC$2&amp;'Output annual'!$AD$2&amp;"*Zone People Number Of Occupants [](Hourly)",'Eplus results'!$1:$1048576,ROW(),FALSE)</f>
        <v>0</v>
      </c>
      <c r="AC7683" s="580">
        <f>HLOOKUP("*"&amp;'Output annual'!$AC$2&amp;'Output annual'!$AD$2&amp;"*FangerPMV(Hourly)",'Eplus results'!$1:$1048576,ROW(),FALSE)</f>
        <v>0</v>
      </c>
      <c r="AD7683" s="580">
        <f t="shared" ref="AD7683:AD7746" si="636">100-95*EXP(-0.03353*AC7683^4-0.2179*AC7683^2)</f>
        <v>5</v>
      </c>
      <c r="AE7683" s="580">
        <f t="shared" ref="AE7683:AE7746" si="637">AD7683*(1/(1+EXP(-6.3*$AC7683)))</f>
        <v>2.5</v>
      </c>
      <c r="AF7683" s="580">
        <f t="shared" ref="AF7683:AF7746" si="638">(AD7683-AE7683)</f>
        <v>2.5</v>
      </c>
      <c r="AG7683" s="580">
        <f t="shared" ref="AG7683:AG7746" si="639">AE7683*AB7683</f>
        <v>0</v>
      </c>
      <c r="AH7683" s="580">
        <f t="shared" ref="AH7683:AH7746" si="640">AF7683*AB7683</f>
        <v>0</v>
      </c>
    </row>
    <row r="7684" spans="28:34">
      <c r="AB7684" s="580">
        <f>HLOOKUP("*"&amp;'Output annual'!$AC$2&amp;'Output annual'!$AD$2&amp;"*Zone People Number Of Occupants [](Hourly)",'Eplus results'!$1:$1048576,ROW(),FALSE)</f>
        <v>0</v>
      </c>
      <c r="AC7684" s="580">
        <f>HLOOKUP("*"&amp;'Output annual'!$AC$2&amp;'Output annual'!$AD$2&amp;"*FangerPMV(Hourly)",'Eplus results'!$1:$1048576,ROW(),FALSE)</f>
        <v>0</v>
      </c>
      <c r="AD7684" s="580">
        <f t="shared" si="636"/>
        <v>5</v>
      </c>
      <c r="AE7684" s="580">
        <f t="shared" si="637"/>
        <v>2.5</v>
      </c>
      <c r="AF7684" s="580">
        <f t="shared" si="638"/>
        <v>2.5</v>
      </c>
      <c r="AG7684" s="580">
        <f t="shared" si="639"/>
        <v>0</v>
      </c>
      <c r="AH7684" s="580">
        <f t="shared" si="640"/>
        <v>0</v>
      </c>
    </row>
    <row r="7685" spans="28:34">
      <c r="AB7685" s="580">
        <f>HLOOKUP("*"&amp;'Output annual'!$AC$2&amp;'Output annual'!$AD$2&amp;"*Zone People Number Of Occupants [](Hourly)",'Eplus results'!$1:$1048576,ROW(),FALSE)</f>
        <v>0</v>
      </c>
      <c r="AC7685" s="580">
        <f>HLOOKUP("*"&amp;'Output annual'!$AC$2&amp;'Output annual'!$AD$2&amp;"*FangerPMV(Hourly)",'Eplus results'!$1:$1048576,ROW(),FALSE)</f>
        <v>0</v>
      </c>
      <c r="AD7685" s="580">
        <f t="shared" si="636"/>
        <v>5</v>
      </c>
      <c r="AE7685" s="580">
        <f t="shared" si="637"/>
        <v>2.5</v>
      </c>
      <c r="AF7685" s="580">
        <f t="shared" si="638"/>
        <v>2.5</v>
      </c>
      <c r="AG7685" s="580">
        <f t="shared" si="639"/>
        <v>0</v>
      </c>
      <c r="AH7685" s="580">
        <f t="shared" si="640"/>
        <v>0</v>
      </c>
    </row>
    <row r="7686" spans="28:34">
      <c r="AB7686" s="580">
        <f>HLOOKUP("*"&amp;'Output annual'!$AC$2&amp;'Output annual'!$AD$2&amp;"*Zone People Number Of Occupants [](Hourly)",'Eplus results'!$1:$1048576,ROW(),FALSE)</f>
        <v>0</v>
      </c>
      <c r="AC7686" s="580">
        <f>HLOOKUP("*"&amp;'Output annual'!$AC$2&amp;'Output annual'!$AD$2&amp;"*FangerPMV(Hourly)",'Eplus results'!$1:$1048576,ROW(),FALSE)</f>
        <v>0</v>
      </c>
      <c r="AD7686" s="580">
        <f t="shared" si="636"/>
        <v>5</v>
      </c>
      <c r="AE7686" s="580">
        <f t="shared" si="637"/>
        <v>2.5</v>
      </c>
      <c r="AF7686" s="580">
        <f t="shared" si="638"/>
        <v>2.5</v>
      </c>
      <c r="AG7686" s="580">
        <f t="shared" si="639"/>
        <v>0</v>
      </c>
      <c r="AH7686" s="580">
        <f t="shared" si="640"/>
        <v>0</v>
      </c>
    </row>
    <row r="7687" spans="28:34">
      <c r="AB7687" s="580">
        <f>HLOOKUP("*"&amp;'Output annual'!$AC$2&amp;'Output annual'!$AD$2&amp;"*Zone People Number Of Occupants [](Hourly)",'Eplus results'!$1:$1048576,ROW(),FALSE)</f>
        <v>0</v>
      </c>
      <c r="AC7687" s="580">
        <f>HLOOKUP("*"&amp;'Output annual'!$AC$2&amp;'Output annual'!$AD$2&amp;"*FangerPMV(Hourly)",'Eplus results'!$1:$1048576,ROW(),FALSE)</f>
        <v>0</v>
      </c>
      <c r="AD7687" s="580">
        <f t="shared" si="636"/>
        <v>5</v>
      </c>
      <c r="AE7687" s="580">
        <f t="shared" si="637"/>
        <v>2.5</v>
      </c>
      <c r="AF7687" s="580">
        <f t="shared" si="638"/>
        <v>2.5</v>
      </c>
      <c r="AG7687" s="580">
        <f t="shared" si="639"/>
        <v>0</v>
      </c>
      <c r="AH7687" s="580">
        <f t="shared" si="640"/>
        <v>0</v>
      </c>
    </row>
    <row r="7688" spans="28:34">
      <c r="AB7688" s="580">
        <f>HLOOKUP("*"&amp;'Output annual'!$AC$2&amp;'Output annual'!$AD$2&amp;"*Zone People Number Of Occupants [](Hourly)",'Eplus results'!$1:$1048576,ROW(),FALSE)</f>
        <v>0</v>
      </c>
      <c r="AC7688" s="580">
        <f>HLOOKUP("*"&amp;'Output annual'!$AC$2&amp;'Output annual'!$AD$2&amp;"*FangerPMV(Hourly)",'Eplus results'!$1:$1048576,ROW(),FALSE)</f>
        <v>0</v>
      </c>
      <c r="AD7688" s="580">
        <f t="shared" si="636"/>
        <v>5</v>
      </c>
      <c r="AE7688" s="580">
        <f t="shared" si="637"/>
        <v>2.5</v>
      </c>
      <c r="AF7688" s="580">
        <f t="shared" si="638"/>
        <v>2.5</v>
      </c>
      <c r="AG7688" s="580">
        <f t="shared" si="639"/>
        <v>0</v>
      </c>
      <c r="AH7688" s="580">
        <f t="shared" si="640"/>
        <v>0</v>
      </c>
    </row>
    <row r="7689" spans="28:34">
      <c r="AB7689" s="580">
        <f>HLOOKUP("*"&amp;'Output annual'!$AC$2&amp;'Output annual'!$AD$2&amp;"*Zone People Number Of Occupants [](Hourly)",'Eplus results'!$1:$1048576,ROW(),FALSE)</f>
        <v>0</v>
      </c>
      <c r="AC7689" s="580">
        <f>HLOOKUP("*"&amp;'Output annual'!$AC$2&amp;'Output annual'!$AD$2&amp;"*FangerPMV(Hourly)",'Eplus results'!$1:$1048576,ROW(),FALSE)</f>
        <v>0</v>
      </c>
      <c r="AD7689" s="580">
        <f t="shared" si="636"/>
        <v>5</v>
      </c>
      <c r="AE7689" s="580">
        <f t="shared" si="637"/>
        <v>2.5</v>
      </c>
      <c r="AF7689" s="580">
        <f t="shared" si="638"/>
        <v>2.5</v>
      </c>
      <c r="AG7689" s="580">
        <f t="shared" si="639"/>
        <v>0</v>
      </c>
      <c r="AH7689" s="580">
        <f t="shared" si="640"/>
        <v>0</v>
      </c>
    </row>
    <row r="7690" spans="28:34">
      <c r="AB7690" s="580">
        <f>HLOOKUP("*"&amp;'Output annual'!$AC$2&amp;'Output annual'!$AD$2&amp;"*Zone People Number Of Occupants [](Hourly)",'Eplus results'!$1:$1048576,ROW(),FALSE)</f>
        <v>0</v>
      </c>
      <c r="AC7690" s="580">
        <f>HLOOKUP("*"&amp;'Output annual'!$AC$2&amp;'Output annual'!$AD$2&amp;"*FangerPMV(Hourly)",'Eplus results'!$1:$1048576,ROW(),FALSE)</f>
        <v>0</v>
      </c>
      <c r="AD7690" s="580">
        <f t="shared" si="636"/>
        <v>5</v>
      </c>
      <c r="AE7690" s="580">
        <f t="shared" si="637"/>
        <v>2.5</v>
      </c>
      <c r="AF7690" s="580">
        <f t="shared" si="638"/>
        <v>2.5</v>
      </c>
      <c r="AG7690" s="580">
        <f t="shared" si="639"/>
        <v>0</v>
      </c>
      <c r="AH7690" s="580">
        <f t="shared" si="640"/>
        <v>0</v>
      </c>
    </row>
    <row r="7691" spans="28:34">
      <c r="AB7691" s="580">
        <f>HLOOKUP("*"&amp;'Output annual'!$AC$2&amp;'Output annual'!$AD$2&amp;"*Zone People Number Of Occupants [](Hourly)",'Eplus results'!$1:$1048576,ROW(),FALSE)</f>
        <v>0</v>
      </c>
      <c r="AC7691" s="580">
        <f>HLOOKUP("*"&amp;'Output annual'!$AC$2&amp;'Output annual'!$AD$2&amp;"*FangerPMV(Hourly)",'Eplus results'!$1:$1048576,ROW(),FALSE)</f>
        <v>0</v>
      </c>
      <c r="AD7691" s="580">
        <f t="shared" si="636"/>
        <v>5</v>
      </c>
      <c r="AE7691" s="580">
        <f t="shared" si="637"/>
        <v>2.5</v>
      </c>
      <c r="AF7691" s="580">
        <f t="shared" si="638"/>
        <v>2.5</v>
      </c>
      <c r="AG7691" s="580">
        <f t="shared" si="639"/>
        <v>0</v>
      </c>
      <c r="AH7691" s="580">
        <f t="shared" si="640"/>
        <v>0</v>
      </c>
    </row>
    <row r="7692" spans="28:34">
      <c r="AB7692" s="580">
        <f>HLOOKUP("*"&amp;'Output annual'!$AC$2&amp;'Output annual'!$AD$2&amp;"*Zone People Number Of Occupants [](Hourly)",'Eplus results'!$1:$1048576,ROW(),FALSE)</f>
        <v>0</v>
      </c>
      <c r="AC7692" s="580">
        <f>HLOOKUP("*"&amp;'Output annual'!$AC$2&amp;'Output annual'!$AD$2&amp;"*FangerPMV(Hourly)",'Eplus results'!$1:$1048576,ROW(),FALSE)</f>
        <v>0</v>
      </c>
      <c r="AD7692" s="580">
        <f t="shared" si="636"/>
        <v>5</v>
      </c>
      <c r="AE7692" s="580">
        <f t="shared" si="637"/>
        <v>2.5</v>
      </c>
      <c r="AF7692" s="580">
        <f t="shared" si="638"/>
        <v>2.5</v>
      </c>
      <c r="AG7692" s="580">
        <f t="shared" si="639"/>
        <v>0</v>
      </c>
      <c r="AH7692" s="580">
        <f t="shared" si="640"/>
        <v>0</v>
      </c>
    </row>
    <row r="7693" spans="28:34">
      <c r="AB7693" s="580">
        <f>HLOOKUP("*"&amp;'Output annual'!$AC$2&amp;'Output annual'!$AD$2&amp;"*Zone People Number Of Occupants [](Hourly)",'Eplus results'!$1:$1048576,ROW(),FALSE)</f>
        <v>0</v>
      </c>
      <c r="AC7693" s="580">
        <f>HLOOKUP("*"&amp;'Output annual'!$AC$2&amp;'Output annual'!$AD$2&amp;"*FangerPMV(Hourly)",'Eplus results'!$1:$1048576,ROW(),FALSE)</f>
        <v>0</v>
      </c>
      <c r="AD7693" s="580">
        <f t="shared" si="636"/>
        <v>5</v>
      </c>
      <c r="AE7693" s="580">
        <f t="shared" si="637"/>
        <v>2.5</v>
      </c>
      <c r="AF7693" s="580">
        <f t="shared" si="638"/>
        <v>2.5</v>
      </c>
      <c r="AG7693" s="580">
        <f t="shared" si="639"/>
        <v>0</v>
      </c>
      <c r="AH7693" s="580">
        <f t="shared" si="640"/>
        <v>0</v>
      </c>
    </row>
    <row r="7694" spans="28:34">
      <c r="AB7694" s="580">
        <f>HLOOKUP("*"&amp;'Output annual'!$AC$2&amp;'Output annual'!$AD$2&amp;"*Zone People Number Of Occupants [](Hourly)",'Eplus results'!$1:$1048576,ROW(),FALSE)</f>
        <v>0</v>
      </c>
      <c r="AC7694" s="580">
        <f>HLOOKUP("*"&amp;'Output annual'!$AC$2&amp;'Output annual'!$AD$2&amp;"*FangerPMV(Hourly)",'Eplus results'!$1:$1048576,ROW(),FALSE)</f>
        <v>0</v>
      </c>
      <c r="AD7694" s="580">
        <f t="shared" si="636"/>
        <v>5</v>
      </c>
      <c r="AE7694" s="580">
        <f t="shared" si="637"/>
        <v>2.5</v>
      </c>
      <c r="AF7694" s="580">
        <f t="shared" si="638"/>
        <v>2.5</v>
      </c>
      <c r="AG7694" s="580">
        <f t="shared" si="639"/>
        <v>0</v>
      </c>
      <c r="AH7694" s="580">
        <f t="shared" si="640"/>
        <v>0</v>
      </c>
    </row>
    <row r="7695" spans="28:34">
      <c r="AB7695" s="580">
        <f>HLOOKUP("*"&amp;'Output annual'!$AC$2&amp;'Output annual'!$AD$2&amp;"*Zone People Number Of Occupants [](Hourly)",'Eplus results'!$1:$1048576,ROW(),FALSE)</f>
        <v>0</v>
      </c>
      <c r="AC7695" s="580">
        <f>HLOOKUP("*"&amp;'Output annual'!$AC$2&amp;'Output annual'!$AD$2&amp;"*FangerPMV(Hourly)",'Eplus results'!$1:$1048576,ROW(),FALSE)</f>
        <v>0</v>
      </c>
      <c r="AD7695" s="580">
        <f t="shared" si="636"/>
        <v>5</v>
      </c>
      <c r="AE7695" s="580">
        <f t="shared" si="637"/>
        <v>2.5</v>
      </c>
      <c r="AF7695" s="580">
        <f t="shared" si="638"/>
        <v>2.5</v>
      </c>
      <c r="AG7695" s="580">
        <f t="shared" si="639"/>
        <v>0</v>
      </c>
      <c r="AH7695" s="580">
        <f t="shared" si="640"/>
        <v>0</v>
      </c>
    </row>
    <row r="7696" spans="28:34">
      <c r="AB7696" s="580">
        <f>HLOOKUP("*"&amp;'Output annual'!$AC$2&amp;'Output annual'!$AD$2&amp;"*Zone People Number Of Occupants [](Hourly)",'Eplus results'!$1:$1048576,ROW(),FALSE)</f>
        <v>0</v>
      </c>
      <c r="AC7696" s="580">
        <f>HLOOKUP("*"&amp;'Output annual'!$AC$2&amp;'Output annual'!$AD$2&amp;"*FangerPMV(Hourly)",'Eplus results'!$1:$1048576,ROW(),FALSE)</f>
        <v>0</v>
      </c>
      <c r="AD7696" s="580">
        <f t="shared" si="636"/>
        <v>5</v>
      </c>
      <c r="AE7696" s="580">
        <f t="shared" si="637"/>
        <v>2.5</v>
      </c>
      <c r="AF7696" s="580">
        <f t="shared" si="638"/>
        <v>2.5</v>
      </c>
      <c r="AG7696" s="580">
        <f t="shared" si="639"/>
        <v>0</v>
      </c>
      <c r="AH7696" s="580">
        <f t="shared" si="640"/>
        <v>0</v>
      </c>
    </row>
    <row r="7697" spans="28:34">
      <c r="AB7697" s="580">
        <f>HLOOKUP("*"&amp;'Output annual'!$AC$2&amp;'Output annual'!$AD$2&amp;"*Zone People Number Of Occupants [](Hourly)",'Eplus results'!$1:$1048576,ROW(),FALSE)</f>
        <v>0</v>
      </c>
      <c r="AC7697" s="580">
        <f>HLOOKUP("*"&amp;'Output annual'!$AC$2&amp;'Output annual'!$AD$2&amp;"*FangerPMV(Hourly)",'Eplus results'!$1:$1048576,ROW(),FALSE)</f>
        <v>0</v>
      </c>
      <c r="AD7697" s="580">
        <f t="shared" si="636"/>
        <v>5</v>
      </c>
      <c r="AE7697" s="580">
        <f t="shared" si="637"/>
        <v>2.5</v>
      </c>
      <c r="AF7697" s="580">
        <f t="shared" si="638"/>
        <v>2.5</v>
      </c>
      <c r="AG7697" s="580">
        <f t="shared" si="639"/>
        <v>0</v>
      </c>
      <c r="AH7697" s="580">
        <f t="shared" si="640"/>
        <v>0</v>
      </c>
    </row>
    <row r="7698" spans="28:34">
      <c r="AB7698" s="580">
        <f>HLOOKUP("*"&amp;'Output annual'!$AC$2&amp;'Output annual'!$AD$2&amp;"*Zone People Number Of Occupants [](Hourly)",'Eplus results'!$1:$1048576,ROW(),FALSE)</f>
        <v>0</v>
      </c>
      <c r="AC7698" s="580">
        <f>HLOOKUP("*"&amp;'Output annual'!$AC$2&amp;'Output annual'!$AD$2&amp;"*FangerPMV(Hourly)",'Eplus results'!$1:$1048576,ROW(),FALSE)</f>
        <v>0</v>
      </c>
      <c r="AD7698" s="580">
        <f t="shared" si="636"/>
        <v>5</v>
      </c>
      <c r="AE7698" s="580">
        <f t="shared" si="637"/>
        <v>2.5</v>
      </c>
      <c r="AF7698" s="580">
        <f t="shared" si="638"/>
        <v>2.5</v>
      </c>
      <c r="AG7698" s="580">
        <f t="shared" si="639"/>
        <v>0</v>
      </c>
      <c r="AH7698" s="580">
        <f t="shared" si="640"/>
        <v>0</v>
      </c>
    </row>
    <row r="7699" spans="28:34">
      <c r="AB7699" s="580">
        <f>HLOOKUP("*"&amp;'Output annual'!$AC$2&amp;'Output annual'!$AD$2&amp;"*Zone People Number Of Occupants [](Hourly)",'Eplus results'!$1:$1048576,ROW(),FALSE)</f>
        <v>0</v>
      </c>
      <c r="AC7699" s="580">
        <f>HLOOKUP("*"&amp;'Output annual'!$AC$2&amp;'Output annual'!$AD$2&amp;"*FangerPMV(Hourly)",'Eplus results'!$1:$1048576,ROW(),FALSE)</f>
        <v>0</v>
      </c>
      <c r="AD7699" s="580">
        <f t="shared" si="636"/>
        <v>5</v>
      </c>
      <c r="AE7699" s="580">
        <f t="shared" si="637"/>
        <v>2.5</v>
      </c>
      <c r="AF7699" s="580">
        <f t="shared" si="638"/>
        <v>2.5</v>
      </c>
      <c r="AG7699" s="580">
        <f t="shared" si="639"/>
        <v>0</v>
      </c>
      <c r="AH7699" s="580">
        <f t="shared" si="640"/>
        <v>0</v>
      </c>
    </row>
    <row r="7700" spans="28:34">
      <c r="AB7700" s="580">
        <f>HLOOKUP("*"&amp;'Output annual'!$AC$2&amp;'Output annual'!$AD$2&amp;"*Zone People Number Of Occupants [](Hourly)",'Eplus results'!$1:$1048576,ROW(),FALSE)</f>
        <v>0</v>
      </c>
      <c r="AC7700" s="580">
        <f>HLOOKUP("*"&amp;'Output annual'!$AC$2&amp;'Output annual'!$AD$2&amp;"*FangerPMV(Hourly)",'Eplus results'!$1:$1048576,ROW(),FALSE)</f>
        <v>0</v>
      </c>
      <c r="AD7700" s="580">
        <f t="shared" si="636"/>
        <v>5</v>
      </c>
      <c r="AE7700" s="580">
        <f t="shared" si="637"/>
        <v>2.5</v>
      </c>
      <c r="AF7700" s="580">
        <f t="shared" si="638"/>
        <v>2.5</v>
      </c>
      <c r="AG7700" s="580">
        <f t="shared" si="639"/>
        <v>0</v>
      </c>
      <c r="AH7700" s="580">
        <f t="shared" si="640"/>
        <v>0</v>
      </c>
    </row>
    <row r="7701" spans="28:34">
      <c r="AB7701" s="580">
        <f>HLOOKUP("*"&amp;'Output annual'!$AC$2&amp;'Output annual'!$AD$2&amp;"*Zone People Number Of Occupants [](Hourly)",'Eplus results'!$1:$1048576,ROW(),FALSE)</f>
        <v>0</v>
      </c>
      <c r="AC7701" s="580">
        <f>HLOOKUP("*"&amp;'Output annual'!$AC$2&amp;'Output annual'!$AD$2&amp;"*FangerPMV(Hourly)",'Eplus results'!$1:$1048576,ROW(),FALSE)</f>
        <v>0</v>
      </c>
      <c r="AD7701" s="580">
        <f t="shared" si="636"/>
        <v>5</v>
      </c>
      <c r="AE7701" s="580">
        <f t="shared" si="637"/>
        <v>2.5</v>
      </c>
      <c r="AF7701" s="580">
        <f t="shared" si="638"/>
        <v>2.5</v>
      </c>
      <c r="AG7701" s="580">
        <f t="shared" si="639"/>
        <v>0</v>
      </c>
      <c r="AH7701" s="580">
        <f t="shared" si="640"/>
        <v>0</v>
      </c>
    </row>
    <row r="7702" spans="28:34">
      <c r="AB7702" s="580">
        <f>HLOOKUP("*"&amp;'Output annual'!$AC$2&amp;'Output annual'!$AD$2&amp;"*Zone People Number Of Occupants [](Hourly)",'Eplus results'!$1:$1048576,ROW(),FALSE)</f>
        <v>0</v>
      </c>
      <c r="AC7702" s="580">
        <f>HLOOKUP("*"&amp;'Output annual'!$AC$2&amp;'Output annual'!$AD$2&amp;"*FangerPMV(Hourly)",'Eplus results'!$1:$1048576,ROW(),FALSE)</f>
        <v>0</v>
      </c>
      <c r="AD7702" s="580">
        <f t="shared" si="636"/>
        <v>5</v>
      </c>
      <c r="AE7702" s="580">
        <f t="shared" si="637"/>
        <v>2.5</v>
      </c>
      <c r="AF7702" s="580">
        <f t="shared" si="638"/>
        <v>2.5</v>
      </c>
      <c r="AG7702" s="580">
        <f t="shared" si="639"/>
        <v>0</v>
      </c>
      <c r="AH7702" s="580">
        <f t="shared" si="640"/>
        <v>0</v>
      </c>
    </row>
    <row r="7703" spans="28:34">
      <c r="AB7703" s="580">
        <f>HLOOKUP("*"&amp;'Output annual'!$AC$2&amp;'Output annual'!$AD$2&amp;"*Zone People Number Of Occupants [](Hourly)",'Eplus results'!$1:$1048576,ROW(),FALSE)</f>
        <v>0</v>
      </c>
      <c r="AC7703" s="580">
        <f>HLOOKUP("*"&amp;'Output annual'!$AC$2&amp;'Output annual'!$AD$2&amp;"*FangerPMV(Hourly)",'Eplus results'!$1:$1048576,ROW(),FALSE)</f>
        <v>0</v>
      </c>
      <c r="AD7703" s="580">
        <f t="shared" si="636"/>
        <v>5</v>
      </c>
      <c r="AE7703" s="580">
        <f t="shared" si="637"/>
        <v>2.5</v>
      </c>
      <c r="AF7703" s="580">
        <f t="shared" si="638"/>
        <v>2.5</v>
      </c>
      <c r="AG7703" s="580">
        <f t="shared" si="639"/>
        <v>0</v>
      </c>
      <c r="AH7703" s="580">
        <f t="shared" si="640"/>
        <v>0</v>
      </c>
    </row>
    <row r="7704" spans="28:34">
      <c r="AB7704" s="580">
        <f>HLOOKUP("*"&amp;'Output annual'!$AC$2&amp;'Output annual'!$AD$2&amp;"*Zone People Number Of Occupants [](Hourly)",'Eplus results'!$1:$1048576,ROW(),FALSE)</f>
        <v>0</v>
      </c>
      <c r="AC7704" s="580">
        <f>HLOOKUP("*"&amp;'Output annual'!$AC$2&amp;'Output annual'!$AD$2&amp;"*FangerPMV(Hourly)",'Eplus results'!$1:$1048576,ROW(),FALSE)</f>
        <v>0</v>
      </c>
      <c r="AD7704" s="580">
        <f t="shared" si="636"/>
        <v>5</v>
      </c>
      <c r="AE7704" s="580">
        <f t="shared" si="637"/>
        <v>2.5</v>
      </c>
      <c r="AF7704" s="580">
        <f t="shared" si="638"/>
        <v>2.5</v>
      </c>
      <c r="AG7704" s="580">
        <f t="shared" si="639"/>
        <v>0</v>
      </c>
      <c r="AH7704" s="580">
        <f t="shared" si="640"/>
        <v>0</v>
      </c>
    </row>
    <row r="7705" spans="28:34">
      <c r="AB7705" s="580">
        <f>HLOOKUP("*"&amp;'Output annual'!$AC$2&amp;'Output annual'!$AD$2&amp;"*Zone People Number Of Occupants [](Hourly)",'Eplus results'!$1:$1048576,ROW(),FALSE)</f>
        <v>0</v>
      </c>
      <c r="AC7705" s="580">
        <f>HLOOKUP("*"&amp;'Output annual'!$AC$2&amp;'Output annual'!$AD$2&amp;"*FangerPMV(Hourly)",'Eplus results'!$1:$1048576,ROW(),FALSE)</f>
        <v>0</v>
      </c>
      <c r="AD7705" s="580">
        <f t="shared" si="636"/>
        <v>5</v>
      </c>
      <c r="AE7705" s="580">
        <f t="shared" si="637"/>
        <v>2.5</v>
      </c>
      <c r="AF7705" s="580">
        <f t="shared" si="638"/>
        <v>2.5</v>
      </c>
      <c r="AG7705" s="580">
        <f t="shared" si="639"/>
        <v>0</v>
      </c>
      <c r="AH7705" s="580">
        <f t="shared" si="640"/>
        <v>0</v>
      </c>
    </row>
    <row r="7706" spans="28:34">
      <c r="AB7706" s="580">
        <f>HLOOKUP("*"&amp;'Output annual'!$AC$2&amp;'Output annual'!$AD$2&amp;"*Zone People Number Of Occupants [](Hourly)",'Eplus results'!$1:$1048576,ROW(),FALSE)</f>
        <v>0</v>
      </c>
      <c r="AC7706" s="580">
        <f>HLOOKUP("*"&amp;'Output annual'!$AC$2&amp;'Output annual'!$AD$2&amp;"*FangerPMV(Hourly)",'Eplus results'!$1:$1048576,ROW(),FALSE)</f>
        <v>0</v>
      </c>
      <c r="AD7706" s="580">
        <f t="shared" si="636"/>
        <v>5</v>
      </c>
      <c r="AE7706" s="580">
        <f t="shared" si="637"/>
        <v>2.5</v>
      </c>
      <c r="AF7706" s="580">
        <f t="shared" si="638"/>
        <v>2.5</v>
      </c>
      <c r="AG7706" s="580">
        <f t="shared" si="639"/>
        <v>0</v>
      </c>
      <c r="AH7706" s="580">
        <f t="shared" si="640"/>
        <v>0</v>
      </c>
    </row>
    <row r="7707" spans="28:34">
      <c r="AB7707" s="580">
        <f>HLOOKUP("*"&amp;'Output annual'!$AC$2&amp;'Output annual'!$AD$2&amp;"*Zone People Number Of Occupants [](Hourly)",'Eplus results'!$1:$1048576,ROW(),FALSE)</f>
        <v>0</v>
      </c>
      <c r="AC7707" s="580">
        <f>HLOOKUP("*"&amp;'Output annual'!$AC$2&amp;'Output annual'!$AD$2&amp;"*FangerPMV(Hourly)",'Eplus results'!$1:$1048576,ROW(),FALSE)</f>
        <v>0</v>
      </c>
      <c r="AD7707" s="580">
        <f t="shared" si="636"/>
        <v>5</v>
      </c>
      <c r="AE7707" s="580">
        <f t="shared" si="637"/>
        <v>2.5</v>
      </c>
      <c r="AF7707" s="580">
        <f t="shared" si="638"/>
        <v>2.5</v>
      </c>
      <c r="AG7707" s="580">
        <f t="shared" si="639"/>
        <v>0</v>
      </c>
      <c r="AH7707" s="580">
        <f t="shared" si="640"/>
        <v>0</v>
      </c>
    </row>
    <row r="7708" spans="28:34">
      <c r="AB7708" s="580">
        <f>HLOOKUP("*"&amp;'Output annual'!$AC$2&amp;'Output annual'!$AD$2&amp;"*Zone People Number Of Occupants [](Hourly)",'Eplus results'!$1:$1048576,ROW(),FALSE)</f>
        <v>0</v>
      </c>
      <c r="AC7708" s="580">
        <f>HLOOKUP("*"&amp;'Output annual'!$AC$2&amp;'Output annual'!$AD$2&amp;"*FangerPMV(Hourly)",'Eplus results'!$1:$1048576,ROW(),FALSE)</f>
        <v>0</v>
      </c>
      <c r="AD7708" s="580">
        <f t="shared" si="636"/>
        <v>5</v>
      </c>
      <c r="AE7708" s="580">
        <f t="shared" si="637"/>
        <v>2.5</v>
      </c>
      <c r="AF7708" s="580">
        <f t="shared" si="638"/>
        <v>2.5</v>
      </c>
      <c r="AG7708" s="580">
        <f t="shared" si="639"/>
        <v>0</v>
      </c>
      <c r="AH7708" s="580">
        <f t="shared" si="640"/>
        <v>0</v>
      </c>
    </row>
    <row r="7709" spans="28:34">
      <c r="AB7709" s="580">
        <f>HLOOKUP("*"&amp;'Output annual'!$AC$2&amp;'Output annual'!$AD$2&amp;"*Zone People Number Of Occupants [](Hourly)",'Eplus results'!$1:$1048576,ROW(),FALSE)</f>
        <v>0</v>
      </c>
      <c r="AC7709" s="580">
        <f>HLOOKUP("*"&amp;'Output annual'!$AC$2&amp;'Output annual'!$AD$2&amp;"*FangerPMV(Hourly)",'Eplus results'!$1:$1048576,ROW(),FALSE)</f>
        <v>0</v>
      </c>
      <c r="AD7709" s="580">
        <f t="shared" si="636"/>
        <v>5</v>
      </c>
      <c r="AE7709" s="580">
        <f t="shared" si="637"/>
        <v>2.5</v>
      </c>
      <c r="AF7709" s="580">
        <f t="shared" si="638"/>
        <v>2.5</v>
      </c>
      <c r="AG7709" s="580">
        <f t="shared" si="639"/>
        <v>0</v>
      </c>
      <c r="AH7709" s="580">
        <f t="shared" si="640"/>
        <v>0</v>
      </c>
    </row>
    <row r="7710" spans="28:34">
      <c r="AB7710" s="580">
        <f>HLOOKUP("*"&amp;'Output annual'!$AC$2&amp;'Output annual'!$AD$2&amp;"*Zone People Number Of Occupants [](Hourly)",'Eplus results'!$1:$1048576,ROW(),FALSE)</f>
        <v>0</v>
      </c>
      <c r="AC7710" s="580">
        <f>HLOOKUP("*"&amp;'Output annual'!$AC$2&amp;'Output annual'!$AD$2&amp;"*FangerPMV(Hourly)",'Eplus results'!$1:$1048576,ROW(),FALSE)</f>
        <v>0</v>
      </c>
      <c r="AD7710" s="580">
        <f t="shared" si="636"/>
        <v>5</v>
      </c>
      <c r="AE7710" s="580">
        <f t="shared" si="637"/>
        <v>2.5</v>
      </c>
      <c r="AF7710" s="580">
        <f t="shared" si="638"/>
        <v>2.5</v>
      </c>
      <c r="AG7710" s="580">
        <f t="shared" si="639"/>
        <v>0</v>
      </c>
      <c r="AH7710" s="580">
        <f t="shared" si="640"/>
        <v>0</v>
      </c>
    </row>
    <row r="7711" spans="28:34">
      <c r="AB7711" s="580">
        <f>HLOOKUP("*"&amp;'Output annual'!$AC$2&amp;'Output annual'!$AD$2&amp;"*Zone People Number Of Occupants [](Hourly)",'Eplus results'!$1:$1048576,ROW(),FALSE)</f>
        <v>0</v>
      </c>
      <c r="AC7711" s="580">
        <f>HLOOKUP("*"&amp;'Output annual'!$AC$2&amp;'Output annual'!$AD$2&amp;"*FangerPMV(Hourly)",'Eplus results'!$1:$1048576,ROW(),FALSE)</f>
        <v>0</v>
      </c>
      <c r="AD7711" s="580">
        <f t="shared" si="636"/>
        <v>5</v>
      </c>
      <c r="AE7711" s="580">
        <f t="shared" si="637"/>
        <v>2.5</v>
      </c>
      <c r="AF7711" s="580">
        <f t="shared" si="638"/>
        <v>2.5</v>
      </c>
      <c r="AG7711" s="580">
        <f t="shared" si="639"/>
        <v>0</v>
      </c>
      <c r="AH7711" s="580">
        <f t="shared" si="640"/>
        <v>0</v>
      </c>
    </row>
    <row r="7712" spans="28:34">
      <c r="AB7712" s="580">
        <f>HLOOKUP("*"&amp;'Output annual'!$AC$2&amp;'Output annual'!$AD$2&amp;"*Zone People Number Of Occupants [](Hourly)",'Eplus results'!$1:$1048576,ROW(),FALSE)</f>
        <v>0</v>
      </c>
      <c r="AC7712" s="580">
        <f>HLOOKUP("*"&amp;'Output annual'!$AC$2&amp;'Output annual'!$AD$2&amp;"*FangerPMV(Hourly)",'Eplus results'!$1:$1048576,ROW(),FALSE)</f>
        <v>0</v>
      </c>
      <c r="AD7712" s="580">
        <f t="shared" si="636"/>
        <v>5</v>
      </c>
      <c r="AE7712" s="580">
        <f t="shared" si="637"/>
        <v>2.5</v>
      </c>
      <c r="AF7712" s="580">
        <f t="shared" si="638"/>
        <v>2.5</v>
      </c>
      <c r="AG7712" s="580">
        <f t="shared" si="639"/>
        <v>0</v>
      </c>
      <c r="AH7712" s="580">
        <f t="shared" si="640"/>
        <v>0</v>
      </c>
    </row>
    <row r="7713" spans="28:34">
      <c r="AB7713" s="580">
        <f>HLOOKUP("*"&amp;'Output annual'!$AC$2&amp;'Output annual'!$AD$2&amp;"*Zone People Number Of Occupants [](Hourly)",'Eplus results'!$1:$1048576,ROW(),FALSE)</f>
        <v>0</v>
      </c>
      <c r="AC7713" s="580">
        <f>HLOOKUP("*"&amp;'Output annual'!$AC$2&amp;'Output annual'!$AD$2&amp;"*FangerPMV(Hourly)",'Eplus results'!$1:$1048576,ROW(),FALSE)</f>
        <v>0</v>
      </c>
      <c r="AD7713" s="580">
        <f t="shared" si="636"/>
        <v>5</v>
      </c>
      <c r="AE7713" s="580">
        <f t="shared" si="637"/>
        <v>2.5</v>
      </c>
      <c r="AF7713" s="580">
        <f t="shared" si="638"/>
        <v>2.5</v>
      </c>
      <c r="AG7713" s="580">
        <f t="shared" si="639"/>
        <v>0</v>
      </c>
      <c r="AH7713" s="580">
        <f t="shared" si="640"/>
        <v>0</v>
      </c>
    </row>
    <row r="7714" spans="28:34">
      <c r="AB7714" s="580">
        <f>HLOOKUP("*"&amp;'Output annual'!$AC$2&amp;'Output annual'!$AD$2&amp;"*Zone People Number Of Occupants [](Hourly)",'Eplus results'!$1:$1048576,ROW(),FALSE)</f>
        <v>0</v>
      </c>
      <c r="AC7714" s="580">
        <f>HLOOKUP("*"&amp;'Output annual'!$AC$2&amp;'Output annual'!$AD$2&amp;"*FangerPMV(Hourly)",'Eplus results'!$1:$1048576,ROW(),FALSE)</f>
        <v>0</v>
      </c>
      <c r="AD7714" s="580">
        <f t="shared" si="636"/>
        <v>5</v>
      </c>
      <c r="AE7714" s="580">
        <f t="shared" si="637"/>
        <v>2.5</v>
      </c>
      <c r="AF7714" s="580">
        <f t="shared" si="638"/>
        <v>2.5</v>
      </c>
      <c r="AG7714" s="580">
        <f t="shared" si="639"/>
        <v>0</v>
      </c>
      <c r="AH7714" s="580">
        <f t="shared" si="640"/>
        <v>0</v>
      </c>
    </row>
    <row r="7715" spans="28:34">
      <c r="AB7715" s="580">
        <f>HLOOKUP("*"&amp;'Output annual'!$AC$2&amp;'Output annual'!$AD$2&amp;"*Zone People Number Of Occupants [](Hourly)",'Eplus results'!$1:$1048576,ROW(),FALSE)</f>
        <v>0</v>
      </c>
      <c r="AC7715" s="580">
        <f>HLOOKUP("*"&amp;'Output annual'!$AC$2&amp;'Output annual'!$AD$2&amp;"*FangerPMV(Hourly)",'Eplus results'!$1:$1048576,ROW(),FALSE)</f>
        <v>0</v>
      </c>
      <c r="AD7715" s="580">
        <f t="shared" si="636"/>
        <v>5</v>
      </c>
      <c r="AE7715" s="580">
        <f t="shared" si="637"/>
        <v>2.5</v>
      </c>
      <c r="AF7715" s="580">
        <f t="shared" si="638"/>
        <v>2.5</v>
      </c>
      <c r="AG7715" s="580">
        <f t="shared" si="639"/>
        <v>0</v>
      </c>
      <c r="AH7715" s="580">
        <f t="shared" si="640"/>
        <v>0</v>
      </c>
    </row>
    <row r="7716" spans="28:34">
      <c r="AB7716" s="580">
        <f>HLOOKUP("*"&amp;'Output annual'!$AC$2&amp;'Output annual'!$AD$2&amp;"*Zone People Number Of Occupants [](Hourly)",'Eplus results'!$1:$1048576,ROW(),FALSE)</f>
        <v>0</v>
      </c>
      <c r="AC7716" s="580">
        <f>HLOOKUP("*"&amp;'Output annual'!$AC$2&amp;'Output annual'!$AD$2&amp;"*FangerPMV(Hourly)",'Eplus results'!$1:$1048576,ROW(),FALSE)</f>
        <v>0</v>
      </c>
      <c r="AD7716" s="580">
        <f t="shared" si="636"/>
        <v>5</v>
      </c>
      <c r="AE7716" s="580">
        <f t="shared" si="637"/>
        <v>2.5</v>
      </c>
      <c r="AF7716" s="580">
        <f t="shared" si="638"/>
        <v>2.5</v>
      </c>
      <c r="AG7716" s="580">
        <f t="shared" si="639"/>
        <v>0</v>
      </c>
      <c r="AH7716" s="580">
        <f t="shared" si="640"/>
        <v>0</v>
      </c>
    </row>
    <row r="7717" spans="28:34">
      <c r="AB7717" s="580">
        <f>HLOOKUP("*"&amp;'Output annual'!$AC$2&amp;'Output annual'!$AD$2&amp;"*Zone People Number Of Occupants [](Hourly)",'Eplus results'!$1:$1048576,ROW(),FALSE)</f>
        <v>0</v>
      </c>
      <c r="AC7717" s="580">
        <f>HLOOKUP("*"&amp;'Output annual'!$AC$2&amp;'Output annual'!$AD$2&amp;"*FangerPMV(Hourly)",'Eplus results'!$1:$1048576,ROW(),FALSE)</f>
        <v>0</v>
      </c>
      <c r="AD7717" s="580">
        <f t="shared" si="636"/>
        <v>5</v>
      </c>
      <c r="AE7717" s="580">
        <f t="shared" si="637"/>
        <v>2.5</v>
      </c>
      <c r="AF7717" s="580">
        <f t="shared" si="638"/>
        <v>2.5</v>
      </c>
      <c r="AG7717" s="580">
        <f t="shared" si="639"/>
        <v>0</v>
      </c>
      <c r="AH7717" s="580">
        <f t="shared" si="640"/>
        <v>0</v>
      </c>
    </row>
    <row r="7718" spans="28:34">
      <c r="AB7718" s="580">
        <f>HLOOKUP("*"&amp;'Output annual'!$AC$2&amp;'Output annual'!$AD$2&amp;"*Zone People Number Of Occupants [](Hourly)",'Eplus results'!$1:$1048576,ROW(),FALSE)</f>
        <v>0</v>
      </c>
      <c r="AC7718" s="580">
        <f>HLOOKUP("*"&amp;'Output annual'!$AC$2&amp;'Output annual'!$AD$2&amp;"*FangerPMV(Hourly)",'Eplus results'!$1:$1048576,ROW(),FALSE)</f>
        <v>0</v>
      </c>
      <c r="AD7718" s="580">
        <f t="shared" si="636"/>
        <v>5</v>
      </c>
      <c r="AE7718" s="580">
        <f t="shared" si="637"/>
        <v>2.5</v>
      </c>
      <c r="AF7718" s="580">
        <f t="shared" si="638"/>
        <v>2.5</v>
      </c>
      <c r="AG7718" s="580">
        <f t="shared" si="639"/>
        <v>0</v>
      </c>
      <c r="AH7718" s="580">
        <f t="shared" si="640"/>
        <v>0</v>
      </c>
    </row>
    <row r="7719" spans="28:34">
      <c r="AB7719" s="580">
        <f>HLOOKUP("*"&amp;'Output annual'!$AC$2&amp;'Output annual'!$AD$2&amp;"*Zone People Number Of Occupants [](Hourly)",'Eplus results'!$1:$1048576,ROW(),FALSE)</f>
        <v>0</v>
      </c>
      <c r="AC7719" s="580">
        <f>HLOOKUP("*"&amp;'Output annual'!$AC$2&amp;'Output annual'!$AD$2&amp;"*FangerPMV(Hourly)",'Eplus results'!$1:$1048576,ROW(),FALSE)</f>
        <v>0</v>
      </c>
      <c r="AD7719" s="580">
        <f t="shared" si="636"/>
        <v>5</v>
      </c>
      <c r="AE7719" s="580">
        <f t="shared" si="637"/>
        <v>2.5</v>
      </c>
      <c r="AF7719" s="580">
        <f t="shared" si="638"/>
        <v>2.5</v>
      </c>
      <c r="AG7719" s="580">
        <f t="shared" si="639"/>
        <v>0</v>
      </c>
      <c r="AH7719" s="580">
        <f t="shared" si="640"/>
        <v>0</v>
      </c>
    </row>
    <row r="7720" spans="28:34">
      <c r="AB7720" s="580">
        <f>HLOOKUP("*"&amp;'Output annual'!$AC$2&amp;'Output annual'!$AD$2&amp;"*Zone People Number Of Occupants [](Hourly)",'Eplus results'!$1:$1048576,ROW(),FALSE)</f>
        <v>0</v>
      </c>
      <c r="AC7720" s="580">
        <f>HLOOKUP("*"&amp;'Output annual'!$AC$2&amp;'Output annual'!$AD$2&amp;"*FangerPMV(Hourly)",'Eplus results'!$1:$1048576,ROW(),FALSE)</f>
        <v>0</v>
      </c>
      <c r="AD7720" s="580">
        <f t="shared" si="636"/>
        <v>5</v>
      </c>
      <c r="AE7720" s="580">
        <f t="shared" si="637"/>
        <v>2.5</v>
      </c>
      <c r="AF7720" s="580">
        <f t="shared" si="638"/>
        <v>2.5</v>
      </c>
      <c r="AG7720" s="580">
        <f t="shared" si="639"/>
        <v>0</v>
      </c>
      <c r="AH7720" s="580">
        <f t="shared" si="640"/>
        <v>0</v>
      </c>
    </row>
    <row r="7721" spans="28:34">
      <c r="AB7721" s="580">
        <f>HLOOKUP("*"&amp;'Output annual'!$AC$2&amp;'Output annual'!$AD$2&amp;"*Zone People Number Of Occupants [](Hourly)",'Eplus results'!$1:$1048576,ROW(),FALSE)</f>
        <v>0</v>
      </c>
      <c r="AC7721" s="580">
        <f>HLOOKUP("*"&amp;'Output annual'!$AC$2&amp;'Output annual'!$AD$2&amp;"*FangerPMV(Hourly)",'Eplus results'!$1:$1048576,ROW(),FALSE)</f>
        <v>0</v>
      </c>
      <c r="AD7721" s="580">
        <f t="shared" si="636"/>
        <v>5</v>
      </c>
      <c r="AE7721" s="580">
        <f t="shared" si="637"/>
        <v>2.5</v>
      </c>
      <c r="AF7721" s="580">
        <f t="shared" si="638"/>
        <v>2.5</v>
      </c>
      <c r="AG7721" s="580">
        <f t="shared" si="639"/>
        <v>0</v>
      </c>
      <c r="AH7721" s="580">
        <f t="shared" si="640"/>
        <v>0</v>
      </c>
    </row>
    <row r="7722" spans="28:34">
      <c r="AB7722" s="580">
        <f>HLOOKUP("*"&amp;'Output annual'!$AC$2&amp;'Output annual'!$AD$2&amp;"*Zone People Number Of Occupants [](Hourly)",'Eplus results'!$1:$1048576,ROW(),FALSE)</f>
        <v>0</v>
      </c>
      <c r="AC7722" s="580">
        <f>HLOOKUP("*"&amp;'Output annual'!$AC$2&amp;'Output annual'!$AD$2&amp;"*FangerPMV(Hourly)",'Eplus results'!$1:$1048576,ROW(),FALSE)</f>
        <v>0</v>
      </c>
      <c r="AD7722" s="580">
        <f t="shared" si="636"/>
        <v>5</v>
      </c>
      <c r="AE7722" s="580">
        <f t="shared" si="637"/>
        <v>2.5</v>
      </c>
      <c r="AF7722" s="580">
        <f t="shared" si="638"/>
        <v>2.5</v>
      </c>
      <c r="AG7722" s="580">
        <f t="shared" si="639"/>
        <v>0</v>
      </c>
      <c r="AH7722" s="580">
        <f t="shared" si="640"/>
        <v>0</v>
      </c>
    </row>
    <row r="7723" spans="28:34">
      <c r="AB7723" s="580">
        <f>HLOOKUP("*"&amp;'Output annual'!$AC$2&amp;'Output annual'!$AD$2&amp;"*Zone People Number Of Occupants [](Hourly)",'Eplus results'!$1:$1048576,ROW(),FALSE)</f>
        <v>0</v>
      </c>
      <c r="AC7723" s="580">
        <f>HLOOKUP("*"&amp;'Output annual'!$AC$2&amp;'Output annual'!$AD$2&amp;"*FangerPMV(Hourly)",'Eplus results'!$1:$1048576,ROW(),FALSE)</f>
        <v>0</v>
      </c>
      <c r="AD7723" s="580">
        <f t="shared" si="636"/>
        <v>5</v>
      </c>
      <c r="AE7723" s="580">
        <f t="shared" si="637"/>
        <v>2.5</v>
      </c>
      <c r="AF7723" s="580">
        <f t="shared" si="638"/>
        <v>2.5</v>
      </c>
      <c r="AG7723" s="580">
        <f t="shared" si="639"/>
        <v>0</v>
      </c>
      <c r="AH7723" s="580">
        <f t="shared" si="640"/>
        <v>0</v>
      </c>
    </row>
    <row r="7724" spans="28:34">
      <c r="AB7724" s="580">
        <f>HLOOKUP("*"&amp;'Output annual'!$AC$2&amp;'Output annual'!$AD$2&amp;"*Zone People Number Of Occupants [](Hourly)",'Eplus results'!$1:$1048576,ROW(),FALSE)</f>
        <v>0</v>
      </c>
      <c r="AC7724" s="580">
        <f>HLOOKUP("*"&amp;'Output annual'!$AC$2&amp;'Output annual'!$AD$2&amp;"*FangerPMV(Hourly)",'Eplus results'!$1:$1048576,ROW(),FALSE)</f>
        <v>0</v>
      </c>
      <c r="AD7724" s="580">
        <f t="shared" si="636"/>
        <v>5</v>
      </c>
      <c r="AE7724" s="580">
        <f t="shared" si="637"/>
        <v>2.5</v>
      </c>
      <c r="AF7724" s="580">
        <f t="shared" si="638"/>
        <v>2.5</v>
      </c>
      <c r="AG7724" s="580">
        <f t="shared" si="639"/>
        <v>0</v>
      </c>
      <c r="AH7724" s="580">
        <f t="shared" si="640"/>
        <v>0</v>
      </c>
    </row>
    <row r="7725" spans="28:34">
      <c r="AB7725" s="580">
        <f>HLOOKUP("*"&amp;'Output annual'!$AC$2&amp;'Output annual'!$AD$2&amp;"*Zone People Number Of Occupants [](Hourly)",'Eplus results'!$1:$1048576,ROW(),FALSE)</f>
        <v>0</v>
      </c>
      <c r="AC7725" s="580">
        <f>HLOOKUP("*"&amp;'Output annual'!$AC$2&amp;'Output annual'!$AD$2&amp;"*FangerPMV(Hourly)",'Eplus results'!$1:$1048576,ROW(),FALSE)</f>
        <v>0</v>
      </c>
      <c r="AD7725" s="580">
        <f t="shared" si="636"/>
        <v>5</v>
      </c>
      <c r="AE7725" s="580">
        <f t="shared" si="637"/>
        <v>2.5</v>
      </c>
      <c r="AF7725" s="580">
        <f t="shared" si="638"/>
        <v>2.5</v>
      </c>
      <c r="AG7725" s="580">
        <f t="shared" si="639"/>
        <v>0</v>
      </c>
      <c r="AH7725" s="580">
        <f t="shared" si="640"/>
        <v>0</v>
      </c>
    </row>
    <row r="7726" spans="28:34">
      <c r="AB7726" s="580">
        <f>HLOOKUP("*"&amp;'Output annual'!$AC$2&amp;'Output annual'!$AD$2&amp;"*Zone People Number Of Occupants [](Hourly)",'Eplus results'!$1:$1048576,ROW(),FALSE)</f>
        <v>0</v>
      </c>
      <c r="AC7726" s="580">
        <f>HLOOKUP("*"&amp;'Output annual'!$AC$2&amp;'Output annual'!$AD$2&amp;"*FangerPMV(Hourly)",'Eplus results'!$1:$1048576,ROW(),FALSE)</f>
        <v>0</v>
      </c>
      <c r="AD7726" s="580">
        <f t="shared" si="636"/>
        <v>5</v>
      </c>
      <c r="AE7726" s="580">
        <f t="shared" si="637"/>
        <v>2.5</v>
      </c>
      <c r="AF7726" s="580">
        <f t="shared" si="638"/>
        <v>2.5</v>
      </c>
      <c r="AG7726" s="580">
        <f t="shared" si="639"/>
        <v>0</v>
      </c>
      <c r="AH7726" s="580">
        <f t="shared" si="640"/>
        <v>0</v>
      </c>
    </row>
    <row r="7727" spans="28:34">
      <c r="AB7727" s="580">
        <f>HLOOKUP("*"&amp;'Output annual'!$AC$2&amp;'Output annual'!$AD$2&amp;"*Zone People Number Of Occupants [](Hourly)",'Eplus results'!$1:$1048576,ROW(),FALSE)</f>
        <v>0</v>
      </c>
      <c r="AC7727" s="580">
        <f>HLOOKUP("*"&amp;'Output annual'!$AC$2&amp;'Output annual'!$AD$2&amp;"*FangerPMV(Hourly)",'Eplus results'!$1:$1048576,ROW(),FALSE)</f>
        <v>0</v>
      </c>
      <c r="AD7727" s="580">
        <f t="shared" si="636"/>
        <v>5</v>
      </c>
      <c r="AE7727" s="580">
        <f t="shared" si="637"/>
        <v>2.5</v>
      </c>
      <c r="AF7727" s="580">
        <f t="shared" si="638"/>
        <v>2.5</v>
      </c>
      <c r="AG7727" s="580">
        <f t="shared" si="639"/>
        <v>0</v>
      </c>
      <c r="AH7727" s="580">
        <f t="shared" si="640"/>
        <v>0</v>
      </c>
    </row>
    <row r="7728" spans="28:34">
      <c r="AB7728" s="580">
        <f>HLOOKUP("*"&amp;'Output annual'!$AC$2&amp;'Output annual'!$AD$2&amp;"*Zone People Number Of Occupants [](Hourly)",'Eplus results'!$1:$1048576,ROW(),FALSE)</f>
        <v>0</v>
      </c>
      <c r="AC7728" s="580">
        <f>HLOOKUP("*"&amp;'Output annual'!$AC$2&amp;'Output annual'!$AD$2&amp;"*FangerPMV(Hourly)",'Eplus results'!$1:$1048576,ROW(),FALSE)</f>
        <v>0</v>
      </c>
      <c r="AD7728" s="580">
        <f t="shared" si="636"/>
        <v>5</v>
      </c>
      <c r="AE7728" s="580">
        <f t="shared" si="637"/>
        <v>2.5</v>
      </c>
      <c r="AF7728" s="580">
        <f t="shared" si="638"/>
        <v>2.5</v>
      </c>
      <c r="AG7728" s="580">
        <f t="shared" si="639"/>
        <v>0</v>
      </c>
      <c r="AH7728" s="580">
        <f t="shared" si="640"/>
        <v>0</v>
      </c>
    </row>
    <row r="7729" spans="28:34">
      <c r="AB7729" s="580">
        <f>HLOOKUP("*"&amp;'Output annual'!$AC$2&amp;'Output annual'!$AD$2&amp;"*Zone People Number Of Occupants [](Hourly)",'Eplus results'!$1:$1048576,ROW(),FALSE)</f>
        <v>0</v>
      </c>
      <c r="AC7729" s="580">
        <f>HLOOKUP("*"&amp;'Output annual'!$AC$2&amp;'Output annual'!$AD$2&amp;"*FangerPMV(Hourly)",'Eplus results'!$1:$1048576,ROW(),FALSE)</f>
        <v>0</v>
      </c>
      <c r="AD7729" s="580">
        <f t="shared" si="636"/>
        <v>5</v>
      </c>
      <c r="AE7729" s="580">
        <f t="shared" si="637"/>
        <v>2.5</v>
      </c>
      <c r="AF7729" s="580">
        <f t="shared" si="638"/>
        <v>2.5</v>
      </c>
      <c r="AG7729" s="580">
        <f t="shared" si="639"/>
        <v>0</v>
      </c>
      <c r="AH7729" s="580">
        <f t="shared" si="640"/>
        <v>0</v>
      </c>
    </row>
    <row r="7730" spans="28:34">
      <c r="AB7730" s="580">
        <f>HLOOKUP("*"&amp;'Output annual'!$AC$2&amp;'Output annual'!$AD$2&amp;"*Zone People Number Of Occupants [](Hourly)",'Eplus results'!$1:$1048576,ROW(),FALSE)</f>
        <v>0</v>
      </c>
      <c r="AC7730" s="580">
        <f>HLOOKUP("*"&amp;'Output annual'!$AC$2&amp;'Output annual'!$AD$2&amp;"*FangerPMV(Hourly)",'Eplus results'!$1:$1048576,ROW(),FALSE)</f>
        <v>0</v>
      </c>
      <c r="AD7730" s="580">
        <f t="shared" si="636"/>
        <v>5</v>
      </c>
      <c r="AE7730" s="580">
        <f t="shared" si="637"/>
        <v>2.5</v>
      </c>
      <c r="AF7730" s="580">
        <f t="shared" si="638"/>
        <v>2.5</v>
      </c>
      <c r="AG7730" s="580">
        <f t="shared" si="639"/>
        <v>0</v>
      </c>
      <c r="AH7730" s="580">
        <f t="shared" si="640"/>
        <v>0</v>
      </c>
    </row>
    <row r="7731" spans="28:34">
      <c r="AB7731" s="580">
        <f>HLOOKUP("*"&amp;'Output annual'!$AC$2&amp;'Output annual'!$AD$2&amp;"*Zone People Number Of Occupants [](Hourly)",'Eplus results'!$1:$1048576,ROW(),FALSE)</f>
        <v>0</v>
      </c>
      <c r="AC7731" s="580">
        <f>HLOOKUP("*"&amp;'Output annual'!$AC$2&amp;'Output annual'!$AD$2&amp;"*FangerPMV(Hourly)",'Eplus results'!$1:$1048576,ROW(),FALSE)</f>
        <v>0</v>
      </c>
      <c r="AD7731" s="580">
        <f t="shared" si="636"/>
        <v>5</v>
      </c>
      <c r="AE7731" s="580">
        <f t="shared" si="637"/>
        <v>2.5</v>
      </c>
      <c r="AF7731" s="580">
        <f t="shared" si="638"/>
        <v>2.5</v>
      </c>
      <c r="AG7731" s="580">
        <f t="shared" si="639"/>
        <v>0</v>
      </c>
      <c r="AH7731" s="580">
        <f t="shared" si="640"/>
        <v>0</v>
      </c>
    </row>
    <row r="7732" spans="28:34">
      <c r="AB7732" s="580">
        <f>HLOOKUP("*"&amp;'Output annual'!$AC$2&amp;'Output annual'!$AD$2&amp;"*Zone People Number Of Occupants [](Hourly)",'Eplus results'!$1:$1048576,ROW(),FALSE)</f>
        <v>0</v>
      </c>
      <c r="AC7732" s="580">
        <f>HLOOKUP("*"&amp;'Output annual'!$AC$2&amp;'Output annual'!$AD$2&amp;"*FangerPMV(Hourly)",'Eplus results'!$1:$1048576,ROW(),FALSE)</f>
        <v>0</v>
      </c>
      <c r="AD7732" s="580">
        <f t="shared" si="636"/>
        <v>5</v>
      </c>
      <c r="AE7732" s="580">
        <f t="shared" si="637"/>
        <v>2.5</v>
      </c>
      <c r="AF7732" s="580">
        <f t="shared" si="638"/>
        <v>2.5</v>
      </c>
      <c r="AG7732" s="580">
        <f t="shared" si="639"/>
        <v>0</v>
      </c>
      <c r="AH7732" s="580">
        <f t="shared" si="640"/>
        <v>0</v>
      </c>
    </row>
    <row r="7733" spans="28:34">
      <c r="AB7733" s="580">
        <f>HLOOKUP("*"&amp;'Output annual'!$AC$2&amp;'Output annual'!$AD$2&amp;"*Zone People Number Of Occupants [](Hourly)",'Eplus results'!$1:$1048576,ROW(),FALSE)</f>
        <v>0</v>
      </c>
      <c r="AC7733" s="580">
        <f>HLOOKUP("*"&amp;'Output annual'!$AC$2&amp;'Output annual'!$AD$2&amp;"*FangerPMV(Hourly)",'Eplus results'!$1:$1048576,ROW(),FALSE)</f>
        <v>0</v>
      </c>
      <c r="AD7733" s="580">
        <f t="shared" si="636"/>
        <v>5</v>
      </c>
      <c r="AE7733" s="580">
        <f t="shared" si="637"/>
        <v>2.5</v>
      </c>
      <c r="AF7733" s="580">
        <f t="shared" si="638"/>
        <v>2.5</v>
      </c>
      <c r="AG7733" s="580">
        <f t="shared" si="639"/>
        <v>0</v>
      </c>
      <c r="AH7733" s="580">
        <f t="shared" si="640"/>
        <v>0</v>
      </c>
    </row>
    <row r="7734" spans="28:34">
      <c r="AB7734" s="580">
        <f>HLOOKUP("*"&amp;'Output annual'!$AC$2&amp;'Output annual'!$AD$2&amp;"*Zone People Number Of Occupants [](Hourly)",'Eplus results'!$1:$1048576,ROW(),FALSE)</f>
        <v>0</v>
      </c>
      <c r="AC7734" s="580">
        <f>HLOOKUP("*"&amp;'Output annual'!$AC$2&amp;'Output annual'!$AD$2&amp;"*FangerPMV(Hourly)",'Eplus results'!$1:$1048576,ROW(),FALSE)</f>
        <v>0</v>
      </c>
      <c r="AD7734" s="580">
        <f t="shared" si="636"/>
        <v>5</v>
      </c>
      <c r="AE7734" s="580">
        <f t="shared" si="637"/>
        <v>2.5</v>
      </c>
      <c r="AF7734" s="580">
        <f t="shared" si="638"/>
        <v>2.5</v>
      </c>
      <c r="AG7734" s="580">
        <f t="shared" si="639"/>
        <v>0</v>
      </c>
      <c r="AH7734" s="580">
        <f t="shared" si="640"/>
        <v>0</v>
      </c>
    </row>
    <row r="7735" spans="28:34">
      <c r="AB7735" s="580">
        <f>HLOOKUP("*"&amp;'Output annual'!$AC$2&amp;'Output annual'!$AD$2&amp;"*Zone People Number Of Occupants [](Hourly)",'Eplus results'!$1:$1048576,ROW(),FALSE)</f>
        <v>0</v>
      </c>
      <c r="AC7735" s="580">
        <f>HLOOKUP("*"&amp;'Output annual'!$AC$2&amp;'Output annual'!$AD$2&amp;"*FangerPMV(Hourly)",'Eplus results'!$1:$1048576,ROW(),FALSE)</f>
        <v>0</v>
      </c>
      <c r="AD7735" s="580">
        <f t="shared" si="636"/>
        <v>5</v>
      </c>
      <c r="AE7735" s="580">
        <f t="shared" si="637"/>
        <v>2.5</v>
      </c>
      <c r="AF7735" s="580">
        <f t="shared" si="638"/>
        <v>2.5</v>
      </c>
      <c r="AG7735" s="580">
        <f t="shared" si="639"/>
        <v>0</v>
      </c>
      <c r="AH7735" s="580">
        <f t="shared" si="640"/>
        <v>0</v>
      </c>
    </row>
    <row r="7736" spans="28:34">
      <c r="AB7736" s="580">
        <f>HLOOKUP("*"&amp;'Output annual'!$AC$2&amp;'Output annual'!$AD$2&amp;"*Zone People Number Of Occupants [](Hourly)",'Eplus results'!$1:$1048576,ROW(),FALSE)</f>
        <v>0</v>
      </c>
      <c r="AC7736" s="580">
        <f>HLOOKUP("*"&amp;'Output annual'!$AC$2&amp;'Output annual'!$AD$2&amp;"*FangerPMV(Hourly)",'Eplus results'!$1:$1048576,ROW(),FALSE)</f>
        <v>0</v>
      </c>
      <c r="AD7736" s="580">
        <f t="shared" si="636"/>
        <v>5</v>
      </c>
      <c r="AE7736" s="580">
        <f t="shared" si="637"/>
        <v>2.5</v>
      </c>
      <c r="AF7736" s="580">
        <f t="shared" si="638"/>
        <v>2.5</v>
      </c>
      <c r="AG7736" s="580">
        <f t="shared" si="639"/>
        <v>0</v>
      </c>
      <c r="AH7736" s="580">
        <f t="shared" si="640"/>
        <v>0</v>
      </c>
    </row>
    <row r="7737" spans="28:34">
      <c r="AB7737" s="580">
        <f>HLOOKUP("*"&amp;'Output annual'!$AC$2&amp;'Output annual'!$AD$2&amp;"*Zone People Number Of Occupants [](Hourly)",'Eplus results'!$1:$1048576,ROW(),FALSE)</f>
        <v>0</v>
      </c>
      <c r="AC7737" s="580">
        <f>HLOOKUP("*"&amp;'Output annual'!$AC$2&amp;'Output annual'!$AD$2&amp;"*FangerPMV(Hourly)",'Eplus results'!$1:$1048576,ROW(),FALSE)</f>
        <v>0</v>
      </c>
      <c r="AD7737" s="580">
        <f t="shared" si="636"/>
        <v>5</v>
      </c>
      <c r="AE7737" s="580">
        <f t="shared" si="637"/>
        <v>2.5</v>
      </c>
      <c r="AF7737" s="580">
        <f t="shared" si="638"/>
        <v>2.5</v>
      </c>
      <c r="AG7737" s="580">
        <f t="shared" si="639"/>
        <v>0</v>
      </c>
      <c r="AH7737" s="580">
        <f t="shared" si="640"/>
        <v>0</v>
      </c>
    </row>
    <row r="7738" spans="28:34">
      <c r="AB7738" s="580">
        <f>HLOOKUP("*"&amp;'Output annual'!$AC$2&amp;'Output annual'!$AD$2&amp;"*Zone People Number Of Occupants [](Hourly)",'Eplus results'!$1:$1048576,ROW(),FALSE)</f>
        <v>0</v>
      </c>
      <c r="AC7738" s="580">
        <f>HLOOKUP("*"&amp;'Output annual'!$AC$2&amp;'Output annual'!$AD$2&amp;"*FangerPMV(Hourly)",'Eplus results'!$1:$1048576,ROW(),FALSE)</f>
        <v>0</v>
      </c>
      <c r="AD7738" s="580">
        <f t="shared" si="636"/>
        <v>5</v>
      </c>
      <c r="AE7738" s="580">
        <f t="shared" si="637"/>
        <v>2.5</v>
      </c>
      <c r="AF7738" s="580">
        <f t="shared" si="638"/>
        <v>2.5</v>
      </c>
      <c r="AG7738" s="580">
        <f t="shared" si="639"/>
        <v>0</v>
      </c>
      <c r="AH7738" s="580">
        <f t="shared" si="640"/>
        <v>0</v>
      </c>
    </row>
    <row r="7739" spans="28:34">
      <c r="AB7739" s="580">
        <f>HLOOKUP("*"&amp;'Output annual'!$AC$2&amp;'Output annual'!$AD$2&amp;"*Zone People Number Of Occupants [](Hourly)",'Eplus results'!$1:$1048576,ROW(),FALSE)</f>
        <v>0</v>
      </c>
      <c r="AC7739" s="580">
        <f>HLOOKUP("*"&amp;'Output annual'!$AC$2&amp;'Output annual'!$AD$2&amp;"*FangerPMV(Hourly)",'Eplus results'!$1:$1048576,ROW(),FALSE)</f>
        <v>0</v>
      </c>
      <c r="AD7739" s="580">
        <f t="shared" si="636"/>
        <v>5</v>
      </c>
      <c r="AE7739" s="580">
        <f t="shared" si="637"/>
        <v>2.5</v>
      </c>
      <c r="AF7739" s="580">
        <f t="shared" si="638"/>
        <v>2.5</v>
      </c>
      <c r="AG7739" s="580">
        <f t="shared" si="639"/>
        <v>0</v>
      </c>
      <c r="AH7739" s="580">
        <f t="shared" si="640"/>
        <v>0</v>
      </c>
    </row>
    <row r="7740" spans="28:34">
      <c r="AB7740" s="580">
        <f>HLOOKUP("*"&amp;'Output annual'!$AC$2&amp;'Output annual'!$AD$2&amp;"*Zone People Number Of Occupants [](Hourly)",'Eplus results'!$1:$1048576,ROW(),FALSE)</f>
        <v>0</v>
      </c>
      <c r="AC7740" s="580">
        <f>HLOOKUP("*"&amp;'Output annual'!$AC$2&amp;'Output annual'!$AD$2&amp;"*FangerPMV(Hourly)",'Eplus results'!$1:$1048576,ROW(),FALSE)</f>
        <v>0</v>
      </c>
      <c r="AD7740" s="580">
        <f t="shared" si="636"/>
        <v>5</v>
      </c>
      <c r="AE7740" s="580">
        <f t="shared" si="637"/>
        <v>2.5</v>
      </c>
      <c r="AF7740" s="580">
        <f t="shared" si="638"/>
        <v>2.5</v>
      </c>
      <c r="AG7740" s="580">
        <f t="shared" si="639"/>
        <v>0</v>
      </c>
      <c r="AH7740" s="580">
        <f t="shared" si="640"/>
        <v>0</v>
      </c>
    </row>
    <row r="7741" spans="28:34">
      <c r="AB7741" s="580">
        <f>HLOOKUP("*"&amp;'Output annual'!$AC$2&amp;'Output annual'!$AD$2&amp;"*Zone People Number Of Occupants [](Hourly)",'Eplus results'!$1:$1048576,ROW(),FALSE)</f>
        <v>0</v>
      </c>
      <c r="AC7741" s="580">
        <f>HLOOKUP("*"&amp;'Output annual'!$AC$2&amp;'Output annual'!$AD$2&amp;"*FangerPMV(Hourly)",'Eplus results'!$1:$1048576,ROW(),FALSE)</f>
        <v>0</v>
      </c>
      <c r="AD7741" s="580">
        <f t="shared" si="636"/>
        <v>5</v>
      </c>
      <c r="AE7741" s="580">
        <f t="shared" si="637"/>
        <v>2.5</v>
      </c>
      <c r="AF7741" s="580">
        <f t="shared" si="638"/>
        <v>2.5</v>
      </c>
      <c r="AG7741" s="580">
        <f t="shared" si="639"/>
        <v>0</v>
      </c>
      <c r="AH7741" s="580">
        <f t="shared" si="640"/>
        <v>0</v>
      </c>
    </row>
    <row r="7742" spans="28:34">
      <c r="AB7742" s="580">
        <f>HLOOKUP("*"&amp;'Output annual'!$AC$2&amp;'Output annual'!$AD$2&amp;"*Zone People Number Of Occupants [](Hourly)",'Eplus results'!$1:$1048576,ROW(),FALSE)</f>
        <v>0</v>
      </c>
      <c r="AC7742" s="580">
        <f>HLOOKUP("*"&amp;'Output annual'!$AC$2&amp;'Output annual'!$AD$2&amp;"*FangerPMV(Hourly)",'Eplus results'!$1:$1048576,ROW(),FALSE)</f>
        <v>0</v>
      </c>
      <c r="AD7742" s="580">
        <f t="shared" si="636"/>
        <v>5</v>
      </c>
      <c r="AE7742" s="580">
        <f t="shared" si="637"/>
        <v>2.5</v>
      </c>
      <c r="AF7742" s="580">
        <f t="shared" si="638"/>
        <v>2.5</v>
      </c>
      <c r="AG7742" s="580">
        <f t="shared" si="639"/>
        <v>0</v>
      </c>
      <c r="AH7742" s="580">
        <f t="shared" si="640"/>
        <v>0</v>
      </c>
    </row>
    <row r="7743" spans="28:34">
      <c r="AB7743" s="580">
        <f>HLOOKUP("*"&amp;'Output annual'!$AC$2&amp;'Output annual'!$AD$2&amp;"*Zone People Number Of Occupants [](Hourly)",'Eplus results'!$1:$1048576,ROW(),FALSE)</f>
        <v>0</v>
      </c>
      <c r="AC7743" s="580">
        <f>HLOOKUP("*"&amp;'Output annual'!$AC$2&amp;'Output annual'!$AD$2&amp;"*FangerPMV(Hourly)",'Eplus results'!$1:$1048576,ROW(),FALSE)</f>
        <v>0</v>
      </c>
      <c r="AD7743" s="580">
        <f t="shared" si="636"/>
        <v>5</v>
      </c>
      <c r="AE7743" s="580">
        <f t="shared" si="637"/>
        <v>2.5</v>
      </c>
      <c r="AF7743" s="580">
        <f t="shared" si="638"/>
        <v>2.5</v>
      </c>
      <c r="AG7743" s="580">
        <f t="shared" si="639"/>
        <v>0</v>
      </c>
      <c r="AH7743" s="580">
        <f t="shared" si="640"/>
        <v>0</v>
      </c>
    </row>
    <row r="7744" spans="28:34">
      <c r="AB7744" s="580">
        <f>HLOOKUP("*"&amp;'Output annual'!$AC$2&amp;'Output annual'!$AD$2&amp;"*Zone People Number Of Occupants [](Hourly)",'Eplus results'!$1:$1048576,ROW(),FALSE)</f>
        <v>0</v>
      </c>
      <c r="AC7744" s="580">
        <f>HLOOKUP("*"&amp;'Output annual'!$AC$2&amp;'Output annual'!$AD$2&amp;"*FangerPMV(Hourly)",'Eplus results'!$1:$1048576,ROW(),FALSE)</f>
        <v>0</v>
      </c>
      <c r="AD7744" s="580">
        <f t="shared" si="636"/>
        <v>5</v>
      </c>
      <c r="AE7744" s="580">
        <f t="shared" si="637"/>
        <v>2.5</v>
      </c>
      <c r="AF7744" s="580">
        <f t="shared" si="638"/>
        <v>2.5</v>
      </c>
      <c r="AG7744" s="580">
        <f t="shared" si="639"/>
        <v>0</v>
      </c>
      <c r="AH7744" s="580">
        <f t="shared" si="640"/>
        <v>0</v>
      </c>
    </row>
    <row r="7745" spans="28:34">
      <c r="AB7745" s="580">
        <f>HLOOKUP("*"&amp;'Output annual'!$AC$2&amp;'Output annual'!$AD$2&amp;"*Zone People Number Of Occupants [](Hourly)",'Eplus results'!$1:$1048576,ROW(),FALSE)</f>
        <v>0</v>
      </c>
      <c r="AC7745" s="580">
        <f>HLOOKUP("*"&amp;'Output annual'!$AC$2&amp;'Output annual'!$AD$2&amp;"*FangerPMV(Hourly)",'Eplus results'!$1:$1048576,ROW(),FALSE)</f>
        <v>0</v>
      </c>
      <c r="AD7745" s="580">
        <f t="shared" si="636"/>
        <v>5</v>
      </c>
      <c r="AE7745" s="580">
        <f t="shared" si="637"/>
        <v>2.5</v>
      </c>
      <c r="AF7745" s="580">
        <f t="shared" si="638"/>
        <v>2.5</v>
      </c>
      <c r="AG7745" s="580">
        <f t="shared" si="639"/>
        <v>0</v>
      </c>
      <c r="AH7745" s="580">
        <f t="shared" si="640"/>
        <v>0</v>
      </c>
    </row>
    <row r="7746" spans="28:34">
      <c r="AB7746" s="580">
        <f>HLOOKUP("*"&amp;'Output annual'!$AC$2&amp;'Output annual'!$AD$2&amp;"*Zone People Number Of Occupants [](Hourly)",'Eplus results'!$1:$1048576,ROW(),FALSE)</f>
        <v>0</v>
      </c>
      <c r="AC7746" s="580">
        <f>HLOOKUP("*"&amp;'Output annual'!$AC$2&amp;'Output annual'!$AD$2&amp;"*FangerPMV(Hourly)",'Eplus results'!$1:$1048576,ROW(),FALSE)</f>
        <v>0</v>
      </c>
      <c r="AD7746" s="580">
        <f t="shared" si="636"/>
        <v>5</v>
      </c>
      <c r="AE7746" s="580">
        <f t="shared" si="637"/>
        <v>2.5</v>
      </c>
      <c r="AF7746" s="580">
        <f t="shared" si="638"/>
        <v>2.5</v>
      </c>
      <c r="AG7746" s="580">
        <f t="shared" si="639"/>
        <v>0</v>
      </c>
      <c r="AH7746" s="580">
        <f t="shared" si="640"/>
        <v>0</v>
      </c>
    </row>
    <row r="7747" spans="28:34">
      <c r="AB7747" s="580">
        <f>HLOOKUP("*"&amp;'Output annual'!$AC$2&amp;'Output annual'!$AD$2&amp;"*Zone People Number Of Occupants [](Hourly)",'Eplus results'!$1:$1048576,ROW(),FALSE)</f>
        <v>0</v>
      </c>
      <c r="AC7747" s="580">
        <f>HLOOKUP("*"&amp;'Output annual'!$AC$2&amp;'Output annual'!$AD$2&amp;"*FangerPMV(Hourly)",'Eplus results'!$1:$1048576,ROW(),FALSE)</f>
        <v>0</v>
      </c>
      <c r="AD7747" s="580">
        <f t="shared" ref="AD7747:AD7810" si="641">100-95*EXP(-0.03353*AC7747^4-0.2179*AC7747^2)</f>
        <v>5</v>
      </c>
      <c r="AE7747" s="580">
        <f t="shared" ref="AE7747:AE7810" si="642">AD7747*(1/(1+EXP(-6.3*$AC7747)))</f>
        <v>2.5</v>
      </c>
      <c r="AF7747" s="580">
        <f t="shared" ref="AF7747:AF7810" si="643">(AD7747-AE7747)</f>
        <v>2.5</v>
      </c>
      <c r="AG7747" s="580">
        <f t="shared" ref="AG7747:AG7810" si="644">AE7747*AB7747</f>
        <v>0</v>
      </c>
      <c r="AH7747" s="580">
        <f t="shared" ref="AH7747:AH7810" si="645">AF7747*AB7747</f>
        <v>0</v>
      </c>
    </row>
    <row r="7748" spans="28:34">
      <c r="AB7748" s="580">
        <f>HLOOKUP("*"&amp;'Output annual'!$AC$2&amp;'Output annual'!$AD$2&amp;"*Zone People Number Of Occupants [](Hourly)",'Eplus results'!$1:$1048576,ROW(),FALSE)</f>
        <v>0</v>
      </c>
      <c r="AC7748" s="580">
        <f>HLOOKUP("*"&amp;'Output annual'!$AC$2&amp;'Output annual'!$AD$2&amp;"*FangerPMV(Hourly)",'Eplus results'!$1:$1048576,ROW(),FALSE)</f>
        <v>0</v>
      </c>
      <c r="AD7748" s="580">
        <f t="shared" si="641"/>
        <v>5</v>
      </c>
      <c r="AE7748" s="580">
        <f t="shared" si="642"/>
        <v>2.5</v>
      </c>
      <c r="AF7748" s="580">
        <f t="shared" si="643"/>
        <v>2.5</v>
      </c>
      <c r="AG7748" s="580">
        <f t="shared" si="644"/>
        <v>0</v>
      </c>
      <c r="AH7748" s="580">
        <f t="shared" si="645"/>
        <v>0</v>
      </c>
    </row>
    <row r="7749" spans="28:34">
      <c r="AB7749" s="580">
        <f>HLOOKUP("*"&amp;'Output annual'!$AC$2&amp;'Output annual'!$AD$2&amp;"*Zone People Number Of Occupants [](Hourly)",'Eplus results'!$1:$1048576,ROW(),FALSE)</f>
        <v>0</v>
      </c>
      <c r="AC7749" s="580">
        <f>HLOOKUP("*"&amp;'Output annual'!$AC$2&amp;'Output annual'!$AD$2&amp;"*FangerPMV(Hourly)",'Eplus results'!$1:$1048576,ROW(),FALSE)</f>
        <v>0</v>
      </c>
      <c r="AD7749" s="580">
        <f t="shared" si="641"/>
        <v>5</v>
      </c>
      <c r="AE7749" s="580">
        <f t="shared" si="642"/>
        <v>2.5</v>
      </c>
      <c r="AF7749" s="580">
        <f t="shared" si="643"/>
        <v>2.5</v>
      </c>
      <c r="AG7749" s="580">
        <f t="shared" si="644"/>
        <v>0</v>
      </c>
      <c r="AH7749" s="580">
        <f t="shared" si="645"/>
        <v>0</v>
      </c>
    </row>
    <row r="7750" spans="28:34">
      <c r="AB7750" s="580">
        <f>HLOOKUP("*"&amp;'Output annual'!$AC$2&amp;'Output annual'!$AD$2&amp;"*Zone People Number Of Occupants [](Hourly)",'Eplus results'!$1:$1048576,ROW(),FALSE)</f>
        <v>0</v>
      </c>
      <c r="AC7750" s="580">
        <f>HLOOKUP("*"&amp;'Output annual'!$AC$2&amp;'Output annual'!$AD$2&amp;"*FangerPMV(Hourly)",'Eplus results'!$1:$1048576,ROW(),FALSE)</f>
        <v>0</v>
      </c>
      <c r="AD7750" s="580">
        <f t="shared" si="641"/>
        <v>5</v>
      </c>
      <c r="AE7750" s="580">
        <f t="shared" si="642"/>
        <v>2.5</v>
      </c>
      <c r="AF7750" s="580">
        <f t="shared" si="643"/>
        <v>2.5</v>
      </c>
      <c r="AG7750" s="580">
        <f t="shared" si="644"/>
        <v>0</v>
      </c>
      <c r="AH7750" s="580">
        <f t="shared" si="645"/>
        <v>0</v>
      </c>
    </row>
    <row r="7751" spans="28:34">
      <c r="AB7751" s="580">
        <f>HLOOKUP("*"&amp;'Output annual'!$AC$2&amp;'Output annual'!$AD$2&amp;"*Zone People Number Of Occupants [](Hourly)",'Eplus results'!$1:$1048576,ROW(),FALSE)</f>
        <v>0</v>
      </c>
      <c r="AC7751" s="580">
        <f>HLOOKUP("*"&amp;'Output annual'!$AC$2&amp;'Output annual'!$AD$2&amp;"*FangerPMV(Hourly)",'Eplus results'!$1:$1048576,ROW(),FALSE)</f>
        <v>0</v>
      </c>
      <c r="AD7751" s="580">
        <f t="shared" si="641"/>
        <v>5</v>
      </c>
      <c r="AE7751" s="580">
        <f t="shared" si="642"/>
        <v>2.5</v>
      </c>
      <c r="AF7751" s="580">
        <f t="shared" si="643"/>
        <v>2.5</v>
      </c>
      <c r="AG7751" s="580">
        <f t="shared" si="644"/>
        <v>0</v>
      </c>
      <c r="AH7751" s="580">
        <f t="shared" si="645"/>
        <v>0</v>
      </c>
    </row>
    <row r="7752" spans="28:34">
      <c r="AB7752" s="580">
        <f>HLOOKUP("*"&amp;'Output annual'!$AC$2&amp;'Output annual'!$AD$2&amp;"*Zone People Number Of Occupants [](Hourly)",'Eplus results'!$1:$1048576,ROW(),FALSE)</f>
        <v>0</v>
      </c>
      <c r="AC7752" s="580">
        <f>HLOOKUP("*"&amp;'Output annual'!$AC$2&amp;'Output annual'!$AD$2&amp;"*FangerPMV(Hourly)",'Eplus results'!$1:$1048576,ROW(),FALSE)</f>
        <v>0</v>
      </c>
      <c r="AD7752" s="580">
        <f t="shared" si="641"/>
        <v>5</v>
      </c>
      <c r="AE7752" s="580">
        <f t="shared" si="642"/>
        <v>2.5</v>
      </c>
      <c r="AF7752" s="580">
        <f t="shared" si="643"/>
        <v>2.5</v>
      </c>
      <c r="AG7752" s="580">
        <f t="shared" si="644"/>
        <v>0</v>
      </c>
      <c r="AH7752" s="580">
        <f t="shared" si="645"/>
        <v>0</v>
      </c>
    </row>
    <row r="7753" spans="28:34">
      <c r="AB7753" s="580">
        <f>HLOOKUP("*"&amp;'Output annual'!$AC$2&amp;'Output annual'!$AD$2&amp;"*Zone People Number Of Occupants [](Hourly)",'Eplus results'!$1:$1048576,ROW(),FALSE)</f>
        <v>0</v>
      </c>
      <c r="AC7753" s="580">
        <f>HLOOKUP("*"&amp;'Output annual'!$AC$2&amp;'Output annual'!$AD$2&amp;"*FangerPMV(Hourly)",'Eplus results'!$1:$1048576,ROW(),FALSE)</f>
        <v>0</v>
      </c>
      <c r="AD7753" s="580">
        <f t="shared" si="641"/>
        <v>5</v>
      </c>
      <c r="AE7753" s="580">
        <f t="shared" si="642"/>
        <v>2.5</v>
      </c>
      <c r="AF7753" s="580">
        <f t="shared" si="643"/>
        <v>2.5</v>
      </c>
      <c r="AG7753" s="580">
        <f t="shared" si="644"/>
        <v>0</v>
      </c>
      <c r="AH7753" s="580">
        <f t="shared" si="645"/>
        <v>0</v>
      </c>
    </row>
    <row r="7754" spans="28:34">
      <c r="AB7754" s="580">
        <f>HLOOKUP("*"&amp;'Output annual'!$AC$2&amp;'Output annual'!$AD$2&amp;"*Zone People Number Of Occupants [](Hourly)",'Eplus results'!$1:$1048576,ROW(),FALSE)</f>
        <v>0</v>
      </c>
      <c r="AC7754" s="580">
        <f>HLOOKUP("*"&amp;'Output annual'!$AC$2&amp;'Output annual'!$AD$2&amp;"*FangerPMV(Hourly)",'Eplus results'!$1:$1048576,ROW(),FALSE)</f>
        <v>0</v>
      </c>
      <c r="AD7754" s="580">
        <f t="shared" si="641"/>
        <v>5</v>
      </c>
      <c r="AE7754" s="580">
        <f t="shared" si="642"/>
        <v>2.5</v>
      </c>
      <c r="AF7754" s="580">
        <f t="shared" si="643"/>
        <v>2.5</v>
      </c>
      <c r="AG7754" s="580">
        <f t="shared" si="644"/>
        <v>0</v>
      </c>
      <c r="AH7754" s="580">
        <f t="shared" si="645"/>
        <v>0</v>
      </c>
    </row>
    <row r="7755" spans="28:34">
      <c r="AB7755" s="580">
        <f>HLOOKUP("*"&amp;'Output annual'!$AC$2&amp;'Output annual'!$AD$2&amp;"*Zone People Number Of Occupants [](Hourly)",'Eplus results'!$1:$1048576,ROW(),FALSE)</f>
        <v>0</v>
      </c>
      <c r="AC7755" s="580">
        <f>HLOOKUP("*"&amp;'Output annual'!$AC$2&amp;'Output annual'!$AD$2&amp;"*FangerPMV(Hourly)",'Eplus results'!$1:$1048576,ROW(),FALSE)</f>
        <v>0</v>
      </c>
      <c r="AD7755" s="580">
        <f t="shared" si="641"/>
        <v>5</v>
      </c>
      <c r="AE7755" s="580">
        <f t="shared" si="642"/>
        <v>2.5</v>
      </c>
      <c r="AF7755" s="580">
        <f t="shared" si="643"/>
        <v>2.5</v>
      </c>
      <c r="AG7755" s="580">
        <f t="shared" si="644"/>
        <v>0</v>
      </c>
      <c r="AH7755" s="580">
        <f t="shared" si="645"/>
        <v>0</v>
      </c>
    </row>
    <row r="7756" spans="28:34">
      <c r="AB7756" s="580">
        <f>HLOOKUP("*"&amp;'Output annual'!$AC$2&amp;'Output annual'!$AD$2&amp;"*Zone People Number Of Occupants [](Hourly)",'Eplus results'!$1:$1048576,ROW(),FALSE)</f>
        <v>0</v>
      </c>
      <c r="AC7756" s="580">
        <f>HLOOKUP("*"&amp;'Output annual'!$AC$2&amp;'Output annual'!$AD$2&amp;"*FangerPMV(Hourly)",'Eplus results'!$1:$1048576,ROW(),FALSE)</f>
        <v>0</v>
      </c>
      <c r="AD7756" s="580">
        <f t="shared" si="641"/>
        <v>5</v>
      </c>
      <c r="AE7756" s="580">
        <f t="shared" si="642"/>
        <v>2.5</v>
      </c>
      <c r="AF7756" s="580">
        <f t="shared" si="643"/>
        <v>2.5</v>
      </c>
      <c r="AG7756" s="580">
        <f t="shared" si="644"/>
        <v>0</v>
      </c>
      <c r="AH7756" s="580">
        <f t="shared" si="645"/>
        <v>0</v>
      </c>
    </row>
    <row r="7757" spans="28:34">
      <c r="AB7757" s="580">
        <f>HLOOKUP("*"&amp;'Output annual'!$AC$2&amp;'Output annual'!$AD$2&amp;"*Zone People Number Of Occupants [](Hourly)",'Eplus results'!$1:$1048576,ROW(),FALSE)</f>
        <v>0</v>
      </c>
      <c r="AC7757" s="580">
        <f>HLOOKUP("*"&amp;'Output annual'!$AC$2&amp;'Output annual'!$AD$2&amp;"*FangerPMV(Hourly)",'Eplus results'!$1:$1048576,ROW(),FALSE)</f>
        <v>0</v>
      </c>
      <c r="AD7757" s="580">
        <f t="shared" si="641"/>
        <v>5</v>
      </c>
      <c r="AE7757" s="580">
        <f t="shared" si="642"/>
        <v>2.5</v>
      </c>
      <c r="AF7757" s="580">
        <f t="shared" si="643"/>
        <v>2.5</v>
      </c>
      <c r="AG7757" s="580">
        <f t="shared" si="644"/>
        <v>0</v>
      </c>
      <c r="AH7757" s="580">
        <f t="shared" si="645"/>
        <v>0</v>
      </c>
    </row>
    <row r="7758" spans="28:34">
      <c r="AB7758" s="580">
        <f>HLOOKUP("*"&amp;'Output annual'!$AC$2&amp;'Output annual'!$AD$2&amp;"*Zone People Number Of Occupants [](Hourly)",'Eplus results'!$1:$1048576,ROW(),FALSE)</f>
        <v>0</v>
      </c>
      <c r="AC7758" s="580">
        <f>HLOOKUP("*"&amp;'Output annual'!$AC$2&amp;'Output annual'!$AD$2&amp;"*FangerPMV(Hourly)",'Eplus results'!$1:$1048576,ROW(),FALSE)</f>
        <v>0</v>
      </c>
      <c r="AD7758" s="580">
        <f t="shared" si="641"/>
        <v>5</v>
      </c>
      <c r="AE7758" s="580">
        <f t="shared" si="642"/>
        <v>2.5</v>
      </c>
      <c r="AF7758" s="580">
        <f t="shared" si="643"/>
        <v>2.5</v>
      </c>
      <c r="AG7758" s="580">
        <f t="shared" si="644"/>
        <v>0</v>
      </c>
      <c r="AH7758" s="580">
        <f t="shared" si="645"/>
        <v>0</v>
      </c>
    </row>
    <row r="7759" spans="28:34">
      <c r="AB7759" s="580">
        <f>HLOOKUP("*"&amp;'Output annual'!$AC$2&amp;'Output annual'!$AD$2&amp;"*Zone People Number Of Occupants [](Hourly)",'Eplus results'!$1:$1048576,ROW(),FALSE)</f>
        <v>0</v>
      </c>
      <c r="AC7759" s="580">
        <f>HLOOKUP("*"&amp;'Output annual'!$AC$2&amp;'Output annual'!$AD$2&amp;"*FangerPMV(Hourly)",'Eplus results'!$1:$1048576,ROW(),FALSE)</f>
        <v>0</v>
      </c>
      <c r="AD7759" s="580">
        <f t="shared" si="641"/>
        <v>5</v>
      </c>
      <c r="AE7759" s="580">
        <f t="shared" si="642"/>
        <v>2.5</v>
      </c>
      <c r="AF7759" s="580">
        <f t="shared" si="643"/>
        <v>2.5</v>
      </c>
      <c r="AG7759" s="580">
        <f t="shared" si="644"/>
        <v>0</v>
      </c>
      <c r="AH7759" s="580">
        <f t="shared" si="645"/>
        <v>0</v>
      </c>
    </row>
    <row r="7760" spans="28:34">
      <c r="AB7760" s="580">
        <f>HLOOKUP("*"&amp;'Output annual'!$AC$2&amp;'Output annual'!$AD$2&amp;"*Zone People Number Of Occupants [](Hourly)",'Eplus results'!$1:$1048576,ROW(),FALSE)</f>
        <v>0</v>
      </c>
      <c r="AC7760" s="580">
        <f>HLOOKUP("*"&amp;'Output annual'!$AC$2&amp;'Output annual'!$AD$2&amp;"*FangerPMV(Hourly)",'Eplus results'!$1:$1048576,ROW(),FALSE)</f>
        <v>0</v>
      </c>
      <c r="AD7760" s="580">
        <f t="shared" si="641"/>
        <v>5</v>
      </c>
      <c r="AE7760" s="580">
        <f t="shared" si="642"/>
        <v>2.5</v>
      </c>
      <c r="AF7760" s="580">
        <f t="shared" si="643"/>
        <v>2.5</v>
      </c>
      <c r="AG7760" s="580">
        <f t="shared" si="644"/>
        <v>0</v>
      </c>
      <c r="AH7760" s="580">
        <f t="shared" si="645"/>
        <v>0</v>
      </c>
    </row>
    <row r="7761" spans="28:34">
      <c r="AB7761" s="580">
        <f>HLOOKUP("*"&amp;'Output annual'!$AC$2&amp;'Output annual'!$AD$2&amp;"*Zone People Number Of Occupants [](Hourly)",'Eplus results'!$1:$1048576,ROW(),FALSE)</f>
        <v>0</v>
      </c>
      <c r="AC7761" s="580">
        <f>HLOOKUP("*"&amp;'Output annual'!$AC$2&amp;'Output annual'!$AD$2&amp;"*FangerPMV(Hourly)",'Eplus results'!$1:$1048576,ROW(),FALSE)</f>
        <v>0</v>
      </c>
      <c r="AD7761" s="580">
        <f t="shared" si="641"/>
        <v>5</v>
      </c>
      <c r="AE7761" s="580">
        <f t="shared" si="642"/>
        <v>2.5</v>
      </c>
      <c r="AF7761" s="580">
        <f t="shared" si="643"/>
        <v>2.5</v>
      </c>
      <c r="AG7761" s="580">
        <f t="shared" si="644"/>
        <v>0</v>
      </c>
      <c r="AH7761" s="580">
        <f t="shared" si="645"/>
        <v>0</v>
      </c>
    </row>
    <row r="7762" spans="28:34">
      <c r="AB7762" s="580">
        <f>HLOOKUP("*"&amp;'Output annual'!$AC$2&amp;'Output annual'!$AD$2&amp;"*Zone People Number Of Occupants [](Hourly)",'Eplus results'!$1:$1048576,ROW(),FALSE)</f>
        <v>0</v>
      </c>
      <c r="AC7762" s="580">
        <f>HLOOKUP("*"&amp;'Output annual'!$AC$2&amp;'Output annual'!$AD$2&amp;"*FangerPMV(Hourly)",'Eplus results'!$1:$1048576,ROW(),FALSE)</f>
        <v>0</v>
      </c>
      <c r="AD7762" s="580">
        <f t="shared" si="641"/>
        <v>5</v>
      </c>
      <c r="AE7762" s="580">
        <f t="shared" si="642"/>
        <v>2.5</v>
      </c>
      <c r="AF7762" s="580">
        <f t="shared" si="643"/>
        <v>2.5</v>
      </c>
      <c r="AG7762" s="580">
        <f t="shared" si="644"/>
        <v>0</v>
      </c>
      <c r="AH7762" s="580">
        <f t="shared" si="645"/>
        <v>0</v>
      </c>
    </row>
    <row r="7763" spans="28:34">
      <c r="AB7763" s="580">
        <f>HLOOKUP("*"&amp;'Output annual'!$AC$2&amp;'Output annual'!$AD$2&amp;"*Zone People Number Of Occupants [](Hourly)",'Eplus results'!$1:$1048576,ROW(),FALSE)</f>
        <v>0</v>
      </c>
      <c r="AC7763" s="580">
        <f>HLOOKUP("*"&amp;'Output annual'!$AC$2&amp;'Output annual'!$AD$2&amp;"*FangerPMV(Hourly)",'Eplus results'!$1:$1048576,ROW(),FALSE)</f>
        <v>0</v>
      </c>
      <c r="AD7763" s="580">
        <f t="shared" si="641"/>
        <v>5</v>
      </c>
      <c r="AE7763" s="580">
        <f t="shared" si="642"/>
        <v>2.5</v>
      </c>
      <c r="AF7763" s="580">
        <f t="shared" si="643"/>
        <v>2.5</v>
      </c>
      <c r="AG7763" s="580">
        <f t="shared" si="644"/>
        <v>0</v>
      </c>
      <c r="AH7763" s="580">
        <f t="shared" si="645"/>
        <v>0</v>
      </c>
    </row>
    <row r="7764" spans="28:34">
      <c r="AB7764" s="580">
        <f>HLOOKUP("*"&amp;'Output annual'!$AC$2&amp;'Output annual'!$AD$2&amp;"*Zone People Number Of Occupants [](Hourly)",'Eplus results'!$1:$1048576,ROW(),FALSE)</f>
        <v>0</v>
      </c>
      <c r="AC7764" s="580">
        <f>HLOOKUP("*"&amp;'Output annual'!$AC$2&amp;'Output annual'!$AD$2&amp;"*FangerPMV(Hourly)",'Eplus results'!$1:$1048576,ROW(),FALSE)</f>
        <v>0</v>
      </c>
      <c r="AD7764" s="580">
        <f t="shared" si="641"/>
        <v>5</v>
      </c>
      <c r="AE7764" s="580">
        <f t="shared" si="642"/>
        <v>2.5</v>
      </c>
      <c r="AF7764" s="580">
        <f t="shared" si="643"/>
        <v>2.5</v>
      </c>
      <c r="AG7764" s="580">
        <f t="shared" si="644"/>
        <v>0</v>
      </c>
      <c r="AH7764" s="580">
        <f t="shared" si="645"/>
        <v>0</v>
      </c>
    </row>
    <row r="7765" spans="28:34">
      <c r="AB7765" s="580">
        <f>HLOOKUP("*"&amp;'Output annual'!$AC$2&amp;'Output annual'!$AD$2&amp;"*Zone People Number Of Occupants [](Hourly)",'Eplus results'!$1:$1048576,ROW(),FALSE)</f>
        <v>0</v>
      </c>
      <c r="AC7765" s="580">
        <f>HLOOKUP("*"&amp;'Output annual'!$AC$2&amp;'Output annual'!$AD$2&amp;"*FangerPMV(Hourly)",'Eplus results'!$1:$1048576,ROW(),FALSE)</f>
        <v>0</v>
      </c>
      <c r="AD7765" s="580">
        <f t="shared" si="641"/>
        <v>5</v>
      </c>
      <c r="AE7765" s="580">
        <f t="shared" si="642"/>
        <v>2.5</v>
      </c>
      <c r="AF7765" s="580">
        <f t="shared" si="643"/>
        <v>2.5</v>
      </c>
      <c r="AG7765" s="580">
        <f t="shared" si="644"/>
        <v>0</v>
      </c>
      <c r="AH7765" s="580">
        <f t="shared" si="645"/>
        <v>0</v>
      </c>
    </row>
    <row r="7766" spans="28:34">
      <c r="AB7766" s="580">
        <f>HLOOKUP("*"&amp;'Output annual'!$AC$2&amp;'Output annual'!$AD$2&amp;"*Zone People Number Of Occupants [](Hourly)",'Eplus results'!$1:$1048576,ROW(),FALSE)</f>
        <v>0</v>
      </c>
      <c r="AC7766" s="580">
        <f>HLOOKUP("*"&amp;'Output annual'!$AC$2&amp;'Output annual'!$AD$2&amp;"*FangerPMV(Hourly)",'Eplus results'!$1:$1048576,ROW(),FALSE)</f>
        <v>0</v>
      </c>
      <c r="AD7766" s="580">
        <f t="shared" si="641"/>
        <v>5</v>
      </c>
      <c r="AE7766" s="580">
        <f t="shared" si="642"/>
        <v>2.5</v>
      </c>
      <c r="AF7766" s="580">
        <f t="shared" si="643"/>
        <v>2.5</v>
      </c>
      <c r="AG7766" s="580">
        <f t="shared" si="644"/>
        <v>0</v>
      </c>
      <c r="AH7766" s="580">
        <f t="shared" si="645"/>
        <v>0</v>
      </c>
    </row>
    <row r="7767" spans="28:34">
      <c r="AB7767" s="580">
        <f>HLOOKUP("*"&amp;'Output annual'!$AC$2&amp;'Output annual'!$AD$2&amp;"*Zone People Number Of Occupants [](Hourly)",'Eplus results'!$1:$1048576,ROW(),FALSE)</f>
        <v>0</v>
      </c>
      <c r="AC7767" s="580">
        <f>HLOOKUP("*"&amp;'Output annual'!$AC$2&amp;'Output annual'!$AD$2&amp;"*FangerPMV(Hourly)",'Eplus results'!$1:$1048576,ROW(),FALSE)</f>
        <v>0</v>
      </c>
      <c r="AD7767" s="580">
        <f t="shared" si="641"/>
        <v>5</v>
      </c>
      <c r="AE7767" s="580">
        <f t="shared" si="642"/>
        <v>2.5</v>
      </c>
      <c r="AF7767" s="580">
        <f t="shared" si="643"/>
        <v>2.5</v>
      </c>
      <c r="AG7767" s="580">
        <f t="shared" si="644"/>
        <v>0</v>
      </c>
      <c r="AH7767" s="580">
        <f t="shared" si="645"/>
        <v>0</v>
      </c>
    </row>
    <row r="7768" spans="28:34">
      <c r="AB7768" s="580">
        <f>HLOOKUP("*"&amp;'Output annual'!$AC$2&amp;'Output annual'!$AD$2&amp;"*Zone People Number Of Occupants [](Hourly)",'Eplus results'!$1:$1048576,ROW(),FALSE)</f>
        <v>0</v>
      </c>
      <c r="AC7768" s="580">
        <f>HLOOKUP("*"&amp;'Output annual'!$AC$2&amp;'Output annual'!$AD$2&amp;"*FangerPMV(Hourly)",'Eplus results'!$1:$1048576,ROW(),FALSE)</f>
        <v>0</v>
      </c>
      <c r="AD7768" s="580">
        <f t="shared" si="641"/>
        <v>5</v>
      </c>
      <c r="AE7768" s="580">
        <f t="shared" si="642"/>
        <v>2.5</v>
      </c>
      <c r="AF7768" s="580">
        <f t="shared" si="643"/>
        <v>2.5</v>
      </c>
      <c r="AG7768" s="580">
        <f t="shared" si="644"/>
        <v>0</v>
      </c>
      <c r="AH7768" s="580">
        <f t="shared" si="645"/>
        <v>0</v>
      </c>
    </row>
    <row r="7769" spans="28:34">
      <c r="AB7769" s="580">
        <f>HLOOKUP("*"&amp;'Output annual'!$AC$2&amp;'Output annual'!$AD$2&amp;"*Zone People Number Of Occupants [](Hourly)",'Eplus results'!$1:$1048576,ROW(),FALSE)</f>
        <v>0</v>
      </c>
      <c r="AC7769" s="580">
        <f>HLOOKUP("*"&amp;'Output annual'!$AC$2&amp;'Output annual'!$AD$2&amp;"*FangerPMV(Hourly)",'Eplus results'!$1:$1048576,ROW(),FALSE)</f>
        <v>0</v>
      </c>
      <c r="AD7769" s="580">
        <f t="shared" si="641"/>
        <v>5</v>
      </c>
      <c r="AE7769" s="580">
        <f t="shared" si="642"/>
        <v>2.5</v>
      </c>
      <c r="AF7769" s="580">
        <f t="shared" si="643"/>
        <v>2.5</v>
      </c>
      <c r="AG7769" s="580">
        <f t="shared" si="644"/>
        <v>0</v>
      </c>
      <c r="AH7769" s="580">
        <f t="shared" si="645"/>
        <v>0</v>
      </c>
    </row>
    <row r="7770" spans="28:34">
      <c r="AB7770" s="580">
        <f>HLOOKUP("*"&amp;'Output annual'!$AC$2&amp;'Output annual'!$AD$2&amp;"*Zone People Number Of Occupants [](Hourly)",'Eplus results'!$1:$1048576,ROW(),FALSE)</f>
        <v>0</v>
      </c>
      <c r="AC7770" s="580">
        <f>HLOOKUP("*"&amp;'Output annual'!$AC$2&amp;'Output annual'!$AD$2&amp;"*FangerPMV(Hourly)",'Eplus results'!$1:$1048576,ROW(),FALSE)</f>
        <v>0</v>
      </c>
      <c r="AD7770" s="580">
        <f t="shared" si="641"/>
        <v>5</v>
      </c>
      <c r="AE7770" s="580">
        <f t="shared" si="642"/>
        <v>2.5</v>
      </c>
      <c r="AF7770" s="580">
        <f t="shared" si="643"/>
        <v>2.5</v>
      </c>
      <c r="AG7770" s="580">
        <f t="shared" si="644"/>
        <v>0</v>
      </c>
      <c r="AH7770" s="580">
        <f t="shared" si="645"/>
        <v>0</v>
      </c>
    </row>
    <row r="7771" spans="28:34">
      <c r="AB7771" s="580">
        <f>HLOOKUP("*"&amp;'Output annual'!$AC$2&amp;'Output annual'!$AD$2&amp;"*Zone People Number Of Occupants [](Hourly)",'Eplus results'!$1:$1048576,ROW(),FALSE)</f>
        <v>0</v>
      </c>
      <c r="AC7771" s="580">
        <f>HLOOKUP("*"&amp;'Output annual'!$AC$2&amp;'Output annual'!$AD$2&amp;"*FangerPMV(Hourly)",'Eplus results'!$1:$1048576,ROW(),FALSE)</f>
        <v>0</v>
      </c>
      <c r="AD7771" s="580">
        <f t="shared" si="641"/>
        <v>5</v>
      </c>
      <c r="AE7771" s="580">
        <f t="shared" si="642"/>
        <v>2.5</v>
      </c>
      <c r="AF7771" s="580">
        <f t="shared" si="643"/>
        <v>2.5</v>
      </c>
      <c r="AG7771" s="580">
        <f t="shared" si="644"/>
        <v>0</v>
      </c>
      <c r="AH7771" s="580">
        <f t="shared" si="645"/>
        <v>0</v>
      </c>
    </row>
    <row r="7772" spans="28:34">
      <c r="AB7772" s="580">
        <f>HLOOKUP("*"&amp;'Output annual'!$AC$2&amp;'Output annual'!$AD$2&amp;"*Zone People Number Of Occupants [](Hourly)",'Eplus results'!$1:$1048576,ROW(),FALSE)</f>
        <v>0</v>
      </c>
      <c r="AC7772" s="580">
        <f>HLOOKUP("*"&amp;'Output annual'!$AC$2&amp;'Output annual'!$AD$2&amp;"*FangerPMV(Hourly)",'Eplus results'!$1:$1048576,ROW(),FALSE)</f>
        <v>0</v>
      </c>
      <c r="AD7772" s="580">
        <f t="shared" si="641"/>
        <v>5</v>
      </c>
      <c r="AE7772" s="580">
        <f t="shared" si="642"/>
        <v>2.5</v>
      </c>
      <c r="AF7772" s="580">
        <f t="shared" si="643"/>
        <v>2.5</v>
      </c>
      <c r="AG7772" s="580">
        <f t="shared" si="644"/>
        <v>0</v>
      </c>
      <c r="AH7772" s="580">
        <f t="shared" si="645"/>
        <v>0</v>
      </c>
    </row>
    <row r="7773" spans="28:34">
      <c r="AB7773" s="580">
        <f>HLOOKUP("*"&amp;'Output annual'!$AC$2&amp;'Output annual'!$AD$2&amp;"*Zone People Number Of Occupants [](Hourly)",'Eplus results'!$1:$1048576,ROW(),FALSE)</f>
        <v>0</v>
      </c>
      <c r="AC7773" s="580">
        <f>HLOOKUP("*"&amp;'Output annual'!$AC$2&amp;'Output annual'!$AD$2&amp;"*FangerPMV(Hourly)",'Eplus results'!$1:$1048576,ROW(),FALSE)</f>
        <v>0</v>
      </c>
      <c r="AD7773" s="580">
        <f t="shared" si="641"/>
        <v>5</v>
      </c>
      <c r="AE7773" s="580">
        <f t="shared" si="642"/>
        <v>2.5</v>
      </c>
      <c r="AF7773" s="580">
        <f t="shared" si="643"/>
        <v>2.5</v>
      </c>
      <c r="AG7773" s="580">
        <f t="shared" si="644"/>
        <v>0</v>
      </c>
      <c r="AH7773" s="580">
        <f t="shared" si="645"/>
        <v>0</v>
      </c>
    </row>
    <row r="7774" spans="28:34">
      <c r="AB7774" s="580">
        <f>HLOOKUP("*"&amp;'Output annual'!$AC$2&amp;'Output annual'!$AD$2&amp;"*Zone People Number Of Occupants [](Hourly)",'Eplus results'!$1:$1048576,ROW(),FALSE)</f>
        <v>0</v>
      </c>
      <c r="AC7774" s="580">
        <f>HLOOKUP("*"&amp;'Output annual'!$AC$2&amp;'Output annual'!$AD$2&amp;"*FangerPMV(Hourly)",'Eplus results'!$1:$1048576,ROW(),FALSE)</f>
        <v>0</v>
      </c>
      <c r="AD7774" s="580">
        <f t="shared" si="641"/>
        <v>5</v>
      </c>
      <c r="AE7774" s="580">
        <f t="shared" si="642"/>
        <v>2.5</v>
      </c>
      <c r="AF7774" s="580">
        <f t="shared" si="643"/>
        <v>2.5</v>
      </c>
      <c r="AG7774" s="580">
        <f t="shared" si="644"/>
        <v>0</v>
      </c>
      <c r="AH7774" s="580">
        <f t="shared" si="645"/>
        <v>0</v>
      </c>
    </row>
    <row r="7775" spans="28:34">
      <c r="AB7775" s="580">
        <f>HLOOKUP("*"&amp;'Output annual'!$AC$2&amp;'Output annual'!$AD$2&amp;"*Zone People Number Of Occupants [](Hourly)",'Eplus results'!$1:$1048576,ROW(),FALSE)</f>
        <v>0</v>
      </c>
      <c r="AC7775" s="580">
        <f>HLOOKUP("*"&amp;'Output annual'!$AC$2&amp;'Output annual'!$AD$2&amp;"*FangerPMV(Hourly)",'Eplus results'!$1:$1048576,ROW(),FALSE)</f>
        <v>0</v>
      </c>
      <c r="AD7775" s="580">
        <f t="shared" si="641"/>
        <v>5</v>
      </c>
      <c r="AE7775" s="580">
        <f t="shared" si="642"/>
        <v>2.5</v>
      </c>
      <c r="AF7775" s="580">
        <f t="shared" si="643"/>
        <v>2.5</v>
      </c>
      <c r="AG7775" s="580">
        <f t="shared" si="644"/>
        <v>0</v>
      </c>
      <c r="AH7775" s="580">
        <f t="shared" si="645"/>
        <v>0</v>
      </c>
    </row>
    <row r="7776" spans="28:34">
      <c r="AB7776" s="580">
        <f>HLOOKUP("*"&amp;'Output annual'!$AC$2&amp;'Output annual'!$AD$2&amp;"*Zone People Number Of Occupants [](Hourly)",'Eplus results'!$1:$1048576,ROW(),FALSE)</f>
        <v>0</v>
      </c>
      <c r="AC7776" s="580">
        <f>HLOOKUP("*"&amp;'Output annual'!$AC$2&amp;'Output annual'!$AD$2&amp;"*FangerPMV(Hourly)",'Eplus results'!$1:$1048576,ROW(),FALSE)</f>
        <v>0</v>
      </c>
      <c r="AD7776" s="580">
        <f t="shared" si="641"/>
        <v>5</v>
      </c>
      <c r="AE7776" s="580">
        <f t="shared" si="642"/>
        <v>2.5</v>
      </c>
      <c r="AF7776" s="580">
        <f t="shared" si="643"/>
        <v>2.5</v>
      </c>
      <c r="AG7776" s="580">
        <f t="shared" si="644"/>
        <v>0</v>
      </c>
      <c r="AH7776" s="580">
        <f t="shared" si="645"/>
        <v>0</v>
      </c>
    </row>
    <row r="7777" spans="28:34">
      <c r="AB7777" s="580">
        <f>HLOOKUP("*"&amp;'Output annual'!$AC$2&amp;'Output annual'!$AD$2&amp;"*Zone People Number Of Occupants [](Hourly)",'Eplus results'!$1:$1048576,ROW(),FALSE)</f>
        <v>0</v>
      </c>
      <c r="AC7777" s="580">
        <f>HLOOKUP("*"&amp;'Output annual'!$AC$2&amp;'Output annual'!$AD$2&amp;"*FangerPMV(Hourly)",'Eplus results'!$1:$1048576,ROW(),FALSE)</f>
        <v>0</v>
      </c>
      <c r="AD7777" s="580">
        <f t="shared" si="641"/>
        <v>5</v>
      </c>
      <c r="AE7777" s="580">
        <f t="shared" si="642"/>
        <v>2.5</v>
      </c>
      <c r="AF7777" s="580">
        <f t="shared" si="643"/>
        <v>2.5</v>
      </c>
      <c r="AG7777" s="580">
        <f t="shared" si="644"/>
        <v>0</v>
      </c>
      <c r="AH7777" s="580">
        <f t="shared" si="645"/>
        <v>0</v>
      </c>
    </row>
    <row r="7778" spans="28:34">
      <c r="AB7778" s="580">
        <f>HLOOKUP("*"&amp;'Output annual'!$AC$2&amp;'Output annual'!$AD$2&amp;"*Zone People Number Of Occupants [](Hourly)",'Eplus results'!$1:$1048576,ROW(),FALSE)</f>
        <v>0</v>
      </c>
      <c r="AC7778" s="580">
        <f>HLOOKUP("*"&amp;'Output annual'!$AC$2&amp;'Output annual'!$AD$2&amp;"*FangerPMV(Hourly)",'Eplus results'!$1:$1048576,ROW(),FALSE)</f>
        <v>0</v>
      </c>
      <c r="AD7778" s="580">
        <f t="shared" si="641"/>
        <v>5</v>
      </c>
      <c r="AE7778" s="580">
        <f t="shared" si="642"/>
        <v>2.5</v>
      </c>
      <c r="AF7778" s="580">
        <f t="shared" si="643"/>
        <v>2.5</v>
      </c>
      <c r="AG7778" s="580">
        <f t="shared" si="644"/>
        <v>0</v>
      </c>
      <c r="AH7778" s="580">
        <f t="shared" si="645"/>
        <v>0</v>
      </c>
    </row>
    <row r="7779" spans="28:34">
      <c r="AB7779" s="580">
        <f>HLOOKUP("*"&amp;'Output annual'!$AC$2&amp;'Output annual'!$AD$2&amp;"*Zone People Number Of Occupants [](Hourly)",'Eplus results'!$1:$1048576,ROW(),FALSE)</f>
        <v>0</v>
      </c>
      <c r="AC7779" s="580">
        <f>HLOOKUP("*"&amp;'Output annual'!$AC$2&amp;'Output annual'!$AD$2&amp;"*FangerPMV(Hourly)",'Eplus results'!$1:$1048576,ROW(),FALSE)</f>
        <v>0</v>
      </c>
      <c r="AD7779" s="580">
        <f t="shared" si="641"/>
        <v>5</v>
      </c>
      <c r="AE7779" s="580">
        <f t="shared" si="642"/>
        <v>2.5</v>
      </c>
      <c r="AF7779" s="580">
        <f t="shared" si="643"/>
        <v>2.5</v>
      </c>
      <c r="AG7779" s="580">
        <f t="shared" si="644"/>
        <v>0</v>
      </c>
      <c r="AH7779" s="580">
        <f t="shared" si="645"/>
        <v>0</v>
      </c>
    </row>
    <row r="7780" spans="28:34">
      <c r="AB7780" s="580">
        <f>HLOOKUP("*"&amp;'Output annual'!$AC$2&amp;'Output annual'!$AD$2&amp;"*Zone People Number Of Occupants [](Hourly)",'Eplus results'!$1:$1048576,ROW(),FALSE)</f>
        <v>0</v>
      </c>
      <c r="AC7780" s="580">
        <f>HLOOKUP("*"&amp;'Output annual'!$AC$2&amp;'Output annual'!$AD$2&amp;"*FangerPMV(Hourly)",'Eplus results'!$1:$1048576,ROW(),FALSE)</f>
        <v>0</v>
      </c>
      <c r="AD7780" s="580">
        <f t="shared" si="641"/>
        <v>5</v>
      </c>
      <c r="AE7780" s="580">
        <f t="shared" si="642"/>
        <v>2.5</v>
      </c>
      <c r="AF7780" s="580">
        <f t="shared" si="643"/>
        <v>2.5</v>
      </c>
      <c r="AG7780" s="580">
        <f t="shared" si="644"/>
        <v>0</v>
      </c>
      <c r="AH7780" s="580">
        <f t="shared" si="645"/>
        <v>0</v>
      </c>
    </row>
    <row r="7781" spans="28:34">
      <c r="AB7781" s="580">
        <f>HLOOKUP("*"&amp;'Output annual'!$AC$2&amp;'Output annual'!$AD$2&amp;"*Zone People Number Of Occupants [](Hourly)",'Eplus results'!$1:$1048576,ROW(),FALSE)</f>
        <v>0</v>
      </c>
      <c r="AC7781" s="580">
        <f>HLOOKUP("*"&amp;'Output annual'!$AC$2&amp;'Output annual'!$AD$2&amp;"*FangerPMV(Hourly)",'Eplus results'!$1:$1048576,ROW(),FALSE)</f>
        <v>0</v>
      </c>
      <c r="AD7781" s="580">
        <f t="shared" si="641"/>
        <v>5</v>
      </c>
      <c r="AE7781" s="580">
        <f t="shared" si="642"/>
        <v>2.5</v>
      </c>
      <c r="AF7781" s="580">
        <f t="shared" si="643"/>
        <v>2.5</v>
      </c>
      <c r="AG7781" s="580">
        <f t="shared" si="644"/>
        <v>0</v>
      </c>
      <c r="AH7781" s="580">
        <f t="shared" si="645"/>
        <v>0</v>
      </c>
    </row>
    <row r="7782" spans="28:34">
      <c r="AB7782" s="580">
        <f>HLOOKUP("*"&amp;'Output annual'!$AC$2&amp;'Output annual'!$AD$2&amp;"*Zone People Number Of Occupants [](Hourly)",'Eplus results'!$1:$1048576,ROW(),FALSE)</f>
        <v>0</v>
      </c>
      <c r="AC7782" s="580">
        <f>HLOOKUP("*"&amp;'Output annual'!$AC$2&amp;'Output annual'!$AD$2&amp;"*FangerPMV(Hourly)",'Eplus results'!$1:$1048576,ROW(),FALSE)</f>
        <v>0</v>
      </c>
      <c r="AD7782" s="580">
        <f t="shared" si="641"/>
        <v>5</v>
      </c>
      <c r="AE7782" s="580">
        <f t="shared" si="642"/>
        <v>2.5</v>
      </c>
      <c r="AF7782" s="580">
        <f t="shared" si="643"/>
        <v>2.5</v>
      </c>
      <c r="AG7782" s="580">
        <f t="shared" si="644"/>
        <v>0</v>
      </c>
      <c r="AH7782" s="580">
        <f t="shared" si="645"/>
        <v>0</v>
      </c>
    </row>
    <row r="7783" spans="28:34">
      <c r="AB7783" s="580">
        <f>HLOOKUP("*"&amp;'Output annual'!$AC$2&amp;'Output annual'!$AD$2&amp;"*Zone People Number Of Occupants [](Hourly)",'Eplus results'!$1:$1048576,ROW(),FALSE)</f>
        <v>0</v>
      </c>
      <c r="AC7783" s="580">
        <f>HLOOKUP("*"&amp;'Output annual'!$AC$2&amp;'Output annual'!$AD$2&amp;"*FangerPMV(Hourly)",'Eplus results'!$1:$1048576,ROW(),FALSE)</f>
        <v>0</v>
      </c>
      <c r="AD7783" s="580">
        <f t="shared" si="641"/>
        <v>5</v>
      </c>
      <c r="AE7783" s="580">
        <f t="shared" si="642"/>
        <v>2.5</v>
      </c>
      <c r="AF7783" s="580">
        <f t="shared" si="643"/>
        <v>2.5</v>
      </c>
      <c r="AG7783" s="580">
        <f t="shared" si="644"/>
        <v>0</v>
      </c>
      <c r="AH7783" s="580">
        <f t="shared" si="645"/>
        <v>0</v>
      </c>
    </row>
    <row r="7784" spans="28:34">
      <c r="AB7784" s="580">
        <f>HLOOKUP("*"&amp;'Output annual'!$AC$2&amp;'Output annual'!$AD$2&amp;"*Zone People Number Of Occupants [](Hourly)",'Eplus results'!$1:$1048576,ROW(),FALSE)</f>
        <v>0</v>
      </c>
      <c r="AC7784" s="580">
        <f>HLOOKUP("*"&amp;'Output annual'!$AC$2&amp;'Output annual'!$AD$2&amp;"*FangerPMV(Hourly)",'Eplus results'!$1:$1048576,ROW(),FALSE)</f>
        <v>0</v>
      </c>
      <c r="AD7784" s="580">
        <f t="shared" si="641"/>
        <v>5</v>
      </c>
      <c r="AE7784" s="580">
        <f t="shared" si="642"/>
        <v>2.5</v>
      </c>
      <c r="AF7784" s="580">
        <f t="shared" si="643"/>
        <v>2.5</v>
      </c>
      <c r="AG7784" s="580">
        <f t="shared" si="644"/>
        <v>0</v>
      </c>
      <c r="AH7784" s="580">
        <f t="shared" si="645"/>
        <v>0</v>
      </c>
    </row>
    <row r="7785" spans="28:34">
      <c r="AB7785" s="580">
        <f>HLOOKUP("*"&amp;'Output annual'!$AC$2&amp;'Output annual'!$AD$2&amp;"*Zone People Number Of Occupants [](Hourly)",'Eplus results'!$1:$1048576,ROW(),FALSE)</f>
        <v>0</v>
      </c>
      <c r="AC7785" s="580">
        <f>HLOOKUP("*"&amp;'Output annual'!$AC$2&amp;'Output annual'!$AD$2&amp;"*FangerPMV(Hourly)",'Eplus results'!$1:$1048576,ROW(),FALSE)</f>
        <v>0</v>
      </c>
      <c r="AD7785" s="580">
        <f t="shared" si="641"/>
        <v>5</v>
      </c>
      <c r="AE7785" s="580">
        <f t="shared" si="642"/>
        <v>2.5</v>
      </c>
      <c r="AF7785" s="580">
        <f t="shared" si="643"/>
        <v>2.5</v>
      </c>
      <c r="AG7785" s="580">
        <f t="shared" si="644"/>
        <v>0</v>
      </c>
      <c r="AH7785" s="580">
        <f t="shared" si="645"/>
        <v>0</v>
      </c>
    </row>
    <row r="7786" spans="28:34">
      <c r="AB7786" s="580">
        <f>HLOOKUP("*"&amp;'Output annual'!$AC$2&amp;'Output annual'!$AD$2&amp;"*Zone People Number Of Occupants [](Hourly)",'Eplus results'!$1:$1048576,ROW(),FALSE)</f>
        <v>0</v>
      </c>
      <c r="AC7786" s="580">
        <f>HLOOKUP("*"&amp;'Output annual'!$AC$2&amp;'Output annual'!$AD$2&amp;"*FangerPMV(Hourly)",'Eplus results'!$1:$1048576,ROW(),FALSE)</f>
        <v>0</v>
      </c>
      <c r="AD7786" s="580">
        <f t="shared" si="641"/>
        <v>5</v>
      </c>
      <c r="AE7786" s="580">
        <f t="shared" si="642"/>
        <v>2.5</v>
      </c>
      <c r="AF7786" s="580">
        <f t="shared" si="643"/>
        <v>2.5</v>
      </c>
      <c r="AG7786" s="580">
        <f t="shared" si="644"/>
        <v>0</v>
      </c>
      <c r="AH7786" s="580">
        <f t="shared" si="645"/>
        <v>0</v>
      </c>
    </row>
    <row r="7787" spans="28:34">
      <c r="AB7787" s="580">
        <f>HLOOKUP("*"&amp;'Output annual'!$AC$2&amp;'Output annual'!$AD$2&amp;"*Zone People Number Of Occupants [](Hourly)",'Eplus results'!$1:$1048576,ROW(),FALSE)</f>
        <v>0</v>
      </c>
      <c r="AC7787" s="580">
        <f>HLOOKUP("*"&amp;'Output annual'!$AC$2&amp;'Output annual'!$AD$2&amp;"*FangerPMV(Hourly)",'Eplus results'!$1:$1048576,ROW(),FALSE)</f>
        <v>0</v>
      </c>
      <c r="AD7787" s="580">
        <f t="shared" si="641"/>
        <v>5</v>
      </c>
      <c r="AE7787" s="580">
        <f t="shared" si="642"/>
        <v>2.5</v>
      </c>
      <c r="AF7787" s="580">
        <f t="shared" si="643"/>
        <v>2.5</v>
      </c>
      <c r="AG7787" s="580">
        <f t="shared" si="644"/>
        <v>0</v>
      </c>
      <c r="AH7787" s="580">
        <f t="shared" si="645"/>
        <v>0</v>
      </c>
    </row>
    <row r="7788" spans="28:34">
      <c r="AB7788" s="580">
        <f>HLOOKUP("*"&amp;'Output annual'!$AC$2&amp;'Output annual'!$AD$2&amp;"*Zone People Number Of Occupants [](Hourly)",'Eplus results'!$1:$1048576,ROW(),FALSE)</f>
        <v>0</v>
      </c>
      <c r="AC7788" s="580">
        <f>HLOOKUP("*"&amp;'Output annual'!$AC$2&amp;'Output annual'!$AD$2&amp;"*FangerPMV(Hourly)",'Eplus results'!$1:$1048576,ROW(),FALSE)</f>
        <v>0</v>
      </c>
      <c r="AD7788" s="580">
        <f t="shared" si="641"/>
        <v>5</v>
      </c>
      <c r="AE7788" s="580">
        <f t="shared" si="642"/>
        <v>2.5</v>
      </c>
      <c r="AF7788" s="580">
        <f t="shared" si="643"/>
        <v>2.5</v>
      </c>
      <c r="AG7788" s="580">
        <f t="shared" si="644"/>
        <v>0</v>
      </c>
      <c r="AH7788" s="580">
        <f t="shared" si="645"/>
        <v>0</v>
      </c>
    </row>
    <row r="7789" spans="28:34">
      <c r="AB7789" s="580">
        <f>HLOOKUP("*"&amp;'Output annual'!$AC$2&amp;'Output annual'!$AD$2&amp;"*Zone People Number Of Occupants [](Hourly)",'Eplus results'!$1:$1048576,ROW(),FALSE)</f>
        <v>0</v>
      </c>
      <c r="AC7789" s="580">
        <f>HLOOKUP("*"&amp;'Output annual'!$AC$2&amp;'Output annual'!$AD$2&amp;"*FangerPMV(Hourly)",'Eplus results'!$1:$1048576,ROW(),FALSE)</f>
        <v>0</v>
      </c>
      <c r="AD7789" s="580">
        <f t="shared" si="641"/>
        <v>5</v>
      </c>
      <c r="AE7789" s="580">
        <f t="shared" si="642"/>
        <v>2.5</v>
      </c>
      <c r="AF7789" s="580">
        <f t="shared" si="643"/>
        <v>2.5</v>
      </c>
      <c r="AG7789" s="580">
        <f t="shared" si="644"/>
        <v>0</v>
      </c>
      <c r="AH7789" s="580">
        <f t="shared" si="645"/>
        <v>0</v>
      </c>
    </row>
    <row r="7790" spans="28:34">
      <c r="AB7790" s="580">
        <f>HLOOKUP("*"&amp;'Output annual'!$AC$2&amp;'Output annual'!$AD$2&amp;"*Zone People Number Of Occupants [](Hourly)",'Eplus results'!$1:$1048576,ROW(),FALSE)</f>
        <v>0</v>
      </c>
      <c r="AC7790" s="580">
        <f>HLOOKUP("*"&amp;'Output annual'!$AC$2&amp;'Output annual'!$AD$2&amp;"*FangerPMV(Hourly)",'Eplus results'!$1:$1048576,ROW(),FALSE)</f>
        <v>0</v>
      </c>
      <c r="AD7790" s="580">
        <f t="shared" si="641"/>
        <v>5</v>
      </c>
      <c r="AE7790" s="580">
        <f t="shared" si="642"/>
        <v>2.5</v>
      </c>
      <c r="AF7790" s="580">
        <f t="shared" si="643"/>
        <v>2.5</v>
      </c>
      <c r="AG7790" s="580">
        <f t="shared" si="644"/>
        <v>0</v>
      </c>
      <c r="AH7790" s="580">
        <f t="shared" si="645"/>
        <v>0</v>
      </c>
    </row>
    <row r="7791" spans="28:34">
      <c r="AB7791" s="580">
        <f>HLOOKUP("*"&amp;'Output annual'!$AC$2&amp;'Output annual'!$AD$2&amp;"*Zone People Number Of Occupants [](Hourly)",'Eplus results'!$1:$1048576,ROW(),FALSE)</f>
        <v>0</v>
      </c>
      <c r="AC7791" s="580">
        <f>HLOOKUP("*"&amp;'Output annual'!$AC$2&amp;'Output annual'!$AD$2&amp;"*FangerPMV(Hourly)",'Eplus results'!$1:$1048576,ROW(),FALSE)</f>
        <v>0</v>
      </c>
      <c r="AD7791" s="580">
        <f t="shared" si="641"/>
        <v>5</v>
      </c>
      <c r="AE7791" s="580">
        <f t="shared" si="642"/>
        <v>2.5</v>
      </c>
      <c r="AF7791" s="580">
        <f t="shared" si="643"/>
        <v>2.5</v>
      </c>
      <c r="AG7791" s="580">
        <f t="shared" si="644"/>
        <v>0</v>
      </c>
      <c r="AH7791" s="580">
        <f t="shared" si="645"/>
        <v>0</v>
      </c>
    </row>
    <row r="7792" spans="28:34">
      <c r="AB7792" s="580">
        <f>HLOOKUP("*"&amp;'Output annual'!$AC$2&amp;'Output annual'!$AD$2&amp;"*Zone People Number Of Occupants [](Hourly)",'Eplus results'!$1:$1048576,ROW(),FALSE)</f>
        <v>0</v>
      </c>
      <c r="AC7792" s="580">
        <f>HLOOKUP("*"&amp;'Output annual'!$AC$2&amp;'Output annual'!$AD$2&amp;"*FangerPMV(Hourly)",'Eplus results'!$1:$1048576,ROW(),FALSE)</f>
        <v>0</v>
      </c>
      <c r="AD7792" s="580">
        <f t="shared" si="641"/>
        <v>5</v>
      </c>
      <c r="AE7792" s="580">
        <f t="shared" si="642"/>
        <v>2.5</v>
      </c>
      <c r="AF7792" s="580">
        <f t="shared" si="643"/>
        <v>2.5</v>
      </c>
      <c r="AG7792" s="580">
        <f t="shared" si="644"/>
        <v>0</v>
      </c>
      <c r="AH7792" s="580">
        <f t="shared" si="645"/>
        <v>0</v>
      </c>
    </row>
    <row r="7793" spans="28:34">
      <c r="AB7793" s="580">
        <f>HLOOKUP("*"&amp;'Output annual'!$AC$2&amp;'Output annual'!$AD$2&amp;"*Zone People Number Of Occupants [](Hourly)",'Eplus results'!$1:$1048576,ROW(),FALSE)</f>
        <v>0</v>
      </c>
      <c r="AC7793" s="580">
        <f>HLOOKUP("*"&amp;'Output annual'!$AC$2&amp;'Output annual'!$AD$2&amp;"*FangerPMV(Hourly)",'Eplus results'!$1:$1048576,ROW(),FALSE)</f>
        <v>0</v>
      </c>
      <c r="AD7793" s="580">
        <f t="shared" si="641"/>
        <v>5</v>
      </c>
      <c r="AE7793" s="580">
        <f t="shared" si="642"/>
        <v>2.5</v>
      </c>
      <c r="AF7793" s="580">
        <f t="shared" si="643"/>
        <v>2.5</v>
      </c>
      <c r="AG7793" s="580">
        <f t="shared" si="644"/>
        <v>0</v>
      </c>
      <c r="AH7793" s="580">
        <f t="shared" si="645"/>
        <v>0</v>
      </c>
    </row>
    <row r="7794" spans="28:34">
      <c r="AB7794" s="580">
        <f>HLOOKUP("*"&amp;'Output annual'!$AC$2&amp;'Output annual'!$AD$2&amp;"*Zone People Number Of Occupants [](Hourly)",'Eplus results'!$1:$1048576,ROW(),FALSE)</f>
        <v>0</v>
      </c>
      <c r="AC7794" s="580">
        <f>HLOOKUP("*"&amp;'Output annual'!$AC$2&amp;'Output annual'!$AD$2&amp;"*FangerPMV(Hourly)",'Eplus results'!$1:$1048576,ROW(),FALSE)</f>
        <v>0</v>
      </c>
      <c r="AD7794" s="580">
        <f t="shared" si="641"/>
        <v>5</v>
      </c>
      <c r="AE7794" s="580">
        <f t="shared" si="642"/>
        <v>2.5</v>
      </c>
      <c r="AF7794" s="580">
        <f t="shared" si="643"/>
        <v>2.5</v>
      </c>
      <c r="AG7794" s="580">
        <f t="shared" si="644"/>
        <v>0</v>
      </c>
      <c r="AH7794" s="580">
        <f t="shared" si="645"/>
        <v>0</v>
      </c>
    </row>
    <row r="7795" spans="28:34">
      <c r="AB7795" s="580">
        <f>HLOOKUP("*"&amp;'Output annual'!$AC$2&amp;'Output annual'!$AD$2&amp;"*Zone People Number Of Occupants [](Hourly)",'Eplus results'!$1:$1048576,ROW(),FALSE)</f>
        <v>0</v>
      </c>
      <c r="AC7795" s="580">
        <f>HLOOKUP("*"&amp;'Output annual'!$AC$2&amp;'Output annual'!$AD$2&amp;"*FangerPMV(Hourly)",'Eplus results'!$1:$1048576,ROW(),FALSE)</f>
        <v>0</v>
      </c>
      <c r="AD7795" s="580">
        <f t="shared" si="641"/>
        <v>5</v>
      </c>
      <c r="AE7795" s="580">
        <f t="shared" si="642"/>
        <v>2.5</v>
      </c>
      <c r="AF7795" s="580">
        <f t="shared" si="643"/>
        <v>2.5</v>
      </c>
      <c r="AG7795" s="580">
        <f t="shared" si="644"/>
        <v>0</v>
      </c>
      <c r="AH7795" s="580">
        <f t="shared" si="645"/>
        <v>0</v>
      </c>
    </row>
    <row r="7796" spans="28:34">
      <c r="AB7796" s="580">
        <f>HLOOKUP("*"&amp;'Output annual'!$AC$2&amp;'Output annual'!$AD$2&amp;"*Zone People Number Of Occupants [](Hourly)",'Eplus results'!$1:$1048576,ROW(),FALSE)</f>
        <v>0</v>
      </c>
      <c r="AC7796" s="580">
        <f>HLOOKUP("*"&amp;'Output annual'!$AC$2&amp;'Output annual'!$AD$2&amp;"*FangerPMV(Hourly)",'Eplus results'!$1:$1048576,ROW(),FALSE)</f>
        <v>0</v>
      </c>
      <c r="AD7796" s="580">
        <f t="shared" si="641"/>
        <v>5</v>
      </c>
      <c r="AE7796" s="580">
        <f t="shared" si="642"/>
        <v>2.5</v>
      </c>
      <c r="AF7796" s="580">
        <f t="shared" si="643"/>
        <v>2.5</v>
      </c>
      <c r="AG7796" s="580">
        <f t="shared" si="644"/>
        <v>0</v>
      </c>
      <c r="AH7796" s="580">
        <f t="shared" si="645"/>
        <v>0</v>
      </c>
    </row>
    <row r="7797" spans="28:34">
      <c r="AB7797" s="580">
        <f>HLOOKUP("*"&amp;'Output annual'!$AC$2&amp;'Output annual'!$AD$2&amp;"*Zone People Number Of Occupants [](Hourly)",'Eplus results'!$1:$1048576,ROW(),FALSE)</f>
        <v>0</v>
      </c>
      <c r="AC7797" s="580">
        <f>HLOOKUP("*"&amp;'Output annual'!$AC$2&amp;'Output annual'!$AD$2&amp;"*FangerPMV(Hourly)",'Eplus results'!$1:$1048576,ROW(),FALSE)</f>
        <v>0</v>
      </c>
      <c r="AD7797" s="580">
        <f t="shared" si="641"/>
        <v>5</v>
      </c>
      <c r="AE7797" s="580">
        <f t="shared" si="642"/>
        <v>2.5</v>
      </c>
      <c r="AF7797" s="580">
        <f t="shared" si="643"/>
        <v>2.5</v>
      </c>
      <c r="AG7797" s="580">
        <f t="shared" si="644"/>
        <v>0</v>
      </c>
      <c r="AH7797" s="580">
        <f t="shared" si="645"/>
        <v>0</v>
      </c>
    </row>
    <row r="7798" spans="28:34">
      <c r="AB7798" s="580">
        <f>HLOOKUP("*"&amp;'Output annual'!$AC$2&amp;'Output annual'!$AD$2&amp;"*Zone People Number Of Occupants [](Hourly)",'Eplus results'!$1:$1048576,ROW(),FALSE)</f>
        <v>0</v>
      </c>
      <c r="AC7798" s="580">
        <f>HLOOKUP("*"&amp;'Output annual'!$AC$2&amp;'Output annual'!$AD$2&amp;"*FangerPMV(Hourly)",'Eplus results'!$1:$1048576,ROW(),FALSE)</f>
        <v>0</v>
      </c>
      <c r="AD7798" s="580">
        <f t="shared" si="641"/>
        <v>5</v>
      </c>
      <c r="AE7798" s="580">
        <f t="shared" si="642"/>
        <v>2.5</v>
      </c>
      <c r="AF7798" s="580">
        <f t="shared" si="643"/>
        <v>2.5</v>
      </c>
      <c r="AG7798" s="580">
        <f t="shared" si="644"/>
        <v>0</v>
      </c>
      <c r="AH7798" s="580">
        <f t="shared" si="645"/>
        <v>0</v>
      </c>
    </row>
    <row r="7799" spans="28:34">
      <c r="AB7799" s="580">
        <f>HLOOKUP("*"&amp;'Output annual'!$AC$2&amp;'Output annual'!$AD$2&amp;"*Zone People Number Of Occupants [](Hourly)",'Eplus results'!$1:$1048576,ROW(),FALSE)</f>
        <v>0</v>
      </c>
      <c r="AC7799" s="580">
        <f>HLOOKUP("*"&amp;'Output annual'!$AC$2&amp;'Output annual'!$AD$2&amp;"*FangerPMV(Hourly)",'Eplus results'!$1:$1048576,ROW(),FALSE)</f>
        <v>0</v>
      </c>
      <c r="AD7799" s="580">
        <f t="shared" si="641"/>
        <v>5</v>
      </c>
      <c r="AE7799" s="580">
        <f t="shared" si="642"/>
        <v>2.5</v>
      </c>
      <c r="AF7799" s="580">
        <f t="shared" si="643"/>
        <v>2.5</v>
      </c>
      <c r="AG7799" s="580">
        <f t="shared" si="644"/>
        <v>0</v>
      </c>
      <c r="AH7799" s="580">
        <f t="shared" si="645"/>
        <v>0</v>
      </c>
    </row>
    <row r="7800" spans="28:34">
      <c r="AB7800" s="580">
        <f>HLOOKUP("*"&amp;'Output annual'!$AC$2&amp;'Output annual'!$AD$2&amp;"*Zone People Number Of Occupants [](Hourly)",'Eplus results'!$1:$1048576,ROW(),FALSE)</f>
        <v>0</v>
      </c>
      <c r="AC7800" s="580">
        <f>HLOOKUP("*"&amp;'Output annual'!$AC$2&amp;'Output annual'!$AD$2&amp;"*FangerPMV(Hourly)",'Eplus results'!$1:$1048576,ROW(),FALSE)</f>
        <v>0</v>
      </c>
      <c r="AD7800" s="580">
        <f t="shared" si="641"/>
        <v>5</v>
      </c>
      <c r="AE7800" s="580">
        <f t="shared" si="642"/>
        <v>2.5</v>
      </c>
      <c r="AF7800" s="580">
        <f t="shared" si="643"/>
        <v>2.5</v>
      </c>
      <c r="AG7800" s="580">
        <f t="shared" si="644"/>
        <v>0</v>
      </c>
      <c r="AH7800" s="580">
        <f t="shared" si="645"/>
        <v>0</v>
      </c>
    </row>
    <row r="7801" spans="28:34">
      <c r="AB7801" s="580">
        <f>HLOOKUP("*"&amp;'Output annual'!$AC$2&amp;'Output annual'!$AD$2&amp;"*Zone People Number Of Occupants [](Hourly)",'Eplus results'!$1:$1048576,ROW(),FALSE)</f>
        <v>0</v>
      </c>
      <c r="AC7801" s="580">
        <f>HLOOKUP("*"&amp;'Output annual'!$AC$2&amp;'Output annual'!$AD$2&amp;"*FangerPMV(Hourly)",'Eplus results'!$1:$1048576,ROW(),FALSE)</f>
        <v>0</v>
      </c>
      <c r="AD7801" s="580">
        <f t="shared" si="641"/>
        <v>5</v>
      </c>
      <c r="AE7801" s="580">
        <f t="shared" si="642"/>
        <v>2.5</v>
      </c>
      <c r="AF7801" s="580">
        <f t="shared" si="643"/>
        <v>2.5</v>
      </c>
      <c r="AG7801" s="580">
        <f t="shared" si="644"/>
        <v>0</v>
      </c>
      <c r="AH7801" s="580">
        <f t="shared" si="645"/>
        <v>0</v>
      </c>
    </row>
    <row r="7802" spans="28:34">
      <c r="AB7802" s="580">
        <f>HLOOKUP("*"&amp;'Output annual'!$AC$2&amp;'Output annual'!$AD$2&amp;"*Zone People Number Of Occupants [](Hourly)",'Eplus results'!$1:$1048576,ROW(),FALSE)</f>
        <v>0</v>
      </c>
      <c r="AC7802" s="580">
        <f>HLOOKUP("*"&amp;'Output annual'!$AC$2&amp;'Output annual'!$AD$2&amp;"*FangerPMV(Hourly)",'Eplus results'!$1:$1048576,ROW(),FALSE)</f>
        <v>0</v>
      </c>
      <c r="AD7802" s="580">
        <f t="shared" si="641"/>
        <v>5</v>
      </c>
      <c r="AE7802" s="580">
        <f t="shared" si="642"/>
        <v>2.5</v>
      </c>
      <c r="AF7802" s="580">
        <f t="shared" si="643"/>
        <v>2.5</v>
      </c>
      <c r="AG7802" s="580">
        <f t="shared" si="644"/>
        <v>0</v>
      </c>
      <c r="AH7802" s="580">
        <f t="shared" si="645"/>
        <v>0</v>
      </c>
    </row>
    <row r="7803" spans="28:34">
      <c r="AB7803" s="580">
        <f>HLOOKUP("*"&amp;'Output annual'!$AC$2&amp;'Output annual'!$AD$2&amp;"*Zone People Number Of Occupants [](Hourly)",'Eplus results'!$1:$1048576,ROW(),FALSE)</f>
        <v>0</v>
      </c>
      <c r="AC7803" s="580">
        <f>HLOOKUP("*"&amp;'Output annual'!$AC$2&amp;'Output annual'!$AD$2&amp;"*FangerPMV(Hourly)",'Eplus results'!$1:$1048576,ROW(),FALSE)</f>
        <v>0</v>
      </c>
      <c r="AD7803" s="580">
        <f t="shared" si="641"/>
        <v>5</v>
      </c>
      <c r="AE7803" s="580">
        <f t="shared" si="642"/>
        <v>2.5</v>
      </c>
      <c r="AF7803" s="580">
        <f t="shared" si="643"/>
        <v>2.5</v>
      </c>
      <c r="AG7803" s="580">
        <f t="shared" si="644"/>
        <v>0</v>
      </c>
      <c r="AH7803" s="580">
        <f t="shared" si="645"/>
        <v>0</v>
      </c>
    </row>
    <row r="7804" spans="28:34">
      <c r="AB7804" s="580">
        <f>HLOOKUP("*"&amp;'Output annual'!$AC$2&amp;'Output annual'!$AD$2&amp;"*Zone People Number Of Occupants [](Hourly)",'Eplus results'!$1:$1048576,ROW(),FALSE)</f>
        <v>0</v>
      </c>
      <c r="AC7804" s="580">
        <f>HLOOKUP("*"&amp;'Output annual'!$AC$2&amp;'Output annual'!$AD$2&amp;"*FangerPMV(Hourly)",'Eplus results'!$1:$1048576,ROW(),FALSE)</f>
        <v>0</v>
      </c>
      <c r="AD7804" s="580">
        <f t="shared" si="641"/>
        <v>5</v>
      </c>
      <c r="AE7804" s="580">
        <f t="shared" si="642"/>
        <v>2.5</v>
      </c>
      <c r="AF7804" s="580">
        <f t="shared" si="643"/>
        <v>2.5</v>
      </c>
      <c r="AG7804" s="580">
        <f t="shared" si="644"/>
        <v>0</v>
      </c>
      <c r="AH7804" s="580">
        <f t="shared" si="645"/>
        <v>0</v>
      </c>
    </row>
    <row r="7805" spans="28:34">
      <c r="AB7805" s="580">
        <f>HLOOKUP("*"&amp;'Output annual'!$AC$2&amp;'Output annual'!$AD$2&amp;"*Zone People Number Of Occupants [](Hourly)",'Eplus results'!$1:$1048576,ROW(),FALSE)</f>
        <v>0</v>
      </c>
      <c r="AC7805" s="580">
        <f>HLOOKUP("*"&amp;'Output annual'!$AC$2&amp;'Output annual'!$AD$2&amp;"*FangerPMV(Hourly)",'Eplus results'!$1:$1048576,ROW(),FALSE)</f>
        <v>0</v>
      </c>
      <c r="AD7805" s="580">
        <f t="shared" si="641"/>
        <v>5</v>
      </c>
      <c r="AE7805" s="580">
        <f t="shared" si="642"/>
        <v>2.5</v>
      </c>
      <c r="AF7805" s="580">
        <f t="shared" si="643"/>
        <v>2.5</v>
      </c>
      <c r="AG7805" s="580">
        <f t="shared" si="644"/>
        <v>0</v>
      </c>
      <c r="AH7805" s="580">
        <f t="shared" si="645"/>
        <v>0</v>
      </c>
    </row>
    <row r="7806" spans="28:34">
      <c r="AB7806" s="580">
        <f>HLOOKUP("*"&amp;'Output annual'!$AC$2&amp;'Output annual'!$AD$2&amp;"*Zone People Number Of Occupants [](Hourly)",'Eplus results'!$1:$1048576,ROW(),FALSE)</f>
        <v>0</v>
      </c>
      <c r="AC7806" s="580">
        <f>HLOOKUP("*"&amp;'Output annual'!$AC$2&amp;'Output annual'!$AD$2&amp;"*FangerPMV(Hourly)",'Eplus results'!$1:$1048576,ROW(),FALSE)</f>
        <v>0</v>
      </c>
      <c r="AD7806" s="580">
        <f t="shared" si="641"/>
        <v>5</v>
      </c>
      <c r="AE7806" s="580">
        <f t="shared" si="642"/>
        <v>2.5</v>
      </c>
      <c r="AF7806" s="580">
        <f t="shared" si="643"/>
        <v>2.5</v>
      </c>
      <c r="AG7806" s="580">
        <f t="shared" si="644"/>
        <v>0</v>
      </c>
      <c r="AH7806" s="580">
        <f t="shared" si="645"/>
        <v>0</v>
      </c>
    </row>
    <row r="7807" spans="28:34">
      <c r="AB7807" s="580">
        <f>HLOOKUP("*"&amp;'Output annual'!$AC$2&amp;'Output annual'!$AD$2&amp;"*Zone People Number Of Occupants [](Hourly)",'Eplus results'!$1:$1048576,ROW(),FALSE)</f>
        <v>0</v>
      </c>
      <c r="AC7807" s="580">
        <f>HLOOKUP("*"&amp;'Output annual'!$AC$2&amp;'Output annual'!$AD$2&amp;"*FangerPMV(Hourly)",'Eplus results'!$1:$1048576,ROW(),FALSE)</f>
        <v>0</v>
      </c>
      <c r="AD7807" s="580">
        <f t="shared" si="641"/>
        <v>5</v>
      </c>
      <c r="AE7807" s="580">
        <f t="shared" si="642"/>
        <v>2.5</v>
      </c>
      <c r="AF7807" s="580">
        <f t="shared" si="643"/>
        <v>2.5</v>
      </c>
      <c r="AG7807" s="580">
        <f t="shared" si="644"/>
        <v>0</v>
      </c>
      <c r="AH7807" s="580">
        <f t="shared" si="645"/>
        <v>0</v>
      </c>
    </row>
    <row r="7808" spans="28:34">
      <c r="AB7808" s="580">
        <f>HLOOKUP("*"&amp;'Output annual'!$AC$2&amp;'Output annual'!$AD$2&amp;"*Zone People Number Of Occupants [](Hourly)",'Eplus results'!$1:$1048576,ROW(),FALSE)</f>
        <v>0</v>
      </c>
      <c r="AC7808" s="580">
        <f>HLOOKUP("*"&amp;'Output annual'!$AC$2&amp;'Output annual'!$AD$2&amp;"*FangerPMV(Hourly)",'Eplus results'!$1:$1048576,ROW(),FALSE)</f>
        <v>0</v>
      </c>
      <c r="AD7808" s="580">
        <f t="shared" si="641"/>
        <v>5</v>
      </c>
      <c r="AE7808" s="580">
        <f t="shared" si="642"/>
        <v>2.5</v>
      </c>
      <c r="AF7808" s="580">
        <f t="shared" si="643"/>
        <v>2.5</v>
      </c>
      <c r="AG7808" s="580">
        <f t="shared" si="644"/>
        <v>0</v>
      </c>
      <c r="AH7808" s="580">
        <f t="shared" si="645"/>
        <v>0</v>
      </c>
    </row>
    <row r="7809" spans="28:34">
      <c r="AB7809" s="580">
        <f>HLOOKUP("*"&amp;'Output annual'!$AC$2&amp;'Output annual'!$AD$2&amp;"*Zone People Number Of Occupants [](Hourly)",'Eplus results'!$1:$1048576,ROW(),FALSE)</f>
        <v>0</v>
      </c>
      <c r="AC7809" s="580">
        <f>HLOOKUP("*"&amp;'Output annual'!$AC$2&amp;'Output annual'!$AD$2&amp;"*FangerPMV(Hourly)",'Eplus results'!$1:$1048576,ROW(),FALSE)</f>
        <v>0</v>
      </c>
      <c r="AD7809" s="580">
        <f t="shared" si="641"/>
        <v>5</v>
      </c>
      <c r="AE7809" s="580">
        <f t="shared" si="642"/>
        <v>2.5</v>
      </c>
      <c r="AF7809" s="580">
        <f t="shared" si="643"/>
        <v>2.5</v>
      </c>
      <c r="AG7809" s="580">
        <f t="shared" si="644"/>
        <v>0</v>
      </c>
      <c r="AH7809" s="580">
        <f t="shared" si="645"/>
        <v>0</v>
      </c>
    </row>
    <row r="7810" spans="28:34">
      <c r="AB7810" s="580">
        <f>HLOOKUP("*"&amp;'Output annual'!$AC$2&amp;'Output annual'!$AD$2&amp;"*Zone People Number Of Occupants [](Hourly)",'Eplus results'!$1:$1048576,ROW(),FALSE)</f>
        <v>0</v>
      </c>
      <c r="AC7810" s="580">
        <f>HLOOKUP("*"&amp;'Output annual'!$AC$2&amp;'Output annual'!$AD$2&amp;"*FangerPMV(Hourly)",'Eplus results'!$1:$1048576,ROW(),FALSE)</f>
        <v>0</v>
      </c>
      <c r="AD7810" s="580">
        <f t="shared" si="641"/>
        <v>5</v>
      </c>
      <c r="AE7810" s="580">
        <f t="shared" si="642"/>
        <v>2.5</v>
      </c>
      <c r="AF7810" s="580">
        <f t="shared" si="643"/>
        <v>2.5</v>
      </c>
      <c r="AG7810" s="580">
        <f t="shared" si="644"/>
        <v>0</v>
      </c>
      <c r="AH7810" s="580">
        <f t="shared" si="645"/>
        <v>0</v>
      </c>
    </row>
    <row r="7811" spans="28:34">
      <c r="AB7811" s="580">
        <f>HLOOKUP("*"&amp;'Output annual'!$AC$2&amp;'Output annual'!$AD$2&amp;"*Zone People Number Of Occupants [](Hourly)",'Eplus results'!$1:$1048576,ROW(),FALSE)</f>
        <v>0</v>
      </c>
      <c r="AC7811" s="580">
        <f>HLOOKUP("*"&amp;'Output annual'!$AC$2&amp;'Output annual'!$AD$2&amp;"*FangerPMV(Hourly)",'Eplus results'!$1:$1048576,ROW(),FALSE)</f>
        <v>0</v>
      </c>
      <c r="AD7811" s="580">
        <f t="shared" ref="AD7811:AD7874" si="646">100-95*EXP(-0.03353*AC7811^4-0.2179*AC7811^2)</f>
        <v>5</v>
      </c>
      <c r="AE7811" s="580">
        <f t="shared" ref="AE7811:AE7874" si="647">AD7811*(1/(1+EXP(-6.3*$AC7811)))</f>
        <v>2.5</v>
      </c>
      <c r="AF7811" s="580">
        <f t="shared" ref="AF7811:AF7874" si="648">(AD7811-AE7811)</f>
        <v>2.5</v>
      </c>
      <c r="AG7811" s="580">
        <f t="shared" ref="AG7811:AG7874" si="649">AE7811*AB7811</f>
        <v>0</v>
      </c>
      <c r="AH7811" s="580">
        <f t="shared" ref="AH7811:AH7874" si="650">AF7811*AB7811</f>
        <v>0</v>
      </c>
    </row>
    <row r="7812" spans="28:34">
      <c r="AB7812" s="580">
        <f>HLOOKUP("*"&amp;'Output annual'!$AC$2&amp;'Output annual'!$AD$2&amp;"*Zone People Number Of Occupants [](Hourly)",'Eplus results'!$1:$1048576,ROW(),FALSE)</f>
        <v>0</v>
      </c>
      <c r="AC7812" s="580">
        <f>HLOOKUP("*"&amp;'Output annual'!$AC$2&amp;'Output annual'!$AD$2&amp;"*FangerPMV(Hourly)",'Eplus results'!$1:$1048576,ROW(),FALSE)</f>
        <v>0</v>
      </c>
      <c r="AD7812" s="580">
        <f t="shared" si="646"/>
        <v>5</v>
      </c>
      <c r="AE7812" s="580">
        <f t="shared" si="647"/>
        <v>2.5</v>
      </c>
      <c r="AF7812" s="580">
        <f t="shared" si="648"/>
        <v>2.5</v>
      </c>
      <c r="AG7812" s="580">
        <f t="shared" si="649"/>
        <v>0</v>
      </c>
      <c r="AH7812" s="580">
        <f t="shared" si="650"/>
        <v>0</v>
      </c>
    </row>
    <row r="7813" spans="28:34">
      <c r="AB7813" s="580">
        <f>HLOOKUP("*"&amp;'Output annual'!$AC$2&amp;'Output annual'!$AD$2&amp;"*Zone People Number Of Occupants [](Hourly)",'Eplus results'!$1:$1048576,ROW(),FALSE)</f>
        <v>0</v>
      </c>
      <c r="AC7813" s="580">
        <f>HLOOKUP("*"&amp;'Output annual'!$AC$2&amp;'Output annual'!$AD$2&amp;"*FangerPMV(Hourly)",'Eplus results'!$1:$1048576,ROW(),FALSE)</f>
        <v>0</v>
      </c>
      <c r="AD7813" s="580">
        <f t="shared" si="646"/>
        <v>5</v>
      </c>
      <c r="AE7813" s="580">
        <f t="shared" si="647"/>
        <v>2.5</v>
      </c>
      <c r="AF7813" s="580">
        <f t="shared" si="648"/>
        <v>2.5</v>
      </c>
      <c r="AG7813" s="580">
        <f t="shared" si="649"/>
        <v>0</v>
      </c>
      <c r="AH7813" s="580">
        <f t="shared" si="650"/>
        <v>0</v>
      </c>
    </row>
    <row r="7814" spans="28:34">
      <c r="AB7814" s="580">
        <f>HLOOKUP("*"&amp;'Output annual'!$AC$2&amp;'Output annual'!$AD$2&amp;"*Zone People Number Of Occupants [](Hourly)",'Eplus results'!$1:$1048576,ROW(),FALSE)</f>
        <v>0</v>
      </c>
      <c r="AC7814" s="580">
        <f>HLOOKUP("*"&amp;'Output annual'!$AC$2&amp;'Output annual'!$AD$2&amp;"*FangerPMV(Hourly)",'Eplus results'!$1:$1048576,ROW(),FALSE)</f>
        <v>0</v>
      </c>
      <c r="AD7814" s="580">
        <f t="shared" si="646"/>
        <v>5</v>
      </c>
      <c r="AE7814" s="580">
        <f t="shared" si="647"/>
        <v>2.5</v>
      </c>
      <c r="AF7814" s="580">
        <f t="shared" si="648"/>
        <v>2.5</v>
      </c>
      <c r="AG7814" s="580">
        <f t="shared" si="649"/>
        <v>0</v>
      </c>
      <c r="AH7814" s="580">
        <f t="shared" si="650"/>
        <v>0</v>
      </c>
    </row>
    <row r="7815" spans="28:34">
      <c r="AB7815" s="580">
        <f>HLOOKUP("*"&amp;'Output annual'!$AC$2&amp;'Output annual'!$AD$2&amp;"*Zone People Number Of Occupants [](Hourly)",'Eplus results'!$1:$1048576,ROW(),FALSE)</f>
        <v>0</v>
      </c>
      <c r="AC7815" s="580">
        <f>HLOOKUP("*"&amp;'Output annual'!$AC$2&amp;'Output annual'!$AD$2&amp;"*FangerPMV(Hourly)",'Eplus results'!$1:$1048576,ROW(),FALSE)</f>
        <v>0</v>
      </c>
      <c r="AD7815" s="580">
        <f t="shared" si="646"/>
        <v>5</v>
      </c>
      <c r="AE7815" s="580">
        <f t="shared" si="647"/>
        <v>2.5</v>
      </c>
      <c r="AF7815" s="580">
        <f t="shared" si="648"/>
        <v>2.5</v>
      </c>
      <c r="AG7815" s="580">
        <f t="shared" si="649"/>
        <v>0</v>
      </c>
      <c r="AH7815" s="580">
        <f t="shared" si="650"/>
        <v>0</v>
      </c>
    </row>
    <row r="7816" spans="28:34">
      <c r="AB7816" s="580">
        <f>HLOOKUP("*"&amp;'Output annual'!$AC$2&amp;'Output annual'!$AD$2&amp;"*Zone People Number Of Occupants [](Hourly)",'Eplus results'!$1:$1048576,ROW(),FALSE)</f>
        <v>0</v>
      </c>
      <c r="AC7816" s="580">
        <f>HLOOKUP("*"&amp;'Output annual'!$AC$2&amp;'Output annual'!$AD$2&amp;"*FangerPMV(Hourly)",'Eplus results'!$1:$1048576,ROW(),FALSE)</f>
        <v>0</v>
      </c>
      <c r="AD7816" s="580">
        <f t="shared" si="646"/>
        <v>5</v>
      </c>
      <c r="AE7816" s="580">
        <f t="shared" si="647"/>
        <v>2.5</v>
      </c>
      <c r="AF7816" s="580">
        <f t="shared" si="648"/>
        <v>2.5</v>
      </c>
      <c r="AG7816" s="580">
        <f t="shared" si="649"/>
        <v>0</v>
      </c>
      <c r="AH7816" s="580">
        <f t="shared" si="650"/>
        <v>0</v>
      </c>
    </row>
    <row r="7817" spans="28:34">
      <c r="AB7817" s="580">
        <f>HLOOKUP("*"&amp;'Output annual'!$AC$2&amp;'Output annual'!$AD$2&amp;"*Zone People Number Of Occupants [](Hourly)",'Eplus results'!$1:$1048576,ROW(),FALSE)</f>
        <v>0</v>
      </c>
      <c r="AC7817" s="580">
        <f>HLOOKUP("*"&amp;'Output annual'!$AC$2&amp;'Output annual'!$AD$2&amp;"*FangerPMV(Hourly)",'Eplus results'!$1:$1048576,ROW(),FALSE)</f>
        <v>0</v>
      </c>
      <c r="AD7817" s="580">
        <f t="shared" si="646"/>
        <v>5</v>
      </c>
      <c r="AE7817" s="580">
        <f t="shared" si="647"/>
        <v>2.5</v>
      </c>
      <c r="AF7817" s="580">
        <f t="shared" si="648"/>
        <v>2.5</v>
      </c>
      <c r="AG7817" s="580">
        <f t="shared" si="649"/>
        <v>0</v>
      </c>
      <c r="AH7817" s="580">
        <f t="shared" si="650"/>
        <v>0</v>
      </c>
    </row>
    <row r="7818" spans="28:34">
      <c r="AB7818" s="580">
        <f>HLOOKUP("*"&amp;'Output annual'!$AC$2&amp;'Output annual'!$AD$2&amp;"*Zone People Number Of Occupants [](Hourly)",'Eplus results'!$1:$1048576,ROW(),FALSE)</f>
        <v>0</v>
      </c>
      <c r="AC7818" s="580">
        <f>HLOOKUP("*"&amp;'Output annual'!$AC$2&amp;'Output annual'!$AD$2&amp;"*FangerPMV(Hourly)",'Eplus results'!$1:$1048576,ROW(),FALSE)</f>
        <v>0</v>
      </c>
      <c r="AD7818" s="580">
        <f t="shared" si="646"/>
        <v>5</v>
      </c>
      <c r="AE7818" s="580">
        <f t="shared" si="647"/>
        <v>2.5</v>
      </c>
      <c r="AF7818" s="580">
        <f t="shared" si="648"/>
        <v>2.5</v>
      </c>
      <c r="AG7818" s="580">
        <f t="shared" si="649"/>
        <v>0</v>
      </c>
      <c r="AH7818" s="580">
        <f t="shared" si="650"/>
        <v>0</v>
      </c>
    </row>
    <row r="7819" spans="28:34">
      <c r="AB7819" s="580">
        <f>HLOOKUP("*"&amp;'Output annual'!$AC$2&amp;'Output annual'!$AD$2&amp;"*Zone People Number Of Occupants [](Hourly)",'Eplus results'!$1:$1048576,ROW(),FALSE)</f>
        <v>0</v>
      </c>
      <c r="AC7819" s="580">
        <f>HLOOKUP("*"&amp;'Output annual'!$AC$2&amp;'Output annual'!$AD$2&amp;"*FangerPMV(Hourly)",'Eplus results'!$1:$1048576,ROW(),FALSE)</f>
        <v>0</v>
      </c>
      <c r="AD7819" s="580">
        <f t="shared" si="646"/>
        <v>5</v>
      </c>
      <c r="AE7819" s="580">
        <f t="shared" si="647"/>
        <v>2.5</v>
      </c>
      <c r="AF7819" s="580">
        <f t="shared" si="648"/>
        <v>2.5</v>
      </c>
      <c r="AG7819" s="580">
        <f t="shared" si="649"/>
        <v>0</v>
      </c>
      <c r="AH7819" s="580">
        <f t="shared" si="650"/>
        <v>0</v>
      </c>
    </row>
    <row r="7820" spans="28:34">
      <c r="AB7820" s="580">
        <f>HLOOKUP("*"&amp;'Output annual'!$AC$2&amp;'Output annual'!$AD$2&amp;"*Zone People Number Of Occupants [](Hourly)",'Eplus results'!$1:$1048576,ROW(),FALSE)</f>
        <v>0</v>
      </c>
      <c r="AC7820" s="580">
        <f>HLOOKUP("*"&amp;'Output annual'!$AC$2&amp;'Output annual'!$AD$2&amp;"*FangerPMV(Hourly)",'Eplus results'!$1:$1048576,ROW(),FALSE)</f>
        <v>0</v>
      </c>
      <c r="AD7820" s="580">
        <f t="shared" si="646"/>
        <v>5</v>
      </c>
      <c r="AE7820" s="580">
        <f t="shared" si="647"/>
        <v>2.5</v>
      </c>
      <c r="AF7820" s="580">
        <f t="shared" si="648"/>
        <v>2.5</v>
      </c>
      <c r="AG7820" s="580">
        <f t="shared" si="649"/>
        <v>0</v>
      </c>
      <c r="AH7820" s="580">
        <f t="shared" si="650"/>
        <v>0</v>
      </c>
    </row>
    <row r="7821" spans="28:34">
      <c r="AB7821" s="580">
        <f>HLOOKUP("*"&amp;'Output annual'!$AC$2&amp;'Output annual'!$AD$2&amp;"*Zone People Number Of Occupants [](Hourly)",'Eplus results'!$1:$1048576,ROW(),FALSE)</f>
        <v>0</v>
      </c>
      <c r="AC7821" s="580">
        <f>HLOOKUP("*"&amp;'Output annual'!$AC$2&amp;'Output annual'!$AD$2&amp;"*FangerPMV(Hourly)",'Eplus results'!$1:$1048576,ROW(),FALSE)</f>
        <v>0</v>
      </c>
      <c r="AD7821" s="580">
        <f t="shared" si="646"/>
        <v>5</v>
      </c>
      <c r="AE7821" s="580">
        <f t="shared" si="647"/>
        <v>2.5</v>
      </c>
      <c r="AF7821" s="580">
        <f t="shared" si="648"/>
        <v>2.5</v>
      </c>
      <c r="AG7821" s="580">
        <f t="shared" si="649"/>
        <v>0</v>
      </c>
      <c r="AH7821" s="580">
        <f t="shared" si="650"/>
        <v>0</v>
      </c>
    </row>
    <row r="7822" spans="28:34">
      <c r="AB7822" s="580">
        <f>HLOOKUP("*"&amp;'Output annual'!$AC$2&amp;'Output annual'!$AD$2&amp;"*Zone People Number Of Occupants [](Hourly)",'Eplus results'!$1:$1048576,ROW(),FALSE)</f>
        <v>0</v>
      </c>
      <c r="AC7822" s="580">
        <f>HLOOKUP("*"&amp;'Output annual'!$AC$2&amp;'Output annual'!$AD$2&amp;"*FangerPMV(Hourly)",'Eplus results'!$1:$1048576,ROW(),FALSE)</f>
        <v>0</v>
      </c>
      <c r="AD7822" s="580">
        <f t="shared" si="646"/>
        <v>5</v>
      </c>
      <c r="AE7822" s="580">
        <f t="shared" si="647"/>
        <v>2.5</v>
      </c>
      <c r="AF7822" s="580">
        <f t="shared" si="648"/>
        <v>2.5</v>
      </c>
      <c r="AG7822" s="580">
        <f t="shared" si="649"/>
        <v>0</v>
      </c>
      <c r="AH7822" s="580">
        <f t="shared" si="650"/>
        <v>0</v>
      </c>
    </row>
    <row r="7823" spans="28:34">
      <c r="AB7823" s="580">
        <f>HLOOKUP("*"&amp;'Output annual'!$AC$2&amp;'Output annual'!$AD$2&amp;"*Zone People Number Of Occupants [](Hourly)",'Eplus results'!$1:$1048576,ROW(),FALSE)</f>
        <v>0</v>
      </c>
      <c r="AC7823" s="580">
        <f>HLOOKUP("*"&amp;'Output annual'!$AC$2&amp;'Output annual'!$AD$2&amp;"*FangerPMV(Hourly)",'Eplus results'!$1:$1048576,ROW(),FALSE)</f>
        <v>0</v>
      </c>
      <c r="AD7823" s="580">
        <f t="shared" si="646"/>
        <v>5</v>
      </c>
      <c r="AE7823" s="580">
        <f t="shared" si="647"/>
        <v>2.5</v>
      </c>
      <c r="AF7823" s="580">
        <f t="shared" si="648"/>
        <v>2.5</v>
      </c>
      <c r="AG7823" s="580">
        <f t="shared" si="649"/>
        <v>0</v>
      </c>
      <c r="AH7823" s="580">
        <f t="shared" si="650"/>
        <v>0</v>
      </c>
    </row>
    <row r="7824" spans="28:34">
      <c r="AB7824" s="580">
        <f>HLOOKUP("*"&amp;'Output annual'!$AC$2&amp;'Output annual'!$AD$2&amp;"*Zone People Number Of Occupants [](Hourly)",'Eplus results'!$1:$1048576,ROW(),FALSE)</f>
        <v>0</v>
      </c>
      <c r="AC7824" s="580">
        <f>HLOOKUP("*"&amp;'Output annual'!$AC$2&amp;'Output annual'!$AD$2&amp;"*FangerPMV(Hourly)",'Eplus results'!$1:$1048576,ROW(),FALSE)</f>
        <v>0</v>
      </c>
      <c r="AD7824" s="580">
        <f t="shared" si="646"/>
        <v>5</v>
      </c>
      <c r="AE7824" s="580">
        <f t="shared" si="647"/>
        <v>2.5</v>
      </c>
      <c r="AF7824" s="580">
        <f t="shared" si="648"/>
        <v>2.5</v>
      </c>
      <c r="AG7824" s="580">
        <f t="shared" si="649"/>
        <v>0</v>
      </c>
      <c r="AH7824" s="580">
        <f t="shared" si="650"/>
        <v>0</v>
      </c>
    </row>
    <row r="7825" spans="28:34">
      <c r="AB7825" s="580">
        <f>HLOOKUP("*"&amp;'Output annual'!$AC$2&amp;'Output annual'!$AD$2&amp;"*Zone People Number Of Occupants [](Hourly)",'Eplus results'!$1:$1048576,ROW(),FALSE)</f>
        <v>0</v>
      </c>
      <c r="AC7825" s="580">
        <f>HLOOKUP("*"&amp;'Output annual'!$AC$2&amp;'Output annual'!$AD$2&amp;"*FangerPMV(Hourly)",'Eplus results'!$1:$1048576,ROW(),FALSE)</f>
        <v>0</v>
      </c>
      <c r="AD7825" s="580">
        <f t="shared" si="646"/>
        <v>5</v>
      </c>
      <c r="AE7825" s="580">
        <f t="shared" si="647"/>
        <v>2.5</v>
      </c>
      <c r="AF7825" s="580">
        <f t="shared" si="648"/>
        <v>2.5</v>
      </c>
      <c r="AG7825" s="580">
        <f t="shared" si="649"/>
        <v>0</v>
      </c>
      <c r="AH7825" s="580">
        <f t="shared" si="650"/>
        <v>0</v>
      </c>
    </row>
    <row r="7826" spans="28:34">
      <c r="AB7826" s="580">
        <f>HLOOKUP("*"&amp;'Output annual'!$AC$2&amp;'Output annual'!$AD$2&amp;"*Zone People Number Of Occupants [](Hourly)",'Eplus results'!$1:$1048576,ROW(),FALSE)</f>
        <v>0</v>
      </c>
      <c r="AC7826" s="580">
        <f>HLOOKUP("*"&amp;'Output annual'!$AC$2&amp;'Output annual'!$AD$2&amp;"*FangerPMV(Hourly)",'Eplus results'!$1:$1048576,ROW(),FALSE)</f>
        <v>0</v>
      </c>
      <c r="AD7826" s="580">
        <f t="shared" si="646"/>
        <v>5</v>
      </c>
      <c r="AE7826" s="580">
        <f t="shared" si="647"/>
        <v>2.5</v>
      </c>
      <c r="AF7826" s="580">
        <f t="shared" si="648"/>
        <v>2.5</v>
      </c>
      <c r="AG7826" s="580">
        <f t="shared" si="649"/>
        <v>0</v>
      </c>
      <c r="AH7826" s="580">
        <f t="shared" si="650"/>
        <v>0</v>
      </c>
    </row>
    <row r="7827" spans="28:34">
      <c r="AB7827" s="580">
        <f>HLOOKUP("*"&amp;'Output annual'!$AC$2&amp;'Output annual'!$AD$2&amp;"*Zone People Number Of Occupants [](Hourly)",'Eplus results'!$1:$1048576,ROW(),FALSE)</f>
        <v>0</v>
      </c>
      <c r="AC7827" s="580">
        <f>HLOOKUP("*"&amp;'Output annual'!$AC$2&amp;'Output annual'!$AD$2&amp;"*FangerPMV(Hourly)",'Eplus results'!$1:$1048576,ROW(),FALSE)</f>
        <v>0</v>
      </c>
      <c r="AD7827" s="580">
        <f t="shared" si="646"/>
        <v>5</v>
      </c>
      <c r="AE7827" s="580">
        <f t="shared" si="647"/>
        <v>2.5</v>
      </c>
      <c r="AF7827" s="580">
        <f t="shared" si="648"/>
        <v>2.5</v>
      </c>
      <c r="AG7827" s="580">
        <f t="shared" si="649"/>
        <v>0</v>
      </c>
      <c r="AH7827" s="580">
        <f t="shared" si="650"/>
        <v>0</v>
      </c>
    </row>
    <row r="7828" spans="28:34">
      <c r="AB7828" s="580">
        <f>HLOOKUP("*"&amp;'Output annual'!$AC$2&amp;'Output annual'!$AD$2&amp;"*Zone People Number Of Occupants [](Hourly)",'Eplus results'!$1:$1048576,ROW(),FALSE)</f>
        <v>0</v>
      </c>
      <c r="AC7828" s="580">
        <f>HLOOKUP("*"&amp;'Output annual'!$AC$2&amp;'Output annual'!$AD$2&amp;"*FangerPMV(Hourly)",'Eplus results'!$1:$1048576,ROW(),FALSE)</f>
        <v>0</v>
      </c>
      <c r="AD7828" s="580">
        <f t="shared" si="646"/>
        <v>5</v>
      </c>
      <c r="AE7828" s="580">
        <f t="shared" si="647"/>
        <v>2.5</v>
      </c>
      <c r="AF7828" s="580">
        <f t="shared" si="648"/>
        <v>2.5</v>
      </c>
      <c r="AG7828" s="580">
        <f t="shared" si="649"/>
        <v>0</v>
      </c>
      <c r="AH7828" s="580">
        <f t="shared" si="650"/>
        <v>0</v>
      </c>
    </row>
    <row r="7829" spans="28:34">
      <c r="AB7829" s="580">
        <f>HLOOKUP("*"&amp;'Output annual'!$AC$2&amp;'Output annual'!$AD$2&amp;"*Zone People Number Of Occupants [](Hourly)",'Eplus results'!$1:$1048576,ROW(),FALSE)</f>
        <v>0</v>
      </c>
      <c r="AC7829" s="580">
        <f>HLOOKUP("*"&amp;'Output annual'!$AC$2&amp;'Output annual'!$AD$2&amp;"*FangerPMV(Hourly)",'Eplus results'!$1:$1048576,ROW(),FALSE)</f>
        <v>0</v>
      </c>
      <c r="AD7829" s="580">
        <f t="shared" si="646"/>
        <v>5</v>
      </c>
      <c r="AE7829" s="580">
        <f t="shared" si="647"/>
        <v>2.5</v>
      </c>
      <c r="AF7829" s="580">
        <f t="shared" si="648"/>
        <v>2.5</v>
      </c>
      <c r="AG7829" s="580">
        <f t="shared" si="649"/>
        <v>0</v>
      </c>
      <c r="AH7829" s="580">
        <f t="shared" si="650"/>
        <v>0</v>
      </c>
    </row>
    <row r="7830" spans="28:34">
      <c r="AB7830" s="580">
        <f>HLOOKUP("*"&amp;'Output annual'!$AC$2&amp;'Output annual'!$AD$2&amp;"*Zone People Number Of Occupants [](Hourly)",'Eplus results'!$1:$1048576,ROW(),FALSE)</f>
        <v>0</v>
      </c>
      <c r="AC7830" s="580">
        <f>HLOOKUP("*"&amp;'Output annual'!$AC$2&amp;'Output annual'!$AD$2&amp;"*FangerPMV(Hourly)",'Eplus results'!$1:$1048576,ROW(),FALSE)</f>
        <v>0</v>
      </c>
      <c r="AD7830" s="580">
        <f t="shared" si="646"/>
        <v>5</v>
      </c>
      <c r="AE7830" s="580">
        <f t="shared" si="647"/>
        <v>2.5</v>
      </c>
      <c r="AF7830" s="580">
        <f t="shared" si="648"/>
        <v>2.5</v>
      </c>
      <c r="AG7830" s="580">
        <f t="shared" si="649"/>
        <v>0</v>
      </c>
      <c r="AH7830" s="580">
        <f t="shared" si="650"/>
        <v>0</v>
      </c>
    </row>
    <row r="7831" spans="28:34">
      <c r="AB7831" s="580">
        <f>HLOOKUP("*"&amp;'Output annual'!$AC$2&amp;'Output annual'!$AD$2&amp;"*Zone People Number Of Occupants [](Hourly)",'Eplus results'!$1:$1048576,ROW(),FALSE)</f>
        <v>0</v>
      </c>
      <c r="AC7831" s="580">
        <f>HLOOKUP("*"&amp;'Output annual'!$AC$2&amp;'Output annual'!$AD$2&amp;"*FangerPMV(Hourly)",'Eplus results'!$1:$1048576,ROW(),FALSE)</f>
        <v>0</v>
      </c>
      <c r="AD7831" s="580">
        <f t="shared" si="646"/>
        <v>5</v>
      </c>
      <c r="AE7831" s="580">
        <f t="shared" si="647"/>
        <v>2.5</v>
      </c>
      <c r="AF7831" s="580">
        <f t="shared" si="648"/>
        <v>2.5</v>
      </c>
      <c r="AG7831" s="580">
        <f t="shared" si="649"/>
        <v>0</v>
      </c>
      <c r="AH7831" s="580">
        <f t="shared" si="650"/>
        <v>0</v>
      </c>
    </row>
    <row r="7832" spans="28:34">
      <c r="AB7832" s="580">
        <f>HLOOKUP("*"&amp;'Output annual'!$AC$2&amp;'Output annual'!$AD$2&amp;"*Zone People Number Of Occupants [](Hourly)",'Eplus results'!$1:$1048576,ROW(),FALSE)</f>
        <v>0</v>
      </c>
      <c r="AC7832" s="580">
        <f>HLOOKUP("*"&amp;'Output annual'!$AC$2&amp;'Output annual'!$AD$2&amp;"*FangerPMV(Hourly)",'Eplus results'!$1:$1048576,ROW(),FALSE)</f>
        <v>0</v>
      </c>
      <c r="AD7832" s="580">
        <f t="shared" si="646"/>
        <v>5</v>
      </c>
      <c r="AE7832" s="580">
        <f t="shared" si="647"/>
        <v>2.5</v>
      </c>
      <c r="AF7832" s="580">
        <f t="shared" si="648"/>
        <v>2.5</v>
      </c>
      <c r="AG7832" s="580">
        <f t="shared" si="649"/>
        <v>0</v>
      </c>
      <c r="AH7832" s="580">
        <f t="shared" si="650"/>
        <v>0</v>
      </c>
    </row>
    <row r="7833" spans="28:34">
      <c r="AB7833" s="580">
        <f>HLOOKUP("*"&amp;'Output annual'!$AC$2&amp;'Output annual'!$AD$2&amp;"*Zone People Number Of Occupants [](Hourly)",'Eplus results'!$1:$1048576,ROW(),FALSE)</f>
        <v>0</v>
      </c>
      <c r="AC7833" s="580">
        <f>HLOOKUP("*"&amp;'Output annual'!$AC$2&amp;'Output annual'!$AD$2&amp;"*FangerPMV(Hourly)",'Eplus results'!$1:$1048576,ROW(),FALSE)</f>
        <v>0</v>
      </c>
      <c r="AD7833" s="580">
        <f t="shared" si="646"/>
        <v>5</v>
      </c>
      <c r="AE7833" s="580">
        <f t="shared" si="647"/>
        <v>2.5</v>
      </c>
      <c r="AF7833" s="580">
        <f t="shared" si="648"/>
        <v>2.5</v>
      </c>
      <c r="AG7833" s="580">
        <f t="shared" si="649"/>
        <v>0</v>
      </c>
      <c r="AH7833" s="580">
        <f t="shared" si="650"/>
        <v>0</v>
      </c>
    </row>
    <row r="7834" spans="28:34">
      <c r="AB7834" s="580">
        <f>HLOOKUP("*"&amp;'Output annual'!$AC$2&amp;'Output annual'!$AD$2&amp;"*Zone People Number Of Occupants [](Hourly)",'Eplus results'!$1:$1048576,ROW(),FALSE)</f>
        <v>0</v>
      </c>
      <c r="AC7834" s="580">
        <f>HLOOKUP("*"&amp;'Output annual'!$AC$2&amp;'Output annual'!$AD$2&amp;"*FangerPMV(Hourly)",'Eplus results'!$1:$1048576,ROW(),FALSE)</f>
        <v>0</v>
      </c>
      <c r="AD7834" s="580">
        <f t="shared" si="646"/>
        <v>5</v>
      </c>
      <c r="AE7834" s="580">
        <f t="shared" si="647"/>
        <v>2.5</v>
      </c>
      <c r="AF7834" s="580">
        <f t="shared" si="648"/>
        <v>2.5</v>
      </c>
      <c r="AG7834" s="580">
        <f t="shared" si="649"/>
        <v>0</v>
      </c>
      <c r="AH7834" s="580">
        <f t="shared" si="650"/>
        <v>0</v>
      </c>
    </row>
    <row r="7835" spans="28:34">
      <c r="AB7835" s="580">
        <f>HLOOKUP("*"&amp;'Output annual'!$AC$2&amp;'Output annual'!$AD$2&amp;"*Zone People Number Of Occupants [](Hourly)",'Eplus results'!$1:$1048576,ROW(),FALSE)</f>
        <v>0</v>
      </c>
      <c r="AC7835" s="580">
        <f>HLOOKUP("*"&amp;'Output annual'!$AC$2&amp;'Output annual'!$AD$2&amp;"*FangerPMV(Hourly)",'Eplus results'!$1:$1048576,ROW(),FALSE)</f>
        <v>0</v>
      </c>
      <c r="AD7835" s="580">
        <f t="shared" si="646"/>
        <v>5</v>
      </c>
      <c r="AE7835" s="580">
        <f t="shared" si="647"/>
        <v>2.5</v>
      </c>
      <c r="AF7835" s="580">
        <f t="shared" si="648"/>
        <v>2.5</v>
      </c>
      <c r="AG7835" s="580">
        <f t="shared" si="649"/>
        <v>0</v>
      </c>
      <c r="AH7835" s="580">
        <f t="shared" si="650"/>
        <v>0</v>
      </c>
    </row>
    <row r="7836" spans="28:34">
      <c r="AB7836" s="580">
        <f>HLOOKUP("*"&amp;'Output annual'!$AC$2&amp;'Output annual'!$AD$2&amp;"*Zone People Number Of Occupants [](Hourly)",'Eplus results'!$1:$1048576,ROW(),FALSE)</f>
        <v>0</v>
      </c>
      <c r="AC7836" s="580">
        <f>HLOOKUP("*"&amp;'Output annual'!$AC$2&amp;'Output annual'!$AD$2&amp;"*FangerPMV(Hourly)",'Eplus results'!$1:$1048576,ROW(),FALSE)</f>
        <v>0</v>
      </c>
      <c r="AD7836" s="580">
        <f t="shared" si="646"/>
        <v>5</v>
      </c>
      <c r="AE7836" s="580">
        <f t="shared" si="647"/>
        <v>2.5</v>
      </c>
      <c r="AF7836" s="580">
        <f t="shared" si="648"/>
        <v>2.5</v>
      </c>
      <c r="AG7836" s="580">
        <f t="shared" si="649"/>
        <v>0</v>
      </c>
      <c r="AH7836" s="580">
        <f t="shared" si="650"/>
        <v>0</v>
      </c>
    </row>
    <row r="7837" spans="28:34">
      <c r="AB7837" s="580">
        <f>HLOOKUP("*"&amp;'Output annual'!$AC$2&amp;'Output annual'!$AD$2&amp;"*Zone People Number Of Occupants [](Hourly)",'Eplus results'!$1:$1048576,ROW(),FALSE)</f>
        <v>0</v>
      </c>
      <c r="AC7837" s="580">
        <f>HLOOKUP("*"&amp;'Output annual'!$AC$2&amp;'Output annual'!$AD$2&amp;"*FangerPMV(Hourly)",'Eplus results'!$1:$1048576,ROW(),FALSE)</f>
        <v>0</v>
      </c>
      <c r="AD7837" s="580">
        <f t="shared" si="646"/>
        <v>5</v>
      </c>
      <c r="AE7837" s="580">
        <f t="shared" si="647"/>
        <v>2.5</v>
      </c>
      <c r="AF7837" s="580">
        <f t="shared" si="648"/>
        <v>2.5</v>
      </c>
      <c r="AG7837" s="580">
        <f t="shared" si="649"/>
        <v>0</v>
      </c>
      <c r="AH7837" s="580">
        <f t="shared" si="650"/>
        <v>0</v>
      </c>
    </row>
    <row r="7838" spans="28:34">
      <c r="AB7838" s="580">
        <f>HLOOKUP("*"&amp;'Output annual'!$AC$2&amp;'Output annual'!$AD$2&amp;"*Zone People Number Of Occupants [](Hourly)",'Eplus results'!$1:$1048576,ROW(),FALSE)</f>
        <v>0</v>
      </c>
      <c r="AC7838" s="580">
        <f>HLOOKUP("*"&amp;'Output annual'!$AC$2&amp;'Output annual'!$AD$2&amp;"*FangerPMV(Hourly)",'Eplus results'!$1:$1048576,ROW(),FALSE)</f>
        <v>0</v>
      </c>
      <c r="AD7838" s="580">
        <f t="shared" si="646"/>
        <v>5</v>
      </c>
      <c r="AE7838" s="580">
        <f t="shared" si="647"/>
        <v>2.5</v>
      </c>
      <c r="AF7838" s="580">
        <f t="shared" si="648"/>
        <v>2.5</v>
      </c>
      <c r="AG7838" s="580">
        <f t="shared" si="649"/>
        <v>0</v>
      </c>
      <c r="AH7838" s="580">
        <f t="shared" si="650"/>
        <v>0</v>
      </c>
    </row>
    <row r="7839" spans="28:34">
      <c r="AB7839" s="580">
        <f>HLOOKUP("*"&amp;'Output annual'!$AC$2&amp;'Output annual'!$AD$2&amp;"*Zone People Number Of Occupants [](Hourly)",'Eplus results'!$1:$1048576,ROW(),FALSE)</f>
        <v>0</v>
      </c>
      <c r="AC7839" s="580">
        <f>HLOOKUP("*"&amp;'Output annual'!$AC$2&amp;'Output annual'!$AD$2&amp;"*FangerPMV(Hourly)",'Eplus results'!$1:$1048576,ROW(),FALSE)</f>
        <v>0</v>
      </c>
      <c r="AD7839" s="580">
        <f t="shared" si="646"/>
        <v>5</v>
      </c>
      <c r="AE7839" s="580">
        <f t="shared" si="647"/>
        <v>2.5</v>
      </c>
      <c r="AF7839" s="580">
        <f t="shared" si="648"/>
        <v>2.5</v>
      </c>
      <c r="AG7839" s="580">
        <f t="shared" si="649"/>
        <v>0</v>
      </c>
      <c r="AH7839" s="580">
        <f t="shared" si="650"/>
        <v>0</v>
      </c>
    </row>
    <row r="7840" spans="28:34">
      <c r="AB7840" s="580">
        <f>HLOOKUP("*"&amp;'Output annual'!$AC$2&amp;'Output annual'!$AD$2&amp;"*Zone People Number Of Occupants [](Hourly)",'Eplus results'!$1:$1048576,ROW(),FALSE)</f>
        <v>0</v>
      </c>
      <c r="AC7840" s="580">
        <f>HLOOKUP("*"&amp;'Output annual'!$AC$2&amp;'Output annual'!$AD$2&amp;"*FangerPMV(Hourly)",'Eplus results'!$1:$1048576,ROW(),FALSE)</f>
        <v>0</v>
      </c>
      <c r="AD7840" s="580">
        <f t="shared" si="646"/>
        <v>5</v>
      </c>
      <c r="AE7840" s="580">
        <f t="shared" si="647"/>
        <v>2.5</v>
      </c>
      <c r="AF7840" s="580">
        <f t="shared" si="648"/>
        <v>2.5</v>
      </c>
      <c r="AG7840" s="580">
        <f t="shared" si="649"/>
        <v>0</v>
      </c>
      <c r="AH7840" s="580">
        <f t="shared" si="650"/>
        <v>0</v>
      </c>
    </row>
    <row r="7841" spans="28:34">
      <c r="AB7841" s="580">
        <f>HLOOKUP("*"&amp;'Output annual'!$AC$2&amp;'Output annual'!$AD$2&amp;"*Zone People Number Of Occupants [](Hourly)",'Eplus results'!$1:$1048576,ROW(),FALSE)</f>
        <v>0</v>
      </c>
      <c r="AC7841" s="580">
        <f>HLOOKUP("*"&amp;'Output annual'!$AC$2&amp;'Output annual'!$AD$2&amp;"*FangerPMV(Hourly)",'Eplus results'!$1:$1048576,ROW(),FALSE)</f>
        <v>0</v>
      </c>
      <c r="AD7841" s="580">
        <f t="shared" si="646"/>
        <v>5</v>
      </c>
      <c r="AE7841" s="580">
        <f t="shared" si="647"/>
        <v>2.5</v>
      </c>
      <c r="AF7841" s="580">
        <f t="shared" si="648"/>
        <v>2.5</v>
      </c>
      <c r="AG7841" s="580">
        <f t="shared" si="649"/>
        <v>0</v>
      </c>
      <c r="AH7841" s="580">
        <f t="shared" si="650"/>
        <v>0</v>
      </c>
    </row>
    <row r="7842" spans="28:34">
      <c r="AB7842" s="580">
        <f>HLOOKUP("*"&amp;'Output annual'!$AC$2&amp;'Output annual'!$AD$2&amp;"*Zone People Number Of Occupants [](Hourly)",'Eplus results'!$1:$1048576,ROW(),FALSE)</f>
        <v>0</v>
      </c>
      <c r="AC7842" s="580">
        <f>HLOOKUP("*"&amp;'Output annual'!$AC$2&amp;'Output annual'!$AD$2&amp;"*FangerPMV(Hourly)",'Eplus results'!$1:$1048576,ROW(),FALSE)</f>
        <v>0</v>
      </c>
      <c r="AD7842" s="580">
        <f t="shared" si="646"/>
        <v>5</v>
      </c>
      <c r="AE7842" s="580">
        <f t="shared" si="647"/>
        <v>2.5</v>
      </c>
      <c r="AF7842" s="580">
        <f t="shared" si="648"/>
        <v>2.5</v>
      </c>
      <c r="AG7842" s="580">
        <f t="shared" si="649"/>
        <v>0</v>
      </c>
      <c r="AH7842" s="580">
        <f t="shared" si="650"/>
        <v>0</v>
      </c>
    </row>
    <row r="7843" spans="28:34">
      <c r="AB7843" s="580">
        <f>HLOOKUP("*"&amp;'Output annual'!$AC$2&amp;'Output annual'!$AD$2&amp;"*Zone People Number Of Occupants [](Hourly)",'Eplus results'!$1:$1048576,ROW(),FALSE)</f>
        <v>0</v>
      </c>
      <c r="AC7843" s="580">
        <f>HLOOKUP("*"&amp;'Output annual'!$AC$2&amp;'Output annual'!$AD$2&amp;"*FangerPMV(Hourly)",'Eplus results'!$1:$1048576,ROW(),FALSE)</f>
        <v>0</v>
      </c>
      <c r="AD7843" s="580">
        <f t="shared" si="646"/>
        <v>5</v>
      </c>
      <c r="AE7843" s="580">
        <f t="shared" si="647"/>
        <v>2.5</v>
      </c>
      <c r="AF7843" s="580">
        <f t="shared" si="648"/>
        <v>2.5</v>
      </c>
      <c r="AG7843" s="580">
        <f t="shared" si="649"/>
        <v>0</v>
      </c>
      <c r="AH7843" s="580">
        <f t="shared" si="650"/>
        <v>0</v>
      </c>
    </row>
    <row r="7844" spans="28:34">
      <c r="AB7844" s="580">
        <f>HLOOKUP("*"&amp;'Output annual'!$AC$2&amp;'Output annual'!$AD$2&amp;"*Zone People Number Of Occupants [](Hourly)",'Eplus results'!$1:$1048576,ROW(),FALSE)</f>
        <v>0</v>
      </c>
      <c r="AC7844" s="580">
        <f>HLOOKUP("*"&amp;'Output annual'!$AC$2&amp;'Output annual'!$AD$2&amp;"*FangerPMV(Hourly)",'Eplus results'!$1:$1048576,ROW(),FALSE)</f>
        <v>0</v>
      </c>
      <c r="AD7844" s="580">
        <f t="shared" si="646"/>
        <v>5</v>
      </c>
      <c r="AE7844" s="580">
        <f t="shared" si="647"/>
        <v>2.5</v>
      </c>
      <c r="AF7844" s="580">
        <f t="shared" si="648"/>
        <v>2.5</v>
      </c>
      <c r="AG7844" s="580">
        <f t="shared" si="649"/>
        <v>0</v>
      </c>
      <c r="AH7844" s="580">
        <f t="shared" si="650"/>
        <v>0</v>
      </c>
    </row>
    <row r="7845" spans="28:34">
      <c r="AB7845" s="580">
        <f>HLOOKUP("*"&amp;'Output annual'!$AC$2&amp;'Output annual'!$AD$2&amp;"*Zone People Number Of Occupants [](Hourly)",'Eplus results'!$1:$1048576,ROW(),FALSE)</f>
        <v>0</v>
      </c>
      <c r="AC7845" s="580">
        <f>HLOOKUP("*"&amp;'Output annual'!$AC$2&amp;'Output annual'!$AD$2&amp;"*FangerPMV(Hourly)",'Eplus results'!$1:$1048576,ROW(),FALSE)</f>
        <v>0</v>
      </c>
      <c r="AD7845" s="580">
        <f t="shared" si="646"/>
        <v>5</v>
      </c>
      <c r="AE7845" s="580">
        <f t="shared" si="647"/>
        <v>2.5</v>
      </c>
      <c r="AF7845" s="580">
        <f t="shared" si="648"/>
        <v>2.5</v>
      </c>
      <c r="AG7845" s="580">
        <f t="shared" si="649"/>
        <v>0</v>
      </c>
      <c r="AH7845" s="580">
        <f t="shared" si="650"/>
        <v>0</v>
      </c>
    </row>
    <row r="7846" spans="28:34">
      <c r="AB7846" s="580">
        <f>HLOOKUP("*"&amp;'Output annual'!$AC$2&amp;'Output annual'!$AD$2&amp;"*Zone People Number Of Occupants [](Hourly)",'Eplus results'!$1:$1048576,ROW(),FALSE)</f>
        <v>0</v>
      </c>
      <c r="AC7846" s="580">
        <f>HLOOKUP("*"&amp;'Output annual'!$AC$2&amp;'Output annual'!$AD$2&amp;"*FangerPMV(Hourly)",'Eplus results'!$1:$1048576,ROW(),FALSE)</f>
        <v>0</v>
      </c>
      <c r="AD7846" s="580">
        <f t="shared" si="646"/>
        <v>5</v>
      </c>
      <c r="AE7846" s="580">
        <f t="shared" si="647"/>
        <v>2.5</v>
      </c>
      <c r="AF7846" s="580">
        <f t="shared" si="648"/>
        <v>2.5</v>
      </c>
      <c r="AG7846" s="580">
        <f t="shared" si="649"/>
        <v>0</v>
      </c>
      <c r="AH7846" s="580">
        <f t="shared" si="650"/>
        <v>0</v>
      </c>
    </row>
    <row r="7847" spans="28:34">
      <c r="AB7847" s="580">
        <f>HLOOKUP("*"&amp;'Output annual'!$AC$2&amp;'Output annual'!$AD$2&amp;"*Zone People Number Of Occupants [](Hourly)",'Eplus results'!$1:$1048576,ROW(),FALSE)</f>
        <v>0</v>
      </c>
      <c r="AC7847" s="580">
        <f>HLOOKUP("*"&amp;'Output annual'!$AC$2&amp;'Output annual'!$AD$2&amp;"*FangerPMV(Hourly)",'Eplus results'!$1:$1048576,ROW(),FALSE)</f>
        <v>0</v>
      </c>
      <c r="AD7847" s="580">
        <f t="shared" si="646"/>
        <v>5</v>
      </c>
      <c r="AE7847" s="580">
        <f t="shared" si="647"/>
        <v>2.5</v>
      </c>
      <c r="AF7847" s="580">
        <f t="shared" si="648"/>
        <v>2.5</v>
      </c>
      <c r="AG7847" s="580">
        <f t="shared" si="649"/>
        <v>0</v>
      </c>
      <c r="AH7847" s="580">
        <f t="shared" si="650"/>
        <v>0</v>
      </c>
    </row>
    <row r="7848" spans="28:34">
      <c r="AB7848" s="580">
        <f>HLOOKUP("*"&amp;'Output annual'!$AC$2&amp;'Output annual'!$AD$2&amp;"*Zone People Number Of Occupants [](Hourly)",'Eplus results'!$1:$1048576,ROW(),FALSE)</f>
        <v>0</v>
      </c>
      <c r="AC7848" s="580">
        <f>HLOOKUP("*"&amp;'Output annual'!$AC$2&amp;'Output annual'!$AD$2&amp;"*FangerPMV(Hourly)",'Eplus results'!$1:$1048576,ROW(),FALSE)</f>
        <v>0</v>
      </c>
      <c r="AD7848" s="580">
        <f t="shared" si="646"/>
        <v>5</v>
      </c>
      <c r="AE7848" s="580">
        <f t="shared" si="647"/>
        <v>2.5</v>
      </c>
      <c r="AF7848" s="580">
        <f t="shared" si="648"/>
        <v>2.5</v>
      </c>
      <c r="AG7848" s="580">
        <f t="shared" si="649"/>
        <v>0</v>
      </c>
      <c r="AH7848" s="580">
        <f t="shared" si="650"/>
        <v>0</v>
      </c>
    </row>
    <row r="7849" spans="28:34">
      <c r="AB7849" s="580">
        <f>HLOOKUP("*"&amp;'Output annual'!$AC$2&amp;'Output annual'!$AD$2&amp;"*Zone People Number Of Occupants [](Hourly)",'Eplus results'!$1:$1048576,ROW(),FALSE)</f>
        <v>0</v>
      </c>
      <c r="AC7849" s="580">
        <f>HLOOKUP("*"&amp;'Output annual'!$AC$2&amp;'Output annual'!$AD$2&amp;"*FangerPMV(Hourly)",'Eplus results'!$1:$1048576,ROW(),FALSE)</f>
        <v>0</v>
      </c>
      <c r="AD7849" s="580">
        <f t="shared" si="646"/>
        <v>5</v>
      </c>
      <c r="AE7849" s="580">
        <f t="shared" si="647"/>
        <v>2.5</v>
      </c>
      <c r="AF7849" s="580">
        <f t="shared" si="648"/>
        <v>2.5</v>
      </c>
      <c r="AG7849" s="580">
        <f t="shared" si="649"/>
        <v>0</v>
      </c>
      <c r="AH7849" s="580">
        <f t="shared" si="650"/>
        <v>0</v>
      </c>
    </row>
    <row r="7850" spans="28:34">
      <c r="AB7850" s="580">
        <f>HLOOKUP("*"&amp;'Output annual'!$AC$2&amp;'Output annual'!$AD$2&amp;"*Zone People Number Of Occupants [](Hourly)",'Eplus results'!$1:$1048576,ROW(),FALSE)</f>
        <v>0</v>
      </c>
      <c r="AC7850" s="580">
        <f>HLOOKUP("*"&amp;'Output annual'!$AC$2&amp;'Output annual'!$AD$2&amp;"*FangerPMV(Hourly)",'Eplus results'!$1:$1048576,ROW(),FALSE)</f>
        <v>0</v>
      </c>
      <c r="AD7850" s="580">
        <f t="shared" si="646"/>
        <v>5</v>
      </c>
      <c r="AE7850" s="580">
        <f t="shared" si="647"/>
        <v>2.5</v>
      </c>
      <c r="AF7850" s="580">
        <f t="shared" si="648"/>
        <v>2.5</v>
      </c>
      <c r="AG7850" s="580">
        <f t="shared" si="649"/>
        <v>0</v>
      </c>
      <c r="AH7850" s="580">
        <f t="shared" si="650"/>
        <v>0</v>
      </c>
    </row>
    <row r="7851" spans="28:34">
      <c r="AB7851" s="580">
        <f>HLOOKUP("*"&amp;'Output annual'!$AC$2&amp;'Output annual'!$AD$2&amp;"*Zone People Number Of Occupants [](Hourly)",'Eplus results'!$1:$1048576,ROW(),FALSE)</f>
        <v>0</v>
      </c>
      <c r="AC7851" s="580">
        <f>HLOOKUP("*"&amp;'Output annual'!$AC$2&amp;'Output annual'!$AD$2&amp;"*FangerPMV(Hourly)",'Eplus results'!$1:$1048576,ROW(),FALSE)</f>
        <v>0</v>
      </c>
      <c r="AD7851" s="580">
        <f t="shared" si="646"/>
        <v>5</v>
      </c>
      <c r="AE7851" s="580">
        <f t="shared" si="647"/>
        <v>2.5</v>
      </c>
      <c r="AF7851" s="580">
        <f t="shared" si="648"/>
        <v>2.5</v>
      </c>
      <c r="AG7851" s="580">
        <f t="shared" si="649"/>
        <v>0</v>
      </c>
      <c r="AH7851" s="580">
        <f t="shared" si="650"/>
        <v>0</v>
      </c>
    </row>
    <row r="7852" spans="28:34">
      <c r="AB7852" s="580">
        <f>HLOOKUP("*"&amp;'Output annual'!$AC$2&amp;'Output annual'!$AD$2&amp;"*Zone People Number Of Occupants [](Hourly)",'Eplus results'!$1:$1048576,ROW(),FALSE)</f>
        <v>0</v>
      </c>
      <c r="AC7852" s="580">
        <f>HLOOKUP("*"&amp;'Output annual'!$AC$2&amp;'Output annual'!$AD$2&amp;"*FangerPMV(Hourly)",'Eplus results'!$1:$1048576,ROW(),FALSE)</f>
        <v>0</v>
      </c>
      <c r="AD7852" s="580">
        <f t="shared" si="646"/>
        <v>5</v>
      </c>
      <c r="AE7852" s="580">
        <f t="shared" si="647"/>
        <v>2.5</v>
      </c>
      <c r="AF7852" s="580">
        <f t="shared" si="648"/>
        <v>2.5</v>
      </c>
      <c r="AG7852" s="580">
        <f t="shared" si="649"/>
        <v>0</v>
      </c>
      <c r="AH7852" s="580">
        <f t="shared" si="650"/>
        <v>0</v>
      </c>
    </row>
    <row r="7853" spans="28:34">
      <c r="AB7853" s="580">
        <f>HLOOKUP("*"&amp;'Output annual'!$AC$2&amp;'Output annual'!$AD$2&amp;"*Zone People Number Of Occupants [](Hourly)",'Eplus results'!$1:$1048576,ROW(),FALSE)</f>
        <v>0</v>
      </c>
      <c r="AC7853" s="580">
        <f>HLOOKUP("*"&amp;'Output annual'!$AC$2&amp;'Output annual'!$AD$2&amp;"*FangerPMV(Hourly)",'Eplus results'!$1:$1048576,ROW(),FALSE)</f>
        <v>0</v>
      </c>
      <c r="AD7853" s="580">
        <f t="shared" si="646"/>
        <v>5</v>
      </c>
      <c r="AE7853" s="580">
        <f t="shared" si="647"/>
        <v>2.5</v>
      </c>
      <c r="AF7853" s="580">
        <f t="shared" si="648"/>
        <v>2.5</v>
      </c>
      <c r="AG7853" s="580">
        <f t="shared" si="649"/>
        <v>0</v>
      </c>
      <c r="AH7853" s="580">
        <f t="shared" si="650"/>
        <v>0</v>
      </c>
    </row>
    <row r="7854" spans="28:34">
      <c r="AB7854" s="580">
        <f>HLOOKUP("*"&amp;'Output annual'!$AC$2&amp;'Output annual'!$AD$2&amp;"*Zone People Number Of Occupants [](Hourly)",'Eplus results'!$1:$1048576,ROW(),FALSE)</f>
        <v>0</v>
      </c>
      <c r="AC7854" s="580">
        <f>HLOOKUP("*"&amp;'Output annual'!$AC$2&amp;'Output annual'!$AD$2&amp;"*FangerPMV(Hourly)",'Eplus results'!$1:$1048576,ROW(),FALSE)</f>
        <v>0</v>
      </c>
      <c r="AD7854" s="580">
        <f t="shared" si="646"/>
        <v>5</v>
      </c>
      <c r="AE7854" s="580">
        <f t="shared" si="647"/>
        <v>2.5</v>
      </c>
      <c r="AF7854" s="580">
        <f t="shared" si="648"/>
        <v>2.5</v>
      </c>
      <c r="AG7854" s="580">
        <f t="shared" si="649"/>
        <v>0</v>
      </c>
      <c r="AH7854" s="580">
        <f t="shared" si="650"/>
        <v>0</v>
      </c>
    </row>
    <row r="7855" spans="28:34">
      <c r="AB7855" s="580">
        <f>HLOOKUP("*"&amp;'Output annual'!$AC$2&amp;'Output annual'!$AD$2&amp;"*Zone People Number Of Occupants [](Hourly)",'Eplus results'!$1:$1048576,ROW(),FALSE)</f>
        <v>0</v>
      </c>
      <c r="AC7855" s="580">
        <f>HLOOKUP("*"&amp;'Output annual'!$AC$2&amp;'Output annual'!$AD$2&amp;"*FangerPMV(Hourly)",'Eplus results'!$1:$1048576,ROW(),FALSE)</f>
        <v>0</v>
      </c>
      <c r="AD7855" s="580">
        <f t="shared" si="646"/>
        <v>5</v>
      </c>
      <c r="AE7855" s="580">
        <f t="shared" si="647"/>
        <v>2.5</v>
      </c>
      <c r="AF7855" s="580">
        <f t="shared" si="648"/>
        <v>2.5</v>
      </c>
      <c r="AG7855" s="580">
        <f t="shared" si="649"/>
        <v>0</v>
      </c>
      <c r="AH7855" s="580">
        <f t="shared" si="650"/>
        <v>0</v>
      </c>
    </row>
    <row r="7856" spans="28:34">
      <c r="AB7856" s="580">
        <f>HLOOKUP("*"&amp;'Output annual'!$AC$2&amp;'Output annual'!$AD$2&amp;"*Zone People Number Of Occupants [](Hourly)",'Eplus results'!$1:$1048576,ROW(),FALSE)</f>
        <v>0</v>
      </c>
      <c r="AC7856" s="580">
        <f>HLOOKUP("*"&amp;'Output annual'!$AC$2&amp;'Output annual'!$AD$2&amp;"*FangerPMV(Hourly)",'Eplus results'!$1:$1048576,ROW(),FALSE)</f>
        <v>0</v>
      </c>
      <c r="AD7856" s="580">
        <f t="shared" si="646"/>
        <v>5</v>
      </c>
      <c r="AE7856" s="580">
        <f t="shared" si="647"/>
        <v>2.5</v>
      </c>
      <c r="AF7856" s="580">
        <f t="shared" si="648"/>
        <v>2.5</v>
      </c>
      <c r="AG7856" s="580">
        <f t="shared" si="649"/>
        <v>0</v>
      </c>
      <c r="AH7856" s="580">
        <f t="shared" si="650"/>
        <v>0</v>
      </c>
    </row>
    <row r="7857" spans="28:34">
      <c r="AB7857" s="580">
        <f>HLOOKUP("*"&amp;'Output annual'!$AC$2&amp;'Output annual'!$AD$2&amp;"*Zone People Number Of Occupants [](Hourly)",'Eplus results'!$1:$1048576,ROW(),FALSE)</f>
        <v>0</v>
      </c>
      <c r="AC7857" s="580">
        <f>HLOOKUP("*"&amp;'Output annual'!$AC$2&amp;'Output annual'!$AD$2&amp;"*FangerPMV(Hourly)",'Eplus results'!$1:$1048576,ROW(),FALSE)</f>
        <v>0</v>
      </c>
      <c r="AD7857" s="580">
        <f t="shared" si="646"/>
        <v>5</v>
      </c>
      <c r="AE7857" s="580">
        <f t="shared" si="647"/>
        <v>2.5</v>
      </c>
      <c r="AF7857" s="580">
        <f t="shared" si="648"/>
        <v>2.5</v>
      </c>
      <c r="AG7857" s="580">
        <f t="shared" si="649"/>
        <v>0</v>
      </c>
      <c r="AH7857" s="580">
        <f t="shared" si="650"/>
        <v>0</v>
      </c>
    </row>
    <row r="7858" spans="28:34">
      <c r="AB7858" s="580">
        <f>HLOOKUP("*"&amp;'Output annual'!$AC$2&amp;'Output annual'!$AD$2&amp;"*Zone People Number Of Occupants [](Hourly)",'Eplus results'!$1:$1048576,ROW(),FALSE)</f>
        <v>0</v>
      </c>
      <c r="AC7858" s="580">
        <f>HLOOKUP("*"&amp;'Output annual'!$AC$2&amp;'Output annual'!$AD$2&amp;"*FangerPMV(Hourly)",'Eplus results'!$1:$1048576,ROW(),FALSE)</f>
        <v>0</v>
      </c>
      <c r="AD7858" s="580">
        <f t="shared" si="646"/>
        <v>5</v>
      </c>
      <c r="AE7858" s="580">
        <f t="shared" si="647"/>
        <v>2.5</v>
      </c>
      <c r="AF7858" s="580">
        <f t="shared" si="648"/>
        <v>2.5</v>
      </c>
      <c r="AG7858" s="580">
        <f t="shared" si="649"/>
        <v>0</v>
      </c>
      <c r="AH7858" s="580">
        <f t="shared" si="650"/>
        <v>0</v>
      </c>
    </row>
    <row r="7859" spans="28:34">
      <c r="AB7859" s="580">
        <f>HLOOKUP("*"&amp;'Output annual'!$AC$2&amp;'Output annual'!$AD$2&amp;"*Zone People Number Of Occupants [](Hourly)",'Eplus results'!$1:$1048576,ROW(),FALSE)</f>
        <v>0</v>
      </c>
      <c r="AC7859" s="580">
        <f>HLOOKUP("*"&amp;'Output annual'!$AC$2&amp;'Output annual'!$AD$2&amp;"*FangerPMV(Hourly)",'Eplus results'!$1:$1048576,ROW(),FALSE)</f>
        <v>0</v>
      </c>
      <c r="AD7859" s="580">
        <f t="shared" si="646"/>
        <v>5</v>
      </c>
      <c r="AE7859" s="580">
        <f t="shared" si="647"/>
        <v>2.5</v>
      </c>
      <c r="AF7859" s="580">
        <f t="shared" si="648"/>
        <v>2.5</v>
      </c>
      <c r="AG7859" s="580">
        <f t="shared" si="649"/>
        <v>0</v>
      </c>
      <c r="AH7859" s="580">
        <f t="shared" si="650"/>
        <v>0</v>
      </c>
    </row>
    <row r="7860" spans="28:34">
      <c r="AB7860" s="580">
        <f>HLOOKUP("*"&amp;'Output annual'!$AC$2&amp;'Output annual'!$AD$2&amp;"*Zone People Number Of Occupants [](Hourly)",'Eplus results'!$1:$1048576,ROW(),FALSE)</f>
        <v>0</v>
      </c>
      <c r="AC7860" s="580">
        <f>HLOOKUP("*"&amp;'Output annual'!$AC$2&amp;'Output annual'!$AD$2&amp;"*FangerPMV(Hourly)",'Eplus results'!$1:$1048576,ROW(),FALSE)</f>
        <v>0</v>
      </c>
      <c r="AD7860" s="580">
        <f t="shared" si="646"/>
        <v>5</v>
      </c>
      <c r="AE7860" s="580">
        <f t="shared" si="647"/>
        <v>2.5</v>
      </c>
      <c r="AF7860" s="580">
        <f t="shared" si="648"/>
        <v>2.5</v>
      </c>
      <c r="AG7860" s="580">
        <f t="shared" si="649"/>
        <v>0</v>
      </c>
      <c r="AH7860" s="580">
        <f t="shared" si="650"/>
        <v>0</v>
      </c>
    </row>
    <row r="7861" spans="28:34">
      <c r="AB7861" s="580">
        <f>HLOOKUP("*"&amp;'Output annual'!$AC$2&amp;'Output annual'!$AD$2&amp;"*Zone People Number Of Occupants [](Hourly)",'Eplus results'!$1:$1048576,ROW(),FALSE)</f>
        <v>0</v>
      </c>
      <c r="AC7861" s="580">
        <f>HLOOKUP("*"&amp;'Output annual'!$AC$2&amp;'Output annual'!$AD$2&amp;"*FangerPMV(Hourly)",'Eplus results'!$1:$1048576,ROW(),FALSE)</f>
        <v>0</v>
      </c>
      <c r="AD7861" s="580">
        <f t="shared" si="646"/>
        <v>5</v>
      </c>
      <c r="AE7861" s="580">
        <f t="shared" si="647"/>
        <v>2.5</v>
      </c>
      <c r="AF7861" s="580">
        <f t="shared" si="648"/>
        <v>2.5</v>
      </c>
      <c r="AG7861" s="580">
        <f t="shared" si="649"/>
        <v>0</v>
      </c>
      <c r="AH7861" s="580">
        <f t="shared" si="650"/>
        <v>0</v>
      </c>
    </row>
    <row r="7862" spans="28:34">
      <c r="AB7862" s="580">
        <f>HLOOKUP("*"&amp;'Output annual'!$AC$2&amp;'Output annual'!$AD$2&amp;"*Zone People Number Of Occupants [](Hourly)",'Eplus results'!$1:$1048576,ROW(),FALSE)</f>
        <v>0</v>
      </c>
      <c r="AC7862" s="580">
        <f>HLOOKUP("*"&amp;'Output annual'!$AC$2&amp;'Output annual'!$AD$2&amp;"*FangerPMV(Hourly)",'Eplus results'!$1:$1048576,ROW(),FALSE)</f>
        <v>0</v>
      </c>
      <c r="AD7862" s="580">
        <f t="shared" si="646"/>
        <v>5</v>
      </c>
      <c r="AE7862" s="580">
        <f t="shared" si="647"/>
        <v>2.5</v>
      </c>
      <c r="AF7862" s="580">
        <f t="shared" si="648"/>
        <v>2.5</v>
      </c>
      <c r="AG7862" s="580">
        <f t="shared" si="649"/>
        <v>0</v>
      </c>
      <c r="AH7862" s="580">
        <f t="shared" si="650"/>
        <v>0</v>
      </c>
    </row>
    <row r="7863" spans="28:34">
      <c r="AB7863" s="580">
        <f>HLOOKUP("*"&amp;'Output annual'!$AC$2&amp;'Output annual'!$AD$2&amp;"*Zone People Number Of Occupants [](Hourly)",'Eplus results'!$1:$1048576,ROW(),FALSE)</f>
        <v>0</v>
      </c>
      <c r="AC7863" s="580">
        <f>HLOOKUP("*"&amp;'Output annual'!$AC$2&amp;'Output annual'!$AD$2&amp;"*FangerPMV(Hourly)",'Eplus results'!$1:$1048576,ROW(),FALSE)</f>
        <v>0</v>
      </c>
      <c r="AD7863" s="580">
        <f t="shared" si="646"/>
        <v>5</v>
      </c>
      <c r="AE7863" s="580">
        <f t="shared" si="647"/>
        <v>2.5</v>
      </c>
      <c r="AF7863" s="580">
        <f t="shared" si="648"/>
        <v>2.5</v>
      </c>
      <c r="AG7863" s="580">
        <f t="shared" si="649"/>
        <v>0</v>
      </c>
      <c r="AH7863" s="580">
        <f t="shared" si="650"/>
        <v>0</v>
      </c>
    </row>
    <row r="7864" spans="28:34">
      <c r="AB7864" s="580">
        <f>HLOOKUP("*"&amp;'Output annual'!$AC$2&amp;'Output annual'!$AD$2&amp;"*Zone People Number Of Occupants [](Hourly)",'Eplus results'!$1:$1048576,ROW(),FALSE)</f>
        <v>0</v>
      </c>
      <c r="AC7864" s="580">
        <f>HLOOKUP("*"&amp;'Output annual'!$AC$2&amp;'Output annual'!$AD$2&amp;"*FangerPMV(Hourly)",'Eplus results'!$1:$1048576,ROW(),FALSE)</f>
        <v>0</v>
      </c>
      <c r="AD7864" s="580">
        <f t="shared" si="646"/>
        <v>5</v>
      </c>
      <c r="AE7864" s="580">
        <f t="shared" si="647"/>
        <v>2.5</v>
      </c>
      <c r="AF7864" s="580">
        <f t="shared" si="648"/>
        <v>2.5</v>
      </c>
      <c r="AG7864" s="580">
        <f t="shared" si="649"/>
        <v>0</v>
      </c>
      <c r="AH7864" s="580">
        <f t="shared" si="650"/>
        <v>0</v>
      </c>
    </row>
    <row r="7865" spans="28:34">
      <c r="AB7865" s="580">
        <f>HLOOKUP("*"&amp;'Output annual'!$AC$2&amp;'Output annual'!$AD$2&amp;"*Zone People Number Of Occupants [](Hourly)",'Eplus results'!$1:$1048576,ROW(),FALSE)</f>
        <v>0</v>
      </c>
      <c r="AC7865" s="580">
        <f>HLOOKUP("*"&amp;'Output annual'!$AC$2&amp;'Output annual'!$AD$2&amp;"*FangerPMV(Hourly)",'Eplus results'!$1:$1048576,ROW(),FALSE)</f>
        <v>0</v>
      </c>
      <c r="AD7865" s="580">
        <f t="shared" si="646"/>
        <v>5</v>
      </c>
      <c r="AE7865" s="580">
        <f t="shared" si="647"/>
        <v>2.5</v>
      </c>
      <c r="AF7865" s="580">
        <f t="shared" si="648"/>
        <v>2.5</v>
      </c>
      <c r="AG7865" s="580">
        <f t="shared" si="649"/>
        <v>0</v>
      </c>
      <c r="AH7865" s="580">
        <f t="shared" si="650"/>
        <v>0</v>
      </c>
    </row>
    <row r="7866" spans="28:34">
      <c r="AB7866" s="580">
        <f>HLOOKUP("*"&amp;'Output annual'!$AC$2&amp;'Output annual'!$AD$2&amp;"*Zone People Number Of Occupants [](Hourly)",'Eplus results'!$1:$1048576,ROW(),FALSE)</f>
        <v>0</v>
      </c>
      <c r="AC7866" s="580">
        <f>HLOOKUP("*"&amp;'Output annual'!$AC$2&amp;'Output annual'!$AD$2&amp;"*FangerPMV(Hourly)",'Eplus results'!$1:$1048576,ROW(),FALSE)</f>
        <v>0</v>
      </c>
      <c r="AD7866" s="580">
        <f t="shared" si="646"/>
        <v>5</v>
      </c>
      <c r="AE7866" s="580">
        <f t="shared" si="647"/>
        <v>2.5</v>
      </c>
      <c r="AF7866" s="580">
        <f t="shared" si="648"/>
        <v>2.5</v>
      </c>
      <c r="AG7866" s="580">
        <f t="shared" si="649"/>
        <v>0</v>
      </c>
      <c r="AH7866" s="580">
        <f t="shared" si="650"/>
        <v>0</v>
      </c>
    </row>
    <row r="7867" spans="28:34">
      <c r="AB7867" s="580">
        <f>HLOOKUP("*"&amp;'Output annual'!$AC$2&amp;'Output annual'!$AD$2&amp;"*Zone People Number Of Occupants [](Hourly)",'Eplus results'!$1:$1048576,ROW(),FALSE)</f>
        <v>0</v>
      </c>
      <c r="AC7867" s="580">
        <f>HLOOKUP("*"&amp;'Output annual'!$AC$2&amp;'Output annual'!$AD$2&amp;"*FangerPMV(Hourly)",'Eplus results'!$1:$1048576,ROW(),FALSE)</f>
        <v>0</v>
      </c>
      <c r="AD7867" s="580">
        <f t="shared" si="646"/>
        <v>5</v>
      </c>
      <c r="AE7867" s="580">
        <f t="shared" si="647"/>
        <v>2.5</v>
      </c>
      <c r="AF7867" s="580">
        <f t="shared" si="648"/>
        <v>2.5</v>
      </c>
      <c r="AG7867" s="580">
        <f t="shared" si="649"/>
        <v>0</v>
      </c>
      <c r="AH7867" s="580">
        <f t="shared" si="650"/>
        <v>0</v>
      </c>
    </row>
    <row r="7868" spans="28:34">
      <c r="AB7868" s="580">
        <f>HLOOKUP("*"&amp;'Output annual'!$AC$2&amp;'Output annual'!$AD$2&amp;"*Zone People Number Of Occupants [](Hourly)",'Eplus results'!$1:$1048576,ROW(),FALSE)</f>
        <v>0</v>
      </c>
      <c r="AC7868" s="580">
        <f>HLOOKUP("*"&amp;'Output annual'!$AC$2&amp;'Output annual'!$AD$2&amp;"*FangerPMV(Hourly)",'Eplus results'!$1:$1048576,ROW(),FALSE)</f>
        <v>0</v>
      </c>
      <c r="AD7868" s="580">
        <f t="shared" si="646"/>
        <v>5</v>
      </c>
      <c r="AE7868" s="580">
        <f t="shared" si="647"/>
        <v>2.5</v>
      </c>
      <c r="AF7868" s="580">
        <f t="shared" si="648"/>
        <v>2.5</v>
      </c>
      <c r="AG7868" s="580">
        <f t="shared" si="649"/>
        <v>0</v>
      </c>
      <c r="AH7868" s="580">
        <f t="shared" si="650"/>
        <v>0</v>
      </c>
    </row>
    <row r="7869" spans="28:34">
      <c r="AB7869" s="580">
        <f>HLOOKUP("*"&amp;'Output annual'!$AC$2&amp;'Output annual'!$AD$2&amp;"*Zone People Number Of Occupants [](Hourly)",'Eplus results'!$1:$1048576,ROW(),FALSE)</f>
        <v>0</v>
      </c>
      <c r="AC7869" s="580">
        <f>HLOOKUP("*"&amp;'Output annual'!$AC$2&amp;'Output annual'!$AD$2&amp;"*FangerPMV(Hourly)",'Eplus results'!$1:$1048576,ROW(),FALSE)</f>
        <v>0</v>
      </c>
      <c r="AD7869" s="580">
        <f t="shared" si="646"/>
        <v>5</v>
      </c>
      <c r="AE7869" s="580">
        <f t="shared" si="647"/>
        <v>2.5</v>
      </c>
      <c r="AF7869" s="580">
        <f t="shared" si="648"/>
        <v>2.5</v>
      </c>
      <c r="AG7869" s="580">
        <f t="shared" si="649"/>
        <v>0</v>
      </c>
      <c r="AH7869" s="580">
        <f t="shared" si="650"/>
        <v>0</v>
      </c>
    </row>
    <row r="7870" spans="28:34">
      <c r="AB7870" s="580">
        <f>HLOOKUP("*"&amp;'Output annual'!$AC$2&amp;'Output annual'!$AD$2&amp;"*Zone People Number Of Occupants [](Hourly)",'Eplus results'!$1:$1048576,ROW(),FALSE)</f>
        <v>0</v>
      </c>
      <c r="AC7870" s="580">
        <f>HLOOKUP("*"&amp;'Output annual'!$AC$2&amp;'Output annual'!$AD$2&amp;"*FangerPMV(Hourly)",'Eplus results'!$1:$1048576,ROW(),FALSE)</f>
        <v>0</v>
      </c>
      <c r="AD7870" s="580">
        <f t="shared" si="646"/>
        <v>5</v>
      </c>
      <c r="AE7870" s="580">
        <f t="shared" si="647"/>
        <v>2.5</v>
      </c>
      <c r="AF7870" s="580">
        <f t="shared" si="648"/>
        <v>2.5</v>
      </c>
      <c r="AG7870" s="580">
        <f t="shared" si="649"/>
        <v>0</v>
      </c>
      <c r="AH7870" s="580">
        <f t="shared" si="650"/>
        <v>0</v>
      </c>
    </row>
    <row r="7871" spans="28:34">
      <c r="AB7871" s="580">
        <f>HLOOKUP("*"&amp;'Output annual'!$AC$2&amp;'Output annual'!$AD$2&amp;"*Zone People Number Of Occupants [](Hourly)",'Eplus results'!$1:$1048576,ROW(),FALSE)</f>
        <v>0</v>
      </c>
      <c r="AC7871" s="580">
        <f>HLOOKUP("*"&amp;'Output annual'!$AC$2&amp;'Output annual'!$AD$2&amp;"*FangerPMV(Hourly)",'Eplus results'!$1:$1048576,ROW(),FALSE)</f>
        <v>0</v>
      </c>
      <c r="AD7871" s="580">
        <f t="shared" si="646"/>
        <v>5</v>
      </c>
      <c r="AE7871" s="580">
        <f t="shared" si="647"/>
        <v>2.5</v>
      </c>
      <c r="AF7871" s="580">
        <f t="shared" si="648"/>
        <v>2.5</v>
      </c>
      <c r="AG7871" s="580">
        <f t="shared" si="649"/>
        <v>0</v>
      </c>
      <c r="AH7871" s="580">
        <f t="shared" si="650"/>
        <v>0</v>
      </c>
    </row>
    <row r="7872" spans="28:34">
      <c r="AB7872" s="580">
        <f>HLOOKUP("*"&amp;'Output annual'!$AC$2&amp;'Output annual'!$AD$2&amp;"*Zone People Number Of Occupants [](Hourly)",'Eplus results'!$1:$1048576,ROW(),FALSE)</f>
        <v>0</v>
      </c>
      <c r="AC7872" s="580">
        <f>HLOOKUP("*"&amp;'Output annual'!$AC$2&amp;'Output annual'!$AD$2&amp;"*FangerPMV(Hourly)",'Eplus results'!$1:$1048576,ROW(),FALSE)</f>
        <v>0</v>
      </c>
      <c r="AD7872" s="580">
        <f t="shared" si="646"/>
        <v>5</v>
      </c>
      <c r="AE7872" s="580">
        <f t="shared" si="647"/>
        <v>2.5</v>
      </c>
      <c r="AF7872" s="580">
        <f t="shared" si="648"/>
        <v>2.5</v>
      </c>
      <c r="AG7872" s="580">
        <f t="shared" si="649"/>
        <v>0</v>
      </c>
      <c r="AH7872" s="580">
        <f t="shared" si="650"/>
        <v>0</v>
      </c>
    </row>
    <row r="7873" spans="28:34">
      <c r="AB7873" s="580">
        <f>HLOOKUP("*"&amp;'Output annual'!$AC$2&amp;'Output annual'!$AD$2&amp;"*Zone People Number Of Occupants [](Hourly)",'Eplus results'!$1:$1048576,ROW(),FALSE)</f>
        <v>0</v>
      </c>
      <c r="AC7873" s="580">
        <f>HLOOKUP("*"&amp;'Output annual'!$AC$2&amp;'Output annual'!$AD$2&amp;"*FangerPMV(Hourly)",'Eplus results'!$1:$1048576,ROW(),FALSE)</f>
        <v>0</v>
      </c>
      <c r="AD7873" s="580">
        <f t="shared" si="646"/>
        <v>5</v>
      </c>
      <c r="AE7873" s="580">
        <f t="shared" si="647"/>
        <v>2.5</v>
      </c>
      <c r="AF7873" s="580">
        <f t="shared" si="648"/>
        <v>2.5</v>
      </c>
      <c r="AG7873" s="580">
        <f t="shared" si="649"/>
        <v>0</v>
      </c>
      <c r="AH7873" s="580">
        <f t="shared" si="650"/>
        <v>0</v>
      </c>
    </row>
    <row r="7874" spans="28:34">
      <c r="AB7874" s="580">
        <f>HLOOKUP("*"&amp;'Output annual'!$AC$2&amp;'Output annual'!$AD$2&amp;"*Zone People Number Of Occupants [](Hourly)",'Eplus results'!$1:$1048576,ROW(),FALSE)</f>
        <v>0</v>
      </c>
      <c r="AC7874" s="580">
        <f>HLOOKUP("*"&amp;'Output annual'!$AC$2&amp;'Output annual'!$AD$2&amp;"*FangerPMV(Hourly)",'Eplus results'!$1:$1048576,ROW(),FALSE)</f>
        <v>0</v>
      </c>
      <c r="AD7874" s="580">
        <f t="shared" si="646"/>
        <v>5</v>
      </c>
      <c r="AE7874" s="580">
        <f t="shared" si="647"/>
        <v>2.5</v>
      </c>
      <c r="AF7874" s="580">
        <f t="shared" si="648"/>
        <v>2.5</v>
      </c>
      <c r="AG7874" s="580">
        <f t="shared" si="649"/>
        <v>0</v>
      </c>
      <c r="AH7874" s="580">
        <f t="shared" si="650"/>
        <v>0</v>
      </c>
    </row>
    <row r="7875" spans="28:34">
      <c r="AB7875" s="580">
        <f>HLOOKUP("*"&amp;'Output annual'!$AC$2&amp;'Output annual'!$AD$2&amp;"*Zone People Number Of Occupants [](Hourly)",'Eplus results'!$1:$1048576,ROW(),FALSE)</f>
        <v>0</v>
      </c>
      <c r="AC7875" s="580">
        <f>HLOOKUP("*"&amp;'Output annual'!$AC$2&amp;'Output annual'!$AD$2&amp;"*FangerPMV(Hourly)",'Eplus results'!$1:$1048576,ROW(),FALSE)</f>
        <v>0</v>
      </c>
      <c r="AD7875" s="580">
        <f t="shared" ref="AD7875:AD7938" si="651">100-95*EXP(-0.03353*AC7875^4-0.2179*AC7875^2)</f>
        <v>5</v>
      </c>
      <c r="AE7875" s="580">
        <f t="shared" ref="AE7875:AE7938" si="652">AD7875*(1/(1+EXP(-6.3*$AC7875)))</f>
        <v>2.5</v>
      </c>
      <c r="AF7875" s="580">
        <f t="shared" ref="AF7875:AF7938" si="653">(AD7875-AE7875)</f>
        <v>2.5</v>
      </c>
      <c r="AG7875" s="580">
        <f t="shared" ref="AG7875:AG7938" si="654">AE7875*AB7875</f>
        <v>0</v>
      </c>
      <c r="AH7875" s="580">
        <f t="shared" ref="AH7875:AH7938" si="655">AF7875*AB7875</f>
        <v>0</v>
      </c>
    </row>
    <row r="7876" spans="28:34">
      <c r="AB7876" s="580">
        <f>HLOOKUP("*"&amp;'Output annual'!$AC$2&amp;'Output annual'!$AD$2&amp;"*Zone People Number Of Occupants [](Hourly)",'Eplus results'!$1:$1048576,ROW(),FALSE)</f>
        <v>0</v>
      </c>
      <c r="AC7876" s="580">
        <f>HLOOKUP("*"&amp;'Output annual'!$AC$2&amp;'Output annual'!$AD$2&amp;"*FangerPMV(Hourly)",'Eplus results'!$1:$1048576,ROW(),FALSE)</f>
        <v>0</v>
      </c>
      <c r="AD7876" s="580">
        <f t="shared" si="651"/>
        <v>5</v>
      </c>
      <c r="AE7876" s="580">
        <f t="shared" si="652"/>
        <v>2.5</v>
      </c>
      <c r="AF7876" s="580">
        <f t="shared" si="653"/>
        <v>2.5</v>
      </c>
      <c r="AG7876" s="580">
        <f t="shared" si="654"/>
        <v>0</v>
      </c>
      <c r="AH7876" s="580">
        <f t="shared" si="655"/>
        <v>0</v>
      </c>
    </row>
    <row r="7877" spans="28:34">
      <c r="AB7877" s="580">
        <f>HLOOKUP("*"&amp;'Output annual'!$AC$2&amp;'Output annual'!$AD$2&amp;"*Zone People Number Of Occupants [](Hourly)",'Eplus results'!$1:$1048576,ROW(),FALSE)</f>
        <v>0</v>
      </c>
      <c r="AC7877" s="580">
        <f>HLOOKUP("*"&amp;'Output annual'!$AC$2&amp;'Output annual'!$AD$2&amp;"*FangerPMV(Hourly)",'Eplus results'!$1:$1048576,ROW(),FALSE)</f>
        <v>0</v>
      </c>
      <c r="AD7877" s="580">
        <f t="shared" si="651"/>
        <v>5</v>
      </c>
      <c r="AE7877" s="580">
        <f t="shared" si="652"/>
        <v>2.5</v>
      </c>
      <c r="AF7877" s="580">
        <f t="shared" si="653"/>
        <v>2.5</v>
      </c>
      <c r="AG7877" s="580">
        <f t="shared" si="654"/>
        <v>0</v>
      </c>
      <c r="AH7877" s="580">
        <f t="shared" si="655"/>
        <v>0</v>
      </c>
    </row>
    <row r="7878" spans="28:34">
      <c r="AB7878" s="580">
        <f>HLOOKUP("*"&amp;'Output annual'!$AC$2&amp;'Output annual'!$AD$2&amp;"*Zone People Number Of Occupants [](Hourly)",'Eplus results'!$1:$1048576,ROW(),FALSE)</f>
        <v>0</v>
      </c>
      <c r="AC7878" s="580">
        <f>HLOOKUP("*"&amp;'Output annual'!$AC$2&amp;'Output annual'!$AD$2&amp;"*FangerPMV(Hourly)",'Eplus results'!$1:$1048576,ROW(),FALSE)</f>
        <v>0</v>
      </c>
      <c r="AD7878" s="580">
        <f t="shared" si="651"/>
        <v>5</v>
      </c>
      <c r="AE7878" s="580">
        <f t="shared" si="652"/>
        <v>2.5</v>
      </c>
      <c r="AF7878" s="580">
        <f t="shared" si="653"/>
        <v>2.5</v>
      </c>
      <c r="AG7878" s="580">
        <f t="shared" si="654"/>
        <v>0</v>
      </c>
      <c r="AH7878" s="580">
        <f t="shared" si="655"/>
        <v>0</v>
      </c>
    </row>
    <row r="7879" spans="28:34">
      <c r="AB7879" s="580">
        <f>HLOOKUP("*"&amp;'Output annual'!$AC$2&amp;'Output annual'!$AD$2&amp;"*Zone People Number Of Occupants [](Hourly)",'Eplus results'!$1:$1048576,ROW(),FALSE)</f>
        <v>0</v>
      </c>
      <c r="AC7879" s="580">
        <f>HLOOKUP("*"&amp;'Output annual'!$AC$2&amp;'Output annual'!$AD$2&amp;"*FangerPMV(Hourly)",'Eplus results'!$1:$1048576,ROW(),FALSE)</f>
        <v>0</v>
      </c>
      <c r="AD7879" s="580">
        <f t="shared" si="651"/>
        <v>5</v>
      </c>
      <c r="AE7879" s="580">
        <f t="shared" si="652"/>
        <v>2.5</v>
      </c>
      <c r="AF7879" s="580">
        <f t="shared" si="653"/>
        <v>2.5</v>
      </c>
      <c r="AG7879" s="580">
        <f t="shared" si="654"/>
        <v>0</v>
      </c>
      <c r="AH7879" s="580">
        <f t="shared" si="655"/>
        <v>0</v>
      </c>
    </row>
    <row r="7880" spans="28:34">
      <c r="AB7880" s="580">
        <f>HLOOKUP("*"&amp;'Output annual'!$AC$2&amp;'Output annual'!$AD$2&amp;"*Zone People Number Of Occupants [](Hourly)",'Eplus results'!$1:$1048576,ROW(),FALSE)</f>
        <v>0</v>
      </c>
      <c r="AC7880" s="580">
        <f>HLOOKUP("*"&amp;'Output annual'!$AC$2&amp;'Output annual'!$AD$2&amp;"*FangerPMV(Hourly)",'Eplus results'!$1:$1048576,ROW(),FALSE)</f>
        <v>0</v>
      </c>
      <c r="AD7880" s="580">
        <f t="shared" si="651"/>
        <v>5</v>
      </c>
      <c r="AE7880" s="580">
        <f t="shared" si="652"/>
        <v>2.5</v>
      </c>
      <c r="AF7880" s="580">
        <f t="shared" si="653"/>
        <v>2.5</v>
      </c>
      <c r="AG7880" s="580">
        <f t="shared" si="654"/>
        <v>0</v>
      </c>
      <c r="AH7880" s="580">
        <f t="shared" si="655"/>
        <v>0</v>
      </c>
    </row>
    <row r="7881" spans="28:34">
      <c r="AB7881" s="580">
        <f>HLOOKUP("*"&amp;'Output annual'!$AC$2&amp;'Output annual'!$AD$2&amp;"*Zone People Number Of Occupants [](Hourly)",'Eplus results'!$1:$1048576,ROW(),FALSE)</f>
        <v>0</v>
      </c>
      <c r="AC7881" s="580">
        <f>HLOOKUP("*"&amp;'Output annual'!$AC$2&amp;'Output annual'!$AD$2&amp;"*FangerPMV(Hourly)",'Eplus results'!$1:$1048576,ROW(),FALSE)</f>
        <v>0</v>
      </c>
      <c r="AD7881" s="580">
        <f t="shared" si="651"/>
        <v>5</v>
      </c>
      <c r="AE7881" s="580">
        <f t="shared" si="652"/>
        <v>2.5</v>
      </c>
      <c r="AF7881" s="580">
        <f t="shared" si="653"/>
        <v>2.5</v>
      </c>
      <c r="AG7881" s="580">
        <f t="shared" si="654"/>
        <v>0</v>
      </c>
      <c r="AH7881" s="580">
        <f t="shared" si="655"/>
        <v>0</v>
      </c>
    </row>
    <row r="7882" spans="28:34">
      <c r="AB7882" s="580">
        <f>HLOOKUP("*"&amp;'Output annual'!$AC$2&amp;'Output annual'!$AD$2&amp;"*Zone People Number Of Occupants [](Hourly)",'Eplus results'!$1:$1048576,ROW(),FALSE)</f>
        <v>0</v>
      </c>
      <c r="AC7882" s="580">
        <f>HLOOKUP("*"&amp;'Output annual'!$AC$2&amp;'Output annual'!$AD$2&amp;"*FangerPMV(Hourly)",'Eplus results'!$1:$1048576,ROW(),FALSE)</f>
        <v>0</v>
      </c>
      <c r="AD7882" s="580">
        <f t="shared" si="651"/>
        <v>5</v>
      </c>
      <c r="AE7882" s="580">
        <f t="shared" si="652"/>
        <v>2.5</v>
      </c>
      <c r="AF7882" s="580">
        <f t="shared" si="653"/>
        <v>2.5</v>
      </c>
      <c r="AG7882" s="580">
        <f t="shared" si="654"/>
        <v>0</v>
      </c>
      <c r="AH7882" s="580">
        <f t="shared" si="655"/>
        <v>0</v>
      </c>
    </row>
    <row r="7883" spans="28:34">
      <c r="AB7883" s="580">
        <f>HLOOKUP("*"&amp;'Output annual'!$AC$2&amp;'Output annual'!$AD$2&amp;"*Zone People Number Of Occupants [](Hourly)",'Eplus results'!$1:$1048576,ROW(),FALSE)</f>
        <v>0</v>
      </c>
      <c r="AC7883" s="580">
        <f>HLOOKUP("*"&amp;'Output annual'!$AC$2&amp;'Output annual'!$AD$2&amp;"*FangerPMV(Hourly)",'Eplus results'!$1:$1048576,ROW(),FALSE)</f>
        <v>0</v>
      </c>
      <c r="AD7883" s="580">
        <f t="shared" si="651"/>
        <v>5</v>
      </c>
      <c r="AE7883" s="580">
        <f t="shared" si="652"/>
        <v>2.5</v>
      </c>
      <c r="AF7883" s="580">
        <f t="shared" si="653"/>
        <v>2.5</v>
      </c>
      <c r="AG7883" s="580">
        <f t="shared" si="654"/>
        <v>0</v>
      </c>
      <c r="AH7883" s="580">
        <f t="shared" si="655"/>
        <v>0</v>
      </c>
    </row>
    <row r="7884" spans="28:34">
      <c r="AB7884" s="580">
        <f>HLOOKUP("*"&amp;'Output annual'!$AC$2&amp;'Output annual'!$AD$2&amp;"*Zone People Number Of Occupants [](Hourly)",'Eplus results'!$1:$1048576,ROW(),FALSE)</f>
        <v>0</v>
      </c>
      <c r="AC7884" s="580">
        <f>HLOOKUP("*"&amp;'Output annual'!$AC$2&amp;'Output annual'!$AD$2&amp;"*FangerPMV(Hourly)",'Eplus results'!$1:$1048576,ROW(),FALSE)</f>
        <v>0</v>
      </c>
      <c r="AD7884" s="580">
        <f t="shared" si="651"/>
        <v>5</v>
      </c>
      <c r="AE7884" s="580">
        <f t="shared" si="652"/>
        <v>2.5</v>
      </c>
      <c r="AF7884" s="580">
        <f t="shared" si="653"/>
        <v>2.5</v>
      </c>
      <c r="AG7884" s="580">
        <f t="shared" si="654"/>
        <v>0</v>
      </c>
      <c r="AH7884" s="580">
        <f t="shared" si="655"/>
        <v>0</v>
      </c>
    </row>
    <row r="7885" spans="28:34">
      <c r="AB7885" s="580">
        <f>HLOOKUP("*"&amp;'Output annual'!$AC$2&amp;'Output annual'!$AD$2&amp;"*Zone People Number Of Occupants [](Hourly)",'Eplus results'!$1:$1048576,ROW(),FALSE)</f>
        <v>0</v>
      </c>
      <c r="AC7885" s="580">
        <f>HLOOKUP("*"&amp;'Output annual'!$AC$2&amp;'Output annual'!$AD$2&amp;"*FangerPMV(Hourly)",'Eplus results'!$1:$1048576,ROW(),FALSE)</f>
        <v>0</v>
      </c>
      <c r="AD7885" s="580">
        <f t="shared" si="651"/>
        <v>5</v>
      </c>
      <c r="AE7885" s="580">
        <f t="shared" si="652"/>
        <v>2.5</v>
      </c>
      <c r="AF7885" s="580">
        <f t="shared" si="653"/>
        <v>2.5</v>
      </c>
      <c r="AG7885" s="580">
        <f t="shared" si="654"/>
        <v>0</v>
      </c>
      <c r="AH7885" s="580">
        <f t="shared" si="655"/>
        <v>0</v>
      </c>
    </row>
    <row r="7886" spans="28:34">
      <c r="AB7886" s="580">
        <f>HLOOKUP("*"&amp;'Output annual'!$AC$2&amp;'Output annual'!$AD$2&amp;"*Zone People Number Of Occupants [](Hourly)",'Eplus results'!$1:$1048576,ROW(),FALSE)</f>
        <v>0</v>
      </c>
      <c r="AC7886" s="580">
        <f>HLOOKUP("*"&amp;'Output annual'!$AC$2&amp;'Output annual'!$AD$2&amp;"*FangerPMV(Hourly)",'Eplus results'!$1:$1048576,ROW(),FALSE)</f>
        <v>0</v>
      </c>
      <c r="AD7886" s="580">
        <f t="shared" si="651"/>
        <v>5</v>
      </c>
      <c r="AE7886" s="580">
        <f t="shared" si="652"/>
        <v>2.5</v>
      </c>
      <c r="AF7886" s="580">
        <f t="shared" si="653"/>
        <v>2.5</v>
      </c>
      <c r="AG7886" s="580">
        <f t="shared" si="654"/>
        <v>0</v>
      </c>
      <c r="AH7886" s="580">
        <f t="shared" si="655"/>
        <v>0</v>
      </c>
    </row>
    <row r="7887" spans="28:34">
      <c r="AB7887" s="580">
        <f>HLOOKUP("*"&amp;'Output annual'!$AC$2&amp;'Output annual'!$AD$2&amp;"*Zone People Number Of Occupants [](Hourly)",'Eplus results'!$1:$1048576,ROW(),FALSE)</f>
        <v>0</v>
      </c>
      <c r="AC7887" s="580">
        <f>HLOOKUP("*"&amp;'Output annual'!$AC$2&amp;'Output annual'!$AD$2&amp;"*FangerPMV(Hourly)",'Eplus results'!$1:$1048576,ROW(),FALSE)</f>
        <v>0</v>
      </c>
      <c r="AD7887" s="580">
        <f t="shared" si="651"/>
        <v>5</v>
      </c>
      <c r="AE7887" s="580">
        <f t="shared" si="652"/>
        <v>2.5</v>
      </c>
      <c r="AF7887" s="580">
        <f t="shared" si="653"/>
        <v>2.5</v>
      </c>
      <c r="AG7887" s="580">
        <f t="shared" si="654"/>
        <v>0</v>
      </c>
      <c r="AH7887" s="580">
        <f t="shared" si="655"/>
        <v>0</v>
      </c>
    </row>
    <row r="7888" spans="28:34">
      <c r="AB7888" s="580">
        <f>HLOOKUP("*"&amp;'Output annual'!$AC$2&amp;'Output annual'!$AD$2&amp;"*Zone People Number Of Occupants [](Hourly)",'Eplus results'!$1:$1048576,ROW(),FALSE)</f>
        <v>0</v>
      </c>
      <c r="AC7888" s="580">
        <f>HLOOKUP("*"&amp;'Output annual'!$AC$2&amp;'Output annual'!$AD$2&amp;"*FangerPMV(Hourly)",'Eplus results'!$1:$1048576,ROW(),FALSE)</f>
        <v>0</v>
      </c>
      <c r="AD7888" s="580">
        <f t="shared" si="651"/>
        <v>5</v>
      </c>
      <c r="AE7888" s="580">
        <f t="shared" si="652"/>
        <v>2.5</v>
      </c>
      <c r="AF7888" s="580">
        <f t="shared" si="653"/>
        <v>2.5</v>
      </c>
      <c r="AG7888" s="580">
        <f t="shared" si="654"/>
        <v>0</v>
      </c>
      <c r="AH7888" s="580">
        <f t="shared" si="655"/>
        <v>0</v>
      </c>
    </row>
    <row r="7889" spans="28:34">
      <c r="AB7889" s="580">
        <f>HLOOKUP("*"&amp;'Output annual'!$AC$2&amp;'Output annual'!$AD$2&amp;"*Zone People Number Of Occupants [](Hourly)",'Eplus results'!$1:$1048576,ROW(),FALSE)</f>
        <v>0</v>
      </c>
      <c r="AC7889" s="580">
        <f>HLOOKUP("*"&amp;'Output annual'!$AC$2&amp;'Output annual'!$AD$2&amp;"*FangerPMV(Hourly)",'Eplus results'!$1:$1048576,ROW(),FALSE)</f>
        <v>0</v>
      </c>
      <c r="AD7889" s="580">
        <f t="shared" si="651"/>
        <v>5</v>
      </c>
      <c r="AE7889" s="580">
        <f t="shared" si="652"/>
        <v>2.5</v>
      </c>
      <c r="AF7889" s="580">
        <f t="shared" si="653"/>
        <v>2.5</v>
      </c>
      <c r="AG7889" s="580">
        <f t="shared" si="654"/>
        <v>0</v>
      </c>
      <c r="AH7889" s="580">
        <f t="shared" si="655"/>
        <v>0</v>
      </c>
    </row>
    <row r="7890" spans="28:34">
      <c r="AB7890" s="580">
        <f>HLOOKUP("*"&amp;'Output annual'!$AC$2&amp;'Output annual'!$AD$2&amp;"*Zone People Number Of Occupants [](Hourly)",'Eplus results'!$1:$1048576,ROW(),FALSE)</f>
        <v>0</v>
      </c>
      <c r="AC7890" s="580">
        <f>HLOOKUP("*"&amp;'Output annual'!$AC$2&amp;'Output annual'!$AD$2&amp;"*FangerPMV(Hourly)",'Eplus results'!$1:$1048576,ROW(),FALSE)</f>
        <v>0</v>
      </c>
      <c r="AD7890" s="580">
        <f t="shared" si="651"/>
        <v>5</v>
      </c>
      <c r="AE7890" s="580">
        <f t="shared" si="652"/>
        <v>2.5</v>
      </c>
      <c r="AF7890" s="580">
        <f t="shared" si="653"/>
        <v>2.5</v>
      </c>
      <c r="AG7890" s="580">
        <f t="shared" si="654"/>
        <v>0</v>
      </c>
      <c r="AH7890" s="580">
        <f t="shared" si="655"/>
        <v>0</v>
      </c>
    </row>
    <row r="7891" spans="28:34">
      <c r="AB7891" s="580">
        <f>HLOOKUP("*"&amp;'Output annual'!$AC$2&amp;'Output annual'!$AD$2&amp;"*Zone People Number Of Occupants [](Hourly)",'Eplus results'!$1:$1048576,ROW(),FALSE)</f>
        <v>0</v>
      </c>
      <c r="AC7891" s="580">
        <f>HLOOKUP("*"&amp;'Output annual'!$AC$2&amp;'Output annual'!$AD$2&amp;"*FangerPMV(Hourly)",'Eplus results'!$1:$1048576,ROW(),FALSE)</f>
        <v>0</v>
      </c>
      <c r="AD7891" s="580">
        <f t="shared" si="651"/>
        <v>5</v>
      </c>
      <c r="AE7891" s="580">
        <f t="shared" si="652"/>
        <v>2.5</v>
      </c>
      <c r="AF7891" s="580">
        <f t="shared" si="653"/>
        <v>2.5</v>
      </c>
      <c r="AG7891" s="580">
        <f t="shared" si="654"/>
        <v>0</v>
      </c>
      <c r="AH7891" s="580">
        <f t="shared" si="655"/>
        <v>0</v>
      </c>
    </row>
    <row r="7892" spans="28:34">
      <c r="AB7892" s="580">
        <f>HLOOKUP("*"&amp;'Output annual'!$AC$2&amp;'Output annual'!$AD$2&amp;"*Zone People Number Of Occupants [](Hourly)",'Eplus results'!$1:$1048576,ROW(),FALSE)</f>
        <v>0</v>
      </c>
      <c r="AC7892" s="580">
        <f>HLOOKUP("*"&amp;'Output annual'!$AC$2&amp;'Output annual'!$AD$2&amp;"*FangerPMV(Hourly)",'Eplus results'!$1:$1048576,ROW(),FALSE)</f>
        <v>0</v>
      </c>
      <c r="AD7892" s="580">
        <f t="shared" si="651"/>
        <v>5</v>
      </c>
      <c r="AE7892" s="580">
        <f t="shared" si="652"/>
        <v>2.5</v>
      </c>
      <c r="AF7892" s="580">
        <f t="shared" si="653"/>
        <v>2.5</v>
      </c>
      <c r="AG7892" s="580">
        <f t="shared" si="654"/>
        <v>0</v>
      </c>
      <c r="AH7892" s="580">
        <f t="shared" si="655"/>
        <v>0</v>
      </c>
    </row>
    <row r="7893" spans="28:34">
      <c r="AB7893" s="580">
        <f>HLOOKUP("*"&amp;'Output annual'!$AC$2&amp;'Output annual'!$AD$2&amp;"*Zone People Number Of Occupants [](Hourly)",'Eplus results'!$1:$1048576,ROW(),FALSE)</f>
        <v>0</v>
      </c>
      <c r="AC7893" s="580">
        <f>HLOOKUP("*"&amp;'Output annual'!$AC$2&amp;'Output annual'!$AD$2&amp;"*FangerPMV(Hourly)",'Eplus results'!$1:$1048576,ROW(),FALSE)</f>
        <v>0</v>
      </c>
      <c r="AD7893" s="580">
        <f t="shared" si="651"/>
        <v>5</v>
      </c>
      <c r="AE7893" s="580">
        <f t="shared" si="652"/>
        <v>2.5</v>
      </c>
      <c r="AF7893" s="580">
        <f t="shared" si="653"/>
        <v>2.5</v>
      </c>
      <c r="AG7893" s="580">
        <f t="shared" si="654"/>
        <v>0</v>
      </c>
      <c r="AH7893" s="580">
        <f t="shared" si="655"/>
        <v>0</v>
      </c>
    </row>
    <row r="7894" spans="28:34">
      <c r="AB7894" s="580">
        <f>HLOOKUP("*"&amp;'Output annual'!$AC$2&amp;'Output annual'!$AD$2&amp;"*Zone People Number Of Occupants [](Hourly)",'Eplus results'!$1:$1048576,ROW(),FALSE)</f>
        <v>0</v>
      </c>
      <c r="AC7894" s="580">
        <f>HLOOKUP("*"&amp;'Output annual'!$AC$2&amp;'Output annual'!$AD$2&amp;"*FangerPMV(Hourly)",'Eplus results'!$1:$1048576,ROW(),FALSE)</f>
        <v>0</v>
      </c>
      <c r="AD7894" s="580">
        <f t="shared" si="651"/>
        <v>5</v>
      </c>
      <c r="AE7894" s="580">
        <f t="shared" si="652"/>
        <v>2.5</v>
      </c>
      <c r="AF7894" s="580">
        <f t="shared" si="653"/>
        <v>2.5</v>
      </c>
      <c r="AG7894" s="580">
        <f t="shared" si="654"/>
        <v>0</v>
      </c>
      <c r="AH7894" s="580">
        <f t="shared" si="655"/>
        <v>0</v>
      </c>
    </row>
    <row r="7895" spans="28:34">
      <c r="AB7895" s="580">
        <f>HLOOKUP("*"&amp;'Output annual'!$AC$2&amp;'Output annual'!$AD$2&amp;"*Zone People Number Of Occupants [](Hourly)",'Eplus results'!$1:$1048576,ROW(),FALSE)</f>
        <v>0</v>
      </c>
      <c r="AC7895" s="580">
        <f>HLOOKUP("*"&amp;'Output annual'!$AC$2&amp;'Output annual'!$AD$2&amp;"*FangerPMV(Hourly)",'Eplus results'!$1:$1048576,ROW(),FALSE)</f>
        <v>0</v>
      </c>
      <c r="AD7895" s="580">
        <f t="shared" si="651"/>
        <v>5</v>
      </c>
      <c r="AE7895" s="580">
        <f t="shared" si="652"/>
        <v>2.5</v>
      </c>
      <c r="AF7895" s="580">
        <f t="shared" si="653"/>
        <v>2.5</v>
      </c>
      <c r="AG7895" s="580">
        <f t="shared" si="654"/>
        <v>0</v>
      </c>
      <c r="AH7895" s="580">
        <f t="shared" si="655"/>
        <v>0</v>
      </c>
    </row>
    <row r="7896" spans="28:34">
      <c r="AB7896" s="580">
        <f>HLOOKUP("*"&amp;'Output annual'!$AC$2&amp;'Output annual'!$AD$2&amp;"*Zone People Number Of Occupants [](Hourly)",'Eplus results'!$1:$1048576,ROW(),FALSE)</f>
        <v>0</v>
      </c>
      <c r="AC7896" s="580">
        <f>HLOOKUP("*"&amp;'Output annual'!$AC$2&amp;'Output annual'!$AD$2&amp;"*FangerPMV(Hourly)",'Eplus results'!$1:$1048576,ROW(),FALSE)</f>
        <v>0</v>
      </c>
      <c r="AD7896" s="580">
        <f t="shared" si="651"/>
        <v>5</v>
      </c>
      <c r="AE7896" s="580">
        <f t="shared" si="652"/>
        <v>2.5</v>
      </c>
      <c r="AF7896" s="580">
        <f t="shared" si="653"/>
        <v>2.5</v>
      </c>
      <c r="AG7896" s="580">
        <f t="shared" si="654"/>
        <v>0</v>
      </c>
      <c r="AH7896" s="580">
        <f t="shared" si="655"/>
        <v>0</v>
      </c>
    </row>
    <row r="7897" spans="28:34">
      <c r="AB7897" s="580">
        <f>HLOOKUP("*"&amp;'Output annual'!$AC$2&amp;'Output annual'!$AD$2&amp;"*Zone People Number Of Occupants [](Hourly)",'Eplus results'!$1:$1048576,ROW(),FALSE)</f>
        <v>0</v>
      </c>
      <c r="AC7897" s="580">
        <f>HLOOKUP("*"&amp;'Output annual'!$AC$2&amp;'Output annual'!$AD$2&amp;"*FangerPMV(Hourly)",'Eplus results'!$1:$1048576,ROW(),FALSE)</f>
        <v>0</v>
      </c>
      <c r="AD7897" s="580">
        <f t="shared" si="651"/>
        <v>5</v>
      </c>
      <c r="AE7897" s="580">
        <f t="shared" si="652"/>
        <v>2.5</v>
      </c>
      <c r="AF7897" s="580">
        <f t="shared" si="653"/>
        <v>2.5</v>
      </c>
      <c r="AG7897" s="580">
        <f t="shared" si="654"/>
        <v>0</v>
      </c>
      <c r="AH7897" s="580">
        <f t="shared" si="655"/>
        <v>0</v>
      </c>
    </row>
    <row r="7898" spans="28:34">
      <c r="AB7898" s="580">
        <f>HLOOKUP("*"&amp;'Output annual'!$AC$2&amp;'Output annual'!$AD$2&amp;"*Zone People Number Of Occupants [](Hourly)",'Eplus results'!$1:$1048576,ROW(),FALSE)</f>
        <v>0</v>
      </c>
      <c r="AC7898" s="580">
        <f>HLOOKUP("*"&amp;'Output annual'!$AC$2&amp;'Output annual'!$AD$2&amp;"*FangerPMV(Hourly)",'Eplus results'!$1:$1048576,ROW(),FALSE)</f>
        <v>0</v>
      </c>
      <c r="AD7898" s="580">
        <f t="shared" si="651"/>
        <v>5</v>
      </c>
      <c r="AE7898" s="580">
        <f t="shared" si="652"/>
        <v>2.5</v>
      </c>
      <c r="AF7898" s="580">
        <f t="shared" si="653"/>
        <v>2.5</v>
      </c>
      <c r="AG7898" s="580">
        <f t="shared" si="654"/>
        <v>0</v>
      </c>
      <c r="AH7898" s="580">
        <f t="shared" si="655"/>
        <v>0</v>
      </c>
    </row>
    <row r="7899" spans="28:34">
      <c r="AB7899" s="580">
        <f>HLOOKUP("*"&amp;'Output annual'!$AC$2&amp;'Output annual'!$AD$2&amp;"*Zone People Number Of Occupants [](Hourly)",'Eplus results'!$1:$1048576,ROW(),FALSE)</f>
        <v>0</v>
      </c>
      <c r="AC7899" s="580">
        <f>HLOOKUP("*"&amp;'Output annual'!$AC$2&amp;'Output annual'!$AD$2&amp;"*FangerPMV(Hourly)",'Eplus results'!$1:$1048576,ROW(),FALSE)</f>
        <v>0</v>
      </c>
      <c r="AD7899" s="580">
        <f t="shared" si="651"/>
        <v>5</v>
      </c>
      <c r="AE7899" s="580">
        <f t="shared" si="652"/>
        <v>2.5</v>
      </c>
      <c r="AF7899" s="580">
        <f t="shared" si="653"/>
        <v>2.5</v>
      </c>
      <c r="AG7899" s="580">
        <f t="shared" si="654"/>
        <v>0</v>
      </c>
      <c r="AH7899" s="580">
        <f t="shared" si="655"/>
        <v>0</v>
      </c>
    </row>
    <row r="7900" spans="28:34">
      <c r="AB7900" s="580">
        <f>HLOOKUP("*"&amp;'Output annual'!$AC$2&amp;'Output annual'!$AD$2&amp;"*Zone People Number Of Occupants [](Hourly)",'Eplus results'!$1:$1048576,ROW(),FALSE)</f>
        <v>0</v>
      </c>
      <c r="AC7900" s="580">
        <f>HLOOKUP("*"&amp;'Output annual'!$AC$2&amp;'Output annual'!$AD$2&amp;"*FangerPMV(Hourly)",'Eplus results'!$1:$1048576,ROW(),FALSE)</f>
        <v>0</v>
      </c>
      <c r="AD7900" s="580">
        <f t="shared" si="651"/>
        <v>5</v>
      </c>
      <c r="AE7900" s="580">
        <f t="shared" si="652"/>
        <v>2.5</v>
      </c>
      <c r="AF7900" s="580">
        <f t="shared" si="653"/>
        <v>2.5</v>
      </c>
      <c r="AG7900" s="580">
        <f t="shared" si="654"/>
        <v>0</v>
      </c>
      <c r="AH7900" s="580">
        <f t="shared" si="655"/>
        <v>0</v>
      </c>
    </row>
    <row r="7901" spans="28:34">
      <c r="AB7901" s="580">
        <f>HLOOKUP("*"&amp;'Output annual'!$AC$2&amp;'Output annual'!$AD$2&amp;"*Zone People Number Of Occupants [](Hourly)",'Eplus results'!$1:$1048576,ROW(),FALSE)</f>
        <v>0</v>
      </c>
      <c r="AC7901" s="580">
        <f>HLOOKUP("*"&amp;'Output annual'!$AC$2&amp;'Output annual'!$AD$2&amp;"*FangerPMV(Hourly)",'Eplus results'!$1:$1048576,ROW(),FALSE)</f>
        <v>0</v>
      </c>
      <c r="AD7901" s="580">
        <f t="shared" si="651"/>
        <v>5</v>
      </c>
      <c r="AE7901" s="580">
        <f t="shared" si="652"/>
        <v>2.5</v>
      </c>
      <c r="AF7901" s="580">
        <f t="shared" si="653"/>
        <v>2.5</v>
      </c>
      <c r="AG7901" s="580">
        <f t="shared" si="654"/>
        <v>0</v>
      </c>
      <c r="AH7901" s="580">
        <f t="shared" si="655"/>
        <v>0</v>
      </c>
    </row>
    <row r="7902" spans="28:34">
      <c r="AB7902" s="580">
        <f>HLOOKUP("*"&amp;'Output annual'!$AC$2&amp;'Output annual'!$AD$2&amp;"*Zone People Number Of Occupants [](Hourly)",'Eplus results'!$1:$1048576,ROW(),FALSE)</f>
        <v>0</v>
      </c>
      <c r="AC7902" s="580">
        <f>HLOOKUP("*"&amp;'Output annual'!$AC$2&amp;'Output annual'!$AD$2&amp;"*FangerPMV(Hourly)",'Eplus results'!$1:$1048576,ROW(),FALSE)</f>
        <v>0</v>
      </c>
      <c r="AD7902" s="580">
        <f t="shared" si="651"/>
        <v>5</v>
      </c>
      <c r="AE7902" s="580">
        <f t="shared" si="652"/>
        <v>2.5</v>
      </c>
      <c r="AF7902" s="580">
        <f t="shared" si="653"/>
        <v>2.5</v>
      </c>
      <c r="AG7902" s="580">
        <f t="shared" si="654"/>
        <v>0</v>
      </c>
      <c r="AH7902" s="580">
        <f t="shared" si="655"/>
        <v>0</v>
      </c>
    </row>
    <row r="7903" spans="28:34">
      <c r="AB7903" s="580">
        <f>HLOOKUP("*"&amp;'Output annual'!$AC$2&amp;'Output annual'!$AD$2&amp;"*Zone People Number Of Occupants [](Hourly)",'Eplus results'!$1:$1048576,ROW(),FALSE)</f>
        <v>0</v>
      </c>
      <c r="AC7903" s="580">
        <f>HLOOKUP("*"&amp;'Output annual'!$AC$2&amp;'Output annual'!$AD$2&amp;"*FangerPMV(Hourly)",'Eplus results'!$1:$1048576,ROW(),FALSE)</f>
        <v>0</v>
      </c>
      <c r="AD7903" s="580">
        <f t="shared" si="651"/>
        <v>5</v>
      </c>
      <c r="AE7903" s="580">
        <f t="shared" si="652"/>
        <v>2.5</v>
      </c>
      <c r="AF7903" s="580">
        <f t="shared" si="653"/>
        <v>2.5</v>
      </c>
      <c r="AG7903" s="580">
        <f t="shared" si="654"/>
        <v>0</v>
      </c>
      <c r="AH7903" s="580">
        <f t="shared" si="655"/>
        <v>0</v>
      </c>
    </row>
    <row r="7904" spans="28:34">
      <c r="AB7904" s="580">
        <f>HLOOKUP("*"&amp;'Output annual'!$AC$2&amp;'Output annual'!$AD$2&amp;"*Zone People Number Of Occupants [](Hourly)",'Eplus results'!$1:$1048576,ROW(),FALSE)</f>
        <v>0</v>
      </c>
      <c r="AC7904" s="580">
        <f>HLOOKUP("*"&amp;'Output annual'!$AC$2&amp;'Output annual'!$AD$2&amp;"*FangerPMV(Hourly)",'Eplus results'!$1:$1048576,ROW(),FALSE)</f>
        <v>0</v>
      </c>
      <c r="AD7904" s="580">
        <f t="shared" si="651"/>
        <v>5</v>
      </c>
      <c r="AE7904" s="580">
        <f t="shared" si="652"/>
        <v>2.5</v>
      </c>
      <c r="AF7904" s="580">
        <f t="shared" si="653"/>
        <v>2.5</v>
      </c>
      <c r="AG7904" s="580">
        <f t="shared" si="654"/>
        <v>0</v>
      </c>
      <c r="AH7904" s="580">
        <f t="shared" si="655"/>
        <v>0</v>
      </c>
    </row>
    <row r="7905" spans="28:34">
      <c r="AB7905" s="580">
        <f>HLOOKUP("*"&amp;'Output annual'!$AC$2&amp;'Output annual'!$AD$2&amp;"*Zone People Number Of Occupants [](Hourly)",'Eplus results'!$1:$1048576,ROW(),FALSE)</f>
        <v>0</v>
      </c>
      <c r="AC7905" s="580">
        <f>HLOOKUP("*"&amp;'Output annual'!$AC$2&amp;'Output annual'!$AD$2&amp;"*FangerPMV(Hourly)",'Eplus results'!$1:$1048576,ROW(),FALSE)</f>
        <v>0</v>
      </c>
      <c r="AD7905" s="580">
        <f t="shared" si="651"/>
        <v>5</v>
      </c>
      <c r="AE7905" s="580">
        <f t="shared" si="652"/>
        <v>2.5</v>
      </c>
      <c r="AF7905" s="580">
        <f t="shared" si="653"/>
        <v>2.5</v>
      </c>
      <c r="AG7905" s="580">
        <f t="shared" si="654"/>
        <v>0</v>
      </c>
      <c r="AH7905" s="580">
        <f t="shared" si="655"/>
        <v>0</v>
      </c>
    </row>
    <row r="7906" spans="28:34">
      <c r="AB7906" s="580">
        <f>HLOOKUP("*"&amp;'Output annual'!$AC$2&amp;'Output annual'!$AD$2&amp;"*Zone People Number Of Occupants [](Hourly)",'Eplus results'!$1:$1048576,ROW(),FALSE)</f>
        <v>0</v>
      </c>
      <c r="AC7906" s="580">
        <f>HLOOKUP("*"&amp;'Output annual'!$AC$2&amp;'Output annual'!$AD$2&amp;"*FangerPMV(Hourly)",'Eplus results'!$1:$1048576,ROW(),FALSE)</f>
        <v>0</v>
      </c>
      <c r="AD7906" s="580">
        <f t="shared" si="651"/>
        <v>5</v>
      </c>
      <c r="AE7906" s="580">
        <f t="shared" si="652"/>
        <v>2.5</v>
      </c>
      <c r="AF7906" s="580">
        <f t="shared" si="653"/>
        <v>2.5</v>
      </c>
      <c r="AG7906" s="580">
        <f t="shared" si="654"/>
        <v>0</v>
      </c>
      <c r="AH7906" s="580">
        <f t="shared" si="655"/>
        <v>0</v>
      </c>
    </row>
    <row r="7907" spans="28:34">
      <c r="AB7907" s="580">
        <f>HLOOKUP("*"&amp;'Output annual'!$AC$2&amp;'Output annual'!$AD$2&amp;"*Zone People Number Of Occupants [](Hourly)",'Eplus results'!$1:$1048576,ROW(),FALSE)</f>
        <v>0</v>
      </c>
      <c r="AC7907" s="580">
        <f>HLOOKUP("*"&amp;'Output annual'!$AC$2&amp;'Output annual'!$AD$2&amp;"*FangerPMV(Hourly)",'Eplus results'!$1:$1048576,ROW(),FALSE)</f>
        <v>0</v>
      </c>
      <c r="AD7907" s="580">
        <f t="shared" si="651"/>
        <v>5</v>
      </c>
      <c r="AE7907" s="580">
        <f t="shared" si="652"/>
        <v>2.5</v>
      </c>
      <c r="AF7907" s="580">
        <f t="shared" si="653"/>
        <v>2.5</v>
      </c>
      <c r="AG7907" s="580">
        <f t="shared" si="654"/>
        <v>0</v>
      </c>
      <c r="AH7907" s="580">
        <f t="shared" si="655"/>
        <v>0</v>
      </c>
    </row>
    <row r="7908" spans="28:34">
      <c r="AB7908" s="580">
        <f>HLOOKUP("*"&amp;'Output annual'!$AC$2&amp;'Output annual'!$AD$2&amp;"*Zone People Number Of Occupants [](Hourly)",'Eplus results'!$1:$1048576,ROW(),FALSE)</f>
        <v>0</v>
      </c>
      <c r="AC7908" s="580">
        <f>HLOOKUP("*"&amp;'Output annual'!$AC$2&amp;'Output annual'!$AD$2&amp;"*FangerPMV(Hourly)",'Eplus results'!$1:$1048576,ROW(),FALSE)</f>
        <v>0</v>
      </c>
      <c r="AD7908" s="580">
        <f t="shared" si="651"/>
        <v>5</v>
      </c>
      <c r="AE7908" s="580">
        <f t="shared" si="652"/>
        <v>2.5</v>
      </c>
      <c r="AF7908" s="580">
        <f t="shared" si="653"/>
        <v>2.5</v>
      </c>
      <c r="AG7908" s="580">
        <f t="shared" si="654"/>
        <v>0</v>
      </c>
      <c r="AH7908" s="580">
        <f t="shared" si="655"/>
        <v>0</v>
      </c>
    </row>
    <row r="7909" spans="28:34">
      <c r="AB7909" s="580">
        <f>HLOOKUP("*"&amp;'Output annual'!$AC$2&amp;'Output annual'!$AD$2&amp;"*Zone People Number Of Occupants [](Hourly)",'Eplus results'!$1:$1048576,ROW(),FALSE)</f>
        <v>0</v>
      </c>
      <c r="AC7909" s="580">
        <f>HLOOKUP("*"&amp;'Output annual'!$AC$2&amp;'Output annual'!$AD$2&amp;"*FangerPMV(Hourly)",'Eplus results'!$1:$1048576,ROW(),FALSE)</f>
        <v>0</v>
      </c>
      <c r="AD7909" s="580">
        <f t="shared" si="651"/>
        <v>5</v>
      </c>
      <c r="AE7909" s="580">
        <f t="shared" si="652"/>
        <v>2.5</v>
      </c>
      <c r="AF7909" s="580">
        <f t="shared" si="653"/>
        <v>2.5</v>
      </c>
      <c r="AG7909" s="580">
        <f t="shared" si="654"/>
        <v>0</v>
      </c>
      <c r="AH7909" s="580">
        <f t="shared" si="655"/>
        <v>0</v>
      </c>
    </row>
    <row r="7910" spans="28:34">
      <c r="AB7910" s="580">
        <f>HLOOKUP("*"&amp;'Output annual'!$AC$2&amp;'Output annual'!$AD$2&amp;"*Zone People Number Of Occupants [](Hourly)",'Eplus results'!$1:$1048576,ROW(),FALSE)</f>
        <v>0</v>
      </c>
      <c r="AC7910" s="580">
        <f>HLOOKUP("*"&amp;'Output annual'!$AC$2&amp;'Output annual'!$AD$2&amp;"*FangerPMV(Hourly)",'Eplus results'!$1:$1048576,ROW(),FALSE)</f>
        <v>0</v>
      </c>
      <c r="AD7910" s="580">
        <f t="shared" si="651"/>
        <v>5</v>
      </c>
      <c r="AE7910" s="580">
        <f t="shared" si="652"/>
        <v>2.5</v>
      </c>
      <c r="AF7910" s="580">
        <f t="shared" si="653"/>
        <v>2.5</v>
      </c>
      <c r="AG7910" s="580">
        <f t="shared" si="654"/>
        <v>0</v>
      </c>
      <c r="AH7910" s="580">
        <f t="shared" si="655"/>
        <v>0</v>
      </c>
    </row>
    <row r="7911" spans="28:34">
      <c r="AB7911" s="580">
        <f>HLOOKUP("*"&amp;'Output annual'!$AC$2&amp;'Output annual'!$AD$2&amp;"*Zone People Number Of Occupants [](Hourly)",'Eplus results'!$1:$1048576,ROW(),FALSE)</f>
        <v>0</v>
      </c>
      <c r="AC7911" s="580">
        <f>HLOOKUP("*"&amp;'Output annual'!$AC$2&amp;'Output annual'!$AD$2&amp;"*FangerPMV(Hourly)",'Eplus results'!$1:$1048576,ROW(),FALSE)</f>
        <v>0</v>
      </c>
      <c r="AD7911" s="580">
        <f t="shared" si="651"/>
        <v>5</v>
      </c>
      <c r="AE7911" s="580">
        <f t="shared" si="652"/>
        <v>2.5</v>
      </c>
      <c r="AF7911" s="580">
        <f t="shared" si="653"/>
        <v>2.5</v>
      </c>
      <c r="AG7911" s="580">
        <f t="shared" si="654"/>
        <v>0</v>
      </c>
      <c r="AH7911" s="580">
        <f t="shared" si="655"/>
        <v>0</v>
      </c>
    </row>
    <row r="7912" spans="28:34">
      <c r="AB7912" s="580">
        <f>HLOOKUP("*"&amp;'Output annual'!$AC$2&amp;'Output annual'!$AD$2&amp;"*Zone People Number Of Occupants [](Hourly)",'Eplus results'!$1:$1048576,ROW(),FALSE)</f>
        <v>0</v>
      </c>
      <c r="AC7912" s="580">
        <f>HLOOKUP("*"&amp;'Output annual'!$AC$2&amp;'Output annual'!$AD$2&amp;"*FangerPMV(Hourly)",'Eplus results'!$1:$1048576,ROW(),FALSE)</f>
        <v>0</v>
      </c>
      <c r="AD7912" s="580">
        <f t="shared" si="651"/>
        <v>5</v>
      </c>
      <c r="AE7912" s="580">
        <f t="shared" si="652"/>
        <v>2.5</v>
      </c>
      <c r="AF7912" s="580">
        <f t="shared" si="653"/>
        <v>2.5</v>
      </c>
      <c r="AG7912" s="580">
        <f t="shared" si="654"/>
        <v>0</v>
      </c>
      <c r="AH7912" s="580">
        <f t="shared" si="655"/>
        <v>0</v>
      </c>
    </row>
    <row r="7913" spans="28:34">
      <c r="AB7913" s="580">
        <f>HLOOKUP("*"&amp;'Output annual'!$AC$2&amp;'Output annual'!$AD$2&amp;"*Zone People Number Of Occupants [](Hourly)",'Eplus results'!$1:$1048576,ROW(),FALSE)</f>
        <v>0</v>
      </c>
      <c r="AC7913" s="580">
        <f>HLOOKUP("*"&amp;'Output annual'!$AC$2&amp;'Output annual'!$AD$2&amp;"*FangerPMV(Hourly)",'Eplus results'!$1:$1048576,ROW(),FALSE)</f>
        <v>0</v>
      </c>
      <c r="AD7913" s="580">
        <f t="shared" si="651"/>
        <v>5</v>
      </c>
      <c r="AE7913" s="580">
        <f t="shared" si="652"/>
        <v>2.5</v>
      </c>
      <c r="AF7913" s="580">
        <f t="shared" si="653"/>
        <v>2.5</v>
      </c>
      <c r="AG7913" s="580">
        <f t="shared" si="654"/>
        <v>0</v>
      </c>
      <c r="AH7913" s="580">
        <f t="shared" si="655"/>
        <v>0</v>
      </c>
    </row>
    <row r="7914" spans="28:34">
      <c r="AB7914" s="580">
        <f>HLOOKUP("*"&amp;'Output annual'!$AC$2&amp;'Output annual'!$AD$2&amp;"*Zone People Number Of Occupants [](Hourly)",'Eplus results'!$1:$1048576,ROW(),FALSE)</f>
        <v>0</v>
      </c>
      <c r="AC7914" s="580">
        <f>HLOOKUP("*"&amp;'Output annual'!$AC$2&amp;'Output annual'!$AD$2&amp;"*FangerPMV(Hourly)",'Eplus results'!$1:$1048576,ROW(),FALSE)</f>
        <v>0</v>
      </c>
      <c r="AD7914" s="580">
        <f t="shared" si="651"/>
        <v>5</v>
      </c>
      <c r="AE7914" s="580">
        <f t="shared" si="652"/>
        <v>2.5</v>
      </c>
      <c r="AF7914" s="580">
        <f t="shared" si="653"/>
        <v>2.5</v>
      </c>
      <c r="AG7914" s="580">
        <f t="shared" si="654"/>
        <v>0</v>
      </c>
      <c r="AH7914" s="580">
        <f t="shared" si="655"/>
        <v>0</v>
      </c>
    </row>
    <row r="7915" spans="28:34">
      <c r="AB7915" s="580">
        <f>HLOOKUP("*"&amp;'Output annual'!$AC$2&amp;'Output annual'!$AD$2&amp;"*Zone People Number Of Occupants [](Hourly)",'Eplus results'!$1:$1048576,ROW(),FALSE)</f>
        <v>0</v>
      </c>
      <c r="AC7915" s="580">
        <f>HLOOKUP("*"&amp;'Output annual'!$AC$2&amp;'Output annual'!$AD$2&amp;"*FangerPMV(Hourly)",'Eplus results'!$1:$1048576,ROW(),FALSE)</f>
        <v>0</v>
      </c>
      <c r="AD7915" s="580">
        <f t="shared" si="651"/>
        <v>5</v>
      </c>
      <c r="AE7915" s="580">
        <f t="shared" si="652"/>
        <v>2.5</v>
      </c>
      <c r="AF7915" s="580">
        <f t="shared" si="653"/>
        <v>2.5</v>
      </c>
      <c r="AG7915" s="580">
        <f t="shared" si="654"/>
        <v>0</v>
      </c>
      <c r="AH7915" s="580">
        <f t="shared" si="655"/>
        <v>0</v>
      </c>
    </row>
    <row r="7916" spans="28:34">
      <c r="AB7916" s="580">
        <f>HLOOKUP("*"&amp;'Output annual'!$AC$2&amp;'Output annual'!$AD$2&amp;"*Zone People Number Of Occupants [](Hourly)",'Eplus results'!$1:$1048576,ROW(),FALSE)</f>
        <v>0</v>
      </c>
      <c r="AC7916" s="580">
        <f>HLOOKUP("*"&amp;'Output annual'!$AC$2&amp;'Output annual'!$AD$2&amp;"*FangerPMV(Hourly)",'Eplus results'!$1:$1048576,ROW(),FALSE)</f>
        <v>0</v>
      </c>
      <c r="AD7916" s="580">
        <f t="shared" si="651"/>
        <v>5</v>
      </c>
      <c r="AE7916" s="580">
        <f t="shared" si="652"/>
        <v>2.5</v>
      </c>
      <c r="AF7916" s="580">
        <f t="shared" si="653"/>
        <v>2.5</v>
      </c>
      <c r="AG7916" s="580">
        <f t="shared" si="654"/>
        <v>0</v>
      </c>
      <c r="AH7916" s="580">
        <f t="shared" si="655"/>
        <v>0</v>
      </c>
    </row>
    <row r="7917" spans="28:34">
      <c r="AB7917" s="580">
        <f>HLOOKUP("*"&amp;'Output annual'!$AC$2&amp;'Output annual'!$AD$2&amp;"*Zone People Number Of Occupants [](Hourly)",'Eplus results'!$1:$1048576,ROW(),FALSE)</f>
        <v>0</v>
      </c>
      <c r="AC7917" s="580">
        <f>HLOOKUP("*"&amp;'Output annual'!$AC$2&amp;'Output annual'!$AD$2&amp;"*FangerPMV(Hourly)",'Eplus results'!$1:$1048576,ROW(),FALSE)</f>
        <v>0</v>
      </c>
      <c r="AD7917" s="580">
        <f t="shared" si="651"/>
        <v>5</v>
      </c>
      <c r="AE7917" s="580">
        <f t="shared" si="652"/>
        <v>2.5</v>
      </c>
      <c r="AF7917" s="580">
        <f t="shared" si="653"/>
        <v>2.5</v>
      </c>
      <c r="AG7917" s="580">
        <f t="shared" si="654"/>
        <v>0</v>
      </c>
      <c r="AH7917" s="580">
        <f t="shared" si="655"/>
        <v>0</v>
      </c>
    </row>
    <row r="7918" spans="28:34">
      <c r="AB7918" s="580">
        <f>HLOOKUP("*"&amp;'Output annual'!$AC$2&amp;'Output annual'!$AD$2&amp;"*Zone People Number Of Occupants [](Hourly)",'Eplus results'!$1:$1048576,ROW(),FALSE)</f>
        <v>0</v>
      </c>
      <c r="AC7918" s="580">
        <f>HLOOKUP("*"&amp;'Output annual'!$AC$2&amp;'Output annual'!$AD$2&amp;"*FangerPMV(Hourly)",'Eplus results'!$1:$1048576,ROW(),FALSE)</f>
        <v>0</v>
      </c>
      <c r="AD7918" s="580">
        <f t="shared" si="651"/>
        <v>5</v>
      </c>
      <c r="AE7918" s="580">
        <f t="shared" si="652"/>
        <v>2.5</v>
      </c>
      <c r="AF7918" s="580">
        <f t="shared" si="653"/>
        <v>2.5</v>
      </c>
      <c r="AG7918" s="580">
        <f t="shared" si="654"/>
        <v>0</v>
      </c>
      <c r="AH7918" s="580">
        <f t="shared" si="655"/>
        <v>0</v>
      </c>
    </row>
    <row r="7919" spans="28:34">
      <c r="AB7919" s="580">
        <f>HLOOKUP("*"&amp;'Output annual'!$AC$2&amp;'Output annual'!$AD$2&amp;"*Zone People Number Of Occupants [](Hourly)",'Eplus results'!$1:$1048576,ROW(),FALSE)</f>
        <v>0</v>
      </c>
      <c r="AC7919" s="580">
        <f>HLOOKUP("*"&amp;'Output annual'!$AC$2&amp;'Output annual'!$AD$2&amp;"*FangerPMV(Hourly)",'Eplus results'!$1:$1048576,ROW(),FALSE)</f>
        <v>0</v>
      </c>
      <c r="AD7919" s="580">
        <f t="shared" si="651"/>
        <v>5</v>
      </c>
      <c r="AE7919" s="580">
        <f t="shared" si="652"/>
        <v>2.5</v>
      </c>
      <c r="AF7919" s="580">
        <f t="shared" si="653"/>
        <v>2.5</v>
      </c>
      <c r="AG7919" s="580">
        <f t="shared" si="654"/>
        <v>0</v>
      </c>
      <c r="AH7919" s="580">
        <f t="shared" si="655"/>
        <v>0</v>
      </c>
    </row>
    <row r="7920" spans="28:34">
      <c r="AB7920" s="580">
        <f>HLOOKUP("*"&amp;'Output annual'!$AC$2&amp;'Output annual'!$AD$2&amp;"*Zone People Number Of Occupants [](Hourly)",'Eplus results'!$1:$1048576,ROW(),FALSE)</f>
        <v>0</v>
      </c>
      <c r="AC7920" s="580">
        <f>HLOOKUP("*"&amp;'Output annual'!$AC$2&amp;'Output annual'!$AD$2&amp;"*FangerPMV(Hourly)",'Eplus results'!$1:$1048576,ROW(),FALSE)</f>
        <v>0</v>
      </c>
      <c r="AD7920" s="580">
        <f t="shared" si="651"/>
        <v>5</v>
      </c>
      <c r="AE7920" s="580">
        <f t="shared" si="652"/>
        <v>2.5</v>
      </c>
      <c r="AF7920" s="580">
        <f t="shared" si="653"/>
        <v>2.5</v>
      </c>
      <c r="AG7920" s="580">
        <f t="shared" si="654"/>
        <v>0</v>
      </c>
      <c r="AH7920" s="580">
        <f t="shared" si="655"/>
        <v>0</v>
      </c>
    </row>
    <row r="7921" spans="28:34">
      <c r="AB7921" s="580">
        <f>HLOOKUP("*"&amp;'Output annual'!$AC$2&amp;'Output annual'!$AD$2&amp;"*Zone People Number Of Occupants [](Hourly)",'Eplus results'!$1:$1048576,ROW(),FALSE)</f>
        <v>0</v>
      </c>
      <c r="AC7921" s="580">
        <f>HLOOKUP("*"&amp;'Output annual'!$AC$2&amp;'Output annual'!$AD$2&amp;"*FangerPMV(Hourly)",'Eplus results'!$1:$1048576,ROW(),FALSE)</f>
        <v>0</v>
      </c>
      <c r="AD7921" s="580">
        <f t="shared" si="651"/>
        <v>5</v>
      </c>
      <c r="AE7921" s="580">
        <f t="shared" si="652"/>
        <v>2.5</v>
      </c>
      <c r="AF7921" s="580">
        <f t="shared" si="653"/>
        <v>2.5</v>
      </c>
      <c r="AG7921" s="580">
        <f t="shared" si="654"/>
        <v>0</v>
      </c>
      <c r="AH7921" s="580">
        <f t="shared" si="655"/>
        <v>0</v>
      </c>
    </row>
    <row r="7922" spans="28:34">
      <c r="AB7922" s="580">
        <f>HLOOKUP("*"&amp;'Output annual'!$AC$2&amp;'Output annual'!$AD$2&amp;"*Zone People Number Of Occupants [](Hourly)",'Eplus results'!$1:$1048576,ROW(),FALSE)</f>
        <v>0</v>
      </c>
      <c r="AC7922" s="580">
        <f>HLOOKUP("*"&amp;'Output annual'!$AC$2&amp;'Output annual'!$AD$2&amp;"*FangerPMV(Hourly)",'Eplus results'!$1:$1048576,ROW(),FALSE)</f>
        <v>0</v>
      </c>
      <c r="AD7922" s="580">
        <f t="shared" si="651"/>
        <v>5</v>
      </c>
      <c r="AE7922" s="580">
        <f t="shared" si="652"/>
        <v>2.5</v>
      </c>
      <c r="AF7922" s="580">
        <f t="shared" si="653"/>
        <v>2.5</v>
      </c>
      <c r="AG7922" s="580">
        <f t="shared" si="654"/>
        <v>0</v>
      </c>
      <c r="AH7922" s="580">
        <f t="shared" si="655"/>
        <v>0</v>
      </c>
    </row>
    <row r="7923" spans="28:34">
      <c r="AB7923" s="580">
        <f>HLOOKUP("*"&amp;'Output annual'!$AC$2&amp;'Output annual'!$AD$2&amp;"*Zone People Number Of Occupants [](Hourly)",'Eplus results'!$1:$1048576,ROW(),FALSE)</f>
        <v>0</v>
      </c>
      <c r="AC7923" s="580">
        <f>HLOOKUP("*"&amp;'Output annual'!$AC$2&amp;'Output annual'!$AD$2&amp;"*FangerPMV(Hourly)",'Eplus results'!$1:$1048576,ROW(),FALSE)</f>
        <v>0</v>
      </c>
      <c r="AD7923" s="580">
        <f t="shared" si="651"/>
        <v>5</v>
      </c>
      <c r="AE7923" s="580">
        <f t="shared" si="652"/>
        <v>2.5</v>
      </c>
      <c r="AF7923" s="580">
        <f t="shared" si="653"/>
        <v>2.5</v>
      </c>
      <c r="AG7923" s="580">
        <f t="shared" si="654"/>
        <v>0</v>
      </c>
      <c r="AH7923" s="580">
        <f t="shared" si="655"/>
        <v>0</v>
      </c>
    </row>
    <row r="7924" spans="28:34">
      <c r="AB7924" s="580">
        <f>HLOOKUP("*"&amp;'Output annual'!$AC$2&amp;'Output annual'!$AD$2&amp;"*Zone People Number Of Occupants [](Hourly)",'Eplus results'!$1:$1048576,ROW(),FALSE)</f>
        <v>0</v>
      </c>
      <c r="AC7924" s="580">
        <f>HLOOKUP("*"&amp;'Output annual'!$AC$2&amp;'Output annual'!$AD$2&amp;"*FangerPMV(Hourly)",'Eplus results'!$1:$1048576,ROW(),FALSE)</f>
        <v>0</v>
      </c>
      <c r="AD7924" s="580">
        <f t="shared" si="651"/>
        <v>5</v>
      </c>
      <c r="AE7924" s="580">
        <f t="shared" si="652"/>
        <v>2.5</v>
      </c>
      <c r="AF7924" s="580">
        <f t="shared" si="653"/>
        <v>2.5</v>
      </c>
      <c r="AG7924" s="580">
        <f t="shared" si="654"/>
        <v>0</v>
      </c>
      <c r="AH7924" s="580">
        <f t="shared" si="655"/>
        <v>0</v>
      </c>
    </row>
    <row r="7925" spans="28:34">
      <c r="AB7925" s="580">
        <f>HLOOKUP("*"&amp;'Output annual'!$AC$2&amp;'Output annual'!$AD$2&amp;"*Zone People Number Of Occupants [](Hourly)",'Eplus results'!$1:$1048576,ROW(),FALSE)</f>
        <v>0</v>
      </c>
      <c r="AC7925" s="580">
        <f>HLOOKUP("*"&amp;'Output annual'!$AC$2&amp;'Output annual'!$AD$2&amp;"*FangerPMV(Hourly)",'Eplus results'!$1:$1048576,ROW(),FALSE)</f>
        <v>0</v>
      </c>
      <c r="AD7925" s="580">
        <f t="shared" si="651"/>
        <v>5</v>
      </c>
      <c r="AE7925" s="580">
        <f t="shared" si="652"/>
        <v>2.5</v>
      </c>
      <c r="AF7925" s="580">
        <f t="shared" si="653"/>
        <v>2.5</v>
      </c>
      <c r="AG7925" s="580">
        <f t="shared" si="654"/>
        <v>0</v>
      </c>
      <c r="AH7925" s="580">
        <f t="shared" si="655"/>
        <v>0</v>
      </c>
    </row>
    <row r="7926" spans="28:34">
      <c r="AB7926" s="580">
        <f>HLOOKUP("*"&amp;'Output annual'!$AC$2&amp;'Output annual'!$AD$2&amp;"*Zone People Number Of Occupants [](Hourly)",'Eplus results'!$1:$1048576,ROW(),FALSE)</f>
        <v>0</v>
      </c>
      <c r="AC7926" s="580">
        <f>HLOOKUP("*"&amp;'Output annual'!$AC$2&amp;'Output annual'!$AD$2&amp;"*FangerPMV(Hourly)",'Eplus results'!$1:$1048576,ROW(),FALSE)</f>
        <v>0</v>
      </c>
      <c r="AD7926" s="580">
        <f t="shared" si="651"/>
        <v>5</v>
      </c>
      <c r="AE7926" s="580">
        <f t="shared" si="652"/>
        <v>2.5</v>
      </c>
      <c r="AF7926" s="580">
        <f t="shared" si="653"/>
        <v>2.5</v>
      </c>
      <c r="AG7926" s="580">
        <f t="shared" si="654"/>
        <v>0</v>
      </c>
      <c r="AH7926" s="580">
        <f t="shared" si="655"/>
        <v>0</v>
      </c>
    </row>
    <row r="7927" spans="28:34">
      <c r="AB7927" s="580">
        <f>HLOOKUP("*"&amp;'Output annual'!$AC$2&amp;'Output annual'!$AD$2&amp;"*Zone People Number Of Occupants [](Hourly)",'Eplus results'!$1:$1048576,ROW(),FALSE)</f>
        <v>0</v>
      </c>
      <c r="AC7927" s="580">
        <f>HLOOKUP("*"&amp;'Output annual'!$AC$2&amp;'Output annual'!$AD$2&amp;"*FangerPMV(Hourly)",'Eplus results'!$1:$1048576,ROW(),FALSE)</f>
        <v>0</v>
      </c>
      <c r="AD7927" s="580">
        <f t="shared" si="651"/>
        <v>5</v>
      </c>
      <c r="AE7927" s="580">
        <f t="shared" si="652"/>
        <v>2.5</v>
      </c>
      <c r="AF7927" s="580">
        <f t="shared" si="653"/>
        <v>2.5</v>
      </c>
      <c r="AG7927" s="580">
        <f t="shared" si="654"/>
        <v>0</v>
      </c>
      <c r="AH7927" s="580">
        <f t="shared" si="655"/>
        <v>0</v>
      </c>
    </row>
    <row r="7928" spans="28:34">
      <c r="AB7928" s="580">
        <f>HLOOKUP("*"&amp;'Output annual'!$AC$2&amp;'Output annual'!$AD$2&amp;"*Zone People Number Of Occupants [](Hourly)",'Eplus results'!$1:$1048576,ROW(),FALSE)</f>
        <v>0</v>
      </c>
      <c r="AC7928" s="580">
        <f>HLOOKUP("*"&amp;'Output annual'!$AC$2&amp;'Output annual'!$AD$2&amp;"*FangerPMV(Hourly)",'Eplus results'!$1:$1048576,ROW(),FALSE)</f>
        <v>0</v>
      </c>
      <c r="AD7928" s="580">
        <f t="shared" si="651"/>
        <v>5</v>
      </c>
      <c r="AE7928" s="580">
        <f t="shared" si="652"/>
        <v>2.5</v>
      </c>
      <c r="AF7928" s="580">
        <f t="shared" si="653"/>
        <v>2.5</v>
      </c>
      <c r="AG7928" s="580">
        <f t="shared" si="654"/>
        <v>0</v>
      </c>
      <c r="AH7928" s="580">
        <f t="shared" si="655"/>
        <v>0</v>
      </c>
    </row>
    <row r="7929" spans="28:34">
      <c r="AB7929" s="580">
        <f>HLOOKUP("*"&amp;'Output annual'!$AC$2&amp;'Output annual'!$AD$2&amp;"*Zone People Number Of Occupants [](Hourly)",'Eplus results'!$1:$1048576,ROW(),FALSE)</f>
        <v>0</v>
      </c>
      <c r="AC7929" s="580">
        <f>HLOOKUP("*"&amp;'Output annual'!$AC$2&amp;'Output annual'!$AD$2&amp;"*FangerPMV(Hourly)",'Eplus results'!$1:$1048576,ROW(),FALSE)</f>
        <v>0</v>
      </c>
      <c r="AD7929" s="580">
        <f t="shared" si="651"/>
        <v>5</v>
      </c>
      <c r="AE7929" s="580">
        <f t="shared" si="652"/>
        <v>2.5</v>
      </c>
      <c r="AF7929" s="580">
        <f t="shared" si="653"/>
        <v>2.5</v>
      </c>
      <c r="AG7929" s="580">
        <f t="shared" si="654"/>
        <v>0</v>
      </c>
      <c r="AH7929" s="580">
        <f t="shared" si="655"/>
        <v>0</v>
      </c>
    </row>
    <row r="7930" spans="28:34">
      <c r="AB7930" s="580">
        <f>HLOOKUP("*"&amp;'Output annual'!$AC$2&amp;'Output annual'!$AD$2&amp;"*Zone People Number Of Occupants [](Hourly)",'Eplus results'!$1:$1048576,ROW(),FALSE)</f>
        <v>0</v>
      </c>
      <c r="AC7930" s="580">
        <f>HLOOKUP("*"&amp;'Output annual'!$AC$2&amp;'Output annual'!$AD$2&amp;"*FangerPMV(Hourly)",'Eplus results'!$1:$1048576,ROW(),FALSE)</f>
        <v>0</v>
      </c>
      <c r="AD7930" s="580">
        <f t="shared" si="651"/>
        <v>5</v>
      </c>
      <c r="AE7930" s="580">
        <f t="shared" si="652"/>
        <v>2.5</v>
      </c>
      <c r="AF7930" s="580">
        <f t="shared" si="653"/>
        <v>2.5</v>
      </c>
      <c r="AG7930" s="580">
        <f t="shared" si="654"/>
        <v>0</v>
      </c>
      <c r="AH7930" s="580">
        <f t="shared" si="655"/>
        <v>0</v>
      </c>
    </row>
    <row r="7931" spans="28:34">
      <c r="AB7931" s="580">
        <f>HLOOKUP("*"&amp;'Output annual'!$AC$2&amp;'Output annual'!$AD$2&amp;"*Zone People Number Of Occupants [](Hourly)",'Eplus results'!$1:$1048576,ROW(),FALSE)</f>
        <v>0</v>
      </c>
      <c r="AC7931" s="580">
        <f>HLOOKUP("*"&amp;'Output annual'!$AC$2&amp;'Output annual'!$AD$2&amp;"*FangerPMV(Hourly)",'Eplus results'!$1:$1048576,ROW(),FALSE)</f>
        <v>0</v>
      </c>
      <c r="AD7931" s="580">
        <f t="shared" si="651"/>
        <v>5</v>
      </c>
      <c r="AE7931" s="580">
        <f t="shared" si="652"/>
        <v>2.5</v>
      </c>
      <c r="AF7931" s="580">
        <f t="shared" si="653"/>
        <v>2.5</v>
      </c>
      <c r="AG7931" s="580">
        <f t="shared" si="654"/>
        <v>0</v>
      </c>
      <c r="AH7931" s="580">
        <f t="shared" si="655"/>
        <v>0</v>
      </c>
    </row>
    <row r="7932" spans="28:34">
      <c r="AB7932" s="580">
        <f>HLOOKUP("*"&amp;'Output annual'!$AC$2&amp;'Output annual'!$AD$2&amp;"*Zone People Number Of Occupants [](Hourly)",'Eplus results'!$1:$1048576,ROW(),FALSE)</f>
        <v>0</v>
      </c>
      <c r="AC7932" s="580">
        <f>HLOOKUP("*"&amp;'Output annual'!$AC$2&amp;'Output annual'!$AD$2&amp;"*FangerPMV(Hourly)",'Eplus results'!$1:$1048576,ROW(),FALSE)</f>
        <v>0</v>
      </c>
      <c r="AD7932" s="580">
        <f t="shared" si="651"/>
        <v>5</v>
      </c>
      <c r="AE7932" s="580">
        <f t="shared" si="652"/>
        <v>2.5</v>
      </c>
      <c r="AF7932" s="580">
        <f t="shared" si="653"/>
        <v>2.5</v>
      </c>
      <c r="AG7932" s="580">
        <f t="shared" si="654"/>
        <v>0</v>
      </c>
      <c r="AH7932" s="580">
        <f t="shared" si="655"/>
        <v>0</v>
      </c>
    </row>
    <row r="7933" spans="28:34">
      <c r="AB7933" s="580">
        <f>HLOOKUP("*"&amp;'Output annual'!$AC$2&amp;'Output annual'!$AD$2&amp;"*Zone People Number Of Occupants [](Hourly)",'Eplus results'!$1:$1048576,ROW(),FALSE)</f>
        <v>0</v>
      </c>
      <c r="AC7933" s="580">
        <f>HLOOKUP("*"&amp;'Output annual'!$AC$2&amp;'Output annual'!$AD$2&amp;"*FangerPMV(Hourly)",'Eplus results'!$1:$1048576,ROW(),FALSE)</f>
        <v>0</v>
      </c>
      <c r="AD7933" s="580">
        <f t="shared" si="651"/>
        <v>5</v>
      </c>
      <c r="AE7933" s="580">
        <f t="shared" si="652"/>
        <v>2.5</v>
      </c>
      <c r="AF7933" s="580">
        <f t="shared" si="653"/>
        <v>2.5</v>
      </c>
      <c r="AG7933" s="580">
        <f t="shared" si="654"/>
        <v>0</v>
      </c>
      <c r="AH7933" s="580">
        <f t="shared" si="655"/>
        <v>0</v>
      </c>
    </row>
    <row r="7934" spans="28:34">
      <c r="AB7934" s="580">
        <f>HLOOKUP("*"&amp;'Output annual'!$AC$2&amp;'Output annual'!$AD$2&amp;"*Zone People Number Of Occupants [](Hourly)",'Eplus results'!$1:$1048576,ROW(),FALSE)</f>
        <v>0</v>
      </c>
      <c r="AC7934" s="580">
        <f>HLOOKUP("*"&amp;'Output annual'!$AC$2&amp;'Output annual'!$AD$2&amp;"*FangerPMV(Hourly)",'Eplus results'!$1:$1048576,ROW(),FALSE)</f>
        <v>0</v>
      </c>
      <c r="AD7934" s="580">
        <f t="shared" si="651"/>
        <v>5</v>
      </c>
      <c r="AE7934" s="580">
        <f t="shared" si="652"/>
        <v>2.5</v>
      </c>
      <c r="AF7934" s="580">
        <f t="shared" si="653"/>
        <v>2.5</v>
      </c>
      <c r="AG7934" s="580">
        <f t="shared" si="654"/>
        <v>0</v>
      </c>
      <c r="AH7934" s="580">
        <f t="shared" si="655"/>
        <v>0</v>
      </c>
    </row>
    <row r="7935" spans="28:34">
      <c r="AB7935" s="580">
        <f>HLOOKUP("*"&amp;'Output annual'!$AC$2&amp;'Output annual'!$AD$2&amp;"*Zone People Number Of Occupants [](Hourly)",'Eplus results'!$1:$1048576,ROW(),FALSE)</f>
        <v>0</v>
      </c>
      <c r="AC7935" s="580">
        <f>HLOOKUP("*"&amp;'Output annual'!$AC$2&amp;'Output annual'!$AD$2&amp;"*FangerPMV(Hourly)",'Eplus results'!$1:$1048576,ROW(),FALSE)</f>
        <v>0</v>
      </c>
      <c r="AD7935" s="580">
        <f t="shared" si="651"/>
        <v>5</v>
      </c>
      <c r="AE7935" s="580">
        <f t="shared" si="652"/>
        <v>2.5</v>
      </c>
      <c r="AF7935" s="580">
        <f t="shared" si="653"/>
        <v>2.5</v>
      </c>
      <c r="AG7935" s="580">
        <f t="shared" si="654"/>
        <v>0</v>
      </c>
      <c r="AH7935" s="580">
        <f t="shared" si="655"/>
        <v>0</v>
      </c>
    </row>
    <row r="7936" spans="28:34">
      <c r="AB7936" s="580">
        <f>HLOOKUP("*"&amp;'Output annual'!$AC$2&amp;'Output annual'!$AD$2&amp;"*Zone People Number Of Occupants [](Hourly)",'Eplus results'!$1:$1048576,ROW(),FALSE)</f>
        <v>0</v>
      </c>
      <c r="AC7936" s="580">
        <f>HLOOKUP("*"&amp;'Output annual'!$AC$2&amp;'Output annual'!$AD$2&amp;"*FangerPMV(Hourly)",'Eplus results'!$1:$1048576,ROW(),FALSE)</f>
        <v>0</v>
      </c>
      <c r="AD7936" s="580">
        <f t="shared" si="651"/>
        <v>5</v>
      </c>
      <c r="AE7936" s="580">
        <f t="shared" si="652"/>
        <v>2.5</v>
      </c>
      <c r="AF7936" s="580">
        <f t="shared" si="653"/>
        <v>2.5</v>
      </c>
      <c r="AG7936" s="580">
        <f t="shared" si="654"/>
        <v>0</v>
      </c>
      <c r="AH7936" s="580">
        <f t="shared" si="655"/>
        <v>0</v>
      </c>
    </row>
    <row r="7937" spans="28:34">
      <c r="AB7937" s="580">
        <f>HLOOKUP("*"&amp;'Output annual'!$AC$2&amp;'Output annual'!$AD$2&amp;"*Zone People Number Of Occupants [](Hourly)",'Eplus results'!$1:$1048576,ROW(),FALSE)</f>
        <v>0</v>
      </c>
      <c r="AC7937" s="580">
        <f>HLOOKUP("*"&amp;'Output annual'!$AC$2&amp;'Output annual'!$AD$2&amp;"*FangerPMV(Hourly)",'Eplus results'!$1:$1048576,ROW(),FALSE)</f>
        <v>0</v>
      </c>
      <c r="AD7937" s="580">
        <f t="shared" si="651"/>
        <v>5</v>
      </c>
      <c r="AE7937" s="580">
        <f t="shared" si="652"/>
        <v>2.5</v>
      </c>
      <c r="AF7937" s="580">
        <f t="shared" si="653"/>
        <v>2.5</v>
      </c>
      <c r="AG7937" s="580">
        <f t="shared" si="654"/>
        <v>0</v>
      </c>
      <c r="AH7937" s="580">
        <f t="shared" si="655"/>
        <v>0</v>
      </c>
    </row>
    <row r="7938" spans="28:34">
      <c r="AB7938" s="580">
        <f>HLOOKUP("*"&amp;'Output annual'!$AC$2&amp;'Output annual'!$AD$2&amp;"*Zone People Number Of Occupants [](Hourly)",'Eplus results'!$1:$1048576,ROW(),FALSE)</f>
        <v>0</v>
      </c>
      <c r="AC7938" s="580">
        <f>HLOOKUP("*"&amp;'Output annual'!$AC$2&amp;'Output annual'!$AD$2&amp;"*FangerPMV(Hourly)",'Eplus results'!$1:$1048576,ROW(),FALSE)</f>
        <v>0</v>
      </c>
      <c r="AD7938" s="580">
        <f t="shared" si="651"/>
        <v>5</v>
      </c>
      <c r="AE7938" s="580">
        <f t="shared" si="652"/>
        <v>2.5</v>
      </c>
      <c r="AF7938" s="580">
        <f t="shared" si="653"/>
        <v>2.5</v>
      </c>
      <c r="AG7938" s="580">
        <f t="shared" si="654"/>
        <v>0</v>
      </c>
      <c r="AH7938" s="580">
        <f t="shared" si="655"/>
        <v>0</v>
      </c>
    </row>
    <row r="7939" spans="28:34">
      <c r="AB7939" s="580">
        <f>HLOOKUP("*"&amp;'Output annual'!$AC$2&amp;'Output annual'!$AD$2&amp;"*Zone People Number Of Occupants [](Hourly)",'Eplus results'!$1:$1048576,ROW(),FALSE)</f>
        <v>0</v>
      </c>
      <c r="AC7939" s="580">
        <f>HLOOKUP("*"&amp;'Output annual'!$AC$2&amp;'Output annual'!$AD$2&amp;"*FangerPMV(Hourly)",'Eplus results'!$1:$1048576,ROW(),FALSE)</f>
        <v>0</v>
      </c>
      <c r="AD7939" s="580">
        <f t="shared" ref="AD7939:AD8002" si="656">100-95*EXP(-0.03353*AC7939^4-0.2179*AC7939^2)</f>
        <v>5</v>
      </c>
      <c r="AE7939" s="580">
        <f t="shared" ref="AE7939:AE8002" si="657">AD7939*(1/(1+EXP(-6.3*$AC7939)))</f>
        <v>2.5</v>
      </c>
      <c r="AF7939" s="580">
        <f t="shared" ref="AF7939:AF8002" si="658">(AD7939-AE7939)</f>
        <v>2.5</v>
      </c>
      <c r="AG7939" s="580">
        <f t="shared" ref="AG7939:AG8002" si="659">AE7939*AB7939</f>
        <v>0</v>
      </c>
      <c r="AH7939" s="580">
        <f t="shared" ref="AH7939:AH8002" si="660">AF7939*AB7939</f>
        <v>0</v>
      </c>
    </row>
    <row r="7940" spans="28:34">
      <c r="AB7940" s="580">
        <f>HLOOKUP("*"&amp;'Output annual'!$AC$2&amp;'Output annual'!$AD$2&amp;"*Zone People Number Of Occupants [](Hourly)",'Eplus results'!$1:$1048576,ROW(),FALSE)</f>
        <v>0</v>
      </c>
      <c r="AC7940" s="580">
        <f>HLOOKUP("*"&amp;'Output annual'!$AC$2&amp;'Output annual'!$AD$2&amp;"*FangerPMV(Hourly)",'Eplus results'!$1:$1048576,ROW(),FALSE)</f>
        <v>0</v>
      </c>
      <c r="AD7940" s="580">
        <f t="shared" si="656"/>
        <v>5</v>
      </c>
      <c r="AE7940" s="580">
        <f t="shared" si="657"/>
        <v>2.5</v>
      </c>
      <c r="AF7940" s="580">
        <f t="shared" si="658"/>
        <v>2.5</v>
      </c>
      <c r="AG7940" s="580">
        <f t="shared" si="659"/>
        <v>0</v>
      </c>
      <c r="AH7940" s="580">
        <f t="shared" si="660"/>
        <v>0</v>
      </c>
    </row>
    <row r="7941" spans="28:34">
      <c r="AB7941" s="580">
        <f>HLOOKUP("*"&amp;'Output annual'!$AC$2&amp;'Output annual'!$AD$2&amp;"*Zone People Number Of Occupants [](Hourly)",'Eplus results'!$1:$1048576,ROW(),FALSE)</f>
        <v>0</v>
      </c>
      <c r="AC7941" s="580">
        <f>HLOOKUP("*"&amp;'Output annual'!$AC$2&amp;'Output annual'!$AD$2&amp;"*FangerPMV(Hourly)",'Eplus results'!$1:$1048576,ROW(),FALSE)</f>
        <v>0</v>
      </c>
      <c r="AD7941" s="580">
        <f t="shared" si="656"/>
        <v>5</v>
      </c>
      <c r="AE7941" s="580">
        <f t="shared" si="657"/>
        <v>2.5</v>
      </c>
      <c r="AF7941" s="580">
        <f t="shared" si="658"/>
        <v>2.5</v>
      </c>
      <c r="AG7941" s="580">
        <f t="shared" si="659"/>
        <v>0</v>
      </c>
      <c r="AH7941" s="580">
        <f t="shared" si="660"/>
        <v>0</v>
      </c>
    </row>
    <row r="7942" spans="28:34">
      <c r="AB7942" s="580">
        <f>HLOOKUP("*"&amp;'Output annual'!$AC$2&amp;'Output annual'!$AD$2&amp;"*Zone People Number Of Occupants [](Hourly)",'Eplus results'!$1:$1048576,ROW(),FALSE)</f>
        <v>0</v>
      </c>
      <c r="AC7942" s="580">
        <f>HLOOKUP("*"&amp;'Output annual'!$AC$2&amp;'Output annual'!$AD$2&amp;"*FangerPMV(Hourly)",'Eplus results'!$1:$1048576,ROW(),FALSE)</f>
        <v>0</v>
      </c>
      <c r="AD7942" s="580">
        <f t="shared" si="656"/>
        <v>5</v>
      </c>
      <c r="AE7942" s="580">
        <f t="shared" si="657"/>
        <v>2.5</v>
      </c>
      <c r="AF7942" s="580">
        <f t="shared" si="658"/>
        <v>2.5</v>
      </c>
      <c r="AG7942" s="580">
        <f t="shared" si="659"/>
        <v>0</v>
      </c>
      <c r="AH7942" s="580">
        <f t="shared" si="660"/>
        <v>0</v>
      </c>
    </row>
    <row r="7943" spans="28:34">
      <c r="AB7943" s="580">
        <f>HLOOKUP("*"&amp;'Output annual'!$AC$2&amp;'Output annual'!$AD$2&amp;"*Zone People Number Of Occupants [](Hourly)",'Eplus results'!$1:$1048576,ROW(),FALSE)</f>
        <v>0</v>
      </c>
      <c r="AC7943" s="580">
        <f>HLOOKUP("*"&amp;'Output annual'!$AC$2&amp;'Output annual'!$AD$2&amp;"*FangerPMV(Hourly)",'Eplus results'!$1:$1048576,ROW(),FALSE)</f>
        <v>0</v>
      </c>
      <c r="AD7943" s="580">
        <f t="shared" si="656"/>
        <v>5</v>
      </c>
      <c r="AE7943" s="580">
        <f t="shared" si="657"/>
        <v>2.5</v>
      </c>
      <c r="AF7943" s="580">
        <f t="shared" si="658"/>
        <v>2.5</v>
      </c>
      <c r="AG7943" s="580">
        <f t="shared" si="659"/>
        <v>0</v>
      </c>
      <c r="AH7943" s="580">
        <f t="shared" si="660"/>
        <v>0</v>
      </c>
    </row>
    <row r="7944" spans="28:34">
      <c r="AB7944" s="580">
        <f>HLOOKUP("*"&amp;'Output annual'!$AC$2&amp;'Output annual'!$AD$2&amp;"*Zone People Number Of Occupants [](Hourly)",'Eplus results'!$1:$1048576,ROW(),FALSE)</f>
        <v>0</v>
      </c>
      <c r="AC7944" s="580">
        <f>HLOOKUP("*"&amp;'Output annual'!$AC$2&amp;'Output annual'!$AD$2&amp;"*FangerPMV(Hourly)",'Eplus results'!$1:$1048576,ROW(),FALSE)</f>
        <v>0</v>
      </c>
      <c r="AD7944" s="580">
        <f t="shared" si="656"/>
        <v>5</v>
      </c>
      <c r="AE7944" s="580">
        <f t="shared" si="657"/>
        <v>2.5</v>
      </c>
      <c r="AF7944" s="580">
        <f t="shared" si="658"/>
        <v>2.5</v>
      </c>
      <c r="AG7944" s="580">
        <f t="shared" si="659"/>
        <v>0</v>
      </c>
      <c r="AH7944" s="580">
        <f t="shared" si="660"/>
        <v>0</v>
      </c>
    </row>
    <row r="7945" spans="28:34">
      <c r="AB7945" s="580">
        <f>HLOOKUP("*"&amp;'Output annual'!$AC$2&amp;'Output annual'!$AD$2&amp;"*Zone People Number Of Occupants [](Hourly)",'Eplus results'!$1:$1048576,ROW(),FALSE)</f>
        <v>0</v>
      </c>
      <c r="AC7945" s="580">
        <f>HLOOKUP("*"&amp;'Output annual'!$AC$2&amp;'Output annual'!$AD$2&amp;"*FangerPMV(Hourly)",'Eplus results'!$1:$1048576,ROW(),FALSE)</f>
        <v>0</v>
      </c>
      <c r="AD7945" s="580">
        <f t="shared" si="656"/>
        <v>5</v>
      </c>
      <c r="AE7945" s="580">
        <f t="shared" si="657"/>
        <v>2.5</v>
      </c>
      <c r="AF7945" s="580">
        <f t="shared" si="658"/>
        <v>2.5</v>
      </c>
      <c r="AG7945" s="580">
        <f t="shared" si="659"/>
        <v>0</v>
      </c>
      <c r="AH7945" s="580">
        <f t="shared" si="660"/>
        <v>0</v>
      </c>
    </row>
    <row r="7946" spans="28:34">
      <c r="AB7946" s="580">
        <f>HLOOKUP("*"&amp;'Output annual'!$AC$2&amp;'Output annual'!$AD$2&amp;"*Zone People Number Of Occupants [](Hourly)",'Eplus results'!$1:$1048576,ROW(),FALSE)</f>
        <v>0</v>
      </c>
      <c r="AC7946" s="580">
        <f>HLOOKUP("*"&amp;'Output annual'!$AC$2&amp;'Output annual'!$AD$2&amp;"*FangerPMV(Hourly)",'Eplus results'!$1:$1048576,ROW(),FALSE)</f>
        <v>0</v>
      </c>
      <c r="AD7946" s="580">
        <f t="shared" si="656"/>
        <v>5</v>
      </c>
      <c r="AE7946" s="580">
        <f t="shared" si="657"/>
        <v>2.5</v>
      </c>
      <c r="AF7946" s="580">
        <f t="shared" si="658"/>
        <v>2.5</v>
      </c>
      <c r="AG7946" s="580">
        <f t="shared" si="659"/>
        <v>0</v>
      </c>
      <c r="AH7946" s="580">
        <f t="shared" si="660"/>
        <v>0</v>
      </c>
    </row>
    <row r="7947" spans="28:34">
      <c r="AB7947" s="580">
        <f>HLOOKUP("*"&amp;'Output annual'!$AC$2&amp;'Output annual'!$AD$2&amp;"*Zone People Number Of Occupants [](Hourly)",'Eplus results'!$1:$1048576,ROW(),FALSE)</f>
        <v>0</v>
      </c>
      <c r="AC7947" s="580">
        <f>HLOOKUP("*"&amp;'Output annual'!$AC$2&amp;'Output annual'!$AD$2&amp;"*FangerPMV(Hourly)",'Eplus results'!$1:$1048576,ROW(),FALSE)</f>
        <v>0</v>
      </c>
      <c r="AD7947" s="580">
        <f t="shared" si="656"/>
        <v>5</v>
      </c>
      <c r="AE7947" s="580">
        <f t="shared" si="657"/>
        <v>2.5</v>
      </c>
      <c r="AF7947" s="580">
        <f t="shared" si="658"/>
        <v>2.5</v>
      </c>
      <c r="AG7947" s="580">
        <f t="shared" si="659"/>
        <v>0</v>
      </c>
      <c r="AH7947" s="580">
        <f t="shared" si="660"/>
        <v>0</v>
      </c>
    </row>
    <row r="7948" spans="28:34">
      <c r="AB7948" s="580">
        <f>HLOOKUP("*"&amp;'Output annual'!$AC$2&amp;'Output annual'!$AD$2&amp;"*Zone People Number Of Occupants [](Hourly)",'Eplus results'!$1:$1048576,ROW(),FALSE)</f>
        <v>0</v>
      </c>
      <c r="AC7948" s="580">
        <f>HLOOKUP("*"&amp;'Output annual'!$AC$2&amp;'Output annual'!$AD$2&amp;"*FangerPMV(Hourly)",'Eplus results'!$1:$1048576,ROW(),FALSE)</f>
        <v>0</v>
      </c>
      <c r="AD7948" s="580">
        <f t="shared" si="656"/>
        <v>5</v>
      </c>
      <c r="AE7948" s="580">
        <f t="shared" si="657"/>
        <v>2.5</v>
      </c>
      <c r="AF7948" s="580">
        <f t="shared" si="658"/>
        <v>2.5</v>
      </c>
      <c r="AG7948" s="580">
        <f t="shared" si="659"/>
        <v>0</v>
      </c>
      <c r="AH7948" s="580">
        <f t="shared" si="660"/>
        <v>0</v>
      </c>
    </row>
    <row r="7949" spans="28:34">
      <c r="AB7949" s="580">
        <f>HLOOKUP("*"&amp;'Output annual'!$AC$2&amp;'Output annual'!$AD$2&amp;"*Zone People Number Of Occupants [](Hourly)",'Eplus results'!$1:$1048576,ROW(),FALSE)</f>
        <v>0</v>
      </c>
      <c r="AC7949" s="580">
        <f>HLOOKUP("*"&amp;'Output annual'!$AC$2&amp;'Output annual'!$AD$2&amp;"*FangerPMV(Hourly)",'Eplus results'!$1:$1048576,ROW(),FALSE)</f>
        <v>0</v>
      </c>
      <c r="AD7949" s="580">
        <f t="shared" si="656"/>
        <v>5</v>
      </c>
      <c r="AE7949" s="580">
        <f t="shared" si="657"/>
        <v>2.5</v>
      </c>
      <c r="AF7949" s="580">
        <f t="shared" si="658"/>
        <v>2.5</v>
      </c>
      <c r="AG7949" s="580">
        <f t="shared" si="659"/>
        <v>0</v>
      </c>
      <c r="AH7949" s="580">
        <f t="shared" si="660"/>
        <v>0</v>
      </c>
    </row>
    <row r="7950" spans="28:34">
      <c r="AB7950" s="580">
        <f>HLOOKUP("*"&amp;'Output annual'!$AC$2&amp;'Output annual'!$AD$2&amp;"*Zone People Number Of Occupants [](Hourly)",'Eplus results'!$1:$1048576,ROW(),FALSE)</f>
        <v>0</v>
      </c>
      <c r="AC7950" s="580">
        <f>HLOOKUP("*"&amp;'Output annual'!$AC$2&amp;'Output annual'!$AD$2&amp;"*FangerPMV(Hourly)",'Eplus results'!$1:$1048576,ROW(),FALSE)</f>
        <v>0</v>
      </c>
      <c r="AD7950" s="580">
        <f t="shared" si="656"/>
        <v>5</v>
      </c>
      <c r="AE7950" s="580">
        <f t="shared" si="657"/>
        <v>2.5</v>
      </c>
      <c r="AF7950" s="580">
        <f t="shared" si="658"/>
        <v>2.5</v>
      </c>
      <c r="AG7950" s="580">
        <f t="shared" si="659"/>
        <v>0</v>
      </c>
      <c r="AH7950" s="580">
        <f t="shared" si="660"/>
        <v>0</v>
      </c>
    </row>
    <row r="7951" spans="28:34">
      <c r="AB7951" s="580">
        <f>HLOOKUP("*"&amp;'Output annual'!$AC$2&amp;'Output annual'!$AD$2&amp;"*Zone People Number Of Occupants [](Hourly)",'Eplus results'!$1:$1048576,ROW(),FALSE)</f>
        <v>0</v>
      </c>
      <c r="AC7951" s="580">
        <f>HLOOKUP("*"&amp;'Output annual'!$AC$2&amp;'Output annual'!$AD$2&amp;"*FangerPMV(Hourly)",'Eplus results'!$1:$1048576,ROW(),FALSE)</f>
        <v>0</v>
      </c>
      <c r="AD7951" s="580">
        <f t="shared" si="656"/>
        <v>5</v>
      </c>
      <c r="AE7951" s="580">
        <f t="shared" si="657"/>
        <v>2.5</v>
      </c>
      <c r="AF7951" s="580">
        <f t="shared" si="658"/>
        <v>2.5</v>
      </c>
      <c r="AG7951" s="580">
        <f t="shared" si="659"/>
        <v>0</v>
      </c>
      <c r="AH7951" s="580">
        <f t="shared" si="660"/>
        <v>0</v>
      </c>
    </row>
    <row r="7952" spans="28:34">
      <c r="AB7952" s="580">
        <f>HLOOKUP("*"&amp;'Output annual'!$AC$2&amp;'Output annual'!$AD$2&amp;"*Zone People Number Of Occupants [](Hourly)",'Eplus results'!$1:$1048576,ROW(),FALSE)</f>
        <v>0</v>
      </c>
      <c r="AC7952" s="580">
        <f>HLOOKUP("*"&amp;'Output annual'!$AC$2&amp;'Output annual'!$AD$2&amp;"*FangerPMV(Hourly)",'Eplus results'!$1:$1048576,ROW(),FALSE)</f>
        <v>0</v>
      </c>
      <c r="AD7952" s="580">
        <f t="shared" si="656"/>
        <v>5</v>
      </c>
      <c r="AE7952" s="580">
        <f t="shared" si="657"/>
        <v>2.5</v>
      </c>
      <c r="AF7952" s="580">
        <f t="shared" si="658"/>
        <v>2.5</v>
      </c>
      <c r="AG7952" s="580">
        <f t="shared" si="659"/>
        <v>0</v>
      </c>
      <c r="AH7952" s="580">
        <f t="shared" si="660"/>
        <v>0</v>
      </c>
    </row>
    <row r="7953" spans="28:34">
      <c r="AB7953" s="580">
        <f>HLOOKUP("*"&amp;'Output annual'!$AC$2&amp;'Output annual'!$AD$2&amp;"*Zone People Number Of Occupants [](Hourly)",'Eplus results'!$1:$1048576,ROW(),FALSE)</f>
        <v>0</v>
      </c>
      <c r="AC7953" s="580">
        <f>HLOOKUP("*"&amp;'Output annual'!$AC$2&amp;'Output annual'!$AD$2&amp;"*FangerPMV(Hourly)",'Eplus results'!$1:$1048576,ROW(),FALSE)</f>
        <v>0</v>
      </c>
      <c r="AD7953" s="580">
        <f t="shared" si="656"/>
        <v>5</v>
      </c>
      <c r="AE7953" s="580">
        <f t="shared" si="657"/>
        <v>2.5</v>
      </c>
      <c r="AF7953" s="580">
        <f t="shared" si="658"/>
        <v>2.5</v>
      </c>
      <c r="AG7953" s="580">
        <f t="shared" si="659"/>
        <v>0</v>
      </c>
      <c r="AH7953" s="580">
        <f t="shared" si="660"/>
        <v>0</v>
      </c>
    </row>
    <row r="7954" spans="28:34">
      <c r="AB7954" s="580">
        <f>HLOOKUP("*"&amp;'Output annual'!$AC$2&amp;'Output annual'!$AD$2&amp;"*Zone People Number Of Occupants [](Hourly)",'Eplus results'!$1:$1048576,ROW(),FALSE)</f>
        <v>0</v>
      </c>
      <c r="AC7954" s="580">
        <f>HLOOKUP("*"&amp;'Output annual'!$AC$2&amp;'Output annual'!$AD$2&amp;"*FangerPMV(Hourly)",'Eplus results'!$1:$1048576,ROW(),FALSE)</f>
        <v>0</v>
      </c>
      <c r="AD7954" s="580">
        <f t="shared" si="656"/>
        <v>5</v>
      </c>
      <c r="AE7954" s="580">
        <f t="shared" si="657"/>
        <v>2.5</v>
      </c>
      <c r="AF7954" s="580">
        <f t="shared" si="658"/>
        <v>2.5</v>
      </c>
      <c r="AG7954" s="580">
        <f t="shared" si="659"/>
        <v>0</v>
      </c>
      <c r="AH7954" s="580">
        <f t="shared" si="660"/>
        <v>0</v>
      </c>
    </row>
    <row r="7955" spans="28:34">
      <c r="AB7955" s="580">
        <f>HLOOKUP("*"&amp;'Output annual'!$AC$2&amp;'Output annual'!$AD$2&amp;"*Zone People Number Of Occupants [](Hourly)",'Eplus results'!$1:$1048576,ROW(),FALSE)</f>
        <v>0</v>
      </c>
      <c r="AC7955" s="580">
        <f>HLOOKUP("*"&amp;'Output annual'!$AC$2&amp;'Output annual'!$AD$2&amp;"*FangerPMV(Hourly)",'Eplus results'!$1:$1048576,ROW(),FALSE)</f>
        <v>0</v>
      </c>
      <c r="AD7955" s="580">
        <f t="shared" si="656"/>
        <v>5</v>
      </c>
      <c r="AE7955" s="580">
        <f t="shared" si="657"/>
        <v>2.5</v>
      </c>
      <c r="AF7955" s="580">
        <f t="shared" si="658"/>
        <v>2.5</v>
      </c>
      <c r="AG7955" s="580">
        <f t="shared" si="659"/>
        <v>0</v>
      </c>
      <c r="AH7955" s="580">
        <f t="shared" si="660"/>
        <v>0</v>
      </c>
    </row>
    <row r="7956" spans="28:34">
      <c r="AB7956" s="580">
        <f>HLOOKUP("*"&amp;'Output annual'!$AC$2&amp;'Output annual'!$AD$2&amp;"*Zone People Number Of Occupants [](Hourly)",'Eplus results'!$1:$1048576,ROW(),FALSE)</f>
        <v>0</v>
      </c>
      <c r="AC7956" s="580">
        <f>HLOOKUP("*"&amp;'Output annual'!$AC$2&amp;'Output annual'!$AD$2&amp;"*FangerPMV(Hourly)",'Eplus results'!$1:$1048576,ROW(),FALSE)</f>
        <v>0</v>
      </c>
      <c r="AD7956" s="580">
        <f t="shared" si="656"/>
        <v>5</v>
      </c>
      <c r="AE7956" s="580">
        <f t="shared" si="657"/>
        <v>2.5</v>
      </c>
      <c r="AF7956" s="580">
        <f t="shared" si="658"/>
        <v>2.5</v>
      </c>
      <c r="AG7956" s="580">
        <f t="shared" si="659"/>
        <v>0</v>
      </c>
      <c r="AH7956" s="580">
        <f t="shared" si="660"/>
        <v>0</v>
      </c>
    </row>
    <row r="7957" spans="28:34">
      <c r="AB7957" s="580">
        <f>HLOOKUP("*"&amp;'Output annual'!$AC$2&amp;'Output annual'!$AD$2&amp;"*Zone People Number Of Occupants [](Hourly)",'Eplus results'!$1:$1048576,ROW(),FALSE)</f>
        <v>0</v>
      </c>
      <c r="AC7957" s="580">
        <f>HLOOKUP("*"&amp;'Output annual'!$AC$2&amp;'Output annual'!$AD$2&amp;"*FangerPMV(Hourly)",'Eplus results'!$1:$1048576,ROW(),FALSE)</f>
        <v>0</v>
      </c>
      <c r="AD7957" s="580">
        <f t="shared" si="656"/>
        <v>5</v>
      </c>
      <c r="AE7957" s="580">
        <f t="shared" si="657"/>
        <v>2.5</v>
      </c>
      <c r="AF7957" s="580">
        <f t="shared" si="658"/>
        <v>2.5</v>
      </c>
      <c r="AG7957" s="580">
        <f t="shared" si="659"/>
        <v>0</v>
      </c>
      <c r="AH7957" s="580">
        <f t="shared" si="660"/>
        <v>0</v>
      </c>
    </row>
    <row r="7958" spans="28:34">
      <c r="AB7958" s="580">
        <f>HLOOKUP("*"&amp;'Output annual'!$AC$2&amp;'Output annual'!$AD$2&amp;"*Zone People Number Of Occupants [](Hourly)",'Eplus results'!$1:$1048576,ROW(),FALSE)</f>
        <v>0</v>
      </c>
      <c r="AC7958" s="580">
        <f>HLOOKUP("*"&amp;'Output annual'!$AC$2&amp;'Output annual'!$AD$2&amp;"*FangerPMV(Hourly)",'Eplus results'!$1:$1048576,ROW(),FALSE)</f>
        <v>0</v>
      </c>
      <c r="AD7958" s="580">
        <f t="shared" si="656"/>
        <v>5</v>
      </c>
      <c r="AE7958" s="580">
        <f t="shared" si="657"/>
        <v>2.5</v>
      </c>
      <c r="AF7958" s="580">
        <f t="shared" si="658"/>
        <v>2.5</v>
      </c>
      <c r="AG7958" s="580">
        <f t="shared" si="659"/>
        <v>0</v>
      </c>
      <c r="AH7958" s="580">
        <f t="shared" si="660"/>
        <v>0</v>
      </c>
    </row>
    <row r="7959" spans="28:34">
      <c r="AB7959" s="580">
        <f>HLOOKUP("*"&amp;'Output annual'!$AC$2&amp;'Output annual'!$AD$2&amp;"*Zone People Number Of Occupants [](Hourly)",'Eplus results'!$1:$1048576,ROW(),FALSE)</f>
        <v>0</v>
      </c>
      <c r="AC7959" s="580">
        <f>HLOOKUP("*"&amp;'Output annual'!$AC$2&amp;'Output annual'!$AD$2&amp;"*FangerPMV(Hourly)",'Eplus results'!$1:$1048576,ROW(),FALSE)</f>
        <v>0</v>
      </c>
      <c r="AD7959" s="580">
        <f t="shared" si="656"/>
        <v>5</v>
      </c>
      <c r="AE7959" s="580">
        <f t="shared" si="657"/>
        <v>2.5</v>
      </c>
      <c r="AF7959" s="580">
        <f t="shared" si="658"/>
        <v>2.5</v>
      </c>
      <c r="AG7959" s="580">
        <f t="shared" si="659"/>
        <v>0</v>
      </c>
      <c r="AH7959" s="580">
        <f t="shared" si="660"/>
        <v>0</v>
      </c>
    </row>
    <row r="7960" spans="28:34">
      <c r="AB7960" s="580">
        <f>HLOOKUP("*"&amp;'Output annual'!$AC$2&amp;'Output annual'!$AD$2&amp;"*Zone People Number Of Occupants [](Hourly)",'Eplus results'!$1:$1048576,ROW(),FALSE)</f>
        <v>0</v>
      </c>
      <c r="AC7960" s="580">
        <f>HLOOKUP("*"&amp;'Output annual'!$AC$2&amp;'Output annual'!$AD$2&amp;"*FangerPMV(Hourly)",'Eplus results'!$1:$1048576,ROW(),FALSE)</f>
        <v>0</v>
      </c>
      <c r="AD7960" s="580">
        <f t="shared" si="656"/>
        <v>5</v>
      </c>
      <c r="AE7960" s="580">
        <f t="shared" si="657"/>
        <v>2.5</v>
      </c>
      <c r="AF7960" s="580">
        <f t="shared" si="658"/>
        <v>2.5</v>
      </c>
      <c r="AG7960" s="580">
        <f t="shared" si="659"/>
        <v>0</v>
      </c>
      <c r="AH7960" s="580">
        <f t="shared" si="660"/>
        <v>0</v>
      </c>
    </row>
    <row r="7961" spans="28:34">
      <c r="AB7961" s="580">
        <f>HLOOKUP("*"&amp;'Output annual'!$AC$2&amp;'Output annual'!$AD$2&amp;"*Zone People Number Of Occupants [](Hourly)",'Eplus results'!$1:$1048576,ROW(),FALSE)</f>
        <v>0</v>
      </c>
      <c r="AC7961" s="580">
        <f>HLOOKUP("*"&amp;'Output annual'!$AC$2&amp;'Output annual'!$AD$2&amp;"*FangerPMV(Hourly)",'Eplus results'!$1:$1048576,ROW(),FALSE)</f>
        <v>0</v>
      </c>
      <c r="AD7961" s="580">
        <f t="shared" si="656"/>
        <v>5</v>
      </c>
      <c r="AE7961" s="580">
        <f t="shared" si="657"/>
        <v>2.5</v>
      </c>
      <c r="AF7961" s="580">
        <f t="shared" si="658"/>
        <v>2.5</v>
      </c>
      <c r="AG7961" s="580">
        <f t="shared" si="659"/>
        <v>0</v>
      </c>
      <c r="AH7961" s="580">
        <f t="shared" si="660"/>
        <v>0</v>
      </c>
    </row>
    <row r="7962" spans="28:34">
      <c r="AB7962" s="580">
        <f>HLOOKUP("*"&amp;'Output annual'!$AC$2&amp;'Output annual'!$AD$2&amp;"*Zone People Number Of Occupants [](Hourly)",'Eplus results'!$1:$1048576,ROW(),FALSE)</f>
        <v>0</v>
      </c>
      <c r="AC7962" s="580">
        <f>HLOOKUP("*"&amp;'Output annual'!$AC$2&amp;'Output annual'!$AD$2&amp;"*FangerPMV(Hourly)",'Eplus results'!$1:$1048576,ROW(),FALSE)</f>
        <v>0</v>
      </c>
      <c r="AD7962" s="580">
        <f t="shared" si="656"/>
        <v>5</v>
      </c>
      <c r="AE7962" s="580">
        <f t="shared" si="657"/>
        <v>2.5</v>
      </c>
      <c r="AF7962" s="580">
        <f t="shared" si="658"/>
        <v>2.5</v>
      </c>
      <c r="AG7962" s="580">
        <f t="shared" si="659"/>
        <v>0</v>
      </c>
      <c r="AH7962" s="580">
        <f t="shared" si="660"/>
        <v>0</v>
      </c>
    </row>
    <row r="7963" spans="28:34">
      <c r="AB7963" s="580">
        <f>HLOOKUP("*"&amp;'Output annual'!$AC$2&amp;'Output annual'!$AD$2&amp;"*Zone People Number Of Occupants [](Hourly)",'Eplus results'!$1:$1048576,ROW(),FALSE)</f>
        <v>0</v>
      </c>
      <c r="AC7963" s="580">
        <f>HLOOKUP("*"&amp;'Output annual'!$AC$2&amp;'Output annual'!$AD$2&amp;"*FangerPMV(Hourly)",'Eplus results'!$1:$1048576,ROW(),FALSE)</f>
        <v>0</v>
      </c>
      <c r="AD7963" s="580">
        <f t="shared" si="656"/>
        <v>5</v>
      </c>
      <c r="AE7963" s="580">
        <f t="shared" si="657"/>
        <v>2.5</v>
      </c>
      <c r="AF7963" s="580">
        <f t="shared" si="658"/>
        <v>2.5</v>
      </c>
      <c r="AG7963" s="580">
        <f t="shared" si="659"/>
        <v>0</v>
      </c>
      <c r="AH7963" s="580">
        <f t="shared" si="660"/>
        <v>0</v>
      </c>
    </row>
    <row r="7964" spans="28:34">
      <c r="AB7964" s="580">
        <f>HLOOKUP("*"&amp;'Output annual'!$AC$2&amp;'Output annual'!$AD$2&amp;"*Zone People Number Of Occupants [](Hourly)",'Eplus results'!$1:$1048576,ROW(),FALSE)</f>
        <v>0</v>
      </c>
      <c r="AC7964" s="580">
        <f>HLOOKUP("*"&amp;'Output annual'!$AC$2&amp;'Output annual'!$AD$2&amp;"*FangerPMV(Hourly)",'Eplus results'!$1:$1048576,ROW(),FALSE)</f>
        <v>0</v>
      </c>
      <c r="AD7964" s="580">
        <f t="shared" si="656"/>
        <v>5</v>
      </c>
      <c r="AE7964" s="580">
        <f t="shared" si="657"/>
        <v>2.5</v>
      </c>
      <c r="AF7964" s="580">
        <f t="shared" si="658"/>
        <v>2.5</v>
      </c>
      <c r="AG7964" s="580">
        <f t="shared" si="659"/>
        <v>0</v>
      </c>
      <c r="AH7964" s="580">
        <f t="shared" si="660"/>
        <v>0</v>
      </c>
    </row>
    <row r="7965" spans="28:34">
      <c r="AB7965" s="580">
        <f>HLOOKUP("*"&amp;'Output annual'!$AC$2&amp;'Output annual'!$AD$2&amp;"*Zone People Number Of Occupants [](Hourly)",'Eplus results'!$1:$1048576,ROW(),FALSE)</f>
        <v>0</v>
      </c>
      <c r="AC7965" s="580">
        <f>HLOOKUP("*"&amp;'Output annual'!$AC$2&amp;'Output annual'!$AD$2&amp;"*FangerPMV(Hourly)",'Eplus results'!$1:$1048576,ROW(),FALSE)</f>
        <v>0</v>
      </c>
      <c r="AD7965" s="580">
        <f t="shared" si="656"/>
        <v>5</v>
      </c>
      <c r="AE7965" s="580">
        <f t="shared" si="657"/>
        <v>2.5</v>
      </c>
      <c r="AF7965" s="580">
        <f t="shared" si="658"/>
        <v>2.5</v>
      </c>
      <c r="AG7965" s="580">
        <f t="shared" si="659"/>
        <v>0</v>
      </c>
      <c r="AH7965" s="580">
        <f t="shared" si="660"/>
        <v>0</v>
      </c>
    </row>
    <row r="7966" spans="28:34">
      <c r="AB7966" s="580">
        <f>HLOOKUP("*"&amp;'Output annual'!$AC$2&amp;'Output annual'!$AD$2&amp;"*Zone People Number Of Occupants [](Hourly)",'Eplus results'!$1:$1048576,ROW(),FALSE)</f>
        <v>0</v>
      </c>
      <c r="AC7966" s="580">
        <f>HLOOKUP("*"&amp;'Output annual'!$AC$2&amp;'Output annual'!$AD$2&amp;"*FangerPMV(Hourly)",'Eplus results'!$1:$1048576,ROW(),FALSE)</f>
        <v>0</v>
      </c>
      <c r="AD7966" s="580">
        <f t="shared" si="656"/>
        <v>5</v>
      </c>
      <c r="AE7966" s="580">
        <f t="shared" si="657"/>
        <v>2.5</v>
      </c>
      <c r="AF7966" s="580">
        <f t="shared" si="658"/>
        <v>2.5</v>
      </c>
      <c r="AG7966" s="580">
        <f t="shared" si="659"/>
        <v>0</v>
      </c>
      <c r="AH7966" s="580">
        <f t="shared" si="660"/>
        <v>0</v>
      </c>
    </row>
    <row r="7967" spans="28:34">
      <c r="AB7967" s="580">
        <f>HLOOKUP("*"&amp;'Output annual'!$AC$2&amp;'Output annual'!$AD$2&amp;"*Zone People Number Of Occupants [](Hourly)",'Eplus results'!$1:$1048576,ROW(),FALSE)</f>
        <v>0</v>
      </c>
      <c r="AC7967" s="580">
        <f>HLOOKUP("*"&amp;'Output annual'!$AC$2&amp;'Output annual'!$AD$2&amp;"*FangerPMV(Hourly)",'Eplus results'!$1:$1048576,ROW(),FALSE)</f>
        <v>0</v>
      </c>
      <c r="AD7967" s="580">
        <f t="shared" si="656"/>
        <v>5</v>
      </c>
      <c r="AE7967" s="580">
        <f t="shared" si="657"/>
        <v>2.5</v>
      </c>
      <c r="AF7967" s="580">
        <f t="shared" si="658"/>
        <v>2.5</v>
      </c>
      <c r="AG7967" s="580">
        <f t="shared" si="659"/>
        <v>0</v>
      </c>
      <c r="AH7967" s="580">
        <f t="shared" si="660"/>
        <v>0</v>
      </c>
    </row>
    <row r="7968" spans="28:34">
      <c r="AB7968" s="580">
        <f>HLOOKUP("*"&amp;'Output annual'!$AC$2&amp;'Output annual'!$AD$2&amp;"*Zone People Number Of Occupants [](Hourly)",'Eplus results'!$1:$1048576,ROW(),FALSE)</f>
        <v>0</v>
      </c>
      <c r="AC7968" s="580">
        <f>HLOOKUP("*"&amp;'Output annual'!$AC$2&amp;'Output annual'!$AD$2&amp;"*FangerPMV(Hourly)",'Eplus results'!$1:$1048576,ROW(),FALSE)</f>
        <v>0</v>
      </c>
      <c r="AD7968" s="580">
        <f t="shared" si="656"/>
        <v>5</v>
      </c>
      <c r="AE7968" s="580">
        <f t="shared" si="657"/>
        <v>2.5</v>
      </c>
      <c r="AF7968" s="580">
        <f t="shared" si="658"/>
        <v>2.5</v>
      </c>
      <c r="AG7968" s="580">
        <f t="shared" si="659"/>
        <v>0</v>
      </c>
      <c r="AH7968" s="580">
        <f t="shared" si="660"/>
        <v>0</v>
      </c>
    </row>
    <row r="7969" spans="28:34">
      <c r="AB7969" s="580">
        <f>HLOOKUP("*"&amp;'Output annual'!$AC$2&amp;'Output annual'!$AD$2&amp;"*Zone People Number Of Occupants [](Hourly)",'Eplus results'!$1:$1048576,ROW(),FALSE)</f>
        <v>0</v>
      </c>
      <c r="AC7969" s="580">
        <f>HLOOKUP("*"&amp;'Output annual'!$AC$2&amp;'Output annual'!$AD$2&amp;"*FangerPMV(Hourly)",'Eplus results'!$1:$1048576,ROW(),FALSE)</f>
        <v>0</v>
      </c>
      <c r="AD7969" s="580">
        <f t="shared" si="656"/>
        <v>5</v>
      </c>
      <c r="AE7969" s="580">
        <f t="shared" si="657"/>
        <v>2.5</v>
      </c>
      <c r="AF7969" s="580">
        <f t="shared" si="658"/>
        <v>2.5</v>
      </c>
      <c r="AG7969" s="580">
        <f t="shared" si="659"/>
        <v>0</v>
      </c>
      <c r="AH7969" s="580">
        <f t="shared" si="660"/>
        <v>0</v>
      </c>
    </row>
    <row r="7970" spans="28:34">
      <c r="AB7970" s="580">
        <f>HLOOKUP("*"&amp;'Output annual'!$AC$2&amp;'Output annual'!$AD$2&amp;"*Zone People Number Of Occupants [](Hourly)",'Eplus results'!$1:$1048576,ROW(),FALSE)</f>
        <v>0</v>
      </c>
      <c r="AC7970" s="580">
        <f>HLOOKUP("*"&amp;'Output annual'!$AC$2&amp;'Output annual'!$AD$2&amp;"*FangerPMV(Hourly)",'Eplus results'!$1:$1048576,ROW(),FALSE)</f>
        <v>0</v>
      </c>
      <c r="AD7970" s="580">
        <f t="shared" si="656"/>
        <v>5</v>
      </c>
      <c r="AE7970" s="580">
        <f t="shared" si="657"/>
        <v>2.5</v>
      </c>
      <c r="AF7970" s="580">
        <f t="shared" si="658"/>
        <v>2.5</v>
      </c>
      <c r="AG7970" s="580">
        <f t="shared" si="659"/>
        <v>0</v>
      </c>
      <c r="AH7970" s="580">
        <f t="shared" si="660"/>
        <v>0</v>
      </c>
    </row>
    <row r="7971" spans="28:34">
      <c r="AB7971" s="580">
        <f>HLOOKUP("*"&amp;'Output annual'!$AC$2&amp;'Output annual'!$AD$2&amp;"*Zone People Number Of Occupants [](Hourly)",'Eplus results'!$1:$1048576,ROW(),FALSE)</f>
        <v>0</v>
      </c>
      <c r="AC7971" s="580">
        <f>HLOOKUP("*"&amp;'Output annual'!$AC$2&amp;'Output annual'!$AD$2&amp;"*FangerPMV(Hourly)",'Eplus results'!$1:$1048576,ROW(),FALSE)</f>
        <v>0</v>
      </c>
      <c r="AD7971" s="580">
        <f t="shared" si="656"/>
        <v>5</v>
      </c>
      <c r="AE7971" s="580">
        <f t="shared" si="657"/>
        <v>2.5</v>
      </c>
      <c r="AF7971" s="580">
        <f t="shared" si="658"/>
        <v>2.5</v>
      </c>
      <c r="AG7971" s="580">
        <f t="shared" si="659"/>
        <v>0</v>
      </c>
      <c r="AH7971" s="580">
        <f t="shared" si="660"/>
        <v>0</v>
      </c>
    </row>
    <row r="7972" spans="28:34">
      <c r="AB7972" s="580">
        <f>HLOOKUP("*"&amp;'Output annual'!$AC$2&amp;'Output annual'!$AD$2&amp;"*Zone People Number Of Occupants [](Hourly)",'Eplus results'!$1:$1048576,ROW(),FALSE)</f>
        <v>0</v>
      </c>
      <c r="AC7972" s="580">
        <f>HLOOKUP("*"&amp;'Output annual'!$AC$2&amp;'Output annual'!$AD$2&amp;"*FangerPMV(Hourly)",'Eplus results'!$1:$1048576,ROW(),FALSE)</f>
        <v>0</v>
      </c>
      <c r="AD7972" s="580">
        <f t="shared" si="656"/>
        <v>5</v>
      </c>
      <c r="AE7972" s="580">
        <f t="shared" si="657"/>
        <v>2.5</v>
      </c>
      <c r="AF7972" s="580">
        <f t="shared" si="658"/>
        <v>2.5</v>
      </c>
      <c r="AG7972" s="580">
        <f t="shared" si="659"/>
        <v>0</v>
      </c>
      <c r="AH7972" s="580">
        <f t="shared" si="660"/>
        <v>0</v>
      </c>
    </row>
    <row r="7973" spans="28:34">
      <c r="AB7973" s="580">
        <f>HLOOKUP("*"&amp;'Output annual'!$AC$2&amp;'Output annual'!$AD$2&amp;"*Zone People Number Of Occupants [](Hourly)",'Eplus results'!$1:$1048576,ROW(),FALSE)</f>
        <v>0</v>
      </c>
      <c r="AC7973" s="580">
        <f>HLOOKUP("*"&amp;'Output annual'!$AC$2&amp;'Output annual'!$AD$2&amp;"*FangerPMV(Hourly)",'Eplus results'!$1:$1048576,ROW(),FALSE)</f>
        <v>0</v>
      </c>
      <c r="AD7973" s="580">
        <f t="shared" si="656"/>
        <v>5</v>
      </c>
      <c r="AE7973" s="580">
        <f t="shared" si="657"/>
        <v>2.5</v>
      </c>
      <c r="AF7973" s="580">
        <f t="shared" si="658"/>
        <v>2.5</v>
      </c>
      <c r="AG7973" s="580">
        <f t="shared" si="659"/>
        <v>0</v>
      </c>
      <c r="AH7973" s="580">
        <f t="shared" si="660"/>
        <v>0</v>
      </c>
    </row>
    <row r="7974" spans="28:34">
      <c r="AB7974" s="580">
        <f>HLOOKUP("*"&amp;'Output annual'!$AC$2&amp;'Output annual'!$AD$2&amp;"*Zone People Number Of Occupants [](Hourly)",'Eplus results'!$1:$1048576,ROW(),FALSE)</f>
        <v>0</v>
      </c>
      <c r="AC7974" s="580">
        <f>HLOOKUP("*"&amp;'Output annual'!$AC$2&amp;'Output annual'!$AD$2&amp;"*FangerPMV(Hourly)",'Eplus results'!$1:$1048576,ROW(),FALSE)</f>
        <v>0</v>
      </c>
      <c r="AD7974" s="580">
        <f t="shared" si="656"/>
        <v>5</v>
      </c>
      <c r="AE7974" s="580">
        <f t="shared" si="657"/>
        <v>2.5</v>
      </c>
      <c r="AF7974" s="580">
        <f t="shared" si="658"/>
        <v>2.5</v>
      </c>
      <c r="AG7974" s="580">
        <f t="shared" si="659"/>
        <v>0</v>
      </c>
      <c r="AH7974" s="580">
        <f t="shared" si="660"/>
        <v>0</v>
      </c>
    </row>
    <row r="7975" spans="28:34">
      <c r="AB7975" s="580">
        <f>HLOOKUP("*"&amp;'Output annual'!$AC$2&amp;'Output annual'!$AD$2&amp;"*Zone People Number Of Occupants [](Hourly)",'Eplus results'!$1:$1048576,ROW(),FALSE)</f>
        <v>0</v>
      </c>
      <c r="AC7975" s="580">
        <f>HLOOKUP("*"&amp;'Output annual'!$AC$2&amp;'Output annual'!$AD$2&amp;"*FangerPMV(Hourly)",'Eplus results'!$1:$1048576,ROW(),FALSE)</f>
        <v>0</v>
      </c>
      <c r="AD7975" s="580">
        <f t="shared" si="656"/>
        <v>5</v>
      </c>
      <c r="AE7975" s="580">
        <f t="shared" si="657"/>
        <v>2.5</v>
      </c>
      <c r="AF7975" s="580">
        <f t="shared" si="658"/>
        <v>2.5</v>
      </c>
      <c r="AG7975" s="580">
        <f t="shared" si="659"/>
        <v>0</v>
      </c>
      <c r="AH7975" s="580">
        <f t="shared" si="660"/>
        <v>0</v>
      </c>
    </row>
    <row r="7976" spans="28:34">
      <c r="AB7976" s="580">
        <f>HLOOKUP("*"&amp;'Output annual'!$AC$2&amp;'Output annual'!$AD$2&amp;"*Zone People Number Of Occupants [](Hourly)",'Eplus results'!$1:$1048576,ROW(),FALSE)</f>
        <v>0</v>
      </c>
      <c r="AC7976" s="580">
        <f>HLOOKUP("*"&amp;'Output annual'!$AC$2&amp;'Output annual'!$AD$2&amp;"*FangerPMV(Hourly)",'Eplus results'!$1:$1048576,ROW(),FALSE)</f>
        <v>0</v>
      </c>
      <c r="AD7976" s="580">
        <f t="shared" si="656"/>
        <v>5</v>
      </c>
      <c r="AE7976" s="580">
        <f t="shared" si="657"/>
        <v>2.5</v>
      </c>
      <c r="AF7976" s="580">
        <f t="shared" si="658"/>
        <v>2.5</v>
      </c>
      <c r="AG7976" s="580">
        <f t="shared" si="659"/>
        <v>0</v>
      </c>
      <c r="AH7976" s="580">
        <f t="shared" si="660"/>
        <v>0</v>
      </c>
    </row>
    <row r="7977" spans="28:34">
      <c r="AB7977" s="580">
        <f>HLOOKUP("*"&amp;'Output annual'!$AC$2&amp;'Output annual'!$AD$2&amp;"*Zone People Number Of Occupants [](Hourly)",'Eplus results'!$1:$1048576,ROW(),FALSE)</f>
        <v>0</v>
      </c>
      <c r="AC7977" s="580">
        <f>HLOOKUP("*"&amp;'Output annual'!$AC$2&amp;'Output annual'!$AD$2&amp;"*FangerPMV(Hourly)",'Eplus results'!$1:$1048576,ROW(),FALSE)</f>
        <v>0</v>
      </c>
      <c r="AD7977" s="580">
        <f t="shared" si="656"/>
        <v>5</v>
      </c>
      <c r="AE7977" s="580">
        <f t="shared" si="657"/>
        <v>2.5</v>
      </c>
      <c r="AF7977" s="580">
        <f t="shared" si="658"/>
        <v>2.5</v>
      </c>
      <c r="AG7977" s="580">
        <f t="shared" si="659"/>
        <v>0</v>
      </c>
      <c r="AH7977" s="580">
        <f t="shared" si="660"/>
        <v>0</v>
      </c>
    </row>
    <row r="7978" spans="28:34">
      <c r="AB7978" s="580">
        <f>HLOOKUP("*"&amp;'Output annual'!$AC$2&amp;'Output annual'!$AD$2&amp;"*Zone People Number Of Occupants [](Hourly)",'Eplus results'!$1:$1048576,ROW(),FALSE)</f>
        <v>0</v>
      </c>
      <c r="AC7978" s="580">
        <f>HLOOKUP("*"&amp;'Output annual'!$AC$2&amp;'Output annual'!$AD$2&amp;"*FangerPMV(Hourly)",'Eplus results'!$1:$1048576,ROW(),FALSE)</f>
        <v>0</v>
      </c>
      <c r="AD7978" s="580">
        <f t="shared" si="656"/>
        <v>5</v>
      </c>
      <c r="AE7978" s="580">
        <f t="shared" si="657"/>
        <v>2.5</v>
      </c>
      <c r="AF7978" s="580">
        <f t="shared" si="658"/>
        <v>2.5</v>
      </c>
      <c r="AG7978" s="580">
        <f t="shared" si="659"/>
        <v>0</v>
      </c>
      <c r="AH7978" s="580">
        <f t="shared" si="660"/>
        <v>0</v>
      </c>
    </row>
    <row r="7979" spans="28:34">
      <c r="AB7979" s="580">
        <f>HLOOKUP("*"&amp;'Output annual'!$AC$2&amp;'Output annual'!$AD$2&amp;"*Zone People Number Of Occupants [](Hourly)",'Eplus results'!$1:$1048576,ROW(),FALSE)</f>
        <v>0</v>
      </c>
      <c r="AC7979" s="580">
        <f>HLOOKUP("*"&amp;'Output annual'!$AC$2&amp;'Output annual'!$AD$2&amp;"*FangerPMV(Hourly)",'Eplus results'!$1:$1048576,ROW(),FALSE)</f>
        <v>0</v>
      </c>
      <c r="AD7979" s="580">
        <f t="shared" si="656"/>
        <v>5</v>
      </c>
      <c r="AE7979" s="580">
        <f t="shared" si="657"/>
        <v>2.5</v>
      </c>
      <c r="AF7979" s="580">
        <f t="shared" si="658"/>
        <v>2.5</v>
      </c>
      <c r="AG7979" s="580">
        <f t="shared" si="659"/>
        <v>0</v>
      </c>
      <c r="AH7979" s="580">
        <f t="shared" si="660"/>
        <v>0</v>
      </c>
    </row>
    <row r="7980" spans="28:34">
      <c r="AB7980" s="580">
        <f>HLOOKUP("*"&amp;'Output annual'!$AC$2&amp;'Output annual'!$AD$2&amp;"*Zone People Number Of Occupants [](Hourly)",'Eplus results'!$1:$1048576,ROW(),FALSE)</f>
        <v>0</v>
      </c>
      <c r="AC7980" s="580">
        <f>HLOOKUP("*"&amp;'Output annual'!$AC$2&amp;'Output annual'!$AD$2&amp;"*FangerPMV(Hourly)",'Eplus results'!$1:$1048576,ROW(),FALSE)</f>
        <v>0</v>
      </c>
      <c r="AD7980" s="580">
        <f t="shared" si="656"/>
        <v>5</v>
      </c>
      <c r="AE7980" s="580">
        <f t="shared" si="657"/>
        <v>2.5</v>
      </c>
      <c r="AF7980" s="580">
        <f t="shared" si="658"/>
        <v>2.5</v>
      </c>
      <c r="AG7980" s="580">
        <f t="shared" si="659"/>
        <v>0</v>
      </c>
      <c r="AH7980" s="580">
        <f t="shared" si="660"/>
        <v>0</v>
      </c>
    </row>
    <row r="7981" spans="28:34">
      <c r="AB7981" s="580">
        <f>HLOOKUP("*"&amp;'Output annual'!$AC$2&amp;'Output annual'!$AD$2&amp;"*Zone People Number Of Occupants [](Hourly)",'Eplus results'!$1:$1048576,ROW(),FALSE)</f>
        <v>0</v>
      </c>
      <c r="AC7981" s="580">
        <f>HLOOKUP("*"&amp;'Output annual'!$AC$2&amp;'Output annual'!$AD$2&amp;"*FangerPMV(Hourly)",'Eplus results'!$1:$1048576,ROW(),FALSE)</f>
        <v>0</v>
      </c>
      <c r="AD7981" s="580">
        <f t="shared" si="656"/>
        <v>5</v>
      </c>
      <c r="AE7981" s="580">
        <f t="shared" si="657"/>
        <v>2.5</v>
      </c>
      <c r="AF7981" s="580">
        <f t="shared" si="658"/>
        <v>2.5</v>
      </c>
      <c r="AG7981" s="580">
        <f t="shared" si="659"/>
        <v>0</v>
      </c>
      <c r="AH7981" s="580">
        <f t="shared" si="660"/>
        <v>0</v>
      </c>
    </row>
    <row r="7982" spans="28:34">
      <c r="AB7982" s="580">
        <f>HLOOKUP("*"&amp;'Output annual'!$AC$2&amp;'Output annual'!$AD$2&amp;"*Zone People Number Of Occupants [](Hourly)",'Eplus results'!$1:$1048576,ROW(),FALSE)</f>
        <v>0</v>
      </c>
      <c r="AC7982" s="580">
        <f>HLOOKUP("*"&amp;'Output annual'!$AC$2&amp;'Output annual'!$AD$2&amp;"*FangerPMV(Hourly)",'Eplus results'!$1:$1048576,ROW(),FALSE)</f>
        <v>0</v>
      </c>
      <c r="AD7982" s="580">
        <f t="shared" si="656"/>
        <v>5</v>
      </c>
      <c r="AE7982" s="580">
        <f t="shared" si="657"/>
        <v>2.5</v>
      </c>
      <c r="AF7982" s="580">
        <f t="shared" si="658"/>
        <v>2.5</v>
      </c>
      <c r="AG7982" s="580">
        <f t="shared" si="659"/>
        <v>0</v>
      </c>
      <c r="AH7982" s="580">
        <f t="shared" si="660"/>
        <v>0</v>
      </c>
    </row>
    <row r="7983" spans="28:34">
      <c r="AB7983" s="580">
        <f>HLOOKUP("*"&amp;'Output annual'!$AC$2&amp;'Output annual'!$AD$2&amp;"*Zone People Number Of Occupants [](Hourly)",'Eplus results'!$1:$1048576,ROW(),FALSE)</f>
        <v>0</v>
      </c>
      <c r="AC7983" s="580">
        <f>HLOOKUP("*"&amp;'Output annual'!$AC$2&amp;'Output annual'!$AD$2&amp;"*FangerPMV(Hourly)",'Eplus results'!$1:$1048576,ROW(),FALSE)</f>
        <v>0</v>
      </c>
      <c r="AD7983" s="580">
        <f t="shared" si="656"/>
        <v>5</v>
      </c>
      <c r="AE7983" s="580">
        <f t="shared" si="657"/>
        <v>2.5</v>
      </c>
      <c r="AF7983" s="580">
        <f t="shared" si="658"/>
        <v>2.5</v>
      </c>
      <c r="AG7983" s="580">
        <f t="shared" si="659"/>
        <v>0</v>
      </c>
      <c r="AH7983" s="580">
        <f t="shared" si="660"/>
        <v>0</v>
      </c>
    </row>
    <row r="7984" spans="28:34">
      <c r="AB7984" s="580">
        <f>HLOOKUP("*"&amp;'Output annual'!$AC$2&amp;'Output annual'!$AD$2&amp;"*Zone People Number Of Occupants [](Hourly)",'Eplus results'!$1:$1048576,ROW(),FALSE)</f>
        <v>0</v>
      </c>
      <c r="AC7984" s="580">
        <f>HLOOKUP("*"&amp;'Output annual'!$AC$2&amp;'Output annual'!$AD$2&amp;"*FangerPMV(Hourly)",'Eplus results'!$1:$1048576,ROW(),FALSE)</f>
        <v>0</v>
      </c>
      <c r="AD7984" s="580">
        <f t="shared" si="656"/>
        <v>5</v>
      </c>
      <c r="AE7984" s="580">
        <f t="shared" si="657"/>
        <v>2.5</v>
      </c>
      <c r="AF7984" s="580">
        <f t="shared" si="658"/>
        <v>2.5</v>
      </c>
      <c r="AG7984" s="580">
        <f t="shared" si="659"/>
        <v>0</v>
      </c>
      <c r="AH7984" s="580">
        <f t="shared" si="660"/>
        <v>0</v>
      </c>
    </row>
    <row r="7985" spans="28:34">
      <c r="AB7985" s="580">
        <f>HLOOKUP("*"&amp;'Output annual'!$AC$2&amp;'Output annual'!$AD$2&amp;"*Zone People Number Of Occupants [](Hourly)",'Eplus results'!$1:$1048576,ROW(),FALSE)</f>
        <v>0</v>
      </c>
      <c r="AC7985" s="580">
        <f>HLOOKUP("*"&amp;'Output annual'!$AC$2&amp;'Output annual'!$AD$2&amp;"*FangerPMV(Hourly)",'Eplus results'!$1:$1048576,ROW(),FALSE)</f>
        <v>0</v>
      </c>
      <c r="AD7985" s="580">
        <f t="shared" si="656"/>
        <v>5</v>
      </c>
      <c r="AE7985" s="580">
        <f t="shared" si="657"/>
        <v>2.5</v>
      </c>
      <c r="AF7985" s="580">
        <f t="shared" si="658"/>
        <v>2.5</v>
      </c>
      <c r="AG7985" s="580">
        <f t="shared" si="659"/>
        <v>0</v>
      </c>
      <c r="AH7985" s="580">
        <f t="shared" si="660"/>
        <v>0</v>
      </c>
    </row>
    <row r="7986" spans="28:34">
      <c r="AB7986" s="580">
        <f>HLOOKUP("*"&amp;'Output annual'!$AC$2&amp;'Output annual'!$AD$2&amp;"*Zone People Number Of Occupants [](Hourly)",'Eplus results'!$1:$1048576,ROW(),FALSE)</f>
        <v>0</v>
      </c>
      <c r="AC7986" s="580">
        <f>HLOOKUP("*"&amp;'Output annual'!$AC$2&amp;'Output annual'!$AD$2&amp;"*FangerPMV(Hourly)",'Eplus results'!$1:$1048576,ROW(),FALSE)</f>
        <v>0</v>
      </c>
      <c r="AD7986" s="580">
        <f t="shared" si="656"/>
        <v>5</v>
      </c>
      <c r="AE7986" s="580">
        <f t="shared" si="657"/>
        <v>2.5</v>
      </c>
      <c r="AF7986" s="580">
        <f t="shared" si="658"/>
        <v>2.5</v>
      </c>
      <c r="AG7986" s="580">
        <f t="shared" si="659"/>
        <v>0</v>
      </c>
      <c r="AH7986" s="580">
        <f t="shared" si="660"/>
        <v>0</v>
      </c>
    </row>
    <row r="7987" spans="28:34">
      <c r="AB7987" s="580">
        <f>HLOOKUP("*"&amp;'Output annual'!$AC$2&amp;'Output annual'!$AD$2&amp;"*Zone People Number Of Occupants [](Hourly)",'Eplus results'!$1:$1048576,ROW(),FALSE)</f>
        <v>0</v>
      </c>
      <c r="AC7987" s="580">
        <f>HLOOKUP("*"&amp;'Output annual'!$AC$2&amp;'Output annual'!$AD$2&amp;"*FangerPMV(Hourly)",'Eplus results'!$1:$1048576,ROW(),FALSE)</f>
        <v>0</v>
      </c>
      <c r="AD7987" s="580">
        <f t="shared" si="656"/>
        <v>5</v>
      </c>
      <c r="AE7987" s="580">
        <f t="shared" si="657"/>
        <v>2.5</v>
      </c>
      <c r="AF7987" s="580">
        <f t="shared" si="658"/>
        <v>2.5</v>
      </c>
      <c r="AG7987" s="580">
        <f t="shared" si="659"/>
        <v>0</v>
      </c>
      <c r="AH7987" s="580">
        <f t="shared" si="660"/>
        <v>0</v>
      </c>
    </row>
    <row r="7988" spans="28:34">
      <c r="AB7988" s="580">
        <f>HLOOKUP("*"&amp;'Output annual'!$AC$2&amp;'Output annual'!$AD$2&amp;"*Zone People Number Of Occupants [](Hourly)",'Eplus results'!$1:$1048576,ROW(),FALSE)</f>
        <v>0</v>
      </c>
      <c r="AC7988" s="580">
        <f>HLOOKUP("*"&amp;'Output annual'!$AC$2&amp;'Output annual'!$AD$2&amp;"*FangerPMV(Hourly)",'Eplus results'!$1:$1048576,ROW(),FALSE)</f>
        <v>0</v>
      </c>
      <c r="AD7988" s="580">
        <f t="shared" si="656"/>
        <v>5</v>
      </c>
      <c r="AE7988" s="580">
        <f t="shared" si="657"/>
        <v>2.5</v>
      </c>
      <c r="AF7988" s="580">
        <f t="shared" si="658"/>
        <v>2.5</v>
      </c>
      <c r="AG7988" s="580">
        <f t="shared" si="659"/>
        <v>0</v>
      </c>
      <c r="AH7988" s="580">
        <f t="shared" si="660"/>
        <v>0</v>
      </c>
    </row>
    <row r="7989" spans="28:34">
      <c r="AB7989" s="580">
        <f>HLOOKUP("*"&amp;'Output annual'!$AC$2&amp;'Output annual'!$AD$2&amp;"*Zone People Number Of Occupants [](Hourly)",'Eplus results'!$1:$1048576,ROW(),FALSE)</f>
        <v>0</v>
      </c>
      <c r="AC7989" s="580">
        <f>HLOOKUP("*"&amp;'Output annual'!$AC$2&amp;'Output annual'!$AD$2&amp;"*FangerPMV(Hourly)",'Eplus results'!$1:$1048576,ROW(),FALSE)</f>
        <v>0</v>
      </c>
      <c r="AD7989" s="580">
        <f t="shared" si="656"/>
        <v>5</v>
      </c>
      <c r="AE7989" s="580">
        <f t="shared" si="657"/>
        <v>2.5</v>
      </c>
      <c r="AF7989" s="580">
        <f t="shared" si="658"/>
        <v>2.5</v>
      </c>
      <c r="AG7989" s="580">
        <f t="shared" si="659"/>
        <v>0</v>
      </c>
      <c r="AH7989" s="580">
        <f t="shared" si="660"/>
        <v>0</v>
      </c>
    </row>
    <row r="7990" spans="28:34">
      <c r="AB7990" s="580">
        <f>HLOOKUP("*"&amp;'Output annual'!$AC$2&amp;'Output annual'!$AD$2&amp;"*Zone People Number Of Occupants [](Hourly)",'Eplus results'!$1:$1048576,ROW(),FALSE)</f>
        <v>0</v>
      </c>
      <c r="AC7990" s="580">
        <f>HLOOKUP("*"&amp;'Output annual'!$AC$2&amp;'Output annual'!$AD$2&amp;"*FangerPMV(Hourly)",'Eplus results'!$1:$1048576,ROW(),FALSE)</f>
        <v>0</v>
      </c>
      <c r="AD7990" s="580">
        <f t="shared" si="656"/>
        <v>5</v>
      </c>
      <c r="AE7990" s="580">
        <f t="shared" si="657"/>
        <v>2.5</v>
      </c>
      <c r="AF7990" s="580">
        <f t="shared" si="658"/>
        <v>2.5</v>
      </c>
      <c r="AG7990" s="580">
        <f t="shared" si="659"/>
        <v>0</v>
      </c>
      <c r="AH7990" s="580">
        <f t="shared" si="660"/>
        <v>0</v>
      </c>
    </row>
    <row r="7991" spans="28:34">
      <c r="AB7991" s="580">
        <f>HLOOKUP("*"&amp;'Output annual'!$AC$2&amp;'Output annual'!$AD$2&amp;"*Zone People Number Of Occupants [](Hourly)",'Eplus results'!$1:$1048576,ROW(),FALSE)</f>
        <v>0</v>
      </c>
      <c r="AC7991" s="580">
        <f>HLOOKUP("*"&amp;'Output annual'!$AC$2&amp;'Output annual'!$AD$2&amp;"*FangerPMV(Hourly)",'Eplus results'!$1:$1048576,ROW(),FALSE)</f>
        <v>0</v>
      </c>
      <c r="AD7991" s="580">
        <f t="shared" si="656"/>
        <v>5</v>
      </c>
      <c r="AE7991" s="580">
        <f t="shared" si="657"/>
        <v>2.5</v>
      </c>
      <c r="AF7991" s="580">
        <f t="shared" si="658"/>
        <v>2.5</v>
      </c>
      <c r="AG7991" s="580">
        <f t="shared" si="659"/>
        <v>0</v>
      </c>
      <c r="AH7991" s="580">
        <f t="shared" si="660"/>
        <v>0</v>
      </c>
    </row>
    <row r="7992" spans="28:34">
      <c r="AB7992" s="580">
        <f>HLOOKUP("*"&amp;'Output annual'!$AC$2&amp;'Output annual'!$AD$2&amp;"*Zone People Number Of Occupants [](Hourly)",'Eplus results'!$1:$1048576,ROW(),FALSE)</f>
        <v>0</v>
      </c>
      <c r="AC7992" s="580">
        <f>HLOOKUP("*"&amp;'Output annual'!$AC$2&amp;'Output annual'!$AD$2&amp;"*FangerPMV(Hourly)",'Eplus results'!$1:$1048576,ROW(),FALSE)</f>
        <v>0</v>
      </c>
      <c r="AD7992" s="580">
        <f t="shared" si="656"/>
        <v>5</v>
      </c>
      <c r="AE7992" s="580">
        <f t="shared" si="657"/>
        <v>2.5</v>
      </c>
      <c r="AF7992" s="580">
        <f t="shared" si="658"/>
        <v>2.5</v>
      </c>
      <c r="AG7992" s="580">
        <f t="shared" si="659"/>
        <v>0</v>
      </c>
      <c r="AH7992" s="580">
        <f t="shared" si="660"/>
        <v>0</v>
      </c>
    </row>
    <row r="7993" spans="28:34">
      <c r="AB7993" s="580">
        <f>HLOOKUP("*"&amp;'Output annual'!$AC$2&amp;'Output annual'!$AD$2&amp;"*Zone People Number Of Occupants [](Hourly)",'Eplus results'!$1:$1048576,ROW(),FALSE)</f>
        <v>0</v>
      </c>
      <c r="AC7993" s="580">
        <f>HLOOKUP("*"&amp;'Output annual'!$AC$2&amp;'Output annual'!$AD$2&amp;"*FangerPMV(Hourly)",'Eplus results'!$1:$1048576,ROW(),FALSE)</f>
        <v>0</v>
      </c>
      <c r="AD7993" s="580">
        <f t="shared" si="656"/>
        <v>5</v>
      </c>
      <c r="AE7993" s="580">
        <f t="shared" si="657"/>
        <v>2.5</v>
      </c>
      <c r="AF7993" s="580">
        <f t="shared" si="658"/>
        <v>2.5</v>
      </c>
      <c r="AG7993" s="580">
        <f t="shared" si="659"/>
        <v>0</v>
      </c>
      <c r="AH7993" s="580">
        <f t="shared" si="660"/>
        <v>0</v>
      </c>
    </row>
    <row r="7994" spans="28:34">
      <c r="AB7994" s="580">
        <f>HLOOKUP("*"&amp;'Output annual'!$AC$2&amp;'Output annual'!$AD$2&amp;"*Zone People Number Of Occupants [](Hourly)",'Eplus results'!$1:$1048576,ROW(),FALSE)</f>
        <v>0</v>
      </c>
      <c r="AC7994" s="580">
        <f>HLOOKUP("*"&amp;'Output annual'!$AC$2&amp;'Output annual'!$AD$2&amp;"*FangerPMV(Hourly)",'Eplus results'!$1:$1048576,ROW(),FALSE)</f>
        <v>0</v>
      </c>
      <c r="AD7994" s="580">
        <f t="shared" si="656"/>
        <v>5</v>
      </c>
      <c r="AE7994" s="580">
        <f t="shared" si="657"/>
        <v>2.5</v>
      </c>
      <c r="AF7994" s="580">
        <f t="shared" si="658"/>
        <v>2.5</v>
      </c>
      <c r="AG7994" s="580">
        <f t="shared" si="659"/>
        <v>0</v>
      </c>
      <c r="AH7994" s="580">
        <f t="shared" si="660"/>
        <v>0</v>
      </c>
    </row>
    <row r="7995" spans="28:34">
      <c r="AB7995" s="580">
        <f>HLOOKUP("*"&amp;'Output annual'!$AC$2&amp;'Output annual'!$AD$2&amp;"*Zone People Number Of Occupants [](Hourly)",'Eplus results'!$1:$1048576,ROW(),FALSE)</f>
        <v>0</v>
      </c>
      <c r="AC7995" s="580">
        <f>HLOOKUP("*"&amp;'Output annual'!$AC$2&amp;'Output annual'!$AD$2&amp;"*FangerPMV(Hourly)",'Eplus results'!$1:$1048576,ROW(),FALSE)</f>
        <v>0</v>
      </c>
      <c r="AD7995" s="580">
        <f t="shared" si="656"/>
        <v>5</v>
      </c>
      <c r="AE7995" s="580">
        <f t="shared" si="657"/>
        <v>2.5</v>
      </c>
      <c r="AF7995" s="580">
        <f t="shared" si="658"/>
        <v>2.5</v>
      </c>
      <c r="AG7995" s="580">
        <f t="shared" si="659"/>
        <v>0</v>
      </c>
      <c r="AH7995" s="580">
        <f t="shared" si="660"/>
        <v>0</v>
      </c>
    </row>
    <row r="7996" spans="28:34">
      <c r="AB7996" s="580">
        <f>HLOOKUP("*"&amp;'Output annual'!$AC$2&amp;'Output annual'!$AD$2&amp;"*Zone People Number Of Occupants [](Hourly)",'Eplus results'!$1:$1048576,ROW(),FALSE)</f>
        <v>0</v>
      </c>
      <c r="AC7996" s="580">
        <f>HLOOKUP("*"&amp;'Output annual'!$AC$2&amp;'Output annual'!$AD$2&amp;"*FangerPMV(Hourly)",'Eplus results'!$1:$1048576,ROW(),FALSE)</f>
        <v>0</v>
      </c>
      <c r="AD7996" s="580">
        <f t="shared" si="656"/>
        <v>5</v>
      </c>
      <c r="AE7996" s="580">
        <f t="shared" si="657"/>
        <v>2.5</v>
      </c>
      <c r="AF7996" s="580">
        <f t="shared" si="658"/>
        <v>2.5</v>
      </c>
      <c r="AG7996" s="580">
        <f t="shared" si="659"/>
        <v>0</v>
      </c>
      <c r="AH7996" s="580">
        <f t="shared" si="660"/>
        <v>0</v>
      </c>
    </row>
    <row r="7997" spans="28:34">
      <c r="AB7997" s="580">
        <f>HLOOKUP("*"&amp;'Output annual'!$AC$2&amp;'Output annual'!$AD$2&amp;"*Zone People Number Of Occupants [](Hourly)",'Eplus results'!$1:$1048576,ROW(),FALSE)</f>
        <v>0</v>
      </c>
      <c r="AC7997" s="580">
        <f>HLOOKUP("*"&amp;'Output annual'!$AC$2&amp;'Output annual'!$AD$2&amp;"*FangerPMV(Hourly)",'Eplus results'!$1:$1048576,ROW(),FALSE)</f>
        <v>0</v>
      </c>
      <c r="AD7997" s="580">
        <f t="shared" si="656"/>
        <v>5</v>
      </c>
      <c r="AE7997" s="580">
        <f t="shared" si="657"/>
        <v>2.5</v>
      </c>
      <c r="AF7997" s="580">
        <f t="shared" si="658"/>
        <v>2.5</v>
      </c>
      <c r="AG7997" s="580">
        <f t="shared" si="659"/>
        <v>0</v>
      </c>
      <c r="AH7997" s="580">
        <f t="shared" si="660"/>
        <v>0</v>
      </c>
    </row>
    <row r="7998" spans="28:34">
      <c r="AB7998" s="580">
        <f>HLOOKUP("*"&amp;'Output annual'!$AC$2&amp;'Output annual'!$AD$2&amp;"*Zone People Number Of Occupants [](Hourly)",'Eplus results'!$1:$1048576,ROW(),FALSE)</f>
        <v>0</v>
      </c>
      <c r="AC7998" s="580">
        <f>HLOOKUP("*"&amp;'Output annual'!$AC$2&amp;'Output annual'!$AD$2&amp;"*FangerPMV(Hourly)",'Eplus results'!$1:$1048576,ROW(),FALSE)</f>
        <v>0</v>
      </c>
      <c r="AD7998" s="580">
        <f t="shared" si="656"/>
        <v>5</v>
      </c>
      <c r="AE7998" s="580">
        <f t="shared" si="657"/>
        <v>2.5</v>
      </c>
      <c r="AF7998" s="580">
        <f t="shared" si="658"/>
        <v>2.5</v>
      </c>
      <c r="AG7998" s="580">
        <f t="shared" si="659"/>
        <v>0</v>
      </c>
      <c r="AH7998" s="580">
        <f t="shared" si="660"/>
        <v>0</v>
      </c>
    </row>
    <row r="7999" spans="28:34">
      <c r="AB7999" s="580">
        <f>HLOOKUP("*"&amp;'Output annual'!$AC$2&amp;'Output annual'!$AD$2&amp;"*Zone People Number Of Occupants [](Hourly)",'Eplus results'!$1:$1048576,ROW(),FALSE)</f>
        <v>0</v>
      </c>
      <c r="AC7999" s="580">
        <f>HLOOKUP("*"&amp;'Output annual'!$AC$2&amp;'Output annual'!$AD$2&amp;"*FangerPMV(Hourly)",'Eplus results'!$1:$1048576,ROW(),FALSE)</f>
        <v>0</v>
      </c>
      <c r="AD7999" s="580">
        <f t="shared" si="656"/>
        <v>5</v>
      </c>
      <c r="AE7999" s="580">
        <f t="shared" si="657"/>
        <v>2.5</v>
      </c>
      <c r="AF7999" s="580">
        <f t="shared" si="658"/>
        <v>2.5</v>
      </c>
      <c r="AG7999" s="580">
        <f t="shared" si="659"/>
        <v>0</v>
      </c>
      <c r="AH7999" s="580">
        <f t="shared" si="660"/>
        <v>0</v>
      </c>
    </row>
    <row r="8000" spans="28:34">
      <c r="AB8000" s="580">
        <f>HLOOKUP("*"&amp;'Output annual'!$AC$2&amp;'Output annual'!$AD$2&amp;"*Zone People Number Of Occupants [](Hourly)",'Eplus results'!$1:$1048576,ROW(),FALSE)</f>
        <v>0</v>
      </c>
      <c r="AC8000" s="580">
        <f>HLOOKUP("*"&amp;'Output annual'!$AC$2&amp;'Output annual'!$AD$2&amp;"*FangerPMV(Hourly)",'Eplus results'!$1:$1048576,ROW(),FALSE)</f>
        <v>0</v>
      </c>
      <c r="AD8000" s="580">
        <f t="shared" si="656"/>
        <v>5</v>
      </c>
      <c r="AE8000" s="580">
        <f t="shared" si="657"/>
        <v>2.5</v>
      </c>
      <c r="AF8000" s="580">
        <f t="shared" si="658"/>
        <v>2.5</v>
      </c>
      <c r="AG8000" s="580">
        <f t="shared" si="659"/>
        <v>0</v>
      </c>
      <c r="AH8000" s="580">
        <f t="shared" si="660"/>
        <v>0</v>
      </c>
    </row>
    <row r="8001" spans="28:34">
      <c r="AB8001" s="580">
        <f>HLOOKUP("*"&amp;'Output annual'!$AC$2&amp;'Output annual'!$AD$2&amp;"*Zone People Number Of Occupants [](Hourly)",'Eplus results'!$1:$1048576,ROW(),FALSE)</f>
        <v>0</v>
      </c>
      <c r="AC8001" s="580">
        <f>HLOOKUP("*"&amp;'Output annual'!$AC$2&amp;'Output annual'!$AD$2&amp;"*FangerPMV(Hourly)",'Eplus results'!$1:$1048576,ROW(),FALSE)</f>
        <v>0</v>
      </c>
      <c r="AD8001" s="580">
        <f t="shared" si="656"/>
        <v>5</v>
      </c>
      <c r="AE8001" s="580">
        <f t="shared" si="657"/>
        <v>2.5</v>
      </c>
      <c r="AF8001" s="580">
        <f t="shared" si="658"/>
        <v>2.5</v>
      </c>
      <c r="AG8001" s="580">
        <f t="shared" si="659"/>
        <v>0</v>
      </c>
      <c r="AH8001" s="580">
        <f t="shared" si="660"/>
        <v>0</v>
      </c>
    </row>
    <row r="8002" spans="28:34">
      <c r="AB8002" s="580">
        <f>HLOOKUP("*"&amp;'Output annual'!$AC$2&amp;'Output annual'!$AD$2&amp;"*Zone People Number Of Occupants [](Hourly)",'Eplus results'!$1:$1048576,ROW(),FALSE)</f>
        <v>0</v>
      </c>
      <c r="AC8002" s="580">
        <f>HLOOKUP("*"&amp;'Output annual'!$AC$2&amp;'Output annual'!$AD$2&amp;"*FangerPMV(Hourly)",'Eplus results'!$1:$1048576,ROW(),FALSE)</f>
        <v>0</v>
      </c>
      <c r="AD8002" s="580">
        <f t="shared" si="656"/>
        <v>5</v>
      </c>
      <c r="AE8002" s="580">
        <f t="shared" si="657"/>
        <v>2.5</v>
      </c>
      <c r="AF8002" s="580">
        <f t="shared" si="658"/>
        <v>2.5</v>
      </c>
      <c r="AG8002" s="580">
        <f t="shared" si="659"/>
        <v>0</v>
      </c>
      <c r="AH8002" s="580">
        <f t="shared" si="660"/>
        <v>0</v>
      </c>
    </row>
    <row r="8003" spans="28:34">
      <c r="AB8003" s="580">
        <f>HLOOKUP("*"&amp;'Output annual'!$AC$2&amp;'Output annual'!$AD$2&amp;"*Zone People Number Of Occupants [](Hourly)",'Eplus results'!$1:$1048576,ROW(),FALSE)</f>
        <v>0</v>
      </c>
      <c r="AC8003" s="580">
        <f>HLOOKUP("*"&amp;'Output annual'!$AC$2&amp;'Output annual'!$AD$2&amp;"*FangerPMV(Hourly)",'Eplus results'!$1:$1048576,ROW(),FALSE)</f>
        <v>0</v>
      </c>
      <c r="AD8003" s="580">
        <f t="shared" ref="AD8003:AD8066" si="661">100-95*EXP(-0.03353*AC8003^4-0.2179*AC8003^2)</f>
        <v>5</v>
      </c>
      <c r="AE8003" s="580">
        <f t="shared" ref="AE8003:AE8066" si="662">AD8003*(1/(1+EXP(-6.3*$AC8003)))</f>
        <v>2.5</v>
      </c>
      <c r="AF8003" s="580">
        <f t="shared" ref="AF8003:AF8066" si="663">(AD8003-AE8003)</f>
        <v>2.5</v>
      </c>
      <c r="AG8003" s="580">
        <f t="shared" ref="AG8003:AG8066" si="664">AE8003*AB8003</f>
        <v>0</v>
      </c>
      <c r="AH8003" s="580">
        <f t="shared" ref="AH8003:AH8066" si="665">AF8003*AB8003</f>
        <v>0</v>
      </c>
    </row>
    <row r="8004" spans="28:34">
      <c r="AB8004" s="580">
        <f>HLOOKUP("*"&amp;'Output annual'!$AC$2&amp;'Output annual'!$AD$2&amp;"*Zone People Number Of Occupants [](Hourly)",'Eplus results'!$1:$1048576,ROW(),FALSE)</f>
        <v>0</v>
      </c>
      <c r="AC8004" s="580">
        <f>HLOOKUP("*"&amp;'Output annual'!$AC$2&amp;'Output annual'!$AD$2&amp;"*FangerPMV(Hourly)",'Eplus results'!$1:$1048576,ROW(),FALSE)</f>
        <v>0</v>
      </c>
      <c r="AD8004" s="580">
        <f t="shared" si="661"/>
        <v>5</v>
      </c>
      <c r="AE8004" s="580">
        <f t="shared" si="662"/>
        <v>2.5</v>
      </c>
      <c r="AF8004" s="580">
        <f t="shared" si="663"/>
        <v>2.5</v>
      </c>
      <c r="AG8004" s="580">
        <f t="shared" si="664"/>
        <v>0</v>
      </c>
      <c r="AH8004" s="580">
        <f t="shared" si="665"/>
        <v>0</v>
      </c>
    </row>
    <row r="8005" spans="28:34">
      <c r="AB8005" s="580">
        <f>HLOOKUP("*"&amp;'Output annual'!$AC$2&amp;'Output annual'!$AD$2&amp;"*Zone People Number Of Occupants [](Hourly)",'Eplus results'!$1:$1048576,ROW(),FALSE)</f>
        <v>0</v>
      </c>
      <c r="AC8005" s="580">
        <f>HLOOKUP("*"&amp;'Output annual'!$AC$2&amp;'Output annual'!$AD$2&amp;"*FangerPMV(Hourly)",'Eplus results'!$1:$1048576,ROW(),FALSE)</f>
        <v>0</v>
      </c>
      <c r="AD8005" s="580">
        <f t="shared" si="661"/>
        <v>5</v>
      </c>
      <c r="AE8005" s="580">
        <f t="shared" si="662"/>
        <v>2.5</v>
      </c>
      <c r="AF8005" s="580">
        <f t="shared" si="663"/>
        <v>2.5</v>
      </c>
      <c r="AG8005" s="580">
        <f t="shared" si="664"/>
        <v>0</v>
      </c>
      <c r="AH8005" s="580">
        <f t="shared" si="665"/>
        <v>0</v>
      </c>
    </row>
    <row r="8006" spans="28:34">
      <c r="AB8006" s="580">
        <f>HLOOKUP("*"&amp;'Output annual'!$AC$2&amp;'Output annual'!$AD$2&amp;"*Zone People Number Of Occupants [](Hourly)",'Eplus results'!$1:$1048576,ROW(),FALSE)</f>
        <v>0</v>
      </c>
      <c r="AC8006" s="580">
        <f>HLOOKUP("*"&amp;'Output annual'!$AC$2&amp;'Output annual'!$AD$2&amp;"*FangerPMV(Hourly)",'Eplus results'!$1:$1048576,ROW(),FALSE)</f>
        <v>0</v>
      </c>
      <c r="AD8006" s="580">
        <f t="shared" si="661"/>
        <v>5</v>
      </c>
      <c r="AE8006" s="580">
        <f t="shared" si="662"/>
        <v>2.5</v>
      </c>
      <c r="AF8006" s="580">
        <f t="shared" si="663"/>
        <v>2.5</v>
      </c>
      <c r="AG8006" s="580">
        <f t="shared" si="664"/>
        <v>0</v>
      </c>
      <c r="AH8006" s="580">
        <f t="shared" si="665"/>
        <v>0</v>
      </c>
    </row>
    <row r="8007" spans="28:34">
      <c r="AB8007" s="580">
        <f>HLOOKUP("*"&amp;'Output annual'!$AC$2&amp;'Output annual'!$AD$2&amp;"*Zone People Number Of Occupants [](Hourly)",'Eplus results'!$1:$1048576,ROW(),FALSE)</f>
        <v>0</v>
      </c>
      <c r="AC8007" s="580">
        <f>HLOOKUP("*"&amp;'Output annual'!$AC$2&amp;'Output annual'!$AD$2&amp;"*FangerPMV(Hourly)",'Eplus results'!$1:$1048576,ROW(),FALSE)</f>
        <v>0</v>
      </c>
      <c r="AD8007" s="580">
        <f t="shared" si="661"/>
        <v>5</v>
      </c>
      <c r="AE8007" s="580">
        <f t="shared" si="662"/>
        <v>2.5</v>
      </c>
      <c r="AF8007" s="580">
        <f t="shared" si="663"/>
        <v>2.5</v>
      </c>
      <c r="AG8007" s="580">
        <f t="shared" si="664"/>
        <v>0</v>
      </c>
      <c r="AH8007" s="580">
        <f t="shared" si="665"/>
        <v>0</v>
      </c>
    </row>
    <row r="8008" spans="28:34">
      <c r="AB8008" s="580">
        <f>HLOOKUP("*"&amp;'Output annual'!$AC$2&amp;'Output annual'!$AD$2&amp;"*Zone People Number Of Occupants [](Hourly)",'Eplus results'!$1:$1048576,ROW(),FALSE)</f>
        <v>0</v>
      </c>
      <c r="AC8008" s="580">
        <f>HLOOKUP("*"&amp;'Output annual'!$AC$2&amp;'Output annual'!$AD$2&amp;"*FangerPMV(Hourly)",'Eplus results'!$1:$1048576,ROW(),FALSE)</f>
        <v>0</v>
      </c>
      <c r="AD8008" s="580">
        <f t="shared" si="661"/>
        <v>5</v>
      </c>
      <c r="AE8008" s="580">
        <f t="shared" si="662"/>
        <v>2.5</v>
      </c>
      <c r="AF8008" s="580">
        <f t="shared" si="663"/>
        <v>2.5</v>
      </c>
      <c r="AG8008" s="580">
        <f t="shared" si="664"/>
        <v>0</v>
      </c>
      <c r="AH8008" s="580">
        <f t="shared" si="665"/>
        <v>0</v>
      </c>
    </row>
    <row r="8009" spans="28:34">
      <c r="AB8009" s="580">
        <f>HLOOKUP("*"&amp;'Output annual'!$AC$2&amp;'Output annual'!$AD$2&amp;"*Zone People Number Of Occupants [](Hourly)",'Eplus results'!$1:$1048576,ROW(),FALSE)</f>
        <v>0</v>
      </c>
      <c r="AC8009" s="580">
        <f>HLOOKUP("*"&amp;'Output annual'!$AC$2&amp;'Output annual'!$AD$2&amp;"*FangerPMV(Hourly)",'Eplus results'!$1:$1048576,ROW(),FALSE)</f>
        <v>0</v>
      </c>
      <c r="AD8009" s="580">
        <f t="shared" si="661"/>
        <v>5</v>
      </c>
      <c r="AE8009" s="580">
        <f t="shared" si="662"/>
        <v>2.5</v>
      </c>
      <c r="AF8009" s="580">
        <f t="shared" si="663"/>
        <v>2.5</v>
      </c>
      <c r="AG8009" s="580">
        <f t="shared" si="664"/>
        <v>0</v>
      </c>
      <c r="AH8009" s="580">
        <f t="shared" si="665"/>
        <v>0</v>
      </c>
    </row>
    <row r="8010" spans="28:34">
      <c r="AB8010" s="580">
        <f>HLOOKUP("*"&amp;'Output annual'!$AC$2&amp;'Output annual'!$AD$2&amp;"*Zone People Number Of Occupants [](Hourly)",'Eplus results'!$1:$1048576,ROW(),FALSE)</f>
        <v>0</v>
      </c>
      <c r="AC8010" s="580">
        <f>HLOOKUP("*"&amp;'Output annual'!$AC$2&amp;'Output annual'!$AD$2&amp;"*FangerPMV(Hourly)",'Eplus results'!$1:$1048576,ROW(),FALSE)</f>
        <v>0</v>
      </c>
      <c r="AD8010" s="580">
        <f t="shared" si="661"/>
        <v>5</v>
      </c>
      <c r="AE8010" s="580">
        <f t="shared" si="662"/>
        <v>2.5</v>
      </c>
      <c r="AF8010" s="580">
        <f t="shared" si="663"/>
        <v>2.5</v>
      </c>
      <c r="AG8010" s="580">
        <f t="shared" si="664"/>
        <v>0</v>
      </c>
      <c r="AH8010" s="580">
        <f t="shared" si="665"/>
        <v>0</v>
      </c>
    </row>
    <row r="8011" spans="28:34">
      <c r="AB8011" s="580">
        <f>HLOOKUP("*"&amp;'Output annual'!$AC$2&amp;'Output annual'!$AD$2&amp;"*Zone People Number Of Occupants [](Hourly)",'Eplus results'!$1:$1048576,ROW(),FALSE)</f>
        <v>0</v>
      </c>
      <c r="AC8011" s="580">
        <f>HLOOKUP("*"&amp;'Output annual'!$AC$2&amp;'Output annual'!$AD$2&amp;"*FangerPMV(Hourly)",'Eplus results'!$1:$1048576,ROW(),FALSE)</f>
        <v>0</v>
      </c>
      <c r="AD8011" s="580">
        <f t="shared" si="661"/>
        <v>5</v>
      </c>
      <c r="AE8011" s="580">
        <f t="shared" si="662"/>
        <v>2.5</v>
      </c>
      <c r="AF8011" s="580">
        <f t="shared" si="663"/>
        <v>2.5</v>
      </c>
      <c r="AG8011" s="580">
        <f t="shared" si="664"/>
        <v>0</v>
      </c>
      <c r="AH8011" s="580">
        <f t="shared" si="665"/>
        <v>0</v>
      </c>
    </row>
    <row r="8012" spans="28:34">
      <c r="AB8012" s="580">
        <f>HLOOKUP("*"&amp;'Output annual'!$AC$2&amp;'Output annual'!$AD$2&amp;"*Zone People Number Of Occupants [](Hourly)",'Eplus results'!$1:$1048576,ROW(),FALSE)</f>
        <v>0</v>
      </c>
      <c r="AC8012" s="580">
        <f>HLOOKUP("*"&amp;'Output annual'!$AC$2&amp;'Output annual'!$AD$2&amp;"*FangerPMV(Hourly)",'Eplus results'!$1:$1048576,ROW(),FALSE)</f>
        <v>0</v>
      </c>
      <c r="AD8012" s="580">
        <f t="shared" si="661"/>
        <v>5</v>
      </c>
      <c r="AE8012" s="580">
        <f t="shared" si="662"/>
        <v>2.5</v>
      </c>
      <c r="AF8012" s="580">
        <f t="shared" si="663"/>
        <v>2.5</v>
      </c>
      <c r="AG8012" s="580">
        <f t="shared" si="664"/>
        <v>0</v>
      </c>
      <c r="AH8012" s="580">
        <f t="shared" si="665"/>
        <v>0</v>
      </c>
    </row>
    <row r="8013" spans="28:34">
      <c r="AB8013" s="580">
        <f>HLOOKUP("*"&amp;'Output annual'!$AC$2&amp;'Output annual'!$AD$2&amp;"*Zone People Number Of Occupants [](Hourly)",'Eplus results'!$1:$1048576,ROW(),FALSE)</f>
        <v>0</v>
      </c>
      <c r="AC8013" s="580">
        <f>HLOOKUP("*"&amp;'Output annual'!$AC$2&amp;'Output annual'!$AD$2&amp;"*FangerPMV(Hourly)",'Eplus results'!$1:$1048576,ROW(),FALSE)</f>
        <v>0</v>
      </c>
      <c r="AD8013" s="580">
        <f t="shared" si="661"/>
        <v>5</v>
      </c>
      <c r="AE8013" s="580">
        <f t="shared" si="662"/>
        <v>2.5</v>
      </c>
      <c r="AF8013" s="580">
        <f t="shared" si="663"/>
        <v>2.5</v>
      </c>
      <c r="AG8013" s="580">
        <f t="shared" si="664"/>
        <v>0</v>
      </c>
      <c r="AH8013" s="580">
        <f t="shared" si="665"/>
        <v>0</v>
      </c>
    </row>
    <row r="8014" spans="28:34">
      <c r="AB8014" s="580">
        <f>HLOOKUP("*"&amp;'Output annual'!$AC$2&amp;'Output annual'!$AD$2&amp;"*Zone People Number Of Occupants [](Hourly)",'Eplus results'!$1:$1048576,ROW(),FALSE)</f>
        <v>0</v>
      </c>
      <c r="AC8014" s="580">
        <f>HLOOKUP("*"&amp;'Output annual'!$AC$2&amp;'Output annual'!$AD$2&amp;"*FangerPMV(Hourly)",'Eplus results'!$1:$1048576,ROW(),FALSE)</f>
        <v>0</v>
      </c>
      <c r="AD8014" s="580">
        <f t="shared" si="661"/>
        <v>5</v>
      </c>
      <c r="AE8014" s="580">
        <f t="shared" si="662"/>
        <v>2.5</v>
      </c>
      <c r="AF8014" s="580">
        <f t="shared" si="663"/>
        <v>2.5</v>
      </c>
      <c r="AG8014" s="580">
        <f t="shared" si="664"/>
        <v>0</v>
      </c>
      <c r="AH8014" s="580">
        <f t="shared" si="665"/>
        <v>0</v>
      </c>
    </row>
    <row r="8015" spans="28:34">
      <c r="AB8015" s="580">
        <f>HLOOKUP("*"&amp;'Output annual'!$AC$2&amp;'Output annual'!$AD$2&amp;"*Zone People Number Of Occupants [](Hourly)",'Eplus results'!$1:$1048576,ROW(),FALSE)</f>
        <v>0</v>
      </c>
      <c r="AC8015" s="580">
        <f>HLOOKUP("*"&amp;'Output annual'!$AC$2&amp;'Output annual'!$AD$2&amp;"*FangerPMV(Hourly)",'Eplus results'!$1:$1048576,ROW(),FALSE)</f>
        <v>0</v>
      </c>
      <c r="AD8015" s="580">
        <f t="shared" si="661"/>
        <v>5</v>
      </c>
      <c r="AE8015" s="580">
        <f t="shared" si="662"/>
        <v>2.5</v>
      </c>
      <c r="AF8015" s="580">
        <f t="shared" si="663"/>
        <v>2.5</v>
      </c>
      <c r="AG8015" s="580">
        <f t="shared" si="664"/>
        <v>0</v>
      </c>
      <c r="AH8015" s="580">
        <f t="shared" si="665"/>
        <v>0</v>
      </c>
    </row>
    <row r="8016" spans="28:34">
      <c r="AB8016" s="580">
        <f>HLOOKUP("*"&amp;'Output annual'!$AC$2&amp;'Output annual'!$AD$2&amp;"*Zone People Number Of Occupants [](Hourly)",'Eplus results'!$1:$1048576,ROW(),FALSE)</f>
        <v>0</v>
      </c>
      <c r="AC8016" s="580">
        <f>HLOOKUP("*"&amp;'Output annual'!$AC$2&amp;'Output annual'!$AD$2&amp;"*FangerPMV(Hourly)",'Eplus results'!$1:$1048576,ROW(),FALSE)</f>
        <v>0</v>
      </c>
      <c r="AD8016" s="580">
        <f t="shared" si="661"/>
        <v>5</v>
      </c>
      <c r="AE8016" s="580">
        <f t="shared" si="662"/>
        <v>2.5</v>
      </c>
      <c r="AF8016" s="580">
        <f t="shared" si="663"/>
        <v>2.5</v>
      </c>
      <c r="AG8016" s="580">
        <f t="shared" si="664"/>
        <v>0</v>
      </c>
      <c r="AH8016" s="580">
        <f t="shared" si="665"/>
        <v>0</v>
      </c>
    </row>
    <row r="8017" spans="28:34">
      <c r="AB8017" s="580">
        <f>HLOOKUP("*"&amp;'Output annual'!$AC$2&amp;'Output annual'!$AD$2&amp;"*Zone People Number Of Occupants [](Hourly)",'Eplus results'!$1:$1048576,ROW(),FALSE)</f>
        <v>0</v>
      </c>
      <c r="AC8017" s="580">
        <f>HLOOKUP("*"&amp;'Output annual'!$AC$2&amp;'Output annual'!$AD$2&amp;"*FangerPMV(Hourly)",'Eplus results'!$1:$1048576,ROW(),FALSE)</f>
        <v>0</v>
      </c>
      <c r="AD8017" s="580">
        <f t="shared" si="661"/>
        <v>5</v>
      </c>
      <c r="AE8017" s="580">
        <f t="shared" si="662"/>
        <v>2.5</v>
      </c>
      <c r="AF8017" s="580">
        <f t="shared" si="663"/>
        <v>2.5</v>
      </c>
      <c r="AG8017" s="580">
        <f t="shared" si="664"/>
        <v>0</v>
      </c>
      <c r="AH8017" s="580">
        <f t="shared" si="665"/>
        <v>0</v>
      </c>
    </row>
    <row r="8018" spans="28:34">
      <c r="AB8018" s="580">
        <f>HLOOKUP("*"&amp;'Output annual'!$AC$2&amp;'Output annual'!$AD$2&amp;"*Zone People Number Of Occupants [](Hourly)",'Eplus results'!$1:$1048576,ROW(),FALSE)</f>
        <v>0</v>
      </c>
      <c r="AC8018" s="580">
        <f>HLOOKUP("*"&amp;'Output annual'!$AC$2&amp;'Output annual'!$AD$2&amp;"*FangerPMV(Hourly)",'Eplus results'!$1:$1048576,ROW(),FALSE)</f>
        <v>0</v>
      </c>
      <c r="AD8018" s="580">
        <f t="shared" si="661"/>
        <v>5</v>
      </c>
      <c r="AE8018" s="580">
        <f t="shared" si="662"/>
        <v>2.5</v>
      </c>
      <c r="AF8018" s="580">
        <f t="shared" si="663"/>
        <v>2.5</v>
      </c>
      <c r="AG8018" s="580">
        <f t="shared" si="664"/>
        <v>0</v>
      </c>
      <c r="AH8018" s="580">
        <f t="shared" si="665"/>
        <v>0</v>
      </c>
    </row>
    <row r="8019" spans="28:34">
      <c r="AB8019" s="580">
        <f>HLOOKUP("*"&amp;'Output annual'!$AC$2&amp;'Output annual'!$AD$2&amp;"*Zone People Number Of Occupants [](Hourly)",'Eplus results'!$1:$1048576,ROW(),FALSE)</f>
        <v>0</v>
      </c>
      <c r="AC8019" s="580">
        <f>HLOOKUP("*"&amp;'Output annual'!$AC$2&amp;'Output annual'!$AD$2&amp;"*FangerPMV(Hourly)",'Eplus results'!$1:$1048576,ROW(),FALSE)</f>
        <v>0</v>
      </c>
      <c r="AD8019" s="580">
        <f t="shared" si="661"/>
        <v>5</v>
      </c>
      <c r="AE8019" s="580">
        <f t="shared" si="662"/>
        <v>2.5</v>
      </c>
      <c r="AF8019" s="580">
        <f t="shared" si="663"/>
        <v>2.5</v>
      </c>
      <c r="AG8019" s="580">
        <f t="shared" si="664"/>
        <v>0</v>
      </c>
      <c r="AH8019" s="580">
        <f t="shared" si="665"/>
        <v>0</v>
      </c>
    </row>
    <row r="8020" spans="28:34">
      <c r="AB8020" s="580">
        <f>HLOOKUP("*"&amp;'Output annual'!$AC$2&amp;'Output annual'!$AD$2&amp;"*Zone People Number Of Occupants [](Hourly)",'Eplus results'!$1:$1048576,ROW(),FALSE)</f>
        <v>0</v>
      </c>
      <c r="AC8020" s="580">
        <f>HLOOKUP("*"&amp;'Output annual'!$AC$2&amp;'Output annual'!$AD$2&amp;"*FangerPMV(Hourly)",'Eplus results'!$1:$1048576,ROW(),FALSE)</f>
        <v>0</v>
      </c>
      <c r="AD8020" s="580">
        <f t="shared" si="661"/>
        <v>5</v>
      </c>
      <c r="AE8020" s="580">
        <f t="shared" si="662"/>
        <v>2.5</v>
      </c>
      <c r="AF8020" s="580">
        <f t="shared" si="663"/>
        <v>2.5</v>
      </c>
      <c r="AG8020" s="580">
        <f t="shared" si="664"/>
        <v>0</v>
      </c>
      <c r="AH8020" s="580">
        <f t="shared" si="665"/>
        <v>0</v>
      </c>
    </row>
    <row r="8021" spans="28:34">
      <c r="AB8021" s="580">
        <f>HLOOKUP("*"&amp;'Output annual'!$AC$2&amp;'Output annual'!$AD$2&amp;"*Zone People Number Of Occupants [](Hourly)",'Eplus results'!$1:$1048576,ROW(),FALSE)</f>
        <v>0</v>
      </c>
      <c r="AC8021" s="580">
        <f>HLOOKUP("*"&amp;'Output annual'!$AC$2&amp;'Output annual'!$AD$2&amp;"*FangerPMV(Hourly)",'Eplus results'!$1:$1048576,ROW(),FALSE)</f>
        <v>0</v>
      </c>
      <c r="AD8021" s="580">
        <f t="shared" si="661"/>
        <v>5</v>
      </c>
      <c r="AE8021" s="580">
        <f t="shared" si="662"/>
        <v>2.5</v>
      </c>
      <c r="AF8021" s="580">
        <f t="shared" si="663"/>
        <v>2.5</v>
      </c>
      <c r="AG8021" s="580">
        <f t="shared" si="664"/>
        <v>0</v>
      </c>
      <c r="AH8021" s="580">
        <f t="shared" si="665"/>
        <v>0</v>
      </c>
    </row>
    <row r="8022" spans="28:34">
      <c r="AB8022" s="580">
        <f>HLOOKUP("*"&amp;'Output annual'!$AC$2&amp;'Output annual'!$AD$2&amp;"*Zone People Number Of Occupants [](Hourly)",'Eplus results'!$1:$1048576,ROW(),FALSE)</f>
        <v>0</v>
      </c>
      <c r="AC8022" s="580">
        <f>HLOOKUP("*"&amp;'Output annual'!$AC$2&amp;'Output annual'!$AD$2&amp;"*FangerPMV(Hourly)",'Eplus results'!$1:$1048576,ROW(),FALSE)</f>
        <v>0</v>
      </c>
      <c r="AD8022" s="580">
        <f t="shared" si="661"/>
        <v>5</v>
      </c>
      <c r="AE8022" s="580">
        <f t="shared" si="662"/>
        <v>2.5</v>
      </c>
      <c r="AF8022" s="580">
        <f t="shared" si="663"/>
        <v>2.5</v>
      </c>
      <c r="AG8022" s="580">
        <f t="shared" si="664"/>
        <v>0</v>
      </c>
      <c r="AH8022" s="580">
        <f t="shared" si="665"/>
        <v>0</v>
      </c>
    </row>
    <row r="8023" spans="28:34">
      <c r="AB8023" s="580">
        <f>HLOOKUP("*"&amp;'Output annual'!$AC$2&amp;'Output annual'!$AD$2&amp;"*Zone People Number Of Occupants [](Hourly)",'Eplus results'!$1:$1048576,ROW(),FALSE)</f>
        <v>0</v>
      </c>
      <c r="AC8023" s="580">
        <f>HLOOKUP("*"&amp;'Output annual'!$AC$2&amp;'Output annual'!$AD$2&amp;"*FangerPMV(Hourly)",'Eplus results'!$1:$1048576,ROW(),FALSE)</f>
        <v>0</v>
      </c>
      <c r="AD8023" s="580">
        <f t="shared" si="661"/>
        <v>5</v>
      </c>
      <c r="AE8023" s="580">
        <f t="shared" si="662"/>
        <v>2.5</v>
      </c>
      <c r="AF8023" s="580">
        <f t="shared" si="663"/>
        <v>2.5</v>
      </c>
      <c r="AG8023" s="580">
        <f t="shared" si="664"/>
        <v>0</v>
      </c>
      <c r="AH8023" s="580">
        <f t="shared" si="665"/>
        <v>0</v>
      </c>
    </row>
    <row r="8024" spans="28:34">
      <c r="AB8024" s="580">
        <f>HLOOKUP("*"&amp;'Output annual'!$AC$2&amp;'Output annual'!$AD$2&amp;"*Zone People Number Of Occupants [](Hourly)",'Eplus results'!$1:$1048576,ROW(),FALSE)</f>
        <v>0</v>
      </c>
      <c r="AC8024" s="580">
        <f>HLOOKUP("*"&amp;'Output annual'!$AC$2&amp;'Output annual'!$AD$2&amp;"*FangerPMV(Hourly)",'Eplus results'!$1:$1048576,ROW(),FALSE)</f>
        <v>0</v>
      </c>
      <c r="AD8024" s="580">
        <f t="shared" si="661"/>
        <v>5</v>
      </c>
      <c r="AE8024" s="580">
        <f t="shared" si="662"/>
        <v>2.5</v>
      </c>
      <c r="AF8024" s="580">
        <f t="shared" si="663"/>
        <v>2.5</v>
      </c>
      <c r="AG8024" s="580">
        <f t="shared" si="664"/>
        <v>0</v>
      </c>
      <c r="AH8024" s="580">
        <f t="shared" si="665"/>
        <v>0</v>
      </c>
    </row>
    <row r="8025" spans="28:34">
      <c r="AB8025" s="580">
        <f>HLOOKUP("*"&amp;'Output annual'!$AC$2&amp;'Output annual'!$AD$2&amp;"*Zone People Number Of Occupants [](Hourly)",'Eplus results'!$1:$1048576,ROW(),FALSE)</f>
        <v>0</v>
      </c>
      <c r="AC8025" s="580">
        <f>HLOOKUP("*"&amp;'Output annual'!$AC$2&amp;'Output annual'!$AD$2&amp;"*FangerPMV(Hourly)",'Eplus results'!$1:$1048576,ROW(),FALSE)</f>
        <v>0</v>
      </c>
      <c r="AD8025" s="580">
        <f t="shared" si="661"/>
        <v>5</v>
      </c>
      <c r="AE8025" s="580">
        <f t="shared" si="662"/>
        <v>2.5</v>
      </c>
      <c r="AF8025" s="580">
        <f t="shared" si="663"/>
        <v>2.5</v>
      </c>
      <c r="AG8025" s="580">
        <f t="shared" si="664"/>
        <v>0</v>
      </c>
      <c r="AH8025" s="580">
        <f t="shared" si="665"/>
        <v>0</v>
      </c>
    </row>
    <row r="8026" spans="28:34">
      <c r="AB8026" s="580">
        <f>HLOOKUP("*"&amp;'Output annual'!$AC$2&amp;'Output annual'!$AD$2&amp;"*Zone People Number Of Occupants [](Hourly)",'Eplus results'!$1:$1048576,ROW(),FALSE)</f>
        <v>0</v>
      </c>
      <c r="AC8026" s="580">
        <f>HLOOKUP("*"&amp;'Output annual'!$AC$2&amp;'Output annual'!$AD$2&amp;"*FangerPMV(Hourly)",'Eplus results'!$1:$1048576,ROW(),FALSE)</f>
        <v>0</v>
      </c>
      <c r="AD8026" s="580">
        <f t="shared" si="661"/>
        <v>5</v>
      </c>
      <c r="AE8026" s="580">
        <f t="shared" si="662"/>
        <v>2.5</v>
      </c>
      <c r="AF8026" s="580">
        <f t="shared" si="663"/>
        <v>2.5</v>
      </c>
      <c r="AG8026" s="580">
        <f t="shared" si="664"/>
        <v>0</v>
      </c>
      <c r="AH8026" s="580">
        <f t="shared" si="665"/>
        <v>0</v>
      </c>
    </row>
    <row r="8027" spans="28:34">
      <c r="AB8027" s="580">
        <f>HLOOKUP("*"&amp;'Output annual'!$AC$2&amp;'Output annual'!$AD$2&amp;"*Zone People Number Of Occupants [](Hourly)",'Eplus results'!$1:$1048576,ROW(),FALSE)</f>
        <v>0</v>
      </c>
      <c r="AC8027" s="580">
        <f>HLOOKUP("*"&amp;'Output annual'!$AC$2&amp;'Output annual'!$AD$2&amp;"*FangerPMV(Hourly)",'Eplus results'!$1:$1048576,ROW(),FALSE)</f>
        <v>0</v>
      </c>
      <c r="AD8027" s="580">
        <f t="shared" si="661"/>
        <v>5</v>
      </c>
      <c r="AE8027" s="580">
        <f t="shared" si="662"/>
        <v>2.5</v>
      </c>
      <c r="AF8027" s="580">
        <f t="shared" si="663"/>
        <v>2.5</v>
      </c>
      <c r="AG8027" s="580">
        <f t="shared" si="664"/>
        <v>0</v>
      </c>
      <c r="AH8027" s="580">
        <f t="shared" si="665"/>
        <v>0</v>
      </c>
    </row>
    <row r="8028" spans="28:34">
      <c r="AB8028" s="580">
        <f>HLOOKUP("*"&amp;'Output annual'!$AC$2&amp;'Output annual'!$AD$2&amp;"*Zone People Number Of Occupants [](Hourly)",'Eplus results'!$1:$1048576,ROW(),FALSE)</f>
        <v>0</v>
      </c>
      <c r="AC8028" s="580">
        <f>HLOOKUP("*"&amp;'Output annual'!$AC$2&amp;'Output annual'!$AD$2&amp;"*FangerPMV(Hourly)",'Eplus results'!$1:$1048576,ROW(),FALSE)</f>
        <v>0</v>
      </c>
      <c r="AD8028" s="580">
        <f t="shared" si="661"/>
        <v>5</v>
      </c>
      <c r="AE8028" s="580">
        <f t="shared" si="662"/>
        <v>2.5</v>
      </c>
      <c r="AF8028" s="580">
        <f t="shared" si="663"/>
        <v>2.5</v>
      </c>
      <c r="AG8028" s="580">
        <f t="shared" si="664"/>
        <v>0</v>
      </c>
      <c r="AH8028" s="580">
        <f t="shared" si="665"/>
        <v>0</v>
      </c>
    </row>
    <row r="8029" spans="28:34">
      <c r="AB8029" s="580">
        <f>HLOOKUP("*"&amp;'Output annual'!$AC$2&amp;'Output annual'!$AD$2&amp;"*Zone People Number Of Occupants [](Hourly)",'Eplus results'!$1:$1048576,ROW(),FALSE)</f>
        <v>0</v>
      </c>
      <c r="AC8029" s="580">
        <f>HLOOKUP("*"&amp;'Output annual'!$AC$2&amp;'Output annual'!$AD$2&amp;"*FangerPMV(Hourly)",'Eplus results'!$1:$1048576,ROW(),FALSE)</f>
        <v>0</v>
      </c>
      <c r="AD8029" s="580">
        <f t="shared" si="661"/>
        <v>5</v>
      </c>
      <c r="AE8029" s="580">
        <f t="shared" si="662"/>
        <v>2.5</v>
      </c>
      <c r="AF8029" s="580">
        <f t="shared" si="663"/>
        <v>2.5</v>
      </c>
      <c r="AG8029" s="580">
        <f t="shared" si="664"/>
        <v>0</v>
      </c>
      <c r="AH8029" s="580">
        <f t="shared" si="665"/>
        <v>0</v>
      </c>
    </row>
    <row r="8030" spans="28:34">
      <c r="AB8030" s="580">
        <f>HLOOKUP("*"&amp;'Output annual'!$AC$2&amp;'Output annual'!$AD$2&amp;"*Zone People Number Of Occupants [](Hourly)",'Eplus results'!$1:$1048576,ROW(),FALSE)</f>
        <v>0</v>
      </c>
      <c r="AC8030" s="580">
        <f>HLOOKUP("*"&amp;'Output annual'!$AC$2&amp;'Output annual'!$AD$2&amp;"*FangerPMV(Hourly)",'Eplus results'!$1:$1048576,ROW(),FALSE)</f>
        <v>0</v>
      </c>
      <c r="AD8030" s="580">
        <f t="shared" si="661"/>
        <v>5</v>
      </c>
      <c r="AE8030" s="580">
        <f t="shared" si="662"/>
        <v>2.5</v>
      </c>
      <c r="AF8030" s="580">
        <f t="shared" si="663"/>
        <v>2.5</v>
      </c>
      <c r="AG8030" s="580">
        <f t="shared" si="664"/>
        <v>0</v>
      </c>
      <c r="AH8030" s="580">
        <f t="shared" si="665"/>
        <v>0</v>
      </c>
    </row>
    <row r="8031" spans="28:34">
      <c r="AB8031" s="580">
        <f>HLOOKUP("*"&amp;'Output annual'!$AC$2&amp;'Output annual'!$AD$2&amp;"*Zone People Number Of Occupants [](Hourly)",'Eplus results'!$1:$1048576,ROW(),FALSE)</f>
        <v>0</v>
      </c>
      <c r="AC8031" s="580">
        <f>HLOOKUP("*"&amp;'Output annual'!$AC$2&amp;'Output annual'!$AD$2&amp;"*FangerPMV(Hourly)",'Eplus results'!$1:$1048576,ROW(),FALSE)</f>
        <v>0</v>
      </c>
      <c r="AD8031" s="580">
        <f t="shared" si="661"/>
        <v>5</v>
      </c>
      <c r="AE8031" s="580">
        <f t="shared" si="662"/>
        <v>2.5</v>
      </c>
      <c r="AF8031" s="580">
        <f t="shared" si="663"/>
        <v>2.5</v>
      </c>
      <c r="AG8031" s="580">
        <f t="shared" si="664"/>
        <v>0</v>
      </c>
      <c r="AH8031" s="580">
        <f t="shared" si="665"/>
        <v>0</v>
      </c>
    </row>
    <row r="8032" spans="28:34">
      <c r="AB8032" s="580">
        <f>HLOOKUP("*"&amp;'Output annual'!$AC$2&amp;'Output annual'!$AD$2&amp;"*Zone People Number Of Occupants [](Hourly)",'Eplus results'!$1:$1048576,ROW(),FALSE)</f>
        <v>0</v>
      </c>
      <c r="AC8032" s="580">
        <f>HLOOKUP("*"&amp;'Output annual'!$AC$2&amp;'Output annual'!$AD$2&amp;"*FangerPMV(Hourly)",'Eplus results'!$1:$1048576,ROW(),FALSE)</f>
        <v>0</v>
      </c>
      <c r="AD8032" s="580">
        <f t="shared" si="661"/>
        <v>5</v>
      </c>
      <c r="AE8032" s="580">
        <f t="shared" si="662"/>
        <v>2.5</v>
      </c>
      <c r="AF8032" s="580">
        <f t="shared" si="663"/>
        <v>2.5</v>
      </c>
      <c r="AG8032" s="580">
        <f t="shared" si="664"/>
        <v>0</v>
      </c>
      <c r="AH8032" s="580">
        <f t="shared" si="665"/>
        <v>0</v>
      </c>
    </row>
    <row r="8033" spans="28:34">
      <c r="AB8033" s="580">
        <f>HLOOKUP("*"&amp;'Output annual'!$AC$2&amp;'Output annual'!$AD$2&amp;"*Zone People Number Of Occupants [](Hourly)",'Eplus results'!$1:$1048576,ROW(),FALSE)</f>
        <v>0</v>
      </c>
      <c r="AC8033" s="580">
        <f>HLOOKUP("*"&amp;'Output annual'!$AC$2&amp;'Output annual'!$AD$2&amp;"*FangerPMV(Hourly)",'Eplus results'!$1:$1048576,ROW(),FALSE)</f>
        <v>0</v>
      </c>
      <c r="AD8033" s="580">
        <f t="shared" si="661"/>
        <v>5</v>
      </c>
      <c r="AE8033" s="580">
        <f t="shared" si="662"/>
        <v>2.5</v>
      </c>
      <c r="AF8033" s="580">
        <f t="shared" si="663"/>
        <v>2.5</v>
      </c>
      <c r="AG8033" s="580">
        <f t="shared" si="664"/>
        <v>0</v>
      </c>
      <c r="AH8033" s="580">
        <f t="shared" si="665"/>
        <v>0</v>
      </c>
    </row>
    <row r="8034" spans="28:34">
      <c r="AB8034" s="580">
        <f>HLOOKUP("*"&amp;'Output annual'!$AC$2&amp;'Output annual'!$AD$2&amp;"*Zone People Number Of Occupants [](Hourly)",'Eplus results'!$1:$1048576,ROW(),FALSE)</f>
        <v>0</v>
      </c>
      <c r="AC8034" s="580">
        <f>HLOOKUP("*"&amp;'Output annual'!$AC$2&amp;'Output annual'!$AD$2&amp;"*FangerPMV(Hourly)",'Eplus results'!$1:$1048576,ROW(),FALSE)</f>
        <v>0</v>
      </c>
      <c r="AD8034" s="580">
        <f t="shared" si="661"/>
        <v>5</v>
      </c>
      <c r="AE8034" s="580">
        <f t="shared" si="662"/>
        <v>2.5</v>
      </c>
      <c r="AF8034" s="580">
        <f t="shared" si="663"/>
        <v>2.5</v>
      </c>
      <c r="AG8034" s="580">
        <f t="shared" si="664"/>
        <v>0</v>
      </c>
      <c r="AH8034" s="580">
        <f t="shared" si="665"/>
        <v>0</v>
      </c>
    </row>
    <row r="8035" spans="28:34">
      <c r="AB8035" s="580">
        <f>HLOOKUP("*"&amp;'Output annual'!$AC$2&amp;'Output annual'!$AD$2&amp;"*Zone People Number Of Occupants [](Hourly)",'Eplus results'!$1:$1048576,ROW(),FALSE)</f>
        <v>0</v>
      </c>
      <c r="AC8035" s="580">
        <f>HLOOKUP("*"&amp;'Output annual'!$AC$2&amp;'Output annual'!$AD$2&amp;"*FangerPMV(Hourly)",'Eplus results'!$1:$1048576,ROW(),FALSE)</f>
        <v>0</v>
      </c>
      <c r="AD8035" s="580">
        <f t="shared" si="661"/>
        <v>5</v>
      </c>
      <c r="AE8035" s="580">
        <f t="shared" si="662"/>
        <v>2.5</v>
      </c>
      <c r="AF8035" s="580">
        <f t="shared" si="663"/>
        <v>2.5</v>
      </c>
      <c r="AG8035" s="580">
        <f t="shared" si="664"/>
        <v>0</v>
      </c>
      <c r="AH8035" s="580">
        <f t="shared" si="665"/>
        <v>0</v>
      </c>
    </row>
    <row r="8036" spans="28:34">
      <c r="AB8036" s="580">
        <f>HLOOKUP("*"&amp;'Output annual'!$AC$2&amp;'Output annual'!$AD$2&amp;"*Zone People Number Of Occupants [](Hourly)",'Eplus results'!$1:$1048576,ROW(),FALSE)</f>
        <v>0</v>
      </c>
      <c r="AC8036" s="580">
        <f>HLOOKUP("*"&amp;'Output annual'!$AC$2&amp;'Output annual'!$AD$2&amp;"*FangerPMV(Hourly)",'Eplus results'!$1:$1048576,ROW(),FALSE)</f>
        <v>0</v>
      </c>
      <c r="AD8036" s="580">
        <f t="shared" si="661"/>
        <v>5</v>
      </c>
      <c r="AE8036" s="580">
        <f t="shared" si="662"/>
        <v>2.5</v>
      </c>
      <c r="AF8036" s="580">
        <f t="shared" si="663"/>
        <v>2.5</v>
      </c>
      <c r="AG8036" s="580">
        <f t="shared" si="664"/>
        <v>0</v>
      </c>
      <c r="AH8036" s="580">
        <f t="shared" si="665"/>
        <v>0</v>
      </c>
    </row>
    <row r="8037" spans="28:34">
      <c r="AB8037" s="580">
        <f>HLOOKUP("*"&amp;'Output annual'!$AC$2&amp;'Output annual'!$AD$2&amp;"*Zone People Number Of Occupants [](Hourly)",'Eplus results'!$1:$1048576,ROW(),FALSE)</f>
        <v>0</v>
      </c>
      <c r="AC8037" s="580">
        <f>HLOOKUP("*"&amp;'Output annual'!$AC$2&amp;'Output annual'!$AD$2&amp;"*FangerPMV(Hourly)",'Eplus results'!$1:$1048576,ROW(),FALSE)</f>
        <v>0</v>
      </c>
      <c r="AD8037" s="580">
        <f t="shared" si="661"/>
        <v>5</v>
      </c>
      <c r="AE8037" s="580">
        <f t="shared" si="662"/>
        <v>2.5</v>
      </c>
      <c r="AF8037" s="580">
        <f t="shared" si="663"/>
        <v>2.5</v>
      </c>
      <c r="AG8037" s="580">
        <f t="shared" si="664"/>
        <v>0</v>
      </c>
      <c r="AH8037" s="580">
        <f t="shared" si="665"/>
        <v>0</v>
      </c>
    </row>
    <row r="8038" spans="28:34">
      <c r="AB8038" s="580">
        <f>HLOOKUP("*"&amp;'Output annual'!$AC$2&amp;'Output annual'!$AD$2&amp;"*Zone People Number Of Occupants [](Hourly)",'Eplus results'!$1:$1048576,ROW(),FALSE)</f>
        <v>0</v>
      </c>
      <c r="AC8038" s="580">
        <f>HLOOKUP("*"&amp;'Output annual'!$AC$2&amp;'Output annual'!$AD$2&amp;"*FangerPMV(Hourly)",'Eplus results'!$1:$1048576,ROW(),FALSE)</f>
        <v>0</v>
      </c>
      <c r="AD8038" s="580">
        <f t="shared" si="661"/>
        <v>5</v>
      </c>
      <c r="AE8038" s="580">
        <f t="shared" si="662"/>
        <v>2.5</v>
      </c>
      <c r="AF8038" s="580">
        <f t="shared" si="663"/>
        <v>2.5</v>
      </c>
      <c r="AG8038" s="580">
        <f t="shared" si="664"/>
        <v>0</v>
      </c>
      <c r="AH8038" s="580">
        <f t="shared" si="665"/>
        <v>0</v>
      </c>
    </row>
    <row r="8039" spans="28:34">
      <c r="AB8039" s="580">
        <f>HLOOKUP("*"&amp;'Output annual'!$AC$2&amp;'Output annual'!$AD$2&amp;"*Zone People Number Of Occupants [](Hourly)",'Eplus results'!$1:$1048576,ROW(),FALSE)</f>
        <v>0</v>
      </c>
      <c r="AC8039" s="580">
        <f>HLOOKUP("*"&amp;'Output annual'!$AC$2&amp;'Output annual'!$AD$2&amp;"*FangerPMV(Hourly)",'Eplus results'!$1:$1048576,ROW(),FALSE)</f>
        <v>0</v>
      </c>
      <c r="AD8039" s="580">
        <f t="shared" si="661"/>
        <v>5</v>
      </c>
      <c r="AE8039" s="580">
        <f t="shared" si="662"/>
        <v>2.5</v>
      </c>
      <c r="AF8039" s="580">
        <f t="shared" si="663"/>
        <v>2.5</v>
      </c>
      <c r="AG8039" s="580">
        <f t="shared" si="664"/>
        <v>0</v>
      </c>
      <c r="AH8039" s="580">
        <f t="shared" si="665"/>
        <v>0</v>
      </c>
    </row>
    <row r="8040" spans="28:34">
      <c r="AB8040" s="580">
        <f>HLOOKUP("*"&amp;'Output annual'!$AC$2&amp;'Output annual'!$AD$2&amp;"*Zone People Number Of Occupants [](Hourly)",'Eplus results'!$1:$1048576,ROW(),FALSE)</f>
        <v>0</v>
      </c>
      <c r="AC8040" s="580">
        <f>HLOOKUP("*"&amp;'Output annual'!$AC$2&amp;'Output annual'!$AD$2&amp;"*FangerPMV(Hourly)",'Eplus results'!$1:$1048576,ROW(),FALSE)</f>
        <v>0</v>
      </c>
      <c r="AD8040" s="580">
        <f t="shared" si="661"/>
        <v>5</v>
      </c>
      <c r="AE8040" s="580">
        <f t="shared" si="662"/>
        <v>2.5</v>
      </c>
      <c r="AF8040" s="580">
        <f t="shared" si="663"/>
        <v>2.5</v>
      </c>
      <c r="AG8040" s="580">
        <f t="shared" si="664"/>
        <v>0</v>
      </c>
      <c r="AH8040" s="580">
        <f t="shared" si="665"/>
        <v>0</v>
      </c>
    </row>
    <row r="8041" spans="28:34">
      <c r="AB8041" s="580">
        <f>HLOOKUP("*"&amp;'Output annual'!$AC$2&amp;'Output annual'!$AD$2&amp;"*Zone People Number Of Occupants [](Hourly)",'Eplus results'!$1:$1048576,ROW(),FALSE)</f>
        <v>0</v>
      </c>
      <c r="AC8041" s="580">
        <f>HLOOKUP("*"&amp;'Output annual'!$AC$2&amp;'Output annual'!$AD$2&amp;"*FangerPMV(Hourly)",'Eplus results'!$1:$1048576,ROW(),FALSE)</f>
        <v>0</v>
      </c>
      <c r="AD8041" s="580">
        <f t="shared" si="661"/>
        <v>5</v>
      </c>
      <c r="AE8041" s="580">
        <f t="shared" si="662"/>
        <v>2.5</v>
      </c>
      <c r="AF8041" s="580">
        <f t="shared" si="663"/>
        <v>2.5</v>
      </c>
      <c r="AG8041" s="580">
        <f t="shared" si="664"/>
        <v>0</v>
      </c>
      <c r="AH8041" s="580">
        <f t="shared" si="665"/>
        <v>0</v>
      </c>
    </row>
    <row r="8042" spans="28:34">
      <c r="AB8042" s="580">
        <f>HLOOKUP("*"&amp;'Output annual'!$AC$2&amp;'Output annual'!$AD$2&amp;"*Zone People Number Of Occupants [](Hourly)",'Eplus results'!$1:$1048576,ROW(),FALSE)</f>
        <v>0</v>
      </c>
      <c r="AC8042" s="580">
        <f>HLOOKUP("*"&amp;'Output annual'!$AC$2&amp;'Output annual'!$AD$2&amp;"*FangerPMV(Hourly)",'Eplus results'!$1:$1048576,ROW(),FALSE)</f>
        <v>0</v>
      </c>
      <c r="AD8042" s="580">
        <f t="shared" si="661"/>
        <v>5</v>
      </c>
      <c r="AE8042" s="580">
        <f t="shared" si="662"/>
        <v>2.5</v>
      </c>
      <c r="AF8042" s="580">
        <f t="shared" si="663"/>
        <v>2.5</v>
      </c>
      <c r="AG8042" s="580">
        <f t="shared" si="664"/>
        <v>0</v>
      </c>
      <c r="AH8042" s="580">
        <f t="shared" si="665"/>
        <v>0</v>
      </c>
    </row>
    <row r="8043" spans="28:34">
      <c r="AB8043" s="580">
        <f>HLOOKUP("*"&amp;'Output annual'!$AC$2&amp;'Output annual'!$AD$2&amp;"*Zone People Number Of Occupants [](Hourly)",'Eplus results'!$1:$1048576,ROW(),FALSE)</f>
        <v>0</v>
      </c>
      <c r="AC8043" s="580">
        <f>HLOOKUP("*"&amp;'Output annual'!$AC$2&amp;'Output annual'!$AD$2&amp;"*FangerPMV(Hourly)",'Eplus results'!$1:$1048576,ROW(),FALSE)</f>
        <v>0</v>
      </c>
      <c r="AD8043" s="580">
        <f t="shared" si="661"/>
        <v>5</v>
      </c>
      <c r="AE8043" s="580">
        <f t="shared" si="662"/>
        <v>2.5</v>
      </c>
      <c r="AF8043" s="580">
        <f t="shared" si="663"/>
        <v>2.5</v>
      </c>
      <c r="AG8043" s="580">
        <f t="shared" si="664"/>
        <v>0</v>
      </c>
      <c r="AH8043" s="580">
        <f t="shared" si="665"/>
        <v>0</v>
      </c>
    </row>
    <row r="8044" spans="28:34">
      <c r="AB8044" s="580">
        <f>HLOOKUP("*"&amp;'Output annual'!$AC$2&amp;'Output annual'!$AD$2&amp;"*Zone People Number Of Occupants [](Hourly)",'Eplus results'!$1:$1048576,ROW(),FALSE)</f>
        <v>0</v>
      </c>
      <c r="AC8044" s="580">
        <f>HLOOKUP("*"&amp;'Output annual'!$AC$2&amp;'Output annual'!$AD$2&amp;"*FangerPMV(Hourly)",'Eplus results'!$1:$1048576,ROW(),FALSE)</f>
        <v>0</v>
      </c>
      <c r="AD8044" s="580">
        <f t="shared" si="661"/>
        <v>5</v>
      </c>
      <c r="AE8044" s="580">
        <f t="shared" si="662"/>
        <v>2.5</v>
      </c>
      <c r="AF8044" s="580">
        <f t="shared" si="663"/>
        <v>2.5</v>
      </c>
      <c r="AG8044" s="580">
        <f t="shared" si="664"/>
        <v>0</v>
      </c>
      <c r="AH8044" s="580">
        <f t="shared" si="665"/>
        <v>0</v>
      </c>
    </row>
    <row r="8045" spans="28:34">
      <c r="AB8045" s="580">
        <f>HLOOKUP("*"&amp;'Output annual'!$AC$2&amp;'Output annual'!$AD$2&amp;"*Zone People Number Of Occupants [](Hourly)",'Eplus results'!$1:$1048576,ROW(),FALSE)</f>
        <v>0</v>
      </c>
      <c r="AC8045" s="580">
        <f>HLOOKUP("*"&amp;'Output annual'!$AC$2&amp;'Output annual'!$AD$2&amp;"*FangerPMV(Hourly)",'Eplus results'!$1:$1048576,ROW(),FALSE)</f>
        <v>0</v>
      </c>
      <c r="AD8045" s="580">
        <f t="shared" si="661"/>
        <v>5</v>
      </c>
      <c r="AE8045" s="580">
        <f t="shared" si="662"/>
        <v>2.5</v>
      </c>
      <c r="AF8045" s="580">
        <f t="shared" si="663"/>
        <v>2.5</v>
      </c>
      <c r="AG8045" s="580">
        <f t="shared" si="664"/>
        <v>0</v>
      </c>
      <c r="AH8045" s="580">
        <f t="shared" si="665"/>
        <v>0</v>
      </c>
    </row>
    <row r="8046" spans="28:34">
      <c r="AB8046" s="580">
        <f>HLOOKUP("*"&amp;'Output annual'!$AC$2&amp;'Output annual'!$AD$2&amp;"*Zone People Number Of Occupants [](Hourly)",'Eplus results'!$1:$1048576,ROW(),FALSE)</f>
        <v>0</v>
      </c>
      <c r="AC8046" s="580">
        <f>HLOOKUP("*"&amp;'Output annual'!$AC$2&amp;'Output annual'!$AD$2&amp;"*FangerPMV(Hourly)",'Eplus results'!$1:$1048576,ROW(),FALSE)</f>
        <v>0</v>
      </c>
      <c r="AD8046" s="580">
        <f t="shared" si="661"/>
        <v>5</v>
      </c>
      <c r="AE8046" s="580">
        <f t="shared" si="662"/>
        <v>2.5</v>
      </c>
      <c r="AF8046" s="580">
        <f t="shared" si="663"/>
        <v>2.5</v>
      </c>
      <c r="AG8046" s="580">
        <f t="shared" si="664"/>
        <v>0</v>
      </c>
      <c r="AH8046" s="580">
        <f t="shared" si="665"/>
        <v>0</v>
      </c>
    </row>
    <row r="8047" spans="28:34">
      <c r="AB8047" s="580">
        <f>HLOOKUP("*"&amp;'Output annual'!$AC$2&amp;'Output annual'!$AD$2&amp;"*Zone People Number Of Occupants [](Hourly)",'Eplus results'!$1:$1048576,ROW(),FALSE)</f>
        <v>0</v>
      </c>
      <c r="AC8047" s="580">
        <f>HLOOKUP("*"&amp;'Output annual'!$AC$2&amp;'Output annual'!$AD$2&amp;"*FangerPMV(Hourly)",'Eplus results'!$1:$1048576,ROW(),FALSE)</f>
        <v>0</v>
      </c>
      <c r="AD8047" s="580">
        <f t="shared" si="661"/>
        <v>5</v>
      </c>
      <c r="AE8047" s="580">
        <f t="shared" si="662"/>
        <v>2.5</v>
      </c>
      <c r="AF8047" s="580">
        <f t="shared" si="663"/>
        <v>2.5</v>
      </c>
      <c r="AG8047" s="580">
        <f t="shared" si="664"/>
        <v>0</v>
      </c>
      <c r="AH8047" s="580">
        <f t="shared" si="665"/>
        <v>0</v>
      </c>
    </row>
    <row r="8048" spans="28:34">
      <c r="AB8048" s="580">
        <f>HLOOKUP("*"&amp;'Output annual'!$AC$2&amp;'Output annual'!$AD$2&amp;"*Zone People Number Of Occupants [](Hourly)",'Eplus results'!$1:$1048576,ROW(),FALSE)</f>
        <v>0</v>
      </c>
      <c r="AC8048" s="580">
        <f>HLOOKUP("*"&amp;'Output annual'!$AC$2&amp;'Output annual'!$AD$2&amp;"*FangerPMV(Hourly)",'Eplus results'!$1:$1048576,ROW(),FALSE)</f>
        <v>0</v>
      </c>
      <c r="AD8048" s="580">
        <f t="shared" si="661"/>
        <v>5</v>
      </c>
      <c r="AE8048" s="580">
        <f t="shared" si="662"/>
        <v>2.5</v>
      </c>
      <c r="AF8048" s="580">
        <f t="shared" si="663"/>
        <v>2.5</v>
      </c>
      <c r="AG8048" s="580">
        <f t="shared" si="664"/>
        <v>0</v>
      </c>
      <c r="AH8048" s="580">
        <f t="shared" si="665"/>
        <v>0</v>
      </c>
    </row>
    <row r="8049" spans="28:34">
      <c r="AB8049" s="580">
        <f>HLOOKUP("*"&amp;'Output annual'!$AC$2&amp;'Output annual'!$AD$2&amp;"*Zone People Number Of Occupants [](Hourly)",'Eplus results'!$1:$1048576,ROW(),FALSE)</f>
        <v>0</v>
      </c>
      <c r="AC8049" s="580">
        <f>HLOOKUP("*"&amp;'Output annual'!$AC$2&amp;'Output annual'!$AD$2&amp;"*FangerPMV(Hourly)",'Eplus results'!$1:$1048576,ROW(),FALSE)</f>
        <v>0</v>
      </c>
      <c r="AD8049" s="580">
        <f t="shared" si="661"/>
        <v>5</v>
      </c>
      <c r="AE8049" s="580">
        <f t="shared" si="662"/>
        <v>2.5</v>
      </c>
      <c r="AF8049" s="580">
        <f t="shared" si="663"/>
        <v>2.5</v>
      </c>
      <c r="AG8049" s="580">
        <f t="shared" si="664"/>
        <v>0</v>
      </c>
      <c r="AH8049" s="580">
        <f t="shared" si="665"/>
        <v>0</v>
      </c>
    </row>
    <row r="8050" spans="28:34">
      <c r="AB8050" s="580">
        <f>HLOOKUP("*"&amp;'Output annual'!$AC$2&amp;'Output annual'!$AD$2&amp;"*Zone People Number Of Occupants [](Hourly)",'Eplus results'!$1:$1048576,ROW(),FALSE)</f>
        <v>0</v>
      </c>
      <c r="AC8050" s="580">
        <f>HLOOKUP("*"&amp;'Output annual'!$AC$2&amp;'Output annual'!$AD$2&amp;"*FangerPMV(Hourly)",'Eplus results'!$1:$1048576,ROW(),FALSE)</f>
        <v>0</v>
      </c>
      <c r="AD8050" s="580">
        <f t="shared" si="661"/>
        <v>5</v>
      </c>
      <c r="AE8050" s="580">
        <f t="shared" si="662"/>
        <v>2.5</v>
      </c>
      <c r="AF8050" s="580">
        <f t="shared" si="663"/>
        <v>2.5</v>
      </c>
      <c r="AG8050" s="580">
        <f t="shared" si="664"/>
        <v>0</v>
      </c>
      <c r="AH8050" s="580">
        <f t="shared" si="665"/>
        <v>0</v>
      </c>
    </row>
    <row r="8051" spans="28:34">
      <c r="AB8051" s="580">
        <f>HLOOKUP("*"&amp;'Output annual'!$AC$2&amp;'Output annual'!$AD$2&amp;"*Zone People Number Of Occupants [](Hourly)",'Eplus results'!$1:$1048576,ROW(),FALSE)</f>
        <v>0</v>
      </c>
      <c r="AC8051" s="580">
        <f>HLOOKUP("*"&amp;'Output annual'!$AC$2&amp;'Output annual'!$AD$2&amp;"*FangerPMV(Hourly)",'Eplus results'!$1:$1048576,ROW(),FALSE)</f>
        <v>0</v>
      </c>
      <c r="AD8051" s="580">
        <f t="shared" si="661"/>
        <v>5</v>
      </c>
      <c r="AE8051" s="580">
        <f t="shared" si="662"/>
        <v>2.5</v>
      </c>
      <c r="AF8051" s="580">
        <f t="shared" si="663"/>
        <v>2.5</v>
      </c>
      <c r="AG8051" s="580">
        <f t="shared" si="664"/>
        <v>0</v>
      </c>
      <c r="AH8051" s="580">
        <f t="shared" si="665"/>
        <v>0</v>
      </c>
    </row>
    <row r="8052" spans="28:34">
      <c r="AB8052" s="580">
        <f>HLOOKUP("*"&amp;'Output annual'!$AC$2&amp;'Output annual'!$AD$2&amp;"*Zone People Number Of Occupants [](Hourly)",'Eplus results'!$1:$1048576,ROW(),FALSE)</f>
        <v>0</v>
      </c>
      <c r="AC8052" s="580">
        <f>HLOOKUP("*"&amp;'Output annual'!$AC$2&amp;'Output annual'!$AD$2&amp;"*FangerPMV(Hourly)",'Eplus results'!$1:$1048576,ROW(),FALSE)</f>
        <v>0</v>
      </c>
      <c r="AD8052" s="580">
        <f t="shared" si="661"/>
        <v>5</v>
      </c>
      <c r="AE8052" s="580">
        <f t="shared" si="662"/>
        <v>2.5</v>
      </c>
      <c r="AF8052" s="580">
        <f t="shared" si="663"/>
        <v>2.5</v>
      </c>
      <c r="AG8052" s="580">
        <f t="shared" si="664"/>
        <v>0</v>
      </c>
      <c r="AH8052" s="580">
        <f t="shared" si="665"/>
        <v>0</v>
      </c>
    </row>
    <row r="8053" spans="28:34">
      <c r="AB8053" s="580">
        <f>HLOOKUP("*"&amp;'Output annual'!$AC$2&amp;'Output annual'!$AD$2&amp;"*Zone People Number Of Occupants [](Hourly)",'Eplus results'!$1:$1048576,ROW(),FALSE)</f>
        <v>0</v>
      </c>
      <c r="AC8053" s="580">
        <f>HLOOKUP("*"&amp;'Output annual'!$AC$2&amp;'Output annual'!$AD$2&amp;"*FangerPMV(Hourly)",'Eplus results'!$1:$1048576,ROW(),FALSE)</f>
        <v>0</v>
      </c>
      <c r="AD8053" s="580">
        <f t="shared" si="661"/>
        <v>5</v>
      </c>
      <c r="AE8053" s="580">
        <f t="shared" si="662"/>
        <v>2.5</v>
      </c>
      <c r="AF8053" s="580">
        <f t="shared" si="663"/>
        <v>2.5</v>
      </c>
      <c r="AG8053" s="580">
        <f t="shared" si="664"/>
        <v>0</v>
      </c>
      <c r="AH8053" s="580">
        <f t="shared" si="665"/>
        <v>0</v>
      </c>
    </row>
    <row r="8054" spans="28:34">
      <c r="AB8054" s="580">
        <f>HLOOKUP("*"&amp;'Output annual'!$AC$2&amp;'Output annual'!$AD$2&amp;"*Zone People Number Of Occupants [](Hourly)",'Eplus results'!$1:$1048576,ROW(),FALSE)</f>
        <v>0</v>
      </c>
      <c r="AC8054" s="580">
        <f>HLOOKUP("*"&amp;'Output annual'!$AC$2&amp;'Output annual'!$AD$2&amp;"*FangerPMV(Hourly)",'Eplus results'!$1:$1048576,ROW(),FALSE)</f>
        <v>0</v>
      </c>
      <c r="AD8054" s="580">
        <f t="shared" si="661"/>
        <v>5</v>
      </c>
      <c r="AE8054" s="580">
        <f t="shared" si="662"/>
        <v>2.5</v>
      </c>
      <c r="AF8054" s="580">
        <f t="shared" si="663"/>
        <v>2.5</v>
      </c>
      <c r="AG8054" s="580">
        <f t="shared" si="664"/>
        <v>0</v>
      </c>
      <c r="AH8054" s="580">
        <f t="shared" si="665"/>
        <v>0</v>
      </c>
    </row>
    <row r="8055" spans="28:34">
      <c r="AB8055" s="580">
        <f>HLOOKUP("*"&amp;'Output annual'!$AC$2&amp;'Output annual'!$AD$2&amp;"*Zone People Number Of Occupants [](Hourly)",'Eplus results'!$1:$1048576,ROW(),FALSE)</f>
        <v>0</v>
      </c>
      <c r="AC8055" s="580">
        <f>HLOOKUP("*"&amp;'Output annual'!$AC$2&amp;'Output annual'!$AD$2&amp;"*FangerPMV(Hourly)",'Eplus results'!$1:$1048576,ROW(),FALSE)</f>
        <v>0</v>
      </c>
      <c r="AD8055" s="580">
        <f t="shared" si="661"/>
        <v>5</v>
      </c>
      <c r="AE8055" s="580">
        <f t="shared" si="662"/>
        <v>2.5</v>
      </c>
      <c r="AF8055" s="580">
        <f t="shared" si="663"/>
        <v>2.5</v>
      </c>
      <c r="AG8055" s="580">
        <f t="shared" si="664"/>
        <v>0</v>
      </c>
      <c r="AH8055" s="580">
        <f t="shared" si="665"/>
        <v>0</v>
      </c>
    </row>
    <row r="8056" spans="28:34">
      <c r="AB8056" s="580">
        <f>HLOOKUP("*"&amp;'Output annual'!$AC$2&amp;'Output annual'!$AD$2&amp;"*Zone People Number Of Occupants [](Hourly)",'Eplus results'!$1:$1048576,ROW(),FALSE)</f>
        <v>0</v>
      </c>
      <c r="AC8056" s="580">
        <f>HLOOKUP("*"&amp;'Output annual'!$AC$2&amp;'Output annual'!$AD$2&amp;"*FangerPMV(Hourly)",'Eplus results'!$1:$1048576,ROW(),FALSE)</f>
        <v>0</v>
      </c>
      <c r="AD8056" s="580">
        <f t="shared" si="661"/>
        <v>5</v>
      </c>
      <c r="AE8056" s="580">
        <f t="shared" si="662"/>
        <v>2.5</v>
      </c>
      <c r="AF8056" s="580">
        <f t="shared" si="663"/>
        <v>2.5</v>
      </c>
      <c r="AG8056" s="580">
        <f t="shared" si="664"/>
        <v>0</v>
      </c>
      <c r="AH8056" s="580">
        <f t="shared" si="665"/>
        <v>0</v>
      </c>
    </row>
    <row r="8057" spans="28:34">
      <c r="AB8057" s="580">
        <f>HLOOKUP("*"&amp;'Output annual'!$AC$2&amp;'Output annual'!$AD$2&amp;"*Zone People Number Of Occupants [](Hourly)",'Eplus results'!$1:$1048576,ROW(),FALSE)</f>
        <v>0</v>
      </c>
      <c r="AC8057" s="580">
        <f>HLOOKUP("*"&amp;'Output annual'!$AC$2&amp;'Output annual'!$AD$2&amp;"*FangerPMV(Hourly)",'Eplus results'!$1:$1048576,ROW(),FALSE)</f>
        <v>0</v>
      </c>
      <c r="AD8057" s="580">
        <f t="shared" si="661"/>
        <v>5</v>
      </c>
      <c r="AE8057" s="580">
        <f t="shared" si="662"/>
        <v>2.5</v>
      </c>
      <c r="AF8057" s="580">
        <f t="shared" si="663"/>
        <v>2.5</v>
      </c>
      <c r="AG8057" s="580">
        <f t="shared" si="664"/>
        <v>0</v>
      </c>
      <c r="AH8057" s="580">
        <f t="shared" si="665"/>
        <v>0</v>
      </c>
    </row>
    <row r="8058" spans="28:34">
      <c r="AB8058" s="580">
        <f>HLOOKUP("*"&amp;'Output annual'!$AC$2&amp;'Output annual'!$AD$2&amp;"*Zone People Number Of Occupants [](Hourly)",'Eplus results'!$1:$1048576,ROW(),FALSE)</f>
        <v>0</v>
      </c>
      <c r="AC8058" s="580">
        <f>HLOOKUP("*"&amp;'Output annual'!$AC$2&amp;'Output annual'!$AD$2&amp;"*FangerPMV(Hourly)",'Eplus results'!$1:$1048576,ROW(),FALSE)</f>
        <v>0</v>
      </c>
      <c r="AD8058" s="580">
        <f t="shared" si="661"/>
        <v>5</v>
      </c>
      <c r="AE8058" s="580">
        <f t="shared" si="662"/>
        <v>2.5</v>
      </c>
      <c r="AF8058" s="580">
        <f t="shared" si="663"/>
        <v>2.5</v>
      </c>
      <c r="AG8058" s="580">
        <f t="shared" si="664"/>
        <v>0</v>
      </c>
      <c r="AH8058" s="580">
        <f t="shared" si="665"/>
        <v>0</v>
      </c>
    </row>
    <row r="8059" spans="28:34">
      <c r="AB8059" s="580">
        <f>HLOOKUP("*"&amp;'Output annual'!$AC$2&amp;'Output annual'!$AD$2&amp;"*Zone People Number Of Occupants [](Hourly)",'Eplus results'!$1:$1048576,ROW(),FALSE)</f>
        <v>0</v>
      </c>
      <c r="AC8059" s="580">
        <f>HLOOKUP("*"&amp;'Output annual'!$AC$2&amp;'Output annual'!$AD$2&amp;"*FangerPMV(Hourly)",'Eplus results'!$1:$1048576,ROW(),FALSE)</f>
        <v>0</v>
      </c>
      <c r="AD8059" s="580">
        <f t="shared" si="661"/>
        <v>5</v>
      </c>
      <c r="AE8059" s="580">
        <f t="shared" si="662"/>
        <v>2.5</v>
      </c>
      <c r="AF8059" s="580">
        <f t="shared" si="663"/>
        <v>2.5</v>
      </c>
      <c r="AG8059" s="580">
        <f t="shared" si="664"/>
        <v>0</v>
      </c>
      <c r="AH8059" s="580">
        <f t="shared" si="665"/>
        <v>0</v>
      </c>
    </row>
    <row r="8060" spans="28:34">
      <c r="AB8060" s="580">
        <f>HLOOKUP("*"&amp;'Output annual'!$AC$2&amp;'Output annual'!$AD$2&amp;"*Zone People Number Of Occupants [](Hourly)",'Eplus results'!$1:$1048576,ROW(),FALSE)</f>
        <v>0</v>
      </c>
      <c r="AC8060" s="580">
        <f>HLOOKUP("*"&amp;'Output annual'!$AC$2&amp;'Output annual'!$AD$2&amp;"*FangerPMV(Hourly)",'Eplus results'!$1:$1048576,ROW(),FALSE)</f>
        <v>0</v>
      </c>
      <c r="AD8060" s="580">
        <f t="shared" si="661"/>
        <v>5</v>
      </c>
      <c r="AE8060" s="580">
        <f t="shared" si="662"/>
        <v>2.5</v>
      </c>
      <c r="AF8060" s="580">
        <f t="shared" si="663"/>
        <v>2.5</v>
      </c>
      <c r="AG8060" s="580">
        <f t="shared" si="664"/>
        <v>0</v>
      </c>
      <c r="AH8060" s="580">
        <f t="shared" si="665"/>
        <v>0</v>
      </c>
    </row>
    <row r="8061" spans="28:34">
      <c r="AB8061" s="580">
        <f>HLOOKUP("*"&amp;'Output annual'!$AC$2&amp;'Output annual'!$AD$2&amp;"*Zone People Number Of Occupants [](Hourly)",'Eplus results'!$1:$1048576,ROW(),FALSE)</f>
        <v>0</v>
      </c>
      <c r="AC8061" s="580">
        <f>HLOOKUP("*"&amp;'Output annual'!$AC$2&amp;'Output annual'!$AD$2&amp;"*FangerPMV(Hourly)",'Eplus results'!$1:$1048576,ROW(),FALSE)</f>
        <v>0</v>
      </c>
      <c r="AD8061" s="580">
        <f t="shared" si="661"/>
        <v>5</v>
      </c>
      <c r="AE8061" s="580">
        <f t="shared" si="662"/>
        <v>2.5</v>
      </c>
      <c r="AF8061" s="580">
        <f t="shared" si="663"/>
        <v>2.5</v>
      </c>
      <c r="AG8061" s="580">
        <f t="shared" si="664"/>
        <v>0</v>
      </c>
      <c r="AH8061" s="580">
        <f t="shared" si="665"/>
        <v>0</v>
      </c>
    </row>
    <row r="8062" spans="28:34">
      <c r="AB8062" s="580">
        <f>HLOOKUP("*"&amp;'Output annual'!$AC$2&amp;'Output annual'!$AD$2&amp;"*Zone People Number Of Occupants [](Hourly)",'Eplus results'!$1:$1048576,ROW(),FALSE)</f>
        <v>0</v>
      </c>
      <c r="AC8062" s="580">
        <f>HLOOKUP("*"&amp;'Output annual'!$AC$2&amp;'Output annual'!$AD$2&amp;"*FangerPMV(Hourly)",'Eplus results'!$1:$1048576,ROW(),FALSE)</f>
        <v>0</v>
      </c>
      <c r="AD8062" s="580">
        <f t="shared" si="661"/>
        <v>5</v>
      </c>
      <c r="AE8062" s="580">
        <f t="shared" si="662"/>
        <v>2.5</v>
      </c>
      <c r="AF8062" s="580">
        <f t="shared" si="663"/>
        <v>2.5</v>
      </c>
      <c r="AG8062" s="580">
        <f t="shared" si="664"/>
        <v>0</v>
      </c>
      <c r="AH8062" s="580">
        <f t="shared" si="665"/>
        <v>0</v>
      </c>
    </row>
    <row r="8063" spans="28:34">
      <c r="AB8063" s="580">
        <f>HLOOKUP("*"&amp;'Output annual'!$AC$2&amp;'Output annual'!$AD$2&amp;"*Zone People Number Of Occupants [](Hourly)",'Eplus results'!$1:$1048576,ROW(),FALSE)</f>
        <v>0</v>
      </c>
      <c r="AC8063" s="580">
        <f>HLOOKUP("*"&amp;'Output annual'!$AC$2&amp;'Output annual'!$AD$2&amp;"*FangerPMV(Hourly)",'Eplus results'!$1:$1048576,ROW(),FALSE)</f>
        <v>0</v>
      </c>
      <c r="AD8063" s="580">
        <f t="shared" si="661"/>
        <v>5</v>
      </c>
      <c r="AE8063" s="580">
        <f t="shared" si="662"/>
        <v>2.5</v>
      </c>
      <c r="AF8063" s="580">
        <f t="shared" si="663"/>
        <v>2.5</v>
      </c>
      <c r="AG8063" s="580">
        <f t="shared" si="664"/>
        <v>0</v>
      </c>
      <c r="AH8063" s="580">
        <f t="shared" si="665"/>
        <v>0</v>
      </c>
    </row>
    <row r="8064" spans="28:34">
      <c r="AB8064" s="580">
        <f>HLOOKUP("*"&amp;'Output annual'!$AC$2&amp;'Output annual'!$AD$2&amp;"*Zone People Number Of Occupants [](Hourly)",'Eplus results'!$1:$1048576,ROW(),FALSE)</f>
        <v>0</v>
      </c>
      <c r="AC8064" s="580">
        <f>HLOOKUP("*"&amp;'Output annual'!$AC$2&amp;'Output annual'!$AD$2&amp;"*FangerPMV(Hourly)",'Eplus results'!$1:$1048576,ROW(),FALSE)</f>
        <v>0</v>
      </c>
      <c r="AD8064" s="580">
        <f t="shared" si="661"/>
        <v>5</v>
      </c>
      <c r="AE8064" s="580">
        <f t="shared" si="662"/>
        <v>2.5</v>
      </c>
      <c r="AF8064" s="580">
        <f t="shared" si="663"/>
        <v>2.5</v>
      </c>
      <c r="AG8064" s="580">
        <f t="shared" si="664"/>
        <v>0</v>
      </c>
      <c r="AH8064" s="580">
        <f t="shared" si="665"/>
        <v>0</v>
      </c>
    </row>
    <row r="8065" spans="28:34">
      <c r="AB8065" s="580">
        <f>HLOOKUP("*"&amp;'Output annual'!$AC$2&amp;'Output annual'!$AD$2&amp;"*Zone People Number Of Occupants [](Hourly)",'Eplus results'!$1:$1048576,ROW(),FALSE)</f>
        <v>0</v>
      </c>
      <c r="AC8065" s="580">
        <f>HLOOKUP("*"&amp;'Output annual'!$AC$2&amp;'Output annual'!$AD$2&amp;"*FangerPMV(Hourly)",'Eplus results'!$1:$1048576,ROW(),FALSE)</f>
        <v>0</v>
      </c>
      <c r="AD8065" s="580">
        <f t="shared" si="661"/>
        <v>5</v>
      </c>
      <c r="AE8065" s="580">
        <f t="shared" si="662"/>
        <v>2.5</v>
      </c>
      <c r="AF8065" s="580">
        <f t="shared" si="663"/>
        <v>2.5</v>
      </c>
      <c r="AG8065" s="580">
        <f t="shared" si="664"/>
        <v>0</v>
      </c>
      <c r="AH8065" s="580">
        <f t="shared" si="665"/>
        <v>0</v>
      </c>
    </row>
    <row r="8066" spans="28:34">
      <c r="AB8066" s="580">
        <f>HLOOKUP("*"&amp;'Output annual'!$AC$2&amp;'Output annual'!$AD$2&amp;"*Zone People Number Of Occupants [](Hourly)",'Eplus results'!$1:$1048576,ROW(),FALSE)</f>
        <v>0</v>
      </c>
      <c r="AC8066" s="580">
        <f>HLOOKUP("*"&amp;'Output annual'!$AC$2&amp;'Output annual'!$AD$2&amp;"*FangerPMV(Hourly)",'Eplus results'!$1:$1048576,ROW(),FALSE)</f>
        <v>0</v>
      </c>
      <c r="AD8066" s="580">
        <f t="shared" si="661"/>
        <v>5</v>
      </c>
      <c r="AE8066" s="580">
        <f t="shared" si="662"/>
        <v>2.5</v>
      </c>
      <c r="AF8066" s="580">
        <f t="shared" si="663"/>
        <v>2.5</v>
      </c>
      <c r="AG8066" s="580">
        <f t="shared" si="664"/>
        <v>0</v>
      </c>
      <c r="AH8066" s="580">
        <f t="shared" si="665"/>
        <v>0</v>
      </c>
    </row>
    <row r="8067" spans="28:34">
      <c r="AB8067" s="580">
        <f>HLOOKUP("*"&amp;'Output annual'!$AC$2&amp;'Output annual'!$AD$2&amp;"*Zone People Number Of Occupants [](Hourly)",'Eplus results'!$1:$1048576,ROW(),FALSE)</f>
        <v>0</v>
      </c>
      <c r="AC8067" s="580">
        <f>HLOOKUP("*"&amp;'Output annual'!$AC$2&amp;'Output annual'!$AD$2&amp;"*FangerPMV(Hourly)",'Eplus results'!$1:$1048576,ROW(),FALSE)</f>
        <v>0</v>
      </c>
      <c r="AD8067" s="580">
        <f t="shared" ref="AD8067:AD8130" si="666">100-95*EXP(-0.03353*AC8067^4-0.2179*AC8067^2)</f>
        <v>5</v>
      </c>
      <c r="AE8067" s="580">
        <f t="shared" ref="AE8067:AE8130" si="667">AD8067*(1/(1+EXP(-6.3*$AC8067)))</f>
        <v>2.5</v>
      </c>
      <c r="AF8067" s="580">
        <f t="shared" ref="AF8067:AF8130" si="668">(AD8067-AE8067)</f>
        <v>2.5</v>
      </c>
      <c r="AG8067" s="580">
        <f t="shared" ref="AG8067:AG8130" si="669">AE8067*AB8067</f>
        <v>0</v>
      </c>
      <c r="AH8067" s="580">
        <f t="shared" ref="AH8067:AH8130" si="670">AF8067*AB8067</f>
        <v>0</v>
      </c>
    </row>
    <row r="8068" spans="28:34">
      <c r="AB8068" s="580">
        <f>HLOOKUP("*"&amp;'Output annual'!$AC$2&amp;'Output annual'!$AD$2&amp;"*Zone People Number Of Occupants [](Hourly)",'Eplus results'!$1:$1048576,ROW(),FALSE)</f>
        <v>0</v>
      </c>
      <c r="AC8068" s="580">
        <f>HLOOKUP("*"&amp;'Output annual'!$AC$2&amp;'Output annual'!$AD$2&amp;"*FangerPMV(Hourly)",'Eplus results'!$1:$1048576,ROW(),FALSE)</f>
        <v>0</v>
      </c>
      <c r="AD8068" s="580">
        <f t="shared" si="666"/>
        <v>5</v>
      </c>
      <c r="AE8068" s="580">
        <f t="shared" si="667"/>
        <v>2.5</v>
      </c>
      <c r="AF8068" s="580">
        <f t="shared" si="668"/>
        <v>2.5</v>
      </c>
      <c r="AG8068" s="580">
        <f t="shared" si="669"/>
        <v>0</v>
      </c>
      <c r="AH8068" s="580">
        <f t="shared" si="670"/>
        <v>0</v>
      </c>
    </row>
    <row r="8069" spans="28:34">
      <c r="AB8069" s="580">
        <f>HLOOKUP("*"&amp;'Output annual'!$AC$2&amp;'Output annual'!$AD$2&amp;"*Zone People Number Of Occupants [](Hourly)",'Eplus results'!$1:$1048576,ROW(),FALSE)</f>
        <v>0</v>
      </c>
      <c r="AC8069" s="580">
        <f>HLOOKUP("*"&amp;'Output annual'!$AC$2&amp;'Output annual'!$AD$2&amp;"*FangerPMV(Hourly)",'Eplus results'!$1:$1048576,ROW(),FALSE)</f>
        <v>0</v>
      </c>
      <c r="AD8069" s="580">
        <f t="shared" si="666"/>
        <v>5</v>
      </c>
      <c r="AE8069" s="580">
        <f t="shared" si="667"/>
        <v>2.5</v>
      </c>
      <c r="AF8069" s="580">
        <f t="shared" si="668"/>
        <v>2.5</v>
      </c>
      <c r="AG8069" s="580">
        <f t="shared" si="669"/>
        <v>0</v>
      </c>
      <c r="AH8069" s="580">
        <f t="shared" si="670"/>
        <v>0</v>
      </c>
    </row>
    <row r="8070" spans="28:34">
      <c r="AB8070" s="580">
        <f>HLOOKUP("*"&amp;'Output annual'!$AC$2&amp;'Output annual'!$AD$2&amp;"*Zone People Number Of Occupants [](Hourly)",'Eplus results'!$1:$1048576,ROW(),FALSE)</f>
        <v>0</v>
      </c>
      <c r="AC8070" s="580">
        <f>HLOOKUP("*"&amp;'Output annual'!$AC$2&amp;'Output annual'!$AD$2&amp;"*FangerPMV(Hourly)",'Eplus results'!$1:$1048576,ROW(),FALSE)</f>
        <v>0</v>
      </c>
      <c r="AD8070" s="580">
        <f t="shared" si="666"/>
        <v>5</v>
      </c>
      <c r="AE8070" s="580">
        <f t="shared" si="667"/>
        <v>2.5</v>
      </c>
      <c r="AF8070" s="580">
        <f t="shared" si="668"/>
        <v>2.5</v>
      </c>
      <c r="AG8070" s="580">
        <f t="shared" si="669"/>
        <v>0</v>
      </c>
      <c r="AH8070" s="580">
        <f t="shared" si="670"/>
        <v>0</v>
      </c>
    </row>
    <row r="8071" spans="28:34">
      <c r="AB8071" s="580">
        <f>HLOOKUP("*"&amp;'Output annual'!$AC$2&amp;'Output annual'!$AD$2&amp;"*Zone People Number Of Occupants [](Hourly)",'Eplus results'!$1:$1048576,ROW(),FALSE)</f>
        <v>0</v>
      </c>
      <c r="AC8071" s="580">
        <f>HLOOKUP("*"&amp;'Output annual'!$AC$2&amp;'Output annual'!$AD$2&amp;"*FangerPMV(Hourly)",'Eplus results'!$1:$1048576,ROW(),FALSE)</f>
        <v>0</v>
      </c>
      <c r="AD8071" s="580">
        <f t="shared" si="666"/>
        <v>5</v>
      </c>
      <c r="AE8071" s="580">
        <f t="shared" si="667"/>
        <v>2.5</v>
      </c>
      <c r="AF8071" s="580">
        <f t="shared" si="668"/>
        <v>2.5</v>
      </c>
      <c r="AG8071" s="580">
        <f t="shared" si="669"/>
        <v>0</v>
      </c>
      <c r="AH8071" s="580">
        <f t="shared" si="670"/>
        <v>0</v>
      </c>
    </row>
    <row r="8072" spans="28:34">
      <c r="AB8072" s="580">
        <f>HLOOKUP("*"&amp;'Output annual'!$AC$2&amp;'Output annual'!$AD$2&amp;"*Zone People Number Of Occupants [](Hourly)",'Eplus results'!$1:$1048576,ROW(),FALSE)</f>
        <v>0</v>
      </c>
      <c r="AC8072" s="580">
        <f>HLOOKUP("*"&amp;'Output annual'!$AC$2&amp;'Output annual'!$AD$2&amp;"*FangerPMV(Hourly)",'Eplus results'!$1:$1048576,ROW(),FALSE)</f>
        <v>0</v>
      </c>
      <c r="AD8072" s="580">
        <f t="shared" si="666"/>
        <v>5</v>
      </c>
      <c r="AE8072" s="580">
        <f t="shared" si="667"/>
        <v>2.5</v>
      </c>
      <c r="AF8072" s="580">
        <f t="shared" si="668"/>
        <v>2.5</v>
      </c>
      <c r="AG8072" s="580">
        <f t="shared" si="669"/>
        <v>0</v>
      </c>
      <c r="AH8072" s="580">
        <f t="shared" si="670"/>
        <v>0</v>
      </c>
    </row>
    <row r="8073" spans="28:34">
      <c r="AB8073" s="580">
        <f>HLOOKUP("*"&amp;'Output annual'!$AC$2&amp;'Output annual'!$AD$2&amp;"*Zone People Number Of Occupants [](Hourly)",'Eplus results'!$1:$1048576,ROW(),FALSE)</f>
        <v>0</v>
      </c>
      <c r="AC8073" s="580">
        <f>HLOOKUP("*"&amp;'Output annual'!$AC$2&amp;'Output annual'!$AD$2&amp;"*FangerPMV(Hourly)",'Eplus results'!$1:$1048576,ROW(),FALSE)</f>
        <v>0</v>
      </c>
      <c r="AD8073" s="580">
        <f t="shared" si="666"/>
        <v>5</v>
      </c>
      <c r="AE8073" s="580">
        <f t="shared" si="667"/>
        <v>2.5</v>
      </c>
      <c r="AF8073" s="580">
        <f t="shared" si="668"/>
        <v>2.5</v>
      </c>
      <c r="AG8073" s="580">
        <f t="shared" si="669"/>
        <v>0</v>
      </c>
      <c r="AH8073" s="580">
        <f t="shared" si="670"/>
        <v>0</v>
      </c>
    </row>
    <row r="8074" spans="28:34">
      <c r="AB8074" s="580">
        <f>HLOOKUP("*"&amp;'Output annual'!$AC$2&amp;'Output annual'!$AD$2&amp;"*Zone People Number Of Occupants [](Hourly)",'Eplus results'!$1:$1048576,ROW(),FALSE)</f>
        <v>0</v>
      </c>
      <c r="AC8074" s="580">
        <f>HLOOKUP("*"&amp;'Output annual'!$AC$2&amp;'Output annual'!$AD$2&amp;"*FangerPMV(Hourly)",'Eplus results'!$1:$1048576,ROW(),FALSE)</f>
        <v>0</v>
      </c>
      <c r="AD8074" s="580">
        <f t="shared" si="666"/>
        <v>5</v>
      </c>
      <c r="AE8074" s="580">
        <f t="shared" si="667"/>
        <v>2.5</v>
      </c>
      <c r="AF8074" s="580">
        <f t="shared" si="668"/>
        <v>2.5</v>
      </c>
      <c r="AG8074" s="580">
        <f t="shared" si="669"/>
        <v>0</v>
      </c>
      <c r="AH8074" s="580">
        <f t="shared" si="670"/>
        <v>0</v>
      </c>
    </row>
    <row r="8075" spans="28:34">
      <c r="AB8075" s="580">
        <f>HLOOKUP("*"&amp;'Output annual'!$AC$2&amp;'Output annual'!$AD$2&amp;"*Zone People Number Of Occupants [](Hourly)",'Eplus results'!$1:$1048576,ROW(),FALSE)</f>
        <v>0</v>
      </c>
      <c r="AC8075" s="580">
        <f>HLOOKUP("*"&amp;'Output annual'!$AC$2&amp;'Output annual'!$AD$2&amp;"*FangerPMV(Hourly)",'Eplus results'!$1:$1048576,ROW(),FALSE)</f>
        <v>0</v>
      </c>
      <c r="AD8075" s="580">
        <f t="shared" si="666"/>
        <v>5</v>
      </c>
      <c r="AE8075" s="580">
        <f t="shared" si="667"/>
        <v>2.5</v>
      </c>
      <c r="AF8075" s="580">
        <f t="shared" si="668"/>
        <v>2.5</v>
      </c>
      <c r="AG8075" s="580">
        <f t="shared" si="669"/>
        <v>0</v>
      </c>
      <c r="AH8075" s="580">
        <f t="shared" si="670"/>
        <v>0</v>
      </c>
    </row>
    <row r="8076" spans="28:34">
      <c r="AB8076" s="580">
        <f>HLOOKUP("*"&amp;'Output annual'!$AC$2&amp;'Output annual'!$AD$2&amp;"*Zone People Number Of Occupants [](Hourly)",'Eplus results'!$1:$1048576,ROW(),FALSE)</f>
        <v>0</v>
      </c>
      <c r="AC8076" s="580">
        <f>HLOOKUP("*"&amp;'Output annual'!$AC$2&amp;'Output annual'!$AD$2&amp;"*FangerPMV(Hourly)",'Eplus results'!$1:$1048576,ROW(),FALSE)</f>
        <v>0</v>
      </c>
      <c r="AD8076" s="580">
        <f t="shared" si="666"/>
        <v>5</v>
      </c>
      <c r="AE8076" s="580">
        <f t="shared" si="667"/>
        <v>2.5</v>
      </c>
      <c r="AF8076" s="580">
        <f t="shared" si="668"/>
        <v>2.5</v>
      </c>
      <c r="AG8076" s="580">
        <f t="shared" si="669"/>
        <v>0</v>
      </c>
      <c r="AH8076" s="580">
        <f t="shared" si="670"/>
        <v>0</v>
      </c>
    </row>
    <row r="8077" spans="28:34">
      <c r="AB8077" s="580">
        <f>HLOOKUP("*"&amp;'Output annual'!$AC$2&amp;'Output annual'!$AD$2&amp;"*Zone People Number Of Occupants [](Hourly)",'Eplus results'!$1:$1048576,ROW(),FALSE)</f>
        <v>0</v>
      </c>
      <c r="AC8077" s="580">
        <f>HLOOKUP("*"&amp;'Output annual'!$AC$2&amp;'Output annual'!$AD$2&amp;"*FangerPMV(Hourly)",'Eplus results'!$1:$1048576,ROW(),FALSE)</f>
        <v>0</v>
      </c>
      <c r="AD8077" s="580">
        <f t="shared" si="666"/>
        <v>5</v>
      </c>
      <c r="AE8077" s="580">
        <f t="shared" si="667"/>
        <v>2.5</v>
      </c>
      <c r="AF8077" s="580">
        <f t="shared" si="668"/>
        <v>2.5</v>
      </c>
      <c r="AG8077" s="580">
        <f t="shared" si="669"/>
        <v>0</v>
      </c>
      <c r="AH8077" s="580">
        <f t="shared" si="670"/>
        <v>0</v>
      </c>
    </row>
    <row r="8078" spans="28:34">
      <c r="AB8078" s="580">
        <f>HLOOKUP("*"&amp;'Output annual'!$AC$2&amp;'Output annual'!$AD$2&amp;"*Zone People Number Of Occupants [](Hourly)",'Eplus results'!$1:$1048576,ROW(),FALSE)</f>
        <v>0</v>
      </c>
      <c r="AC8078" s="580">
        <f>HLOOKUP("*"&amp;'Output annual'!$AC$2&amp;'Output annual'!$AD$2&amp;"*FangerPMV(Hourly)",'Eplus results'!$1:$1048576,ROW(),FALSE)</f>
        <v>0</v>
      </c>
      <c r="AD8078" s="580">
        <f t="shared" si="666"/>
        <v>5</v>
      </c>
      <c r="AE8078" s="580">
        <f t="shared" si="667"/>
        <v>2.5</v>
      </c>
      <c r="AF8078" s="580">
        <f t="shared" si="668"/>
        <v>2.5</v>
      </c>
      <c r="AG8078" s="580">
        <f t="shared" si="669"/>
        <v>0</v>
      </c>
      <c r="AH8078" s="580">
        <f t="shared" si="670"/>
        <v>0</v>
      </c>
    </row>
    <row r="8079" spans="28:34">
      <c r="AB8079" s="580">
        <f>HLOOKUP("*"&amp;'Output annual'!$AC$2&amp;'Output annual'!$AD$2&amp;"*Zone People Number Of Occupants [](Hourly)",'Eplus results'!$1:$1048576,ROW(),FALSE)</f>
        <v>0</v>
      </c>
      <c r="AC8079" s="580">
        <f>HLOOKUP("*"&amp;'Output annual'!$AC$2&amp;'Output annual'!$AD$2&amp;"*FangerPMV(Hourly)",'Eplus results'!$1:$1048576,ROW(),FALSE)</f>
        <v>0</v>
      </c>
      <c r="AD8079" s="580">
        <f t="shared" si="666"/>
        <v>5</v>
      </c>
      <c r="AE8079" s="580">
        <f t="shared" si="667"/>
        <v>2.5</v>
      </c>
      <c r="AF8079" s="580">
        <f t="shared" si="668"/>
        <v>2.5</v>
      </c>
      <c r="AG8079" s="580">
        <f t="shared" si="669"/>
        <v>0</v>
      </c>
      <c r="AH8079" s="580">
        <f t="shared" si="670"/>
        <v>0</v>
      </c>
    </row>
    <row r="8080" spans="28:34">
      <c r="AB8080" s="580">
        <f>HLOOKUP("*"&amp;'Output annual'!$AC$2&amp;'Output annual'!$AD$2&amp;"*Zone People Number Of Occupants [](Hourly)",'Eplus results'!$1:$1048576,ROW(),FALSE)</f>
        <v>0</v>
      </c>
      <c r="AC8080" s="580">
        <f>HLOOKUP("*"&amp;'Output annual'!$AC$2&amp;'Output annual'!$AD$2&amp;"*FangerPMV(Hourly)",'Eplus results'!$1:$1048576,ROW(),FALSE)</f>
        <v>0</v>
      </c>
      <c r="AD8080" s="580">
        <f t="shared" si="666"/>
        <v>5</v>
      </c>
      <c r="AE8080" s="580">
        <f t="shared" si="667"/>
        <v>2.5</v>
      </c>
      <c r="AF8080" s="580">
        <f t="shared" si="668"/>
        <v>2.5</v>
      </c>
      <c r="AG8080" s="580">
        <f t="shared" si="669"/>
        <v>0</v>
      </c>
      <c r="AH8080" s="580">
        <f t="shared" si="670"/>
        <v>0</v>
      </c>
    </row>
    <row r="8081" spans="28:34">
      <c r="AB8081" s="580">
        <f>HLOOKUP("*"&amp;'Output annual'!$AC$2&amp;'Output annual'!$AD$2&amp;"*Zone People Number Of Occupants [](Hourly)",'Eplus results'!$1:$1048576,ROW(),FALSE)</f>
        <v>0</v>
      </c>
      <c r="AC8081" s="580">
        <f>HLOOKUP("*"&amp;'Output annual'!$AC$2&amp;'Output annual'!$AD$2&amp;"*FangerPMV(Hourly)",'Eplus results'!$1:$1048576,ROW(),FALSE)</f>
        <v>0</v>
      </c>
      <c r="AD8081" s="580">
        <f t="shared" si="666"/>
        <v>5</v>
      </c>
      <c r="AE8081" s="580">
        <f t="shared" si="667"/>
        <v>2.5</v>
      </c>
      <c r="AF8081" s="580">
        <f t="shared" si="668"/>
        <v>2.5</v>
      </c>
      <c r="AG8081" s="580">
        <f t="shared" si="669"/>
        <v>0</v>
      </c>
      <c r="AH8081" s="580">
        <f t="shared" si="670"/>
        <v>0</v>
      </c>
    </row>
    <row r="8082" spans="28:34">
      <c r="AB8082" s="580">
        <f>HLOOKUP("*"&amp;'Output annual'!$AC$2&amp;'Output annual'!$AD$2&amp;"*Zone People Number Of Occupants [](Hourly)",'Eplus results'!$1:$1048576,ROW(),FALSE)</f>
        <v>0</v>
      </c>
      <c r="AC8082" s="580">
        <f>HLOOKUP("*"&amp;'Output annual'!$AC$2&amp;'Output annual'!$AD$2&amp;"*FangerPMV(Hourly)",'Eplus results'!$1:$1048576,ROW(),FALSE)</f>
        <v>0</v>
      </c>
      <c r="AD8082" s="580">
        <f t="shared" si="666"/>
        <v>5</v>
      </c>
      <c r="AE8082" s="580">
        <f t="shared" si="667"/>
        <v>2.5</v>
      </c>
      <c r="AF8082" s="580">
        <f t="shared" si="668"/>
        <v>2.5</v>
      </c>
      <c r="AG8082" s="580">
        <f t="shared" si="669"/>
        <v>0</v>
      </c>
      <c r="AH8082" s="580">
        <f t="shared" si="670"/>
        <v>0</v>
      </c>
    </row>
    <row r="8083" spans="28:34">
      <c r="AB8083" s="580">
        <f>HLOOKUP("*"&amp;'Output annual'!$AC$2&amp;'Output annual'!$AD$2&amp;"*Zone People Number Of Occupants [](Hourly)",'Eplus results'!$1:$1048576,ROW(),FALSE)</f>
        <v>0</v>
      </c>
      <c r="AC8083" s="580">
        <f>HLOOKUP("*"&amp;'Output annual'!$AC$2&amp;'Output annual'!$AD$2&amp;"*FangerPMV(Hourly)",'Eplus results'!$1:$1048576,ROW(),FALSE)</f>
        <v>0</v>
      </c>
      <c r="AD8083" s="580">
        <f t="shared" si="666"/>
        <v>5</v>
      </c>
      <c r="AE8083" s="580">
        <f t="shared" si="667"/>
        <v>2.5</v>
      </c>
      <c r="AF8083" s="580">
        <f t="shared" si="668"/>
        <v>2.5</v>
      </c>
      <c r="AG8083" s="580">
        <f t="shared" si="669"/>
        <v>0</v>
      </c>
      <c r="AH8083" s="580">
        <f t="shared" si="670"/>
        <v>0</v>
      </c>
    </row>
    <row r="8084" spans="28:34">
      <c r="AB8084" s="580">
        <f>HLOOKUP("*"&amp;'Output annual'!$AC$2&amp;'Output annual'!$AD$2&amp;"*Zone People Number Of Occupants [](Hourly)",'Eplus results'!$1:$1048576,ROW(),FALSE)</f>
        <v>0</v>
      </c>
      <c r="AC8084" s="580">
        <f>HLOOKUP("*"&amp;'Output annual'!$AC$2&amp;'Output annual'!$AD$2&amp;"*FangerPMV(Hourly)",'Eplus results'!$1:$1048576,ROW(),FALSE)</f>
        <v>0</v>
      </c>
      <c r="AD8084" s="580">
        <f t="shared" si="666"/>
        <v>5</v>
      </c>
      <c r="AE8084" s="580">
        <f t="shared" si="667"/>
        <v>2.5</v>
      </c>
      <c r="AF8084" s="580">
        <f t="shared" si="668"/>
        <v>2.5</v>
      </c>
      <c r="AG8084" s="580">
        <f t="shared" si="669"/>
        <v>0</v>
      </c>
      <c r="AH8084" s="580">
        <f t="shared" si="670"/>
        <v>0</v>
      </c>
    </row>
    <row r="8085" spans="28:34">
      <c r="AB8085" s="580">
        <f>HLOOKUP("*"&amp;'Output annual'!$AC$2&amp;'Output annual'!$AD$2&amp;"*Zone People Number Of Occupants [](Hourly)",'Eplus results'!$1:$1048576,ROW(),FALSE)</f>
        <v>0</v>
      </c>
      <c r="AC8085" s="580">
        <f>HLOOKUP("*"&amp;'Output annual'!$AC$2&amp;'Output annual'!$AD$2&amp;"*FangerPMV(Hourly)",'Eplus results'!$1:$1048576,ROW(),FALSE)</f>
        <v>0</v>
      </c>
      <c r="AD8085" s="580">
        <f t="shared" si="666"/>
        <v>5</v>
      </c>
      <c r="AE8085" s="580">
        <f t="shared" si="667"/>
        <v>2.5</v>
      </c>
      <c r="AF8085" s="580">
        <f t="shared" si="668"/>
        <v>2.5</v>
      </c>
      <c r="AG8085" s="580">
        <f t="shared" si="669"/>
        <v>0</v>
      </c>
      <c r="AH8085" s="580">
        <f t="shared" si="670"/>
        <v>0</v>
      </c>
    </row>
    <row r="8086" spans="28:34">
      <c r="AB8086" s="580">
        <f>HLOOKUP("*"&amp;'Output annual'!$AC$2&amp;'Output annual'!$AD$2&amp;"*Zone People Number Of Occupants [](Hourly)",'Eplus results'!$1:$1048576,ROW(),FALSE)</f>
        <v>0</v>
      </c>
      <c r="AC8086" s="580">
        <f>HLOOKUP("*"&amp;'Output annual'!$AC$2&amp;'Output annual'!$AD$2&amp;"*FangerPMV(Hourly)",'Eplus results'!$1:$1048576,ROW(),FALSE)</f>
        <v>0</v>
      </c>
      <c r="AD8086" s="580">
        <f t="shared" si="666"/>
        <v>5</v>
      </c>
      <c r="AE8086" s="580">
        <f t="shared" si="667"/>
        <v>2.5</v>
      </c>
      <c r="AF8086" s="580">
        <f t="shared" si="668"/>
        <v>2.5</v>
      </c>
      <c r="AG8086" s="580">
        <f t="shared" si="669"/>
        <v>0</v>
      </c>
      <c r="AH8086" s="580">
        <f t="shared" si="670"/>
        <v>0</v>
      </c>
    </row>
    <row r="8087" spans="28:34">
      <c r="AB8087" s="580">
        <f>HLOOKUP("*"&amp;'Output annual'!$AC$2&amp;'Output annual'!$AD$2&amp;"*Zone People Number Of Occupants [](Hourly)",'Eplus results'!$1:$1048576,ROW(),FALSE)</f>
        <v>0</v>
      </c>
      <c r="AC8087" s="580">
        <f>HLOOKUP("*"&amp;'Output annual'!$AC$2&amp;'Output annual'!$AD$2&amp;"*FangerPMV(Hourly)",'Eplus results'!$1:$1048576,ROW(),FALSE)</f>
        <v>0</v>
      </c>
      <c r="AD8087" s="580">
        <f t="shared" si="666"/>
        <v>5</v>
      </c>
      <c r="AE8087" s="580">
        <f t="shared" si="667"/>
        <v>2.5</v>
      </c>
      <c r="AF8087" s="580">
        <f t="shared" si="668"/>
        <v>2.5</v>
      </c>
      <c r="AG8087" s="580">
        <f t="shared" si="669"/>
        <v>0</v>
      </c>
      <c r="AH8087" s="580">
        <f t="shared" si="670"/>
        <v>0</v>
      </c>
    </row>
    <row r="8088" spans="28:34">
      <c r="AB8088" s="580">
        <f>HLOOKUP("*"&amp;'Output annual'!$AC$2&amp;'Output annual'!$AD$2&amp;"*Zone People Number Of Occupants [](Hourly)",'Eplus results'!$1:$1048576,ROW(),FALSE)</f>
        <v>0</v>
      </c>
      <c r="AC8088" s="580">
        <f>HLOOKUP("*"&amp;'Output annual'!$AC$2&amp;'Output annual'!$AD$2&amp;"*FangerPMV(Hourly)",'Eplus results'!$1:$1048576,ROW(),FALSE)</f>
        <v>0</v>
      </c>
      <c r="AD8088" s="580">
        <f t="shared" si="666"/>
        <v>5</v>
      </c>
      <c r="AE8088" s="580">
        <f t="shared" si="667"/>
        <v>2.5</v>
      </c>
      <c r="AF8088" s="580">
        <f t="shared" si="668"/>
        <v>2.5</v>
      </c>
      <c r="AG8088" s="580">
        <f t="shared" si="669"/>
        <v>0</v>
      </c>
      <c r="AH8088" s="580">
        <f t="shared" si="670"/>
        <v>0</v>
      </c>
    </row>
    <row r="8089" spans="28:34">
      <c r="AB8089" s="580">
        <f>HLOOKUP("*"&amp;'Output annual'!$AC$2&amp;'Output annual'!$AD$2&amp;"*Zone People Number Of Occupants [](Hourly)",'Eplus results'!$1:$1048576,ROW(),FALSE)</f>
        <v>0</v>
      </c>
      <c r="AC8089" s="580">
        <f>HLOOKUP("*"&amp;'Output annual'!$AC$2&amp;'Output annual'!$AD$2&amp;"*FangerPMV(Hourly)",'Eplus results'!$1:$1048576,ROW(),FALSE)</f>
        <v>0</v>
      </c>
      <c r="AD8089" s="580">
        <f t="shared" si="666"/>
        <v>5</v>
      </c>
      <c r="AE8089" s="580">
        <f t="shared" si="667"/>
        <v>2.5</v>
      </c>
      <c r="AF8089" s="580">
        <f t="shared" si="668"/>
        <v>2.5</v>
      </c>
      <c r="AG8089" s="580">
        <f t="shared" si="669"/>
        <v>0</v>
      </c>
      <c r="AH8089" s="580">
        <f t="shared" si="670"/>
        <v>0</v>
      </c>
    </row>
    <row r="8090" spans="28:34">
      <c r="AB8090" s="580">
        <f>HLOOKUP("*"&amp;'Output annual'!$AC$2&amp;'Output annual'!$AD$2&amp;"*Zone People Number Of Occupants [](Hourly)",'Eplus results'!$1:$1048576,ROW(),FALSE)</f>
        <v>0</v>
      </c>
      <c r="AC8090" s="580">
        <f>HLOOKUP("*"&amp;'Output annual'!$AC$2&amp;'Output annual'!$AD$2&amp;"*FangerPMV(Hourly)",'Eplus results'!$1:$1048576,ROW(),FALSE)</f>
        <v>0</v>
      </c>
      <c r="AD8090" s="580">
        <f t="shared" si="666"/>
        <v>5</v>
      </c>
      <c r="AE8090" s="580">
        <f t="shared" si="667"/>
        <v>2.5</v>
      </c>
      <c r="AF8090" s="580">
        <f t="shared" si="668"/>
        <v>2.5</v>
      </c>
      <c r="AG8090" s="580">
        <f t="shared" si="669"/>
        <v>0</v>
      </c>
      <c r="AH8090" s="580">
        <f t="shared" si="670"/>
        <v>0</v>
      </c>
    </row>
    <row r="8091" spans="28:34">
      <c r="AB8091" s="580">
        <f>HLOOKUP("*"&amp;'Output annual'!$AC$2&amp;'Output annual'!$AD$2&amp;"*Zone People Number Of Occupants [](Hourly)",'Eplus results'!$1:$1048576,ROW(),FALSE)</f>
        <v>0</v>
      </c>
      <c r="AC8091" s="580">
        <f>HLOOKUP("*"&amp;'Output annual'!$AC$2&amp;'Output annual'!$AD$2&amp;"*FangerPMV(Hourly)",'Eplus results'!$1:$1048576,ROW(),FALSE)</f>
        <v>0</v>
      </c>
      <c r="AD8091" s="580">
        <f t="shared" si="666"/>
        <v>5</v>
      </c>
      <c r="AE8091" s="580">
        <f t="shared" si="667"/>
        <v>2.5</v>
      </c>
      <c r="AF8091" s="580">
        <f t="shared" si="668"/>
        <v>2.5</v>
      </c>
      <c r="AG8091" s="580">
        <f t="shared" si="669"/>
        <v>0</v>
      </c>
      <c r="AH8091" s="580">
        <f t="shared" si="670"/>
        <v>0</v>
      </c>
    </row>
    <row r="8092" spans="28:34">
      <c r="AB8092" s="580">
        <f>HLOOKUP("*"&amp;'Output annual'!$AC$2&amp;'Output annual'!$AD$2&amp;"*Zone People Number Of Occupants [](Hourly)",'Eplus results'!$1:$1048576,ROW(),FALSE)</f>
        <v>0</v>
      </c>
      <c r="AC8092" s="580">
        <f>HLOOKUP("*"&amp;'Output annual'!$AC$2&amp;'Output annual'!$AD$2&amp;"*FangerPMV(Hourly)",'Eplus results'!$1:$1048576,ROW(),FALSE)</f>
        <v>0</v>
      </c>
      <c r="AD8092" s="580">
        <f t="shared" si="666"/>
        <v>5</v>
      </c>
      <c r="AE8092" s="580">
        <f t="shared" si="667"/>
        <v>2.5</v>
      </c>
      <c r="AF8092" s="580">
        <f t="shared" si="668"/>
        <v>2.5</v>
      </c>
      <c r="AG8092" s="580">
        <f t="shared" si="669"/>
        <v>0</v>
      </c>
      <c r="AH8092" s="580">
        <f t="shared" si="670"/>
        <v>0</v>
      </c>
    </row>
    <row r="8093" spans="28:34">
      <c r="AB8093" s="580">
        <f>HLOOKUP("*"&amp;'Output annual'!$AC$2&amp;'Output annual'!$AD$2&amp;"*Zone People Number Of Occupants [](Hourly)",'Eplus results'!$1:$1048576,ROW(),FALSE)</f>
        <v>0</v>
      </c>
      <c r="AC8093" s="580">
        <f>HLOOKUP("*"&amp;'Output annual'!$AC$2&amp;'Output annual'!$AD$2&amp;"*FangerPMV(Hourly)",'Eplus results'!$1:$1048576,ROW(),FALSE)</f>
        <v>0</v>
      </c>
      <c r="AD8093" s="580">
        <f t="shared" si="666"/>
        <v>5</v>
      </c>
      <c r="AE8093" s="580">
        <f t="shared" si="667"/>
        <v>2.5</v>
      </c>
      <c r="AF8093" s="580">
        <f t="shared" si="668"/>
        <v>2.5</v>
      </c>
      <c r="AG8093" s="580">
        <f t="shared" si="669"/>
        <v>0</v>
      </c>
      <c r="AH8093" s="580">
        <f t="shared" si="670"/>
        <v>0</v>
      </c>
    </row>
    <row r="8094" spans="28:34">
      <c r="AB8094" s="580">
        <f>HLOOKUP("*"&amp;'Output annual'!$AC$2&amp;'Output annual'!$AD$2&amp;"*Zone People Number Of Occupants [](Hourly)",'Eplus results'!$1:$1048576,ROW(),FALSE)</f>
        <v>0</v>
      </c>
      <c r="AC8094" s="580">
        <f>HLOOKUP("*"&amp;'Output annual'!$AC$2&amp;'Output annual'!$AD$2&amp;"*FangerPMV(Hourly)",'Eplus results'!$1:$1048576,ROW(),FALSE)</f>
        <v>0</v>
      </c>
      <c r="AD8094" s="580">
        <f t="shared" si="666"/>
        <v>5</v>
      </c>
      <c r="AE8094" s="580">
        <f t="shared" si="667"/>
        <v>2.5</v>
      </c>
      <c r="AF8094" s="580">
        <f t="shared" si="668"/>
        <v>2.5</v>
      </c>
      <c r="AG8094" s="580">
        <f t="shared" si="669"/>
        <v>0</v>
      </c>
      <c r="AH8094" s="580">
        <f t="shared" si="670"/>
        <v>0</v>
      </c>
    </row>
    <row r="8095" spans="28:34">
      <c r="AB8095" s="580">
        <f>HLOOKUP("*"&amp;'Output annual'!$AC$2&amp;'Output annual'!$AD$2&amp;"*Zone People Number Of Occupants [](Hourly)",'Eplus results'!$1:$1048576,ROW(),FALSE)</f>
        <v>0</v>
      </c>
      <c r="AC8095" s="580">
        <f>HLOOKUP("*"&amp;'Output annual'!$AC$2&amp;'Output annual'!$AD$2&amp;"*FangerPMV(Hourly)",'Eplus results'!$1:$1048576,ROW(),FALSE)</f>
        <v>0</v>
      </c>
      <c r="AD8095" s="580">
        <f t="shared" si="666"/>
        <v>5</v>
      </c>
      <c r="AE8095" s="580">
        <f t="shared" si="667"/>
        <v>2.5</v>
      </c>
      <c r="AF8095" s="580">
        <f t="shared" si="668"/>
        <v>2.5</v>
      </c>
      <c r="AG8095" s="580">
        <f t="shared" si="669"/>
        <v>0</v>
      </c>
      <c r="AH8095" s="580">
        <f t="shared" si="670"/>
        <v>0</v>
      </c>
    </row>
    <row r="8096" spans="28:34">
      <c r="AB8096" s="580">
        <f>HLOOKUP("*"&amp;'Output annual'!$AC$2&amp;'Output annual'!$AD$2&amp;"*Zone People Number Of Occupants [](Hourly)",'Eplus results'!$1:$1048576,ROW(),FALSE)</f>
        <v>0</v>
      </c>
      <c r="AC8096" s="580">
        <f>HLOOKUP("*"&amp;'Output annual'!$AC$2&amp;'Output annual'!$AD$2&amp;"*FangerPMV(Hourly)",'Eplus results'!$1:$1048576,ROW(),FALSE)</f>
        <v>0</v>
      </c>
      <c r="AD8096" s="580">
        <f t="shared" si="666"/>
        <v>5</v>
      </c>
      <c r="AE8096" s="580">
        <f t="shared" si="667"/>
        <v>2.5</v>
      </c>
      <c r="AF8096" s="580">
        <f t="shared" si="668"/>
        <v>2.5</v>
      </c>
      <c r="AG8096" s="580">
        <f t="shared" si="669"/>
        <v>0</v>
      </c>
      <c r="AH8096" s="580">
        <f t="shared" si="670"/>
        <v>0</v>
      </c>
    </row>
    <row r="8097" spans="28:34">
      <c r="AB8097" s="580">
        <f>HLOOKUP("*"&amp;'Output annual'!$AC$2&amp;'Output annual'!$AD$2&amp;"*Zone People Number Of Occupants [](Hourly)",'Eplus results'!$1:$1048576,ROW(),FALSE)</f>
        <v>0</v>
      </c>
      <c r="AC8097" s="580">
        <f>HLOOKUP("*"&amp;'Output annual'!$AC$2&amp;'Output annual'!$AD$2&amp;"*FangerPMV(Hourly)",'Eplus results'!$1:$1048576,ROW(),FALSE)</f>
        <v>0</v>
      </c>
      <c r="AD8097" s="580">
        <f t="shared" si="666"/>
        <v>5</v>
      </c>
      <c r="AE8097" s="580">
        <f t="shared" si="667"/>
        <v>2.5</v>
      </c>
      <c r="AF8097" s="580">
        <f t="shared" si="668"/>
        <v>2.5</v>
      </c>
      <c r="AG8097" s="580">
        <f t="shared" si="669"/>
        <v>0</v>
      </c>
      <c r="AH8097" s="580">
        <f t="shared" si="670"/>
        <v>0</v>
      </c>
    </row>
    <row r="8098" spans="28:34">
      <c r="AB8098" s="580">
        <f>HLOOKUP("*"&amp;'Output annual'!$AC$2&amp;'Output annual'!$AD$2&amp;"*Zone People Number Of Occupants [](Hourly)",'Eplus results'!$1:$1048576,ROW(),FALSE)</f>
        <v>0</v>
      </c>
      <c r="AC8098" s="580">
        <f>HLOOKUP("*"&amp;'Output annual'!$AC$2&amp;'Output annual'!$AD$2&amp;"*FangerPMV(Hourly)",'Eplus results'!$1:$1048576,ROW(),FALSE)</f>
        <v>0</v>
      </c>
      <c r="AD8098" s="580">
        <f t="shared" si="666"/>
        <v>5</v>
      </c>
      <c r="AE8098" s="580">
        <f t="shared" si="667"/>
        <v>2.5</v>
      </c>
      <c r="AF8098" s="580">
        <f t="shared" si="668"/>
        <v>2.5</v>
      </c>
      <c r="AG8098" s="580">
        <f t="shared" si="669"/>
        <v>0</v>
      </c>
      <c r="AH8098" s="580">
        <f t="shared" si="670"/>
        <v>0</v>
      </c>
    </row>
    <row r="8099" spans="28:34">
      <c r="AB8099" s="580">
        <f>HLOOKUP("*"&amp;'Output annual'!$AC$2&amp;'Output annual'!$AD$2&amp;"*Zone People Number Of Occupants [](Hourly)",'Eplus results'!$1:$1048576,ROW(),FALSE)</f>
        <v>0</v>
      </c>
      <c r="AC8099" s="580">
        <f>HLOOKUP("*"&amp;'Output annual'!$AC$2&amp;'Output annual'!$AD$2&amp;"*FangerPMV(Hourly)",'Eplus results'!$1:$1048576,ROW(),FALSE)</f>
        <v>0</v>
      </c>
      <c r="AD8099" s="580">
        <f t="shared" si="666"/>
        <v>5</v>
      </c>
      <c r="AE8099" s="580">
        <f t="shared" si="667"/>
        <v>2.5</v>
      </c>
      <c r="AF8099" s="580">
        <f t="shared" si="668"/>
        <v>2.5</v>
      </c>
      <c r="AG8099" s="580">
        <f t="shared" si="669"/>
        <v>0</v>
      </c>
      <c r="AH8099" s="580">
        <f t="shared" si="670"/>
        <v>0</v>
      </c>
    </row>
    <row r="8100" spans="28:34">
      <c r="AB8100" s="580">
        <f>HLOOKUP("*"&amp;'Output annual'!$AC$2&amp;'Output annual'!$AD$2&amp;"*Zone People Number Of Occupants [](Hourly)",'Eplus results'!$1:$1048576,ROW(),FALSE)</f>
        <v>0</v>
      </c>
      <c r="AC8100" s="580">
        <f>HLOOKUP("*"&amp;'Output annual'!$AC$2&amp;'Output annual'!$AD$2&amp;"*FangerPMV(Hourly)",'Eplus results'!$1:$1048576,ROW(),FALSE)</f>
        <v>0</v>
      </c>
      <c r="AD8100" s="580">
        <f t="shared" si="666"/>
        <v>5</v>
      </c>
      <c r="AE8100" s="580">
        <f t="shared" si="667"/>
        <v>2.5</v>
      </c>
      <c r="AF8100" s="580">
        <f t="shared" si="668"/>
        <v>2.5</v>
      </c>
      <c r="AG8100" s="580">
        <f t="shared" si="669"/>
        <v>0</v>
      </c>
      <c r="AH8100" s="580">
        <f t="shared" si="670"/>
        <v>0</v>
      </c>
    </row>
    <row r="8101" spans="28:34">
      <c r="AB8101" s="580">
        <f>HLOOKUP("*"&amp;'Output annual'!$AC$2&amp;'Output annual'!$AD$2&amp;"*Zone People Number Of Occupants [](Hourly)",'Eplus results'!$1:$1048576,ROW(),FALSE)</f>
        <v>0</v>
      </c>
      <c r="AC8101" s="580">
        <f>HLOOKUP("*"&amp;'Output annual'!$AC$2&amp;'Output annual'!$AD$2&amp;"*FangerPMV(Hourly)",'Eplus results'!$1:$1048576,ROW(),FALSE)</f>
        <v>0</v>
      </c>
      <c r="AD8101" s="580">
        <f t="shared" si="666"/>
        <v>5</v>
      </c>
      <c r="AE8101" s="580">
        <f t="shared" si="667"/>
        <v>2.5</v>
      </c>
      <c r="AF8101" s="580">
        <f t="shared" si="668"/>
        <v>2.5</v>
      </c>
      <c r="AG8101" s="580">
        <f t="shared" si="669"/>
        <v>0</v>
      </c>
      <c r="AH8101" s="580">
        <f t="shared" si="670"/>
        <v>0</v>
      </c>
    </row>
    <row r="8102" spans="28:34">
      <c r="AB8102" s="580">
        <f>HLOOKUP("*"&amp;'Output annual'!$AC$2&amp;'Output annual'!$AD$2&amp;"*Zone People Number Of Occupants [](Hourly)",'Eplus results'!$1:$1048576,ROW(),FALSE)</f>
        <v>0</v>
      </c>
      <c r="AC8102" s="580">
        <f>HLOOKUP("*"&amp;'Output annual'!$AC$2&amp;'Output annual'!$AD$2&amp;"*FangerPMV(Hourly)",'Eplus results'!$1:$1048576,ROW(),FALSE)</f>
        <v>0</v>
      </c>
      <c r="AD8102" s="580">
        <f t="shared" si="666"/>
        <v>5</v>
      </c>
      <c r="AE8102" s="580">
        <f t="shared" si="667"/>
        <v>2.5</v>
      </c>
      <c r="AF8102" s="580">
        <f t="shared" si="668"/>
        <v>2.5</v>
      </c>
      <c r="AG8102" s="580">
        <f t="shared" si="669"/>
        <v>0</v>
      </c>
      <c r="AH8102" s="580">
        <f t="shared" si="670"/>
        <v>0</v>
      </c>
    </row>
    <row r="8103" spans="28:34">
      <c r="AB8103" s="580">
        <f>HLOOKUP("*"&amp;'Output annual'!$AC$2&amp;'Output annual'!$AD$2&amp;"*Zone People Number Of Occupants [](Hourly)",'Eplus results'!$1:$1048576,ROW(),FALSE)</f>
        <v>0</v>
      </c>
      <c r="AC8103" s="580">
        <f>HLOOKUP("*"&amp;'Output annual'!$AC$2&amp;'Output annual'!$AD$2&amp;"*FangerPMV(Hourly)",'Eplus results'!$1:$1048576,ROW(),FALSE)</f>
        <v>0</v>
      </c>
      <c r="AD8103" s="580">
        <f t="shared" si="666"/>
        <v>5</v>
      </c>
      <c r="AE8103" s="580">
        <f t="shared" si="667"/>
        <v>2.5</v>
      </c>
      <c r="AF8103" s="580">
        <f t="shared" si="668"/>
        <v>2.5</v>
      </c>
      <c r="AG8103" s="580">
        <f t="shared" si="669"/>
        <v>0</v>
      </c>
      <c r="AH8103" s="580">
        <f t="shared" si="670"/>
        <v>0</v>
      </c>
    </row>
    <row r="8104" spans="28:34">
      <c r="AB8104" s="580">
        <f>HLOOKUP("*"&amp;'Output annual'!$AC$2&amp;'Output annual'!$AD$2&amp;"*Zone People Number Of Occupants [](Hourly)",'Eplus results'!$1:$1048576,ROW(),FALSE)</f>
        <v>0</v>
      </c>
      <c r="AC8104" s="580">
        <f>HLOOKUP("*"&amp;'Output annual'!$AC$2&amp;'Output annual'!$AD$2&amp;"*FangerPMV(Hourly)",'Eplus results'!$1:$1048576,ROW(),FALSE)</f>
        <v>0</v>
      </c>
      <c r="AD8104" s="580">
        <f t="shared" si="666"/>
        <v>5</v>
      </c>
      <c r="AE8104" s="580">
        <f t="shared" si="667"/>
        <v>2.5</v>
      </c>
      <c r="AF8104" s="580">
        <f t="shared" si="668"/>
        <v>2.5</v>
      </c>
      <c r="AG8104" s="580">
        <f t="shared" si="669"/>
        <v>0</v>
      </c>
      <c r="AH8104" s="580">
        <f t="shared" si="670"/>
        <v>0</v>
      </c>
    </row>
    <row r="8105" spans="28:34">
      <c r="AB8105" s="580">
        <f>HLOOKUP("*"&amp;'Output annual'!$AC$2&amp;'Output annual'!$AD$2&amp;"*Zone People Number Of Occupants [](Hourly)",'Eplus results'!$1:$1048576,ROW(),FALSE)</f>
        <v>0</v>
      </c>
      <c r="AC8105" s="580">
        <f>HLOOKUP("*"&amp;'Output annual'!$AC$2&amp;'Output annual'!$AD$2&amp;"*FangerPMV(Hourly)",'Eplus results'!$1:$1048576,ROW(),FALSE)</f>
        <v>0</v>
      </c>
      <c r="AD8105" s="580">
        <f t="shared" si="666"/>
        <v>5</v>
      </c>
      <c r="AE8105" s="580">
        <f t="shared" si="667"/>
        <v>2.5</v>
      </c>
      <c r="AF8105" s="580">
        <f t="shared" si="668"/>
        <v>2.5</v>
      </c>
      <c r="AG8105" s="580">
        <f t="shared" si="669"/>
        <v>0</v>
      </c>
      <c r="AH8105" s="580">
        <f t="shared" si="670"/>
        <v>0</v>
      </c>
    </row>
    <row r="8106" spans="28:34">
      <c r="AB8106" s="580">
        <f>HLOOKUP("*"&amp;'Output annual'!$AC$2&amp;'Output annual'!$AD$2&amp;"*Zone People Number Of Occupants [](Hourly)",'Eplus results'!$1:$1048576,ROW(),FALSE)</f>
        <v>0</v>
      </c>
      <c r="AC8106" s="580">
        <f>HLOOKUP("*"&amp;'Output annual'!$AC$2&amp;'Output annual'!$AD$2&amp;"*FangerPMV(Hourly)",'Eplus results'!$1:$1048576,ROW(),FALSE)</f>
        <v>0</v>
      </c>
      <c r="AD8106" s="580">
        <f t="shared" si="666"/>
        <v>5</v>
      </c>
      <c r="AE8106" s="580">
        <f t="shared" si="667"/>
        <v>2.5</v>
      </c>
      <c r="AF8106" s="580">
        <f t="shared" si="668"/>
        <v>2.5</v>
      </c>
      <c r="AG8106" s="580">
        <f t="shared" si="669"/>
        <v>0</v>
      </c>
      <c r="AH8106" s="580">
        <f t="shared" si="670"/>
        <v>0</v>
      </c>
    </row>
    <row r="8107" spans="28:34">
      <c r="AB8107" s="580">
        <f>HLOOKUP("*"&amp;'Output annual'!$AC$2&amp;'Output annual'!$AD$2&amp;"*Zone People Number Of Occupants [](Hourly)",'Eplus results'!$1:$1048576,ROW(),FALSE)</f>
        <v>0</v>
      </c>
      <c r="AC8107" s="580">
        <f>HLOOKUP("*"&amp;'Output annual'!$AC$2&amp;'Output annual'!$AD$2&amp;"*FangerPMV(Hourly)",'Eplus results'!$1:$1048576,ROW(),FALSE)</f>
        <v>0</v>
      </c>
      <c r="AD8107" s="580">
        <f t="shared" si="666"/>
        <v>5</v>
      </c>
      <c r="AE8107" s="580">
        <f t="shared" si="667"/>
        <v>2.5</v>
      </c>
      <c r="AF8107" s="580">
        <f t="shared" si="668"/>
        <v>2.5</v>
      </c>
      <c r="AG8107" s="580">
        <f t="shared" si="669"/>
        <v>0</v>
      </c>
      <c r="AH8107" s="580">
        <f t="shared" si="670"/>
        <v>0</v>
      </c>
    </row>
    <row r="8108" spans="28:34">
      <c r="AB8108" s="580">
        <f>HLOOKUP("*"&amp;'Output annual'!$AC$2&amp;'Output annual'!$AD$2&amp;"*Zone People Number Of Occupants [](Hourly)",'Eplus results'!$1:$1048576,ROW(),FALSE)</f>
        <v>0</v>
      </c>
      <c r="AC8108" s="580">
        <f>HLOOKUP("*"&amp;'Output annual'!$AC$2&amp;'Output annual'!$AD$2&amp;"*FangerPMV(Hourly)",'Eplus results'!$1:$1048576,ROW(),FALSE)</f>
        <v>0</v>
      </c>
      <c r="AD8108" s="580">
        <f t="shared" si="666"/>
        <v>5</v>
      </c>
      <c r="AE8108" s="580">
        <f t="shared" si="667"/>
        <v>2.5</v>
      </c>
      <c r="AF8108" s="580">
        <f t="shared" si="668"/>
        <v>2.5</v>
      </c>
      <c r="AG8108" s="580">
        <f t="shared" si="669"/>
        <v>0</v>
      </c>
      <c r="AH8108" s="580">
        <f t="shared" si="670"/>
        <v>0</v>
      </c>
    </row>
    <row r="8109" spans="28:34">
      <c r="AB8109" s="580">
        <f>HLOOKUP("*"&amp;'Output annual'!$AC$2&amp;'Output annual'!$AD$2&amp;"*Zone People Number Of Occupants [](Hourly)",'Eplus results'!$1:$1048576,ROW(),FALSE)</f>
        <v>0</v>
      </c>
      <c r="AC8109" s="580">
        <f>HLOOKUP("*"&amp;'Output annual'!$AC$2&amp;'Output annual'!$AD$2&amp;"*FangerPMV(Hourly)",'Eplus results'!$1:$1048576,ROW(),FALSE)</f>
        <v>0</v>
      </c>
      <c r="AD8109" s="580">
        <f t="shared" si="666"/>
        <v>5</v>
      </c>
      <c r="AE8109" s="580">
        <f t="shared" si="667"/>
        <v>2.5</v>
      </c>
      <c r="AF8109" s="580">
        <f t="shared" si="668"/>
        <v>2.5</v>
      </c>
      <c r="AG8109" s="580">
        <f t="shared" si="669"/>
        <v>0</v>
      </c>
      <c r="AH8109" s="580">
        <f t="shared" si="670"/>
        <v>0</v>
      </c>
    </row>
    <row r="8110" spans="28:34">
      <c r="AB8110" s="580">
        <f>HLOOKUP("*"&amp;'Output annual'!$AC$2&amp;'Output annual'!$AD$2&amp;"*Zone People Number Of Occupants [](Hourly)",'Eplus results'!$1:$1048576,ROW(),FALSE)</f>
        <v>0</v>
      </c>
      <c r="AC8110" s="580">
        <f>HLOOKUP("*"&amp;'Output annual'!$AC$2&amp;'Output annual'!$AD$2&amp;"*FangerPMV(Hourly)",'Eplus results'!$1:$1048576,ROW(),FALSE)</f>
        <v>0</v>
      </c>
      <c r="AD8110" s="580">
        <f t="shared" si="666"/>
        <v>5</v>
      </c>
      <c r="AE8110" s="580">
        <f t="shared" si="667"/>
        <v>2.5</v>
      </c>
      <c r="AF8110" s="580">
        <f t="shared" si="668"/>
        <v>2.5</v>
      </c>
      <c r="AG8110" s="580">
        <f t="shared" si="669"/>
        <v>0</v>
      </c>
      <c r="AH8110" s="580">
        <f t="shared" si="670"/>
        <v>0</v>
      </c>
    </row>
    <row r="8111" spans="28:34">
      <c r="AB8111" s="580">
        <f>HLOOKUP("*"&amp;'Output annual'!$AC$2&amp;'Output annual'!$AD$2&amp;"*Zone People Number Of Occupants [](Hourly)",'Eplus results'!$1:$1048576,ROW(),FALSE)</f>
        <v>0</v>
      </c>
      <c r="AC8111" s="580">
        <f>HLOOKUP("*"&amp;'Output annual'!$AC$2&amp;'Output annual'!$AD$2&amp;"*FangerPMV(Hourly)",'Eplus results'!$1:$1048576,ROW(),FALSE)</f>
        <v>0</v>
      </c>
      <c r="AD8111" s="580">
        <f t="shared" si="666"/>
        <v>5</v>
      </c>
      <c r="AE8111" s="580">
        <f t="shared" si="667"/>
        <v>2.5</v>
      </c>
      <c r="AF8111" s="580">
        <f t="shared" si="668"/>
        <v>2.5</v>
      </c>
      <c r="AG8111" s="580">
        <f t="shared" si="669"/>
        <v>0</v>
      </c>
      <c r="AH8111" s="580">
        <f t="shared" si="670"/>
        <v>0</v>
      </c>
    </row>
    <row r="8112" spans="28:34">
      <c r="AB8112" s="580">
        <f>HLOOKUP("*"&amp;'Output annual'!$AC$2&amp;'Output annual'!$AD$2&amp;"*Zone People Number Of Occupants [](Hourly)",'Eplus results'!$1:$1048576,ROW(),FALSE)</f>
        <v>0</v>
      </c>
      <c r="AC8112" s="580">
        <f>HLOOKUP("*"&amp;'Output annual'!$AC$2&amp;'Output annual'!$AD$2&amp;"*FangerPMV(Hourly)",'Eplus results'!$1:$1048576,ROW(),FALSE)</f>
        <v>0</v>
      </c>
      <c r="AD8112" s="580">
        <f t="shared" si="666"/>
        <v>5</v>
      </c>
      <c r="AE8112" s="580">
        <f t="shared" si="667"/>
        <v>2.5</v>
      </c>
      <c r="AF8112" s="580">
        <f t="shared" si="668"/>
        <v>2.5</v>
      </c>
      <c r="AG8112" s="580">
        <f t="shared" si="669"/>
        <v>0</v>
      </c>
      <c r="AH8112" s="580">
        <f t="shared" si="670"/>
        <v>0</v>
      </c>
    </row>
    <row r="8113" spans="28:34">
      <c r="AB8113" s="580">
        <f>HLOOKUP("*"&amp;'Output annual'!$AC$2&amp;'Output annual'!$AD$2&amp;"*Zone People Number Of Occupants [](Hourly)",'Eplus results'!$1:$1048576,ROW(),FALSE)</f>
        <v>0</v>
      </c>
      <c r="AC8113" s="580">
        <f>HLOOKUP("*"&amp;'Output annual'!$AC$2&amp;'Output annual'!$AD$2&amp;"*FangerPMV(Hourly)",'Eplus results'!$1:$1048576,ROW(),FALSE)</f>
        <v>0</v>
      </c>
      <c r="AD8113" s="580">
        <f t="shared" si="666"/>
        <v>5</v>
      </c>
      <c r="AE8113" s="580">
        <f t="shared" si="667"/>
        <v>2.5</v>
      </c>
      <c r="AF8113" s="580">
        <f t="shared" si="668"/>
        <v>2.5</v>
      </c>
      <c r="AG8113" s="580">
        <f t="shared" si="669"/>
        <v>0</v>
      </c>
      <c r="AH8113" s="580">
        <f t="shared" si="670"/>
        <v>0</v>
      </c>
    </row>
    <row r="8114" spans="28:34">
      <c r="AB8114" s="580">
        <f>HLOOKUP("*"&amp;'Output annual'!$AC$2&amp;'Output annual'!$AD$2&amp;"*Zone People Number Of Occupants [](Hourly)",'Eplus results'!$1:$1048576,ROW(),FALSE)</f>
        <v>0</v>
      </c>
      <c r="AC8114" s="580">
        <f>HLOOKUP("*"&amp;'Output annual'!$AC$2&amp;'Output annual'!$AD$2&amp;"*FangerPMV(Hourly)",'Eplus results'!$1:$1048576,ROW(),FALSE)</f>
        <v>0</v>
      </c>
      <c r="AD8114" s="580">
        <f t="shared" si="666"/>
        <v>5</v>
      </c>
      <c r="AE8114" s="580">
        <f t="shared" si="667"/>
        <v>2.5</v>
      </c>
      <c r="AF8114" s="580">
        <f t="shared" si="668"/>
        <v>2.5</v>
      </c>
      <c r="AG8114" s="580">
        <f t="shared" si="669"/>
        <v>0</v>
      </c>
      <c r="AH8114" s="580">
        <f t="shared" si="670"/>
        <v>0</v>
      </c>
    </row>
    <row r="8115" spans="28:34">
      <c r="AB8115" s="580">
        <f>HLOOKUP("*"&amp;'Output annual'!$AC$2&amp;'Output annual'!$AD$2&amp;"*Zone People Number Of Occupants [](Hourly)",'Eplus results'!$1:$1048576,ROW(),FALSE)</f>
        <v>0</v>
      </c>
      <c r="AC8115" s="580">
        <f>HLOOKUP("*"&amp;'Output annual'!$AC$2&amp;'Output annual'!$AD$2&amp;"*FangerPMV(Hourly)",'Eplus results'!$1:$1048576,ROW(),FALSE)</f>
        <v>0</v>
      </c>
      <c r="AD8115" s="580">
        <f t="shared" si="666"/>
        <v>5</v>
      </c>
      <c r="AE8115" s="580">
        <f t="shared" si="667"/>
        <v>2.5</v>
      </c>
      <c r="AF8115" s="580">
        <f t="shared" si="668"/>
        <v>2.5</v>
      </c>
      <c r="AG8115" s="580">
        <f t="shared" si="669"/>
        <v>0</v>
      </c>
      <c r="AH8115" s="580">
        <f t="shared" si="670"/>
        <v>0</v>
      </c>
    </row>
    <row r="8116" spans="28:34">
      <c r="AB8116" s="580">
        <f>HLOOKUP("*"&amp;'Output annual'!$AC$2&amp;'Output annual'!$AD$2&amp;"*Zone People Number Of Occupants [](Hourly)",'Eplus results'!$1:$1048576,ROW(),FALSE)</f>
        <v>0</v>
      </c>
      <c r="AC8116" s="580">
        <f>HLOOKUP("*"&amp;'Output annual'!$AC$2&amp;'Output annual'!$AD$2&amp;"*FangerPMV(Hourly)",'Eplus results'!$1:$1048576,ROW(),FALSE)</f>
        <v>0</v>
      </c>
      <c r="AD8116" s="580">
        <f t="shared" si="666"/>
        <v>5</v>
      </c>
      <c r="AE8116" s="580">
        <f t="shared" si="667"/>
        <v>2.5</v>
      </c>
      <c r="AF8116" s="580">
        <f t="shared" si="668"/>
        <v>2.5</v>
      </c>
      <c r="AG8116" s="580">
        <f t="shared" si="669"/>
        <v>0</v>
      </c>
      <c r="AH8116" s="580">
        <f t="shared" si="670"/>
        <v>0</v>
      </c>
    </row>
    <row r="8117" spans="28:34">
      <c r="AB8117" s="580">
        <f>HLOOKUP("*"&amp;'Output annual'!$AC$2&amp;'Output annual'!$AD$2&amp;"*Zone People Number Of Occupants [](Hourly)",'Eplus results'!$1:$1048576,ROW(),FALSE)</f>
        <v>0</v>
      </c>
      <c r="AC8117" s="580">
        <f>HLOOKUP("*"&amp;'Output annual'!$AC$2&amp;'Output annual'!$AD$2&amp;"*FangerPMV(Hourly)",'Eplus results'!$1:$1048576,ROW(),FALSE)</f>
        <v>0</v>
      </c>
      <c r="AD8117" s="580">
        <f t="shared" si="666"/>
        <v>5</v>
      </c>
      <c r="AE8117" s="580">
        <f t="shared" si="667"/>
        <v>2.5</v>
      </c>
      <c r="AF8117" s="580">
        <f t="shared" si="668"/>
        <v>2.5</v>
      </c>
      <c r="AG8117" s="580">
        <f t="shared" si="669"/>
        <v>0</v>
      </c>
      <c r="AH8117" s="580">
        <f t="shared" si="670"/>
        <v>0</v>
      </c>
    </row>
    <row r="8118" spans="28:34">
      <c r="AB8118" s="580">
        <f>HLOOKUP("*"&amp;'Output annual'!$AC$2&amp;'Output annual'!$AD$2&amp;"*Zone People Number Of Occupants [](Hourly)",'Eplus results'!$1:$1048576,ROW(),FALSE)</f>
        <v>0</v>
      </c>
      <c r="AC8118" s="580">
        <f>HLOOKUP("*"&amp;'Output annual'!$AC$2&amp;'Output annual'!$AD$2&amp;"*FangerPMV(Hourly)",'Eplus results'!$1:$1048576,ROW(),FALSE)</f>
        <v>0</v>
      </c>
      <c r="AD8118" s="580">
        <f t="shared" si="666"/>
        <v>5</v>
      </c>
      <c r="AE8118" s="580">
        <f t="shared" si="667"/>
        <v>2.5</v>
      </c>
      <c r="AF8118" s="580">
        <f t="shared" si="668"/>
        <v>2.5</v>
      </c>
      <c r="AG8118" s="580">
        <f t="shared" si="669"/>
        <v>0</v>
      </c>
      <c r="AH8118" s="580">
        <f t="shared" si="670"/>
        <v>0</v>
      </c>
    </row>
    <row r="8119" spans="28:34">
      <c r="AB8119" s="580">
        <f>HLOOKUP("*"&amp;'Output annual'!$AC$2&amp;'Output annual'!$AD$2&amp;"*Zone People Number Of Occupants [](Hourly)",'Eplus results'!$1:$1048576,ROW(),FALSE)</f>
        <v>0</v>
      </c>
      <c r="AC8119" s="580">
        <f>HLOOKUP("*"&amp;'Output annual'!$AC$2&amp;'Output annual'!$AD$2&amp;"*FangerPMV(Hourly)",'Eplus results'!$1:$1048576,ROW(),FALSE)</f>
        <v>0</v>
      </c>
      <c r="AD8119" s="580">
        <f t="shared" si="666"/>
        <v>5</v>
      </c>
      <c r="AE8119" s="580">
        <f t="shared" si="667"/>
        <v>2.5</v>
      </c>
      <c r="AF8119" s="580">
        <f t="shared" si="668"/>
        <v>2.5</v>
      </c>
      <c r="AG8119" s="580">
        <f t="shared" si="669"/>
        <v>0</v>
      </c>
      <c r="AH8119" s="580">
        <f t="shared" si="670"/>
        <v>0</v>
      </c>
    </row>
    <row r="8120" spans="28:34">
      <c r="AB8120" s="580">
        <f>HLOOKUP("*"&amp;'Output annual'!$AC$2&amp;'Output annual'!$AD$2&amp;"*Zone People Number Of Occupants [](Hourly)",'Eplus results'!$1:$1048576,ROW(),FALSE)</f>
        <v>0</v>
      </c>
      <c r="AC8120" s="580">
        <f>HLOOKUP("*"&amp;'Output annual'!$AC$2&amp;'Output annual'!$AD$2&amp;"*FangerPMV(Hourly)",'Eplus results'!$1:$1048576,ROW(),FALSE)</f>
        <v>0</v>
      </c>
      <c r="AD8120" s="580">
        <f t="shared" si="666"/>
        <v>5</v>
      </c>
      <c r="AE8120" s="580">
        <f t="shared" si="667"/>
        <v>2.5</v>
      </c>
      <c r="AF8120" s="580">
        <f t="shared" si="668"/>
        <v>2.5</v>
      </c>
      <c r="AG8120" s="580">
        <f t="shared" si="669"/>
        <v>0</v>
      </c>
      <c r="AH8120" s="580">
        <f t="shared" si="670"/>
        <v>0</v>
      </c>
    </row>
    <row r="8121" spans="28:34">
      <c r="AB8121" s="580">
        <f>HLOOKUP("*"&amp;'Output annual'!$AC$2&amp;'Output annual'!$AD$2&amp;"*Zone People Number Of Occupants [](Hourly)",'Eplus results'!$1:$1048576,ROW(),FALSE)</f>
        <v>0</v>
      </c>
      <c r="AC8121" s="580">
        <f>HLOOKUP("*"&amp;'Output annual'!$AC$2&amp;'Output annual'!$AD$2&amp;"*FangerPMV(Hourly)",'Eplus results'!$1:$1048576,ROW(),FALSE)</f>
        <v>0</v>
      </c>
      <c r="AD8121" s="580">
        <f t="shared" si="666"/>
        <v>5</v>
      </c>
      <c r="AE8121" s="580">
        <f t="shared" si="667"/>
        <v>2.5</v>
      </c>
      <c r="AF8121" s="580">
        <f t="shared" si="668"/>
        <v>2.5</v>
      </c>
      <c r="AG8121" s="580">
        <f t="shared" si="669"/>
        <v>0</v>
      </c>
      <c r="AH8121" s="580">
        <f t="shared" si="670"/>
        <v>0</v>
      </c>
    </row>
    <row r="8122" spans="28:34">
      <c r="AB8122" s="580">
        <f>HLOOKUP("*"&amp;'Output annual'!$AC$2&amp;'Output annual'!$AD$2&amp;"*Zone People Number Of Occupants [](Hourly)",'Eplus results'!$1:$1048576,ROW(),FALSE)</f>
        <v>0</v>
      </c>
      <c r="AC8122" s="580">
        <f>HLOOKUP("*"&amp;'Output annual'!$AC$2&amp;'Output annual'!$AD$2&amp;"*FangerPMV(Hourly)",'Eplus results'!$1:$1048576,ROW(),FALSE)</f>
        <v>0</v>
      </c>
      <c r="AD8122" s="580">
        <f t="shared" si="666"/>
        <v>5</v>
      </c>
      <c r="AE8122" s="580">
        <f t="shared" si="667"/>
        <v>2.5</v>
      </c>
      <c r="AF8122" s="580">
        <f t="shared" si="668"/>
        <v>2.5</v>
      </c>
      <c r="AG8122" s="580">
        <f t="shared" si="669"/>
        <v>0</v>
      </c>
      <c r="AH8122" s="580">
        <f t="shared" si="670"/>
        <v>0</v>
      </c>
    </row>
    <row r="8123" spans="28:34">
      <c r="AB8123" s="580">
        <f>HLOOKUP("*"&amp;'Output annual'!$AC$2&amp;'Output annual'!$AD$2&amp;"*Zone People Number Of Occupants [](Hourly)",'Eplus results'!$1:$1048576,ROW(),FALSE)</f>
        <v>0</v>
      </c>
      <c r="AC8123" s="580">
        <f>HLOOKUP("*"&amp;'Output annual'!$AC$2&amp;'Output annual'!$AD$2&amp;"*FangerPMV(Hourly)",'Eplus results'!$1:$1048576,ROW(),FALSE)</f>
        <v>0</v>
      </c>
      <c r="AD8123" s="580">
        <f t="shared" si="666"/>
        <v>5</v>
      </c>
      <c r="AE8123" s="580">
        <f t="shared" si="667"/>
        <v>2.5</v>
      </c>
      <c r="AF8123" s="580">
        <f t="shared" si="668"/>
        <v>2.5</v>
      </c>
      <c r="AG8123" s="580">
        <f t="shared" si="669"/>
        <v>0</v>
      </c>
      <c r="AH8123" s="580">
        <f t="shared" si="670"/>
        <v>0</v>
      </c>
    </row>
    <row r="8124" spans="28:34">
      <c r="AB8124" s="580">
        <f>HLOOKUP("*"&amp;'Output annual'!$AC$2&amp;'Output annual'!$AD$2&amp;"*Zone People Number Of Occupants [](Hourly)",'Eplus results'!$1:$1048576,ROW(),FALSE)</f>
        <v>0</v>
      </c>
      <c r="AC8124" s="580">
        <f>HLOOKUP("*"&amp;'Output annual'!$AC$2&amp;'Output annual'!$AD$2&amp;"*FangerPMV(Hourly)",'Eplus results'!$1:$1048576,ROW(),FALSE)</f>
        <v>0</v>
      </c>
      <c r="AD8124" s="580">
        <f t="shared" si="666"/>
        <v>5</v>
      </c>
      <c r="AE8124" s="580">
        <f t="shared" si="667"/>
        <v>2.5</v>
      </c>
      <c r="AF8124" s="580">
        <f t="shared" si="668"/>
        <v>2.5</v>
      </c>
      <c r="AG8124" s="580">
        <f t="shared" si="669"/>
        <v>0</v>
      </c>
      <c r="AH8124" s="580">
        <f t="shared" si="670"/>
        <v>0</v>
      </c>
    </row>
    <row r="8125" spans="28:34">
      <c r="AB8125" s="580">
        <f>HLOOKUP("*"&amp;'Output annual'!$AC$2&amp;'Output annual'!$AD$2&amp;"*Zone People Number Of Occupants [](Hourly)",'Eplus results'!$1:$1048576,ROW(),FALSE)</f>
        <v>0</v>
      </c>
      <c r="AC8125" s="580">
        <f>HLOOKUP("*"&amp;'Output annual'!$AC$2&amp;'Output annual'!$AD$2&amp;"*FangerPMV(Hourly)",'Eplus results'!$1:$1048576,ROW(),FALSE)</f>
        <v>0</v>
      </c>
      <c r="AD8125" s="580">
        <f t="shared" si="666"/>
        <v>5</v>
      </c>
      <c r="AE8125" s="580">
        <f t="shared" si="667"/>
        <v>2.5</v>
      </c>
      <c r="AF8125" s="580">
        <f t="shared" si="668"/>
        <v>2.5</v>
      </c>
      <c r="AG8125" s="580">
        <f t="shared" si="669"/>
        <v>0</v>
      </c>
      <c r="AH8125" s="580">
        <f t="shared" si="670"/>
        <v>0</v>
      </c>
    </row>
    <row r="8126" spans="28:34">
      <c r="AB8126" s="580">
        <f>HLOOKUP("*"&amp;'Output annual'!$AC$2&amp;'Output annual'!$AD$2&amp;"*Zone People Number Of Occupants [](Hourly)",'Eplus results'!$1:$1048576,ROW(),FALSE)</f>
        <v>0</v>
      </c>
      <c r="AC8126" s="580">
        <f>HLOOKUP("*"&amp;'Output annual'!$AC$2&amp;'Output annual'!$AD$2&amp;"*FangerPMV(Hourly)",'Eplus results'!$1:$1048576,ROW(),FALSE)</f>
        <v>0</v>
      </c>
      <c r="AD8126" s="580">
        <f t="shared" si="666"/>
        <v>5</v>
      </c>
      <c r="AE8126" s="580">
        <f t="shared" si="667"/>
        <v>2.5</v>
      </c>
      <c r="AF8126" s="580">
        <f t="shared" si="668"/>
        <v>2.5</v>
      </c>
      <c r="AG8126" s="580">
        <f t="shared" si="669"/>
        <v>0</v>
      </c>
      <c r="AH8126" s="580">
        <f t="shared" si="670"/>
        <v>0</v>
      </c>
    </row>
    <row r="8127" spans="28:34">
      <c r="AB8127" s="580">
        <f>HLOOKUP("*"&amp;'Output annual'!$AC$2&amp;'Output annual'!$AD$2&amp;"*Zone People Number Of Occupants [](Hourly)",'Eplus results'!$1:$1048576,ROW(),FALSE)</f>
        <v>0</v>
      </c>
      <c r="AC8127" s="580">
        <f>HLOOKUP("*"&amp;'Output annual'!$AC$2&amp;'Output annual'!$AD$2&amp;"*FangerPMV(Hourly)",'Eplus results'!$1:$1048576,ROW(),FALSE)</f>
        <v>0</v>
      </c>
      <c r="AD8127" s="580">
        <f t="shared" si="666"/>
        <v>5</v>
      </c>
      <c r="AE8127" s="580">
        <f t="shared" si="667"/>
        <v>2.5</v>
      </c>
      <c r="AF8127" s="580">
        <f t="shared" si="668"/>
        <v>2.5</v>
      </c>
      <c r="AG8127" s="580">
        <f t="shared" si="669"/>
        <v>0</v>
      </c>
      <c r="AH8127" s="580">
        <f t="shared" si="670"/>
        <v>0</v>
      </c>
    </row>
    <row r="8128" spans="28:34">
      <c r="AB8128" s="580">
        <f>HLOOKUP("*"&amp;'Output annual'!$AC$2&amp;'Output annual'!$AD$2&amp;"*Zone People Number Of Occupants [](Hourly)",'Eplus results'!$1:$1048576,ROW(),FALSE)</f>
        <v>0</v>
      </c>
      <c r="AC8128" s="580">
        <f>HLOOKUP("*"&amp;'Output annual'!$AC$2&amp;'Output annual'!$AD$2&amp;"*FangerPMV(Hourly)",'Eplus results'!$1:$1048576,ROW(),FALSE)</f>
        <v>0</v>
      </c>
      <c r="AD8128" s="580">
        <f t="shared" si="666"/>
        <v>5</v>
      </c>
      <c r="AE8128" s="580">
        <f t="shared" si="667"/>
        <v>2.5</v>
      </c>
      <c r="AF8128" s="580">
        <f t="shared" si="668"/>
        <v>2.5</v>
      </c>
      <c r="AG8128" s="580">
        <f t="shared" si="669"/>
        <v>0</v>
      </c>
      <c r="AH8128" s="580">
        <f t="shared" si="670"/>
        <v>0</v>
      </c>
    </row>
    <row r="8129" spans="28:34">
      <c r="AB8129" s="580">
        <f>HLOOKUP("*"&amp;'Output annual'!$AC$2&amp;'Output annual'!$AD$2&amp;"*Zone People Number Of Occupants [](Hourly)",'Eplus results'!$1:$1048576,ROW(),FALSE)</f>
        <v>0</v>
      </c>
      <c r="AC8129" s="580">
        <f>HLOOKUP("*"&amp;'Output annual'!$AC$2&amp;'Output annual'!$AD$2&amp;"*FangerPMV(Hourly)",'Eplus results'!$1:$1048576,ROW(),FALSE)</f>
        <v>0</v>
      </c>
      <c r="AD8129" s="580">
        <f t="shared" si="666"/>
        <v>5</v>
      </c>
      <c r="AE8129" s="580">
        <f t="shared" si="667"/>
        <v>2.5</v>
      </c>
      <c r="AF8129" s="580">
        <f t="shared" si="668"/>
        <v>2.5</v>
      </c>
      <c r="AG8129" s="580">
        <f t="shared" si="669"/>
        <v>0</v>
      </c>
      <c r="AH8129" s="580">
        <f t="shared" si="670"/>
        <v>0</v>
      </c>
    </row>
    <row r="8130" spans="28:34">
      <c r="AB8130" s="580">
        <f>HLOOKUP("*"&amp;'Output annual'!$AC$2&amp;'Output annual'!$AD$2&amp;"*Zone People Number Of Occupants [](Hourly)",'Eplus results'!$1:$1048576,ROW(),FALSE)</f>
        <v>0</v>
      </c>
      <c r="AC8130" s="580">
        <f>HLOOKUP("*"&amp;'Output annual'!$AC$2&amp;'Output annual'!$AD$2&amp;"*FangerPMV(Hourly)",'Eplus results'!$1:$1048576,ROW(),FALSE)</f>
        <v>0</v>
      </c>
      <c r="AD8130" s="580">
        <f t="shared" si="666"/>
        <v>5</v>
      </c>
      <c r="AE8130" s="580">
        <f t="shared" si="667"/>
        <v>2.5</v>
      </c>
      <c r="AF8130" s="580">
        <f t="shared" si="668"/>
        <v>2.5</v>
      </c>
      <c r="AG8130" s="580">
        <f t="shared" si="669"/>
        <v>0</v>
      </c>
      <c r="AH8130" s="580">
        <f t="shared" si="670"/>
        <v>0</v>
      </c>
    </row>
    <row r="8131" spans="28:34">
      <c r="AB8131" s="580">
        <f>HLOOKUP("*"&amp;'Output annual'!$AC$2&amp;'Output annual'!$AD$2&amp;"*Zone People Number Of Occupants [](Hourly)",'Eplus results'!$1:$1048576,ROW(),FALSE)</f>
        <v>0</v>
      </c>
      <c r="AC8131" s="580">
        <f>HLOOKUP("*"&amp;'Output annual'!$AC$2&amp;'Output annual'!$AD$2&amp;"*FangerPMV(Hourly)",'Eplus results'!$1:$1048576,ROW(),FALSE)</f>
        <v>0</v>
      </c>
      <c r="AD8131" s="580">
        <f t="shared" ref="AD8131:AD8194" si="671">100-95*EXP(-0.03353*AC8131^4-0.2179*AC8131^2)</f>
        <v>5</v>
      </c>
      <c r="AE8131" s="580">
        <f t="shared" ref="AE8131:AE8194" si="672">AD8131*(1/(1+EXP(-6.3*$AC8131)))</f>
        <v>2.5</v>
      </c>
      <c r="AF8131" s="580">
        <f t="shared" ref="AF8131:AF8194" si="673">(AD8131-AE8131)</f>
        <v>2.5</v>
      </c>
      <c r="AG8131" s="580">
        <f t="shared" ref="AG8131:AG8194" si="674">AE8131*AB8131</f>
        <v>0</v>
      </c>
      <c r="AH8131" s="580">
        <f t="shared" ref="AH8131:AH8194" si="675">AF8131*AB8131</f>
        <v>0</v>
      </c>
    </row>
    <row r="8132" spans="28:34">
      <c r="AB8132" s="580">
        <f>HLOOKUP("*"&amp;'Output annual'!$AC$2&amp;'Output annual'!$AD$2&amp;"*Zone People Number Of Occupants [](Hourly)",'Eplus results'!$1:$1048576,ROW(),FALSE)</f>
        <v>0</v>
      </c>
      <c r="AC8132" s="580">
        <f>HLOOKUP("*"&amp;'Output annual'!$AC$2&amp;'Output annual'!$AD$2&amp;"*FangerPMV(Hourly)",'Eplus results'!$1:$1048576,ROW(),FALSE)</f>
        <v>0</v>
      </c>
      <c r="AD8132" s="580">
        <f t="shared" si="671"/>
        <v>5</v>
      </c>
      <c r="AE8132" s="580">
        <f t="shared" si="672"/>
        <v>2.5</v>
      </c>
      <c r="AF8132" s="580">
        <f t="shared" si="673"/>
        <v>2.5</v>
      </c>
      <c r="AG8132" s="580">
        <f t="shared" si="674"/>
        <v>0</v>
      </c>
      <c r="AH8132" s="580">
        <f t="shared" si="675"/>
        <v>0</v>
      </c>
    </row>
    <row r="8133" spans="28:34">
      <c r="AB8133" s="580">
        <f>HLOOKUP("*"&amp;'Output annual'!$AC$2&amp;'Output annual'!$AD$2&amp;"*Zone People Number Of Occupants [](Hourly)",'Eplus results'!$1:$1048576,ROW(),FALSE)</f>
        <v>0</v>
      </c>
      <c r="AC8133" s="580">
        <f>HLOOKUP("*"&amp;'Output annual'!$AC$2&amp;'Output annual'!$AD$2&amp;"*FangerPMV(Hourly)",'Eplus results'!$1:$1048576,ROW(),FALSE)</f>
        <v>0</v>
      </c>
      <c r="AD8133" s="580">
        <f t="shared" si="671"/>
        <v>5</v>
      </c>
      <c r="AE8133" s="580">
        <f t="shared" si="672"/>
        <v>2.5</v>
      </c>
      <c r="AF8133" s="580">
        <f t="shared" si="673"/>
        <v>2.5</v>
      </c>
      <c r="AG8133" s="580">
        <f t="shared" si="674"/>
        <v>0</v>
      </c>
      <c r="AH8133" s="580">
        <f t="shared" si="675"/>
        <v>0</v>
      </c>
    </row>
    <row r="8134" spans="28:34">
      <c r="AB8134" s="580">
        <f>HLOOKUP("*"&amp;'Output annual'!$AC$2&amp;'Output annual'!$AD$2&amp;"*Zone People Number Of Occupants [](Hourly)",'Eplus results'!$1:$1048576,ROW(),FALSE)</f>
        <v>0</v>
      </c>
      <c r="AC8134" s="580">
        <f>HLOOKUP("*"&amp;'Output annual'!$AC$2&amp;'Output annual'!$AD$2&amp;"*FangerPMV(Hourly)",'Eplus results'!$1:$1048576,ROW(),FALSE)</f>
        <v>0</v>
      </c>
      <c r="AD8134" s="580">
        <f t="shared" si="671"/>
        <v>5</v>
      </c>
      <c r="AE8134" s="580">
        <f t="shared" si="672"/>
        <v>2.5</v>
      </c>
      <c r="AF8134" s="580">
        <f t="shared" si="673"/>
        <v>2.5</v>
      </c>
      <c r="AG8134" s="580">
        <f t="shared" si="674"/>
        <v>0</v>
      </c>
      <c r="AH8134" s="580">
        <f t="shared" si="675"/>
        <v>0</v>
      </c>
    </row>
    <row r="8135" spans="28:34">
      <c r="AB8135" s="580">
        <f>HLOOKUP("*"&amp;'Output annual'!$AC$2&amp;'Output annual'!$AD$2&amp;"*Zone People Number Of Occupants [](Hourly)",'Eplus results'!$1:$1048576,ROW(),FALSE)</f>
        <v>0</v>
      </c>
      <c r="AC8135" s="580">
        <f>HLOOKUP("*"&amp;'Output annual'!$AC$2&amp;'Output annual'!$AD$2&amp;"*FangerPMV(Hourly)",'Eplus results'!$1:$1048576,ROW(),FALSE)</f>
        <v>0</v>
      </c>
      <c r="AD8135" s="580">
        <f t="shared" si="671"/>
        <v>5</v>
      </c>
      <c r="AE8135" s="580">
        <f t="shared" si="672"/>
        <v>2.5</v>
      </c>
      <c r="AF8135" s="580">
        <f t="shared" si="673"/>
        <v>2.5</v>
      </c>
      <c r="AG8135" s="580">
        <f t="shared" si="674"/>
        <v>0</v>
      </c>
      <c r="AH8135" s="580">
        <f t="shared" si="675"/>
        <v>0</v>
      </c>
    </row>
    <row r="8136" spans="28:34">
      <c r="AB8136" s="580">
        <f>HLOOKUP("*"&amp;'Output annual'!$AC$2&amp;'Output annual'!$AD$2&amp;"*Zone People Number Of Occupants [](Hourly)",'Eplus results'!$1:$1048576,ROW(),FALSE)</f>
        <v>0</v>
      </c>
      <c r="AC8136" s="580">
        <f>HLOOKUP("*"&amp;'Output annual'!$AC$2&amp;'Output annual'!$AD$2&amp;"*FangerPMV(Hourly)",'Eplus results'!$1:$1048576,ROW(),FALSE)</f>
        <v>0</v>
      </c>
      <c r="AD8136" s="580">
        <f t="shared" si="671"/>
        <v>5</v>
      </c>
      <c r="AE8136" s="580">
        <f t="shared" si="672"/>
        <v>2.5</v>
      </c>
      <c r="AF8136" s="580">
        <f t="shared" si="673"/>
        <v>2.5</v>
      </c>
      <c r="AG8136" s="580">
        <f t="shared" si="674"/>
        <v>0</v>
      </c>
      <c r="AH8136" s="580">
        <f t="shared" si="675"/>
        <v>0</v>
      </c>
    </row>
    <row r="8137" spans="28:34">
      <c r="AB8137" s="580">
        <f>HLOOKUP("*"&amp;'Output annual'!$AC$2&amp;'Output annual'!$AD$2&amp;"*Zone People Number Of Occupants [](Hourly)",'Eplus results'!$1:$1048576,ROW(),FALSE)</f>
        <v>0</v>
      </c>
      <c r="AC8137" s="580">
        <f>HLOOKUP("*"&amp;'Output annual'!$AC$2&amp;'Output annual'!$AD$2&amp;"*FangerPMV(Hourly)",'Eplus results'!$1:$1048576,ROW(),FALSE)</f>
        <v>0</v>
      </c>
      <c r="AD8137" s="580">
        <f t="shared" si="671"/>
        <v>5</v>
      </c>
      <c r="AE8137" s="580">
        <f t="shared" si="672"/>
        <v>2.5</v>
      </c>
      <c r="AF8137" s="580">
        <f t="shared" si="673"/>
        <v>2.5</v>
      </c>
      <c r="AG8137" s="580">
        <f t="shared" si="674"/>
        <v>0</v>
      </c>
      <c r="AH8137" s="580">
        <f t="shared" si="675"/>
        <v>0</v>
      </c>
    </row>
    <row r="8138" spans="28:34">
      <c r="AB8138" s="580">
        <f>HLOOKUP("*"&amp;'Output annual'!$AC$2&amp;'Output annual'!$AD$2&amp;"*Zone People Number Of Occupants [](Hourly)",'Eplus results'!$1:$1048576,ROW(),FALSE)</f>
        <v>0</v>
      </c>
      <c r="AC8138" s="580">
        <f>HLOOKUP("*"&amp;'Output annual'!$AC$2&amp;'Output annual'!$AD$2&amp;"*FangerPMV(Hourly)",'Eplus results'!$1:$1048576,ROW(),FALSE)</f>
        <v>0</v>
      </c>
      <c r="AD8138" s="580">
        <f t="shared" si="671"/>
        <v>5</v>
      </c>
      <c r="AE8138" s="580">
        <f t="shared" si="672"/>
        <v>2.5</v>
      </c>
      <c r="AF8138" s="580">
        <f t="shared" si="673"/>
        <v>2.5</v>
      </c>
      <c r="AG8138" s="580">
        <f t="shared" si="674"/>
        <v>0</v>
      </c>
      <c r="AH8138" s="580">
        <f t="shared" si="675"/>
        <v>0</v>
      </c>
    </row>
    <row r="8139" spans="28:34">
      <c r="AB8139" s="580">
        <f>HLOOKUP("*"&amp;'Output annual'!$AC$2&amp;'Output annual'!$AD$2&amp;"*Zone People Number Of Occupants [](Hourly)",'Eplus results'!$1:$1048576,ROW(),FALSE)</f>
        <v>0</v>
      </c>
      <c r="AC8139" s="580">
        <f>HLOOKUP("*"&amp;'Output annual'!$AC$2&amp;'Output annual'!$AD$2&amp;"*FangerPMV(Hourly)",'Eplus results'!$1:$1048576,ROW(),FALSE)</f>
        <v>0</v>
      </c>
      <c r="AD8139" s="580">
        <f t="shared" si="671"/>
        <v>5</v>
      </c>
      <c r="AE8139" s="580">
        <f t="shared" si="672"/>
        <v>2.5</v>
      </c>
      <c r="AF8139" s="580">
        <f t="shared" si="673"/>
        <v>2.5</v>
      </c>
      <c r="AG8139" s="580">
        <f t="shared" si="674"/>
        <v>0</v>
      </c>
      <c r="AH8139" s="580">
        <f t="shared" si="675"/>
        <v>0</v>
      </c>
    </row>
    <row r="8140" spans="28:34">
      <c r="AB8140" s="580">
        <f>HLOOKUP("*"&amp;'Output annual'!$AC$2&amp;'Output annual'!$AD$2&amp;"*Zone People Number Of Occupants [](Hourly)",'Eplus results'!$1:$1048576,ROW(),FALSE)</f>
        <v>0</v>
      </c>
      <c r="AC8140" s="580">
        <f>HLOOKUP("*"&amp;'Output annual'!$AC$2&amp;'Output annual'!$AD$2&amp;"*FangerPMV(Hourly)",'Eplus results'!$1:$1048576,ROW(),FALSE)</f>
        <v>0</v>
      </c>
      <c r="AD8140" s="580">
        <f t="shared" si="671"/>
        <v>5</v>
      </c>
      <c r="AE8140" s="580">
        <f t="shared" si="672"/>
        <v>2.5</v>
      </c>
      <c r="AF8140" s="580">
        <f t="shared" si="673"/>
        <v>2.5</v>
      </c>
      <c r="AG8140" s="580">
        <f t="shared" si="674"/>
        <v>0</v>
      </c>
      <c r="AH8140" s="580">
        <f t="shared" si="675"/>
        <v>0</v>
      </c>
    </row>
    <row r="8141" spans="28:34">
      <c r="AB8141" s="580">
        <f>HLOOKUP("*"&amp;'Output annual'!$AC$2&amp;'Output annual'!$AD$2&amp;"*Zone People Number Of Occupants [](Hourly)",'Eplus results'!$1:$1048576,ROW(),FALSE)</f>
        <v>0</v>
      </c>
      <c r="AC8141" s="580">
        <f>HLOOKUP("*"&amp;'Output annual'!$AC$2&amp;'Output annual'!$AD$2&amp;"*FangerPMV(Hourly)",'Eplus results'!$1:$1048576,ROW(),FALSE)</f>
        <v>0</v>
      </c>
      <c r="AD8141" s="580">
        <f t="shared" si="671"/>
        <v>5</v>
      </c>
      <c r="AE8141" s="580">
        <f t="shared" si="672"/>
        <v>2.5</v>
      </c>
      <c r="AF8141" s="580">
        <f t="shared" si="673"/>
        <v>2.5</v>
      </c>
      <c r="AG8141" s="580">
        <f t="shared" si="674"/>
        <v>0</v>
      </c>
      <c r="AH8141" s="580">
        <f t="shared" si="675"/>
        <v>0</v>
      </c>
    </row>
    <row r="8142" spans="28:34">
      <c r="AB8142" s="580">
        <f>HLOOKUP("*"&amp;'Output annual'!$AC$2&amp;'Output annual'!$AD$2&amp;"*Zone People Number Of Occupants [](Hourly)",'Eplus results'!$1:$1048576,ROW(),FALSE)</f>
        <v>0</v>
      </c>
      <c r="AC8142" s="580">
        <f>HLOOKUP("*"&amp;'Output annual'!$AC$2&amp;'Output annual'!$AD$2&amp;"*FangerPMV(Hourly)",'Eplus results'!$1:$1048576,ROW(),FALSE)</f>
        <v>0</v>
      </c>
      <c r="AD8142" s="580">
        <f t="shared" si="671"/>
        <v>5</v>
      </c>
      <c r="AE8142" s="580">
        <f t="shared" si="672"/>
        <v>2.5</v>
      </c>
      <c r="AF8142" s="580">
        <f t="shared" si="673"/>
        <v>2.5</v>
      </c>
      <c r="AG8142" s="580">
        <f t="shared" si="674"/>
        <v>0</v>
      </c>
      <c r="AH8142" s="580">
        <f t="shared" si="675"/>
        <v>0</v>
      </c>
    </row>
    <row r="8143" spans="28:34">
      <c r="AB8143" s="580">
        <f>HLOOKUP("*"&amp;'Output annual'!$AC$2&amp;'Output annual'!$AD$2&amp;"*Zone People Number Of Occupants [](Hourly)",'Eplus results'!$1:$1048576,ROW(),FALSE)</f>
        <v>0</v>
      </c>
      <c r="AC8143" s="580">
        <f>HLOOKUP("*"&amp;'Output annual'!$AC$2&amp;'Output annual'!$AD$2&amp;"*FangerPMV(Hourly)",'Eplus results'!$1:$1048576,ROW(),FALSE)</f>
        <v>0</v>
      </c>
      <c r="AD8143" s="580">
        <f t="shared" si="671"/>
        <v>5</v>
      </c>
      <c r="AE8143" s="580">
        <f t="shared" si="672"/>
        <v>2.5</v>
      </c>
      <c r="AF8143" s="580">
        <f t="shared" si="673"/>
        <v>2.5</v>
      </c>
      <c r="AG8143" s="580">
        <f t="shared" si="674"/>
        <v>0</v>
      </c>
      <c r="AH8143" s="580">
        <f t="shared" si="675"/>
        <v>0</v>
      </c>
    </row>
    <row r="8144" spans="28:34">
      <c r="AB8144" s="580">
        <f>HLOOKUP("*"&amp;'Output annual'!$AC$2&amp;'Output annual'!$AD$2&amp;"*Zone People Number Of Occupants [](Hourly)",'Eplus results'!$1:$1048576,ROW(),FALSE)</f>
        <v>0</v>
      </c>
      <c r="AC8144" s="580">
        <f>HLOOKUP("*"&amp;'Output annual'!$AC$2&amp;'Output annual'!$AD$2&amp;"*FangerPMV(Hourly)",'Eplus results'!$1:$1048576,ROW(),FALSE)</f>
        <v>0</v>
      </c>
      <c r="AD8144" s="580">
        <f t="shared" si="671"/>
        <v>5</v>
      </c>
      <c r="AE8144" s="580">
        <f t="shared" si="672"/>
        <v>2.5</v>
      </c>
      <c r="AF8144" s="580">
        <f t="shared" si="673"/>
        <v>2.5</v>
      </c>
      <c r="AG8144" s="580">
        <f t="shared" si="674"/>
        <v>0</v>
      </c>
      <c r="AH8144" s="580">
        <f t="shared" si="675"/>
        <v>0</v>
      </c>
    </row>
    <row r="8145" spans="28:34">
      <c r="AB8145" s="580">
        <f>HLOOKUP("*"&amp;'Output annual'!$AC$2&amp;'Output annual'!$AD$2&amp;"*Zone People Number Of Occupants [](Hourly)",'Eplus results'!$1:$1048576,ROW(),FALSE)</f>
        <v>0</v>
      </c>
      <c r="AC8145" s="580">
        <f>HLOOKUP("*"&amp;'Output annual'!$AC$2&amp;'Output annual'!$AD$2&amp;"*FangerPMV(Hourly)",'Eplus results'!$1:$1048576,ROW(),FALSE)</f>
        <v>0</v>
      </c>
      <c r="AD8145" s="580">
        <f t="shared" si="671"/>
        <v>5</v>
      </c>
      <c r="AE8145" s="580">
        <f t="shared" si="672"/>
        <v>2.5</v>
      </c>
      <c r="AF8145" s="580">
        <f t="shared" si="673"/>
        <v>2.5</v>
      </c>
      <c r="AG8145" s="580">
        <f t="shared" si="674"/>
        <v>0</v>
      </c>
      <c r="AH8145" s="580">
        <f t="shared" si="675"/>
        <v>0</v>
      </c>
    </row>
    <row r="8146" spans="28:34">
      <c r="AB8146" s="580">
        <f>HLOOKUP("*"&amp;'Output annual'!$AC$2&amp;'Output annual'!$AD$2&amp;"*Zone People Number Of Occupants [](Hourly)",'Eplus results'!$1:$1048576,ROW(),FALSE)</f>
        <v>0</v>
      </c>
      <c r="AC8146" s="580">
        <f>HLOOKUP("*"&amp;'Output annual'!$AC$2&amp;'Output annual'!$AD$2&amp;"*FangerPMV(Hourly)",'Eplus results'!$1:$1048576,ROW(),FALSE)</f>
        <v>0</v>
      </c>
      <c r="AD8146" s="580">
        <f t="shared" si="671"/>
        <v>5</v>
      </c>
      <c r="AE8146" s="580">
        <f t="shared" si="672"/>
        <v>2.5</v>
      </c>
      <c r="AF8146" s="580">
        <f t="shared" si="673"/>
        <v>2.5</v>
      </c>
      <c r="AG8146" s="580">
        <f t="shared" si="674"/>
        <v>0</v>
      </c>
      <c r="AH8146" s="580">
        <f t="shared" si="675"/>
        <v>0</v>
      </c>
    </row>
    <row r="8147" spans="28:34">
      <c r="AB8147" s="580">
        <f>HLOOKUP("*"&amp;'Output annual'!$AC$2&amp;'Output annual'!$AD$2&amp;"*Zone People Number Of Occupants [](Hourly)",'Eplus results'!$1:$1048576,ROW(),FALSE)</f>
        <v>0</v>
      </c>
      <c r="AC8147" s="580">
        <f>HLOOKUP("*"&amp;'Output annual'!$AC$2&amp;'Output annual'!$AD$2&amp;"*FangerPMV(Hourly)",'Eplus results'!$1:$1048576,ROW(),FALSE)</f>
        <v>0</v>
      </c>
      <c r="AD8147" s="580">
        <f t="shared" si="671"/>
        <v>5</v>
      </c>
      <c r="AE8147" s="580">
        <f t="shared" si="672"/>
        <v>2.5</v>
      </c>
      <c r="AF8147" s="580">
        <f t="shared" si="673"/>
        <v>2.5</v>
      </c>
      <c r="AG8147" s="580">
        <f t="shared" si="674"/>
        <v>0</v>
      </c>
      <c r="AH8147" s="580">
        <f t="shared" si="675"/>
        <v>0</v>
      </c>
    </row>
    <row r="8148" spans="28:34">
      <c r="AB8148" s="580">
        <f>HLOOKUP("*"&amp;'Output annual'!$AC$2&amp;'Output annual'!$AD$2&amp;"*Zone People Number Of Occupants [](Hourly)",'Eplus results'!$1:$1048576,ROW(),FALSE)</f>
        <v>0</v>
      </c>
      <c r="AC8148" s="580">
        <f>HLOOKUP("*"&amp;'Output annual'!$AC$2&amp;'Output annual'!$AD$2&amp;"*FangerPMV(Hourly)",'Eplus results'!$1:$1048576,ROW(),FALSE)</f>
        <v>0</v>
      </c>
      <c r="AD8148" s="580">
        <f t="shared" si="671"/>
        <v>5</v>
      </c>
      <c r="AE8148" s="580">
        <f t="shared" si="672"/>
        <v>2.5</v>
      </c>
      <c r="AF8148" s="580">
        <f t="shared" si="673"/>
        <v>2.5</v>
      </c>
      <c r="AG8148" s="580">
        <f t="shared" si="674"/>
        <v>0</v>
      </c>
      <c r="AH8148" s="580">
        <f t="shared" si="675"/>
        <v>0</v>
      </c>
    </row>
    <row r="8149" spans="28:34">
      <c r="AB8149" s="580">
        <f>HLOOKUP("*"&amp;'Output annual'!$AC$2&amp;'Output annual'!$AD$2&amp;"*Zone People Number Of Occupants [](Hourly)",'Eplus results'!$1:$1048576,ROW(),FALSE)</f>
        <v>0</v>
      </c>
      <c r="AC8149" s="580">
        <f>HLOOKUP("*"&amp;'Output annual'!$AC$2&amp;'Output annual'!$AD$2&amp;"*FangerPMV(Hourly)",'Eplus results'!$1:$1048576,ROW(),FALSE)</f>
        <v>0</v>
      </c>
      <c r="AD8149" s="580">
        <f t="shared" si="671"/>
        <v>5</v>
      </c>
      <c r="AE8149" s="580">
        <f t="shared" si="672"/>
        <v>2.5</v>
      </c>
      <c r="AF8149" s="580">
        <f t="shared" si="673"/>
        <v>2.5</v>
      </c>
      <c r="AG8149" s="580">
        <f t="shared" si="674"/>
        <v>0</v>
      </c>
      <c r="AH8149" s="580">
        <f t="shared" si="675"/>
        <v>0</v>
      </c>
    </row>
    <row r="8150" spans="28:34">
      <c r="AB8150" s="580">
        <f>HLOOKUP("*"&amp;'Output annual'!$AC$2&amp;'Output annual'!$AD$2&amp;"*Zone People Number Of Occupants [](Hourly)",'Eplus results'!$1:$1048576,ROW(),FALSE)</f>
        <v>0</v>
      </c>
      <c r="AC8150" s="580">
        <f>HLOOKUP("*"&amp;'Output annual'!$AC$2&amp;'Output annual'!$AD$2&amp;"*FangerPMV(Hourly)",'Eplus results'!$1:$1048576,ROW(),FALSE)</f>
        <v>0</v>
      </c>
      <c r="AD8150" s="580">
        <f t="shared" si="671"/>
        <v>5</v>
      </c>
      <c r="AE8150" s="580">
        <f t="shared" si="672"/>
        <v>2.5</v>
      </c>
      <c r="AF8150" s="580">
        <f t="shared" si="673"/>
        <v>2.5</v>
      </c>
      <c r="AG8150" s="580">
        <f t="shared" si="674"/>
        <v>0</v>
      </c>
      <c r="AH8150" s="580">
        <f t="shared" si="675"/>
        <v>0</v>
      </c>
    </row>
    <row r="8151" spans="28:34">
      <c r="AB8151" s="580">
        <f>HLOOKUP("*"&amp;'Output annual'!$AC$2&amp;'Output annual'!$AD$2&amp;"*Zone People Number Of Occupants [](Hourly)",'Eplus results'!$1:$1048576,ROW(),FALSE)</f>
        <v>0</v>
      </c>
      <c r="AC8151" s="580">
        <f>HLOOKUP("*"&amp;'Output annual'!$AC$2&amp;'Output annual'!$AD$2&amp;"*FangerPMV(Hourly)",'Eplus results'!$1:$1048576,ROW(),FALSE)</f>
        <v>0</v>
      </c>
      <c r="AD8151" s="580">
        <f t="shared" si="671"/>
        <v>5</v>
      </c>
      <c r="AE8151" s="580">
        <f t="shared" si="672"/>
        <v>2.5</v>
      </c>
      <c r="AF8151" s="580">
        <f t="shared" si="673"/>
        <v>2.5</v>
      </c>
      <c r="AG8151" s="580">
        <f t="shared" si="674"/>
        <v>0</v>
      </c>
      <c r="AH8151" s="580">
        <f t="shared" si="675"/>
        <v>0</v>
      </c>
    </row>
    <row r="8152" spans="28:34">
      <c r="AB8152" s="580">
        <f>HLOOKUP("*"&amp;'Output annual'!$AC$2&amp;'Output annual'!$AD$2&amp;"*Zone People Number Of Occupants [](Hourly)",'Eplus results'!$1:$1048576,ROW(),FALSE)</f>
        <v>0</v>
      </c>
      <c r="AC8152" s="580">
        <f>HLOOKUP("*"&amp;'Output annual'!$AC$2&amp;'Output annual'!$AD$2&amp;"*FangerPMV(Hourly)",'Eplus results'!$1:$1048576,ROW(),FALSE)</f>
        <v>0</v>
      </c>
      <c r="AD8152" s="580">
        <f t="shared" si="671"/>
        <v>5</v>
      </c>
      <c r="AE8152" s="580">
        <f t="shared" si="672"/>
        <v>2.5</v>
      </c>
      <c r="AF8152" s="580">
        <f t="shared" si="673"/>
        <v>2.5</v>
      </c>
      <c r="AG8152" s="580">
        <f t="shared" si="674"/>
        <v>0</v>
      </c>
      <c r="AH8152" s="580">
        <f t="shared" si="675"/>
        <v>0</v>
      </c>
    </row>
    <row r="8153" spans="28:34">
      <c r="AB8153" s="580">
        <f>HLOOKUP("*"&amp;'Output annual'!$AC$2&amp;'Output annual'!$AD$2&amp;"*Zone People Number Of Occupants [](Hourly)",'Eplus results'!$1:$1048576,ROW(),FALSE)</f>
        <v>0</v>
      </c>
      <c r="AC8153" s="580">
        <f>HLOOKUP("*"&amp;'Output annual'!$AC$2&amp;'Output annual'!$AD$2&amp;"*FangerPMV(Hourly)",'Eplus results'!$1:$1048576,ROW(),FALSE)</f>
        <v>0</v>
      </c>
      <c r="AD8153" s="580">
        <f t="shared" si="671"/>
        <v>5</v>
      </c>
      <c r="AE8153" s="580">
        <f t="shared" si="672"/>
        <v>2.5</v>
      </c>
      <c r="AF8153" s="580">
        <f t="shared" si="673"/>
        <v>2.5</v>
      </c>
      <c r="AG8153" s="580">
        <f t="shared" si="674"/>
        <v>0</v>
      </c>
      <c r="AH8153" s="580">
        <f t="shared" si="675"/>
        <v>0</v>
      </c>
    </row>
    <row r="8154" spans="28:34">
      <c r="AB8154" s="580">
        <f>HLOOKUP("*"&amp;'Output annual'!$AC$2&amp;'Output annual'!$AD$2&amp;"*Zone People Number Of Occupants [](Hourly)",'Eplus results'!$1:$1048576,ROW(),FALSE)</f>
        <v>0</v>
      </c>
      <c r="AC8154" s="580">
        <f>HLOOKUP("*"&amp;'Output annual'!$AC$2&amp;'Output annual'!$AD$2&amp;"*FangerPMV(Hourly)",'Eplus results'!$1:$1048576,ROW(),FALSE)</f>
        <v>0</v>
      </c>
      <c r="AD8154" s="580">
        <f t="shared" si="671"/>
        <v>5</v>
      </c>
      <c r="AE8154" s="580">
        <f t="shared" si="672"/>
        <v>2.5</v>
      </c>
      <c r="AF8154" s="580">
        <f t="shared" si="673"/>
        <v>2.5</v>
      </c>
      <c r="AG8154" s="580">
        <f t="shared" si="674"/>
        <v>0</v>
      </c>
      <c r="AH8154" s="580">
        <f t="shared" si="675"/>
        <v>0</v>
      </c>
    </row>
    <row r="8155" spans="28:34">
      <c r="AB8155" s="580">
        <f>HLOOKUP("*"&amp;'Output annual'!$AC$2&amp;'Output annual'!$AD$2&amp;"*Zone People Number Of Occupants [](Hourly)",'Eplus results'!$1:$1048576,ROW(),FALSE)</f>
        <v>0</v>
      </c>
      <c r="AC8155" s="580">
        <f>HLOOKUP("*"&amp;'Output annual'!$AC$2&amp;'Output annual'!$AD$2&amp;"*FangerPMV(Hourly)",'Eplus results'!$1:$1048576,ROW(),FALSE)</f>
        <v>0</v>
      </c>
      <c r="AD8155" s="580">
        <f t="shared" si="671"/>
        <v>5</v>
      </c>
      <c r="AE8155" s="580">
        <f t="shared" si="672"/>
        <v>2.5</v>
      </c>
      <c r="AF8155" s="580">
        <f t="shared" si="673"/>
        <v>2.5</v>
      </c>
      <c r="AG8155" s="580">
        <f t="shared" si="674"/>
        <v>0</v>
      </c>
      <c r="AH8155" s="580">
        <f t="shared" si="675"/>
        <v>0</v>
      </c>
    </row>
    <row r="8156" spans="28:34">
      <c r="AB8156" s="580">
        <f>HLOOKUP("*"&amp;'Output annual'!$AC$2&amp;'Output annual'!$AD$2&amp;"*Zone People Number Of Occupants [](Hourly)",'Eplus results'!$1:$1048576,ROW(),FALSE)</f>
        <v>0</v>
      </c>
      <c r="AC8156" s="580">
        <f>HLOOKUP("*"&amp;'Output annual'!$AC$2&amp;'Output annual'!$AD$2&amp;"*FangerPMV(Hourly)",'Eplus results'!$1:$1048576,ROW(),FALSE)</f>
        <v>0</v>
      </c>
      <c r="AD8156" s="580">
        <f t="shared" si="671"/>
        <v>5</v>
      </c>
      <c r="AE8156" s="580">
        <f t="shared" si="672"/>
        <v>2.5</v>
      </c>
      <c r="AF8156" s="580">
        <f t="shared" si="673"/>
        <v>2.5</v>
      </c>
      <c r="AG8156" s="580">
        <f t="shared" si="674"/>
        <v>0</v>
      </c>
      <c r="AH8156" s="580">
        <f t="shared" si="675"/>
        <v>0</v>
      </c>
    </row>
    <row r="8157" spans="28:34">
      <c r="AB8157" s="580">
        <f>HLOOKUP("*"&amp;'Output annual'!$AC$2&amp;'Output annual'!$AD$2&amp;"*Zone People Number Of Occupants [](Hourly)",'Eplus results'!$1:$1048576,ROW(),FALSE)</f>
        <v>0</v>
      </c>
      <c r="AC8157" s="580">
        <f>HLOOKUP("*"&amp;'Output annual'!$AC$2&amp;'Output annual'!$AD$2&amp;"*FangerPMV(Hourly)",'Eplus results'!$1:$1048576,ROW(),FALSE)</f>
        <v>0</v>
      </c>
      <c r="AD8157" s="580">
        <f t="shared" si="671"/>
        <v>5</v>
      </c>
      <c r="AE8157" s="580">
        <f t="shared" si="672"/>
        <v>2.5</v>
      </c>
      <c r="AF8157" s="580">
        <f t="shared" si="673"/>
        <v>2.5</v>
      </c>
      <c r="AG8157" s="580">
        <f t="shared" si="674"/>
        <v>0</v>
      </c>
      <c r="AH8157" s="580">
        <f t="shared" si="675"/>
        <v>0</v>
      </c>
    </row>
    <row r="8158" spans="28:34">
      <c r="AB8158" s="580">
        <f>HLOOKUP("*"&amp;'Output annual'!$AC$2&amp;'Output annual'!$AD$2&amp;"*Zone People Number Of Occupants [](Hourly)",'Eplus results'!$1:$1048576,ROW(),FALSE)</f>
        <v>0</v>
      </c>
      <c r="AC8158" s="580">
        <f>HLOOKUP("*"&amp;'Output annual'!$AC$2&amp;'Output annual'!$AD$2&amp;"*FangerPMV(Hourly)",'Eplus results'!$1:$1048576,ROW(),FALSE)</f>
        <v>0</v>
      </c>
      <c r="AD8158" s="580">
        <f t="shared" si="671"/>
        <v>5</v>
      </c>
      <c r="AE8158" s="580">
        <f t="shared" si="672"/>
        <v>2.5</v>
      </c>
      <c r="AF8158" s="580">
        <f t="shared" si="673"/>
        <v>2.5</v>
      </c>
      <c r="AG8158" s="580">
        <f t="shared" si="674"/>
        <v>0</v>
      </c>
      <c r="AH8158" s="580">
        <f t="shared" si="675"/>
        <v>0</v>
      </c>
    </row>
    <row r="8159" spans="28:34">
      <c r="AB8159" s="580">
        <f>HLOOKUP("*"&amp;'Output annual'!$AC$2&amp;'Output annual'!$AD$2&amp;"*Zone People Number Of Occupants [](Hourly)",'Eplus results'!$1:$1048576,ROW(),FALSE)</f>
        <v>0</v>
      </c>
      <c r="AC8159" s="580">
        <f>HLOOKUP("*"&amp;'Output annual'!$AC$2&amp;'Output annual'!$AD$2&amp;"*FangerPMV(Hourly)",'Eplus results'!$1:$1048576,ROW(),FALSE)</f>
        <v>0</v>
      </c>
      <c r="AD8159" s="580">
        <f t="shared" si="671"/>
        <v>5</v>
      </c>
      <c r="AE8159" s="580">
        <f t="shared" si="672"/>
        <v>2.5</v>
      </c>
      <c r="AF8159" s="580">
        <f t="shared" si="673"/>
        <v>2.5</v>
      </c>
      <c r="AG8159" s="580">
        <f t="shared" si="674"/>
        <v>0</v>
      </c>
      <c r="AH8159" s="580">
        <f t="shared" si="675"/>
        <v>0</v>
      </c>
    </row>
    <row r="8160" spans="28:34">
      <c r="AB8160" s="580">
        <f>HLOOKUP("*"&amp;'Output annual'!$AC$2&amp;'Output annual'!$AD$2&amp;"*Zone People Number Of Occupants [](Hourly)",'Eplus results'!$1:$1048576,ROW(),FALSE)</f>
        <v>0</v>
      </c>
      <c r="AC8160" s="580">
        <f>HLOOKUP("*"&amp;'Output annual'!$AC$2&amp;'Output annual'!$AD$2&amp;"*FangerPMV(Hourly)",'Eplus results'!$1:$1048576,ROW(),FALSE)</f>
        <v>0</v>
      </c>
      <c r="AD8160" s="580">
        <f t="shared" si="671"/>
        <v>5</v>
      </c>
      <c r="AE8160" s="580">
        <f t="shared" si="672"/>
        <v>2.5</v>
      </c>
      <c r="AF8160" s="580">
        <f t="shared" si="673"/>
        <v>2.5</v>
      </c>
      <c r="AG8160" s="580">
        <f t="shared" si="674"/>
        <v>0</v>
      </c>
      <c r="AH8160" s="580">
        <f t="shared" si="675"/>
        <v>0</v>
      </c>
    </row>
    <row r="8161" spans="28:34">
      <c r="AB8161" s="580">
        <f>HLOOKUP("*"&amp;'Output annual'!$AC$2&amp;'Output annual'!$AD$2&amp;"*Zone People Number Of Occupants [](Hourly)",'Eplus results'!$1:$1048576,ROW(),FALSE)</f>
        <v>0</v>
      </c>
      <c r="AC8161" s="580">
        <f>HLOOKUP("*"&amp;'Output annual'!$AC$2&amp;'Output annual'!$AD$2&amp;"*FangerPMV(Hourly)",'Eplus results'!$1:$1048576,ROW(),FALSE)</f>
        <v>0</v>
      </c>
      <c r="AD8161" s="580">
        <f t="shared" si="671"/>
        <v>5</v>
      </c>
      <c r="AE8161" s="580">
        <f t="shared" si="672"/>
        <v>2.5</v>
      </c>
      <c r="AF8161" s="580">
        <f t="shared" si="673"/>
        <v>2.5</v>
      </c>
      <c r="AG8161" s="580">
        <f t="shared" si="674"/>
        <v>0</v>
      </c>
      <c r="AH8161" s="580">
        <f t="shared" si="675"/>
        <v>0</v>
      </c>
    </row>
    <row r="8162" spans="28:34">
      <c r="AB8162" s="580">
        <f>HLOOKUP("*"&amp;'Output annual'!$AC$2&amp;'Output annual'!$AD$2&amp;"*Zone People Number Of Occupants [](Hourly)",'Eplus results'!$1:$1048576,ROW(),FALSE)</f>
        <v>0</v>
      </c>
      <c r="AC8162" s="580">
        <f>HLOOKUP("*"&amp;'Output annual'!$AC$2&amp;'Output annual'!$AD$2&amp;"*FangerPMV(Hourly)",'Eplus results'!$1:$1048576,ROW(),FALSE)</f>
        <v>0</v>
      </c>
      <c r="AD8162" s="580">
        <f t="shared" si="671"/>
        <v>5</v>
      </c>
      <c r="AE8162" s="580">
        <f t="shared" si="672"/>
        <v>2.5</v>
      </c>
      <c r="AF8162" s="580">
        <f t="shared" si="673"/>
        <v>2.5</v>
      </c>
      <c r="AG8162" s="580">
        <f t="shared" si="674"/>
        <v>0</v>
      </c>
      <c r="AH8162" s="580">
        <f t="shared" si="675"/>
        <v>0</v>
      </c>
    </row>
    <row r="8163" spans="28:34">
      <c r="AB8163" s="580">
        <f>HLOOKUP("*"&amp;'Output annual'!$AC$2&amp;'Output annual'!$AD$2&amp;"*Zone People Number Of Occupants [](Hourly)",'Eplus results'!$1:$1048576,ROW(),FALSE)</f>
        <v>0</v>
      </c>
      <c r="AC8163" s="580">
        <f>HLOOKUP("*"&amp;'Output annual'!$AC$2&amp;'Output annual'!$AD$2&amp;"*FangerPMV(Hourly)",'Eplus results'!$1:$1048576,ROW(),FALSE)</f>
        <v>0</v>
      </c>
      <c r="AD8163" s="580">
        <f t="shared" si="671"/>
        <v>5</v>
      </c>
      <c r="AE8163" s="580">
        <f t="shared" si="672"/>
        <v>2.5</v>
      </c>
      <c r="AF8163" s="580">
        <f t="shared" si="673"/>
        <v>2.5</v>
      </c>
      <c r="AG8163" s="580">
        <f t="shared" si="674"/>
        <v>0</v>
      </c>
      <c r="AH8163" s="580">
        <f t="shared" si="675"/>
        <v>0</v>
      </c>
    </row>
    <row r="8164" spans="28:34">
      <c r="AB8164" s="580">
        <f>HLOOKUP("*"&amp;'Output annual'!$AC$2&amp;'Output annual'!$AD$2&amp;"*Zone People Number Of Occupants [](Hourly)",'Eplus results'!$1:$1048576,ROW(),FALSE)</f>
        <v>0</v>
      </c>
      <c r="AC8164" s="580">
        <f>HLOOKUP("*"&amp;'Output annual'!$AC$2&amp;'Output annual'!$AD$2&amp;"*FangerPMV(Hourly)",'Eplus results'!$1:$1048576,ROW(),FALSE)</f>
        <v>0</v>
      </c>
      <c r="AD8164" s="580">
        <f t="shared" si="671"/>
        <v>5</v>
      </c>
      <c r="AE8164" s="580">
        <f t="shared" si="672"/>
        <v>2.5</v>
      </c>
      <c r="AF8164" s="580">
        <f t="shared" si="673"/>
        <v>2.5</v>
      </c>
      <c r="AG8164" s="580">
        <f t="shared" si="674"/>
        <v>0</v>
      </c>
      <c r="AH8164" s="580">
        <f t="shared" si="675"/>
        <v>0</v>
      </c>
    </row>
    <row r="8165" spans="28:34">
      <c r="AB8165" s="580">
        <f>HLOOKUP("*"&amp;'Output annual'!$AC$2&amp;'Output annual'!$AD$2&amp;"*Zone People Number Of Occupants [](Hourly)",'Eplus results'!$1:$1048576,ROW(),FALSE)</f>
        <v>0</v>
      </c>
      <c r="AC8165" s="580">
        <f>HLOOKUP("*"&amp;'Output annual'!$AC$2&amp;'Output annual'!$AD$2&amp;"*FangerPMV(Hourly)",'Eplus results'!$1:$1048576,ROW(),FALSE)</f>
        <v>0</v>
      </c>
      <c r="AD8165" s="580">
        <f t="shared" si="671"/>
        <v>5</v>
      </c>
      <c r="AE8165" s="580">
        <f t="shared" si="672"/>
        <v>2.5</v>
      </c>
      <c r="AF8165" s="580">
        <f t="shared" si="673"/>
        <v>2.5</v>
      </c>
      <c r="AG8165" s="580">
        <f t="shared" si="674"/>
        <v>0</v>
      </c>
      <c r="AH8165" s="580">
        <f t="shared" si="675"/>
        <v>0</v>
      </c>
    </row>
    <row r="8166" spans="28:34">
      <c r="AB8166" s="580">
        <f>HLOOKUP("*"&amp;'Output annual'!$AC$2&amp;'Output annual'!$AD$2&amp;"*Zone People Number Of Occupants [](Hourly)",'Eplus results'!$1:$1048576,ROW(),FALSE)</f>
        <v>0</v>
      </c>
      <c r="AC8166" s="580">
        <f>HLOOKUP("*"&amp;'Output annual'!$AC$2&amp;'Output annual'!$AD$2&amp;"*FangerPMV(Hourly)",'Eplus results'!$1:$1048576,ROW(),FALSE)</f>
        <v>0</v>
      </c>
      <c r="AD8166" s="580">
        <f t="shared" si="671"/>
        <v>5</v>
      </c>
      <c r="AE8166" s="580">
        <f t="shared" si="672"/>
        <v>2.5</v>
      </c>
      <c r="AF8166" s="580">
        <f t="shared" si="673"/>
        <v>2.5</v>
      </c>
      <c r="AG8166" s="580">
        <f t="shared" si="674"/>
        <v>0</v>
      </c>
      <c r="AH8166" s="580">
        <f t="shared" si="675"/>
        <v>0</v>
      </c>
    </row>
    <row r="8167" spans="28:34">
      <c r="AB8167" s="580">
        <f>HLOOKUP("*"&amp;'Output annual'!$AC$2&amp;'Output annual'!$AD$2&amp;"*Zone People Number Of Occupants [](Hourly)",'Eplus results'!$1:$1048576,ROW(),FALSE)</f>
        <v>0</v>
      </c>
      <c r="AC8167" s="580">
        <f>HLOOKUP("*"&amp;'Output annual'!$AC$2&amp;'Output annual'!$AD$2&amp;"*FangerPMV(Hourly)",'Eplus results'!$1:$1048576,ROW(),FALSE)</f>
        <v>0</v>
      </c>
      <c r="AD8167" s="580">
        <f t="shared" si="671"/>
        <v>5</v>
      </c>
      <c r="AE8167" s="580">
        <f t="shared" si="672"/>
        <v>2.5</v>
      </c>
      <c r="AF8167" s="580">
        <f t="shared" si="673"/>
        <v>2.5</v>
      </c>
      <c r="AG8167" s="580">
        <f t="shared" si="674"/>
        <v>0</v>
      </c>
      <c r="AH8167" s="580">
        <f t="shared" si="675"/>
        <v>0</v>
      </c>
    </row>
    <row r="8168" spans="28:34">
      <c r="AB8168" s="580">
        <f>HLOOKUP("*"&amp;'Output annual'!$AC$2&amp;'Output annual'!$AD$2&amp;"*Zone People Number Of Occupants [](Hourly)",'Eplus results'!$1:$1048576,ROW(),FALSE)</f>
        <v>0</v>
      </c>
      <c r="AC8168" s="580">
        <f>HLOOKUP("*"&amp;'Output annual'!$AC$2&amp;'Output annual'!$AD$2&amp;"*FangerPMV(Hourly)",'Eplus results'!$1:$1048576,ROW(),FALSE)</f>
        <v>0</v>
      </c>
      <c r="AD8168" s="580">
        <f t="shared" si="671"/>
        <v>5</v>
      </c>
      <c r="AE8168" s="580">
        <f t="shared" si="672"/>
        <v>2.5</v>
      </c>
      <c r="AF8168" s="580">
        <f t="shared" si="673"/>
        <v>2.5</v>
      </c>
      <c r="AG8168" s="580">
        <f t="shared" si="674"/>
        <v>0</v>
      </c>
      <c r="AH8168" s="580">
        <f t="shared" si="675"/>
        <v>0</v>
      </c>
    </row>
    <row r="8169" spans="28:34">
      <c r="AB8169" s="580">
        <f>HLOOKUP("*"&amp;'Output annual'!$AC$2&amp;'Output annual'!$AD$2&amp;"*Zone People Number Of Occupants [](Hourly)",'Eplus results'!$1:$1048576,ROW(),FALSE)</f>
        <v>0</v>
      </c>
      <c r="AC8169" s="580">
        <f>HLOOKUP("*"&amp;'Output annual'!$AC$2&amp;'Output annual'!$AD$2&amp;"*FangerPMV(Hourly)",'Eplus results'!$1:$1048576,ROW(),FALSE)</f>
        <v>0</v>
      </c>
      <c r="AD8169" s="580">
        <f t="shared" si="671"/>
        <v>5</v>
      </c>
      <c r="AE8169" s="580">
        <f t="shared" si="672"/>
        <v>2.5</v>
      </c>
      <c r="AF8169" s="580">
        <f t="shared" si="673"/>
        <v>2.5</v>
      </c>
      <c r="AG8169" s="580">
        <f t="shared" si="674"/>
        <v>0</v>
      </c>
      <c r="AH8169" s="580">
        <f t="shared" si="675"/>
        <v>0</v>
      </c>
    </row>
    <row r="8170" spans="28:34">
      <c r="AB8170" s="580">
        <f>HLOOKUP("*"&amp;'Output annual'!$AC$2&amp;'Output annual'!$AD$2&amp;"*Zone People Number Of Occupants [](Hourly)",'Eplus results'!$1:$1048576,ROW(),FALSE)</f>
        <v>0</v>
      </c>
      <c r="AC8170" s="580">
        <f>HLOOKUP("*"&amp;'Output annual'!$AC$2&amp;'Output annual'!$AD$2&amp;"*FangerPMV(Hourly)",'Eplus results'!$1:$1048576,ROW(),FALSE)</f>
        <v>0</v>
      </c>
      <c r="AD8170" s="580">
        <f t="shared" si="671"/>
        <v>5</v>
      </c>
      <c r="AE8170" s="580">
        <f t="shared" si="672"/>
        <v>2.5</v>
      </c>
      <c r="AF8170" s="580">
        <f t="shared" si="673"/>
        <v>2.5</v>
      </c>
      <c r="AG8170" s="580">
        <f t="shared" si="674"/>
        <v>0</v>
      </c>
      <c r="AH8170" s="580">
        <f t="shared" si="675"/>
        <v>0</v>
      </c>
    </row>
    <row r="8171" spans="28:34">
      <c r="AB8171" s="580">
        <f>HLOOKUP("*"&amp;'Output annual'!$AC$2&amp;'Output annual'!$AD$2&amp;"*Zone People Number Of Occupants [](Hourly)",'Eplus results'!$1:$1048576,ROW(),FALSE)</f>
        <v>0</v>
      </c>
      <c r="AC8171" s="580">
        <f>HLOOKUP("*"&amp;'Output annual'!$AC$2&amp;'Output annual'!$AD$2&amp;"*FangerPMV(Hourly)",'Eplus results'!$1:$1048576,ROW(),FALSE)</f>
        <v>0</v>
      </c>
      <c r="AD8171" s="580">
        <f t="shared" si="671"/>
        <v>5</v>
      </c>
      <c r="AE8171" s="580">
        <f t="shared" si="672"/>
        <v>2.5</v>
      </c>
      <c r="AF8171" s="580">
        <f t="shared" si="673"/>
        <v>2.5</v>
      </c>
      <c r="AG8171" s="580">
        <f t="shared" si="674"/>
        <v>0</v>
      </c>
      <c r="AH8171" s="580">
        <f t="shared" si="675"/>
        <v>0</v>
      </c>
    </row>
    <row r="8172" spans="28:34">
      <c r="AB8172" s="580">
        <f>HLOOKUP("*"&amp;'Output annual'!$AC$2&amp;'Output annual'!$AD$2&amp;"*Zone People Number Of Occupants [](Hourly)",'Eplus results'!$1:$1048576,ROW(),FALSE)</f>
        <v>0</v>
      </c>
      <c r="AC8172" s="580">
        <f>HLOOKUP("*"&amp;'Output annual'!$AC$2&amp;'Output annual'!$AD$2&amp;"*FangerPMV(Hourly)",'Eplus results'!$1:$1048576,ROW(),FALSE)</f>
        <v>0</v>
      </c>
      <c r="AD8172" s="580">
        <f t="shared" si="671"/>
        <v>5</v>
      </c>
      <c r="AE8172" s="580">
        <f t="shared" si="672"/>
        <v>2.5</v>
      </c>
      <c r="AF8172" s="580">
        <f t="shared" si="673"/>
        <v>2.5</v>
      </c>
      <c r="AG8172" s="580">
        <f t="shared" si="674"/>
        <v>0</v>
      </c>
      <c r="AH8172" s="580">
        <f t="shared" si="675"/>
        <v>0</v>
      </c>
    </row>
    <row r="8173" spans="28:34">
      <c r="AB8173" s="580">
        <f>HLOOKUP("*"&amp;'Output annual'!$AC$2&amp;'Output annual'!$AD$2&amp;"*Zone People Number Of Occupants [](Hourly)",'Eplus results'!$1:$1048576,ROW(),FALSE)</f>
        <v>0</v>
      </c>
      <c r="AC8173" s="580">
        <f>HLOOKUP("*"&amp;'Output annual'!$AC$2&amp;'Output annual'!$AD$2&amp;"*FangerPMV(Hourly)",'Eplus results'!$1:$1048576,ROW(),FALSE)</f>
        <v>0</v>
      </c>
      <c r="AD8173" s="580">
        <f t="shared" si="671"/>
        <v>5</v>
      </c>
      <c r="AE8173" s="580">
        <f t="shared" si="672"/>
        <v>2.5</v>
      </c>
      <c r="AF8173" s="580">
        <f t="shared" si="673"/>
        <v>2.5</v>
      </c>
      <c r="AG8173" s="580">
        <f t="shared" si="674"/>
        <v>0</v>
      </c>
      <c r="AH8173" s="580">
        <f t="shared" si="675"/>
        <v>0</v>
      </c>
    </row>
    <row r="8174" spans="28:34">
      <c r="AB8174" s="580">
        <f>HLOOKUP("*"&amp;'Output annual'!$AC$2&amp;'Output annual'!$AD$2&amp;"*Zone People Number Of Occupants [](Hourly)",'Eplus results'!$1:$1048576,ROW(),FALSE)</f>
        <v>0</v>
      </c>
      <c r="AC8174" s="580">
        <f>HLOOKUP("*"&amp;'Output annual'!$AC$2&amp;'Output annual'!$AD$2&amp;"*FangerPMV(Hourly)",'Eplus results'!$1:$1048576,ROW(),FALSE)</f>
        <v>0</v>
      </c>
      <c r="AD8174" s="580">
        <f t="shared" si="671"/>
        <v>5</v>
      </c>
      <c r="AE8174" s="580">
        <f t="shared" si="672"/>
        <v>2.5</v>
      </c>
      <c r="AF8174" s="580">
        <f t="shared" si="673"/>
        <v>2.5</v>
      </c>
      <c r="AG8174" s="580">
        <f t="shared" si="674"/>
        <v>0</v>
      </c>
      <c r="AH8174" s="580">
        <f t="shared" si="675"/>
        <v>0</v>
      </c>
    </row>
    <row r="8175" spans="28:34">
      <c r="AB8175" s="580">
        <f>HLOOKUP("*"&amp;'Output annual'!$AC$2&amp;'Output annual'!$AD$2&amp;"*Zone People Number Of Occupants [](Hourly)",'Eplus results'!$1:$1048576,ROW(),FALSE)</f>
        <v>0</v>
      </c>
      <c r="AC8175" s="580">
        <f>HLOOKUP("*"&amp;'Output annual'!$AC$2&amp;'Output annual'!$AD$2&amp;"*FangerPMV(Hourly)",'Eplus results'!$1:$1048576,ROW(),FALSE)</f>
        <v>0</v>
      </c>
      <c r="AD8175" s="580">
        <f t="shared" si="671"/>
        <v>5</v>
      </c>
      <c r="AE8175" s="580">
        <f t="shared" si="672"/>
        <v>2.5</v>
      </c>
      <c r="AF8175" s="580">
        <f t="shared" si="673"/>
        <v>2.5</v>
      </c>
      <c r="AG8175" s="580">
        <f t="shared" si="674"/>
        <v>0</v>
      </c>
      <c r="AH8175" s="580">
        <f t="shared" si="675"/>
        <v>0</v>
      </c>
    </row>
    <row r="8176" spans="28:34">
      <c r="AB8176" s="580">
        <f>HLOOKUP("*"&amp;'Output annual'!$AC$2&amp;'Output annual'!$AD$2&amp;"*Zone People Number Of Occupants [](Hourly)",'Eplus results'!$1:$1048576,ROW(),FALSE)</f>
        <v>0</v>
      </c>
      <c r="AC8176" s="580">
        <f>HLOOKUP("*"&amp;'Output annual'!$AC$2&amp;'Output annual'!$AD$2&amp;"*FangerPMV(Hourly)",'Eplus results'!$1:$1048576,ROW(),FALSE)</f>
        <v>0</v>
      </c>
      <c r="AD8176" s="580">
        <f t="shared" si="671"/>
        <v>5</v>
      </c>
      <c r="AE8176" s="580">
        <f t="shared" si="672"/>
        <v>2.5</v>
      </c>
      <c r="AF8176" s="580">
        <f t="shared" si="673"/>
        <v>2.5</v>
      </c>
      <c r="AG8176" s="580">
        <f t="shared" si="674"/>
        <v>0</v>
      </c>
      <c r="AH8176" s="580">
        <f t="shared" si="675"/>
        <v>0</v>
      </c>
    </row>
    <row r="8177" spans="28:34">
      <c r="AB8177" s="580">
        <f>HLOOKUP("*"&amp;'Output annual'!$AC$2&amp;'Output annual'!$AD$2&amp;"*Zone People Number Of Occupants [](Hourly)",'Eplus results'!$1:$1048576,ROW(),FALSE)</f>
        <v>0</v>
      </c>
      <c r="AC8177" s="580">
        <f>HLOOKUP("*"&amp;'Output annual'!$AC$2&amp;'Output annual'!$AD$2&amp;"*FangerPMV(Hourly)",'Eplus results'!$1:$1048576,ROW(),FALSE)</f>
        <v>0</v>
      </c>
      <c r="AD8177" s="580">
        <f t="shared" si="671"/>
        <v>5</v>
      </c>
      <c r="AE8177" s="580">
        <f t="shared" si="672"/>
        <v>2.5</v>
      </c>
      <c r="AF8177" s="580">
        <f t="shared" si="673"/>
        <v>2.5</v>
      </c>
      <c r="AG8177" s="580">
        <f t="shared" si="674"/>
        <v>0</v>
      </c>
      <c r="AH8177" s="580">
        <f t="shared" si="675"/>
        <v>0</v>
      </c>
    </row>
    <row r="8178" spans="28:34">
      <c r="AB8178" s="580">
        <f>HLOOKUP("*"&amp;'Output annual'!$AC$2&amp;'Output annual'!$AD$2&amp;"*Zone People Number Of Occupants [](Hourly)",'Eplus results'!$1:$1048576,ROW(),FALSE)</f>
        <v>0</v>
      </c>
      <c r="AC8178" s="580">
        <f>HLOOKUP("*"&amp;'Output annual'!$AC$2&amp;'Output annual'!$AD$2&amp;"*FangerPMV(Hourly)",'Eplus results'!$1:$1048576,ROW(),FALSE)</f>
        <v>0</v>
      </c>
      <c r="AD8178" s="580">
        <f t="shared" si="671"/>
        <v>5</v>
      </c>
      <c r="AE8178" s="580">
        <f t="shared" si="672"/>
        <v>2.5</v>
      </c>
      <c r="AF8178" s="580">
        <f t="shared" si="673"/>
        <v>2.5</v>
      </c>
      <c r="AG8178" s="580">
        <f t="shared" si="674"/>
        <v>0</v>
      </c>
      <c r="AH8178" s="580">
        <f t="shared" si="675"/>
        <v>0</v>
      </c>
    </row>
    <row r="8179" spans="28:34">
      <c r="AB8179" s="580">
        <f>HLOOKUP("*"&amp;'Output annual'!$AC$2&amp;'Output annual'!$AD$2&amp;"*Zone People Number Of Occupants [](Hourly)",'Eplus results'!$1:$1048576,ROW(),FALSE)</f>
        <v>0</v>
      </c>
      <c r="AC8179" s="580">
        <f>HLOOKUP("*"&amp;'Output annual'!$AC$2&amp;'Output annual'!$AD$2&amp;"*FangerPMV(Hourly)",'Eplus results'!$1:$1048576,ROW(),FALSE)</f>
        <v>0</v>
      </c>
      <c r="AD8179" s="580">
        <f t="shared" si="671"/>
        <v>5</v>
      </c>
      <c r="AE8179" s="580">
        <f t="shared" si="672"/>
        <v>2.5</v>
      </c>
      <c r="AF8179" s="580">
        <f t="shared" si="673"/>
        <v>2.5</v>
      </c>
      <c r="AG8179" s="580">
        <f t="shared" si="674"/>
        <v>0</v>
      </c>
      <c r="AH8179" s="580">
        <f t="shared" si="675"/>
        <v>0</v>
      </c>
    </row>
    <row r="8180" spans="28:34">
      <c r="AB8180" s="580">
        <f>HLOOKUP("*"&amp;'Output annual'!$AC$2&amp;'Output annual'!$AD$2&amp;"*Zone People Number Of Occupants [](Hourly)",'Eplus results'!$1:$1048576,ROW(),FALSE)</f>
        <v>0</v>
      </c>
      <c r="AC8180" s="580">
        <f>HLOOKUP("*"&amp;'Output annual'!$AC$2&amp;'Output annual'!$AD$2&amp;"*FangerPMV(Hourly)",'Eplus results'!$1:$1048576,ROW(),FALSE)</f>
        <v>0</v>
      </c>
      <c r="AD8180" s="580">
        <f t="shared" si="671"/>
        <v>5</v>
      </c>
      <c r="AE8180" s="580">
        <f t="shared" si="672"/>
        <v>2.5</v>
      </c>
      <c r="AF8180" s="580">
        <f t="shared" si="673"/>
        <v>2.5</v>
      </c>
      <c r="AG8180" s="580">
        <f t="shared" si="674"/>
        <v>0</v>
      </c>
      <c r="AH8180" s="580">
        <f t="shared" si="675"/>
        <v>0</v>
      </c>
    </row>
    <row r="8181" spans="28:34">
      <c r="AB8181" s="580">
        <f>HLOOKUP("*"&amp;'Output annual'!$AC$2&amp;'Output annual'!$AD$2&amp;"*Zone People Number Of Occupants [](Hourly)",'Eplus results'!$1:$1048576,ROW(),FALSE)</f>
        <v>0</v>
      </c>
      <c r="AC8181" s="580">
        <f>HLOOKUP("*"&amp;'Output annual'!$AC$2&amp;'Output annual'!$AD$2&amp;"*FangerPMV(Hourly)",'Eplus results'!$1:$1048576,ROW(),FALSE)</f>
        <v>0</v>
      </c>
      <c r="AD8181" s="580">
        <f t="shared" si="671"/>
        <v>5</v>
      </c>
      <c r="AE8181" s="580">
        <f t="shared" si="672"/>
        <v>2.5</v>
      </c>
      <c r="AF8181" s="580">
        <f t="shared" si="673"/>
        <v>2.5</v>
      </c>
      <c r="AG8181" s="580">
        <f t="shared" si="674"/>
        <v>0</v>
      </c>
      <c r="AH8181" s="580">
        <f t="shared" si="675"/>
        <v>0</v>
      </c>
    </row>
    <row r="8182" spans="28:34">
      <c r="AB8182" s="580">
        <f>HLOOKUP("*"&amp;'Output annual'!$AC$2&amp;'Output annual'!$AD$2&amp;"*Zone People Number Of Occupants [](Hourly)",'Eplus results'!$1:$1048576,ROW(),FALSE)</f>
        <v>0</v>
      </c>
      <c r="AC8182" s="580">
        <f>HLOOKUP("*"&amp;'Output annual'!$AC$2&amp;'Output annual'!$AD$2&amp;"*FangerPMV(Hourly)",'Eplus results'!$1:$1048576,ROW(),FALSE)</f>
        <v>0</v>
      </c>
      <c r="AD8182" s="580">
        <f t="shared" si="671"/>
        <v>5</v>
      </c>
      <c r="AE8182" s="580">
        <f t="shared" si="672"/>
        <v>2.5</v>
      </c>
      <c r="AF8182" s="580">
        <f t="shared" si="673"/>
        <v>2.5</v>
      </c>
      <c r="AG8182" s="580">
        <f t="shared" si="674"/>
        <v>0</v>
      </c>
      <c r="AH8182" s="580">
        <f t="shared" si="675"/>
        <v>0</v>
      </c>
    </row>
    <row r="8183" spans="28:34">
      <c r="AB8183" s="580">
        <f>HLOOKUP("*"&amp;'Output annual'!$AC$2&amp;'Output annual'!$AD$2&amp;"*Zone People Number Of Occupants [](Hourly)",'Eplus results'!$1:$1048576,ROW(),FALSE)</f>
        <v>0</v>
      </c>
      <c r="AC8183" s="580">
        <f>HLOOKUP("*"&amp;'Output annual'!$AC$2&amp;'Output annual'!$AD$2&amp;"*FangerPMV(Hourly)",'Eplus results'!$1:$1048576,ROW(),FALSE)</f>
        <v>0</v>
      </c>
      <c r="AD8183" s="580">
        <f t="shared" si="671"/>
        <v>5</v>
      </c>
      <c r="AE8183" s="580">
        <f t="shared" si="672"/>
        <v>2.5</v>
      </c>
      <c r="AF8183" s="580">
        <f t="shared" si="673"/>
        <v>2.5</v>
      </c>
      <c r="AG8183" s="580">
        <f t="shared" si="674"/>
        <v>0</v>
      </c>
      <c r="AH8183" s="580">
        <f t="shared" si="675"/>
        <v>0</v>
      </c>
    </row>
    <row r="8184" spans="28:34">
      <c r="AB8184" s="580">
        <f>HLOOKUP("*"&amp;'Output annual'!$AC$2&amp;'Output annual'!$AD$2&amp;"*Zone People Number Of Occupants [](Hourly)",'Eplus results'!$1:$1048576,ROW(),FALSE)</f>
        <v>0</v>
      </c>
      <c r="AC8184" s="580">
        <f>HLOOKUP("*"&amp;'Output annual'!$AC$2&amp;'Output annual'!$AD$2&amp;"*FangerPMV(Hourly)",'Eplus results'!$1:$1048576,ROW(),FALSE)</f>
        <v>0</v>
      </c>
      <c r="AD8184" s="580">
        <f t="shared" si="671"/>
        <v>5</v>
      </c>
      <c r="AE8184" s="580">
        <f t="shared" si="672"/>
        <v>2.5</v>
      </c>
      <c r="AF8184" s="580">
        <f t="shared" si="673"/>
        <v>2.5</v>
      </c>
      <c r="AG8184" s="580">
        <f t="shared" si="674"/>
        <v>0</v>
      </c>
      <c r="AH8184" s="580">
        <f t="shared" si="675"/>
        <v>0</v>
      </c>
    </row>
    <row r="8185" spans="28:34">
      <c r="AB8185" s="580">
        <f>HLOOKUP("*"&amp;'Output annual'!$AC$2&amp;'Output annual'!$AD$2&amp;"*Zone People Number Of Occupants [](Hourly)",'Eplus results'!$1:$1048576,ROW(),FALSE)</f>
        <v>0</v>
      </c>
      <c r="AC8185" s="580">
        <f>HLOOKUP("*"&amp;'Output annual'!$AC$2&amp;'Output annual'!$AD$2&amp;"*FangerPMV(Hourly)",'Eplus results'!$1:$1048576,ROW(),FALSE)</f>
        <v>0</v>
      </c>
      <c r="AD8185" s="580">
        <f t="shared" si="671"/>
        <v>5</v>
      </c>
      <c r="AE8185" s="580">
        <f t="shared" si="672"/>
        <v>2.5</v>
      </c>
      <c r="AF8185" s="580">
        <f t="shared" si="673"/>
        <v>2.5</v>
      </c>
      <c r="AG8185" s="580">
        <f t="shared" si="674"/>
        <v>0</v>
      </c>
      <c r="AH8185" s="580">
        <f t="shared" si="675"/>
        <v>0</v>
      </c>
    </row>
    <row r="8186" spans="28:34">
      <c r="AB8186" s="580">
        <f>HLOOKUP("*"&amp;'Output annual'!$AC$2&amp;'Output annual'!$AD$2&amp;"*Zone People Number Of Occupants [](Hourly)",'Eplus results'!$1:$1048576,ROW(),FALSE)</f>
        <v>0</v>
      </c>
      <c r="AC8186" s="580">
        <f>HLOOKUP("*"&amp;'Output annual'!$AC$2&amp;'Output annual'!$AD$2&amp;"*FangerPMV(Hourly)",'Eplus results'!$1:$1048576,ROW(),FALSE)</f>
        <v>0</v>
      </c>
      <c r="AD8186" s="580">
        <f t="shared" si="671"/>
        <v>5</v>
      </c>
      <c r="AE8186" s="580">
        <f t="shared" si="672"/>
        <v>2.5</v>
      </c>
      <c r="AF8186" s="580">
        <f t="shared" si="673"/>
        <v>2.5</v>
      </c>
      <c r="AG8186" s="580">
        <f t="shared" si="674"/>
        <v>0</v>
      </c>
      <c r="AH8186" s="580">
        <f t="shared" si="675"/>
        <v>0</v>
      </c>
    </row>
    <row r="8187" spans="28:34">
      <c r="AB8187" s="580">
        <f>HLOOKUP("*"&amp;'Output annual'!$AC$2&amp;'Output annual'!$AD$2&amp;"*Zone People Number Of Occupants [](Hourly)",'Eplus results'!$1:$1048576,ROW(),FALSE)</f>
        <v>0</v>
      </c>
      <c r="AC8187" s="580">
        <f>HLOOKUP("*"&amp;'Output annual'!$AC$2&amp;'Output annual'!$AD$2&amp;"*FangerPMV(Hourly)",'Eplus results'!$1:$1048576,ROW(),FALSE)</f>
        <v>0</v>
      </c>
      <c r="AD8187" s="580">
        <f t="shared" si="671"/>
        <v>5</v>
      </c>
      <c r="AE8187" s="580">
        <f t="shared" si="672"/>
        <v>2.5</v>
      </c>
      <c r="AF8187" s="580">
        <f t="shared" si="673"/>
        <v>2.5</v>
      </c>
      <c r="AG8187" s="580">
        <f t="shared" si="674"/>
        <v>0</v>
      </c>
      <c r="AH8187" s="580">
        <f t="shared" si="675"/>
        <v>0</v>
      </c>
    </row>
    <row r="8188" spans="28:34">
      <c r="AB8188" s="580">
        <f>HLOOKUP("*"&amp;'Output annual'!$AC$2&amp;'Output annual'!$AD$2&amp;"*Zone People Number Of Occupants [](Hourly)",'Eplus results'!$1:$1048576,ROW(),FALSE)</f>
        <v>0</v>
      </c>
      <c r="AC8188" s="580">
        <f>HLOOKUP("*"&amp;'Output annual'!$AC$2&amp;'Output annual'!$AD$2&amp;"*FangerPMV(Hourly)",'Eplus results'!$1:$1048576,ROW(),FALSE)</f>
        <v>0</v>
      </c>
      <c r="AD8188" s="580">
        <f t="shared" si="671"/>
        <v>5</v>
      </c>
      <c r="AE8188" s="580">
        <f t="shared" si="672"/>
        <v>2.5</v>
      </c>
      <c r="AF8188" s="580">
        <f t="shared" si="673"/>
        <v>2.5</v>
      </c>
      <c r="AG8188" s="580">
        <f t="shared" si="674"/>
        <v>0</v>
      </c>
      <c r="AH8188" s="580">
        <f t="shared" si="675"/>
        <v>0</v>
      </c>
    </row>
    <row r="8189" spans="28:34">
      <c r="AB8189" s="580">
        <f>HLOOKUP("*"&amp;'Output annual'!$AC$2&amp;'Output annual'!$AD$2&amp;"*Zone People Number Of Occupants [](Hourly)",'Eplus results'!$1:$1048576,ROW(),FALSE)</f>
        <v>0</v>
      </c>
      <c r="AC8189" s="580">
        <f>HLOOKUP("*"&amp;'Output annual'!$AC$2&amp;'Output annual'!$AD$2&amp;"*FangerPMV(Hourly)",'Eplus results'!$1:$1048576,ROW(),FALSE)</f>
        <v>0</v>
      </c>
      <c r="AD8189" s="580">
        <f t="shared" si="671"/>
        <v>5</v>
      </c>
      <c r="AE8189" s="580">
        <f t="shared" si="672"/>
        <v>2.5</v>
      </c>
      <c r="AF8189" s="580">
        <f t="shared" si="673"/>
        <v>2.5</v>
      </c>
      <c r="AG8189" s="580">
        <f t="shared" si="674"/>
        <v>0</v>
      </c>
      <c r="AH8189" s="580">
        <f t="shared" si="675"/>
        <v>0</v>
      </c>
    </row>
    <row r="8190" spans="28:34">
      <c r="AB8190" s="580">
        <f>HLOOKUP("*"&amp;'Output annual'!$AC$2&amp;'Output annual'!$AD$2&amp;"*Zone People Number Of Occupants [](Hourly)",'Eplus results'!$1:$1048576,ROW(),FALSE)</f>
        <v>0</v>
      </c>
      <c r="AC8190" s="580">
        <f>HLOOKUP("*"&amp;'Output annual'!$AC$2&amp;'Output annual'!$AD$2&amp;"*FangerPMV(Hourly)",'Eplus results'!$1:$1048576,ROW(),FALSE)</f>
        <v>0</v>
      </c>
      <c r="AD8190" s="580">
        <f t="shared" si="671"/>
        <v>5</v>
      </c>
      <c r="AE8190" s="580">
        <f t="shared" si="672"/>
        <v>2.5</v>
      </c>
      <c r="AF8190" s="580">
        <f t="shared" si="673"/>
        <v>2.5</v>
      </c>
      <c r="AG8190" s="580">
        <f t="shared" si="674"/>
        <v>0</v>
      </c>
      <c r="AH8190" s="580">
        <f t="shared" si="675"/>
        <v>0</v>
      </c>
    </row>
    <row r="8191" spans="28:34">
      <c r="AB8191" s="580">
        <f>HLOOKUP("*"&amp;'Output annual'!$AC$2&amp;'Output annual'!$AD$2&amp;"*Zone People Number Of Occupants [](Hourly)",'Eplus results'!$1:$1048576,ROW(),FALSE)</f>
        <v>0</v>
      </c>
      <c r="AC8191" s="580">
        <f>HLOOKUP("*"&amp;'Output annual'!$AC$2&amp;'Output annual'!$AD$2&amp;"*FangerPMV(Hourly)",'Eplus results'!$1:$1048576,ROW(),FALSE)</f>
        <v>0</v>
      </c>
      <c r="AD8191" s="580">
        <f t="shared" si="671"/>
        <v>5</v>
      </c>
      <c r="AE8191" s="580">
        <f t="shared" si="672"/>
        <v>2.5</v>
      </c>
      <c r="AF8191" s="580">
        <f t="shared" si="673"/>
        <v>2.5</v>
      </c>
      <c r="AG8191" s="580">
        <f t="shared" si="674"/>
        <v>0</v>
      </c>
      <c r="AH8191" s="580">
        <f t="shared" si="675"/>
        <v>0</v>
      </c>
    </row>
    <row r="8192" spans="28:34">
      <c r="AB8192" s="580">
        <f>HLOOKUP("*"&amp;'Output annual'!$AC$2&amp;'Output annual'!$AD$2&amp;"*Zone People Number Of Occupants [](Hourly)",'Eplus results'!$1:$1048576,ROW(),FALSE)</f>
        <v>0</v>
      </c>
      <c r="AC8192" s="580">
        <f>HLOOKUP("*"&amp;'Output annual'!$AC$2&amp;'Output annual'!$AD$2&amp;"*FangerPMV(Hourly)",'Eplus results'!$1:$1048576,ROW(),FALSE)</f>
        <v>0</v>
      </c>
      <c r="AD8192" s="580">
        <f t="shared" si="671"/>
        <v>5</v>
      </c>
      <c r="AE8192" s="580">
        <f t="shared" si="672"/>
        <v>2.5</v>
      </c>
      <c r="AF8192" s="580">
        <f t="shared" si="673"/>
        <v>2.5</v>
      </c>
      <c r="AG8192" s="580">
        <f t="shared" si="674"/>
        <v>0</v>
      </c>
      <c r="AH8192" s="580">
        <f t="shared" si="675"/>
        <v>0</v>
      </c>
    </row>
    <row r="8193" spans="28:34">
      <c r="AB8193" s="580">
        <f>HLOOKUP("*"&amp;'Output annual'!$AC$2&amp;'Output annual'!$AD$2&amp;"*Zone People Number Of Occupants [](Hourly)",'Eplus results'!$1:$1048576,ROW(),FALSE)</f>
        <v>0</v>
      </c>
      <c r="AC8193" s="580">
        <f>HLOOKUP("*"&amp;'Output annual'!$AC$2&amp;'Output annual'!$AD$2&amp;"*FangerPMV(Hourly)",'Eplus results'!$1:$1048576,ROW(),FALSE)</f>
        <v>0</v>
      </c>
      <c r="AD8193" s="580">
        <f t="shared" si="671"/>
        <v>5</v>
      </c>
      <c r="AE8193" s="580">
        <f t="shared" si="672"/>
        <v>2.5</v>
      </c>
      <c r="AF8193" s="580">
        <f t="shared" si="673"/>
        <v>2.5</v>
      </c>
      <c r="AG8193" s="580">
        <f t="shared" si="674"/>
        <v>0</v>
      </c>
      <c r="AH8193" s="580">
        <f t="shared" si="675"/>
        <v>0</v>
      </c>
    </row>
    <row r="8194" spans="28:34">
      <c r="AB8194" s="580">
        <f>HLOOKUP("*"&amp;'Output annual'!$AC$2&amp;'Output annual'!$AD$2&amp;"*Zone People Number Of Occupants [](Hourly)",'Eplus results'!$1:$1048576,ROW(),FALSE)</f>
        <v>0</v>
      </c>
      <c r="AC8194" s="580">
        <f>HLOOKUP("*"&amp;'Output annual'!$AC$2&amp;'Output annual'!$AD$2&amp;"*FangerPMV(Hourly)",'Eplus results'!$1:$1048576,ROW(),FALSE)</f>
        <v>0</v>
      </c>
      <c r="AD8194" s="580">
        <f t="shared" si="671"/>
        <v>5</v>
      </c>
      <c r="AE8194" s="580">
        <f t="shared" si="672"/>
        <v>2.5</v>
      </c>
      <c r="AF8194" s="580">
        <f t="shared" si="673"/>
        <v>2.5</v>
      </c>
      <c r="AG8194" s="580">
        <f t="shared" si="674"/>
        <v>0</v>
      </c>
      <c r="AH8194" s="580">
        <f t="shared" si="675"/>
        <v>0</v>
      </c>
    </row>
    <row r="8195" spans="28:34">
      <c r="AB8195" s="580">
        <f>HLOOKUP("*"&amp;'Output annual'!$AC$2&amp;'Output annual'!$AD$2&amp;"*Zone People Number Of Occupants [](Hourly)",'Eplus results'!$1:$1048576,ROW(),FALSE)</f>
        <v>0</v>
      </c>
      <c r="AC8195" s="580">
        <f>HLOOKUP("*"&amp;'Output annual'!$AC$2&amp;'Output annual'!$AD$2&amp;"*FangerPMV(Hourly)",'Eplus results'!$1:$1048576,ROW(),FALSE)</f>
        <v>0</v>
      </c>
      <c r="AD8195" s="580">
        <f t="shared" ref="AD8195:AD8258" si="676">100-95*EXP(-0.03353*AC8195^4-0.2179*AC8195^2)</f>
        <v>5</v>
      </c>
      <c r="AE8195" s="580">
        <f t="shared" ref="AE8195:AE8258" si="677">AD8195*(1/(1+EXP(-6.3*$AC8195)))</f>
        <v>2.5</v>
      </c>
      <c r="AF8195" s="580">
        <f t="shared" ref="AF8195:AF8258" si="678">(AD8195-AE8195)</f>
        <v>2.5</v>
      </c>
      <c r="AG8195" s="580">
        <f t="shared" ref="AG8195:AG8258" si="679">AE8195*AB8195</f>
        <v>0</v>
      </c>
      <c r="AH8195" s="580">
        <f t="shared" ref="AH8195:AH8258" si="680">AF8195*AB8195</f>
        <v>0</v>
      </c>
    </row>
    <row r="8196" spans="28:34">
      <c r="AB8196" s="580">
        <f>HLOOKUP("*"&amp;'Output annual'!$AC$2&amp;'Output annual'!$AD$2&amp;"*Zone People Number Of Occupants [](Hourly)",'Eplus results'!$1:$1048576,ROW(),FALSE)</f>
        <v>0</v>
      </c>
      <c r="AC8196" s="580">
        <f>HLOOKUP("*"&amp;'Output annual'!$AC$2&amp;'Output annual'!$AD$2&amp;"*FangerPMV(Hourly)",'Eplus results'!$1:$1048576,ROW(),FALSE)</f>
        <v>0</v>
      </c>
      <c r="AD8196" s="580">
        <f t="shared" si="676"/>
        <v>5</v>
      </c>
      <c r="AE8196" s="580">
        <f t="shared" si="677"/>
        <v>2.5</v>
      </c>
      <c r="AF8196" s="580">
        <f t="shared" si="678"/>
        <v>2.5</v>
      </c>
      <c r="AG8196" s="580">
        <f t="shared" si="679"/>
        <v>0</v>
      </c>
      <c r="AH8196" s="580">
        <f t="shared" si="680"/>
        <v>0</v>
      </c>
    </row>
    <row r="8197" spans="28:34">
      <c r="AB8197" s="580">
        <f>HLOOKUP("*"&amp;'Output annual'!$AC$2&amp;'Output annual'!$AD$2&amp;"*Zone People Number Of Occupants [](Hourly)",'Eplus results'!$1:$1048576,ROW(),FALSE)</f>
        <v>0</v>
      </c>
      <c r="AC8197" s="580">
        <f>HLOOKUP("*"&amp;'Output annual'!$AC$2&amp;'Output annual'!$AD$2&amp;"*FangerPMV(Hourly)",'Eplus results'!$1:$1048576,ROW(),FALSE)</f>
        <v>0</v>
      </c>
      <c r="AD8197" s="580">
        <f t="shared" si="676"/>
        <v>5</v>
      </c>
      <c r="AE8197" s="580">
        <f t="shared" si="677"/>
        <v>2.5</v>
      </c>
      <c r="AF8197" s="580">
        <f t="shared" si="678"/>
        <v>2.5</v>
      </c>
      <c r="AG8197" s="580">
        <f t="shared" si="679"/>
        <v>0</v>
      </c>
      <c r="AH8197" s="580">
        <f t="shared" si="680"/>
        <v>0</v>
      </c>
    </row>
    <row r="8198" spans="28:34">
      <c r="AB8198" s="580">
        <f>HLOOKUP("*"&amp;'Output annual'!$AC$2&amp;'Output annual'!$AD$2&amp;"*Zone People Number Of Occupants [](Hourly)",'Eplus results'!$1:$1048576,ROW(),FALSE)</f>
        <v>0</v>
      </c>
      <c r="AC8198" s="580">
        <f>HLOOKUP("*"&amp;'Output annual'!$AC$2&amp;'Output annual'!$AD$2&amp;"*FangerPMV(Hourly)",'Eplus results'!$1:$1048576,ROW(),FALSE)</f>
        <v>0</v>
      </c>
      <c r="AD8198" s="580">
        <f t="shared" si="676"/>
        <v>5</v>
      </c>
      <c r="AE8198" s="580">
        <f t="shared" si="677"/>
        <v>2.5</v>
      </c>
      <c r="AF8198" s="580">
        <f t="shared" si="678"/>
        <v>2.5</v>
      </c>
      <c r="AG8198" s="580">
        <f t="shared" si="679"/>
        <v>0</v>
      </c>
      <c r="AH8198" s="580">
        <f t="shared" si="680"/>
        <v>0</v>
      </c>
    </row>
    <row r="8199" spans="28:34">
      <c r="AB8199" s="580">
        <f>HLOOKUP("*"&amp;'Output annual'!$AC$2&amp;'Output annual'!$AD$2&amp;"*Zone People Number Of Occupants [](Hourly)",'Eplus results'!$1:$1048576,ROW(),FALSE)</f>
        <v>0</v>
      </c>
      <c r="AC8199" s="580">
        <f>HLOOKUP("*"&amp;'Output annual'!$AC$2&amp;'Output annual'!$AD$2&amp;"*FangerPMV(Hourly)",'Eplus results'!$1:$1048576,ROW(),FALSE)</f>
        <v>0</v>
      </c>
      <c r="AD8199" s="580">
        <f t="shared" si="676"/>
        <v>5</v>
      </c>
      <c r="AE8199" s="580">
        <f t="shared" si="677"/>
        <v>2.5</v>
      </c>
      <c r="AF8199" s="580">
        <f t="shared" si="678"/>
        <v>2.5</v>
      </c>
      <c r="AG8199" s="580">
        <f t="shared" si="679"/>
        <v>0</v>
      </c>
      <c r="AH8199" s="580">
        <f t="shared" si="680"/>
        <v>0</v>
      </c>
    </row>
    <row r="8200" spans="28:34">
      <c r="AB8200" s="580">
        <f>HLOOKUP("*"&amp;'Output annual'!$AC$2&amp;'Output annual'!$AD$2&amp;"*Zone People Number Of Occupants [](Hourly)",'Eplus results'!$1:$1048576,ROW(),FALSE)</f>
        <v>0</v>
      </c>
      <c r="AC8200" s="580">
        <f>HLOOKUP("*"&amp;'Output annual'!$AC$2&amp;'Output annual'!$AD$2&amp;"*FangerPMV(Hourly)",'Eplus results'!$1:$1048576,ROW(),FALSE)</f>
        <v>0</v>
      </c>
      <c r="AD8200" s="580">
        <f t="shared" si="676"/>
        <v>5</v>
      </c>
      <c r="AE8200" s="580">
        <f t="shared" si="677"/>
        <v>2.5</v>
      </c>
      <c r="AF8200" s="580">
        <f t="shared" si="678"/>
        <v>2.5</v>
      </c>
      <c r="AG8200" s="580">
        <f t="shared" si="679"/>
        <v>0</v>
      </c>
      <c r="AH8200" s="580">
        <f t="shared" si="680"/>
        <v>0</v>
      </c>
    </row>
    <row r="8201" spans="28:34">
      <c r="AB8201" s="580">
        <f>HLOOKUP("*"&amp;'Output annual'!$AC$2&amp;'Output annual'!$AD$2&amp;"*Zone People Number Of Occupants [](Hourly)",'Eplus results'!$1:$1048576,ROW(),FALSE)</f>
        <v>0</v>
      </c>
      <c r="AC8201" s="580">
        <f>HLOOKUP("*"&amp;'Output annual'!$AC$2&amp;'Output annual'!$AD$2&amp;"*FangerPMV(Hourly)",'Eplus results'!$1:$1048576,ROW(),FALSE)</f>
        <v>0</v>
      </c>
      <c r="AD8201" s="580">
        <f t="shared" si="676"/>
        <v>5</v>
      </c>
      <c r="AE8201" s="580">
        <f t="shared" si="677"/>
        <v>2.5</v>
      </c>
      <c r="AF8201" s="580">
        <f t="shared" si="678"/>
        <v>2.5</v>
      </c>
      <c r="AG8201" s="580">
        <f t="shared" si="679"/>
        <v>0</v>
      </c>
      <c r="AH8201" s="580">
        <f t="shared" si="680"/>
        <v>0</v>
      </c>
    </row>
    <row r="8202" spans="28:34">
      <c r="AB8202" s="580">
        <f>HLOOKUP("*"&amp;'Output annual'!$AC$2&amp;'Output annual'!$AD$2&amp;"*Zone People Number Of Occupants [](Hourly)",'Eplus results'!$1:$1048576,ROW(),FALSE)</f>
        <v>0</v>
      </c>
      <c r="AC8202" s="580">
        <f>HLOOKUP("*"&amp;'Output annual'!$AC$2&amp;'Output annual'!$AD$2&amp;"*FangerPMV(Hourly)",'Eplus results'!$1:$1048576,ROW(),FALSE)</f>
        <v>0</v>
      </c>
      <c r="AD8202" s="580">
        <f t="shared" si="676"/>
        <v>5</v>
      </c>
      <c r="AE8202" s="580">
        <f t="shared" si="677"/>
        <v>2.5</v>
      </c>
      <c r="AF8202" s="580">
        <f t="shared" si="678"/>
        <v>2.5</v>
      </c>
      <c r="AG8202" s="580">
        <f t="shared" si="679"/>
        <v>0</v>
      </c>
      <c r="AH8202" s="580">
        <f t="shared" si="680"/>
        <v>0</v>
      </c>
    </row>
    <row r="8203" spans="28:34">
      <c r="AB8203" s="580">
        <f>HLOOKUP("*"&amp;'Output annual'!$AC$2&amp;'Output annual'!$AD$2&amp;"*Zone People Number Of Occupants [](Hourly)",'Eplus results'!$1:$1048576,ROW(),FALSE)</f>
        <v>0</v>
      </c>
      <c r="AC8203" s="580">
        <f>HLOOKUP("*"&amp;'Output annual'!$AC$2&amp;'Output annual'!$AD$2&amp;"*FangerPMV(Hourly)",'Eplus results'!$1:$1048576,ROW(),FALSE)</f>
        <v>0</v>
      </c>
      <c r="AD8203" s="580">
        <f t="shared" si="676"/>
        <v>5</v>
      </c>
      <c r="AE8203" s="580">
        <f t="shared" si="677"/>
        <v>2.5</v>
      </c>
      <c r="AF8203" s="580">
        <f t="shared" si="678"/>
        <v>2.5</v>
      </c>
      <c r="AG8203" s="580">
        <f t="shared" si="679"/>
        <v>0</v>
      </c>
      <c r="AH8203" s="580">
        <f t="shared" si="680"/>
        <v>0</v>
      </c>
    </row>
    <row r="8204" spans="28:34">
      <c r="AB8204" s="580">
        <f>HLOOKUP("*"&amp;'Output annual'!$AC$2&amp;'Output annual'!$AD$2&amp;"*Zone People Number Of Occupants [](Hourly)",'Eplus results'!$1:$1048576,ROW(),FALSE)</f>
        <v>0</v>
      </c>
      <c r="AC8204" s="580">
        <f>HLOOKUP("*"&amp;'Output annual'!$AC$2&amp;'Output annual'!$AD$2&amp;"*FangerPMV(Hourly)",'Eplus results'!$1:$1048576,ROW(),FALSE)</f>
        <v>0</v>
      </c>
      <c r="AD8204" s="580">
        <f t="shared" si="676"/>
        <v>5</v>
      </c>
      <c r="AE8204" s="580">
        <f t="shared" si="677"/>
        <v>2.5</v>
      </c>
      <c r="AF8204" s="580">
        <f t="shared" si="678"/>
        <v>2.5</v>
      </c>
      <c r="AG8204" s="580">
        <f t="shared" si="679"/>
        <v>0</v>
      </c>
      <c r="AH8204" s="580">
        <f t="shared" si="680"/>
        <v>0</v>
      </c>
    </row>
    <row r="8205" spans="28:34">
      <c r="AB8205" s="580">
        <f>HLOOKUP("*"&amp;'Output annual'!$AC$2&amp;'Output annual'!$AD$2&amp;"*Zone People Number Of Occupants [](Hourly)",'Eplus results'!$1:$1048576,ROW(),FALSE)</f>
        <v>0</v>
      </c>
      <c r="AC8205" s="580">
        <f>HLOOKUP("*"&amp;'Output annual'!$AC$2&amp;'Output annual'!$AD$2&amp;"*FangerPMV(Hourly)",'Eplus results'!$1:$1048576,ROW(),FALSE)</f>
        <v>0</v>
      </c>
      <c r="AD8205" s="580">
        <f t="shared" si="676"/>
        <v>5</v>
      </c>
      <c r="AE8205" s="580">
        <f t="shared" si="677"/>
        <v>2.5</v>
      </c>
      <c r="AF8205" s="580">
        <f t="shared" si="678"/>
        <v>2.5</v>
      </c>
      <c r="AG8205" s="580">
        <f t="shared" si="679"/>
        <v>0</v>
      </c>
      <c r="AH8205" s="580">
        <f t="shared" si="680"/>
        <v>0</v>
      </c>
    </row>
    <row r="8206" spans="28:34">
      <c r="AB8206" s="580">
        <f>HLOOKUP("*"&amp;'Output annual'!$AC$2&amp;'Output annual'!$AD$2&amp;"*Zone People Number Of Occupants [](Hourly)",'Eplus results'!$1:$1048576,ROW(),FALSE)</f>
        <v>0</v>
      </c>
      <c r="AC8206" s="580">
        <f>HLOOKUP("*"&amp;'Output annual'!$AC$2&amp;'Output annual'!$AD$2&amp;"*FangerPMV(Hourly)",'Eplus results'!$1:$1048576,ROW(),FALSE)</f>
        <v>0</v>
      </c>
      <c r="AD8206" s="580">
        <f t="shared" si="676"/>
        <v>5</v>
      </c>
      <c r="AE8206" s="580">
        <f t="shared" si="677"/>
        <v>2.5</v>
      </c>
      <c r="AF8206" s="580">
        <f t="shared" si="678"/>
        <v>2.5</v>
      </c>
      <c r="AG8206" s="580">
        <f t="shared" si="679"/>
        <v>0</v>
      </c>
      <c r="AH8206" s="580">
        <f t="shared" si="680"/>
        <v>0</v>
      </c>
    </row>
    <row r="8207" spans="28:34">
      <c r="AB8207" s="580">
        <f>HLOOKUP("*"&amp;'Output annual'!$AC$2&amp;'Output annual'!$AD$2&amp;"*Zone People Number Of Occupants [](Hourly)",'Eplus results'!$1:$1048576,ROW(),FALSE)</f>
        <v>0</v>
      </c>
      <c r="AC8207" s="580">
        <f>HLOOKUP("*"&amp;'Output annual'!$AC$2&amp;'Output annual'!$AD$2&amp;"*FangerPMV(Hourly)",'Eplus results'!$1:$1048576,ROW(),FALSE)</f>
        <v>0</v>
      </c>
      <c r="AD8207" s="580">
        <f t="shared" si="676"/>
        <v>5</v>
      </c>
      <c r="AE8207" s="580">
        <f t="shared" si="677"/>
        <v>2.5</v>
      </c>
      <c r="AF8207" s="580">
        <f t="shared" si="678"/>
        <v>2.5</v>
      </c>
      <c r="AG8207" s="580">
        <f t="shared" si="679"/>
        <v>0</v>
      </c>
      <c r="AH8207" s="580">
        <f t="shared" si="680"/>
        <v>0</v>
      </c>
    </row>
    <row r="8208" spans="28:34">
      <c r="AB8208" s="580">
        <f>HLOOKUP("*"&amp;'Output annual'!$AC$2&amp;'Output annual'!$AD$2&amp;"*Zone People Number Of Occupants [](Hourly)",'Eplus results'!$1:$1048576,ROW(),FALSE)</f>
        <v>0</v>
      </c>
      <c r="AC8208" s="580">
        <f>HLOOKUP("*"&amp;'Output annual'!$AC$2&amp;'Output annual'!$AD$2&amp;"*FangerPMV(Hourly)",'Eplus results'!$1:$1048576,ROW(),FALSE)</f>
        <v>0</v>
      </c>
      <c r="AD8208" s="580">
        <f t="shared" si="676"/>
        <v>5</v>
      </c>
      <c r="AE8208" s="580">
        <f t="shared" si="677"/>
        <v>2.5</v>
      </c>
      <c r="AF8208" s="580">
        <f t="shared" si="678"/>
        <v>2.5</v>
      </c>
      <c r="AG8208" s="580">
        <f t="shared" si="679"/>
        <v>0</v>
      </c>
      <c r="AH8208" s="580">
        <f t="shared" si="680"/>
        <v>0</v>
      </c>
    </row>
    <row r="8209" spans="28:34">
      <c r="AB8209" s="580">
        <f>HLOOKUP("*"&amp;'Output annual'!$AC$2&amp;'Output annual'!$AD$2&amp;"*Zone People Number Of Occupants [](Hourly)",'Eplus results'!$1:$1048576,ROW(),FALSE)</f>
        <v>0</v>
      </c>
      <c r="AC8209" s="580">
        <f>HLOOKUP("*"&amp;'Output annual'!$AC$2&amp;'Output annual'!$AD$2&amp;"*FangerPMV(Hourly)",'Eplus results'!$1:$1048576,ROW(),FALSE)</f>
        <v>0</v>
      </c>
      <c r="AD8209" s="580">
        <f t="shared" si="676"/>
        <v>5</v>
      </c>
      <c r="AE8209" s="580">
        <f t="shared" si="677"/>
        <v>2.5</v>
      </c>
      <c r="AF8209" s="580">
        <f t="shared" si="678"/>
        <v>2.5</v>
      </c>
      <c r="AG8209" s="580">
        <f t="shared" si="679"/>
        <v>0</v>
      </c>
      <c r="AH8209" s="580">
        <f t="shared" si="680"/>
        <v>0</v>
      </c>
    </row>
    <row r="8210" spans="28:34">
      <c r="AB8210" s="580">
        <f>HLOOKUP("*"&amp;'Output annual'!$AC$2&amp;'Output annual'!$AD$2&amp;"*Zone People Number Of Occupants [](Hourly)",'Eplus results'!$1:$1048576,ROW(),FALSE)</f>
        <v>0</v>
      </c>
      <c r="AC8210" s="580">
        <f>HLOOKUP("*"&amp;'Output annual'!$AC$2&amp;'Output annual'!$AD$2&amp;"*FangerPMV(Hourly)",'Eplus results'!$1:$1048576,ROW(),FALSE)</f>
        <v>0</v>
      </c>
      <c r="AD8210" s="580">
        <f t="shared" si="676"/>
        <v>5</v>
      </c>
      <c r="AE8210" s="580">
        <f t="shared" si="677"/>
        <v>2.5</v>
      </c>
      <c r="AF8210" s="580">
        <f t="shared" si="678"/>
        <v>2.5</v>
      </c>
      <c r="AG8210" s="580">
        <f t="shared" si="679"/>
        <v>0</v>
      </c>
      <c r="AH8210" s="580">
        <f t="shared" si="680"/>
        <v>0</v>
      </c>
    </row>
    <row r="8211" spans="28:34">
      <c r="AB8211" s="580">
        <f>HLOOKUP("*"&amp;'Output annual'!$AC$2&amp;'Output annual'!$AD$2&amp;"*Zone People Number Of Occupants [](Hourly)",'Eplus results'!$1:$1048576,ROW(),FALSE)</f>
        <v>0</v>
      </c>
      <c r="AC8211" s="580">
        <f>HLOOKUP("*"&amp;'Output annual'!$AC$2&amp;'Output annual'!$AD$2&amp;"*FangerPMV(Hourly)",'Eplus results'!$1:$1048576,ROW(),FALSE)</f>
        <v>0</v>
      </c>
      <c r="AD8211" s="580">
        <f t="shared" si="676"/>
        <v>5</v>
      </c>
      <c r="AE8211" s="580">
        <f t="shared" si="677"/>
        <v>2.5</v>
      </c>
      <c r="AF8211" s="580">
        <f t="shared" si="678"/>
        <v>2.5</v>
      </c>
      <c r="AG8211" s="580">
        <f t="shared" si="679"/>
        <v>0</v>
      </c>
      <c r="AH8211" s="580">
        <f t="shared" si="680"/>
        <v>0</v>
      </c>
    </row>
    <row r="8212" spans="28:34">
      <c r="AB8212" s="580">
        <f>HLOOKUP("*"&amp;'Output annual'!$AC$2&amp;'Output annual'!$AD$2&amp;"*Zone People Number Of Occupants [](Hourly)",'Eplus results'!$1:$1048576,ROW(),FALSE)</f>
        <v>0</v>
      </c>
      <c r="AC8212" s="580">
        <f>HLOOKUP("*"&amp;'Output annual'!$AC$2&amp;'Output annual'!$AD$2&amp;"*FangerPMV(Hourly)",'Eplus results'!$1:$1048576,ROW(),FALSE)</f>
        <v>0</v>
      </c>
      <c r="AD8212" s="580">
        <f t="shared" si="676"/>
        <v>5</v>
      </c>
      <c r="AE8212" s="580">
        <f t="shared" si="677"/>
        <v>2.5</v>
      </c>
      <c r="AF8212" s="580">
        <f t="shared" si="678"/>
        <v>2.5</v>
      </c>
      <c r="AG8212" s="580">
        <f t="shared" si="679"/>
        <v>0</v>
      </c>
      <c r="AH8212" s="580">
        <f t="shared" si="680"/>
        <v>0</v>
      </c>
    </row>
    <row r="8213" spans="28:34">
      <c r="AB8213" s="580">
        <f>HLOOKUP("*"&amp;'Output annual'!$AC$2&amp;'Output annual'!$AD$2&amp;"*Zone People Number Of Occupants [](Hourly)",'Eplus results'!$1:$1048576,ROW(),FALSE)</f>
        <v>0</v>
      </c>
      <c r="AC8213" s="580">
        <f>HLOOKUP("*"&amp;'Output annual'!$AC$2&amp;'Output annual'!$AD$2&amp;"*FangerPMV(Hourly)",'Eplus results'!$1:$1048576,ROW(),FALSE)</f>
        <v>0</v>
      </c>
      <c r="AD8213" s="580">
        <f t="shared" si="676"/>
        <v>5</v>
      </c>
      <c r="AE8213" s="580">
        <f t="shared" si="677"/>
        <v>2.5</v>
      </c>
      <c r="AF8213" s="580">
        <f t="shared" si="678"/>
        <v>2.5</v>
      </c>
      <c r="AG8213" s="580">
        <f t="shared" si="679"/>
        <v>0</v>
      </c>
      <c r="AH8213" s="580">
        <f t="shared" si="680"/>
        <v>0</v>
      </c>
    </row>
    <row r="8214" spans="28:34">
      <c r="AB8214" s="580">
        <f>HLOOKUP("*"&amp;'Output annual'!$AC$2&amp;'Output annual'!$AD$2&amp;"*Zone People Number Of Occupants [](Hourly)",'Eplus results'!$1:$1048576,ROW(),FALSE)</f>
        <v>0</v>
      </c>
      <c r="AC8214" s="580">
        <f>HLOOKUP("*"&amp;'Output annual'!$AC$2&amp;'Output annual'!$AD$2&amp;"*FangerPMV(Hourly)",'Eplus results'!$1:$1048576,ROW(),FALSE)</f>
        <v>0</v>
      </c>
      <c r="AD8214" s="580">
        <f t="shared" si="676"/>
        <v>5</v>
      </c>
      <c r="AE8214" s="580">
        <f t="shared" si="677"/>
        <v>2.5</v>
      </c>
      <c r="AF8214" s="580">
        <f t="shared" si="678"/>
        <v>2.5</v>
      </c>
      <c r="AG8214" s="580">
        <f t="shared" si="679"/>
        <v>0</v>
      </c>
      <c r="AH8214" s="580">
        <f t="shared" si="680"/>
        <v>0</v>
      </c>
    </row>
    <row r="8215" spans="28:34">
      <c r="AB8215" s="580">
        <f>HLOOKUP("*"&amp;'Output annual'!$AC$2&amp;'Output annual'!$AD$2&amp;"*Zone People Number Of Occupants [](Hourly)",'Eplus results'!$1:$1048576,ROW(),FALSE)</f>
        <v>0</v>
      </c>
      <c r="AC8215" s="580">
        <f>HLOOKUP("*"&amp;'Output annual'!$AC$2&amp;'Output annual'!$AD$2&amp;"*FangerPMV(Hourly)",'Eplus results'!$1:$1048576,ROW(),FALSE)</f>
        <v>0</v>
      </c>
      <c r="AD8215" s="580">
        <f t="shared" si="676"/>
        <v>5</v>
      </c>
      <c r="AE8215" s="580">
        <f t="shared" si="677"/>
        <v>2.5</v>
      </c>
      <c r="AF8215" s="580">
        <f t="shared" si="678"/>
        <v>2.5</v>
      </c>
      <c r="AG8215" s="580">
        <f t="shared" si="679"/>
        <v>0</v>
      </c>
      <c r="AH8215" s="580">
        <f t="shared" si="680"/>
        <v>0</v>
      </c>
    </row>
    <row r="8216" spans="28:34">
      <c r="AB8216" s="580">
        <f>HLOOKUP("*"&amp;'Output annual'!$AC$2&amp;'Output annual'!$AD$2&amp;"*Zone People Number Of Occupants [](Hourly)",'Eplus results'!$1:$1048576,ROW(),FALSE)</f>
        <v>0</v>
      </c>
      <c r="AC8216" s="580">
        <f>HLOOKUP("*"&amp;'Output annual'!$AC$2&amp;'Output annual'!$AD$2&amp;"*FangerPMV(Hourly)",'Eplus results'!$1:$1048576,ROW(),FALSE)</f>
        <v>0</v>
      </c>
      <c r="AD8216" s="580">
        <f t="shared" si="676"/>
        <v>5</v>
      </c>
      <c r="AE8216" s="580">
        <f t="shared" si="677"/>
        <v>2.5</v>
      </c>
      <c r="AF8216" s="580">
        <f t="shared" si="678"/>
        <v>2.5</v>
      </c>
      <c r="AG8216" s="580">
        <f t="shared" si="679"/>
        <v>0</v>
      </c>
      <c r="AH8216" s="580">
        <f t="shared" si="680"/>
        <v>0</v>
      </c>
    </row>
    <row r="8217" spans="28:34">
      <c r="AB8217" s="580">
        <f>HLOOKUP("*"&amp;'Output annual'!$AC$2&amp;'Output annual'!$AD$2&amp;"*Zone People Number Of Occupants [](Hourly)",'Eplus results'!$1:$1048576,ROW(),FALSE)</f>
        <v>0</v>
      </c>
      <c r="AC8217" s="580">
        <f>HLOOKUP("*"&amp;'Output annual'!$AC$2&amp;'Output annual'!$AD$2&amp;"*FangerPMV(Hourly)",'Eplus results'!$1:$1048576,ROW(),FALSE)</f>
        <v>0</v>
      </c>
      <c r="AD8217" s="580">
        <f t="shared" si="676"/>
        <v>5</v>
      </c>
      <c r="AE8217" s="580">
        <f t="shared" si="677"/>
        <v>2.5</v>
      </c>
      <c r="AF8217" s="580">
        <f t="shared" si="678"/>
        <v>2.5</v>
      </c>
      <c r="AG8217" s="580">
        <f t="shared" si="679"/>
        <v>0</v>
      </c>
      <c r="AH8217" s="580">
        <f t="shared" si="680"/>
        <v>0</v>
      </c>
    </row>
    <row r="8218" spans="28:34">
      <c r="AB8218" s="580">
        <f>HLOOKUP("*"&amp;'Output annual'!$AC$2&amp;'Output annual'!$AD$2&amp;"*Zone People Number Of Occupants [](Hourly)",'Eplus results'!$1:$1048576,ROW(),FALSE)</f>
        <v>0</v>
      </c>
      <c r="AC8218" s="580">
        <f>HLOOKUP("*"&amp;'Output annual'!$AC$2&amp;'Output annual'!$AD$2&amp;"*FangerPMV(Hourly)",'Eplus results'!$1:$1048576,ROW(),FALSE)</f>
        <v>0</v>
      </c>
      <c r="AD8218" s="580">
        <f t="shared" si="676"/>
        <v>5</v>
      </c>
      <c r="AE8218" s="580">
        <f t="shared" si="677"/>
        <v>2.5</v>
      </c>
      <c r="AF8218" s="580">
        <f t="shared" si="678"/>
        <v>2.5</v>
      </c>
      <c r="AG8218" s="580">
        <f t="shared" si="679"/>
        <v>0</v>
      </c>
      <c r="AH8218" s="580">
        <f t="shared" si="680"/>
        <v>0</v>
      </c>
    </row>
    <row r="8219" spans="28:34">
      <c r="AB8219" s="580">
        <f>HLOOKUP("*"&amp;'Output annual'!$AC$2&amp;'Output annual'!$AD$2&amp;"*Zone People Number Of Occupants [](Hourly)",'Eplus results'!$1:$1048576,ROW(),FALSE)</f>
        <v>0</v>
      </c>
      <c r="AC8219" s="580">
        <f>HLOOKUP("*"&amp;'Output annual'!$AC$2&amp;'Output annual'!$AD$2&amp;"*FangerPMV(Hourly)",'Eplus results'!$1:$1048576,ROW(),FALSE)</f>
        <v>0</v>
      </c>
      <c r="AD8219" s="580">
        <f t="shared" si="676"/>
        <v>5</v>
      </c>
      <c r="AE8219" s="580">
        <f t="shared" si="677"/>
        <v>2.5</v>
      </c>
      <c r="AF8219" s="580">
        <f t="shared" si="678"/>
        <v>2.5</v>
      </c>
      <c r="AG8219" s="580">
        <f t="shared" si="679"/>
        <v>0</v>
      </c>
      <c r="AH8219" s="580">
        <f t="shared" si="680"/>
        <v>0</v>
      </c>
    </row>
    <row r="8220" spans="28:34">
      <c r="AB8220" s="580">
        <f>HLOOKUP("*"&amp;'Output annual'!$AC$2&amp;'Output annual'!$AD$2&amp;"*Zone People Number Of Occupants [](Hourly)",'Eplus results'!$1:$1048576,ROW(),FALSE)</f>
        <v>0</v>
      </c>
      <c r="AC8220" s="580">
        <f>HLOOKUP("*"&amp;'Output annual'!$AC$2&amp;'Output annual'!$AD$2&amp;"*FangerPMV(Hourly)",'Eplus results'!$1:$1048576,ROW(),FALSE)</f>
        <v>0</v>
      </c>
      <c r="AD8220" s="580">
        <f t="shared" si="676"/>
        <v>5</v>
      </c>
      <c r="AE8220" s="580">
        <f t="shared" si="677"/>
        <v>2.5</v>
      </c>
      <c r="AF8220" s="580">
        <f t="shared" si="678"/>
        <v>2.5</v>
      </c>
      <c r="AG8220" s="580">
        <f t="shared" si="679"/>
        <v>0</v>
      </c>
      <c r="AH8220" s="580">
        <f t="shared" si="680"/>
        <v>0</v>
      </c>
    </row>
    <row r="8221" spans="28:34">
      <c r="AB8221" s="580">
        <f>HLOOKUP("*"&amp;'Output annual'!$AC$2&amp;'Output annual'!$AD$2&amp;"*Zone People Number Of Occupants [](Hourly)",'Eplus results'!$1:$1048576,ROW(),FALSE)</f>
        <v>0</v>
      </c>
      <c r="AC8221" s="580">
        <f>HLOOKUP("*"&amp;'Output annual'!$AC$2&amp;'Output annual'!$AD$2&amp;"*FangerPMV(Hourly)",'Eplus results'!$1:$1048576,ROW(),FALSE)</f>
        <v>0</v>
      </c>
      <c r="AD8221" s="580">
        <f t="shared" si="676"/>
        <v>5</v>
      </c>
      <c r="AE8221" s="580">
        <f t="shared" si="677"/>
        <v>2.5</v>
      </c>
      <c r="AF8221" s="580">
        <f t="shared" si="678"/>
        <v>2.5</v>
      </c>
      <c r="AG8221" s="580">
        <f t="shared" si="679"/>
        <v>0</v>
      </c>
      <c r="AH8221" s="580">
        <f t="shared" si="680"/>
        <v>0</v>
      </c>
    </row>
    <row r="8222" spans="28:34">
      <c r="AB8222" s="580">
        <f>HLOOKUP("*"&amp;'Output annual'!$AC$2&amp;'Output annual'!$AD$2&amp;"*Zone People Number Of Occupants [](Hourly)",'Eplus results'!$1:$1048576,ROW(),FALSE)</f>
        <v>0</v>
      </c>
      <c r="AC8222" s="580">
        <f>HLOOKUP("*"&amp;'Output annual'!$AC$2&amp;'Output annual'!$AD$2&amp;"*FangerPMV(Hourly)",'Eplus results'!$1:$1048576,ROW(),FALSE)</f>
        <v>0</v>
      </c>
      <c r="AD8222" s="580">
        <f t="shared" si="676"/>
        <v>5</v>
      </c>
      <c r="AE8222" s="580">
        <f t="shared" si="677"/>
        <v>2.5</v>
      </c>
      <c r="AF8222" s="580">
        <f t="shared" si="678"/>
        <v>2.5</v>
      </c>
      <c r="AG8222" s="580">
        <f t="shared" si="679"/>
        <v>0</v>
      </c>
      <c r="AH8222" s="580">
        <f t="shared" si="680"/>
        <v>0</v>
      </c>
    </row>
    <row r="8223" spans="28:34">
      <c r="AB8223" s="580">
        <f>HLOOKUP("*"&amp;'Output annual'!$AC$2&amp;'Output annual'!$AD$2&amp;"*Zone People Number Of Occupants [](Hourly)",'Eplus results'!$1:$1048576,ROW(),FALSE)</f>
        <v>0</v>
      </c>
      <c r="AC8223" s="580">
        <f>HLOOKUP("*"&amp;'Output annual'!$AC$2&amp;'Output annual'!$AD$2&amp;"*FangerPMV(Hourly)",'Eplus results'!$1:$1048576,ROW(),FALSE)</f>
        <v>0</v>
      </c>
      <c r="AD8223" s="580">
        <f t="shared" si="676"/>
        <v>5</v>
      </c>
      <c r="AE8223" s="580">
        <f t="shared" si="677"/>
        <v>2.5</v>
      </c>
      <c r="AF8223" s="580">
        <f t="shared" si="678"/>
        <v>2.5</v>
      </c>
      <c r="AG8223" s="580">
        <f t="shared" si="679"/>
        <v>0</v>
      </c>
      <c r="AH8223" s="580">
        <f t="shared" si="680"/>
        <v>0</v>
      </c>
    </row>
    <row r="8224" spans="28:34">
      <c r="AB8224" s="580">
        <f>HLOOKUP("*"&amp;'Output annual'!$AC$2&amp;'Output annual'!$AD$2&amp;"*Zone People Number Of Occupants [](Hourly)",'Eplus results'!$1:$1048576,ROW(),FALSE)</f>
        <v>0</v>
      </c>
      <c r="AC8224" s="580">
        <f>HLOOKUP("*"&amp;'Output annual'!$AC$2&amp;'Output annual'!$AD$2&amp;"*FangerPMV(Hourly)",'Eplus results'!$1:$1048576,ROW(),FALSE)</f>
        <v>0</v>
      </c>
      <c r="AD8224" s="580">
        <f t="shared" si="676"/>
        <v>5</v>
      </c>
      <c r="AE8224" s="580">
        <f t="shared" si="677"/>
        <v>2.5</v>
      </c>
      <c r="AF8224" s="580">
        <f t="shared" si="678"/>
        <v>2.5</v>
      </c>
      <c r="AG8224" s="580">
        <f t="shared" si="679"/>
        <v>0</v>
      </c>
      <c r="AH8224" s="580">
        <f t="shared" si="680"/>
        <v>0</v>
      </c>
    </row>
    <row r="8225" spans="28:34">
      <c r="AB8225" s="580">
        <f>HLOOKUP("*"&amp;'Output annual'!$AC$2&amp;'Output annual'!$AD$2&amp;"*Zone People Number Of Occupants [](Hourly)",'Eplus results'!$1:$1048576,ROW(),FALSE)</f>
        <v>0</v>
      </c>
      <c r="AC8225" s="580">
        <f>HLOOKUP("*"&amp;'Output annual'!$AC$2&amp;'Output annual'!$AD$2&amp;"*FangerPMV(Hourly)",'Eplus results'!$1:$1048576,ROW(),FALSE)</f>
        <v>0</v>
      </c>
      <c r="AD8225" s="580">
        <f t="shared" si="676"/>
        <v>5</v>
      </c>
      <c r="AE8225" s="580">
        <f t="shared" si="677"/>
        <v>2.5</v>
      </c>
      <c r="AF8225" s="580">
        <f t="shared" si="678"/>
        <v>2.5</v>
      </c>
      <c r="AG8225" s="580">
        <f t="shared" si="679"/>
        <v>0</v>
      </c>
      <c r="AH8225" s="580">
        <f t="shared" si="680"/>
        <v>0</v>
      </c>
    </row>
    <row r="8226" spans="28:34">
      <c r="AB8226" s="580">
        <f>HLOOKUP("*"&amp;'Output annual'!$AC$2&amp;'Output annual'!$AD$2&amp;"*Zone People Number Of Occupants [](Hourly)",'Eplus results'!$1:$1048576,ROW(),FALSE)</f>
        <v>0</v>
      </c>
      <c r="AC8226" s="580">
        <f>HLOOKUP("*"&amp;'Output annual'!$AC$2&amp;'Output annual'!$AD$2&amp;"*FangerPMV(Hourly)",'Eplus results'!$1:$1048576,ROW(),FALSE)</f>
        <v>0</v>
      </c>
      <c r="AD8226" s="580">
        <f t="shared" si="676"/>
        <v>5</v>
      </c>
      <c r="AE8226" s="580">
        <f t="shared" si="677"/>
        <v>2.5</v>
      </c>
      <c r="AF8226" s="580">
        <f t="shared" si="678"/>
        <v>2.5</v>
      </c>
      <c r="AG8226" s="580">
        <f t="shared" si="679"/>
        <v>0</v>
      </c>
      <c r="AH8226" s="580">
        <f t="shared" si="680"/>
        <v>0</v>
      </c>
    </row>
    <row r="8227" spans="28:34">
      <c r="AB8227" s="580">
        <f>HLOOKUP("*"&amp;'Output annual'!$AC$2&amp;'Output annual'!$AD$2&amp;"*Zone People Number Of Occupants [](Hourly)",'Eplus results'!$1:$1048576,ROW(),FALSE)</f>
        <v>0</v>
      </c>
      <c r="AC8227" s="580">
        <f>HLOOKUP("*"&amp;'Output annual'!$AC$2&amp;'Output annual'!$AD$2&amp;"*FangerPMV(Hourly)",'Eplus results'!$1:$1048576,ROW(),FALSE)</f>
        <v>0</v>
      </c>
      <c r="AD8227" s="580">
        <f t="shared" si="676"/>
        <v>5</v>
      </c>
      <c r="AE8227" s="580">
        <f t="shared" si="677"/>
        <v>2.5</v>
      </c>
      <c r="AF8227" s="580">
        <f t="shared" si="678"/>
        <v>2.5</v>
      </c>
      <c r="AG8227" s="580">
        <f t="shared" si="679"/>
        <v>0</v>
      </c>
      <c r="AH8227" s="580">
        <f t="shared" si="680"/>
        <v>0</v>
      </c>
    </row>
    <row r="8228" spans="28:34">
      <c r="AB8228" s="580">
        <f>HLOOKUP("*"&amp;'Output annual'!$AC$2&amp;'Output annual'!$AD$2&amp;"*Zone People Number Of Occupants [](Hourly)",'Eplus results'!$1:$1048576,ROW(),FALSE)</f>
        <v>0</v>
      </c>
      <c r="AC8228" s="580">
        <f>HLOOKUP("*"&amp;'Output annual'!$AC$2&amp;'Output annual'!$AD$2&amp;"*FangerPMV(Hourly)",'Eplus results'!$1:$1048576,ROW(),FALSE)</f>
        <v>0</v>
      </c>
      <c r="AD8228" s="580">
        <f t="shared" si="676"/>
        <v>5</v>
      </c>
      <c r="AE8228" s="580">
        <f t="shared" si="677"/>
        <v>2.5</v>
      </c>
      <c r="AF8228" s="580">
        <f t="shared" si="678"/>
        <v>2.5</v>
      </c>
      <c r="AG8228" s="580">
        <f t="shared" si="679"/>
        <v>0</v>
      </c>
      <c r="AH8228" s="580">
        <f t="shared" si="680"/>
        <v>0</v>
      </c>
    </row>
    <row r="8229" spans="28:34">
      <c r="AB8229" s="580">
        <f>HLOOKUP("*"&amp;'Output annual'!$AC$2&amp;'Output annual'!$AD$2&amp;"*Zone People Number Of Occupants [](Hourly)",'Eplus results'!$1:$1048576,ROW(),FALSE)</f>
        <v>0</v>
      </c>
      <c r="AC8229" s="580">
        <f>HLOOKUP("*"&amp;'Output annual'!$AC$2&amp;'Output annual'!$AD$2&amp;"*FangerPMV(Hourly)",'Eplus results'!$1:$1048576,ROW(),FALSE)</f>
        <v>0</v>
      </c>
      <c r="AD8229" s="580">
        <f t="shared" si="676"/>
        <v>5</v>
      </c>
      <c r="AE8229" s="580">
        <f t="shared" si="677"/>
        <v>2.5</v>
      </c>
      <c r="AF8229" s="580">
        <f t="shared" si="678"/>
        <v>2.5</v>
      </c>
      <c r="AG8229" s="580">
        <f t="shared" si="679"/>
        <v>0</v>
      </c>
      <c r="AH8229" s="580">
        <f t="shared" si="680"/>
        <v>0</v>
      </c>
    </row>
    <row r="8230" spans="28:34">
      <c r="AB8230" s="580">
        <f>HLOOKUP("*"&amp;'Output annual'!$AC$2&amp;'Output annual'!$AD$2&amp;"*Zone People Number Of Occupants [](Hourly)",'Eplus results'!$1:$1048576,ROW(),FALSE)</f>
        <v>0</v>
      </c>
      <c r="AC8230" s="580">
        <f>HLOOKUP("*"&amp;'Output annual'!$AC$2&amp;'Output annual'!$AD$2&amp;"*FangerPMV(Hourly)",'Eplus results'!$1:$1048576,ROW(),FALSE)</f>
        <v>0</v>
      </c>
      <c r="AD8230" s="580">
        <f t="shared" si="676"/>
        <v>5</v>
      </c>
      <c r="AE8230" s="580">
        <f t="shared" si="677"/>
        <v>2.5</v>
      </c>
      <c r="AF8230" s="580">
        <f t="shared" si="678"/>
        <v>2.5</v>
      </c>
      <c r="AG8230" s="580">
        <f t="shared" si="679"/>
        <v>0</v>
      </c>
      <c r="AH8230" s="580">
        <f t="shared" si="680"/>
        <v>0</v>
      </c>
    </row>
    <row r="8231" spans="28:34">
      <c r="AB8231" s="580">
        <f>HLOOKUP("*"&amp;'Output annual'!$AC$2&amp;'Output annual'!$AD$2&amp;"*Zone People Number Of Occupants [](Hourly)",'Eplus results'!$1:$1048576,ROW(),FALSE)</f>
        <v>0</v>
      </c>
      <c r="AC8231" s="580">
        <f>HLOOKUP("*"&amp;'Output annual'!$AC$2&amp;'Output annual'!$AD$2&amp;"*FangerPMV(Hourly)",'Eplus results'!$1:$1048576,ROW(),FALSE)</f>
        <v>0</v>
      </c>
      <c r="AD8231" s="580">
        <f t="shared" si="676"/>
        <v>5</v>
      </c>
      <c r="AE8231" s="580">
        <f t="shared" si="677"/>
        <v>2.5</v>
      </c>
      <c r="AF8231" s="580">
        <f t="shared" si="678"/>
        <v>2.5</v>
      </c>
      <c r="AG8231" s="580">
        <f t="shared" si="679"/>
        <v>0</v>
      </c>
      <c r="AH8231" s="580">
        <f t="shared" si="680"/>
        <v>0</v>
      </c>
    </row>
    <row r="8232" spans="28:34">
      <c r="AB8232" s="580">
        <f>HLOOKUP("*"&amp;'Output annual'!$AC$2&amp;'Output annual'!$AD$2&amp;"*Zone People Number Of Occupants [](Hourly)",'Eplus results'!$1:$1048576,ROW(),FALSE)</f>
        <v>0</v>
      </c>
      <c r="AC8232" s="580">
        <f>HLOOKUP("*"&amp;'Output annual'!$AC$2&amp;'Output annual'!$AD$2&amp;"*FangerPMV(Hourly)",'Eplus results'!$1:$1048576,ROW(),FALSE)</f>
        <v>0</v>
      </c>
      <c r="AD8232" s="580">
        <f t="shared" si="676"/>
        <v>5</v>
      </c>
      <c r="AE8232" s="580">
        <f t="shared" si="677"/>
        <v>2.5</v>
      </c>
      <c r="AF8232" s="580">
        <f t="shared" si="678"/>
        <v>2.5</v>
      </c>
      <c r="AG8232" s="580">
        <f t="shared" si="679"/>
        <v>0</v>
      </c>
      <c r="AH8232" s="580">
        <f t="shared" si="680"/>
        <v>0</v>
      </c>
    </row>
    <row r="8233" spans="28:34">
      <c r="AB8233" s="580">
        <f>HLOOKUP("*"&amp;'Output annual'!$AC$2&amp;'Output annual'!$AD$2&amp;"*Zone People Number Of Occupants [](Hourly)",'Eplus results'!$1:$1048576,ROW(),FALSE)</f>
        <v>0</v>
      </c>
      <c r="AC8233" s="580">
        <f>HLOOKUP("*"&amp;'Output annual'!$AC$2&amp;'Output annual'!$AD$2&amp;"*FangerPMV(Hourly)",'Eplus results'!$1:$1048576,ROW(),FALSE)</f>
        <v>0</v>
      </c>
      <c r="AD8233" s="580">
        <f t="shared" si="676"/>
        <v>5</v>
      </c>
      <c r="AE8233" s="580">
        <f t="shared" si="677"/>
        <v>2.5</v>
      </c>
      <c r="AF8233" s="580">
        <f t="shared" si="678"/>
        <v>2.5</v>
      </c>
      <c r="AG8233" s="580">
        <f t="shared" si="679"/>
        <v>0</v>
      </c>
      <c r="AH8233" s="580">
        <f t="shared" si="680"/>
        <v>0</v>
      </c>
    </row>
    <row r="8234" spans="28:34">
      <c r="AB8234" s="580">
        <f>HLOOKUP("*"&amp;'Output annual'!$AC$2&amp;'Output annual'!$AD$2&amp;"*Zone People Number Of Occupants [](Hourly)",'Eplus results'!$1:$1048576,ROW(),FALSE)</f>
        <v>0</v>
      </c>
      <c r="AC8234" s="580">
        <f>HLOOKUP("*"&amp;'Output annual'!$AC$2&amp;'Output annual'!$AD$2&amp;"*FangerPMV(Hourly)",'Eplus results'!$1:$1048576,ROW(),FALSE)</f>
        <v>0</v>
      </c>
      <c r="AD8234" s="580">
        <f t="shared" si="676"/>
        <v>5</v>
      </c>
      <c r="AE8234" s="580">
        <f t="shared" si="677"/>
        <v>2.5</v>
      </c>
      <c r="AF8234" s="580">
        <f t="shared" si="678"/>
        <v>2.5</v>
      </c>
      <c r="AG8234" s="580">
        <f t="shared" si="679"/>
        <v>0</v>
      </c>
      <c r="AH8234" s="580">
        <f t="shared" si="680"/>
        <v>0</v>
      </c>
    </row>
    <row r="8235" spans="28:34">
      <c r="AB8235" s="580">
        <f>HLOOKUP("*"&amp;'Output annual'!$AC$2&amp;'Output annual'!$AD$2&amp;"*Zone People Number Of Occupants [](Hourly)",'Eplus results'!$1:$1048576,ROW(),FALSE)</f>
        <v>0</v>
      </c>
      <c r="AC8235" s="580">
        <f>HLOOKUP("*"&amp;'Output annual'!$AC$2&amp;'Output annual'!$AD$2&amp;"*FangerPMV(Hourly)",'Eplus results'!$1:$1048576,ROW(),FALSE)</f>
        <v>0</v>
      </c>
      <c r="AD8235" s="580">
        <f t="shared" si="676"/>
        <v>5</v>
      </c>
      <c r="AE8235" s="580">
        <f t="shared" si="677"/>
        <v>2.5</v>
      </c>
      <c r="AF8235" s="580">
        <f t="shared" si="678"/>
        <v>2.5</v>
      </c>
      <c r="AG8235" s="580">
        <f t="shared" si="679"/>
        <v>0</v>
      </c>
      <c r="AH8235" s="580">
        <f t="shared" si="680"/>
        <v>0</v>
      </c>
    </row>
    <row r="8236" spans="28:34">
      <c r="AB8236" s="580">
        <f>HLOOKUP("*"&amp;'Output annual'!$AC$2&amp;'Output annual'!$AD$2&amp;"*Zone People Number Of Occupants [](Hourly)",'Eplus results'!$1:$1048576,ROW(),FALSE)</f>
        <v>0</v>
      </c>
      <c r="AC8236" s="580">
        <f>HLOOKUP("*"&amp;'Output annual'!$AC$2&amp;'Output annual'!$AD$2&amp;"*FangerPMV(Hourly)",'Eplus results'!$1:$1048576,ROW(),FALSE)</f>
        <v>0</v>
      </c>
      <c r="AD8236" s="580">
        <f t="shared" si="676"/>
        <v>5</v>
      </c>
      <c r="AE8236" s="580">
        <f t="shared" si="677"/>
        <v>2.5</v>
      </c>
      <c r="AF8236" s="580">
        <f t="shared" si="678"/>
        <v>2.5</v>
      </c>
      <c r="AG8236" s="580">
        <f t="shared" si="679"/>
        <v>0</v>
      </c>
      <c r="AH8236" s="580">
        <f t="shared" si="680"/>
        <v>0</v>
      </c>
    </row>
    <row r="8237" spans="28:34">
      <c r="AB8237" s="580">
        <f>HLOOKUP("*"&amp;'Output annual'!$AC$2&amp;'Output annual'!$AD$2&amp;"*Zone People Number Of Occupants [](Hourly)",'Eplus results'!$1:$1048576,ROW(),FALSE)</f>
        <v>0</v>
      </c>
      <c r="AC8237" s="580">
        <f>HLOOKUP("*"&amp;'Output annual'!$AC$2&amp;'Output annual'!$AD$2&amp;"*FangerPMV(Hourly)",'Eplus results'!$1:$1048576,ROW(),FALSE)</f>
        <v>0</v>
      </c>
      <c r="AD8237" s="580">
        <f t="shared" si="676"/>
        <v>5</v>
      </c>
      <c r="AE8237" s="580">
        <f t="shared" si="677"/>
        <v>2.5</v>
      </c>
      <c r="AF8237" s="580">
        <f t="shared" si="678"/>
        <v>2.5</v>
      </c>
      <c r="AG8237" s="580">
        <f t="shared" si="679"/>
        <v>0</v>
      </c>
      <c r="AH8237" s="580">
        <f t="shared" si="680"/>
        <v>0</v>
      </c>
    </row>
    <row r="8238" spans="28:34">
      <c r="AB8238" s="580">
        <f>HLOOKUP("*"&amp;'Output annual'!$AC$2&amp;'Output annual'!$AD$2&amp;"*Zone People Number Of Occupants [](Hourly)",'Eplus results'!$1:$1048576,ROW(),FALSE)</f>
        <v>0</v>
      </c>
      <c r="AC8238" s="580">
        <f>HLOOKUP("*"&amp;'Output annual'!$AC$2&amp;'Output annual'!$AD$2&amp;"*FangerPMV(Hourly)",'Eplus results'!$1:$1048576,ROW(),FALSE)</f>
        <v>0</v>
      </c>
      <c r="AD8238" s="580">
        <f t="shared" si="676"/>
        <v>5</v>
      </c>
      <c r="AE8238" s="580">
        <f t="shared" si="677"/>
        <v>2.5</v>
      </c>
      <c r="AF8238" s="580">
        <f t="shared" si="678"/>
        <v>2.5</v>
      </c>
      <c r="AG8238" s="580">
        <f t="shared" si="679"/>
        <v>0</v>
      </c>
      <c r="AH8238" s="580">
        <f t="shared" si="680"/>
        <v>0</v>
      </c>
    </row>
    <row r="8239" spans="28:34">
      <c r="AB8239" s="580">
        <f>HLOOKUP("*"&amp;'Output annual'!$AC$2&amp;'Output annual'!$AD$2&amp;"*Zone People Number Of Occupants [](Hourly)",'Eplus results'!$1:$1048576,ROW(),FALSE)</f>
        <v>0</v>
      </c>
      <c r="AC8239" s="580">
        <f>HLOOKUP("*"&amp;'Output annual'!$AC$2&amp;'Output annual'!$AD$2&amp;"*FangerPMV(Hourly)",'Eplus results'!$1:$1048576,ROW(),FALSE)</f>
        <v>0</v>
      </c>
      <c r="AD8239" s="580">
        <f t="shared" si="676"/>
        <v>5</v>
      </c>
      <c r="AE8239" s="580">
        <f t="shared" si="677"/>
        <v>2.5</v>
      </c>
      <c r="AF8239" s="580">
        <f t="shared" si="678"/>
        <v>2.5</v>
      </c>
      <c r="AG8239" s="580">
        <f t="shared" si="679"/>
        <v>0</v>
      </c>
      <c r="AH8239" s="580">
        <f t="shared" si="680"/>
        <v>0</v>
      </c>
    </row>
    <row r="8240" spans="28:34">
      <c r="AB8240" s="580">
        <f>HLOOKUP("*"&amp;'Output annual'!$AC$2&amp;'Output annual'!$AD$2&amp;"*Zone People Number Of Occupants [](Hourly)",'Eplus results'!$1:$1048576,ROW(),FALSE)</f>
        <v>0</v>
      </c>
      <c r="AC8240" s="580">
        <f>HLOOKUP("*"&amp;'Output annual'!$AC$2&amp;'Output annual'!$AD$2&amp;"*FangerPMV(Hourly)",'Eplus results'!$1:$1048576,ROW(),FALSE)</f>
        <v>0</v>
      </c>
      <c r="AD8240" s="580">
        <f t="shared" si="676"/>
        <v>5</v>
      </c>
      <c r="AE8240" s="580">
        <f t="shared" si="677"/>
        <v>2.5</v>
      </c>
      <c r="AF8240" s="580">
        <f t="shared" si="678"/>
        <v>2.5</v>
      </c>
      <c r="AG8240" s="580">
        <f t="shared" si="679"/>
        <v>0</v>
      </c>
      <c r="AH8240" s="580">
        <f t="shared" si="680"/>
        <v>0</v>
      </c>
    </row>
    <row r="8241" spans="28:34">
      <c r="AB8241" s="580">
        <f>HLOOKUP("*"&amp;'Output annual'!$AC$2&amp;'Output annual'!$AD$2&amp;"*Zone People Number Of Occupants [](Hourly)",'Eplus results'!$1:$1048576,ROW(),FALSE)</f>
        <v>0</v>
      </c>
      <c r="AC8241" s="580">
        <f>HLOOKUP("*"&amp;'Output annual'!$AC$2&amp;'Output annual'!$AD$2&amp;"*FangerPMV(Hourly)",'Eplus results'!$1:$1048576,ROW(),FALSE)</f>
        <v>0</v>
      </c>
      <c r="AD8241" s="580">
        <f t="shared" si="676"/>
        <v>5</v>
      </c>
      <c r="AE8241" s="580">
        <f t="shared" si="677"/>
        <v>2.5</v>
      </c>
      <c r="AF8241" s="580">
        <f t="shared" si="678"/>
        <v>2.5</v>
      </c>
      <c r="AG8241" s="580">
        <f t="shared" si="679"/>
        <v>0</v>
      </c>
      <c r="AH8241" s="580">
        <f t="shared" si="680"/>
        <v>0</v>
      </c>
    </row>
    <row r="8242" spans="28:34">
      <c r="AB8242" s="580">
        <f>HLOOKUP("*"&amp;'Output annual'!$AC$2&amp;'Output annual'!$AD$2&amp;"*Zone People Number Of Occupants [](Hourly)",'Eplus results'!$1:$1048576,ROW(),FALSE)</f>
        <v>0</v>
      </c>
      <c r="AC8242" s="580">
        <f>HLOOKUP("*"&amp;'Output annual'!$AC$2&amp;'Output annual'!$AD$2&amp;"*FangerPMV(Hourly)",'Eplus results'!$1:$1048576,ROW(),FALSE)</f>
        <v>0</v>
      </c>
      <c r="AD8242" s="580">
        <f t="shared" si="676"/>
        <v>5</v>
      </c>
      <c r="AE8242" s="580">
        <f t="shared" si="677"/>
        <v>2.5</v>
      </c>
      <c r="AF8242" s="580">
        <f t="shared" si="678"/>
        <v>2.5</v>
      </c>
      <c r="AG8242" s="580">
        <f t="shared" si="679"/>
        <v>0</v>
      </c>
      <c r="AH8242" s="580">
        <f t="shared" si="680"/>
        <v>0</v>
      </c>
    </row>
    <row r="8243" spans="28:34">
      <c r="AB8243" s="580">
        <f>HLOOKUP("*"&amp;'Output annual'!$AC$2&amp;'Output annual'!$AD$2&amp;"*Zone People Number Of Occupants [](Hourly)",'Eplus results'!$1:$1048576,ROW(),FALSE)</f>
        <v>0</v>
      </c>
      <c r="AC8243" s="580">
        <f>HLOOKUP("*"&amp;'Output annual'!$AC$2&amp;'Output annual'!$AD$2&amp;"*FangerPMV(Hourly)",'Eplus results'!$1:$1048576,ROW(),FALSE)</f>
        <v>0</v>
      </c>
      <c r="AD8243" s="580">
        <f t="shared" si="676"/>
        <v>5</v>
      </c>
      <c r="AE8243" s="580">
        <f t="shared" si="677"/>
        <v>2.5</v>
      </c>
      <c r="AF8243" s="580">
        <f t="shared" si="678"/>
        <v>2.5</v>
      </c>
      <c r="AG8243" s="580">
        <f t="shared" si="679"/>
        <v>0</v>
      </c>
      <c r="AH8243" s="580">
        <f t="shared" si="680"/>
        <v>0</v>
      </c>
    </row>
    <row r="8244" spans="28:34">
      <c r="AB8244" s="580">
        <f>HLOOKUP("*"&amp;'Output annual'!$AC$2&amp;'Output annual'!$AD$2&amp;"*Zone People Number Of Occupants [](Hourly)",'Eplus results'!$1:$1048576,ROW(),FALSE)</f>
        <v>0</v>
      </c>
      <c r="AC8244" s="580">
        <f>HLOOKUP("*"&amp;'Output annual'!$AC$2&amp;'Output annual'!$AD$2&amp;"*FangerPMV(Hourly)",'Eplus results'!$1:$1048576,ROW(),FALSE)</f>
        <v>0</v>
      </c>
      <c r="AD8244" s="580">
        <f t="shared" si="676"/>
        <v>5</v>
      </c>
      <c r="AE8244" s="580">
        <f t="shared" si="677"/>
        <v>2.5</v>
      </c>
      <c r="AF8244" s="580">
        <f t="shared" si="678"/>
        <v>2.5</v>
      </c>
      <c r="AG8244" s="580">
        <f t="shared" si="679"/>
        <v>0</v>
      </c>
      <c r="AH8244" s="580">
        <f t="shared" si="680"/>
        <v>0</v>
      </c>
    </row>
    <row r="8245" spans="28:34">
      <c r="AB8245" s="580">
        <f>HLOOKUP("*"&amp;'Output annual'!$AC$2&amp;'Output annual'!$AD$2&amp;"*Zone People Number Of Occupants [](Hourly)",'Eplus results'!$1:$1048576,ROW(),FALSE)</f>
        <v>0</v>
      </c>
      <c r="AC8245" s="580">
        <f>HLOOKUP("*"&amp;'Output annual'!$AC$2&amp;'Output annual'!$AD$2&amp;"*FangerPMV(Hourly)",'Eplus results'!$1:$1048576,ROW(),FALSE)</f>
        <v>0</v>
      </c>
      <c r="AD8245" s="580">
        <f t="shared" si="676"/>
        <v>5</v>
      </c>
      <c r="AE8245" s="580">
        <f t="shared" si="677"/>
        <v>2.5</v>
      </c>
      <c r="AF8245" s="580">
        <f t="shared" si="678"/>
        <v>2.5</v>
      </c>
      <c r="AG8245" s="580">
        <f t="shared" si="679"/>
        <v>0</v>
      </c>
      <c r="AH8245" s="580">
        <f t="shared" si="680"/>
        <v>0</v>
      </c>
    </row>
    <row r="8246" spans="28:34">
      <c r="AB8246" s="580">
        <f>HLOOKUP("*"&amp;'Output annual'!$AC$2&amp;'Output annual'!$AD$2&amp;"*Zone People Number Of Occupants [](Hourly)",'Eplus results'!$1:$1048576,ROW(),FALSE)</f>
        <v>0</v>
      </c>
      <c r="AC8246" s="580">
        <f>HLOOKUP("*"&amp;'Output annual'!$AC$2&amp;'Output annual'!$AD$2&amp;"*FangerPMV(Hourly)",'Eplus results'!$1:$1048576,ROW(),FALSE)</f>
        <v>0</v>
      </c>
      <c r="AD8246" s="580">
        <f t="shared" si="676"/>
        <v>5</v>
      </c>
      <c r="AE8246" s="580">
        <f t="shared" si="677"/>
        <v>2.5</v>
      </c>
      <c r="AF8246" s="580">
        <f t="shared" si="678"/>
        <v>2.5</v>
      </c>
      <c r="AG8246" s="580">
        <f t="shared" si="679"/>
        <v>0</v>
      </c>
      <c r="AH8246" s="580">
        <f t="shared" si="680"/>
        <v>0</v>
      </c>
    </row>
    <row r="8247" spans="28:34">
      <c r="AB8247" s="580">
        <f>HLOOKUP("*"&amp;'Output annual'!$AC$2&amp;'Output annual'!$AD$2&amp;"*Zone People Number Of Occupants [](Hourly)",'Eplus results'!$1:$1048576,ROW(),FALSE)</f>
        <v>0</v>
      </c>
      <c r="AC8247" s="580">
        <f>HLOOKUP("*"&amp;'Output annual'!$AC$2&amp;'Output annual'!$AD$2&amp;"*FangerPMV(Hourly)",'Eplus results'!$1:$1048576,ROW(),FALSE)</f>
        <v>0</v>
      </c>
      <c r="AD8247" s="580">
        <f t="shared" si="676"/>
        <v>5</v>
      </c>
      <c r="AE8247" s="580">
        <f t="shared" si="677"/>
        <v>2.5</v>
      </c>
      <c r="AF8247" s="580">
        <f t="shared" si="678"/>
        <v>2.5</v>
      </c>
      <c r="AG8247" s="580">
        <f t="shared" si="679"/>
        <v>0</v>
      </c>
      <c r="AH8247" s="580">
        <f t="shared" si="680"/>
        <v>0</v>
      </c>
    </row>
    <row r="8248" spans="28:34">
      <c r="AB8248" s="580">
        <f>HLOOKUP("*"&amp;'Output annual'!$AC$2&amp;'Output annual'!$AD$2&amp;"*Zone People Number Of Occupants [](Hourly)",'Eplus results'!$1:$1048576,ROW(),FALSE)</f>
        <v>0</v>
      </c>
      <c r="AC8248" s="580">
        <f>HLOOKUP("*"&amp;'Output annual'!$AC$2&amp;'Output annual'!$AD$2&amp;"*FangerPMV(Hourly)",'Eplus results'!$1:$1048576,ROW(),FALSE)</f>
        <v>0</v>
      </c>
      <c r="AD8248" s="580">
        <f t="shared" si="676"/>
        <v>5</v>
      </c>
      <c r="AE8248" s="580">
        <f t="shared" si="677"/>
        <v>2.5</v>
      </c>
      <c r="AF8248" s="580">
        <f t="shared" si="678"/>
        <v>2.5</v>
      </c>
      <c r="AG8248" s="580">
        <f t="shared" si="679"/>
        <v>0</v>
      </c>
      <c r="AH8248" s="580">
        <f t="shared" si="680"/>
        <v>0</v>
      </c>
    </row>
    <row r="8249" spans="28:34">
      <c r="AB8249" s="580">
        <f>HLOOKUP("*"&amp;'Output annual'!$AC$2&amp;'Output annual'!$AD$2&amp;"*Zone People Number Of Occupants [](Hourly)",'Eplus results'!$1:$1048576,ROW(),FALSE)</f>
        <v>0</v>
      </c>
      <c r="AC8249" s="580">
        <f>HLOOKUP("*"&amp;'Output annual'!$AC$2&amp;'Output annual'!$AD$2&amp;"*FangerPMV(Hourly)",'Eplus results'!$1:$1048576,ROW(),FALSE)</f>
        <v>0</v>
      </c>
      <c r="AD8249" s="580">
        <f t="shared" si="676"/>
        <v>5</v>
      </c>
      <c r="AE8249" s="580">
        <f t="shared" si="677"/>
        <v>2.5</v>
      </c>
      <c r="AF8249" s="580">
        <f t="shared" si="678"/>
        <v>2.5</v>
      </c>
      <c r="AG8249" s="580">
        <f t="shared" si="679"/>
        <v>0</v>
      </c>
      <c r="AH8249" s="580">
        <f t="shared" si="680"/>
        <v>0</v>
      </c>
    </row>
    <row r="8250" spans="28:34">
      <c r="AB8250" s="580">
        <f>HLOOKUP("*"&amp;'Output annual'!$AC$2&amp;'Output annual'!$AD$2&amp;"*Zone People Number Of Occupants [](Hourly)",'Eplus results'!$1:$1048576,ROW(),FALSE)</f>
        <v>0</v>
      </c>
      <c r="AC8250" s="580">
        <f>HLOOKUP("*"&amp;'Output annual'!$AC$2&amp;'Output annual'!$AD$2&amp;"*FangerPMV(Hourly)",'Eplus results'!$1:$1048576,ROW(),FALSE)</f>
        <v>0</v>
      </c>
      <c r="AD8250" s="580">
        <f t="shared" si="676"/>
        <v>5</v>
      </c>
      <c r="AE8250" s="580">
        <f t="shared" si="677"/>
        <v>2.5</v>
      </c>
      <c r="AF8250" s="580">
        <f t="shared" si="678"/>
        <v>2.5</v>
      </c>
      <c r="AG8250" s="580">
        <f t="shared" si="679"/>
        <v>0</v>
      </c>
      <c r="AH8250" s="580">
        <f t="shared" si="680"/>
        <v>0</v>
      </c>
    </row>
    <row r="8251" spans="28:34">
      <c r="AB8251" s="580">
        <f>HLOOKUP("*"&amp;'Output annual'!$AC$2&amp;'Output annual'!$AD$2&amp;"*Zone People Number Of Occupants [](Hourly)",'Eplus results'!$1:$1048576,ROW(),FALSE)</f>
        <v>0</v>
      </c>
      <c r="AC8251" s="580">
        <f>HLOOKUP("*"&amp;'Output annual'!$AC$2&amp;'Output annual'!$AD$2&amp;"*FangerPMV(Hourly)",'Eplus results'!$1:$1048576,ROW(),FALSE)</f>
        <v>0</v>
      </c>
      <c r="AD8251" s="580">
        <f t="shared" si="676"/>
        <v>5</v>
      </c>
      <c r="AE8251" s="580">
        <f t="shared" si="677"/>
        <v>2.5</v>
      </c>
      <c r="AF8251" s="580">
        <f t="shared" si="678"/>
        <v>2.5</v>
      </c>
      <c r="AG8251" s="580">
        <f t="shared" si="679"/>
        <v>0</v>
      </c>
      <c r="AH8251" s="580">
        <f t="shared" si="680"/>
        <v>0</v>
      </c>
    </row>
    <row r="8252" spans="28:34">
      <c r="AB8252" s="580">
        <f>HLOOKUP("*"&amp;'Output annual'!$AC$2&amp;'Output annual'!$AD$2&amp;"*Zone People Number Of Occupants [](Hourly)",'Eplus results'!$1:$1048576,ROW(),FALSE)</f>
        <v>0</v>
      </c>
      <c r="AC8252" s="580">
        <f>HLOOKUP("*"&amp;'Output annual'!$AC$2&amp;'Output annual'!$AD$2&amp;"*FangerPMV(Hourly)",'Eplus results'!$1:$1048576,ROW(),FALSE)</f>
        <v>0</v>
      </c>
      <c r="AD8252" s="580">
        <f t="shared" si="676"/>
        <v>5</v>
      </c>
      <c r="AE8252" s="580">
        <f t="shared" si="677"/>
        <v>2.5</v>
      </c>
      <c r="AF8252" s="580">
        <f t="shared" si="678"/>
        <v>2.5</v>
      </c>
      <c r="AG8252" s="580">
        <f t="shared" si="679"/>
        <v>0</v>
      </c>
      <c r="AH8252" s="580">
        <f t="shared" si="680"/>
        <v>0</v>
      </c>
    </row>
    <row r="8253" spans="28:34">
      <c r="AB8253" s="580">
        <f>HLOOKUP("*"&amp;'Output annual'!$AC$2&amp;'Output annual'!$AD$2&amp;"*Zone People Number Of Occupants [](Hourly)",'Eplus results'!$1:$1048576,ROW(),FALSE)</f>
        <v>0</v>
      </c>
      <c r="AC8253" s="580">
        <f>HLOOKUP("*"&amp;'Output annual'!$AC$2&amp;'Output annual'!$AD$2&amp;"*FangerPMV(Hourly)",'Eplus results'!$1:$1048576,ROW(),FALSE)</f>
        <v>0</v>
      </c>
      <c r="AD8253" s="580">
        <f t="shared" si="676"/>
        <v>5</v>
      </c>
      <c r="AE8253" s="580">
        <f t="shared" si="677"/>
        <v>2.5</v>
      </c>
      <c r="AF8253" s="580">
        <f t="shared" si="678"/>
        <v>2.5</v>
      </c>
      <c r="AG8253" s="580">
        <f t="shared" si="679"/>
        <v>0</v>
      </c>
      <c r="AH8253" s="580">
        <f t="shared" si="680"/>
        <v>0</v>
      </c>
    </row>
    <row r="8254" spans="28:34">
      <c r="AB8254" s="580">
        <f>HLOOKUP("*"&amp;'Output annual'!$AC$2&amp;'Output annual'!$AD$2&amp;"*Zone People Number Of Occupants [](Hourly)",'Eplus results'!$1:$1048576,ROW(),FALSE)</f>
        <v>0</v>
      </c>
      <c r="AC8254" s="580">
        <f>HLOOKUP("*"&amp;'Output annual'!$AC$2&amp;'Output annual'!$AD$2&amp;"*FangerPMV(Hourly)",'Eplus results'!$1:$1048576,ROW(),FALSE)</f>
        <v>0</v>
      </c>
      <c r="AD8254" s="580">
        <f t="shared" si="676"/>
        <v>5</v>
      </c>
      <c r="AE8254" s="580">
        <f t="shared" si="677"/>
        <v>2.5</v>
      </c>
      <c r="AF8254" s="580">
        <f t="shared" si="678"/>
        <v>2.5</v>
      </c>
      <c r="AG8254" s="580">
        <f t="shared" si="679"/>
        <v>0</v>
      </c>
      <c r="AH8254" s="580">
        <f t="shared" si="680"/>
        <v>0</v>
      </c>
    </row>
    <row r="8255" spans="28:34">
      <c r="AB8255" s="580">
        <f>HLOOKUP("*"&amp;'Output annual'!$AC$2&amp;'Output annual'!$AD$2&amp;"*Zone People Number Of Occupants [](Hourly)",'Eplus results'!$1:$1048576,ROW(),FALSE)</f>
        <v>0</v>
      </c>
      <c r="AC8255" s="580">
        <f>HLOOKUP("*"&amp;'Output annual'!$AC$2&amp;'Output annual'!$AD$2&amp;"*FangerPMV(Hourly)",'Eplus results'!$1:$1048576,ROW(),FALSE)</f>
        <v>0</v>
      </c>
      <c r="AD8255" s="580">
        <f t="shared" si="676"/>
        <v>5</v>
      </c>
      <c r="AE8255" s="580">
        <f t="shared" si="677"/>
        <v>2.5</v>
      </c>
      <c r="AF8255" s="580">
        <f t="shared" si="678"/>
        <v>2.5</v>
      </c>
      <c r="AG8255" s="580">
        <f t="shared" si="679"/>
        <v>0</v>
      </c>
      <c r="AH8255" s="580">
        <f t="shared" si="680"/>
        <v>0</v>
      </c>
    </row>
    <row r="8256" spans="28:34">
      <c r="AB8256" s="580">
        <f>HLOOKUP("*"&amp;'Output annual'!$AC$2&amp;'Output annual'!$AD$2&amp;"*Zone People Number Of Occupants [](Hourly)",'Eplus results'!$1:$1048576,ROW(),FALSE)</f>
        <v>0</v>
      </c>
      <c r="AC8256" s="580">
        <f>HLOOKUP("*"&amp;'Output annual'!$AC$2&amp;'Output annual'!$AD$2&amp;"*FangerPMV(Hourly)",'Eplus results'!$1:$1048576,ROW(),FALSE)</f>
        <v>0</v>
      </c>
      <c r="AD8256" s="580">
        <f t="shared" si="676"/>
        <v>5</v>
      </c>
      <c r="AE8256" s="580">
        <f t="shared" si="677"/>
        <v>2.5</v>
      </c>
      <c r="AF8256" s="580">
        <f t="shared" si="678"/>
        <v>2.5</v>
      </c>
      <c r="AG8256" s="580">
        <f t="shared" si="679"/>
        <v>0</v>
      </c>
      <c r="AH8256" s="580">
        <f t="shared" si="680"/>
        <v>0</v>
      </c>
    </row>
    <row r="8257" spans="28:34">
      <c r="AB8257" s="580">
        <f>HLOOKUP("*"&amp;'Output annual'!$AC$2&amp;'Output annual'!$AD$2&amp;"*Zone People Number Of Occupants [](Hourly)",'Eplus results'!$1:$1048576,ROW(),FALSE)</f>
        <v>0</v>
      </c>
      <c r="AC8257" s="580">
        <f>HLOOKUP("*"&amp;'Output annual'!$AC$2&amp;'Output annual'!$AD$2&amp;"*FangerPMV(Hourly)",'Eplus results'!$1:$1048576,ROW(),FALSE)</f>
        <v>0</v>
      </c>
      <c r="AD8257" s="580">
        <f t="shared" si="676"/>
        <v>5</v>
      </c>
      <c r="AE8257" s="580">
        <f t="shared" si="677"/>
        <v>2.5</v>
      </c>
      <c r="AF8257" s="580">
        <f t="shared" si="678"/>
        <v>2.5</v>
      </c>
      <c r="AG8257" s="580">
        <f t="shared" si="679"/>
        <v>0</v>
      </c>
      <c r="AH8257" s="580">
        <f t="shared" si="680"/>
        <v>0</v>
      </c>
    </row>
    <row r="8258" spans="28:34">
      <c r="AB8258" s="580">
        <f>HLOOKUP("*"&amp;'Output annual'!$AC$2&amp;'Output annual'!$AD$2&amp;"*Zone People Number Of Occupants [](Hourly)",'Eplus results'!$1:$1048576,ROW(),FALSE)</f>
        <v>0</v>
      </c>
      <c r="AC8258" s="580">
        <f>HLOOKUP("*"&amp;'Output annual'!$AC$2&amp;'Output annual'!$AD$2&amp;"*FangerPMV(Hourly)",'Eplus results'!$1:$1048576,ROW(),FALSE)</f>
        <v>0</v>
      </c>
      <c r="AD8258" s="580">
        <f t="shared" si="676"/>
        <v>5</v>
      </c>
      <c r="AE8258" s="580">
        <f t="shared" si="677"/>
        <v>2.5</v>
      </c>
      <c r="AF8258" s="580">
        <f t="shared" si="678"/>
        <v>2.5</v>
      </c>
      <c r="AG8258" s="580">
        <f t="shared" si="679"/>
        <v>0</v>
      </c>
      <c r="AH8258" s="580">
        <f t="shared" si="680"/>
        <v>0</v>
      </c>
    </row>
    <row r="8259" spans="28:34">
      <c r="AB8259" s="580">
        <f>HLOOKUP("*"&amp;'Output annual'!$AC$2&amp;'Output annual'!$AD$2&amp;"*Zone People Number Of Occupants [](Hourly)",'Eplus results'!$1:$1048576,ROW(),FALSE)</f>
        <v>0</v>
      </c>
      <c r="AC8259" s="580">
        <f>HLOOKUP("*"&amp;'Output annual'!$AC$2&amp;'Output annual'!$AD$2&amp;"*FangerPMV(Hourly)",'Eplus results'!$1:$1048576,ROW(),FALSE)</f>
        <v>0</v>
      </c>
      <c r="AD8259" s="580">
        <f t="shared" ref="AD8259:AD8322" si="681">100-95*EXP(-0.03353*AC8259^4-0.2179*AC8259^2)</f>
        <v>5</v>
      </c>
      <c r="AE8259" s="580">
        <f t="shared" ref="AE8259:AE8322" si="682">AD8259*(1/(1+EXP(-6.3*$AC8259)))</f>
        <v>2.5</v>
      </c>
      <c r="AF8259" s="580">
        <f t="shared" ref="AF8259:AF8322" si="683">(AD8259-AE8259)</f>
        <v>2.5</v>
      </c>
      <c r="AG8259" s="580">
        <f t="shared" ref="AG8259:AG8322" si="684">AE8259*AB8259</f>
        <v>0</v>
      </c>
      <c r="AH8259" s="580">
        <f t="shared" ref="AH8259:AH8322" si="685">AF8259*AB8259</f>
        <v>0</v>
      </c>
    </row>
    <row r="8260" spans="28:34">
      <c r="AB8260" s="580">
        <f>HLOOKUP("*"&amp;'Output annual'!$AC$2&amp;'Output annual'!$AD$2&amp;"*Zone People Number Of Occupants [](Hourly)",'Eplus results'!$1:$1048576,ROW(),FALSE)</f>
        <v>0</v>
      </c>
      <c r="AC8260" s="580">
        <f>HLOOKUP("*"&amp;'Output annual'!$AC$2&amp;'Output annual'!$AD$2&amp;"*FangerPMV(Hourly)",'Eplus results'!$1:$1048576,ROW(),FALSE)</f>
        <v>0</v>
      </c>
      <c r="AD8260" s="580">
        <f t="shared" si="681"/>
        <v>5</v>
      </c>
      <c r="AE8260" s="580">
        <f t="shared" si="682"/>
        <v>2.5</v>
      </c>
      <c r="AF8260" s="580">
        <f t="shared" si="683"/>
        <v>2.5</v>
      </c>
      <c r="AG8260" s="580">
        <f t="shared" si="684"/>
        <v>0</v>
      </c>
      <c r="AH8260" s="580">
        <f t="shared" si="685"/>
        <v>0</v>
      </c>
    </row>
    <row r="8261" spans="28:34">
      <c r="AB8261" s="580">
        <f>HLOOKUP("*"&amp;'Output annual'!$AC$2&amp;'Output annual'!$AD$2&amp;"*Zone People Number Of Occupants [](Hourly)",'Eplus results'!$1:$1048576,ROW(),FALSE)</f>
        <v>0</v>
      </c>
      <c r="AC8261" s="580">
        <f>HLOOKUP("*"&amp;'Output annual'!$AC$2&amp;'Output annual'!$AD$2&amp;"*FangerPMV(Hourly)",'Eplus results'!$1:$1048576,ROW(),FALSE)</f>
        <v>0</v>
      </c>
      <c r="AD8261" s="580">
        <f t="shared" si="681"/>
        <v>5</v>
      </c>
      <c r="AE8261" s="580">
        <f t="shared" si="682"/>
        <v>2.5</v>
      </c>
      <c r="AF8261" s="580">
        <f t="shared" si="683"/>
        <v>2.5</v>
      </c>
      <c r="AG8261" s="580">
        <f t="shared" si="684"/>
        <v>0</v>
      </c>
      <c r="AH8261" s="580">
        <f t="shared" si="685"/>
        <v>0</v>
      </c>
    </row>
    <row r="8262" spans="28:34">
      <c r="AB8262" s="580">
        <f>HLOOKUP("*"&amp;'Output annual'!$AC$2&amp;'Output annual'!$AD$2&amp;"*Zone People Number Of Occupants [](Hourly)",'Eplus results'!$1:$1048576,ROW(),FALSE)</f>
        <v>0</v>
      </c>
      <c r="AC8262" s="580">
        <f>HLOOKUP("*"&amp;'Output annual'!$AC$2&amp;'Output annual'!$AD$2&amp;"*FangerPMV(Hourly)",'Eplus results'!$1:$1048576,ROW(),FALSE)</f>
        <v>0</v>
      </c>
      <c r="AD8262" s="580">
        <f t="shared" si="681"/>
        <v>5</v>
      </c>
      <c r="AE8262" s="580">
        <f t="shared" si="682"/>
        <v>2.5</v>
      </c>
      <c r="AF8262" s="580">
        <f t="shared" si="683"/>
        <v>2.5</v>
      </c>
      <c r="AG8262" s="580">
        <f t="shared" si="684"/>
        <v>0</v>
      </c>
      <c r="AH8262" s="580">
        <f t="shared" si="685"/>
        <v>0</v>
      </c>
    </row>
    <row r="8263" spans="28:34">
      <c r="AB8263" s="580">
        <f>HLOOKUP("*"&amp;'Output annual'!$AC$2&amp;'Output annual'!$AD$2&amp;"*Zone People Number Of Occupants [](Hourly)",'Eplus results'!$1:$1048576,ROW(),FALSE)</f>
        <v>0</v>
      </c>
      <c r="AC8263" s="580">
        <f>HLOOKUP("*"&amp;'Output annual'!$AC$2&amp;'Output annual'!$AD$2&amp;"*FangerPMV(Hourly)",'Eplus results'!$1:$1048576,ROW(),FALSE)</f>
        <v>0</v>
      </c>
      <c r="AD8263" s="580">
        <f t="shared" si="681"/>
        <v>5</v>
      </c>
      <c r="AE8263" s="580">
        <f t="shared" si="682"/>
        <v>2.5</v>
      </c>
      <c r="AF8263" s="580">
        <f t="shared" si="683"/>
        <v>2.5</v>
      </c>
      <c r="AG8263" s="580">
        <f t="shared" si="684"/>
        <v>0</v>
      </c>
      <c r="AH8263" s="580">
        <f t="shared" si="685"/>
        <v>0</v>
      </c>
    </row>
    <row r="8264" spans="28:34">
      <c r="AB8264" s="580">
        <f>HLOOKUP("*"&amp;'Output annual'!$AC$2&amp;'Output annual'!$AD$2&amp;"*Zone People Number Of Occupants [](Hourly)",'Eplus results'!$1:$1048576,ROW(),FALSE)</f>
        <v>0</v>
      </c>
      <c r="AC8264" s="580">
        <f>HLOOKUP("*"&amp;'Output annual'!$AC$2&amp;'Output annual'!$AD$2&amp;"*FangerPMV(Hourly)",'Eplus results'!$1:$1048576,ROW(),FALSE)</f>
        <v>0</v>
      </c>
      <c r="AD8264" s="580">
        <f t="shared" si="681"/>
        <v>5</v>
      </c>
      <c r="AE8264" s="580">
        <f t="shared" si="682"/>
        <v>2.5</v>
      </c>
      <c r="AF8264" s="580">
        <f t="shared" si="683"/>
        <v>2.5</v>
      </c>
      <c r="AG8264" s="580">
        <f t="shared" si="684"/>
        <v>0</v>
      </c>
      <c r="AH8264" s="580">
        <f t="shared" si="685"/>
        <v>0</v>
      </c>
    </row>
    <row r="8265" spans="28:34">
      <c r="AB8265" s="580">
        <f>HLOOKUP("*"&amp;'Output annual'!$AC$2&amp;'Output annual'!$AD$2&amp;"*Zone People Number Of Occupants [](Hourly)",'Eplus results'!$1:$1048576,ROW(),FALSE)</f>
        <v>0</v>
      </c>
      <c r="AC8265" s="580">
        <f>HLOOKUP("*"&amp;'Output annual'!$AC$2&amp;'Output annual'!$AD$2&amp;"*FangerPMV(Hourly)",'Eplus results'!$1:$1048576,ROW(),FALSE)</f>
        <v>0</v>
      </c>
      <c r="AD8265" s="580">
        <f t="shared" si="681"/>
        <v>5</v>
      </c>
      <c r="AE8265" s="580">
        <f t="shared" si="682"/>
        <v>2.5</v>
      </c>
      <c r="AF8265" s="580">
        <f t="shared" si="683"/>
        <v>2.5</v>
      </c>
      <c r="AG8265" s="580">
        <f t="shared" si="684"/>
        <v>0</v>
      </c>
      <c r="AH8265" s="580">
        <f t="shared" si="685"/>
        <v>0</v>
      </c>
    </row>
    <row r="8266" spans="28:34">
      <c r="AB8266" s="580">
        <f>HLOOKUP("*"&amp;'Output annual'!$AC$2&amp;'Output annual'!$AD$2&amp;"*Zone People Number Of Occupants [](Hourly)",'Eplus results'!$1:$1048576,ROW(),FALSE)</f>
        <v>0</v>
      </c>
      <c r="AC8266" s="580">
        <f>HLOOKUP("*"&amp;'Output annual'!$AC$2&amp;'Output annual'!$AD$2&amp;"*FangerPMV(Hourly)",'Eplus results'!$1:$1048576,ROW(),FALSE)</f>
        <v>0</v>
      </c>
      <c r="AD8266" s="580">
        <f t="shared" si="681"/>
        <v>5</v>
      </c>
      <c r="AE8266" s="580">
        <f t="shared" si="682"/>
        <v>2.5</v>
      </c>
      <c r="AF8266" s="580">
        <f t="shared" si="683"/>
        <v>2.5</v>
      </c>
      <c r="AG8266" s="580">
        <f t="shared" si="684"/>
        <v>0</v>
      </c>
      <c r="AH8266" s="580">
        <f t="shared" si="685"/>
        <v>0</v>
      </c>
    </row>
    <row r="8267" spans="28:34">
      <c r="AB8267" s="580">
        <f>HLOOKUP("*"&amp;'Output annual'!$AC$2&amp;'Output annual'!$AD$2&amp;"*Zone People Number Of Occupants [](Hourly)",'Eplus results'!$1:$1048576,ROW(),FALSE)</f>
        <v>0</v>
      </c>
      <c r="AC8267" s="580">
        <f>HLOOKUP("*"&amp;'Output annual'!$AC$2&amp;'Output annual'!$AD$2&amp;"*FangerPMV(Hourly)",'Eplus results'!$1:$1048576,ROW(),FALSE)</f>
        <v>0</v>
      </c>
      <c r="AD8267" s="580">
        <f t="shared" si="681"/>
        <v>5</v>
      </c>
      <c r="AE8267" s="580">
        <f t="shared" si="682"/>
        <v>2.5</v>
      </c>
      <c r="AF8267" s="580">
        <f t="shared" si="683"/>
        <v>2.5</v>
      </c>
      <c r="AG8267" s="580">
        <f t="shared" si="684"/>
        <v>0</v>
      </c>
      <c r="AH8267" s="580">
        <f t="shared" si="685"/>
        <v>0</v>
      </c>
    </row>
    <row r="8268" spans="28:34">
      <c r="AB8268" s="580">
        <f>HLOOKUP("*"&amp;'Output annual'!$AC$2&amp;'Output annual'!$AD$2&amp;"*Zone People Number Of Occupants [](Hourly)",'Eplus results'!$1:$1048576,ROW(),FALSE)</f>
        <v>0</v>
      </c>
      <c r="AC8268" s="580">
        <f>HLOOKUP("*"&amp;'Output annual'!$AC$2&amp;'Output annual'!$AD$2&amp;"*FangerPMV(Hourly)",'Eplus results'!$1:$1048576,ROW(),FALSE)</f>
        <v>0</v>
      </c>
      <c r="AD8268" s="580">
        <f t="shared" si="681"/>
        <v>5</v>
      </c>
      <c r="AE8268" s="580">
        <f t="shared" si="682"/>
        <v>2.5</v>
      </c>
      <c r="AF8268" s="580">
        <f t="shared" si="683"/>
        <v>2.5</v>
      </c>
      <c r="AG8268" s="580">
        <f t="shared" si="684"/>
        <v>0</v>
      </c>
      <c r="AH8268" s="580">
        <f t="shared" si="685"/>
        <v>0</v>
      </c>
    </row>
    <row r="8269" spans="28:34">
      <c r="AB8269" s="580">
        <f>HLOOKUP("*"&amp;'Output annual'!$AC$2&amp;'Output annual'!$AD$2&amp;"*Zone People Number Of Occupants [](Hourly)",'Eplus results'!$1:$1048576,ROW(),FALSE)</f>
        <v>0</v>
      </c>
      <c r="AC8269" s="580">
        <f>HLOOKUP("*"&amp;'Output annual'!$AC$2&amp;'Output annual'!$AD$2&amp;"*FangerPMV(Hourly)",'Eplus results'!$1:$1048576,ROW(),FALSE)</f>
        <v>0</v>
      </c>
      <c r="AD8269" s="580">
        <f t="shared" si="681"/>
        <v>5</v>
      </c>
      <c r="AE8269" s="580">
        <f t="shared" si="682"/>
        <v>2.5</v>
      </c>
      <c r="AF8269" s="580">
        <f t="shared" si="683"/>
        <v>2.5</v>
      </c>
      <c r="AG8269" s="580">
        <f t="shared" si="684"/>
        <v>0</v>
      </c>
      <c r="AH8269" s="580">
        <f t="shared" si="685"/>
        <v>0</v>
      </c>
    </row>
    <row r="8270" spans="28:34">
      <c r="AB8270" s="580">
        <f>HLOOKUP("*"&amp;'Output annual'!$AC$2&amp;'Output annual'!$AD$2&amp;"*Zone People Number Of Occupants [](Hourly)",'Eplus results'!$1:$1048576,ROW(),FALSE)</f>
        <v>0</v>
      </c>
      <c r="AC8270" s="580">
        <f>HLOOKUP("*"&amp;'Output annual'!$AC$2&amp;'Output annual'!$AD$2&amp;"*FangerPMV(Hourly)",'Eplus results'!$1:$1048576,ROW(),FALSE)</f>
        <v>0</v>
      </c>
      <c r="AD8270" s="580">
        <f t="shared" si="681"/>
        <v>5</v>
      </c>
      <c r="AE8270" s="580">
        <f t="shared" si="682"/>
        <v>2.5</v>
      </c>
      <c r="AF8270" s="580">
        <f t="shared" si="683"/>
        <v>2.5</v>
      </c>
      <c r="AG8270" s="580">
        <f t="shared" si="684"/>
        <v>0</v>
      </c>
      <c r="AH8270" s="580">
        <f t="shared" si="685"/>
        <v>0</v>
      </c>
    </row>
    <row r="8271" spans="28:34">
      <c r="AB8271" s="580">
        <f>HLOOKUP("*"&amp;'Output annual'!$AC$2&amp;'Output annual'!$AD$2&amp;"*Zone People Number Of Occupants [](Hourly)",'Eplus results'!$1:$1048576,ROW(),FALSE)</f>
        <v>0</v>
      </c>
      <c r="AC8271" s="580">
        <f>HLOOKUP("*"&amp;'Output annual'!$AC$2&amp;'Output annual'!$AD$2&amp;"*FangerPMV(Hourly)",'Eplus results'!$1:$1048576,ROW(),FALSE)</f>
        <v>0</v>
      </c>
      <c r="AD8271" s="580">
        <f t="shared" si="681"/>
        <v>5</v>
      </c>
      <c r="AE8271" s="580">
        <f t="shared" si="682"/>
        <v>2.5</v>
      </c>
      <c r="AF8271" s="580">
        <f t="shared" si="683"/>
        <v>2.5</v>
      </c>
      <c r="AG8271" s="580">
        <f t="shared" si="684"/>
        <v>0</v>
      </c>
      <c r="AH8271" s="580">
        <f t="shared" si="685"/>
        <v>0</v>
      </c>
    </row>
    <row r="8272" spans="28:34">
      <c r="AB8272" s="580">
        <f>HLOOKUP("*"&amp;'Output annual'!$AC$2&amp;'Output annual'!$AD$2&amp;"*Zone People Number Of Occupants [](Hourly)",'Eplus results'!$1:$1048576,ROW(),FALSE)</f>
        <v>0</v>
      </c>
      <c r="AC8272" s="580">
        <f>HLOOKUP("*"&amp;'Output annual'!$AC$2&amp;'Output annual'!$AD$2&amp;"*FangerPMV(Hourly)",'Eplus results'!$1:$1048576,ROW(),FALSE)</f>
        <v>0</v>
      </c>
      <c r="AD8272" s="580">
        <f t="shared" si="681"/>
        <v>5</v>
      </c>
      <c r="AE8272" s="580">
        <f t="shared" si="682"/>
        <v>2.5</v>
      </c>
      <c r="AF8272" s="580">
        <f t="shared" si="683"/>
        <v>2.5</v>
      </c>
      <c r="AG8272" s="580">
        <f t="shared" si="684"/>
        <v>0</v>
      </c>
      <c r="AH8272" s="580">
        <f t="shared" si="685"/>
        <v>0</v>
      </c>
    </row>
    <row r="8273" spans="28:34">
      <c r="AB8273" s="580">
        <f>HLOOKUP("*"&amp;'Output annual'!$AC$2&amp;'Output annual'!$AD$2&amp;"*Zone People Number Of Occupants [](Hourly)",'Eplus results'!$1:$1048576,ROW(),FALSE)</f>
        <v>0</v>
      </c>
      <c r="AC8273" s="580">
        <f>HLOOKUP("*"&amp;'Output annual'!$AC$2&amp;'Output annual'!$AD$2&amp;"*FangerPMV(Hourly)",'Eplus results'!$1:$1048576,ROW(),FALSE)</f>
        <v>0</v>
      </c>
      <c r="AD8273" s="580">
        <f t="shared" si="681"/>
        <v>5</v>
      </c>
      <c r="AE8273" s="580">
        <f t="shared" si="682"/>
        <v>2.5</v>
      </c>
      <c r="AF8273" s="580">
        <f t="shared" si="683"/>
        <v>2.5</v>
      </c>
      <c r="AG8273" s="580">
        <f t="shared" si="684"/>
        <v>0</v>
      </c>
      <c r="AH8273" s="580">
        <f t="shared" si="685"/>
        <v>0</v>
      </c>
    </row>
    <row r="8274" spans="28:34">
      <c r="AB8274" s="580">
        <f>HLOOKUP("*"&amp;'Output annual'!$AC$2&amp;'Output annual'!$AD$2&amp;"*Zone People Number Of Occupants [](Hourly)",'Eplus results'!$1:$1048576,ROW(),FALSE)</f>
        <v>0</v>
      </c>
      <c r="AC8274" s="580">
        <f>HLOOKUP("*"&amp;'Output annual'!$AC$2&amp;'Output annual'!$AD$2&amp;"*FangerPMV(Hourly)",'Eplus results'!$1:$1048576,ROW(),FALSE)</f>
        <v>0</v>
      </c>
      <c r="AD8274" s="580">
        <f t="shared" si="681"/>
        <v>5</v>
      </c>
      <c r="AE8274" s="580">
        <f t="shared" si="682"/>
        <v>2.5</v>
      </c>
      <c r="AF8274" s="580">
        <f t="shared" si="683"/>
        <v>2.5</v>
      </c>
      <c r="AG8274" s="580">
        <f t="shared" si="684"/>
        <v>0</v>
      </c>
      <c r="AH8274" s="580">
        <f t="shared" si="685"/>
        <v>0</v>
      </c>
    </row>
    <row r="8275" spans="28:34">
      <c r="AB8275" s="580">
        <f>HLOOKUP("*"&amp;'Output annual'!$AC$2&amp;'Output annual'!$AD$2&amp;"*Zone People Number Of Occupants [](Hourly)",'Eplus results'!$1:$1048576,ROW(),FALSE)</f>
        <v>0</v>
      </c>
      <c r="AC8275" s="580">
        <f>HLOOKUP("*"&amp;'Output annual'!$AC$2&amp;'Output annual'!$AD$2&amp;"*FangerPMV(Hourly)",'Eplus results'!$1:$1048576,ROW(),FALSE)</f>
        <v>0</v>
      </c>
      <c r="AD8275" s="580">
        <f t="shared" si="681"/>
        <v>5</v>
      </c>
      <c r="AE8275" s="580">
        <f t="shared" si="682"/>
        <v>2.5</v>
      </c>
      <c r="AF8275" s="580">
        <f t="shared" si="683"/>
        <v>2.5</v>
      </c>
      <c r="AG8275" s="580">
        <f t="shared" si="684"/>
        <v>0</v>
      </c>
      <c r="AH8275" s="580">
        <f t="shared" si="685"/>
        <v>0</v>
      </c>
    </row>
    <row r="8276" spans="28:34">
      <c r="AB8276" s="580">
        <f>HLOOKUP("*"&amp;'Output annual'!$AC$2&amp;'Output annual'!$AD$2&amp;"*Zone People Number Of Occupants [](Hourly)",'Eplus results'!$1:$1048576,ROW(),FALSE)</f>
        <v>0</v>
      </c>
      <c r="AC8276" s="580">
        <f>HLOOKUP("*"&amp;'Output annual'!$AC$2&amp;'Output annual'!$AD$2&amp;"*FangerPMV(Hourly)",'Eplus results'!$1:$1048576,ROW(),FALSE)</f>
        <v>0</v>
      </c>
      <c r="AD8276" s="580">
        <f t="shared" si="681"/>
        <v>5</v>
      </c>
      <c r="AE8276" s="580">
        <f t="shared" si="682"/>
        <v>2.5</v>
      </c>
      <c r="AF8276" s="580">
        <f t="shared" si="683"/>
        <v>2.5</v>
      </c>
      <c r="AG8276" s="580">
        <f t="shared" si="684"/>
        <v>0</v>
      </c>
      <c r="AH8276" s="580">
        <f t="shared" si="685"/>
        <v>0</v>
      </c>
    </row>
    <row r="8277" spans="28:34">
      <c r="AB8277" s="580">
        <f>HLOOKUP("*"&amp;'Output annual'!$AC$2&amp;'Output annual'!$AD$2&amp;"*Zone People Number Of Occupants [](Hourly)",'Eplus results'!$1:$1048576,ROW(),FALSE)</f>
        <v>0</v>
      </c>
      <c r="AC8277" s="580">
        <f>HLOOKUP("*"&amp;'Output annual'!$AC$2&amp;'Output annual'!$AD$2&amp;"*FangerPMV(Hourly)",'Eplus results'!$1:$1048576,ROW(),FALSE)</f>
        <v>0</v>
      </c>
      <c r="AD8277" s="580">
        <f t="shared" si="681"/>
        <v>5</v>
      </c>
      <c r="AE8277" s="580">
        <f t="shared" si="682"/>
        <v>2.5</v>
      </c>
      <c r="AF8277" s="580">
        <f t="shared" si="683"/>
        <v>2.5</v>
      </c>
      <c r="AG8277" s="580">
        <f t="shared" si="684"/>
        <v>0</v>
      </c>
      <c r="AH8277" s="580">
        <f t="shared" si="685"/>
        <v>0</v>
      </c>
    </row>
    <row r="8278" spans="28:34">
      <c r="AB8278" s="580">
        <f>HLOOKUP("*"&amp;'Output annual'!$AC$2&amp;'Output annual'!$AD$2&amp;"*Zone People Number Of Occupants [](Hourly)",'Eplus results'!$1:$1048576,ROW(),FALSE)</f>
        <v>0</v>
      </c>
      <c r="AC8278" s="580">
        <f>HLOOKUP("*"&amp;'Output annual'!$AC$2&amp;'Output annual'!$AD$2&amp;"*FangerPMV(Hourly)",'Eplus results'!$1:$1048576,ROW(),FALSE)</f>
        <v>0</v>
      </c>
      <c r="AD8278" s="580">
        <f t="shared" si="681"/>
        <v>5</v>
      </c>
      <c r="AE8278" s="580">
        <f t="shared" si="682"/>
        <v>2.5</v>
      </c>
      <c r="AF8278" s="580">
        <f t="shared" si="683"/>
        <v>2.5</v>
      </c>
      <c r="AG8278" s="580">
        <f t="shared" si="684"/>
        <v>0</v>
      </c>
      <c r="AH8278" s="580">
        <f t="shared" si="685"/>
        <v>0</v>
      </c>
    </row>
    <row r="8279" spans="28:34">
      <c r="AB8279" s="580">
        <f>HLOOKUP("*"&amp;'Output annual'!$AC$2&amp;'Output annual'!$AD$2&amp;"*Zone People Number Of Occupants [](Hourly)",'Eplus results'!$1:$1048576,ROW(),FALSE)</f>
        <v>0</v>
      </c>
      <c r="AC8279" s="580">
        <f>HLOOKUP("*"&amp;'Output annual'!$AC$2&amp;'Output annual'!$AD$2&amp;"*FangerPMV(Hourly)",'Eplus results'!$1:$1048576,ROW(),FALSE)</f>
        <v>0</v>
      </c>
      <c r="AD8279" s="580">
        <f t="shared" si="681"/>
        <v>5</v>
      </c>
      <c r="AE8279" s="580">
        <f t="shared" si="682"/>
        <v>2.5</v>
      </c>
      <c r="AF8279" s="580">
        <f t="shared" si="683"/>
        <v>2.5</v>
      </c>
      <c r="AG8279" s="580">
        <f t="shared" si="684"/>
        <v>0</v>
      </c>
      <c r="AH8279" s="580">
        <f t="shared" si="685"/>
        <v>0</v>
      </c>
    </row>
    <row r="8280" spans="28:34">
      <c r="AB8280" s="580">
        <f>HLOOKUP("*"&amp;'Output annual'!$AC$2&amp;'Output annual'!$AD$2&amp;"*Zone People Number Of Occupants [](Hourly)",'Eplus results'!$1:$1048576,ROW(),FALSE)</f>
        <v>0</v>
      </c>
      <c r="AC8280" s="580">
        <f>HLOOKUP("*"&amp;'Output annual'!$AC$2&amp;'Output annual'!$AD$2&amp;"*FangerPMV(Hourly)",'Eplus results'!$1:$1048576,ROW(),FALSE)</f>
        <v>0</v>
      </c>
      <c r="AD8280" s="580">
        <f t="shared" si="681"/>
        <v>5</v>
      </c>
      <c r="AE8280" s="580">
        <f t="shared" si="682"/>
        <v>2.5</v>
      </c>
      <c r="AF8280" s="580">
        <f t="shared" si="683"/>
        <v>2.5</v>
      </c>
      <c r="AG8280" s="580">
        <f t="shared" si="684"/>
        <v>0</v>
      </c>
      <c r="AH8280" s="580">
        <f t="shared" si="685"/>
        <v>0</v>
      </c>
    </row>
    <row r="8281" spans="28:34">
      <c r="AB8281" s="580">
        <f>HLOOKUP("*"&amp;'Output annual'!$AC$2&amp;'Output annual'!$AD$2&amp;"*Zone People Number Of Occupants [](Hourly)",'Eplus results'!$1:$1048576,ROW(),FALSE)</f>
        <v>0</v>
      </c>
      <c r="AC8281" s="580">
        <f>HLOOKUP("*"&amp;'Output annual'!$AC$2&amp;'Output annual'!$AD$2&amp;"*FangerPMV(Hourly)",'Eplus results'!$1:$1048576,ROW(),FALSE)</f>
        <v>0</v>
      </c>
      <c r="AD8281" s="580">
        <f t="shared" si="681"/>
        <v>5</v>
      </c>
      <c r="AE8281" s="580">
        <f t="shared" si="682"/>
        <v>2.5</v>
      </c>
      <c r="AF8281" s="580">
        <f t="shared" si="683"/>
        <v>2.5</v>
      </c>
      <c r="AG8281" s="580">
        <f t="shared" si="684"/>
        <v>0</v>
      </c>
      <c r="AH8281" s="580">
        <f t="shared" si="685"/>
        <v>0</v>
      </c>
    </row>
    <row r="8282" spans="28:34">
      <c r="AB8282" s="580">
        <f>HLOOKUP("*"&amp;'Output annual'!$AC$2&amp;'Output annual'!$AD$2&amp;"*Zone People Number Of Occupants [](Hourly)",'Eplus results'!$1:$1048576,ROW(),FALSE)</f>
        <v>0</v>
      </c>
      <c r="AC8282" s="580">
        <f>HLOOKUP("*"&amp;'Output annual'!$AC$2&amp;'Output annual'!$AD$2&amp;"*FangerPMV(Hourly)",'Eplus results'!$1:$1048576,ROW(),FALSE)</f>
        <v>0</v>
      </c>
      <c r="AD8282" s="580">
        <f t="shared" si="681"/>
        <v>5</v>
      </c>
      <c r="AE8282" s="580">
        <f t="shared" si="682"/>
        <v>2.5</v>
      </c>
      <c r="AF8282" s="580">
        <f t="shared" si="683"/>
        <v>2.5</v>
      </c>
      <c r="AG8282" s="580">
        <f t="shared" si="684"/>
        <v>0</v>
      </c>
      <c r="AH8282" s="580">
        <f t="shared" si="685"/>
        <v>0</v>
      </c>
    </row>
    <row r="8283" spans="28:34">
      <c r="AB8283" s="580">
        <f>HLOOKUP("*"&amp;'Output annual'!$AC$2&amp;'Output annual'!$AD$2&amp;"*Zone People Number Of Occupants [](Hourly)",'Eplus results'!$1:$1048576,ROW(),FALSE)</f>
        <v>0</v>
      </c>
      <c r="AC8283" s="580">
        <f>HLOOKUP("*"&amp;'Output annual'!$AC$2&amp;'Output annual'!$AD$2&amp;"*FangerPMV(Hourly)",'Eplus results'!$1:$1048576,ROW(),FALSE)</f>
        <v>0</v>
      </c>
      <c r="AD8283" s="580">
        <f t="shared" si="681"/>
        <v>5</v>
      </c>
      <c r="AE8283" s="580">
        <f t="shared" si="682"/>
        <v>2.5</v>
      </c>
      <c r="AF8283" s="580">
        <f t="shared" si="683"/>
        <v>2.5</v>
      </c>
      <c r="AG8283" s="580">
        <f t="shared" si="684"/>
        <v>0</v>
      </c>
      <c r="AH8283" s="580">
        <f t="shared" si="685"/>
        <v>0</v>
      </c>
    </row>
    <row r="8284" spans="28:34">
      <c r="AB8284" s="580">
        <f>HLOOKUP("*"&amp;'Output annual'!$AC$2&amp;'Output annual'!$AD$2&amp;"*Zone People Number Of Occupants [](Hourly)",'Eplus results'!$1:$1048576,ROW(),FALSE)</f>
        <v>0</v>
      </c>
      <c r="AC8284" s="580">
        <f>HLOOKUP("*"&amp;'Output annual'!$AC$2&amp;'Output annual'!$AD$2&amp;"*FangerPMV(Hourly)",'Eplus results'!$1:$1048576,ROW(),FALSE)</f>
        <v>0</v>
      </c>
      <c r="AD8284" s="580">
        <f t="shared" si="681"/>
        <v>5</v>
      </c>
      <c r="AE8284" s="580">
        <f t="shared" si="682"/>
        <v>2.5</v>
      </c>
      <c r="AF8284" s="580">
        <f t="shared" si="683"/>
        <v>2.5</v>
      </c>
      <c r="AG8284" s="580">
        <f t="shared" si="684"/>
        <v>0</v>
      </c>
      <c r="AH8284" s="580">
        <f t="shared" si="685"/>
        <v>0</v>
      </c>
    </row>
    <row r="8285" spans="28:34">
      <c r="AB8285" s="580">
        <f>HLOOKUP("*"&amp;'Output annual'!$AC$2&amp;'Output annual'!$AD$2&amp;"*Zone People Number Of Occupants [](Hourly)",'Eplus results'!$1:$1048576,ROW(),FALSE)</f>
        <v>0</v>
      </c>
      <c r="AC8285" s="580">
        <f>HLOOKUP("*"&amp;'Output annual'!$AC$2&amp;'Output annual'!$AD$2&amp;"*FangerPMV(Hourly)",'Eplus results'!$1:$1048576,ROW(),FALSE)</f>
        <v>0</v>
      </c>
      <c r="AD8285" s="580">
        <f t="shared" si="681"/>
        <v>5</v>
      </c>
      <c r="AE8285" s="580">
        <f t="shared" si="682"/>
        <v>2.5</v>
      </c>
      <c r="AF8285" s="580">
        <f t="shared" si="683"/>
        <v>2.5</v>
      </c>
      <c r="AG8285" s="580">
        <f t="shared" si="684"/>
        <v>0</v>
      </c>
      <c r="AH8285" s="580">
        <f t="shared" si="685"/>
        <v>0</v>
      </c>
    </row>
    <row r="8286" spans="28:34">
      <c r="AB8286" s="580">
        <f>HLOOKUP("*"&amp;'Output annual'!$AC$2&amp;'Output annual'!$AD$2&amp;"*Zone People Number Of Occupants [](Hourly)",'Eplus results'!$1:$1048576,ROW(),FALSE)</f>
        <v>0</v>
      </c>
      <c r="AC8286" s="580">
        <f>HLOOKUP("*"&amp;'Output annual'!$AC$2&amp;'Output annual'!$AD$2&amp;"*FangerPMV(Hourly)",'Eplus results'!$1:$1048576,ROW(),FALSE)</f>
        <v>0</v>
      </c>
      <c r="AD8286" s="580">
        <f t="shared" si="681"/>
        <v>5</v>
      </c>
      <c r="AE8286" s="580">
        <f t="shared" si="682"/>
        <v>2.5</v>
      </c>
      <c r="AF8286" s="580">
        <f t="shared" si="683"/>
        <v>2.5</v>
      </c>
      <c r="AG8286" s="580">
        <f t="shared" si="684"/>
        <v>0</v>
      </c>
      <c r="AH8286" s="580">
        <f t="shared" si="685"/>
        <v>0</v>
      </c>
    </row>
    <row r="8287" spans="28:34">
      <c r="AB8287" s="580">
        <f>HLOOKUP("*"&amp;'Output annual'!$AC$2&amp;'Output annual'!$AD$2&amp;"*Zone People Number Of Occupants [](Hourly)",'Eplus results'!$1:$1048576,ROW(),FALSE)</f>
        <v>0</v>
      </c>
      <c r="AC8287" s="580">
        <f>HLOOKUP("*"&amp;'Output annual'!$AC$2&amp;'Output annual'!$AD$2&amp;"*FangerPMV(Hourly)",'Eplus results'!$1:$1048576,ROW(),FALSE)</f>
        <v>0</v>
      </c>
      <c r="AD8287" s="580">
        <f t="shared" si="681"/>
        <v>5</v>
      </c>
      <c r="AE8287" s="580">
        <f t="shared" si="682"/>
        <v>2.5</v>
      </c>
      <c r="AF8287" s="580">
        <f t="shared" si="683"/>
        <v>2.5</v>
      </c>
      <c r="AG8287" s="580">
        <f t="shared" si="684"/>
        <v>0</v>
      </c>
      <c r="AH8287" s="580">
        <f t="shared" si="685"/>
        <v>0</v>
      </c>
    </row>
    <row r="8288" spans="28:34">
      <c r="AB8288" s="580">
        <f>HLOOKUP("*"&amp;'Output annual'!$AC$2&amp;'Output annual'!$AD$2&amp;"*Zone People Number Of Occupants [](Hourly)",'Eplus results'!$1:$1048576,ROW(),FALSE)</f>
        <v>0</v>
      </c>
      <c r="AC8288" s="580">
        <f>HLOOKUP("*"&amp;'Output annual'!$AC$2&amp;'Output annual'!$AD$2&amp;"*FangerPMV(Hourly)",'Eplus results'!$1:$1048576,ROW(),FALSE)</f>
        <v>0</v>
      </c>
      <c r="AD8288" s="580">
        <f t="shared" si="681"/>
        <v>5</v>
      </c>
      <c r="AE8288" s="580">
        <f t="shared" si="682"/>
        <v>2.5</v>
      </c>
      <c r="AF8288" s="580">
        <f t="shared" si="683"/>
        <v>2.5</v>
      </c>
      <c r="AG8288" s="580">
        <f t="shared" si="684"/>
        <v>0</v>
      </c>
      <c r="AH8288" s="580">
        <f t="shared" si="685"/>
        <v>0</v>
      </c>
    </row>
    <row r="8289" spans="28:34">
      <c r="AB8289" s="580">
        <f>HLOOKUP("*"&amp;'Output annual'!$AC$2&amp;'Output annual'!$AD$2&amp;"*Zone People Number Of Occupants [](Hourly)",'Eplus results'!$1:$1048576,ROW(),FALSE)</f>
        <v>0</v>
      </c>
      <c r="AC8289" s="580">
        <f>HLOOKUP("*"&amp;'Output annual'!$AC$2&amp;'Output annual'!$AD$2&amp;"*FangerPMV(Hourly)",'Eplus results'!$1:$1048576,ROW(),FALSE)</f>
        <v>0</v>
      </c>
      <c r="AD8289" s="580">
        <f t="shared" si="681"/>
        <v>5</v>
      </c>
      <c r="AE8289" s="580">
        <f t="shared" si="682"/>
        <v>2.5</v>
      </c>
      <c r="AF8289" s="580">
        <f t="shared" si="683"/>
        <v>2.5</v>
      </c>
      <c r="AG8289" s="580">
        <f t="shared" si="684"/>
        <v>0</v>
      </c>
      <c r="AH8289" s="580">
        <f t="shared" si="685"/>
        <v>0</v>
      </c>
    </row>
    <row r="8290" spans="28:34">
      <c r="AB8290" s="580">
        <f>HLOOKUP("*"&amp;'Output annual'!$AC$2&amp;'Output annual'!$AD$2&amp;"*Zone People Number Of Occupants [](Hourly)",'Eplus results'!$1:$1048576,ROW(),FALSE)</f>
        <v>0</v>
      </c>
      <c r="AC8290" s="580">
        <f>HLOOKUP("*"&amp;'Output annual'!$AC$2&amp;'Output annual'!$AD$2&amp;"*FangerPMV(Hourly)",'Eplus results'!$1:$1048576,ROW(),FALSE)</f>
        <v>0</v>
      </c>
      <c r="AD8290" s="580">
        <f t="shared" si="681"/>
        <v>5</v>
      </c>
      <c r="AE8290" s="580">
        <f t="shared" si="682"/>
        <v>2.5</v>
      </c>
      <c r="AF8290" s="580">
        <f t="shared" si="683"/>
        <v>2.5</v>
      </c>
      <c r="AG8290" s="580">
        <f t="shared" si="684"/>
        <v>0</v>
      </c>
      <c r="AH8290" s="580">
        <f t="shared" si="685"/>
        <v>0</v>
      </c>
    </row>
    <row r="8291" spans="28:34">
      <c r="AB8291" s="580">
        <f>HLOOKUP("*"&amp;'Output annual'!$AC$2&amp;'Output annual'!$AD$2&amp;"*Zone People Number Of Occupants [](Hourly)",'Eplus results'!$1:$1048576,ROW(),FALSE)</f>
        <v>0</v>
      </c>
      <c r="AC8291" s="580">
        <f>HLOOKUP("*"&amp;'Output annual'!$AC$2&amp;'Output annual'!$AD$2&amp;"*FangerPMV(Hourly)",'Eplus results'!$1:$1048576,ROW(),FALSE)</f>
        <v>0</v>
      </c>
      <c r="AD8291" s="580">
        <f t="shared" si="681"/>
        <v>5</v>
      </c>
      <c r="AE8291" s="580">
        <f t="shared" si="682"/>
        <v>2.5</v>
      </c>
      <c r="AF8291" s="580">
        <f t="shared" si="683"/>
        <v>2.5</v>
      </c>
      <c r="AG8291" s="580">
        <f t="shared" si="684"/>
        <v>0</v>
      </c>
      <c r="AH8291" s="580">
        <f t="shared" si="685"/>
        <v>0</v>
      </c>
    </row>
    <row r="8292" spans="28:34">
      <c r="AB8292" s="580">
        <f>HLOOKUP("*"&amp;'Output annual'!$AC$2&amp;'Output annual'!$AD$2&amp;"*Zone People Number Of Occupants [](Hourly)",'Eplus results'!$1:$1048576,ROW(),FALSE)</f>
        <v>0</v>
      </c>
      <c r="AC8292" s="580">
        <f>HLOOKUP("*"&amp;'Output annual'!$AC$2&amp;'Output annual'!$AD$2&amp;"*FangerPMV(Hourly)",'Eplus results'!$1:$1048576,ROW(),FALSE)</f>
        <v>0</v>
      </c>
      <c r="AD8292" s="580">
        <f t="shared" si="681"/>
        <v>5</v>
      </c>
      <c r="AE8292" s="580">
        <f t="shared" si="682"/>
        <v>2.5</v>
      </c>
      <c r="AF8292" s="580">
        <f t="shared" si="683"/>
        <v>2.5</v>
      </c>
      <c r="AG8292" s="580">
        <f t="shared" si="684"/>
        <v>0</v>
      </c>
      <c r="AH8292" s="580">
        <f t="shared" si="685"/>
        <v>0</v>
      </c>
    </row>
    <row r="8293" spans="28:34">
      <c r="AB8293" s="580">
        <f>HLOOKUP("*"&amp;'Output annual'!$AC$2&amp;'Output annual'!$AD$2&amp;"*Zone People Number Of Occupants [](Hourly)",'Eplus results'!$1:$1048576,ROW(),FALSE)</f>
        <v>0</v>
      </c>
      <c r="AC8293" s="580">
        <f>HLOOKUP("*"&amp;'Output annual'!$AC$2&amp;'Output annual'!$AD$2&amp;"*FangerPMV(Hourly)",'Eplus results'!$1:$1048576,ROW(),FALSE)</f>
        <v>0</v>
      </c>
      <c r="AD8293" s="580">
        <f t="shared" si="681"/>
        <v>5</v>
      </c>
      <c r="AE8293" s="580">
        <f t="shared" si="682"/>
        <v>2.5</v>
      </c>
      <c r="AF8293" s="580">
        <f t="shared" si="683"/>
        <v>2.5</v>
      </c>
      <c r="AG8293" s="580">
        <f t="shared" si="684"/>
        <v>0</v>
      </c>
      <c r="AH8293" s="580">
        <f t="shared" si="685"/>
        <v>0</v>
      </c>
    </row>
    <row r="8294" spans="28:34">
      <c r="AB8294" s="580">
        <f>HLOOKUP("*"&amp;'Output annual'!$AC$2&amp;'Output annual'!$AD$2&amp;"*Zone People Number Of Occupants [](Hourly)",'Eplus results'!$1:$1048576,ROW(),FALSE)</f>
        <v>0</v>
      </c>
      <c r="AC8294" s="580">
        <f>HLOOKUP("*"&amp;'Output annual'!$AC$2&amp;'Output annual'!$AD$2&amp;"*FangerPMV(Hourly)",'Eplus results'!$1:$1048576,ROW(),FALSE)</f>
        <v>0</v>
      </c>
      <c r="AD8294" s="580">
        <f t="shared" si="681"/>
        <v>5</v>
      </c>
      <c r="AE8294" s="580">
        <f t="shared" si="682"/>
        <v>2.5</v>
      </c>
      <c r="AF8294" s="580">
        <f t="shared" si="683"/>
        <v>2.5</v>
      </c>
      <c r="AG8294" s="580">
        <f t="shared" si="684"/>
        <v>0</v>
      </c>
      <c r="AH8294" s="580">
        <f t="shared" si="685"/>
        <v>0</v>
      </c>
    </row>
    <row r="8295" spans="28:34">
      <c r="AB8295" s="580">
        <f>HLOOKUP("*"&amp;'Output annual'!$AC$2&amp;'Output annual'!$AD$2&amp;"*Zone People Number Of Occupants [](Hourly)",'Eplus results'!$1:$1048576,ROW(),FALSE)</f>
        <v>0</v>
      </c>
      <c r="AC8295" s="580">
        <f>HLOOKUP("*"&amp;'Output annual'!$AC$2&amp;'Output annual'!$AD$2&amp;"*FangerPMV(Hourly)",'Eplus results'!$1:$1048576,ROW(),FALSE)</f>
        <v>0</v>
      </c>
      <c r="AD8295" s="580">
        <f t="shared" si="681"/>
        <v>5</v>
      </c>
      <c r="AE8295" s="580">
        <f t="shared" si="682"/>
        <v>2.5</v>
      </c>
      <c r="AF8295" s="580">
        <f t="shared" si="683"/>
        <v>2.5</v>
      </c>
      <c r="AG8295" s="580">
        <f t="shared" si="684"/>
        <v>0</v>
      </c>
      <c r="AH8295" s="580">
        <f t="shared" si="685"/>
        <v>0</v>
      </c>
    </row>
    <row r="8296" spans="28:34">
      <c r="AB8296" s="580">
        <f>HLOOKUP("*"&amp;'Output annual'!$AC$2&amp;'Output annual'!$AD$2&amp;"*Zone People Number Of Occupants [](Hourly)",'Eplus results'!$1:$1048576,ROW(),FALSE)</f>
        <v>0</v>
      </c>
      <c r="AC8296" s="580">
        <f>HLOOKUP("*"&amp;'Output annual'!$AC$2&amp;'Output annual'!$AD$2&amp;"*FangerPMV(Hourly)",'Eplus results'!$1:$1048576,ROW(),FALSE)</f>
        <v>0</v>
      </c>
      <c r="AD8296" s="580">
        <f t="shared" si="681"/>
        <v>5</v>
      </c>
      <c r="AE8296" s="580">
        <f t="shared" si="682"/>
        <v>2.5</v>
      </c>
      <c r="AF8296" s="580">
        <f t="shared" si="683"/>
        <v>2.5</v>
      </c>
      <c r="AG8296" s="580">
        <f t="shared" si="684"/>
        <v>0</v>
      </c>
      <c r="AH8296" s="580">
        <f t="shared" si="685"/>
        <v>0</v>
      </c>
    </row>
    <row r="8297" spans="28:34">
      <c r="AB8297" s="580">
        <f>HLOOKUP("*"&amp;'Output annual'!$AC$2&amp;'Output annual'!$AD$2&amp;"*Zone People Number Of Occupants [](Hourly)",'Eplus results'!$1:$1048576,ROW(),FALSE)</f>
        <v>0</v>
      </c>
      <c r="AC8297" s="580">
        <f>HLOOKUP("*"&amp;'Output annual'!$AC$2&amp;'Output annual'!$AD$2&amp;"*FangerPMV(Hourly)",'Eplus results'!$1:$1048576,ROW(),FALSE)</f>
        <v>0</v>
      </c>
      <c r="AD8297" s="580">
        <f t="shared" si="681"/>
        <v>5</v>
      </c>
      <c r="AE8297" s="580">
        <f t="shared" si="682"/>
        <v>2.5</v>
      </c>
      <c r="AF8297" s="580">
        <f t="shared" si="683"/>
        <v>2.5</v>
      </c>
      <c r="AG8297" s="580">
        <f t="shared" si="684"/>
        <v>0</v>
      </c>
      <c r="AH8297" s="580">
        <f t="shared" si="685"/>
        <v>0</v>
      </c>
    </row>
    <row r="8298" spans="28:34">
      <c r="AB8298" s="580">
        <f>HLOOKUP("*"&amp;'Output annual'!$AC$2&amp;'Output annual'!$AD$2&amp;"*Zone People Number Of Occupants [](Hourly)",'Eplus results'!$1:$1048576,ROW(),FALSE)</f>
        <v>0</v>
      </c>
      <c r="AC8298" s="580">
        <f>HLOOKUP("*"&amp;'Output annual'!$AC$2&amp;'Output annual'!$AD$2&amp;"*FangerPMV(Hourly)",'Eplus results'!$1:$1048576,ROW(),FALSE)</f>
        <v>0</v>
      </c>
      <c r="AD8298" s="580">
        <f t="shared" si="681"/>
        <v>5</v>
      </c>
      <c r="AE8298" s="580">
        <f t="shared" si="682"/>
        <v>2.5</v>
      </c>
      <c r="AF8298" s="580">
        <f t="shared" si="683"/>
        <v>2.5</v>
      </c>
      <c r="AG8298" s="580">
        <f t="shared" si="684"/>
        <v>0</v>
      </c>
      <c r="AH8298" s="580">
        <f t="shared" si="685"/>
        <v>0</v>
      </c>
    </row>
    <row r="8299" spans="28:34">
      <c r="AB8299" s="580">
        <f>HLOOKUP("*"&amp;'Output annual'!$AC$2&amp;'Output annual'!$AD$2&amp;"*Zone People Number Of Occupants [](Hourly)",'Eplus results'!$1:$1048576,ROW(),FALSE)</f>
        <v>0</v>
      </c>
      <c r="AC8299" s="580">
        <f>HLOOKUP("*"&amp;'Output annual'!$AC$2&amp;'Output annual'!$AD$2&amp;"*FangerPMV(Hourly)",'Eplus results'!$1:$1048576,ROW(),FALSE)</f>
        <v>0</v>
      </c>
      <c r="AD8299" s="580">
        <f t="shared" si="681"/>
        <v>5</v>
      </c>
      <c r="AE8299" s="580">
        <f t="shared" si="682"/>
        <v>2.5</v>
      </c>
      <c r="AF8299" s="580">
        <f t="shared" si="683"/>
        <v>2.5</v>
      </c>
      <c r="AG8299" s="580">
        <f t="shared" si="684"/>
        <v>0</v>
      </c>
      <c r="AH8299" s="580">
        <f t="shared" si="685"/>
        <v>0</v>
      </c>
    </row>
    <row r="8300" spans="28:34">
      <c r="AB8300" s="580">
        <f>HLOOKUP("*"&amp;'Output annual'!$AC$2&amp;'Output annual'!$AD$2&amp;"*Zone People Number Of Occupants [](Hourly)",'Eplus results'!$1:$1048576,ROW(),FALSE)</f>
        <v>0</v>
      </c>
      <c r="AC8300" s="580">
        <f>HLOOKUP("*"&amp;'Output annual'!$AC$2&amp;'Output annual'!$AD$2&amp;"*FangerPMV(Hourly)",'Eplus results'!$1:$1048576,ROW(),FALSE)</f>
        <v>0</v>
      </c>
      <c r="AD8300" s="580">
        <f t="shared" si="681"/>
        <v>5</v>
      </c>
      <c r="AE8300" s="580">
        <f t="shared" si="682"/>
        <v>2.5</v>
      </c>
      <c r="AF8300" s="580">
        <f t="shared" si="683"/>
        <v>2.5</v>
      </c>
      <c r="AG8300" s="580">
        <f t="shared" si="684"/>
        <v>0</v>
      </c>
      <c r="AH8300" s="580">
        <f t="shared" si="685"/>
        <v>0</v>
      </c>
    </row>
    <row r="8301" spans="28:34">
      <c r="AB8301" s="580">
        <f>HLOOKUP("*"&amp;'Output annual'!$AC$2&amp;'Output annual'!$AD$2&amp;"*Zone People Number Of Occupants [](Hourly)",'Eplus results'!$1:$1048576,ROW(),FALSE)</f>
        <v>0</v>
      </c>
      <c r="AC8301" s="580">
        <f>HLOOKUP("*"&amp;'Output annual'!$AC$2&amp;'Output annual'!$AD$2&amp;"*FangerPMV(Hourly)",'Eplus results'!$1:$1048576,ROW(),FALSE)</f>
        <v>0</v>
      </c>
      <c r="AD8301" s="580">
        <f t="shared" si="681"/>
        <v>5</v>
      </c>
      <c r="AE8301" s="580">
        <f t="shared" si="682"/>
        <v>2.5</v>
      </c>
      <c r="AF8301" s="580">
        <f t="shared" si="683"/>
        <v>2.5</v>
      </c>
      <c r="AG8301" s="580">
        <f t="shared" si="684"/>
        <v>0</v>
      </c>
      <c r="AH8301" s="580">
        <f t="shared" si="685"/>
        <v>0</v>
      </c>
    </row>
    <row r="8302" spans="28:34">
      <c r="AB8302" s="580">
        <f>HLOOKUP("*"&amp;'Output annual'!$AC$2&amp;'Output annual'!$AD$2&amp;"*Zone People Number Of Occupants [](Hourly)",'Eplus results'!$1:$1048576,ROW(),FALSE)</f>
        <v>0</v>
      </c>
      <c r="AC8302" s="580">
        <f>HLOOKUP("*"&amp;'Output annual'!$AC$2&amp;'Output annual'!$AD$2&amp;"*FangerPMV(Hourly)",'Eplus results'!$1:$1048576,ROW(),FALSE)</f>
        <v>0</v>
      </c>
      <c r="AD8302" s="580">
        <f t="shared" si="681"/>
        <v>5</v>
      </c>
      <c r="AE8302" s="580">
        <f t="shared" si="682"/>
        <v>2.5</v>
      </c>
      <c r="AF8302" s="580">
        <f t="shared" si="683"/>
        <v>2.5</v>
      </c>
      <c r="AG8302" s="580">
        <f t="shared" si="684"/>
        <v>0</v>
      </c>
      <c r="AH8302" s="580">
        <f t="shared" si="685"/>
        <v>0</v>
      </c>
    </row>
    <row r="8303" spans="28:34">
      <c r="AB8303" s="580">
        <f>HLOOKUP("*"&amp;'Output annual'!$AC$2&amp;'Output annual'!$AD$2&amp;"*Zone People Number Of Occupants [](Hourly)",'Eplus results'!$1:$1048576,ROW(),FALSE)</f>
        <v>0</v>
      </c>
      <c r="AC8303" s="580">
        <f>HLOOKUP("*"&amp;'Output annual'!$AC$2&amp;'Output annual'!$AD$2&amp;"*FangerPMV(Hourly)",'Eplus results'!$1:$1048576,ROW(),FALSE)</f>
        <v>0</v>
      </c>
      <c r="AD8303" s="580">
        <f t="shared" si="681"/>
        <v>5</v>
      </c>
      <c r="AE8303" s="580">
        <f t="shared" si="682"/>
        <v>2.5</v>
      </c>
      <c r="AF8303" s="580">
        <f t="shared" si="683"/>
        <v>2.5</v>
      </c>
      <c r="AG8303" s="580">
        <f t="shared" si="684"/>
        <v>0</v>
      </c>
      <c r="AH8303" s="580">
        <f t="shared" si="685"/>
        <v>0</v>
      </c>
    </row>
    <row r="8304" spans="28:34">
      <c r="AB8304" s="580">
        <f>HLOOKUP("*"&amp;'Output annual'!$AC$2&amp;'Output annual'!$AD$2&amp;"*Zone People Number Of Occupants [](Hourly)",'Eplus results'!$1:$1048576,ROW(),FALSE)</f>
        <v>0</v>
      </c>
      <c r="AC8304" s="580">
        <f>HLOOKUP("*"&amp;'Output annual'!$AC$2&amp;'Output annual'!$AD$2&amp;"*FangerPMV(Hourly)",'Eplus results'!$1:$1048576,ROW(),FALSE)</f>
        <v>0</v>
      </c>
      <c r="AD8304" s="580">
        <f t="shared" si="681"/>
        <v>5</v>
      </c>
      <c r="AE8304" s="580">
        <f t="shared" si="682"/>
        <v>2.5</v>
      </c>
      <c r="AF8304" s="580">
        <f t="shared" si="683"/>
        <v>2.5</v>
      </c>
      <c r="AG8304" s="580">
        <f t="shared" si="684"/>
        <v>0</v>
      </c>
      <c r="AH8304" s="580">
        <f t="shared" si="685"/>
        <v>0</v>
      </c>
    </row>
    <row r="8305" spans="28:34">
      <c r="AB8305" s="580">
        <f>HLOOKUP("*"&amp;'Output annual'!$AC$2&amp;'Output annual'!$AD$2&amp;"*Zone People Number Of Occupants [](Hourly)",'Eplus results'!$1:$1048576,ROW(),FALSE)</f>
        <v>0</v>
      </c>
      <c r="AC8305" s="580">
        <f>HLOOKUP("*"&amp;'Output annual'!$AC$2&amp;'Output annual'!$AD$2&amp;"*FangerPMV(Hourly)",'Eplus results'!$1:$1048576,ROW(),FALSE)</f>
        <v>0</v>
      </c>
      <c r="AD8305" s="580">
        <f t="shared" si="681"/>
        <v>5</v>
      </c>
      <c r="AE8305" s="580">
        <f t="shared" si="682"/>
        <v>2.5</v>
      </c>
      <c r="AF8305" s="580">
        <f t="shared" si="683"/>
        <v>2.5</v>
      </c>
      <c r="AG8305" s="580">
        <f t="shared" si="684"/>
        <v>0</v>
      </c>
      <c r="AH8305" s="580">
        <f t="shared" si="685"/>
        <v>0</v>
      </c>
    </row>
    <row r="8306" spans="28:34">
      <c r="AB8306" s="580">
        <f>HLOOKUP("*"&amp;'Output annual'!$AC$2&amp;'Output annual'!$AD$2&amp;"*Zone People Number Of Occupants [](Hourly)",'Eplus results'!$1:$1048576,ROW(),FALSE)</f>
        <v>0</v>
      </c>
      <c r="AC8306" s="580">
        <f>HLOOKUP("*"&amp;'Output annual'!$AC$2&amp;'Output annual'!$AD$2&amp;"*FangerPMV(Hourly)",'Eplus results'!$1:$1048576,ROW(),FALSE)</f>
        <v>0</v>
      </c>
      <c r="AD8306" s="580">
        <f t="shared" si="681"/>
        <v>5</v>
      </c>
      <c r="AE8306" s="580">
        <f t="shared" si="682"/>
        <v>2.5</v>
      </c>
      <c r="AF8306" s="580">
        <f t="shared" si="683"/>
        <v>2.5</v>
      </c>
      <c r="AG8306" s="580">
        <f t="shared" si="684"/>
        <v>0</v>
      </c>
      <c r="AH8306" s="580">
        <f t="shared" si="685"/>
        <v>0</v>
      </c>
    </row>
    <row r="8307" spans="28:34">
      <c r="AB8307" s="580">
        <f>HLOOKUP("*"&amp;'Output annual'!$AC$2&amp;'Output annual'!$AD$2&amp;"*Zone People Number Of Occupants [](Hourly)",'Eplus results'!$1:$1048576,ROW(),FALSE)</f>
        <v>0</v>
      </c>
      <c r="AC8307" s="580">
        <f>HLOOKUP("*"&amp;'Output annual'!$AC$2&amp;'Output annual'!$AD$2&amp;"*FangerPMV(Hourly)",'Eplus results'!$1:$1048576,ROW(),FALSE)</f>
        <v>0</v>
      </c>
      <c r="AD8307" s="580">
        <f t="shared" si="681"/>
        <v>5</v>
      </c>
      <c r="AE8307" s="580">
        <f t="shared" si="682"/>
        <v>2.5</v>
      </c>
      <c r="AF8307" s="580">
        <f t="shared" si="683"/>
        <v>2.5</v>
      </c>
      <c r="AG8307" s="580">
        <f t="shared" si="684"/>
        <v>0</v>
      </c>
      <c r="AH8307" s="580">
        <f t="shared" si="685"/>
        <v>0</v>
      </c>
    </row>
    <row r="8308" spans="28:34">
      <c r="AB8308" s="580">
        <f>HLOOKUP("*"&amp;'Output annual'!$AC$2&amp;'Output annual'!$AD$2&amp;"*Zone People Number Of Occupants [](Hourly)",'Eplus results'!$1:$1048576,ROW(),FALSE)</f>
        <v>0</v>
      </c>
      <c r="AC8308" s="580">
        <f>HLOOKUP("*"&amp;'Output annual'!$AC$2&amp;'Output annual'!$AD$2&amp;"*FangerPMV(Hourly)",'Eplus results'!$1:$1048576,ROW(),FALSE)</f>
        <v>0</v>
      </c>
      <c r="AD8308" s="580">
        <f t="shared" si="681"/>
        <v>5</v>
      </c>
      <c r="AE8308" s="580">
        <f t="shared" si="682"/>
        <v>2.5</v>
      </c>
      <c r="AF8308" s="580">
        <f t="shared" si="683"/>
        <v>2.5</v>
      </c>
      <c r="AG8308" s="580">
        <f t="shared" si="684"/>
        <v>0</v>
      </c>
      <c r="AH8308" s="580">
        <f t="shared" si="685"/>
        <v>0</v>
      </c>
    </row>
    <row r="8309" spans="28:34">
      <c r="AB8309" s="580">
        <f>HLOOKUP("*"&amp;'Output annual'!$AC$2&amp;'Output annual'!$AD$2&amp;"*Zone People Number Of Occupants [](Hourly)",'Eplus results'!$1:$1048576,ROW(),FALSE)</f>
        <v>0</v>
      </c>
      <c r="AC8309" s="580">
        <f>HLOOKUP("*"&amp;'Output annual'!$AC$2&amp;'Output annual'!$AD$2&amp;"*FangerPMV(Hourly)",'Eplus results'!$1:$1048576,ROW(),FALSE)</f>
        <v>0</v>
      </c>
      <c r="AD8309" s="580">
        <f t="shared" si="681"/>
        <v>5</v>
      </c>
      <c r="AE8309" s="580">
        <f t="shared" si="682"/>
        <v>2.5</v>
      </c>
      <c r="AF8309" s="580">
        <f t="shared" si="683"/>
        <v>2.5</v>
      </c>
      <c r="AG8309" s="580">
        <f t="shared" si="684"/>
        <v>0</v>
      </c>
      <c r="AH8309" s="580">
        <f t="shared" si="685"/>
        <v>0</v>
      </c>
    </row>
    <row r="8310" spans="28:34">
      <c r="AB8310" s="580">
        <f>HLOOKUP("*"&amp;'Output annual'!$AC$2&amp;'Output annual'!$AD$2&amp;"*Zone People Number Of Occupants [](Hourly)",'Eplus results'!$1:$1048576,ROW(),FALSE)</f>
        <v>0</v>
      </c>
      <c r="AC8310" s="580">
        <f>HLOOKUP("*"&amp;'Output annual'!$AC$2&amp;'Output annual'!$AD$2&amp;"*FangerPMV(Hourly)",'Eplus results'!$1:$1048576,ROW(),FALSE)</f>
        <v>0</v>
      </c>
      <c r="AD8310" s="580">
        <f t="shared" si="681"/>
        <v>5</v>
      </c>
      <c r="AE8310" s="580">
        <f t="shared" si="682"/>
        <v>2.5</v>
      </c>
      <c r="AF8310" s="580">
        <f t="shared" si="683"/>
        <v>2.5</v>
      </c>
      <c r="AG8310" s="580">
        <f t="shared" si="684"/>
        <v>0</v>
      </c>
      <c r="AH8310" s="580">
        <f t="shared" si="685"/>
        <v>0</v>
      </c>
    </row>
    <row r="8311" spans="28:34">
      <c r="AB8311" s="580">
        <f>HLOOKUP("*"&amp;'Output annual'!$AC$2&amp;'Output annual'!$AD$2&amp;"*Zone People Number Of Occupants [](Hourly)",'Eplus results'!$1:$1048576,ROW(),FALSE)</f>
        <v>0</v>
      </c>
      <c r="AC8311" s="580">
        <f>HLOOKUP("*"&amp;'Output annual'!$AC$2&amp;'Output annual'!$AD$2&amp;"*FangerPMV(Hourly)",'Eplus results'!$1:$1048576,ROW(),FALSE)</f>
        <v>0</v>
      </c>
      <c r="AD8311" s="580">
        <f t="shared" si="681"/>
        <v>5</v>
      </c>
      <c r="AE8311" s="580">
        <f t="shared" si="682"/>
        <v>2.5</v>
      </c>
      <c r="AF8311" s="580">
        <f t="shared" si="683"/>
        <v>2.5</v>
      </c>
      <c r="AG8311" s="580">
        <f t="shared" si="684"/>
        <v>0</v>
      </c>
      <c r="AH8311" s="580">
        <f t="shared" si="685"/>
        <v>0</v>
      </c>
    </row>
    <row r="8312" spans="28:34">
      <c r="AB8312" s="580">
        <f>HLOOKUP("*"&amp;'Output annual'!$AC$2&amp;'Output annual'!$AD$2&amp;"*Zone People Number Of Occupants [](Hourly)",'Eplus results'!$1:$1048576,ROW(),FALSE)</f>
        <v>0</v>
      </c>
      <c r="AC8312" s="580">
        <f>HLOOKUP("*"&amp;'Output annual'!$AC$2&amp;'Output annual'!$AD$2&amp;"*FangerPMV(Hourly)",'Eplus results'!$1:$1048576,ROW(),FALSE)</f>
        <v>0</v>
      </c>
      <c r="AD8312" s="580">
        <f t="shared" si="681"/>
        <v>5</v>
      </c>
      <c r="AE8312" s="580">
        <f t="shared" si="682"/>
        <v>2.5</v>
      </c>
      <c r="AF8312" s="580">
        <f t="shared" si="683"/>
        <v>2.5</v>
      </c>
      <c r="AG8312" s="580">
        <f t="shared" si="684"/>
        <v>0</v>
      </c>
      <c r="AH8312" s="580">
        <f t="shared" si="685"/>
        <v>0</v>
      </c>
    </row>
    <row r="8313" spans="28:34">
      <c r="AB8313" s="580">
        <f>HLOOKUP("*"&amp;'Output annual'!$AC$2&amp;'Output annual'!$AD$2&amp;"*Zone People Number Of Occupants [](Hourly)",'Eplus results'!$1:$1048576,ROW(),FALSE)</f>
        <v>0</v>
      </c>
      <c r="AC8313" s="580">
        <f>HLOOKUP("*"&amp;'Output annual'!$AC$2&amp;'Output annual'!$AD$2&amp;"*FangerPMV(Hourly)",'Eplus results'!$1:$1048576,ROW(),FALSE)</f>
        <v>0</v>
      </c>
      <c r="AD8313" s="580">
        <f t="shared" si="681"/>
        <v>5</v>
      </c>
      <c r="AE8313" s="580">
        <f t="shared" si="682"/>
        <v>2.5</v>
      </c>
      <c r="AF8313" s="580">
        <f t="shared" si="683"/>
        <v>2.5</v>
      </c>
      <c r="AG8313" s="580">
        <f t="shared" si="684"/>
        <v>0</v>
      </c>
      <c r="AH8313" s="580">
        <f t="shared" si="685"/>
        <v>0</v>
      </c>
    </row>
    <row r="8314" spans="28:34">
      <c r="AB8314" s="580">
        <f>HLOOKUP("*"&amp;'Output annual'!$AC$2&amp;'Output annual'!$AD$2&amp;"*Zone People Number Of Occupants [](Hourly)",'Eplus results'!$1:$1048576,ROW(),FALSE)</f>
        <v>0</v>
      </c>
      <c r="AC8314" s="580">
        <f>HLOOKUP("*"&amp;'Output annual'!$AC$2&amp;'Output annual'!$AD$2&amp;"*FangerPMV(Hourly)",'Eplus results'!$1:$1048576,ROW(),FALSE)</f>
        <v>0</v>
      </c>
      <c r="AD8314" s="580">
        <f t="shared" si="681"/>
        <v>5</v>
      </c>
      <c r="AE8314" s="580">
        <f t="shared" si="682"/>
        <v>2.5</v>
      </c>
      <c r="AF8314" s="580">
        <f t="shared" si="683"/>
        <v>2.5</v>
      </c>
      <c r="AG8314" s="580">
        <f t="shared" si="684"/>
        <v>0</v>
      </c>
      <c r="AH8314" s="580">
        <f t="shared" si="685"/>
        <v>0</v>
      </c>
    </row>
    <row r="8315" spans="28:34">
      <c r="AB8315" s="580">
        <f>HLOOKUP("*"&amp;'Output annual'!$AC$2&amp;'Output annual'!$AD$2&amp;"*Zone People Number Of Occupants [](Hourly)",'Eplus results'!$1:$1048576,ROW(),FALSE)</f>
        <v>0</v>
      </c>
      <c r="AC8315" s="580">
        <f>HLOOKUP("*"&amp;'Output annual'!$AC$2&amp;'Output annual'!$AD$2&amp;"*FangerPMV(Hourly)",'Eplus results'!$1:$1048576,ROW(),FALSE)</f>
        <v>0</v>
      </c>
      <c r="AD8315" s="580">
        <f t="shared" si="681"/>
        <v>5</v>
      </c>
      <c r="AE8315" s="580">
        <f t="shared" si="682"/>
        <v>2.5</v>
      </c>
      <c r="AF8315" s="580">
        <f t="shared" si="683"/>
        <v>2.5</v>
      </c>
      <c r="AG8315" s="580">
        <f t="shared" si="684"/>
        <v>0</v>
      </c>
      <c r="AH8315" s="580">
        <f t="shared" si="685"/>
        <v>0</v>
      </c>
    </row>
    <row r="8316" spans="28:34">
      <c r="AB8316" s="580">
        <f>HLOOKUP("*"&amp;'Output annual'!$AC$2&amp;'Output annual'!$AD$2&amp;"*Zone People Number Of Occupants [](Hourly)",'Eplus results'!$1:$1048576,ROW(),FALSE)</f>
        <v>0</v>
      </c>
      <c r="AC8316" s="580">
        <f>HLOOKUP("*"&amp;'Output annual'!$AC$2&amp;'Output annual'!$AD$2&amp;"*FangerPMV(Hourly)",'Eplus results'!$1:$1048576,ROW(),FALSE)</f>
        <v>0</v>
      </c>
      <c r="AD8316" s="580">
        <f t="shared" si="681"/>
        <v>5</v>
      </c>
      <c r="AE8316" s="580">
        <f t="shared" si="682"/>
        <v>2.5</v>
      </c>
      <c r="AF8316" s="580">
        <f t="shared" si="683"/>
        <v>2.5</v>
      </c>
      <c r="AG8316" s="580">
        <f t="shared" si="684"/>
        <v>0</v>
      </c>
      <c r="AH8316" s="580">
        <f t="shared" si="685"/>
        <v>0</v>
      </c>
    </row>
    <row r="8317" spans="28:34">
      <c r="AB8317" s="580">
        <f>HLOOKUP("*"&amp;'Output annual'!$AC$2&amp;'Output annual'!$AD$2&amp;"*Zone People Number Of Occupants [](Hourly)",'Eplus results'!$1:$1048576,ROW(),FALSE)</f>
        <v>0</v>
      </c>
      <c r="AC8317" s="580">
        <f>HLOOKUP("*"&amp;'Output annual'!$AC$2&amp;'Output annual'!$AD$2&amp;"*FangerPMV(Hourly)",'Eplus results'!$1:$1048576,ROW(),FALSE)</f>
        <v>0</v>
      </c>
      <c r="AD8317" s="580">
        <f t="shared" si="681"/>
        <v>5</v>
      </c>
      <c r="AE8317" s="580">
        <f t="shared" si="682"/>
        <v>2.5</v>
      </c>
      <c r="AF8317" s="580">
        <f t="shared" si="683"/>
        <v>2.5</v>
      </c>
      <c r="AG8317" s="580">
        <f t="shared" si="684"/>
        <v>0</v>
      </c>
      <c r="AH8317" s="580">
        <f t="shared" si="685"/>
        <v>0</v>
      </c>
    </row>
    <row r="8318" spans="28:34">
      <c r="AB8318" s="580">
        <f>HLOOKUP("*"&amp;'Output annual'!$AC$2&amp;'Output annual'!$AD$2&amp;"*Zone People Number Of Occupants [](Hourly)",'Eplus results'!$1:$1048576,ROW(),FALSE)</f>
        <v>0</v>
      </c>
      <c r="AC8318" s="580">
        <f>HLOOKUP("*"&amp;'Output annual'!$AC$2&amp;'Output annual'!$AD$2&amp;"*FangerPMV(Hourly)",'Eplus results'!$1:$1048576,ROW(),FALSE)</f>
        <v>0</v>
      </c>
      <c r="AD8318" s="580">
        <f t="shared" si="681"/>
        <v>5</v>
      </c>
      <c r="AE8318" s="580">
        <f t="shared" si="682"/>
        <v>2.5</v>
      </c>
      <c r="AF8318" s="580">
        <f t="shared" si="683"/>
        <v>2.5</v>
      </c>
      <c r="AG8318" s="580">
        <f t="shared" si="684"/>
        <v>0</v>
      </c>
      <c r="AH8318" s="580">
        <f t="shared" si="685"/>
        <v>0</v>
      </c>
    </row>
    <row r="8319" spans="28:34">
      <c r="AB8319" s="580">
        <f>HLOOKUP("*"&amp;'Output annual'!$AC$2&amp;'Output annual'!$AD$2&amp;"*Zone People Number Of Occupants [](Hourly)",'Eplus results'!$1:$1048576,ROW(),FALSE)</f>
        <v>0</v>
      </c>
      <c r="AC8319" s="580">
        <f>HLOOKUP("*"&amp;'Output annual'!$AC$2&amp;'Output annual'!$AD$2&amp;"*FangerPMV(Hourly)",'Eplus results'!$1:$1048576,ROW(),FALSE)</f>
        <v>0</v>
      </c>
      <c r="AD8319" s="580">
        <f t="shared" si="681"/>
        <v>5</v>
      </c>
      <c r="AE8319" s="580">
        <f t="shared" si="682"/>
        <v>2.5</v>
      </c>
      <c r="AF8319" s="580">
        <f t="shared" si="683"/>
        <v>2.5</v>
      </c>
      <c r="AG8319" s="580">
        <f t="shared" si="684"/>
        <v>0</v>
      </c>
      <c r="AH8319" s="580">
        <f t="shared" si="685"/>
        <v>0</v>
      </c>
    </row>
    <row r="8320" spans="28:34">
      <c r="AB8320" s="580">
        <f>HLOOKUP("*"&amp;'Output annual'!$AC$2&amp;'Output annual'!$AD$2&amp;"*Zone People Number Of Occupants [](Hourly)",'Eplus results'!$1:$1048576,ROW(),FALSE)</f>
        <v>0</v>
      </c>
      <c r="AC8320" s="580">
        <f>HLOOKUP("*"&amp;'Output annual'!$AC$2&amp;'Output annual'!$AD$2&amp;"*FangerPMV(Hourly)",'Eplus results'!$1:$1048576,ROW(),FALSE)</f>
        <v>0</v>
      </c>
      <c r="AD8320" s="580">
        <f t="shared" si="681"/>
        <v>5</v>
      </c>
      <c r="AE8320" s="580">
        <f t="shared" si="682"/>
        <v>2.5</v>
      </c>
      <c r="AF8320" s="580">
        <f t="shared" si="683"/>
        <v>2.5</v>
      </c>
      <c r="AG8320" s="580">
        <f t="shared" si="684"/>
        <v>0</v>
      </c>
      <c r="AH8320" s="580">
        <f t="shared" si="685"/>
        <v>0</v>
      </c>
    </row>
    <row r="8321" spans="28:34">
      <c r="AB8321" s="580">
        <f>HLOOKUP("*"&amp;'Output annual'!$AC$2&amp;'Output annual'!$AD$2&amp;"*Zone People Number Of Occupants [](Hourly)",'Eplus results'!$1:$1048576,ROW(),FALSE)</f>
        <v>0</v>
      </c>
      <c r="AC8321" s="580">
        <f>HLOOKUP("*"&amp;'Output annual'!$AC$2&amp;'Output annual'!$AD$2&amp;"*FangerPMV(Hourly)",'Eplus results'!$1:$1048576,ROW(),FALSE)</f>
        <v>0</v>
      </c>
      <c r="AD8321" s="580">
        <f t="shared" si="681"/>
        <v>5</v>
      </c>
      <c r="AE8321" s="580">
        <f t="shared" si="682"/>
        <v>2.5</v>
      </c>
      <c r="AF8321" s="580">
        <f t="shared" si="683"/>
        <v>2.5</v>
      </c>
      <c r="AG8321" s="580">
        <f t="shared" si="684"/>
        <v>0</v>
      </c>
      <c r="AH8321" s="580">
        <f t="shared" si="685"/>
        <v>0</v>
      </c>
    </row>
    <row r="8322" spans="28:34">
      <c r="AB8322" s="580">
        <f>HLOOKUP("*"&amp;'Output annual'!$AC$2&amp;'Output annual'!$AD$2&amp;"*Zone People Number Of Occupants [](Hourly)",'Eplus results'!$1:$1048576,ROW(),FALSE)</f>
        <v>0</v>
      </c>
      <c r="AC8322" s="580">
        <f>HLOOKUP("*"&amp;'Output annual'!$AC$2&amp;'Output annual'!$AD$2&amp;"*FangerPMV(Hourly)",'Eplus results'!$1:$1048576,ROW(),FALSE)</f>
        <v>0</v>
      </c>
      <c r="AD8322" s="580">
        <f t="shared" si="681"/>
        <v>5</v>
      </c>
      <c r="AE8322" s="580">
        <f t="shared" si="682"/>
        <v>2.5</v>
      </c>
      <c r="AF8322" s="580">
        <f t="shared" si="683"/>
        <v>2.5</v>
      </c>
      <c r="AG8322" s="580">
        <f t="shared" si="684"/>
        <v>0</v>
      </c>
      <c r="AH8322" s="580">
        <f t="shared" si="685"/>
        <v>0</v>
      </c>
    </row>
    <row r="8323" spans="28:34">
      <c r="AB8323" s="580">
        <f>HLOOKUP("*"&amp;'Output annual'!$AC$2&amp;'Output annual'!$AD$2&amp;"*Zone People Number Of Occupants [](Hourly)",'Eplus results'!$1:$1048576,ROW(),FALSE)</f>
        <v>0</v>
      </c>
      <c r="AC8323" s="580">
        <f>HLOOKUP("*"&amp;'Output annual'!$AC$2&amp;'Output annual'!$AD$2&amp;"*FangerPMV(Hourly)",'Eplus results'!$1:$1048576,ROW(),FALSE)</f>
        <v>0</v>
      </c>
      <c r="AD8323" s="580">
        <f t="shared" ref="AD8323:AD8386" si="686">100-95*EXP(-0.03353*AC8323^4-0.2179*AC8323^2)</f>
        <v>5</v>
      </c>
      <c r="AE8323" s="580">
        <f t="shared" ref="AE8323:AE8386" si="687">AD8323*(1/(1+EXP(-6.3*$AC8323)))</f>
        <v>2.5</v>
      </c>
      <c r="AF8323" s="580">
        <f t="shared" ref="AF8323:AF8386" si="688">(AD8323-AE8323)</f>
        <v>2.5</v>
      </c>
      <c r="AG8323" s="580">
        <f t="shared" ref="AG8323:AG8386" si="689">AE8323*AB8323</f>
        <v>0</v>
      </c>
      <c r="AH8323" s="580">
        <f t="shared" ref="AH8323:AH8386" si="690">AF8323*AB8323</f>
        <v>0</v>
      </c>
    </row>
    <row r="8324" spans="28:34">
      <c r="AB8324" s="580">
        <f>HLOOKUP("*"&amp;'Output annual'!$AC$2&amp;'Output annual'!$AD$2&amp;"*Zone People Number Of Occupants [](Hourly)",'Eplus results'!$1:$1048576,ROW(),FALSE)</f>
        <v>0</v>
      </c>
      <c r="AC8324" s="580">
        <f>HLOOKUP("*"&amp;'Output annual'!$AC$2&amp;'Output annual'!$AD$2&amp;"*FangerPMV(Hourly)",'Eplus results'!$1:$1048576,ROW(),FALSE)</f>
        <v>0</v>
      </c>
      <c r="AD8324" s="580">
        <f t="shared" si="686"/>
        <v>5</v>
      </c>
      <c r="AE8324" s="580">
        <f t="shared" si="687"/>
        <v>2.5</v>
      </c>
      <c r="AF8324" s="580">
        <f t="shared" si="688"/>
        <v>2.5</v>
      </c>
      <c r="AG8324" s="580">
        <f t="shared" si="689"/>
        <v>0</v>
      </c>
      <c r="AH8324" s="580">
        <f t="shared" si="690"/>
        <v>0</v>
      </c>
    </row>
    <row r="8325" spans="28:34">
      <c r="AB8325" s="580">
        <f>HLOOKUP("*"&amp;'Output annual'!$AC$2&amp;'Output annual'!$AD$2&amp;"*Zone People Number Of Occupants [](Hourly)",'Eplus results'!$1:$1048576,ROW(),FALSE)</f>
        <v>0</v>
      </c>
      <c r="AC8325" s="580">
        <f>HLOOKUP("*"&amp;'Output annual'!$AC$2&amp;'Output annual'!$AD$2&amp;"*FangerPMV(Hourly)",'Eplus results'!$1:$1048576,ROW(),FALSE)</f>
        <v>0</v>
      </c>
      <c r="AD8325" s="580">
        <f t="shared" si="686"/>
        <v>5</v>
      </c>
      <c r="AE8325" s="580">
        <f t="shared" si="687"/>
        <v>2.5</v>
      </c>
      <c r="AF8325" s="580">
        <f t="shared" si="688"/>
        <v>2.5</v>
      </c>
      <c r="AG8325" s="580">
        <f t="shared" si="689"/>
        <v>0</v>
      </c>
      <c r="AH8325" s="580">
        <f t="shared" si="690"/>
        <v>0</v>
      </c>
    </row>
    <row r="8326" spans="28:34">
      <c r="AB8326" s="580">
        <f>HLOOKUP("*"&amp;'Output annual'!$AC$2&amp;'Output annual'!$AD$2&amp;"*Zone People Number Of Occupants [](Hourly)",'Eplus results'!$1:$1048576,ROW(),FALSE)</f>
        <v>0</v>
      </c>
      <c r="AC8326" s="580">
        <f>HLOOKUP("*"&amp;'Output annual'!$AC$2&amp;'Output annual'!$AD$2&amp;"*FangerPMV(Hourly)",'Eplus results'!$1:$1048576,ROW(),FALSE)</f>
        <v>0</v>
      </c>
      <c r="AD8326" s="580">
        <f t="shared" si="686"/>
        <v>5</v>
      </c>
      <c r="AE8326" s="580">
        <f t="shared" si="687"/>
        <v>2.5</v>
      </c>
      <c r="AF8326" s="580">
        <f t="shared" si="688"/>
        <v>2.5</v>
      </c>
      <c r="AG8326" s="580">
        <f t="shared" si="689"/>
        <v>0</v>
      </c>
      <c r="AH8326" s="580">
        <f t="shared" si="690"/>
        <v>0</v>
      </c>
    </row>
    <row r="8327" spans="28:34">
      <c r="AB8327" s="580">
        <f>HLOOKUP("*"&amp;'Output annual'!$AC$2&amp;'Output annual'!$AD$2&amp;"*Zone People Number Of Occupants [](Hourly)",'Eplus results'!$1:$1048576,ROW(),FALSE)</f>
        <v>0</v>
      </c>
      <c r="AC8327" s="580">
        <f>HLOOKUP("*"&amp;'Output annual'!$AC$2&amp;'Output annual'!$AD$2&amp;"*FangerPMV(Hourly)",'Eplus results'!$1:$1048576,ROW(),FALSE)</f>
        <v>0</v>
      </c>
      <c r="AD8327" s="580">
        <f t="shared" si="686"/>
        <v>5</v>
      </c>
      <c r="AE8327" s="580">
        <f t="shared" si="687"/>
        <v>2.5</v>
      </c>
      <c r="AF8327" s="580">
        <f t="shared" si="688"/>
        <v>2.5</v>
      </c>
      <c r="AG8327" s="580">
        <f t="shared" si="689"/>
        <v>0</v>
      </c>
      <c r="AH8327" s="580">
        <f t="shared" si="690"/>
        <v>0</v>
      </c>
    </row>
    <row r="8328" spans="28:34">
      <c r="AB8328" s="580">
        <f>HLOOKUP("*"&amp;'Output annual'!$AC$2&amp;'Output annual'!$AD$2&amp;"*Zone People Number Of Occupants [](Hourly)",'Eplus results'!$1:$1048576,ROW(),FALSE)</f>
        <v>0</v>
      </c>
      <c r="AC8328" s="580">
        <f>HLOOKUP("*"&amp;'Output annual'!$AC$2&amp;'Output annual'!$AD$2&amp;"*FangerPMV(Hourly)",'Eplus results'!$1:$1048576,ROW(),FALSE)</f>
        <v>0</v>
      </c>
      <c r="AD8328" s="580">
        <f t="shared" si="686"/>
        <v>5</v>
      </c>
      <c r="AE8328" s="580">
        <f t="shared" si="687"/>
        <v>2.5</v>
      </c>
      <c r="AF8328" s="580">
        <f t="shared" si="688"/>
        <v>2.5</v>
      </c>
      <c r="AG8328" s="580">
        <f t="shared" si="689"/>
        <v>0</v>
      </c>
      <c r="AH8328" s="580">
        <f t="shared" si="690"/>
        <v>0</v>
      </c>
    </row>
    <row r="8329" spans="28:34">
      <c r="AB8329" s="580">
        <f>HLOOKUP("*"&amp;'Output annual'!$AC$2&amp;'Output annual'!$AD$2&amp;"*Zone People Number Of Occupants [](Hourly)",'Eplus results'!$1:$1048576,ROW(),FALSE)</f>
        <v>0</v>
      </c>
      <c r="AC8329" s="580">
        <f>HLOOKUP("*"&amp;'Output annual'!$AC$2&amp;'Output annual'!$AD$2&amp;"*FangerPMV(Hourly)",'Eplus results'!$1:$1048576,ROW(),FALSE)</f>
        <v>0</v>
      </c>
      <c r="AD8329" s="580">
        <f t="shared" si="686"/>
        <v>5</v>
      </c>
      <c r="AE8329" s="580">
        <f t="shared" si="687"/>
        <v>2.5</v>
      </c>
      <c r="AF8329" s="580">
        <f t="shared" si="688"/>
        <v>2.5</v>
      </c>
      <c r="AG8329" s="580">
        <f t="shared" si="689"/>
        <v>0</v>
      </c>
      <c r="AH8329" s="580">
        <f t="shared" si="690"/>
        <v>0</v>
      </c>
    </row>
    <row r="8330" spans="28:34">
      <c r="AB8330" s="580">
        <f>HLOOKUP("*"&amp;'Output annual'!$AC$2&amp;'Output annual'!$AD$2&amp;"*Zone People Number Of Occupants [](Hourly)",'Eplus results'!$1:$1048576,ROW(),FALSE)</f>
        <v>0</v>
      </c>
      <c r="AC8330" s="580">
        <f>HLOOKUP("*"&amp;'Output annual'!$AC$2&amp;'Output annual'!$AD$2&amp;"*FangerPMV(Hourly)",'Eplus results'!$1:$1048576,ROW(),FALSE)</f>
        <v>0</v>
      </c>
      <c r="AD8330" s="580">
        <f t="shared" si="686"/>
        <v>5</v>
      </c>
      <c r="AE8330" s="580">
        <f t="shared" si="687"/>
        <v>2.5</v>
      </c>
      <c r="AF8330" s="580">
        <f t="shared" si="688"/>
        <v>2.5</v>
      </c>
      <c r="AG8330" s="580">
        <f t="shared" si="689"/>
        <v>0</v>
      </c>
      <c r="AH8330" s="580">
        <f t="shared" si="690"/>
        <v>0</v>
      </c>
    </row>
    <row r="8331" spans="28:34">
      <c r="AB8331" s="580">
        <f>HLOOKUP("*"&amp;'Output annual'!$AC$2&amp;'Output annual'!$AD$2&amp;"*Zone People Number Of Occupants [](Hourly)",'Eplus results'!$1:$1048576,ROW(),FALSE)</f>
        <v>0</v>
      </c>
      <c r="AC8331" s="580">
        <f>HLOOKUP("*"&amp;'Output annual'!$AC$2&amp;'Output annual'!$AD$2&amp;"*FangerPMV(Hourly)",'Eplus results'!$1:$1048576,ROW(),FALSE)</f>
        <v>0</v>
      </c>
      <c r="AD8331" s="580">
        <f t="shared" si="686"/>
        <v>5</v>
      </c>
      <c r="AE8331" s="580">
        <f t="shared" si="687"/>
        <v>2.5</v>
      </c>
      <c r="AF8331" s="580">
        <f t="shared" si="688"/>
        <v>2.5</v>
      </c>
      <c r="AG8331" s="580">
        <f t="shared" si="689"/>
        <v>0</v>
      </c>
      <c r="AH8331" s="580">
        <f t="shared" si="690"/>
        <v>0</v>
      </c>
    </row>
    <row r="8332" spans="28:34">
      <c r="AB8332" s="580">
        <f>HLOOKUP("*"&amp;'Output annual'!$AC$2&amp;'Output annual'!$AD$2&amp;"*Zone People Number Of Occupants [](Hourly)",'Eplus results'!$1:$1048576,ROW(),FALSE)</f>
        <v>0</v>
      </c>
      <c r="AC8332" s="580">
        <f>HLOOKUP("*"&amp;'Output annual'!$AC$2&amp;'Output annual'!$AD$2&amp;"*FangerPMV(Hourly)",'Eplus results'!$1:$1048576,ROW(),FALSE)</f>
        <v>0</v>
      </c>
      <c r="AD8332" s="580">
        <f t="shared" si="686"/>
        <v>5</v>
      </c>
      <c r="AE8332" s="580">
        <f t="shared" si="687"/>
        <v>2.5</v>
      </c>
      <c r="AF8332" s="580">
        <f t="shared" si="688"/>
        <v>2.5</v>
      </c>
      <c r="AG8332" s="580">
        <f t="shared" si="689"/>
        <v>0</v>
      </c>
      <c r="AH8332" s="580">
        <f t="shared" si="690"/>
        <v>0</v>
      </c>
    </row>
    <row r="8333" spans="28:34">
      <c r="AB8333" s="580">
        <f>HLOOKUP("*"&amp;'Output annual'!$AC$2&amp;'Output annual'!$AD$2&amp;"*Zone People Number Of Occupants [](Hourly)",'Eplus results'!$1:$1048576,ROW(),FALSE)</f>
        <v>0</v>
      </c>
      <c r="AC8333" s="580">
        <f>HLOOKUP("*"&amp;'Output annual'!$AC$2&amp;'Output annual'!$AD$2&amp;"*FangerPMV(Hourly)",'Eplus results'!$1:$1048576,ROW(),FALSE)</f>
        <v>0</v>
      </c>
      <c r="AD8333" s="580">
        <f t="shared" si="686"/>
        <v>5</v>
      </c>
      <c r="AE8333" s="580">
        <f t="shared" si="687"/>
        <v>2.5</v>
      </c>
      <c r="AF8333" s="580">
        <f t="shared" si="688"/>
        <v>2.5</v>
      </c>
      <c r="AG8333" s="580">
        <f t="shared" si="689"/>
        <v>0</v>
      </c>
      <c r="AH8333" s="580">
        <f t="shared" si="690"/>
        <v>0</v>
      </c>
    </row>
    <row r="8334" spans="28:34">
      <c r="AB8334" s="580">
        <f>HLOOKUP("*"&amp;'Output annual'!$AC$2&amp;'Output annual'!$AD$2&amp;"*Zone People Number Of Occupants [](Hourly)",'Eplus results'!$1:$1048576,ROW(),FALSE)</f>
        <v>0</v>
      </c>
      <c r="AC8334" s="580">
        <f>HLOOKUP("*"&amp;'Output annual'!$AC$2&amp;'Output annual'!$AD$2&amp;"*FangerPMV(Hourly)",'Eplus results'!$1:$1048576,ROW(),FALSE)</f>
        <v>0</v>
      </c>
      <c r="AD8334" s="580">
        <f t="shared" si="686"/>
        <v>5</v>
      </c>
      <c r="AE8334" s="580">
        <f t="shared" si="687"/>
        <v>2.5</v>
      </c>
      <c r="AF8334" s="580">
        <f t="shared" si="688"/>
        <v>2.5</v>
      </c>
      <c r="AG8334" s="580">
        <f t="shared" si="689"/>
        <v>0</v>
      </c>
      <c r="AH8334" s="580">
        <f t="shared" si="690"/>
        <v>0</v>
      </c>
    </row>
    <row r="8335" spans="28:34">
      <c r="AB8335" s="580">
        <f>HLOOKUP("*"&amp;'Output annual'!$AC$2&amp;'Output annual'!$AD$2&amp;"*Zone People Number Of Occupants [](Hourly)",'Eplus results'!$1:$1048576,ROW(),FALSE)</f>
        <v>0</v>
      </c>
      <c r="AC8335" s="580">
        <f>HLOOKUP("*"&amp;'Output annual'!$AC$2&amp;'Output annual'!$AD$2&amp;"*FangerPMV(Hourly)",'Eplus results'!$1:$1048576,ROW(),FALSE)</f>
        <v>0</v>
      </c>
      <c r="AD8335" s="580">
        <f t="shared" si="686"/>
        <v>5</v>
      </c>
      <c r="AE8335" s="580">
        <f t="shared" si="687"/>
        <v>2.5</v>
      </c>
      <c r="AF8335" s="580">
        <f t="shared" si="688"/>
        <v>2.5</v>
      </c>
      <c r="AG8335" s="580">
        <f t="shared" si="689"/>
        <v>0</v>
      </c>
      <c r="AH8335" s="580">
        <f t="shared" si="690"/>
        <v>0</v>
      </c>
    </row>
    <row r="8336" spans="28:34">
      <c r="AB8336" s="580">
        <f>HLOOKUP("*"&amp;'Output annual'!$AC$2&amp;'Output annual'!$AD$2&amp;"*Zone People Number Of Occupants [](Hourly)",'Eplus results'!$1:$1048576,ROW(),FALSE)</f>
        <v>0</v>
      </c>
      <c r="AC8336" s="580">
        <f>HLOOKUP("*"&amp;'Output annual'!$AC$2&amp;'Output annual'!$AD$2&amp;"*FangerPMV(Hourly)",'Eplus results'!$1:$1048576,ROW(),FALSE)</f>
        <v>0</v>
      </c>
      <c r="AD8336" s="580">
        <f t="shared" si="686"/>
        <v>5</v>
      </c>
      <c r="AE8336" s="580">
        <f t="shared" si="687"/>
        <v>2.5</v>
      </c>
      <c r="AF8336" s="580">
        <f t="shared" si="688"/>
        <v>2.5</v>
      </c>
      <c r="AG8336" s="580">
        <f t="shared" si="689"/>
        <v>0</v>
      </c>
      <c r="AH8336" s="580">
        <f t="shared" si="690"/>
        <v>0</v>
      </c>
    </row>
    <row r="8337" spans="28:34">
      <c r="AB8337" s="580">
        <f>HLOOKUP("*"&amp;'Output annual'!$AC$2&amp;'Output annual'!$AD$2&amp;"*Zone People Number Of Occupants [](Hourly)",'Eplus results'!$1:$1048576,ROW(),FALSE)</f>
        <v>0</v>
      </c>
      <c r="AC8337" s="580">
        <f>HLOOKUP("*"&amp;'Output annual'!$AC$2&amp;'Output annual'!$AD$2&amp;"*FangerPMV(Hourly)",'Eplus results'!$1:$1048576,ROW(),FALSE)</f>
        <v>0</v>
      </c>
      <c r="AD8337" s="580">
        <f t="shared" si="686"/>
        <v>5</v>
      </c>
      <c r="AE8337" s="580">
        <f t="shared" si="687"/>
        <v>2.5</v>
      </c>
      <c r="AF8337" s="580">
        <f t="shared" si="688"/>
        <v>2.5</v>
      </c>
      <c r="AG8337" s="580">
        <f t="shared" si="689"/>
        <v>0</v>
      </c>
      <c r="AH8337" s="580">
        <f t="shared" si="690"/>
        <v>0</v>
      </c>
    </row>
    <row r="8338" spans="28:34">
      <c r="AB8338" s="580">
        <f>HLOOKUP("*"&amp;'Output annual'!$AC$2&amp;'Output annual'!$AD$2&amp;"*Zone People Number Of Occupants [](Hourly)",'Eplus results'!$1:$1048576,ROW(),FALSE)</f>
        <v>0</v>
      </c>
      <c r="AC8338" s="580">
        <f>HLOOKUP("*"&amp;'Output annual'!$AC$2&amp;'Output annual'!$AD$2&amp;"*FangerPMV(Hourly)",'Eplus results'!$1:$1048576,ROW(),FALSE)</f>
        <v>0</v>
      </c>
      <c r="AD8338" s="580">
        <f t="shared" si="686"/>
        <v>5</v>
      </c>
      <c r="AE8338" s="580">
        <f t="shared" si="687"/>
        <v>2.5</v>
      </c>
      <c r="AF8338" s="580">
        <f t="shared" si="688"/>
        <v>2.5</v>
      </c>
      <c r="AG8338" s="580">
        <f t="shared" si="689"/>
        <v>0</v>
      </c>
      <c r="AH8338" s="580">
        <f t="shared" si="690"/>
        <v>0</v>
      </c>
    </row>
    <row r="8339" spans="28:34">
      <c r="AB8339" s="580">
        <f>HLOOKUP("*"&amp;'Output annual'!$AC$2&amp;'Output annual'!$AD$2&amp;"*Zone People Number Of Occupants [](Hourly)",'Eplus results'!$1:$1048576,ROW(),FALSE)</f>
        <v>0</v>
      </c>
      <c r="AC8339" s="580">
        <f>HLOOKUP("*"&amp;'Output annual'!$AC$2&amp;'Output annual'!$AD$2&amp;"*FangerPMV(Hourly)",'Eplus results'!$1:$1048576,ROW(),FALSE)</f>
        <v>0</v>
      </c>
      <c r="AD8339" s="580">
        <f t="shared" si="686"/>
        <v>5</v>
      </c>
      <c r="AE8339" s="580">
        <f t="shared" si="687"/>
        <v>2.5</v>
      </c>
      <c r="AF8339" s="580">
        <f t="shared" si="688"/>
        <v>2.5</v>
      </c>
      <c r="AG8339" s="580">
        <f t="shared" si="689"/>
        <v>0</v>
      </c>
      <c r="AH8339" s="580">
        <f t="shared" si="690"/>
        <v>0</v>
      </c>
    </row>
    <row r="8340" spans="28:34">
      <c r="AB8340" s="580">
        <f>HLOOKUP("*"&amp;'Output annual'!$AC$2&amp;'Output annual'!$AD$2&amp;"*Zone People Number Of Occupants [](Hourly)",'Eplus results'!$1:$1048576,ROW(),FALSE)</f>
        <v>0</v>
      </c>
      <c r="AC8340" s="580">
        <f>HLOOKUP("*"&amp;'Output annual'!$AC$2&amp;'Output annual'!$AD$2&amp;"*FangerPMV(Hourly)",'Eplus results'!$1:$1048576,ROW(),FALSE)</f>
        <v>0</v>
      </c>
      <c r="AD8340" s="580">
        <f t="shared" si="686"/>
        <v>5</v>
      </c>
      <c r="AE8340" s="580">
        <f t="shared" si="687"/>
        <v>2.5</v>
      </c>
      <c r="AF8340" s="580">
        <f t="shared" si="688"/>
        <v>2.5</v>
      </c>
      <c r="AG8340" s="580">
        <f t="shared" si="689"/>
        <v>0</v>
      </c>
      <c r="AH8340" s="580">
        <f t="shared" si="690"/>
        <v>0</v>
      </c>
    </row>
    <row r="8341" spans="28:34">
      <c r="AB8341" s="580">
        <f>HLOOKUP("*"&amp;'Output annual'!$AC$2&amp;'Output annual'!$AD$2&amp;"*Zone People Number Of Occupants [](Hourly)",'Eplus results'!$1:$1048576,ROW(),FALSE)</f>
        <v>0</v>
      </c>
      <c r="AC8341" s="580">
        <f>HLOOKUP("*"&amp;'Output annual'!$AC$2&amp;'Output annual'!$AD$2&amp;"*FangerPMV(Hourly)",'Eplus results'!$1:$1048576,ROW(),FALSE)</f>
        <v>0</v>
      </c>
      <c r="AD8341" s="580">
        <f t="shared" si="686"/>
        <v>5</v>
      </c>
      <c r="AE8341" s="580">
        <f t="shared" si="687"/>
        <v>2.5</v>
      </c>
      <c r="AF8341" s="580">
        <f t="shared" si="688"/>
        <v>2.5</v>
      </c>
      <c r="AG8341" s="580">
        <f t="shared" si="689"/>
        <v>0</v>
      </c>
      <c r="AH8341" s="580">
        <f t="shared" si="690"/>
        <v>0</v>
      </c>
    </row>
    <row r="8342" spans="28:34">
      <c r="AB8342" s="580">
        <f>HLOOKUP("*"&amp;'Output annual'!$AC$2&amp;'Output annual'!$AD$2&amp;"*Zone People Number Of Occupants [](Hourly)",'Eplus results'!$1:$1048576,ROW(),FALSE)</f>
        <v>0</v>
      </c>
      <c r="AC8342" s="580">
        <f>HLOOKUP("*"&amp;'Output annual'!$AC$2&amp;'Output annual'!$AD$2&amp;"*FangerPMV(Hourly)",'Eplus results'!$1:$1048576,ROW(),FALSE)</f>
        <v>0</v>
      </c>
      <c r="AD8342" s="580">
        <f t="shared" si="686"/>
        <v>5</v>
      </c>
      <c r="AE8342" s="580">
        <f t="shared" si="687"/>
        <v>2.5</v>
      </c>
      <c r="AF8342" s="580">
        <f t="shared" si="688"/>
        <v>2.5</v>
      </c>
      <c r="AG8342" s="580">
        <f t="shared" si="689"/>
        <v>0</v>
      </c>
      <c r="AH8342" s="580">
        <f t="shared" si="690"/>
        <v>0</v>
      </c>
    </row>
    <row r="8343" spans="28:34">
      <c r="AB8343" s="580">
        <f>HLOOKUP("*"&amp;'Output annual'!$AC$2&amp;'Output annual'!$AD$2&amp;"*Zone People Number Of Occupants [](Hourly)",'Eplus results'!$1:$1048576,ROW(),FALSE)</f>
        <v>0</v>
      </c>
      <c r="AC8343" s="580">
        <f>HLOOKUP("*"&amp;'Output annual'!$AC$2&amp;'Output annual'!$AD$2&amp;"*FangerPMV(Hourly)",'Eplus results'!$1:$1048576,ROW(),FALSE)</f>
        <v>0</v>
      </c>
      <c r="AD8343" s="580">
        <f t="shared" si="686"/>
        <v>5</v>
      </c>
      <c r="AE8343" s="580">
        <f t="shared" si="687"/>
        <v>2.5</v>
      </c>
      <c r="AF8343" s="580">
        <f t="shared" si="688"/>
        <v>2.5</v>
      </c>
      <c r="AG8343" s="580">
        <f t="shared" si="689"/>
        <v>0</v>
      </c>
      <c r="AH8343" s="580">
        <f t="shared" si="690"/>
        <v>0</v>
      </c>
    </row>
    <row r="8344" spans="28:34">
      <c r="AB8344" s="580">
        <f>HLOOKUP("*"&amp;'Output annual'!$AC$2&amp;'Output annual'!$AD$2&amp;"*Zone People Number Of Occupants [](Hourly)",'Eplus results'!$1:$1048576,ROW(),FALSE)</f>
        <v>0</v>
      </c>
      <c r="AC8344" s="580">
        <f>HLOOKUP("*"&amp;'Output annual'!$AC$2&amp;'Output annual'!$AD$2&amp;"*FangerPMV(Hourly)",'Eplus results'!$1:$1048576,ROW(),FALSE)</f>
        <v>0</v>
      </c>
      <c r="AD8344" s="580">
        <f t="shared" si="686"/>
        <v>5</v>
      </c>
      <c r="AE8344" s="580">
        <f t="shared" si="687"/>
        <v>2.5</v>
      </c>
      <c r="AF8344" s="580">
        <f t="shared" si="688"/>
        <v>2.5</v>
      </c>
      <c r="AG8344" s="580">
        <f t="shared" si="689"/>
        <v>0</v>
      </c>
      <c r="AH8344" s="580">
        <f t="shared" si="690"/>
        <v>0</v>
      </c>
    </row>
    <row r="8345" spans="28:34">
      <c r="AB8345" s="580">
        <f>HLOOKUP("*"&amp;'Output annual'!$AC$2&amp;'Output annual'!$AD$2&amp;"*Zone People Number Of Occupants [](Hourly)",'Eplus results'!$1:$1048576,ROW(),FALSE)</f>
        <v>0</v>
      </c>
      <c r="AC8345" s="580">
        <f>HLOOKUP("*"&amp;'Output annual'!$AC$2&amp;'Output annual'!$AD$2&amp;"*FangerPMV(Hourly)",'Eplus results'!$1:$1048576,ROW(),FALSE)</f>
        <v>0</v>
      </c>
      <c r="AD8345" s="580">
        <f t="shared" si="686"/>
        <v>5</v>
      </c>
      <c r="AE8345" s="580">
        <f t="shared" si="687"/>
        <v>2.5</v>
      </c>
      <c r="AF8345" s="580">
        <f t="shared" si="688"/>
        <v>2.5</v>
      </c>
      <c r="AG8345" s="580">
        <f t="shared" si="689"/>
        <v>0</v>
      </c>
      <c r="AH8345" s="580">
        <f t="shared" si="690"/>
        <v>0</v>
      </c>
    </row>
    <row r="8346" spans="28:34">
      <c r="AB8346" s="580">
        <f>HLOOKUP("*"&amp;'Output annual'!$AC$2&amp;'Output annual'!$AD$2&amp;"*Zone People Number Of Occupants [](Hourly)",'Eplus results'!$1:$1048576,ROW(),FALSE)</f>
        <v>0</v>
      </c>
      <c r="AC8346" s="580">
        <f>HLOOKUP("*"&amp;'Output annual'!$AC$2&amp;'Output annual'!$AD$2&amp;"*FangerPMV(Hourly)",'Eplus results'!$1:$1048576,ROW(),FALSE)</f>
        <v>0</v>
      </c>
      <c r="AD8346" s="580">
        <f t="shared" si="686"/>
        <v>5</v>
      </c>
      <c r="AE8346" s="580">
        <f t="shared" si="687"/>
        <v>2.5</v>
      </c>
      <c r="AF8346" s="580">
        <f t="shared" si="688"/>
        <v>2.5</v>
      </c>
      <c r="AG8346" s="580">
        <f t="shared" si="689"/>
        <v>0</v>
      </c>
      <c r="AH8346" s="580">
        <f t="shared" si="690"/>
        <v>0</v>
      </c>
    </row>
    <row r="8347" spans="28:34">
      <c r="AB8347" s="580">
        <f>HLOOKUP("*"&amp;'Output annual'!$AC$2&amp;'Output annual'!$AD$2&amp;"*Zone People Number Of Occupants [](Hourly)",'Eplus results'!$1:$1048576,ROW(),FALSE)</f>
        <v>0</v>
      </c>
      <c r="AC8347" s="580">
        <f>HLOOKUP("*"&amp;'Output annual'!$AC$2&amp;'Output annual'!$AD$2&amp;"*FangerPMV(Hourly)",'Eplus results'!$1:$1048576,ROW(),FALSE)</f>
        <v>0</v>
      </c>
      <c r="AD8347" s="580">
        <f t="shared" si="686"/>
        <v>5</v>
      </c>
      <c r="AE8347" s="580">
        <f t="shared" si="687"/>
        <v>2.5</v>
      </c>
      <c r="AF8347" s="580">
        <f t="shared" si="688"/>
        <v>2.5</v>
      </c>
      <c r="AG8347" s="580">
        <f t="shared" si="689"/>
        <v>0</v>
      </c>
      <c r="AH8347" s="580">
        <f t="shared" si="690"/>
        <v>0</v>
      </c>
    </row>
    <row r="8348" spans="28:34">
      <c r="AB8348" s="580">
        <f>HLOOKUP("*"&amp;'Output annual'!$AC$2&amp;'Output annual'!$AD$2&amp;"*Zone People Number Of Occupants [](Hourly)",'Eplus results'!$1:$1048576,ROW(),FALSE)</f>
        <v>0</v>
      </c>
      <c r="AC8348" s="580">
        <f>HLOOKUP("*"&amp;'Output annual'!$AC$2&amp;'Output annual'!$AD$2&amp;"*FangerPMV(Hourly)",'Eplus results'!$1:$1048576,ROW(),FALSE)</f>
        <v>0</v>
      </c>
      <c r="AD8348" s="580">
        <f t="shared" si="686"/>
        <v>5</v>
      </c>
      <c r="AE8348" s="580">
        <f t="shared" si="687"/>
        <v>2.5</v>
      </c>
      <c r="AF8348" s="580">
        <f t="shared" si="688"/>
        <v>2.5</v>
      </c>
      <c r="AG8348" s="580">
        <f t="shared" si="689"/>
        <v>0</v>
      </c>
      <c r="AH8348" s="580">
        <f t="shared" si="690"/>
        <v>0</v>
      </c>
    </row>
    <row r="8349" spans="28:34">
      <c r="AB8349" s="580">
        <f>HLOOKUP("*"&amp;'Output annual'!$AC$2&amp;'Output annual'!$AD$2&amp;"*Zone People Number Of Occupants [](Hourly)",'Eplus results'!$1:$1048576,ROW(),FALSE)</f>
        <v>0</v>
      </c>
      <c r="AC8349" s="580">
        <f>HLOOKUP("*"&amp;'Output annual'!$AC$2&amp;'Output annual'!$AD$2&amp;"*FangerPMV(Hourly)",'Eplus results'!$1:$1048576,ROW(),FALSE)</f>
        <v>0</v>
      </c>
      <c r="AD8349" s="580">
        <f t="shared" si="686"/>
        <v>5</v>
      </c>
      <c r="AE8349" s="580">
        <f t="shared" si="687"/>
        <v>2.5</v>
      </c>
      <c r="AF8349" s="580">
        <f t="shared" si="688"/>
        <v>2.5</v>
      </c>
      <c r="AG8349" s="580">
        <f t="shared" si="689"/>
        <v>0</v>
      </c>
      <c r="AH8349" s="580">
        <f t="shared" si="690"/>
        <v>0</v>
      </c>
    </row>
    <row r="8350" spans="28:34">
      <c r="AB8350" s="580">
        <f>HLOOKUP("*"&amp;'Output annual'!$AC$2&amp;'Output annual'!$AD$2&amp;"*Zone People Number Of Occupants [](Hourly)",'Eplus results'!$1:$1048576,ROW(),FALSE)</f>
        <v>0</v>
      </c>
      <c r="AC8350" s="580">
        <f>HLOOKUP("*"&amp;'Output annual'!$AC$2&amp;'Output annual'!$AD$2&amp;"*FangerPMV(Hourly)",'Eplus results'!$1:$1048576,ROW(),FALSE)</f>
        <v>0</v>
      </c>
      <c r="AD8350" s="580">
        <f t="shared" si="686"/>
        <v>5</v>
      </c>
      <c r="AE8350" s="580">
        <f t="shared" si="687"/>
        <v>2.5</v>
      </c>
      <c r="AF8350" s="580">
        <f t="shared" si="688"/>
        <v>2.5</v>
      </c>
      <c r="AG8350" s="580">
        <f t="shared" si="689"/>
        <v>0</v>
      </c>
      <c r="AH8350" s="580">
        <f t="shared" si="690"/>
        <v>0</v>
      </c>
    </row>
    <row r="8351" spans="28:34">
      <c r="AB8351" s="580">
        <f>HLOOKUP("*"&amp;'Output annual'!$AC$2&amp;'Output annual'!$AD$2&amp;"*Zone People Number Of Occupants [](Hourly)",'Eplus results'!$1:$1048576,ROW(),FALSE)</f>
        <v>0</v>
      </c>
      <c r="AC8351" s="580">
        <f>HLOOKUP("*"&amp;'Output annual'!$AC$2&amp;'Output annual'!$AD$2&amp;"*FangerPMV(Hourly)",'Eplus results'!$1:$1048576,ROW(),FALSE)</f>
        <v>0</v>
      </c>
      <c r="AD8351" s="580">
        <f t="shared" si="686"/>
        <v>5</v>
      </c>
      <c r="AE8351" s="580">
        <f t="shared" si="687"/>
        <v>2.5</v>
      </c>
      <c r="AF8351" s="580">
        <f t="shared" si="688"/>
        <v>2.5</v>
      </c>
      <c r="AG8351" s="580">
        <f t="shared" si="689"/>
        <v>0</v>
      </c>
      <c r="AH8351" s="580">
        <f t="shared" si="690"/>
        <v>0</v>
      </c>
    </row>
    <row r="8352" spans="28:34">
      <c r="AB8352" s="580">
        <f>HLOOKUP("*"&amp;'Output annual'!$AC$2&amp;'Output annual'!$AD$2&amp;"*Zone People Number Of Occupants [](Hourly)",'Eplus results'!$1:$1048576,ROW(),FALSE)</f>
        <v>0</v>
      </c>
      <c r="AC8352" s="580">
        <f>HLOOKUP("*"&amp;'Output annual'!$AC$2&amp;'Output annual'!$AD$2&amp;"*FangerPMV(Hourly)",'Eplus results'!$1:$1048576,ROW(),FALSE)</f>
        <v>0</v>
      </c>
      <c r="AD8352" s="580">
        <f t="shared" si="686"/>
        <v>5</v>
      </c>
      <c r="AE8352" s="580">
        <f t="shared" si="687"/>
        <v>2.5</v>
      </c>
      <c r="AF8352" s="580">
        <f t="shared" si="688"/>
        <v>2.5</v>
      </c>
      <c r="AG8352" s="580">
        <f t="shared" si="689"/>
        <v>0</v>
      </c>
      <c r="AH8352" s="580">
        <f t="shared" si="690"/>
        <v>0</v>
      </c>
    </row>
    <row r="8353" spans="28:34">
      <c r="AB8353" s="580">
        <f>HLOOKUP("*"&amp;'Output annual'!$AC$2&amp;'Output annual'!$AD$2&amp;"*Zone People Number Of Occupants [](Hourly)",'Eplus results'!$1:$1048576,ROW(),FALSE)</f>
        <v>0</v>
      </c>
      <c r="AC8353" s="580">
        <f>HLOOKUP("*"&amp;'Output annual'!$AC$2&amp;'Output annual'!$AD$2&amp;"*FangerPMV(Hourly)",'Eplus results'!$1:$1048576,ROW(),FALSE)</f>
        <v>0</v>
      </c>
      <c r="AD8353" s="580">
        <f t="shared" si="686"/>
        <v>5</v>
      </c>
      <c r="AE8353" s="580">
        <f t="shared" si="687"/>
        <v>2.5</v>
      </c>
      <c r="AF8353" s="580">
        <f t="shared" si="688"/>
        <v>2.5</v>
      </c>
      <c r="AG8353" s="580">
        <f t="shared" si="689"/>
        <v>0</v>
      </c>
      <c r="AH8353" s="580">
        <f t="shared" si="690"/>
        <v>0</v>
      </c>
    </row>
    <row r="8354" spans="28:34">
      <c r="AB8354" s="580">
        <f>HLOOKUP("*"&amp;'Output annual'!$AC$2&amp;'Output annual'!$AD$2&amp;"*Zone People Number Of Occupants [](Hourly)",'Eplus results'!$1:$1048576,ROW(),FALSE)</f>
        <v>0</v>
      </c>
      <c r="AC8354" s="580">
        <f>HLOOKUP("*"&amp;'Output annual'!$AC$2&amp;'Output annual'!$AD$2&amp;"*FangerPMV(Hourly)",'Eplus results'!$1:$1048576,ROW(),FALSE)</f>
        <v>0</v>
      </c>
      <c r="AD8354" s="580">
        <f t="shared" si="686"/>
        <v>5</v>
      </c>
      <c r="AE8354" s="580">
        <f t="shared" si="687"/>
        <v>2.5</v>
      </c>
      <c r="AF8354" s="580">
        <f t="shared" si="688"/>
        <v>2.5</v>
      </c>
      <c r="AG8354" s="580">
        <f t="shared" si="689"/>
        <v>0</v>
      </c>
      <c r="AH8354" s="580">
        <f t="shared" si="690"/>
        <v>0</v>
      </c>
    </row>
    <row r="8355" spans="28:34">
      <c r="AB8355" s="580">
        <f>HLOOKUP("*"&amp;'Output annual'!$AC$2&amp;'Output annual'!$AD$2&amp;"*Zone People Number Of Occupants [](Hourly)",'Eplus results'!$1:$1048576,ROW(),FALSE)</f>
        <v>0</v>
      </c>
      <c r="AC8355" s="580">
        <f>HLOOKUP("*"&amp;'Output annual'!$AC$2&amp;'Output annual'!$AD$2&amp;"*FangerPMV(Hourly)",'Eplus results'!$1:$1048576,ROW(),FALSE)</f>
        <v>0</v>
      </c>
      <c r="AD8355" s="580">
        <f t="shared" si="686"/>
        <v>5</v>
      </c>
      <c r="AE8355" s="580">
        <f t="shared" si="687"/>
        <v>2.5</v>
      </c>
      <c r="AF8355" s="580">
        <f t="shared" si="688"/>
        <v>2.5</v>
      </c>
      <c r="AG8355" s="580">
        <f t="shared" si="689"/>
        <v>0</v>
      </c>
      <c r="AH8355" s="580">
        <f t="shared" si="690"/>
        <v>0</v>
      </c>
    </row>
    <row r="8356" spans="28:34">
      <c r="AB8356" s="580">
        <f>HLOOKUP("*"&amp;'Output annual'!$AC$2&amp;'Output annual'!$AD$2&amp;"*Zone People Number Of Occupants [](Hourly)",'Eplus results'!$1:$1048576,ROW(),FALSE)</f>
        <v>0</v>
      </c>
      <c r="AC8356" s="580">
        <f>HLOOKUP("*"&amp;'Output annual'!$AC$2&amp;'Output annual'!$AD$2&amp;"*FangerPMV(Hourly)",'Eplus results'!$1:$1048576,ROW(),FALSE)</f>
        <v>0</v>
      </c>
      <c r="AD8356" s="580">
        <f t="shared" si="686"/>
        <v>5</v>
      </c>
      <c r="AE8356" s="580">
        <f t="shared" si="687"/>
        <v>2.5</v>
      </c>
      <c r="AF8356" s="580">
        <f t="shared" si="688"/>
        <v>2.5</v>
      </c>
      <c r="AG8356" s="580">
        <f t="shared" si="689"/>
        <v>0</v>
      </c>
      <c r="AH8356" s="580">
        <f t="shared" si="690"/>
        <v>0</v>
      </c>
    </row>
    <row r="8357" spans="28:34">
      <c r="AB8357" s="580">
        <f>HLOOKUP("*"&amp;'Output annual'!$AC$2&amp;'Output annual'!$AD$2&amp;"*Zone People Number Of Occupants [](Hourly)",'Eplus results'!$1:$1048576,ROW(),FALSE)</f>
        <v>0</v>
      </c>
      <c r="AC8357" s="580">
        <f>HLOOKUP("*"&amp;'Output annual'!$AC$2&amp;'Output annual'!$AD$2&amp;"*FangerPMV(Hourly)",'Eplus results'!$1:$1048576,ROW(),FALSE)</f>
        <v>0</v>
      </c>
      <c r="AD8357" s="580">
        <f t="shared" si="686"/>
        <v>5</v>
      </c>
      <c r="AE8357" s="580">
        <f t="shared" si="687"/>
        <v>2.5</v>
      </c>
      <c r="AF8357" s="580">
        <f t="shared" si="688"/>
        <v>2.5</v>
      </c>
      <c r="AG8357" s="580">
        <f t="shared" si="689"/>
        <v>0</v>
      </c>
      <c r="AH8357" s="580">
        <f t="shared" si="690"/>
        <v>0</v>
      </c>
    </row>
    <row r="8358" spans="28:34">
      <c r="AB8358" s="580">
        <f>HLOOKUP("*"&amp;'Output annual'!$AC$2&amp;'Output annual'!$AD$2&amp;"*Zone People Number Of Occupants [](Hourly)",'Eplus results'!$1:$1048576,ROW(),FALSE)</f>
        <v>0</v>
      </c>
      <c r="AC8358" s="580">
        <f>HLOOKUP("*"&amp;'Output annual'!$AC$2&amp;'Output annual'!$AD$2&amp;"*FangerPMV(Hourly)",'Eplus results'!$1:$1048576,ROW(),FALSE)</f>
        <v>0</v>
      </c>
      <c r="AD8358" s="580">
        <f t="shared" si="686"/>
        <v>5</v>
      </c>
      <c r="AE8358" s="580">
        <f t="shared" si="687"/>
        <v>2.5</v>
      </c>
      <c r="AF8358" s="580">
        <f t="shared" si="688"/>
        <v>2.5</v>
      </c>
      <c r="AG8358" s="580">
        <f t="shared" si="689"/>
        <v>0</v>
      </c>
      <c r="AH8358" s="580">
        <f t="shared" si="690"/>
        <v>0</v>
      </c>
    </row>
    <row r="8359" spans="28:34">
      <c r="AB8359" s="580">
        <f>HLOOKUP("*"&amp;'Output annual'!$AC$2&amp;'Output annual'!$AD$2&amp;"*Zone People Number Of Occupants [](Hourly)",'Eplus results'!$1:$1048576,ROW(),FALSE)</f>
        <v>0</v>
      </c>
      <c r="AC8359" s="580">
        <f>HLOOKUP("*"&amp;'Output annual'!$AC$2&amp;'Output annual'!$AD$2&amp;"*FangerPMV(Hourly)",'Eplus results'!$1:$1048576,ROW(),FALSE)</f>
        <v>0</v>
      </c>
      <c r="AD8359" s="580">
        <f t="shared" si="686"/>
        <v>5</v>
      </c>
      <c r="AE8359" s="580">
        <f t="shared" si="687"/>
        <v>2.5</v>
      </c>
      <c r="AF8359" s="580">
        <f t="shared" si="688"/>
        <v>2.5</v>
      </c>
      <c r="AG8359" s="580">
        <f t="shared" si="689"/>
        <v>0</v>
      </c>
      <c r="AH8359" s="580">
        <f t="shared" si="690"/>
        <v>0</v>
      </c>
    </row>
    <row r="8360" spans="28:34">
      <c r="AB8360" s="580">
        <f>HLOOKUP("*"&amp;'Output annual'!$AC$2&amp;'Output annual'!$AD$2&amp;"*Zone People Number Of Occupants [](Hourly)",'Eplus results'!$1:$1048576,ROW(),FALSE)</f>
        <v>0</v>
      </c>
      <c r="AC8360" s="580">
        <f>HLOOKUP("*"&amp;'Output annual'!$AC$2&amp;'Output annual'!$AD$2&amp;"*FangerPMV(Hourly)",'Eplus results'!$1:$1048576,ROW(),FALSE)</f>
        <v>0</v>
      </c>
      <c r="AD8360" s="580">
        <f t="shared" si="686"/>
        <v>5</v>
      </c>
      <c r="AE8360" s="580">
        <f t="shared" si="687"/>
        <v>2.5</v>
      </c>
      <c r="AF8360" s="580">
        <f t="shared" si="688"/>
        <v>2.5</v>
      </c>
      <c r="AG8360" s="580">
        <f t="shared" si="689"/>
        <v>0</v>
      </c>
      <c r="AH8360" s="580">
        <f t="shared" si="690"/>
        <v>0</v>
      </c>
    </row>
    <row r="8361" spans="28:34">
      <c r="AB8361" s="580">
        <f>HLOOKUP("*"&amp;'Output annual'!$AC$2&amp;'Output annual'!$AD$2&amp;"*Zone People Number Of Occupants [](Hourly)",'Eplus results'!$1:$1048576,ROW(),FALSE)</f>
        <v>0</v>
      </c>
      <c r="AC8361" s="580">
        <f>HLOOKUP("*"&amp;'Output annual'!$AC$2&amp;'Output annual'!$AD$2&amp;"*FangerPMV(Hourly)",'Eplus results'!$1:$1048576,ROW(),FALSE)</f>
        <v>0</v>
      </c>
      <c r="AD8361" s="580">
        <f t="shared" si="686"/>
        <v>5</v>
      </c>
      <c r="AE8361" s="580">
        <f t="shared" si="687"/>
        <v>2.5</v>
      </c>
      <c r="AF8361" s="580">
        <f t="shared" si="688"/>
        <v>2.5</v>
      </c>
      <c r="AG8361" s="580">
        <f t="shared" si="689"/>
        <v>0</v>
      </c>
      <c r="AH8361" s="580">
        <f t="shared" si="690"/>
        <v>0</v>
      </c>
    </row>
    <row r="8362" spans="28:34">
      <c r="AB8362" s="580">
        <f>HLOOKUP("*"&amp;'Output annual'!$AC$2&amp;'Output annual'!$AD$2&amp;"*Zone People Number Of Occupants [](Hourly)",'Eplus results'!$1:$1048576,ROW(),FALSE)</f>
        <v>0</v>
      </c>
      <c r="AC8362" s="580">
        <f>HLOOKUP("*"&amp;'Output annual'!$AC$2&amp;'Output annual'!$AD$2&amp;"*FangerPMV(Hourly)",'Eplus results'!$1:$1048576,ROW(),FALSE)</f>
        <v>0</v>
      </c>
      <c r="AD8362" s="580">
        <f t="shared" si="686"/>
        <v>5</v>
      </c>
      <c r="AE8362" s="580">
        <f t="shared" si="687"/>
        <v>2.5</v>
      </c>
      <c r="AF8362" s="580">
        <f t="shared" si="688"/>
        <v>2.5</v>
      </c>
      <c r="AG8362" s="580">
        <f t="shared" si="689"/>
        <v>0</v>
      </c>
      <c r="AH8362" s="580">
        <f t="shared" si="690"/>
        <v>0</v>
      </c>
    </row>
    <row r="8363" spans="28:34">
      <c r="AB8363" s="580">
        <f>HLOOKUP("*"&amp;'Output annual'!$AC$2&amp;'Output annual'!$AD$2&amp;"*Zone People Number Of Occupants [](Hourly)",'Eplus results'!$1:$1048576,ROW(),FALSE)</f>
        <v>0</v>
      </c>
      <c r="AC8363" s="580">
        <f>HLOOKUP("*"&amp;'Output annual'!$AC$2&amp;'Output annual'!$AD$2&amp;"*FangerPMV(Hourly)",'Eplus results'!$1:$1048576,ROW(),FALSE)</f>
        <v>0</v>
      </c>
      <c r="AD8363" s="580">
        <f t="shared" si="686"/>
        <v>5</v>
      </c>
      <c r="AE8363" s="580">
        <f t="shared" si="687"/>
        <v>2.5</v>
      </c>
      <c r="AF8363" s="580">
        <f t="shared" si="688"/>
        <v>2.5</v>
      </c>
      <c r="AG8363" s="580">
        <f t="shared" si="689"/>
        <v>0</v>
      </c>
      <c r="AH8363" s="580">
        <f t="shared" si="690"/>
        <v>0</v>
      </c>
    </row>
    <row r="8364" spans="28:34">
      <c r="AB8364" s="580">
        <f>HLOOKUP("*"&amp;'Output annual'!$AC$2&amp;'Output annual'!$AD$2&amp;"*Zone People Number Of Occupants [](Hourly)",'Eplus results'!$1:$1048576,ROW(),FALSE)</f>
        <v>0</v>
      </c>
      <c r="AC8364" s="580">
        <f>HLOOKUP("*"&amp;'Output annual'!$AC$2&amp;'Output annual'!$AD$2&amp;"*FangerPMV(Hourly)",'Eplus results'!$1:$1048576,ROW(),FALSE)</f>
        <v>0</v>
      </c>
      <c r="AD8364" s="580">
        <f t="shared" si="686"/>
        <v>5</v>
      </c>
      <c r="AE8364" s="580">
        <f t="shared" si="687"/>
        <v>2.5</v>
      </c>
      <c r="AF8364" s="580">
        <f t="shared" si="688"/>
        <v>2.5</v>
      </c>
      <c r="AG8364" s="580">
        <f t="shared" si="689"/>
        <v>0</v>
      </c>
      <c r="AH8364" s="580">
        <f t="shared" si="690"/>
        <v>0</v>
      </c>
    </row>
    <row r="8365" spans="28:34">
      <c r="AB8365" s="580">
        <f>HLOOKUP("*"&amp;'Output annual'!$AC$2&amp;'Output annual'!$AD$2&amp;"*Zone People Number Of Occupants [](Hourly)",'Eplus results'!$1:$1048576,ROW(),FALSE)</f>
        <v>0</v>
      </c>
      <c r="AC8365" s="580">
        <f>HLOOKUP("*"&amp;'Output annual'!$AC$2&amp;'Output annual'!$AD$2&amp;"*FangerPMV(Hourly)",'Eplus results'!$1:$1048576,ROW(),FALSE)</f>
        <v>0</v>
      </c>
      <c r="AD8365" s="580">
        <f t="shared" si="686"/>
        <v>5</v>
      </c>
      <c r="AE8365" s="580">
        <f t="shared" si="687"/>
        <v>2.5</v>
      </c>
      <c r="AF8365" s="580">
        <f t="shared" si="688"/>
        <v>2.5</v>
      </c>
      <c r="AG8365" s="580">
        <f t="shared" si="689"/>
        <v>0</v>
      </c>
      <c r="AH8365" s="580">
        <f t="shared" si="690"/>
        <v>0</v>
      </c>
    </row>
    <row r="8366" spans="28:34">
      <c r="AB8366" s="580">
        <f>HLOOKUP("*"&amp;'Output annual'!$AC$2&amp;'Output annual'!$AD$2&amp;"*Zone People Number Of Occupants [](Hourly)",'Eplus results'!$1:$1048576,ROW(),FALSE)</f>
        <v>0</v>
      </c>
      <c r="AC8366" s="580">
        <f>HLOOKUP("*"&amp;'Output annual'!$AC$2&amp;'Output annual'!$AD$2&amp;"*FangerPMV(Hourly)",'Eplus results'!$1:$1048576,ROW(),FALSE)</f>
        <v>0</v>
      </c>
      <c r="AD8366" s="580">
        <f t="shared" si="686"/>
        <v>5</v>
      </c>
      <c r="AE8366" s="580">
        <f t="shared" si="687"/>
        <v>2.5</v>
      </c>
      <c r="AF8366" s="580">
        <f t="shared" si="688"/>
        <v>2.5</v>
      </c>
      <c r="AG8366" s="580">
        <f t="shared" si="689"/>
        <v>0</v>
      </c>
      <c r="AH8366" s="580">
        <f t="shared" si="690"/>
        <v>0</v>
      </c>
    </row>
    <row r="8367" spans="28:34">
      <c r="AB8367" s="580">
        <f>HLOOKUP("*"&amp;'Output annual'!$AC$2&amp;'Output annual'!$AD$2&amp;"*Zone People Number Of Occupants [](Hourly)",'Eplus results'!$1:$1048576,ROW(),FALSE)</f>
        <v>0</v>
      </c>
      <c r="AC8367" s="580">
        <f>HLOOKUP("*"&amp;'Output annual'!$AC$2&amp;'Output annual'!$AD$2&amp;"*FangerPMV(Hourly)",'Eplus results'!$1:$1048576,ROW(),FALSE)</f>
        <v>0</v>
      </c>
      <c r="AD8367" s="580">
        <f t="shared" si="686"/>
        <v>5</v>
      </c>
      <c r="AE8367" s="580">
        <f t="shared" si="687"/>
        <v>2.5</v>
      </c>
      <c r="AF8367" s="580">
        <f t="shared" si="688"/>
        <v>2.5</v>
      </c>
      <c r="AG8367" s="580">
        <f t="shared" si="689"/>
        <v>0</v>
      </c>
      <c r="AH8367" s="580">
        <f t="shared" si="690"/>
        <v>0</v>
      </c>
    </row>
    <row r="8368" spans="28:34">
      <c r="AB8368" s="580">
        <f>HLOOKUP("*"&amp;'Output annual'!$AC$2&amp;'Output annual'!$AD$2&amp;"*Zone People Number Of Occupants [](Hourly)",'Eplus results'!$1:$1048576,ROW(),FALSE)</f>
        <v>0</v>
      </c>
      <c r="AC8368" s="580">
        <f>HLOOKUP("*"&amp;'Output annual'!$AC$2&amp;'Output annual'!$AD$2&amp;"*FangerPMV(Hourly)",'Eplus results'!$1:$1048576,ROW(),FALSE)</f>
        <v>0</v>
      </c>
      <c r="AD8368" s="580">
        <f t="shared" si="686"/>
        <v>5</v>
      </c>
      <c r="AE8368" s="580">
        <f t="shared" si="687"/>
        <v>2.5</v>
      </c>
      <c r="AF8368" s="580">
        <f t="shared" si="688"/>
        <v>2.5</v>
      </c>
      <c r="AG8368" s="580">
        <f t="shared" si="689"/>
        <v>0</v>
      </c>
      <c r="AH8368" s="580">
        <f t="shared" si="690"/>
        <v>0</v>
      </c>
    </row>
    <row r="8369" spans="28:34">
      <c r="AB8369" s="580">
        <f>HLOOKUP("*"&amp;'Output annual'!$AC$2&amp;'Output annual'!$AD$2&amp;"*Zone People Number Of Occupants [](Hourly)",'Eplus results'!$1:$1048576,ROW(),FALSE)</f>
        <v>0</v>
      </c>
      <c r="AC8369" s="580">
        <f>HLOOKUP("*"&amp;'Output annual'!$AC$2&amp;'Output annual'!$AD$2&amp;"*FangerPMV(Hourly)",'Eplus results'!$1:$1048576,ROW(),FALSE)</f>
        <v>0</v>
      </c>
      <c r="AD8369" s="580">
        <f t="shared" si="686"/>
        <v>5</v>
      </c>
      <c r="AE8369" s="580">
        <f t="shared" si="687"/>
        <v>2.5</v>
      </c>
      <c r="AF8369" s="580">
        <f t="shared" si="688"/>
        <v>2.5</v>
      </c>
      <c r="AG8369" s="580">
        <f t="shared" si="689"/>
        <v>0</v>
      </c>
      <c r="AH8369" s="580">
        <f t="shared" si="690"/>
        <v>0</v>
      </c>
    </row>
    <row r="8370" spans="28:34">
      <c r="AB8370" s="580">
        <f>HLOOKUP("*"&amp;'Output annual'!$AC$2&amp;'Output annual'!$AD$2&amp;"*Zone People Number Of Occupants [](Hourly)",'Eplus results'!$1:$1048576,ROW(),FALSE)</f>
        <v>0</v>
      </c>
      <c r="AC8370" s="580">
        <f>HLOOKUP("*"&amp;'Output annual'!$AC$2&amp;'Output annual'!$AD$2&amp;"*FangerPMV(Hourly)",'Eplus results'!$1:$1048576,ROW(),FALSE)</f>
        <v>0</v>
      </c>
      <c r="AD8370" s="580">
        <f t="shared" si="686"/>
        <v>5</v>
      </c>
      <c r="AE8370" s="580">
        <f t="shared" si="687"/>
        <v>2.5</v>
      </c>
      <c r="AF8370" s="580">
        <f t="shared" si="688"/>
        <v>2.5</v>
      </c>
      <c r="AG8370" s="580">
        <f t="shared" si="689"/>
        <v>0</v>
      </c>
      <c r="AH8370" s="580">
        <f t="shared" si="690"/>
        <v>0</v>
      </c>
    </row>
    <row r="8371" spans="28:34">
      <c r="AB8371" s="580">
        <f>HLOOKUP("*"&amp;'Output annual'!$AC$2&amp;'Output annual'!$AD$2&amp;"*Zone People Number Of Occupants [](Hourly)",'Eplus results'!$1:$1048576,ROW(),FALSE)</f>
        <v>0</v>
      </c>
      <c r="AC8371" s="580">
        <f>HLOOKUP("*"&amp;'Output annual'!$AC$2&amp;'Output annual'!$AD$2&amp;"*FangerPMV(Hourly)",'Eplus results'!$1:$1048576,ROW(),FALSE)</f>
        <v>0</v>
      </c>
      <c r="AD8371" s="580">
        <f t="shared" si="686"/>
        <v>5</v>
      </c>
      <c r="AE8371" s="580">
        <f t="shared" si="687"/>
        <v>2.5</v>
      </c>
      <c r="AF8371" s="580">
        <f t="shared" si="688"/>
        <v>2.5</v>
      </c>
      <c r="AG8371" s="580">
        <f t="shared" si="689"/>
        <v>0</v>
      </c>
      <c r="AH8371" s="580">
        <f t="shared" si="690"/>
        <v>0</v>
      </c>
    </row>
    <row r="8372" spans="28:34">
      <c r="AB8372" s="580">
        <f>HLOOKUP("*"&amp;'Output annual'!$AC$2&amp;'Output annual'!$AD$2&amp;"*Zone People Number Of Occupants [](Hourly)",'Eplus results'!$1:$1048576,ROW(),FALSE)</f>
        <v>0</v>
      </c>
      <c r="AC8372" s="580">
        <f>HLOOKUP("*"&amp;'Output annual'!$AC$2&amp;'Output annual'!$AD$2&amp;"*FangerPMV(Hourly)",'Eplus results'!$1:$1048576,ROW(),FALSE)</f>
        <v>0</v>
      </c>
      <c r="AD8372" s="580">
        <f t="shared" si="686"/>
        <v>5</v>
      </c>
      <c r="AE8372" s="580">
        <f t="shared" si="687"/>
        <v>2.5</v>
      </c>
      <c r="AF8372" s="580">
        <f t="shared" si="688"/>
        <v>2.5</v>
      </c>
      <c r="AG8372" s="580">
        <f t="shared" si="689"/>
        <v>0</v>
      </c>
      <c r="AH8372" s="580">
        <f t="shared" si="690"/>
        <v>0</v>
      </c>
    </row>
    <row r="8373" spans="28:34">
      <c r="AB8373" s="580">
        <f>HLOOKUP("*"&amp;'Output annual'!$AC$2&amp;'Output annual'!$AD$2&amp;"*Zone People Number Of Occupants [](Hourly)",'Eplus results'!$1:$1048576,ROW(),FALSE)</f>
        <v>0</v>
      </c>
      <c r="AC8373" s="580">
        <f>HLOOKUP("*"&amp;'Output annual'!$AC$2&amp;'Output annual'!$AD$2&amp;"*FangerPMV(Hourly)",'Eplus results'!$1:$1048576,ROW(),FALSE)</f>
        <v>0</v>
      </c>
      <c r="AD8373" s="580">
        <f t="shared" si="686"/>
        <v>5</v>
      </c>
      <c r="AE8373" s="580">
        <f t="shared" si="687"/>
        <v>2.5</v>
      </c>
      <c r="AF8373" s="580">
        <f t="shared" si="688"/>
        <v>2.5</v>
      </c>
      <c r="AG8373" s="580">
        <f t="shared" si="689"/>
        <v>0</v>
      </c>
      <c r="AH8373" s="580">
        <f t="shared" si="690"/>
        <v>0</v>
      </c>
    </row>
    <row r="8374" spans="28:34">
      <c r="AB8374" s="580">
        <f>HLOOKUP("*"&amp;'Output annual'!$AC$2&amp;'Output annual'!$AD$2&amp;"*Zone People Number Of Occupants [](Hourly)",'Eplus results'!$1:$1048576,ROW(),FALSE)</f>
        <v>0</v>
      </c>
      <c r="AC8374" s="580">
        <f>HLOOKUP("*"&amp;'Output annual'!$AC$2&amp;'Output annual'!$AD$2&amp;"*FangerPMV(Hourly)",'Eplus results'!$1:$1048576,ROW(),FALSE)</f>
        <v>0</v>
      </c>
      <c r="AD8374" s="580">
        <f t="shared" si="686"/>
        <v>5</v>
      </c>
      <c r="AE8374" s="580">
        <f t="shared" si="687"/>
        <v>2.5</v>
      </c>
      <c r="AF8374" s="580">
        <f t="shared" si="688"/>
        <v>2.5</v>
      </c>
      <c r="AG8374" s="580">
        <f t="shared" si="689"/>
        <v>0</v>
      </c>
      <c r="AH8374" s="580">
        <f t="shared" si="690"/>
        <v>0</v>
      </c>
    </row>
    <row r="8375" spans="28:34">
      <c r="AB8375" s="580">
        <f>HLOOKUP("*"&amp;'Output annual'!$AC$2&amp;'Output annual'!$AD$2&amp;"*Zone People Number Of Occupants [](Hourly)",'Eplus results'!$1:$1048576,ROW(),FALSE)</f>
        <v>0</v>
      </c>
      <c r="AC8375" s="580">
        <f>HLOOKUP("*"&amp;'Output annual'!$AC$2&amp;'Output annual'!$AD$2&amp;"*FangerPMV(Hourly)",'Eplus results'!$1:$1048576,ROW(),FALSE)</f>
        <v>0</v>
      </c>
      <c r="AD8375" s="580">
        <f t="shared" si="686"/>
        <v>5</v>
      </c>
      <c r="AE8375" s="580">
        <f t="shared" si="687"/>
        <v>2.5</v>
      </c>
      <c r="AF8375" s="580">
        <f t="shared" si="688"/>
        <v>2.5</v>
      </c>
      <c r="AG8375" s="580">
        <f t="shared" si="689"/>
        <v>0</v>
      </c>
      <c r="AH8375" s="580">
        <f t="shared" si="690"/>
        <v>0</v>
      </c>
    </row>
    <row r="8376" spans="28:34">
      <c r="AB8376" s="580">
        <f>HLOOKUP("*"&amp;'Output annual'!$AC$2&amp;'Output annual'!$AD$2&amp;"*Zone People Number Of Occupants [](Hourly)",'Eplus results'!$1:$1048576,ROW(),FALSE)</f>
        <v>0</v>
      </c>
      <c r="AC8376" s="580">
        <f>HLOOKUP("*"&amp;'Output annual'!$AC$2&amp;'Output annual'!$AD$2&amp;"*FangerPMV(Hourly)",'Eplus results'!$1:$1048576,ROW(),FALSE)</f>
        <v>0</v>
      </c>
      <c r="AD8376" s="580">
        <f t="shared" si="686"/>
        <v>5</v>
      </c>
      <c r="AE8376" s="580">
        <f t="shared" si="687"/>
        <v>2.5</v>
      </c>
      <c r="AF8376" s="580">
        <f t="shared" si="688"/>
        <v>2.5</v>
      </c>
      <c r="AG8376" s="580">
        <f t="shared" si="689"/>
        <v>0</v>
      </c>
      <c r="AH8376" s="580">
        <f t="shared" si="690"/>
        <v>0</v>
      </c>
    </row>
    <row r="8377" spans="28:34">
      <c r="AB8377" s="580">
        <f>HLOOKUP("*"&amp;'Output annual'!$AC$2&amp;'Output annual'!$AD$2&amp;"*Zone People Number Of Occupants [](Hourly)",'Eplus results'!$1:$1048576,ROW(),FALSE)</f>
        <v>0</v>
      </c>
      <c r="AC8377" s="580">
        <f>HLOOKUP("*"&amp;'Output annual'!$AC$2&amp;'Output annual'!$AD$2&amp;"*FangerPMV(Hourly)",'Eplus results'!$1:$1048576,ROW(),FALSE)</f>
        <v>0</v>
      </c>
      <c r="AD8377" s="580">
        <f t="shared" si="686"/>
        <v>5</v>
      </c>
      <c r="AE8377" s="580">
        <f t="shared" si="687"/>
        <v>2.5</v>
      </c>
      <c r="AF8377" s="580">
        <f t="shared" si="688"/>
        <v>2.5</v>
      </c>
      <c r="AG8377" s="580">
        <f t="shared" si="689"/>
        <v>0</v>
      </c>
      <c r="AH8377" s="580">
        <f t="shared" si="690"/>
        <v>0</v>
      </c>
    </row>
    <row r="8378" spans="28:34">
      <c r="AB8378" s="580">
        <f>HLOOKUP("*"&amp;'Output annual'!$AC$2&amp;'Output annual'!$AD$2&amp;"*Zone People Number Of Occupants [](Hourly)",'Eplus results'!$1:$1048576,ROW(),FALSE)</f>
        <v>0</v>
      </c>
      <c r="AC8378" s="580">
        <f>HLOOKUP("*"&amp;'Output annual'!$AC$2&amp;'Output annual'!$AD$2&amp;"*FangerPMV(Hourly)",'Eplus results'!$1:$1048576,ROW(),FALSE)</f>
        <v>0</v>
      </c>
      <c r="AD8378" s="580">
        <f t="shared" si="686"/>
        <v>5</v>
      </c>
      <c r="AE8378" s="580">
        <f t="shared" si="687"/>
        <v>2.5</v>
      </c>
      <c r="AF8378" s="580">
        <f t="shared" si="688"/>
        <v>2.5</v>
      </c>
      <c r="AG8378" s="580">
        <f t="shared" si="689"/>
        <v>0</v>
      </c>
      <c r="AH8378" s="580">
        <f t="shared" si="690"/>
        <v>0</v>
      </c>
    </row>
    <row r="8379" spans="28:34">
      <c r="AB8379" s="580">
        <f>HLOOKUP("*"&amp;'Output annual'!$AC$2&amp;'Output annual'!$AD$2&amp;"*Zone People Number Of Occupants [](Hourly)",'Eplus results'!$1:$1048576,ROW(),FALSE)</f>
        <v>0</v>
      </c>
      <c r="AC8379" s="580">
        <f>HLOOKUP("*"&amp;'Output annual'!$AC$2&amp;'Output annual'!$AD$2&amp;"*FangerPMV(Hourly)",'Eplus results'!$1:$1048576,ROW(),FALSE)</f>
        <v>0</v>
      </c>
      <c r="AD8379" s="580">
        <f t="shared" si="686"/>
        <v>5</v>
      </c>
      <c r="AE8379" s="580">
        <f t="shared" si="687"/>
        <v>2.5</v>
      </c>
      <c r="AF8379" s="580">
        <f t="shared" si="688"/>
        <v>2.5</v>
      </c>
      <c r="AG8379" s="580">
        <f t="shared" si="689"/>
        <v>0</v>
      </c>
      <c r="AH8379" s="580">
        <f t="shared" si="690"/>
        <v>0</v>
      </c>
    </row>
    <row r="8380" spans="28:34">
      <c r="AB8380" s="580">
        <f>HLOOKUP("*"&amp;'Output annual'!$AC$2&amp;'Output annual'!$AD$2&amp;"*Zone People Number Of Occupants [](Hourly)",'Eplus results'!$1:$1048576,ROW(),FALSE)</f>
        <v>0</v>
      </c>
      <c r="AC8380" s="580">
        <f>HLOOKUP("*"&amp;'Output annual'!$AC$2&amp;'Output annual'!$AD$2&amp;"*FangerPMV(Hourly)",'Eplus results'!$1:$1048576,ROW(),FALSE)</f>
        <v>0</v>
      </c>
      <c r="AD8380" s="580">
        <f t="shared" si="686"/>
        <v>5</v>
      </c>
      <c r="AE8380" s="580">
        <f t="shared" si="687"/>
        <v>2.5</v>
      </c>
      <c r="AF8380" s="580">
        <f t="shared" si="688"/>
        <v>2.5</v>
      </c>
      <c r="AG8380" s="580">
        <f t="shared" si="689"/>
        <v>0</v>
      </c>
      <c r="AH8380" s="580">
        <f t="shared" si="690"/>
        <v>0</v>
      </c>
    </row>
    <row r="8381" spans="28:34">
      <c r="AB8381" s="580">
        <f>HLOOKUP("*"&amp;'Output annual'!$AC$2&amp;'Output annual'!$AD$2&amp;"*Zone People Number Of Occupants [](Hourly)",'Eplus results'!$1:$1048576,ROW(),FALSE)</f>
        <v>0</v>
      </c>
      <c r="AC8381" s="580">
        <f>HLOOKUP("*"&amp;'Output annual'!$AC$2&amp;'Output annual'!$AD$2&amp;"*FangerPMV(Hourly)",'Eplus results'!$1:$1048576,ROW(),FALSE)</f>
        <v>0</v>
      </c>
      <c r="AD8381" s="580">
        <f t="shared" si="686"/>
        <v>5</v>
      </c>
      <c r="AE8381" s="580">
        <f t="shared" si="687"/>
        <v>2.5</v>
      </c>
      <c r="AF8381" s="580">
        <f t="shared" si="688"/>
        <v>2.5</v>
      </c>
      <c r="AG8381" s="580">
        <f t="shared" si="689"/>
        <v>0</v>
      </c>
      <c r="AH8381" s="580">
        <f t="shared" si="690"/>
        <v>0</v>
      </c>
    </row>
    <row r="8382" spans="28:34">
      <c r="AB8382" s="580">
        <f>HLOOKUP("*"&amp;'Output annual'!$AC$2&amp;'Output annual'!$AD$2&amp;"*Zone People Number Of Occupants [](Hourly)",'Eplus results'!$1:$1048576,ROW(),FALSE)</f>
        <v>0</v>
      </c>
      <c r="AC8382" s="580">
        <f>HLOOKUP("*"&amp;'Output annual'!$AC$2&amp;'Output annual'!$AD$2&amp;"*FangerPMV(Hourly)",'Eplus results'!$1:$1048576,ROW(),FALSE)</f>
        <v>0</v>
      </c>
      <c r="AD8382" s="580">
        <f t="shared" si="686"/>
        <v>5</v>
      </c>
      <c r="AE8382" s="580">
        <f t="shared" si="687"/>
        <v>2.5</v>
      </c>
      <c r="AF8382" s="580">
        <f t="shared" si="688"/>
        <v>2.5</v>
      </c>
      <c r="AG8382" s="580">
        <f t="shared" si="689"/>
        <v>0</v>
      </c>
      <c r="AH8382" s="580">
        <f t="shared" si="690"/>
        <v>0</v>
      </c>
    </row>
    <row r="8383" spans="28:34">
      <c r="AB8383" s="580">
        <f>HLOOKUP("*"&amp;'Output annual'!$AC$2&amp;'Output annual'!$AD$2&amp;"*Zone People Number Of Occupants [](Hourly)",'Eplus results'!$1:$1048576,ROW(),FALSE)</f>
        <v>0</v>
      </c>
      <c r="AC8383" s="580">
        <f>HLOOKUP("*"&amp;'Output annual'!$AC$2&amp;'Output annual'!$AD$2&amp;"*FangerPMV(Hourly)",'Eplus results'!$1:$1048576,ROW(),FALSE)</f>
        <v>0</v>
      </c>
      <c r="AD8383" s="580">
        <f t="shared" si="686"/>
        <v>5</v>
      </c>
      <c r="AE8383" s="580">
        <f t="shared" si="687"/>
        <v>2.5</v>
      </c>
      <c r="AF8383" s="580">
        <f t="shared" si="688"/>
        <v>2.5</v>
      </c>
      <c r="AG8383" s="580">
        <f t="shared" si="689"/>
        <v>0</v>
      </c>
      <c r="AH8383" s="580">
        <f t="shared" si="690"/>
        <v>0</v>
      </c>
    </row>
    <row r="8384" spans="28:34">
      <c r="AB8384" s="580">
        <f>HLOOKUP("*"&amp;'Output annual'!$AC$2&amp;'Output annual'!$AD$2&amp;"*Zone People Number Of Occupants [](Hourly)",'Eplus results'!$1:$1048576,ROW(),FALSE)</f>
        <v>0</v>
      </c>
      <c r="AC8384" s="580">
        <f>HLOOKUP("*"&amp;'Output annual'!$AC$2&amp;'Output annual'!$AD$2&amp;"*FangerPMV(Hourly)",'Eplus results'!$1:$1048576,ROW(),FALSE)</f>
        <v>0</v>
      </c>
      <c r="AD8384" s="580">
        <f t="shared" si="686"/>
        <v>5</v>
      </c>
      <c r="AE8384" s="580">
        <f t="shared" si="687"/>
        <v>2.5</v>
      </c>
      <c r="AF8384" s="580">
        <f t="shared" si="688"/>
        <v>2.5</v>
      </c>
      <c r="AG8384" s="580">
        <f t="shared" si="689"/>
        <v>0</v>
      </c>
      <c r="AH8384" s="580">
        <f t="shared" si="690"/>
        <v>0</v>
      </c>
    </row>
    <row r="8385" spans="28:34">
      <c r="AB8385" s="580">
        <f>HLOOKUP("*"&amp;'Output annual'!$AC$2&amp;'Output annual'!$AD$2&amp;"*Zone People Number Of Occupants [](Hourly)",'Eplus results'!$1:$1048576,ROW(),FALSE)</f>
        <v>0</v>
      </c>
      <c r="AC8385" s="580">
        <f>HLOOKUP("*"&amp;'Output annual'!$AC$2&amp;'Output annual'!$AD$2&amp;"*FangerPMV(Hourly)",'Eplus results'!$1:$1048576,ROW(),FALSE)</f>
        <v>0</v>
      </c>
      <c r="AD8385" s="580">
        <f t="shared" si="686"/>
        <v>5</v>
      </c>
      <c r="AE8385" s="580">
        <f t="shared" si="687"/>
        <v>2.5</v>
      </c>
      <c r="AF8385" s="580">
        <f t="shared" si="688"/>
        <v>2.5</v>
      </c>
      <c r="AG8385" s="580">
        <f t="shared" si="689"/>
        <v>0</v>
      </c>
      <c r="AH8385" s="580">
        <f t="shared" si="690"/>
        <v>0</v>
      </c>
    </row>
    <row r="8386" spans="28:34">
      <c r="AB8386" s="580">
        <f>HLOOKUP("*"&amp;'Output annual'!$AC$2&amp;'Output annual'!$AD$2&amp;"*Zone People Number Of Occupants [](Hourly)",'Eplus results'!$1:$1048576,ROW(),FALSE)</f>
        <v>0</v>
      </c>
      <c r="AC8386" s="580">
        <f>HLOOKUP("*"&amp;'Output annual'!$AC$2&amp;'Output annual'!$AD$2&amp;"*FangerPMV(Hourly)",'Eplus results'!$1:$1048576,ROW(),FALSE)</f>
        <v>0</v>
      </c>
      <c r="AD8386" s="580">
        <f t="shared" si="686"/>
        <v>5</v>
      </c>
      <c r="AE8386" s="580">
        <f t="shared" si="687"/>
        <v>2.5</v>
      </c>
      <c r="AF8386" s="580">
        <f t="shared" si="688"/>
        <v>2.5</v>
      </c>
      <c r="AG8386" s="580">
        <f t="shared" si="689"/>
        <v>0</v>
      </c>
      <c r="AH8386" s="580">
        <f t="shared" si="690"/>
        <v>0</v>
      </c>
    </row>
    <row r="8387" spans="28:34">
      <c r="AB8387" s="580">
        <f>HLOOKUP("*"&amp;'Output annual'!$AC$2&amp;'Output annual'!$AD$2&amp;"*Zone People Number Of Occupants [](Hourly)",'Eplus results'!$1:$1048576,ROW(),FALSE)</f>
        <v>0</v>
      </c>
      <c r="AC8387" s="580">
        <f>HLOOKUP("*"&amp;'Output annual'!$AC$2&amp;'Output annual'!$AD$2&amp;"*FangerPMV(Hourly)",'Eplus results'!$1:$1048576,ROW(),FALSE)</f>
        <v>0</v>
      </c>
      <c r="AD8387" s="580">
        <f t="shared" ref="AD8387:AD8450" si="691">100-95*EXP(-0.03353*AC8387^4-0.2179*AC8387^2)</f>
        <v>5</v>
      </c>
      <c r="AE8387" s="580">
        <f t="shared" ref="AE8387:AE8450" si="692">AD8387*(1/(1+EXP(-6.3*$AC8387)))</f>
        <v>2.5</v>
      </c>
      <c r="AF8387" s="580">
        <f t="shared" ref="AF8387:AF8450" si="693">(AD8387-AE8387)</f>
        <v>2.5</v>
      </c>
      <c r="AG8387" s="580">
        <f t="shared" ref="AG8387:AG8450" si="694">AE8387*AB8387</f>
        <v>0</v>
      </c>
      <c r="AH8387" s="580">
        <f t="shared" ref="AH8387:AH8450" si="695">AF8387*AB8387</f>
        <v>0</v>
      </c>
    </row>
    <row r="8388" spans="28:34">
      <c r="AB8388" s="580">
        <f>HLOOKUP("*"&amp;'Output annual'!$AC$2&amp;'Output annual'!$AD$2&amp;"*Zone People Number Of Occupants [](Hourly)",'Eplus results'!$1:$1048576,ROW(),FALSE)</f>
        <v>0</v>
      </c>
      <c r="AC8388" s="580">
        <f>HLOOKUP("*"&amp;'Output annual'!$AC$2&amp;'Output annual'!$AD$2&amp;"*FangerPMV(Hourly)",'Eplus results'!$1:$1048576,ROW(),FALSE)</f>
        <v>0</v>
      </c>
      <c r="AD8388" s="580">
        <f t="shared" si="691"/>
        <v>5</v>
      </c>
      <c r="AE8388" s="580">
        <f t="shared" si="692"/>
        <v>2.5</v>
      </c>
      <c r="AF8388" s="580">
        <f t="shared" si="693"/>
        <v>2.5</v>
      </c>
      <c r="AG8388" s="580">
        <f t="shared" si="694"/>
        <v>0</v>
      </c>
      <c r="AH8388" s="580">
        <f t="shared" si="695"/>
        <v>0</v>
      </c>
    </row>
    <row r="8389" spans="28:34">
      <c r="AB8389" s="580">
        <f>HLOOKUP("*"&amp;'Output annual'!$AC$2&amp;'Output annual'!$AD$2&amp;"*Zone People Number Of Occupants [](Hourly)",'Eplus results'!$1:$1048576,ROW(),FALSE)</f>
        <v>0</v>
      </c>
      <c r="AC8389" s="580">
        <f>HLOOKUP("*"&amp;'Output annual'!$AC$2&amp;'Output annual'!$AD$2&amp;"*FangerPMV(Hourly)",'Eplus results'!$1:$1048576,ROW(),FALSE)</f>
        <v>0</v>
      </c>
      <c r="AD8389" s="580">
        <f t="shared" si="691"/>
        <v>5</v>
      </c>
      <c r="AE8389" s="580">
        <f t="shared" si="692"/>
        <v>2.5</v>
      </c>
      <c r="AF8389" s="580">
        <f t="shared" si="693"/>
        <v>2.5</v>
      </c>
      <c r="AG8389" s="580">
        <f t="shared" si="694"/>
        <v>0</v>
      </c>
      <c r="AH8389" s="580">
        <f t="shared" si="695"/>
        <v>0</v>
      </c>
    </row>
    <row r="8390" spans="28:34">
      <c r="AB8390" s="580">
        <f>HLOOKUP("*"&amp;'Output annual'!$AC$2&amp;'Output annual'!$AD$2&amp;"*Zone People Number Of Occupants [](Hourly)",'Eplus results'!$1:$1048576,ROW(),FALSE)</f>
        <v>0</v>
      </c>
      <c r="AC8390" s="580">
        <f>HLOOKUP("*"&amp;'Output annual'!$AC$2&amp;'Output annual'!$AD$2&amp;"*FangerPMV(Hourly)",'Eplus results'!$1:$1048576,ROW(),FALSE)</f>
        <v>0</v>
      </c>
      <c r="AD8390" s="580">
        <f t="shared" si="691"/>
        <v>5</v>
      </c>
      <c r="AE8390" s="580">
        <f t="shared" si="692"/>
        <v>2.5</v>
      </c>
      <c r="AF8390" s="580">
        <f t="shared" si="693"/>
        <v>2.5</v>
      </c>
      <c r="AG8390" s="580">
        <f t="shared" si="694"/>
        <v>0</v>
      </c>
      <c r="AH8390" s="580">
        <f t="shared" si="695"/>
        <v>0</v>
      </c>
    </row>
    <row r="8391" spans="28:34">
      <c r="AB8391" s="580">
        <f>HLOOKUP("*"&amp;'Output annual'!$AC$2&amp;'Output annual'!$AD$2&amp;"*Zone People Number Of Occupants [](Hourly)",'Eplus results'!$1:$1048576,ROW(),FALSE)</f>
        <v>0</v>
      </c>
      <c r="AC8391" s="580">
        <f>HLOOKUP("*"&amp;'Output annual'!$AC$2&amp;'Output annual'!$AD$2&amp;"*FangerPMV(Hourly)",'Eplus results'!$1:$1048576,ROW(),FALSE)</f>
        <v>0</v>
      </c>
      <c r="AD8391" s="580">
        <f t="shared" si="691"/>
        <v>5</v>
      </c>
      <c r="AE8391" s="580">
        <f t="shared" si="692"/>
        <v>2.5</v>
      </c>
      <c r="AF8391" s="580">
        <f t="shared" si="693"/>
        <v>2.5</v>
      </c>
      <c r="AG8391" s="580">
        <f t="shared" si="694"/>
        <v>0</v>
      </c>
      <c r="AH8391" s="580">
        <f t="shared" si="695"/>
        <v>0</v>
      </c>
    </row>
    <row r="8392" spans="28:34">
      <c r="AB8392" s="580">
        <f>HLOOKUP("*"&amp;'Output annual'!$AC$2&amp;'Output annual'!$AD$2&amp;"*Zone People Number Of Occupants [](Hourly)",'Eplus results'!$1:$1048576,ROW(),FALSE)</f>
        <v>0</v>
      </c>
      <c r="AC8392" s="580">
        <f>HLOOKUP("*"&amp;'Output annual'!$AC$2&amp;'Output annual'!$AD$2&amp;"*FangerPMV(Hourly)",'Eplus results'!$1:$1048576,ROW(),FALSE)</f>
        <v>0</v>
      </c>
      <c r="AD8392" s="580">
        <f t="shared" si="691"/>
        <v>5</v>
      </c>
      <c r="AE8392" s="580">
        <f t="shared" si="692"/>
        <v>2.5</v>
      </c>
      <c r="AF8392" s="580">
        <f t="shared" si="693"/>
        <v>2.5</v>
      </c>
      <c r="AG8392" s="580">
        <f t="shared" si="694"/>
        <v>0</v>
      </c>
      <c r="AH8392" s="580">
        <f t="shared" si="695"/>
        <v>0</v>
      </c>
    </row>
    <row r="8393" spans="28:34">
      <c r="AB8393" s="580">
        <f>HLOOKUP("*"&amp;'Output annual'!$AC$2&amp;'Output annual'!$AD$2&amp;"*Zone People Number Of Occupants [](Hourly)",'Eplus results'!$1:$1048576,ROW(),FALSE)</f>
        <v>0</v>
      </c>
      <c r="AC8393" s="580">
        <f>HLOOKUP("*"&amp;'Output annual'!$AC$2&amp;'Output annual'!$AD$2&amp;"*FangerPMV(Hourly)",'Eplus results'!$1:$1048576,ROW(),FALSE)</f>
        <v>0</v>
      </c>
      <c r="AD8393" s="580">
        <f t="shared" si="691"/>
        <v>5</v>
      </c>
      <c r="AE8393" s="580">
        <f t="shared" si="692"/>
        <v>2.5</v>
      </c>
      <c r="AF8393" s="580">
        <f t="shared" si="693"/>
        <v>2.5</v>
      </c>
      <c r="AG8393" s="580">
        <f t="shared" si="694"/>
        <v>0</v>
      </c>
      <c r="AH8393" s="580">
        <f t="shared" si="695"/>
        <v>0</v>
      </c>
    </row>
    <row r="8394" spans="28:34">
      <c r="AB8394" s="580">
        <f>HLOOKUP("*"&amp;'Output annual'!$AC$2&amp;'Output annual'!$AD$2&amp;"*Zone People Number Of Occupants [](Hourly)",'Eplus results'!$1:$1048576,ROW(),FALSE)</f>
        <v>0</v>
      </c>
      <c r="AC8394" s="580">
        <f>HLOOKUP("*"&amp;'Output annual'!$AC$2&amp;'Output annual'!$AD$2&amp;"*FangerPMV(Hourly)",'Eplus results'!$1:$1048576,ROW(),FALSE)</f>
        <v>0</v>
      </c>
      <c r="AD8394" s="580">
        <f t="shared" si="691"/>
        <v>5</v>
      </c>
      <c r="AE8394" s="580">
        <f t="shared" si="692"/>
        <v>2.5</v>
      </c>
      <c r="AF8394" s="580">
        <f t="shared" si="693"/>
        <v>2.5</v>
      </c>
      <c r="AG8394" s="580">
        <f t="shared" si="694"/>
        <v>0</v>
      </c>
      <c r="AH8394" s="580">
        <f t="shared" si="695"/>
        <v>0</v>
      </c>
    </row>
    <row r="8395" spans="28:34">
      <c r="AB8395" s="580">
        <f>HLOOKUP("*"&amp;'Output annual'!$AC$2&amp;'Output annual'!$AD$2&amp;"*Zone People Number Of Occupants [](Hourly)",'Eplus results'!$1:$1048576,ROW(),FALSE)</f>
        <v>0</v>
      </c>
      <c r="AC8395" s="580">
        <f>HLOOKUP("*"&amp;'Output annual'!$AC$2&amp;'Output annual'!$AD$2&amp;"*FangerPMV(Hourly)",'Eplus results'!$1:$1048576,ROW(),FALSE)</f>
        <v>0</v>
      </c>
      <c r="AD8395" s="580">
        <f t="shared" si="691"/>
        <v>5</v>
      </c>
      <c r="AE8395" s="580">
        <f t="shared" si="692"/>
        <v>2.5</v>
      </c>
      <c r="AF8395" s="580">
        <f t="shared" si="693"/>
        <v>2.5</v>
      </c>
      <c r="AG8395" s="580">
        <f t="shared" si="694"/>
        <v>0</v>
      </c>
      <c r="AH8395" s="580">
        <f t="shared" si="695"/>
        <v>0</v>
      </c>
    </row>
    <row r="8396" spans="28:34">
      <c r="AB8396" s="580">
        <f>HLOOKUP("*"&amp;'Output annual'!$AC$2&amp;'Output annual'!$AD$2&amp;"*Zone People Number Of Occupants [](Hourly)",'Eplus results'!$1:$1048576,ROW(),FALSE)</f>
        <v>0</v>
      </c>
      <c r="AC8396" s="580">
        <f>HLOOKUP("*"&amp;'Output annual'!$AC$2&amp;'Output annual'!$AD$2&amp;"*FangerPMV(Hourly)",'Eplus results'!$1:$1048576,ROW(),FALSE)</f>
        <v>0</v>
      </c>
      <c r="AD8396" s="580">
        <f t="shared" si="691"/>
        <v>5</v>
      </c>
      <c r="AE8396" s="580">
        <f t="shared" si="692"/>
        <v>2.5</v>
      </c>
      <c r="AF8396" s="580">
        <f t="shared" si="693"/>
        <v>2.5</v>
      </c>
      <c r="AG8396" s="580">
        <f t="shared" si="694"/>
        <v>0</v>
      </c>
      <c r="AH8396" s="580">
        <f t="shared" si="695"/>
        <v>0</v>
      </c>
    </row>
    <row r="8397" spans="28:34">
      <c r="AB8397" s="580">
        <f>HLOOKUP("*"&amp;'Output annual'!$AC$2&amp;'Output annual'!$AD$2&amp;"*Zone People Number Of Occupants [](Hourly)",'Eplus results'!$1:$1048576,ROW(),FALSE)</f>
        <v>0</v>
      </c>
      <c r="AC8397" s="580">
        <f>HLOOKUP("*"&amp;'Output annual'!$AC$2&amp;'Output annual'!$AD$2&amp;"*FangerPMV(Hourly)",'Eplus results'!$1:$1048576,ROW(),FALSE)</f>
        <v>0</v>
      </c>
      <c r="AD8397" s="580">
        <f t="shared" si="691"/>
        <v>5</v>
      </c>
      <c r="AE8397" s="580">
        <f t="shared" si="692"/>
        <v>2.5</v>
      </c>
      <c r="AF8397" s="580">
        <f t="shared" si="693"/>
        <v>2.5</v>
      </c>
      <c r="AG8397" s="580">
        <f t="shared" si="694"/>
        <v>0</v>
      </c>
      <c r="AH8397" s="580">
        <f t="shared" si="695"/>
        <v>0</v>
      </c>
    </row>
    <row r="8398" spans="28:34">
      <c r="AB8398" s="580">
        <f>HLOOKUP("*"&amp;'Output annual'!$AC$2&amp;'Output annual'!$AD$2&amp;"*Zone People Number Of Occupants [](Hourly)",'Eplus results'!$1:$1048576,ROW(),FALSE)</f>
        <v>0</v>
      </c>
      <c r="AC8398" s="580">
        <f>HLOOKUP("*"&amp;'Output annual'!$AC$2&amp;'Output annual'!$AD$2&amp;"*FangerPMV(Hourly)",'Eplus results'!$1:$1048576,ROW(),FALSE)</f>
        <v>0</v>
      </c>
      <c r="AD8398" s="580">
        <f t="shared" si="691"/>
        <v>5</v>
      </c>
      <c r="AE8398" s="580">
        <f t="shared" si="692"/>
        <v>2.5</v>
      </c>
      <c r="AF8398" s="580">
        <f t="shared" si="693"/>
        <v>2.5</v>
      </c>
      <c r="AG8398" s="580">
        <f t="shared" si="694"/>
        <v>0</v>
      </c>
      <c r="AH8398" s="580">
        <f t="shared" si="695"/>
        <v>0</v>
      </c>
    </row>
    <row r="8399" spans="28:34">
      <c r="AB8399" s="580">
        <f>HLOOKUP("*"&amp;'Output annual'!$AC$2&amp;'Output annual'!$AD$2&amp;"*Zone People Number Of Occupants [](Hourly)",'Eplus results'!$1:$1048576,ROW(),FALSE)</f>
        <v>0</v>
      </c>
      <c r="AC8399" s="580">
        <f>HLOOKUP("*"&amp;'Output annual'!$AC$2&amp;'Output annual'!$AD$2&amp;"*FangerPMV(Hourly)",'Eplus results'!$1:$1048576,ROW(),FALSE)</f>
        <v>0</v>
      </c>
      <c r="AD8399" s="580">
        <f t="shared" si="691"/>
        <v>5</v>
      </c>
      <c r="AE8399" s="580">
        <f t="shared" si="692"/>
        <v>2.5</v>
      </c>
      <c r="AF8399" s="580">
        <f t="shared" si="693"/>
        <v>2.5</v>
      </c>
      <c r="AG8399" s="580">
        <f t="shared" si="694"/>
        <v>0</v>
      </c>
      <c r="AH8399" s="580">
        <f t="shared" si="695"/>
        <v>0</v>
      </c>
    </row>
    <row r="8400" spans="28:34">
      <c r="AB8400" s="580">
        <f>HLOOKUP("*"&amp;'Output annual'!$AC$2&amp;'Output annual'!$AD$2&amp;"*Zone People Number Of Occupants [](Hourly)",'Eplus results'!$1:$1048576,ROW(),FALSE)</f>
        <v>0</v>
      </c>
      <c r="AC8400" s="580">
        <f>HLOOKUP("*"&amp;'Output annual'!$AC$2&amp;'Output annual'!$AD$2&amp;"*FangerPMV(Hourly)",'Eplus results'!$1:$1048576,ROW(),FALSE)</f>
        <v>0</v>
      </c>
      <c r="AD8400" s="580">
        <f t="shared" si="691"/>
        <v>5</v>
      </c>
      <c r="AE8400" s="580">
        <f t="shared" si="692"/>
        <v>2.5</v>
      </c>
      <c r="AF8400" s="580">
        <f t="shared" si="693"/>
        <v>2.5</v>
      </c>
      <c r="AG8400" s="580">
        <f t="shared" si="694"/>
        <v>0</v>
      </c>
      <c r="AH8400" s="580">
        <f t="shared" si="695"/>
        <v>0</v>
      </c>
    </row>
    <row r="8401" spans="28:34">
      <c r="AB8401" s="580">
        <f>HLOOKUP("*"&amp;'Output annual'!$AC$2&amp;'Output annual'!$AD$2&amp;"*Zone People Number Of Occupants [](Hourly)",'Eplus results'!$1:$1048576,ROW(),FALSE)</f>
        <v>0</v>
      </c>
      <c r="AC8401" s="580">
        <f>HLOOKUP("*"&amp;'Output annual'!$AC$2&amp;'Output annual'!$AD$2&amp;"*FangerPMV(Hourly)",'Eplus results'!$1:$1048576,ROW(),FALSE)</f>
        <v>0</v>
      </c>
      <c r="AD8401" s="580">
        <f t="shared" si="691"/>
        <v>5</v>
      </c>
      <c r="AE8401" s="580">
        <f t="shared" si="692"/>
        <v>2.5</v>
      </c>
      <c r="AF8401" s="580">
        <f t="shared" si="693"/>
        <v>2.5</v>
      </c>
      <c r="AG8401" s="580">
        <f t="shared" si="694"/>
        <v>0</v>
      </c>
      <c r="AH8401" s="580">
        <f t="shared" si="695"/>
        <v>0</v>
      </c>
    </row>
    <row r="8402" spans="28:34">
      <c r="AB8402" s="580">
        <f>HLOOKUP("*"&amp;'Output annual'!$AC$2&amp;'Output annual'!$AD$2&amp;"*Zone People Number Of Occupants [](Hourly)",'Eplus results'!$1:$1048576,ROW(),FALSE)</f>
        <v>0</v>
      </c>
      <c r="AC8402" s="580">
        <f>HLOOKUP("*"&amp;'Output annual'!$AC$2&amp;'Output annual'!$AD$2&amp;"*FangerPMV(Hourly)",'Eplus results'!$1:$1048576,ROW(),FALSE)</f>
        <v>0</v>
      </c>
      <c r="AD8402" s="580">
        <f t="shared" si="691"/>
        <v>5</v>
      </c>
      <c r="AE8402" s="580">
        <f t="shared" si="692"/>
        <v>2.5</v>
      </c>
      <c r="AF8402" s="580">
        <f t="shared" si="693"/>
        <v>2.5</v>
      </c>
      <c r="AG8402" s="580">
        <f t="shared" si="694"/>
        <v>0</v>
      </c>
      <c r="AH8402" s="580">
        <f t="shared" si="695"/>
        <v>0</v>
      </c>
    </row>
    <row r="8403" spans="28:34">
      <c r="AB8403" s="580">
        <f>HLOOKUP("*"&amp;'Output annual'!$AC$2&amp;'Output annual'!$AD$2&amp;"*Zone People Number Of Occupants [](Hourly)",'Eplus results'!$1:$1048576,ROW(),FALSE)</f>
        <v>0</v>
      </c>
      <c r="AC8403" s="580">
        <f>HLOOKUP("*"&amp;'Output annual'!$AC$2&amp;'Output annual'!$AD$2&amp;"*FangerPMV(Hourly)",'Eplus results'!$1:$1048576,ROW(),FALSE)</f>
        <v>0</v>
      </c>
      <c r="AD8403" s="580">
        <f t="shared" si="691"/>
        <v>5</v>
      </c>
      <c r="AE8403" s="580">
        <f t="shared" si="692"/>
        <v>2.5</v>
      </c>
      <c r="AF8403" s="580">
        <f t="shared" si="693"/>
        <v>2.5</v>
      </c>
      <c r="AG8403" s="580">
        <f t="shared" si="694"/>
        <v>0</v>
      </c>
      <c r="AH8403" s="580">
        <f t="shared" si="695"/>
        <v>0</v>
      </c>
    </row>
    <row r="8404" spans="28:34">
      <c r="AB8404" s="580">
        <f>HLOOKUP("*"&amp;'Output annual'!$AC$2&amp;'Output annual'!$AD$2&amp;"*Zone People Number Of Occupants [](Hourly)",'Eplus results'!$1:$1048576,ROW(),FALSE)</f>
        <v>0</v>
      </c>
      <c r="AC8404" s="580">
        <f>HLOOKUP("*"&amp;'Output annual'!$AC$2&amp;'Output annual'!$AD$2&amp;"*FangerPMV(Hourly)",'Eplus results'!$1:$1048576,ROW(),FALSE)</f>
        <v>0</v>
      </c>
      <c r="AD8404" s="580">
        <f t="shared" si="691"/>
        <v>5</v>
      </c>
      <c r="AE8404" s="580">
        <f t="shared" si="692"/>
        <v>2.5</v>
      </c>
      <c r="AF8404" s="580">
        <f t="shared" si="693"/>
        <v>2.5</v>
      </c>
      <c r="AG8404" s="580">
        <f t="shared" si="694"/>
        <v>0</v>
      </c>
      <c r="AH8404" s="580">
        <f t="shared" si="695"/>
        <v>0</v>
      </c>
    </row>
    <row r="8405" spans="28:34">
      <c r="AB8405" s="580">
        <f>HLOOKUP("*"&amp;'Output annual'!$AC$2&amp;'Output annual'!$AD$2&amp;"*Zone People Number Of Occupants [](Hourly)",'Eplus results'!$1:$1048576,ROW(),FALSE)</f>
        <v>0</v>
      </c>
      <c r="AC8405" s="580">
        <f>HLOOKUP("*"&amp;'Output annual'!$AC$2&amp;'Output annual'!$AD$2&amp;"*FangerPMV(Hourly)",'Eplus results'!$1:$1048576,ROW(),FALSE)</f>
        <v>0</v>
      </c>
      <c r="AD8405" s="580">
        <f t="shared" si="691"/>
        <v>5</v>
      </c>
      <c r="AE8405" s="580">
        <f t="shared" si="692"/>
        <v>2.5</v>
      </c>
      <c r="AF8405" s="580">
        <f t="shared" si="693"/>
        <v>2.5</v>
      </c>
      <c r="AG8405" s="580">
        <f t="shared" si="694"/>
        <v>0</v>
      </c>
      <c r="AH8405" s="580">
        <f t="shared" si="695"/>
        <v>0</v>
      </c>
    </row>
    <row r="8406" spans="28:34">
      <c r="AB8406" s="580">
        <f>HLOOKUP("*"&amp;'Output annual'!$AC$2&amp;'Output annual'!$AD$2&amp;"*Zone People Number Of Occupants [](Hourly)",'Eplus results'!$1:$1048576,ROW(),FALSE)</f>
        <v>0</v>
      </c>
      <c r="AC8406" s="580">
        <f>HLOOKUP("*"&amp;'Output annual'!$AC$2&amp;'Output annual'!$AD$2&amp;"*FangerPMV(Hourly)",'Eplus results'!$1:$1048576,ROW(),FALSE)</f>
        <v>0</v>
      </c>
      <c r="AD8406" s="580">
        <f t="shared" si="691"/>
        <v>5</v>
      </c>
      <c r="AE8406" s="580">
        <f t="shared" si="692"/>
        <v>2.5</v>
      </c>
      <c r="AF8406" s="580">
        <f t="shared" si="693"/>
        <v>2.5</v>
      </c>
      <c r="AG8406" s="580">
        <f t="shared" si="694"/>
        <v>0</v>
      </c>
      <c r="AH8406" s="580">
        <f t="shared" si="695"/>
        <v>0</v>
      </c>
    </row>
    <row r="8407" spans="28:34">
      <c r="AB8407" s="580">
        <f>HLOOKUP("*"&amp;'Output annual'!$AC$2&amp;'Output annual'!$AD$2&amp;"*Zone People Number Of Occupants [](Hourly)",'Eplus results'!$1:$1048576,ROW(),FALSE)</f>
        <v>0</v>
      </c>
      <c r="AC8407" s="580">
        <f>HLOOKUP("*"&amp;'Output annual'!$AC$2&amp;'Output annual'!$AD$2&amp;"*FangerPMV(Hourly)",'Eplus results'!$1:$1048576,ROW(),FALSE)</f>
        <v>0</v>
      </c>
      <c r="AD8407" s="580">
        <f t="shared" si="691"/>
        <v>5</v>
      </c>
      <c r="AE8407" s="580">
        <f t="shared" si="692"/>
        <v>2.5</v>
      </c>
      <c r="AF8407" s="580">
        <f t="shared" si="693"/>
        <v>2.5</v>
      </c>
      <c r="AG8407" s="580">
        <f t="shared" si="694"/>
        <v>0</v>
      </c>
      <c r="AH8407" s="580">
        <f t="shared" si="695"/>
        <v>0</v>
      </c>
    </row>
    <row r="8408" spans="28:34">
      <c r="AB8408" s="580">
        <f>HLOOKUP("*"&amp;'Output annual'!$AC$2&amp;'Output annual'!$AD$2&amp;"*Zone People Number Of Occupants [](Hourly)",'Eplus results'!$1:$1048576,ROW(),FALSE)</f>
        <v>0</v>
      </c>
      <c r="AC8408" s="580">
        <f>HLOOKUP("*"&amp;'Output annual'!$AC$2&amp;'Output annual'!$AD$2&amp;"*FangerPMV(Hourly)",'Eplus results'!$1:$1048576,ROW(),FALSE)</f>
        <v>0</v>
      </c>
      <c r="AD8408" s="580">
        <f t="shared" si="691"/>
        <v>5</v>
      </c>
      <c r="AE8408" s="580">
        <f t="shared" si="692"/>
        <v>2.5</v>
      </c>
      <c r="AF8408" s="580">
        <f t="shared" si="693"/>
        <v>2.5</v>
      </c>
      <c r="AG8408" s="580">
        <f t="shared" si="694"/>
        <v>0</v>
      </c>
      <c r="AH8408" s="580">
        <f t="shared" si="695"/>
        <v>0</v>
      </c>
    </row>
    <row r="8409" spans="28:34">
      <c r="AB8409" s="580">
        <f>HLOOKUP("*"&amp;'Output annual'!$AC$2&amp;'Output annual'!$AD$2&amp;"*Zone People Number Of Occupants [](Hourly)",'Eplus results'!$1:$1048576,ROW(),FALSE)</f>
        <v>0</v>
      </c>
      <c r="AC8409" s="580">
        <f>HLOOKUP("*"&amp;'Output annual'!$AC$2&amp;'Output annual'!$AD$2&amp;"*FangerPMV(Hourly)",'Eplus results'!$1:$1048576,ROW(),FALSE)</f>
        <v>0</v>
      </c>
      <c r="AD8409" s="580">
        <f t="shared" si="691"/>
        <v>5</v>
      </c>
      <c r="AE8409" s="580">
        <f t="shared" si="692"/>
        <v>2.5</v>
      </c>
      <c r="AF8409" s="580">
        <f t="shared" si="693"/>
        <v>2.5</v>
      </c>
      <c r="AG8409" s="580">
        <f t="shared" si="694"/>
        <v>0</v>
      </c>
      <c r="AH8409" s="580">
        <f t="shared" si="695"/>
        <v>0</v>
      </c>
    </row>
    <row r="8410" spans="28:34">
      <c r="AB8410" s="580">
        <f>HLOOKUP("*"&amp;'Output annual'!$AC$2&amp;'Output annual'!$AD$2&amp;"*Zone People Number Of Occupants [](Hourly)",'Eplus results'!$1:$1048576,ROW(),FALSE)</f>
        <v>0</v>
      </c>
      <c r="AC8410" s="580">
        <f>HLOOKUP("*"&amp;'Output annual'!$AC$2&amp;'Output annual'!$AD$2&amp;"*FangerPMV(Hourly)",'Eplus results'!$1:$1048576,ROW(),FALSE)</f>
        <v>0</v>
      </c>
      <c r="AD8410" s="580">
        <f t="shared" si="691"/>
        <v>5</v>
      </c>
      <c r="AE8410" s="580">
        <f t="shared" si="692"/>
        <v>2.5</v>
      </c>
      <c r="AF8410" s="580">
        <f t="shared" si="693"/>
        <v>2.5</v>
      </c>
      <c r="AG8410" s="580">
        <f t="shared" si="694"/>
        <v>0</v>
      </c>
      <c r="AH8410" s="580">
        <f t="shared" si="695"/>
        <v>0</v>
      </c>
    </row>
    <row r="8411" spans="28:34">
      <c r="AB8411" s="580">
        <f>HLOOKUP("*"&amp;'Output annual'!$AC$2&amp;'Output annual'!$AD$2&amp;"*Zone People Number Of Occupants [](Hourly)",'Eplus results'!$1:$1048576,ROW(),FALSE)</f>
        <v>0</v>
      </c>
      <c r="AC8411" s="580">
        <f>HLOOKUP("*"&amp;'Output annual'!$AC$2&amp;'Output annual'!$AD$2&amp;"*FangerPMV(Hourly)",'Eplus results'!$1:$1048576,ROW(),FALSE)</f>
        <v>0</v>
      </c>
      <c r="AD8411" s="580">
        <f t="shared" si="691"/>
        <v>5</v>
      </c>
      <c r="AE8411" s="580">
        <f t="shared" si="692"/>
        <v>2.5</v>
      </c>
      <c r="AF8411" s="580">
        <f t="shared" si="693"/>
        <v>2.5</v>
      </c>
      <c r="AG8411" s="580">
        <f t="shared" si="694"/>
        <v>0</v>
      </c>
      <c r="AH8411" s="580">
        <f t="shared" si="695"/>
        <v>0</v>
      </c>
    </row>
    <row r="8412" spans="28:34">
      <c r="AB8412" s="580">
        <f>HLOOKUP("*"&amp;'Output annual'!$AC$2&amp;'Output annual'!$AD$2&amp;"*Zone People Number Of Occupants [](Hourly)",'Eplus results'!$1:$1048576,ROW(),FALSE)</f>
        <v>0</v>
      </c>
      <c r="AC8412" s="580">
        <f>HLOOKUP("*"&amp;'Output annual'!$AC$2&amp;'Output annual'!$AD$2&amp;"*FangerPMV(Hourly)",'Eplus results'!$1:$1048576,ROW(),FALSE)</f>
        <v>0</v>
      </c>
      <c r="AD8412" s="580">
        <f t="shared" si="691"/>
        <v>5</v>
      </c>
      <c r="AE8412" s="580">
        <f t="shared" si="692"/>
        <v>2.5</v>
      </c>
      <c r="AF8412" s="580">
        <f t="shared" si="693"/>
        <v>2.5</v>
      </c>
      <c r="AG8412" s="580">
        <f t="shared" si="694"/>
        <v>0</v>
      </c>
      <c r="AH8412" s="580">
        <f t="shared" si="695"/>
        <v>0</v>
      </c>
    </row>
    <row r="8413" spans="28:34">
      <c r="AB8413" s="580">
        <f>HLOOKUP("*"&amp;'Output annual'!$AC$2&amp;'Output annual'!$AD$2&amp;"*Zone People Number Of Occupants [](Hourly)",'Eplus results'!$1:$1048576,ROW(),FALSE)</f>
        <v>0</v>
      </c>
      <c r="AC8413" s="580">
        <f>HLOOKUP("*"&amp;'Output annual'!$AC$2&amp;'Output annual'!$AD$2&amp;"*FangerPMV(Hourly)",'Eplus results'!$1:$1048576,ROW(),FALSE)</f>
        <v>0</v>
      </c>
      <c r="AD8413" s="580">
        <f t="shared" si="691"/>
        <v>5</v>
      </c>
      <c r="AE8413" s="580">
        <f t="shared" si="692"/>
        <v>2.5</v>
      </c>
      <c r="AF8413" s="580">
        <f t="shared" si="693"/>
        <v>2.5</v>
      </c>
      <c r="AG8413" s="580">
        <f t="shared" si="694"/>
        <v>0</v>
      </c>
      <c r="AH8413" s="580">
        <f t="shared" si="695"/>
        <v>0</v>
      </c>
    </row>
    <row r="8414" spans="28:34">
      <c r="AB8414" s="580">
        <f>HLOOKUP("*"&amp;'Output annual'!$AC$2&amp;'Output annual'!$AD$2&amp;"*Zone People Number Of Occupants [](Hourly)",'Eplus results'!$1:$1048576,ROW(),FALSE)</f>
        <v>0</v>
      </c>
      <c r="AC8414" s="580">
        <f>HLOOKUP("*"&amp;'Output annual'!$AC$2&amp;'Output annual'!$AD$2&amp;"*FangerPMV(Hourly)",'Eplus results'!$1:$1048576,ROW(),FALSE)</f>
        <v>0</v>
      </c>
      <c r="AD8414" s="580">
        <f t="shared" si="691"/>
        <v>5</v>
      </c>
      <c r="AE8414" s="580">
        <f t="shared" si="692"/>
        <v>2.5</v>
      </c>
      <c r="AF8414" s="580">
        <f t="shared" si="693"/>
        <v>2.5</v>
      </c>
      <c r="AG8414" s="580">
        <f t="shared" si="694"/>
        <v>0</v>
      </c>
      <c r="AH8414" s="580">
        <f t="shared" si="695"/>
        <v>0</v>
      </c>
    </row>
    <row r="8415" spans="28:34">
      <c r="AB8415" s="580">
        <f>HLOOKUP("*"&amp;'Output annual'!$AC$2&amp;'Output annual'!$AD$2&amp;"*Zone People Number Of Occupants [](Hourly)",'Eplus results'!$1:$1048576,ROW(),FALSE)</f>
        <v>0</v>
      </c>
      <c r="AC8415" s="580">
        <f>HLOOKUP("*"&amp;'Output annual'!$AC$2&amp;'Output annual'!$AD$2&amp;"*FangerPMV(Hourly)",'Eplus results'!$1:$1048576,ROW(),FALSE)</f>
        <v>0</v>
      </c>
      <c r="AD8415" s="580">
        <f t="shared" si="691"/>
        <v>5</v>
      </c>
      <c r="AE8415" s="580">
        <f t="shared" si="692"/>
        <v>2.5</v>
      </c>
      <c r="AF8415" s="580">
        <f t="shared" si="693"/>
        <v>2.5</v>
      </c>
      <c r="AG8415" s="580">
        <f t="shared" si="694"/>
        <v>0</v>
      </c>
      <c r="AH8415" s="580">
        <f t="shared" si="695"/>
        <v>0</v>
      </c>
    </row>
    <row r="8416" spans="28:34">
      <c r="AB8416" s="580">
        <f>HLOOKUP("*"&amp;'Output annual'!$AC$2&amp;'Output annual'!$AD$2&amp;"*Zone People Number Of Occupants [](Hourly)",'Eplus results'!$1:$1048576,ROW(),FALSE)</f>
        <v>0</v>
      </c>
      <c r="AC8416" s="580">
        <f>HLOOKUP("*"&amp;'Output annual'!$AC$2&amp;'Output annual'!$AD$2&amp;"*FangerPMV(Hourly)",'Eplus results'!$1:$1048576,ROW(),FALSE)</f>
        <v>0</v>
      </c>
      <c r="AD8416" s="580">
        <f t="shared" si="691"/>
        <v>5</v>
      </c>
      <c r="AE8416" s="580">
        <f t="shared" si="692"/>
        <v>2.5</v>
      </c>
      <c r="AF8416" s="580">
        <f t="shared" si="693"/>
        <v>2.5</v>
      </c>
      <c r="AG8416" s="580">
        <f t="shared" si="694"/>
        <v>0</v>
      </c>
      <c r="AH8416" s="580">
        <f t="shared" si="695"/>
        <v>0</v>
      </c>
    </row>
    <row r="8417" spans="28:34">
      <c r="AB8417" s="580">
        <f>HLOOKUP("*"&amp;'Output annual'!$AC$2&amp;'Output annual'!$AD$2&amp;"*Zone People Number Of Occupants [](Hourly)",'Eplus results'!$1:$1048576,ROW(),FALSE)</f>
        <v>0</v>
      </c>
      <c r="AC8417" s="580">
        <f>HLOOKUP("*"&amp;'Output annual'!$AC$2&amp;'Output annual'!$AD$2&amp;"*FangerPMV(Hourly)",'Eplus results'!$1:$1048576,ROW(),FALSE)</f>
        <v>0</v>
      </c>
      <c r="AD8417" s="580">
        <f t="shared" si="691"/>
        <v>5</v>
      </c>
      <c r="AE8417" s="580">
        <f t="shared" si="692"/>
        <v>2.5</v>
      </c>
      <c r="AF8417" s="580">
        <f t="shared" si="693"/>
        <v>2.5</v>
      </c>
      <c r="AG8417" s="580">
        <f t="shared" si="694"/>
        <v>0</v>
      </c>
      <c r="AH8417" s="580">
        <f t="shared" si="695"/>
        <v>0</v>
      </c>
    </row>
    <row r="8418" spans="28:34">
      <c r="AB8418" s="580">
        <f>HLOOKUP("*"&amp;'Output annual'!$AC$2&amp;'Output annual'!$AD$2&amp;"*Zone People Number Of Occupants [](Hourly)",'Eplus results'!$1:$1048576,ROW(),FALSE)</f>
        <v>0</v>
      </c>
      <c r="AC8418" s="580">
        <f>HLOOKUP("*"&amp;'Output annual'!$AC$2&amp;'Output annual'!$AD$2&amp;"*FangerPMV(Hourly)",'Eplus results'!$1:$1048576,ROW(),FALSE)</f>
        <v>0</v>
      </c>
      <c r="AD8418" s="580">
        <f t="shared" si="691"/>
        <v>5</v>
      </c>
      <c r="AE8418" s="580">
        <f t="shared" si="692"/>
        <v>2.5</v>
      </c>
      <c r="AF8418" s="580">
        <f t="shared" si="693"/>
        <v>2.5</v>
      </c>
      <c r="AG8418" s="580">
        <f t="shared" si="694"/>
        <v>0</v>
      </c>
      <c r="AH8418" s="580">
        <f t="shared" si="695"/>
        <v>0</v>
      </c>
    </row>
    <row r="8419" spans="28:34">
      <c r="AB8419" s="580">
        <f>HLOOKUP("*"&amp;'Output annual'!$AC$2&amp;'Output annual'!$AD$2&amp;"*Zone People Number Of Occupants [](Hourly)",'Eplus results'!$1:$1048576,ROW(),FALSE)</f>
        <v>0</v>
      </c>
      <c r="AC8419" s="580">
        <f>HLOOKUP("*"&amp;'Output annual'!$AC$2&amp;'Output annual'!$AD$2&amp;"*FangerPMV(Hourly)",'Eplus results'!$1:$1048576,ROW(),FALSE)</f>
        <v>0</v>
      </c>
      <c r="AD8419" s="580">
        <f t="shared" si="691"/>
        <v>5</v>
      </c>
      <c r="AE8419" s="580">
        <f t="shared" si="692"/>
        <v>2.5</v>
      </c>
      <c r="AF8419" s="580">
        <f t="shared" si="693"/>
        <v>2.5</v>
      </c>
      <c r="AG8419" s="580">
        <f t="shared" si="694"/>
        <v>0</v>
      </c>
      <c r="AH8419" s="580">
        <f t="shared" si="695"/>
        <v>0</v>
      </c>
    </row>
    <row r="8420" spans="28:34">
      <c r="AB8420" s="580">
        <f>HLOOKUP("*"&amp;'Output annual'!$AC$2&amp;'Output annual'!$AD$2&amp;"*Zone People Number Of Occupants [](Hourly)",'Eplus results'!$1:$1048576,ROW(),FALSE)</f>
        <v>0</v>
      </c>
      <c r="AC8420" s="580">
        <f>HLOOKUP("*"&amp;'Output annual'!$AC$2&amp;'Output annual'!$AD$2&amp;"*FangerPMV(Hourly)",'Eplus results'!$1:$1048576,ROW(),FALSE)</f>
        <v>0</v>
      </c>
      <c r="AD8420" s="580">
        <f t="shared" si="691"/>
        <v>5</v>
      </c>
      <c r="AE8420" s="580">
        <f t="shared" si="692"/>
        <v>2.5</v>
      </c>
      <c r="AF8420" s="580">
        <f t="shared" si="693"/>
        <v>2.5</v>
      </c>
      <c r="AG8420" s="580">
        <f t="shared" si="694"/>
        <v>0</v>
      </c>
      <c r="AH8420" s="580">
        <f t="shared" si="695"/>
        <v>0</v>
      </c>
    </row>
    <row r="8421" spans="28:34">
      <c r="AB8421" s="580">
        <f>HLOOKUP("*"&amp;'Output annual'!$AC$2&amp;'Output annual'!$AD$2&amp;"*Zone People Number Of Occupants [](Hourly)",'Eplus results'!$1:$1048576,ROW(),FALSE)</f>
        <v>0</v>
      </c>
      <c r="AC8421" s="580">
        <f>HLOOKUP("*"&amp;'Output annual'!$AC$2&amp;'Output annual'!$AD$2&amp;"*FangerPMV(Hourly)",'Eplus results'!$1:$1048576,ROW(),FALSE)</f>
        <v>0</v>
      </c>
      <c r="AD8421" s="580">
        <f t="shared" si="691"/>
        <v>5</v>
      </c>
      <c r="AE8421" s="580">
        <f t="shared" si="692"/>
        <v>2.5</v>
      </c>
      <c r="AF8421" s="580">
        <f t="shared" si="693"/>
        <v>2.5</v>
      </c>
      <c r="AG8421" s="580">
        <f t="shared" si="694"/>
        <v>0</v>
      </c>
      <c r="AH8421" s="580">
        <f t="shared" si="695"/>
        <v>0</v>
      </c>
    </row>
    <row r="8422" spans="28:34">
      <c r="AB8422" s="580">
        <f>HLOOKUP("*"&amp;'Output annual'!$AC$2&amp;'Output annual'!$AD$2&amp;"*Zone People Number Of Occupants [](Hourly)",'Eplus results'!$1:$1048576,ROW(),FALSE)</f>
        <v>0</v>
      </c>
      <c r="AC8422" s="580">
        <f>HLOOKUP("*"&amp;'Output annual'!$AC$2&amp;'Output annual'!$AD$2&amp;"*FangerPMV(Hourly)",'Eplus results'!$1:$1048576,ROW(),FALSE)</f>
        <v>0</v>
      </c>
      <c r="AD8422" s="580">
        <f t="shared" si="691"/>
        <v>5</v>
      </c>
      <c r="AE8422" s="580">
        <f t="shared" si="692"/>
        <v>2.5</v>
      </c>
      <c r="AF8422" s="580">
        <f t="shared" si="693"/>
        <v>2.5</v>
      </c>
      <c r="AG8422" s="580">
        <f t="shared" si="694"/>
        <v>0</v>
      </c>
      <c r="AH8422" s="580">
        <f t="shared" si="695"/>
        <v>0</v>
      </c>
    </row>
    <row r="8423" spans="28:34">
      <c r="AB8423" s="580">
        <f>HLOOKUP("*"&amp;'Output annual'!$AC$2&amp;'Output annual'!$AD$2&amp;"*Zone People Number Of Occupants [](Hourly)",'Eplus results'!$1:$1048576,ROW(),FALSE)</f>
        <v>0</v>
      </c>
      <c r="AC8423" s="580">
        <f>HLOOKUP("*"&amp;'Output annual'!$AC$2&amp;'Output annual'!$AD$2&amp;"*FangerPMV(Hourly)",'Eplus results'!$1:$1048576,ROW(),FALSE)</f>
        <v>0</v>
      </c>
      <c r="AD8423" s="580">
        <f t="shared" si="691"/>
        <v>5</v>
      </c>
      <c r="AE8423" s="580">
        <f t="shared" si="692"/>
        <v>2.5</v>
      </c>
      <c r="AF8423" s="580">
        <f t="shared" si="693"/>
        <v>2.5</v>
      </c>
      <c r="AG8423" s="580">
        <f t="shared" si="694"/>
        <v>0</v>
      </c>
      <c r="AH8423" s="580">
        <f t="shared" si="695"/>
        <v>0</v>
      </c>
    </row>
    <row r="8424" spans="28:34">
      <c r="AB8424" s="580">
        <f>HLOOKUP("*"&amp;'Output annual'!$AC$2&amp;'Output annual'!$AD$2&amp;"*Zone People Number Of Occupants [](Hourly)",'Eplus results'!$1:$1048576,ROW(),FALSE)</f>
        <v>0</v>
      </c>
      <c r="AC8424" s="580">
        <f>HLOOKUP("*"&amp;'Output annual'!$AC$2&amp;'Output annual'!$AD$2&amp;"*FangerPMV(Hourly)",'Eplus results'!$1:$1048576,ROW(),FALSE)</f>
        <v>0</v>
      </c>
      <c r="AD8424" s="580">
        <f t="shared" si="691"/>
        <v>5</v>
      </c>
      <c r="AE8424" s="580">
        <f t="shared" si="692"/>
        <v>2.5</v>
      </c>
      <c r="AF8424" s="580">
        <f t="shared" si="693"/>
        <v>2.5</v>
      </c>
      <c r="AG8424" s="580">
        <f t="shared" si="694"/>
        <v>0</v>
      </c>
      <c r="AH8424" s="580">
        <f t="shared" si="695"/>
        <v>0</v>
      </c>
    </row>
    <row r="8425" spans="28:34">
      <c r="AB8425" s="580">
        <f>HLOOKUP("*"&amp;'Output annual'!$AC$2&amp;'Output annual'!$AD$2&amp;"*Zone People Number Of Occupants [](Hourly)",'Eplus results'!$1:$1048576,ROW(),FALSE)</f>
        <v>0</v>
      </c>
      <c r="AC8425" s="580">
        <f>HLOOKUP("*"&amp;'Output annual'!$AC$2&amp;'Output annual'!$AD$2&amp;"*FangerPMV(Hourly)",'Eplus results'!$1:$1048576,ROW(),FALSE)</f>
        <v>0</v>
      </c>
      <c r="AD8425" s="580">
        <f t="shared" si="691"/>
        <v>5</v>
      </c>
      <c r="AE8425" s="580">
        <f t="shared" si="692"/>
        <v>2.5</v>
      </c>
      <c r="AF8425" s="580">
        <f t="shared" si="693"/>
        <v>2.5</v>
      </c>
      <c r="AG8425" s="580">
        <f t="shared" si="694"/>
        <v>0</v>
      </c>
      <c r="AH8425" s="580">
        <f t="shared" si="695"/>
        <v>0</v>
      </c>
    </row>
    <row r="8426" spans="28:34">
      <c r="AB8426" s="580">
        <f>HLOOKUP("*"&amp;'Output annual'!$AC$2&amp;'Output annual'!$AD$2&amp;"*Zone People Number Of Occupants [](Hourly)",'Eplus results'!$1:$1048576,ROW(),FALSE)</f>
        <v>0</v>
      </c>
      <c r="AC8426" s="580">
        <f>HLOOKUP("*"&amp;'Output annual'!$AC$2&amp;'Output annual'!$AD$2&amp;"*FangerPMV(Hourly)",'Eplus results'!$1:$1048576,ROW(),FALSE)</f>
        <v>0</v>
      </c>
      <c r="AD8426" s="580">
        <f t="shared" si="691"/>
        <v>5</v>
      </c>
      <c r="AE8426" s="580">
        <f t="shared" si="692"/>
        <v>2.5</v>
      </c>
      <c r="AF8426" s="580">
        <f t="shared" si="693"/>
        <v>2.5</v>
      </c>
      <c r="AG8426" s="580">
        <f t="shared" si="694"/>
        <v>0</v>
      </c>
      <c r="AH8426" s="580">
        <f t="shared" si="695"/>
        <v>0</v>
      </c>
    </row>
    <row r="8427" spans="28:34">
      <c r="AB8427" s="580">
        <f>HLOOKUP("*"&amp;'Output annual'!$AC$2&amp;'Output annual'!$AD$2&amp;"*Zone People Number Of Occupants [](Hourly)",'Eplus results'!$1:$1048576,ROW(),FALSE)</f>
        <v>0</v>
      </c>
      <c r="AC8427" s="580">
        <f>HLOOKUP("*"&amp;'Output annual'!$AC$2&amp;'Output annual'!$AD$2&amp;"*FangerPMV(Hourly)",'Eplus results'!$1:$1048576,ROW(),FALSE)</f>
        <v>0</v>
      </c>
      <c r="AD8427" s="580">
        <f t="shared" si="691"/>
        <v>5</v>
      </c>
      <c r="AE8427" s="580">
        <f t="shared" si="692"/>
        <v>2.5</v>
      </c>
      <c r="AF8427" s="580">
        <f t="shared" si="693"/>
        <v>2.5</v>
      </c>
      <c r="AG8427" s="580">
        <f t="shared" si="694"/>
        <v>0</v>
      </c>
      <c r="AH8427" s="580">
        <f t="shared" si="695"/>
        <v>0</v>
      </c>
    </row>
    <row r="8428" spans="28:34">
      <c r="AB8428" s="580">
        <f>HLOOKUP("*"&amp;'Output annual'!$AC$2&amp;'Output annual'!$AD$2&amp;"*Zone People Number Of Occupants [](Hourly)",'Eplus results'!$1:$1048576,ROW(),FALSE)</f>
        <v>0</v>
      </c>
      <c r="AC8428" s="580">
        <f>HLOOKUP("*"&amp;'Output annual'!$AC$2&amp;'Output annual'!$AD$2&amp;"*FangerPMV(Hourly)",'Eplus results'!$1:$1048576,ROW(),FALSE)</f>
        <v>0</v>
      </c>
      <c r="AD8428" s="580">
        <f t="shared" si="691"/>
        <v>5</v>
      </c>
      <c r="AE8428" s="580">
        <f t="shared" si="692"/>
        <v>2.5</v>
      </c>
      <c r="AF8428" s="580">
        <f t="shared" si="693"/>
        <v>2.5</v>
      </c>
      <c r="AG8428" s="580">
        <f t="shared" si="694"/>
        <v>0</v>
      </c>
      <c r="AH8428" s="580">
        <f t="shared" si="695"/>
        <v>0</v>
      </c>
    </row>
    <row r="8429" spans="28:34">
      <c r="AB8429" s="580">
        <f>HLOOKUP("*"&amp;'Output annual'!$AC$2&amp;'Output annual'!$AD$2&amp;"*Zone People Number Of Occupants [](Hourly)",'Eplus results'!$1:$1048576,ROW(),FALSE)</f>
        <v>0</v>
      </c>
      <c r="AC8429" s="580">
        <f>HLOOKUP("*"&amp;'Output annual'!$AC$2&amp;'Output annual'!$AD$2&amp;"*FangerPMV(Hourly)",'Eplus results'!$1:$1048576,ROW(),FALSE)</f>
        <v>0</v>
      </c>
      <c r="AD8429" s="580">
        <f t="shared" si="691"/>
        <v>5</v>
      </c>
      <c r="AE8429" s="580">
        <f t="shared" si="692"/>
        <v>2.5</v>
      </c>
      <c r="AF8429" s="580">
        <f t="shared" si="693"/>
        <v>2.5</v>
      </c>
      <c r="AG8429" s="580">
        <f t="shared" si="694"/>
        <v>0</v>
      </c>
      <c r="AH8429" s="580">
        <f t="shared" si="695"/>
        <v>0</v>
      </c>
    </row>
    <row r="8430" spans="28:34">
      <c r="AB8430" s="580">
        <f>HLOOKUP("*"&amp;'Output annual'!$AC$2&amp;'Output annual'!$AD$2&amp;"*Zone People Number Of Occupants [](Hourly)",'Eplus results'!$1:$1048576,ROW(),FALSE)</f>
        <v>0</v>
      </c>
      <c r="AC8430" s="580">
        <f>HLOOKUP("*"&amp;'Output annual'!$AC$2&amp;'Output annual'!$AD$2&amp;"*FangerPMV(Hourly)",'Eplus results'!$1:$1048576,ROW(),FALSE)</f>
        <v>0</v>
      </c>
      <c r="AD8430" s="580">
        <f t="shared" si="691"/>
        <v>5</v>
      </c>
      <c r="AE8430" s="580">
        <f t="shared" si="692"/>
        <v>2.5</v>
      </c>
      <c r="AF8430" s="580">
        <f t="shared" si="693"/>
        <v>2.5</v>
      </c>
      <c r="AG8430" s="580">
        <f t="shared" si="694"/>
        <v>0</v>
      </c>
      <c r="AH8430" s="580">
        <f t="shared" si="695"/>
        <v>0</v>
      </c>
    </row>
    <row r="8431" spans="28:34">
      <c r="AB8431" s="580">
        <f>HLOOKUP("*"&amp;'Output annual'!$AC$2&amp;'Output annual'!$AD$2&amp;"*Zone People Number Of Occupants [](Hourly)",'Eplus results'!$1:$1048576,ROW(),FALSE)</f>
        <v>0</v>
      </c>
      <c r="AC8431" s="580">
        <f>HLOOKUP("*"&amp;'Output annual'!$AC$2&amp;'Output annual'!$AD$2&amp;"*FangerPMV(Hourly)",'Eplus results'!$1:$1048576,ROW(),FALSE)</f>
        <v>0</v>
      </c>
      <c r="AD8431" s="580">
        <f t="shared" si="691"/>
        <v>5</v>
      </c>
      <c r="AE8431" s="580">
        <f t="shared" si="692"/>
        <v>2.5</v>
      </c>
      <c r="AF8431" s="580">
        <f t="shared" si="693"/>
        <v>2.5</v>
      </c>
      <c r="AG8431" s="580">
        <f t="shared" si="694"/>
        <v>0</v>
      </c>
      <c r="AH8431" s="580">
        <f t="shared" si="695"/>
        <v>0</v>
      </c>
    </row>
    <row r="8432" spans="28:34">
      <c r="AB8432" s="580">
        <f>HLOOKUP("*"&amp;'Output annual'!$AC$2&amp;'Output annual'!$AD$2&amp;"*Zone People Number Of Occupants [](Hourly)",'Eplus results'!$1:$1048576,ROW(),FALSE)</f>
        <v>0</v>
      </c>
      <c r="AC8432" s="580">
        <f>HLOOKUP("*"&amp;'Output annual'!$AC$2&amp;'Output annual'!$AD$2&amp;"*FangerPMV(Hourly)",'Eplus results'!$1:$1048576,ROW(),FALSE)</f>
        <v>0</v>
      </c>
      <c r="AD8432" s="580">
        <f t="shared" si="691"/>
        <v>5</v>
      </c>
      <c r="AE8432" s="580">
        <f t="shared" si="692"/>
        <v>2.5</v>
      </c>
      <c r="AF8432" s="580">
        <f t="shared" si="693"/>
        <v>2.5</v>
      </c>
      <c r="AG8432" s="580">
        <f t="shared" si="694"/>
        <v>0</v>
      </c>
      <c r="AH8432" s="580">
        <f t="shared" si="695"/>
        <v>0</v>
      </c>
    </row>
    <row r="8433" spans="28:34">
      <c r="AB8433" s="580">
        <f>HLOOKUP("*"&amp;'Output annual'!$AC$2&amp;'Output annual'!$AD$2&amp;"*Zone People Number Of Occupants [](Hourly)",'Eplus results'!$1:$1048576,ROW(),FALSE)</f>
        <v>0</v>
      </c>
      <c r="AC8433" s="580">
        <f>HLOOKUP("*"&amp;'Output annual'!$AC$2&amp;'Output annual'!$AD$2&amp;"*FangerPMV(Hourly)",'Eplus results'!$1:$1048576,ROW(),FALSE)</f>
        <v>0</v>
      </c>
      <c r="AD8433" s="580">
        <f t="shared" si="691"/>
        <v>5</v>
      </c>
      <c r="AE8433" s="580">
        <f t="shared" si="692"/>
        <v>2.5</v>
      </c>
      <c r="AF8433" s="580">
        <f t="shared" si="693"/>
        <v>2.5</v>
      </c>
      <c r="AG8433" s="580">
        <f t="shared" si="694"/>
        <v>0</v>
      </c>
      <c r="AH8433" s="580">
        <f t="shared" si="695"/>
        <v>0</v>
      </c>
    </row>
    <row r="8434" spans="28:34">
      <c r="AB8434" s="580">
        <f>HLOOKUP("*"&amp;'Output annual'!$AC$2&amp;'Output annual'!$AD$2&amp;"*Zone People Number Of Occupants [](Hourly)",'Eplus results'!$1:$1048576,ROW(),FALSE)</f>
        <v>0</v>
      </c>
      <c r="AC8434" s="580">
        <f>HLOOKUP("*"&amp;'Output annual'!$AC$2&amp;'Output annual'!$AD$2&amp;"*FangerPMV(Hourly)",'Eplus results'!$1:$1048576,ROW(),FALSE)</f>
        <v>0</v>
      </c>
      <c r="AD8434" s="580">
        <f t="shared" si="691"/>
        <v>5</v>
      </c>
      <c r="AE8434" s="580">
        <f t="shared" si="692"/>
        <v>2.5</v>
      </c>
      <c r="AF8434" s="580">
        <f t="shared" si="693"/>
        <v>2.5</v>
      </c>
      <c r="AG8434" s="580">
        <f t="shared" si="694"/>
        <v>0</v>
      </c>
      <c r="AH8434" s="580">
        <f t="shared" si="695"/>
        <v>0</v>
      </c>
    </row>
    <row r="8435" spans="28:34">
      <c r="AB8435" s="580">
        <f>HLOOKUP("*"&amp;'Output annual'!$AC$2&amp;'Output annual'!$AD$2&amp;"*Zone People Number Of Occupants [](Hourly)",'Eplus results'!$1:$1048576,ROW(),FALSE)</f>
        <v>0</v>
      </c>
      <c r="AC8435" s="580">
        <f>HLOOKUP("*"&amp;'Output annual'!$AC$2&amp;'Output annual'!$AD$2&amp;"*FangerPMV(Hourly)",'Eplus results'!$1:$1048576,ROW(),FALSE)</f>
        <v>0</v>
      </c>
      <c r="AD8435" s="580">
        <f t="shared" si="691"/>
        <v>5</v>
      </c>
      <c r="AE8435" s="580">
        <f t="shared" si="692"/>
        <v>2.5</v>
      </c>
      <c r="AF8435" s="580">
        <f t="shared" si="693"/>
        <v>2.5</v>
      </c>
      <c r="AG8435" s="580">
        <f t="shared" si="694"/>
        <v>0</v>
      </c>
      <c r="AH8435" s="580">
        <f t="shared" si="695"/>
        <v>0</v>
      </c>
    </row>
    <row r="8436" spans="28:34">
      <c r="AB8436" s="580">
        <f>HLOOKUP("*"&amp;'Output annual'!$AC$2&amp;'Output annual'!$AD$2&amp;"*Zone People Number Of Occupants [](Hourly)",'Eplus results'!$1:$1048576,ROW(),FALSE)</f>
        <v>0</v>
      </c>
      <c r="AC8436" s="580">
        <f>HLOOKUP("*"&amp;'Output annual'!$AC$2&amp;'Output annual'!$AD$2&amp;"*FangerPMV(Hourly)",'Eplus results'!$1:$1048576,ROW(),FALSE)</f>
        <v>0</v>
      </c>
      <c r="AD8436" s="580">
        <f t="shared" si="691"/>
        <v>5</v>
      </c>
      <c r="AE8436" s="580">
        <f t="shared" si="692"/>
        <v>2.5</v>
      </c>
      <c r="AF8436" s="580">
        <f t="shared" si="693"/>
        <v>2.5</v>
      </c>
      <c r="AG8436" s="580">
        <f t="shared" si="694"/>
        <v>0</v>
      </c>
      <c r="AH8436" s="580">
        <f t="shared" si="695"/>
        <v>0</v>
      </c>
    </row>
    <row r="8437" spans="28:34">
      <c r="AB8437" s="580">
        <f>HLOOKUP("*"&amp;'Output annual'!$AC$2&amp;'Output annual'!$AD$2&amp;"*Zone People Number Of Occupants [](Hourly)",'Eplus results'!$1:$1048576,ROW(),FALSE)</f>
        <v>0</v>
      </c>
      <c r="AC8437" s="580">
        <f>HLOOKUP("*"&amp;'Output annual'!$AC$2&amp;'Output annual'!$AD$2&amp;"*FangerPMV(Hourly)",'Eplus results'!$1:$1048576,ROW(),FALSE)</f>
        <v>0</v>
      </c>
      <c r="AD8437" s="580">
        <f t="shared" si="691"/>
        <v>5</v>
      </c>
      <c r="AE8437" s="580">
        <f t="shared" si="692"/>
        <v>2.5</v>
      </c>
      <c r="AF8437" s="580">
        <f t="shared" si="693"/>
        <v>2.5</v>
      </c>
      <c r="AG8437" s="580">
        <f t="shared" si="694"/>
        <v>0</v>
      </c>
      <c r="AH8437" s="580">
        <f t="shared" si="695"/>
        <v>0</v>
      </c>
    </row>
    <row r="8438" spans="28:34">
      <c r="AB8438" s="580">
        <f>HLOOKUP("*"&amp;'Output annual'!$AC$2&amp;'Output annual'!$AD$2&amp;"*Zone People Number Of Occupants [](Hourly)",'Eplus results'!$1:$1048576,ROW(),FALSE)</f>
        <v>0</v>
      </c>
      <c r="AC8438" s="580">
        <f>HLOOKUP("*"&amp;'Output annual'!$AC$2&amp;'Output annual'!$AD$2&amp;"*FangerPMV(Hourly)",'Eplus results'!$1:$1048576,ROW(),FALSE)</f>
        <v>0</v>
      </c>
      <c r="AD8438" s="580">
        <f t="shared" si="691"/>
        <v>5</v>
      </c>
      <c r="AE8438" s="580">
        <f t="shared" si="692"/>
        <v>2.5</v>
      </c>
      <c r="AF8438" s="580">
        <f t="shared" si="693"/>
        <v>2.5</v>
      </c>
      <c r="AG8438" s="580">
        <f t="shared" si="694"/>
        <v>0</v>
      </c>
      <c r="AH8438" s="580">
        <f t="shared" si="695"/>
        <v>0</v>
      </c>
    </row>
    <row r="8439" spans="28:34">
      <c r="AB8439" s="580">
        <f>HLOOKUP("*"&amp;'Output annual'!$AC$2&amp;'Output annual'!$AD$2&amp;"*Zone People Number Of Occupants [](Hourly)",'Eplus results'!$1:$1048576,ROW(),FALSE)</f>
        <v>0</v>
      </c>
      <c r="AC8439" s="580">
        <f>HLOOKUP("*"&amp;'Output annual'!$AC$2&amp;'Output annual'!$AD$2&amp;"*FangerPMV(Hourly)",'Eplus results'!$1:$1048576,ROW(),FALSE)</f>
        <v>0</v>
      </c>
      <c r="AD8439" s="580">
        <f t="shared" si="691"/>
        <v>5</v>
      </c>
      <c r="AE8439" s="580">
        <f t="shared" si="692"/>
        <v>2.5</v>
      </c>
      <c r="AF8439" s="580">
        <f t="shared" si="693"/>
        <v>2.5</v>
      </c>
      <c r="AG8439" s="580">
        <f t="shared" si="694"/>
        <v>0</v>
      </c>
      <c r="AH8439" s="580">
        <f t="shared" si="695"/>
        <v>0</v>
      </c>
    </row>
    <row r="8440" spans="28:34">
      <c r="AB8440" s="580">
        <f>HLOOKUP("*"&amp;'Output annual'!$AC$2&amp;'Output annual'!$AD$2&amp;"*Zone People Number Of Occupants [](Hourly)",'Eplus results'!$1:$1048576,ROW(),FALSE)</f>
        <v>0</v>
      </c>
      <c r="AC8440" s="580">
        <f>HLOOKUP("*"&amp;'Output annual'!$AC$2&amp;'Output annual'!$AD$2&amp;"*FangerPMV(Hourly)",'Eplus results'!$1:$1048576,ROW(),FALSE)</f>
        <v>0</v>
      </c>
      <c r="AD8440" s="580">
        <f t="shared" si="691"/>
        <v>5</v>
      </c>
      <c r="AE8440" s="580">
        <f t="shared" si="692"/>
        <v>2.5</v>
      </c>
      <c r="AF8440" s="580">
        <f t="shared" si="693"/>
        <v>2.5</v>
      </c>
      <c r="AG8440" s="580">
        <f t="shared" si="694"/>
        <v>0</v>
      </c>
      <c r="AH8440" s="580">
        <f t="shared" si="695"/>
        <v>0</v>
      </c>
    </row>
    <row r="8441" spans="28:34">
      <c r="AB8441" s="580">
        <f>HLOOKUP("*"&amp;'Output annual'!$AC$2&amp;'Output annual'!$AD$2&amp;"*Zone People Number Of Occupants [](Hourly)",'Eplus results'!$1:$1048576,ROW(),FALSE)</f>
        <v>0</v>
      </c>
      <c r="AC8441" s="580">
        <f>HLOOKUP("*"&amp;'Output annual'!$AC$2&amp;'Output annual'!$AD$2&amp;"*FangerPMV(Hourly)",'Eplus results'!$1:$1048576,ROW(),FALSE)</f>
        <v>0</v>
      </c>
      <c r="AD8441" s="580">
        <f t="shared" si="691"/>
        <v>5</v>
      </c>
      <c r="AE8441" s="580">
        <f t="shared" si="692"/>
        <v>2.5</v>
      </c>
      <c r="AF8441" s="580">
        <f t="shared" si="693"/>
        <v>2.5</v>
      </c>
      <c r="AG8441" s="580">
        <f t="shared" si="694"/>
        <v>0</v>
      </c>
      <c r="AH8441" s="580">
        <f t="shared" si="695"/>
        <v>0</v>
      </c>
    </row>
    <row r="8442" spans="28:34">
      <c r="AB8442" s="580">
        <f>HLOOKUP("*"&amp;'Output annual'!$AC$2&amp;'Output annual'!$AD$2&amp;"*Zone People Number Of Occupants [](Hourly)",'Eplus results'!$1:$1048576,ROW(),FALSE)</f>
        <v>0</v>
      </c>
      <c r="AC8442" s="580">
        <f>HLOOKUP("*"&amp;'Output annual'!$AC$2&amp;'Output annual'!$AD$2&amp;"*FangerPMV(Hourly)",'Eplus results'!$1:$1048576,ROW(),FALSE)</f>
        <v>0</v>
      </c>
      <c r="AD8442" s="580">
        <f t="shared" si="691"/>
        <v>5</v>
      </c>
      <c r="AE8442" s="580">
        <f t="shared" si="692"/>
        <v>2.5</v>
      </c>
      <c r="AF8442" s="580">
        <f t="shared" si="693"/>
        <v>2.5</v>
      </c>
      <c r="AG8442" s="580">
        <f t="shared" si="694"/>
        <v>0</v>
      </c>
      <c r="AH8442" s="580">
        <f t="shared" si="695"/>
        <v>0</v>
      </c>
    </row>
    <row r="8443" spans="28:34">
      <c r="AB8443" s="580">
        <f>HLOOKUP("*"&amp;'Output annual'!$AC$2&amp;'Output annual'!$AD$2&amp;"*Zone People Number Of Occupants [](Hourly)",'Eplus results'!$1:$1048576,ROW(),FALSE)</f>
        <v>0</v>
      </c>
      <c r="AC8443" s="580">
        <f>HLOOKUP("*"&amp;'Output annual'!$AC$2&amp;'Output annual'!$AD$2&amp;"*FangerPMV(Hourly)",'Eplus results'!$1:$1048576,ROW(),FALSE)</f>
        <v>0</v>
      </c>
      <c r="AD8443" s="580">
        <f t="shared" si="691"/>
        <v>5</v>
      </c>
      <c r="AE8443" s="580">
        <f t="shared" si="692"/>
        <v>2.5</v>
      </c>
      <c r="AF8443" s="580">
        <f t="shared" si="693"/>
        <v>2.5</v>
      </c>
      <c r="AG8443" s="580">
        <f t="shared" si="694"/>
        <v>0</v>
      </c>
      <c r="AH8443" s="580">
        <f t="shared" si="695"/>
        <v>0</v>
      </c>
    </row>
    <row r="8444" spans="28:34">
      <c r="AB8444" s="580">
        <f>HLOOKUP("*"&amp;'Output annual'!$AC$2&amp;'Output annual'!$AD$2&amp;"*Zone People Number Of Occupants [](Hourly)",'Eplus results'!$1:$1048576,ROW(),FALSE)</f>
        <v>0</v>
      </c>
      <c r="AC8444" s="580">
        <f>HLOOKUP("*"&amp;'Output annual'!$AC$2&amp;'Output annual'!$AD$2&amp;"*FangerPMV(Hourly)",'Eplus results'!$1:$1048576,ROW(),FALSE)</f>
        <v>0</v>
      </c>
      <c r="AD8444" s="580">
        <f t="shared" si="691"/>
        <v>5</v>
      </c>
      <c r="AE8444" s="580">
        <f t="shared" si="692"/>
        <v>2.5</v>
      </c>
      <c r="AF8444" s="580">
        <f t="shared" si="693"/>
        <v>2.5</v>
      </c>
      <c r="AG8444" s="580">
        <f t="shared" si="694"/>
        <v>0</v>
      </c>
      <c r="AH8444" s="580">
        <f t="shared" si="695"/>
        <v>0</v>
      </c>
    </row>
    <row r="8445" spans="28:34">
      <c r="AB8445" s="580">
        <f>HLOOKUP("*"&amp;'Output annual'!$AC$2&amp;'Output annual'!$AD$2&amp;"*Zone People Number Of Occupants [](Hourly)",'Eplus results'!$1:$1048576,ROW(),FALSE)</f>
        <v>0</v>
      </c>
      <c r="AC8445" s="580">
        <f>HLOOKUP("*"&amp;'Output annual'!$AC$2&amp;'Output annual'!$AD$2&amp;"*FangerPMV(Hourly)",'Eplus results'!$1:$1048576,ROW(),FALSE)</f>
        <v>0</v>
      </c>
      <c r="AD8445" s="580">
        <f t="shared" si="691"/>
        <v>5</v>
      </c>
      <c r="AE8445" s="580">
        <f t="shared" si="692"/>
        <v>2.5</v>
      </c>
      <c r="AF8445" s="580">
        <f t="shared" si="693"/>
        <v>2.5</v>
      </c>
      <c r="AG8445" s="580">
        <f t="shared" si="694"/>
        <v>0</v>
      </c>
      <c r="AH8445" s="580">
        <f t="shared" si="695"/>
        <v>0</v>
      </c>
    </row>
    <row r="8446" spans="28:34">
      <c r="AB8446" s="580">
        <f>HLOOKUP("*"&amp;'Output annual'!$AC$2&amp;'Output annual'!$AD$2&amp;"*Zone People Number Of Occupants [](Hourly)",'Eplus results'!$1:$1048576,ROW(),FALSE)</f>
        <v>0</v>
      </c>
      <c r="AC8446" s="580">
        <f>HLOOKUP("*"&amp;'Output annual'!$AC$2&amp;'Output annual'!$AD$2&amp;"*FangerPMV(Hourly)",'Eplus results'!$1:$1048576,ROW(),FALSE)</f>
        <v>0</v>
      </c>
      <c r="AD8446" s="580">
        <f t="shared" si="691"/>
        <v>5</v>
      </c>
      <c r="AE8446" s="580">
        <f t="shared" si="692"/>
        <v>2.5</v>
      </c>
      <c r="AF8446" s="580">
        <f t="shared" si="693"/>
        <v>2.5</v>
      </c>
      <c r="AG8446" s="580">
        <f t="shared" si="694"/>
        <v>0</v>
      </c>
      <c r="AH8446" s="580">
        <f t="shared" si="695"/>
        <v>0</v>
      </c>
    </row>
    <row r="8447" spans="28:34">
      <c r="AB8447" s="580">
        <f>HLOOKUP("*"&amp;'Output annual'!$AC$2&amp;'Output annual'!$AD$2&amp;"*Zone People Number Of Occupants [](Hourly)",'Eplus results'!$1:$1048576,ROW(),FALSE)</f>
        <v>0</v>
      </c>
      <c r="AC8447" s="580">
        <f>HLOOKUP("*"&amp;'Output annual'!$AC$2&amp;'Output annual'!$AD$2&amp;"*FangerPMV(Hourly)",'Eplus results'!$1:$1048576,ROW(),FALSE)</f>
        <v>0</v>
      </c>
      <c r="AD8447" s="580">
        <f t="shared" si="691"/>
        <v>5</v>
      </c>
      <c r="AE8447" s="580">
        <f t="shared" si="692"/>
        <v>2.5</v>
      </c>
      <c r="AF8447" s="580">
        <f t="shared" si="693"/>
        <v>2.5</v>
      </c>
      <c r="AG8447" s="580">
        <f t="shared" si="694"/>
        <v>0</v>
      </c>
      <c r="AH8447" s="580">
        <f t="shared" si="695"/>
        <v>0</v>
      </c>
    </row>
    <row r="8448" spans="28:34">
      <c r="AB8448" s="580">
        <f>HLOOKUP("*"&amp;'Output annual'!$AC$2&amp;'Output annual'!$AD$2&amp;"*Zone People Number Of Occupants [](Hourly)",'Eplus results'!$1:$1048576,ROW(),FALSE)</f>
        <v>0</v>
      </c>
      <c r="AC8448" s="580">
        <f>HLOOKUP("*"&amp;'Output annual'!$AC$2&amp;'Output annual'!$AD$2&amp;"*FangerPMV(Hourly)",'Eplus results'!$1:$1048576,ROW(),FALSE)</f>
        <v>0</v>
      </c>
      <c r="AD8448" s="580">
        <f t="shared" si="691"/>
        <v>5</v>
      </c>
      <c r="AE8448" s="580">
        <f t="shared" si="692"/>
        <v>2.5</v>
      </c>
      <c r="AF8448" s="580">
        <f t="shared" si="693"/>
        <v>2.5</v>
      </c>
      <c r="AG8448" s="580">
        <f t="shared" si="694"/>
        <v>0</v>
      </c>
      <c r="AH8448" s="580">
        <f t="shared" si="695"/>
        <v>0</v>
      </c>
    </row>
    <row r="8449" spans="28:34">
      <c r="AB8449" s="580">
        <f>HLOOKUP("*"&amp;'Output annual'!$AC$2&amp;'Output annual'!$AD$2&amp;"*Zone People Number Of Occupants [](Hourly)",'Eplus results'!$1:$1048576,ROW(),FALSE)</f>
        <v>0</v>
      </c>
      <c r="AC8449" s="580">
        <f>HLOOKUP("*"&amp;'Output annual'!$AC$2&amp;'Output annual'!$AD$2&amp;"*FangerPMV(Hourly)",'Eplus results'!$1:$1048576,ROW(),FALSE)</f>
        <v>0</v>
      </c>
      <c r="AD8449" s="580">
        <f t="shared" si="691"/>
        <v>5</v>
      </c>
      <c r="AE8449" s="580">
        <f t="shared" si="692"/>
        <v>2.5</v>
      </c>
      <c r="AF8449" s="580">
        <f t="shared" si="693"/>
        <v>2.5</v>
      </c>
      <c r="AG8449" s="580">
        <f t="shared" si="694"/>
        <v>0</v>
      </c>
      <c r="AH8449" s="580">
        <f t="shared" si="695"/>
        <v>0</v>
      </c>
    </row>
    <row r="8450" spans="28:34">
      <c r="AB8450" s="580">
        <f>HLOOKUP("*"&amp;'Output annual'!$AC$2&amp;'Output annual'!$AD$2&amp;"*Zone People Number Of Occupants [](Hourly)",'Eplus results'!$1:$1048576,ROW(),FALSE)</f>
        <v>0</v>
      </c>
      <c r="AC8450" s="580">
        <f>HLOOKUP("*"&amp;'Output annual'!$AC$2&amp;'Output annual'!$AD$2&amp;"*FangerPMV(Hourly)",'Eplus results'!$1:$1048576,ROW(),FALSE)</f>
        <v>0</v>
      </c>
      <c r="AD8450" s="580">
        <f t="shared" si="691"/>
        <v>5</v>
      </c>
      <c r="AE8450" s="580">
        <f t="shared" si="692"/>
        <v>2.5</v>
      </c>
      <c r="AF8450" s="580">
        <f t="shared" si="693"/>
        <v>2.5</v>
      </c>
      <c r="AG8450" s="580">
        <f t="shared" si="694"/>
        <v>0</v>
      </c>
      <c r="AH8450" s="580">
        <f t="shared" si="695"/>
        <v>0</v>
      </c>
    </row>
    <row r="8451" spans="28:34">
      <c r="AB8451" s="580">
        <f>HLOOKUP("*"&amp;'Output annual'!$AC$2&amp;'Output annual'!$AD$2&amp;"*Zone People Number Of Occupants [](Hourly)",'Eplus results'!$1:$1048576,ROW(),FALSE)</f>
        <v>0</v>
      </c>
      <c r="AC8451" s="580">
        <f>HLOOKUP("*"&amp;'Output annual'!$AC$2&amp;'Output annual'!$AD$2&amp;"*FangerPMV(Hourly)",'Eplus results'!$1:$1048576,ROW(),FALSE)</f>
        <v>0</v>
      </c>
      <c r="AD8451" s="580">
        <f t="shared" ref="AD8451:AD8514" si="696">100-95*EXP(-0.03353*AC8451^4-0.2179*AC8451^2)</f>
        <v>5</v>
      </c>
      <c r="AE8451" s="580">
        <f t="shared" ref="AE8451:AE8514" si="697">AD8451*(1/(1+EXP(-6.3*$AC8451)))</f>
        <v>2.5</v>
      </c>
      <c r="AF8451" s="580">
        <f t="shared" ref="AF8451:AF8514" si="698">(AD8451-AE8451)</f>
        <v>2.5</v>
      </c>
      <c r="AG8451" s="580">
        <f t="shared" ref="AG8451:AG8514" si="699">AE8451*AB8451</f>
        <v>0</v>
      </c>
      <c r="AH8451" s="580">
        <f t="shared" ref="AH8451:AH8514" si="700">AF8451*AB8451</f>
        <v>0</v>
      </c>
    </row>
    <row r="8452" spans="28:34">
      <c r="AB8452" s="580">
        <f>HLOOKUP("*"&amp;'Output annual'!$AC$2&amp;'Output annual'!$AD$2&amp;"*Zone People Number Of Occupants [](Hourly)",'Eplus results'!$1:$1048576,ROW(),FALSE)</f>
        <v>0</v>
      </c>
      <c r="AC8452" s="580">
        <f>HLOOKUP("*"&amp;'Output annual'!$AC$2&amp;'Output annual'!$AD$2&amp;"*FangerPMV(Hourly)",'Eplus results'!$1:$1048576,ROW(),FALSE)</f>
        <v>0</v>
      </c>
      <c r="AD8452" s="580">
        <f t="shared" si="696"/>
        <v>5</v>
      </c>
      <c r="AE8452" s="580">
        <f t="shared" si="697"/>
        <v>2.5</v>
      </c>
      <c r="AF8452" s="580">
        <f t="shared" si="698"/>
        <v>2.5</v>
      </c>
      <c r="AG8452" s="580">
        <f t="shared" si="699"/>
        <v>0</v>
      </c>
      <c r="AH8452" s="580">
        <f t="shared" si="700"/>
        <v>0</v>
      </c>
    </row>
    <row r="8453" spans="28:34">
      <c r="AB8453" s="580">
        <f>HLOOKUP("*"&amp;'Output annual'!$AC$2&amp;'Output annual'!$AD$2&amp;"*Zone People Number Of Occupants [](Hourly)",'Eplus results'!$1:$1048576,ROW(),FALSE)</f>
        <v>0</v>
      </c>
      <c r="AC8453" s="580">
        <f>HLOOKUP("*"&amp;'Output annual'!$AC$2&amp;'Output annual'!$AD$2&amp;"*FangerPMV(Hourly)",'Eplus results'!$1:$1048576,ROW(),FALSE)</f>
        <v>0</v>
      </c>
      <c r="AD8453" s="580">
        <f t="shared" si="696"/>
        <v>5</v>
      </c>
      <c r="AE8453" s="580">
        <f t="shared" si="697"/>
        <v>2.5</v>
      </c>
      <c r="AF8453" s="580">
        <f t="shared" si="698"/>
        <v>2.5</v>
      </c>
      <c r="AG8453" s="580">
        <f t="shared" si="699"/>
        <v>0</v>
      </c>
      <c r="AH8453" s="580">
        <f t="shared" si="700"/>
        <v>0</v>
      </c>
    </row>
    <row r="8454" spans="28:34">
      <c r="AB8454" s="580">
        <f>HLOOKUP("*"&amp;'Output annual'!$AC$2&amp;'Output annual'!$AD$2&amp;"*Zone People Number Of Occupants [](Hourly)",'Eplus results'!$1:$1048576,ROW(),FALSE)</f>
        <v>0</v>
      </c>
      <c r="AC8454" s="580">
        <f>HLOOKUP("*"&amp;'Output annual'!$AC$2&amp;'Output annual'!$AD$2&amp;"*FangerPMV(Hourly)",'Eplus results'!$1:$1048576,ROW(),FALSE)</f>
        <v>0</v>
      </c>
      <c r="AD8454" s="580">
        <f t="shared" si="696"/>
        <v>5</v>
      </c>
      <c r="AE8454" s="580">
        <f t="shared" si="697"/>
        <v>2.5</v>
      </c>
      <c r="AF8454" s="580">
        <f t="shared" si="698"/>
        <v>2.5</v>
      </c>
      <c r="AG8454" s="580">
        <f t="shared" si="699"/>
        <v>0</v>
      </c>
      <c r="AH8454" s="580">
        <f t="shared" si="700"/>
        <v>0</v>
      </c>
    </row>
    <row r="8455" spans="28:34">
      <c r="AB8455" s="580">
        <f>HLOOKUP("*"&amp;'Output annual'!$AC$2&amp;'Output annual'!$AD$2&amp;"*Zone People Number Of Occupants [](Hourly)",'Eplus results'!$1:$1048576,ROW(),FALSE)</f>
        <v>0</v>
      </c>
      <c r="AC8455" s="580">
        <f>HLOOKUP("*"&amp;'Output annual'!$AC$2&amp;'Output annual'!$AD$2&amp;"*FangerPMV(Hourly)",'Eplus results'!$1:$1048576,ROW(),FALSE)</f>
        <v>0</v>
      </c>
      <c r="AD8455" s="580">
        <f t="shared" si="696"/>
        <v>5</v>
      </c>
      <c r="AE8455" s="580">
        <f t="shared" si="697"/>
        <v>2.5</v>
      </c>
      <c r="AF8455" s="580">
        <f t="shared" si="698"/>
        <v>2.5</v>
      </c>
      <c r="AG8455" s="580">
        <f t="shared" si="699"/>
        <v>0</v>
      </c>
      <c r="AH8455" s="580">
        <f t="shared" si="700"/>
        <v>0</v>
      </c>
    </row>
    <row r="8456" spans="28:34">
      <c r="AB8456" s="580">
        <f>HLOOKUP("*"&amp;'Output annual'!$AC$2&amp;'Output annual'!$AD$2&amp;"*Zone People Number Of Occupants [](Hourly)",'Eplus results'!$1:$1048576,ROW(),FALSE)</f>
        <v>0</v>
      </c>
      <c r="AC8456" s="580">
        <f>HLOOKUP("*"&amp;'Output annual'!$AC$2&amp;'Output annual'!$AD$2&amp;"*FangerPMV(Hourly)",'Eplus results'!$1:$1048576,ROW(),FALSE)</f>
        <v>0</v>
      </c>
      <c r="AD8456" s="580">
        <f t="shared" si="696"/>
        <v>5</v>
      </c>
      <c r="AE8456" s="580">
        <f t="shared" si="697"/>
        <v>2.5</v>
      </c>
      <c r="AF8456" s="580">
        <f t="shared" si="698"/>
        <v>2.5</v>
      </c>
      <c r="AG8456" s="580">
        <f t="shared" si="699"/>
        <v>0</v>
      </c>
      <c r="AH8456" s="580">
        <f t="shared" si="700"/>
        <v>0</v>
      </c>
    </row>
    <row r="8457" spans="28:34">
      <c r="AB8457" s="580">
        <f>HLOOKUP("*"&amp;'Output annual'!$AC$2&amp;'Output annual'!$AD$2&amp;"*Zone People Number Of Occupants [](Hourly)",'Eplus results'!$1:$1048576,ROW(),FALSE)</f>
        <v>0</v>
      </c>
      <c r="AC8457" s="580">
        <f>HLOOKUP("*"&amp;'Output annual'!$AC$2&amp;'Output annual'!$AD$2&amp;"*FangerPMV(Hourly)",'Eplus results'!$1:$1048576,ROW(),FALSE)</f>
        <v>0</v>
      </c>
      <c r="AD8457" s="580">
        <f t="shared" si="696"/>
        <v>5</v>
      </c>
      <c r="AE8457" s="580">
        <f t="shared" si="697"/>
        <v>2.5</v>
      </c>
      <c r="AF8457" s="580">
        <f t="shared" si="698"/>
        <v>2.5</v>
      </c>
      <c r="AG8457" s="580">
        <f t="shared" si="699"/>
        <v>0</v>
      </c>
      <c r="AH8457" s="580">
        <f t="shared" si="700"/>
        <v>0</v>
      </c>
    </row>
    <row r="8458" spans="28:34">
      <c r="AB8458" s="580">
        <f>HLOOKUP("*"&amp;'Output annual'!$AC$2&amp;'Output annual'!$AD$2&amp;"*Zone People Number Of Occupants [](Hourly)",'Eplus results'!$1:$1048576,ROW(),FALSE)</f>
        <v>0</v>
      </c>
      <c r="AC8458" s="580">
        <f>HLOOKUP("*"&amp;'Output annual'!$AC$2&amp;'Output annual'!$AD$2&amp;"*FangerPMV(Hourly)",'Eplus results'!$1:$1048576,ROW(),FALSE)</f>
        <v>0</v>
      </c>
      <c r="AD8458" s="580">
        <f t="shared" si="696"/>
        <v>5</v>
      </c>
      <c r="AE8458" s="580">
        <f t="shared" si="697"/>
        <v>2.5</v>
      </c>
      <c r="AF8458" s="580">
        <f t="shared" si="698"/>
        <v>2.5</v>
      </c>
      <c r="AG8458" s="580">
        <f t="shared" si="699"/>
        <v>0</v>
      </c>
      <c r="AH8458" s="580">
        <f t="shared" si="700"/>
        <v>0</v>
      </c>
    </row>
    <row r="8459" spans="28:34">
      <c r="AB8459" s="580">
        <f>HLOOKUP("*"&amp;'Output annual'!$AC$2&amp;'Output annual'!$AD$2&amp;"*Zone People Number Of Occupants [](Hourly)",'Eplus results'!$1:$1048576,ROW(),FALSE)</f>
        <v>0</v>
      </c>
      <c r="AC8459" s="580">
        <f>HLOOKUP("*"&amp;'Output annual'!$AC$2&amp;'Output annual'!$AD$2&amp;"*FangerPMV(Hourly)",'Eplus results'!$1:$1048576,ROW(),FALSE)</f>
        <v>0</v>
      </c>
      <c r="AD8459" s="580">
        <f t="shared" si="696"/>
        <v>5</v>
      </c>
      <c r="AE8459" s="580">
        <f t="shared" si="697"/>
        <v>2.5</v>
      </c>
      <c r="AF8459" s="580">
        <f t="shared" si="698"/>
        <v>2.5</v>
      </c>
      <c r="AG8459" s="580">
        <f t="shared" si="699"/>
        <v>0</v>
      </c>
      <c r="AH8459" s="580">
        <f t="shared" si="700"/>
        <v>0</v>
      </c>
    </row>
    <row r="8460" spans="28:34">
      <c r="AB8460" s="580">
        <f>HLOOKUP("*"&amp;'Output annual'!$AC$2&amp;'Output annual'!$AD$2&amp;"*Zone People Number Of Occupants [](Hourly)",'Eplus results'!$1:$1048576,ROW(),FALSE)</f>
        <v>0</v>
      </c>
      <c r="AC8460" s="580">
        <f>HLOOKUP("*"&amp;'Output annual'!$AC$2&amp;'Output annual'!$AD$2&amp;"*FangerPMV(Hourly)",'Eplus results'!$1:$1048576,ROW(),FALSE)</f>
        <v>0</v>
      </c>
      <c r="AD8460" s="580">
        <f t="shared" si="696"/>
        <v>5</v>
      </c>
      <c r="AE8460" s="580">
        <f t="shared" si="697"/>
        <v>2.5</v>
      </c>
      <c r="AF8460" s="580">
        <f t="shared" si="698"/>
        <v>2.5</v>
      </c>
      <c r="AG8460" s="580">
        <f t="shared" si="699"/>
        <v>0</v>
      </c>
      <c r="AH8460" s="580">
        <f t="shared" si="700"/>
        <v>0</v>
      </c>
    </row>
    <row r="8461" spans="28:34">
      <c r="AB8461" s="580">
        <f>HLOOKUP("*"&amp;'Output annual'!$AC$2&amp;'Output annual'!$AD$2&amp;"*Zone People Number Of Occupants [](Hourly)",'Eplus results'!$1:$1048576,ROW(),FALSE)</f>
        <v>0</v>
      </c>
      <c r="AC8461" s="580">
        <f>HLOOKUP("*"&amp;'Output annual'!$AC$2&amp;'Output annual'!$AD$2&amp;"*FangerPMV(Hourly)",'Eplus results'!$1:$1048576,ROW(),FALSE)</f>
        <v>0</v>
      </c>
      <c r="AD8461" s="580">
        <f t="shared" si="696"/>
        <v>5</v>
      </c>
      <c r="AE8461" s="580">
        <f t="shared" si="697"/>
        <v>2.5</v>
      </c>
      <c r="AF8461" s="580">
        <f t="shared" si="698"/>
        <v>2.5</v>
      </c>
      <c r="AG8461" s="580">
        <f t="shared" si="699"/>
        <v>0</v>
      </c>
      <c r="AH8461" s="580">
        <f t="shared" si="700"/>
        <v>0</v>
      </c>
    </row>
    <row r="8462" spans="28:34">
      <c r="AB8462" s="580">
        <f>HLOOKUP("*"&amp;'Output annual'!$AC$2&amp;'Output annual'!$AD$2&amp;"*Zone People Number Of Occupants [](Hourly)",'Eplus results'!$1:$1048576,ROW(),FALSE)</f>
        <v>0</v>
      </c>
      <c r="AC8462" s="580">
        <f>HLOOKUP("*"&amp;'Output annual'!$AC$2&amp;'Output annual'!$AD$2&amp;"*FangerPMV(Hourly)",'Eplus results'!$1:$1048576,ROW(),FALSE)</f>
        <v>0</v>
      </c>
      <c r="AD8462" s="580">
        <f t="shared" si="696"/>
        <v>5</v>
      </c>
      <c r="AE8462" s="580">
        <f t="shared" si="697"/>
        <v>2.5</v>
      </c>
      <c r="AF8462" s="580">
        <f t="shared" si="698"/>
        <v>2.5</v>
      </c>
      <c r="AG8462" s="580">
        <f t="shared" si="699"/>
        <v>0</v>
      </c>
      <c r="AH8462" s="580">
        <f t="shared" si="700"/>
        <v>0</v>
      </c>
    </row>
    <row r="8463" spans="28:34">
      <c r="AB8463" s="580">
        <f>HLOOKUP("*"&amp;'Output annual'!$AC$2&amp;'Output annual'!$AD$2&amp;"*Zone People Number Of Occupants [](Hourly)",'Eplus results'!$1:$1048576,ROW(),FALSE)</f>
        <v>0</v>
      </c>
      <c r="AC8463" s="580">
        <f>HLOOKUP("*"&amp;'Output annual'!$AC$2&amp;'Output annual'!$AD$2&amp;"*FangerPMV(Hourly)",'Eplus results'!$1:$1048576,ROW(),FALSE)</f>
        <v>0</v>
      </c>
      <c r="AD8463" s="580">
        <f t="shared" si="696"/>
        <v>5</v>
      </c>
      <c r="AE8463" s="580">
        <f t="shared" si="697"/>
        <v>2.5</v>
      </c>
      <c r="AF8463" s="580">
        <f t="shared" si="698"/>
        <v>2.5</v>
      </c>
      <c r="AG8463" s="580">
        <f t="shared" si="699"/>
        <v>0</v>
      </c>
      <c r="AH8463" s="580">
        <f t="shared" si="700"/>
        <v>0</v>
      </c>
    </row>
    <row r="8464" spans="28:34">
      <c r="AB8464" s="580">
        <f>HLOOKUP("*"&amp;'Output annual'!$AC$2&amp;'Output annual'!$AD$2&amp;"*Zone People Number Of Occupants [](Hourly)",'Eplus results'!$1:$1048576,ROW(),FALSE)</f>
        <v>0</v>
      </c>
      <c r="AC8464" s="580">
        <f>HLOOKUP("*"&amp;'Output annual'!$AC$2&amp;'Output annual'!$AD$2&amp;"*FangerPMV(Hourly)",'Eplus results'!$1:$1048576,ROW(),FALSE)</f>
        <v>0</v>
      </c>
      <c r="AD8464" s="580">
        <f t="shared" si="696"/>
        <v>5</v>
      </c>
      <c r="AE8464" s="580">
        <f t="shared" si="697"/>
        <v>2.5</v>
      </c>
      <c r="AF8464" s="580">
        <f t="shared" si="698"/>
        <v>2.5</v>
      </c>
      <c r="AG8464" s="580">
        <f t="shared" si="699"/>
        <v>0</v>
      </c>
      <c r="AH8464" s="580">
        <f t="shared" si="700"/>
        <v>0</v>
      </c>
    </row>
    <row r="8465" spans="28:34">
      <c r="AB8465" s="580">
        <f>HLOOKUP("*"&amp;'Output annual'!$AC$2&amp;'Output annual'!$AD$2&amp;"*Zone People Number Of Occupants [](Hourly)",'Eplus results'!$1:$1048576,ROW(),FALSE)</f>
        <v>0</v>
      </c>
      <c r="AC8465" s="580">
        <f>HLOOKUP("*"&amp;'Output annual'!$AC$2&amp;'Output annual'!$AD$2&amp;"*FangerPMV(Hourly)",'Eplus results'!$1:$1048576,ROW(),FALSE)</f>
        <v>0</v>
      </c>
      <c r="AD8465" s="580">
        <f t="shared" si="696"/>
        <v>5</v>
      </c>
      <c r="AE8465" s="580">
        <f t="shared" si="697"/>
        <v>2.5</v>
      </c>
      <c r="AF8465" s="580">
        <f t="shared" si="698"/>
        <v>2.5</v>
      </c>
      <c r="AG8465" s="580">
        <f t="shared" si="699"/>
        <v>0</v>
      </c>
      <c r="AH8465" s="580">
        <f t="shared" si="700"/>
        <v>0</v>
      </c>
    </row>
    <row r="8466" spans="28:34">
      <c r="AB8466" s="580">
        <f>HLOOKUP("*"&amp;'Output annual'!$AC$2&amp;'Output annual'!$AD$2&amp;"*Zone People Number Of Occupants [](Hourly)",'Eplus results'!$1:$1048576,ROW(),FALSE)</f>
        <v>0</v>
      </c>
      <c r="AC8466" s="580">
        <f>HLOOKUP("*"&amp;'Output annual'!$AC$2&amp;'Output annual'!$AD$2&amp;"*FangerPMV(Hourly)",'Eplus results'!$1:$1048576,ROW(),FALSE)</f>
        <v>0</v>
      </c>
      <c r="AD8466" s="580">
        <f t="shared" si="696"/>
        <v>5</v>
      </c>
      <c r="AE8466" s="580">
        <f t="shared" si="697"/>
        <v>2.5</v>
      </c>
      <c r="AF8466" s="580">
        <f t="shared" si="698"/>
        <v>2.5</v>
      </c>
      <c r="AG8466" s="580">
        <f t="shared" si="699"/>
        <v>0</v>
      </c>
      <c r="AH8466" s="580">
        <f t="shared" si="700"/>
        <v>0</v>
      </c>
    </row>
    <row r="8467" spans="28:34">
      <c r="AB8467" s="580">
        <f>HLOOKUP("*"&amp;'Output annual'!$AC$2&amp;'Output annual'!$AD$2&amp;"*Zone People Number Of Occupants [](Hourly)",'Eplus results'!$1:$1048576,ROW(),FALSE)</f>
        <v>0</v>
      </c>
      <c r="AC8467" s="580">
        <f>HLOOKUP("*"&amp;'Output annual'!$AC$2&amp;'Output annual'!$AD$2&amp;"*FangerPMV(Hourly)",'Eplus results'!$1:$1048576,ROW(),FALSE)</f>
        <v>0</v>
      </c>
      <c r="AD8467" s="580">
        <f t="shared" si="696"/>
        <v>5</v>
      </c>
      <c r="AE8467" s="580">
        <f t="shared" si="697"/>
        <v>2.5</v>
      </c>
      <c r="AF8467" s="580">
        <f t="shared" si="698"/>
        <v>2.5</v>
      </c>
      <c r="AG8467" s="580">
        <f t="shared" si="699"/>
        <v>0</v>
      </c>
      <c r="AH8467" s="580">
        <f t="shared" si="700"/>
        <v>0</v>
      </c>
    </row>
    <row r="8468" spans="28:34">
      <c r="AB8468" s="580">
        <f>HLOOKUP("*"&amp;'Output annual'!$AC$2&amp;'Output annual'!$AD$2&amp;"*Zone People Number Of Occupants [](Hourly)",'Eplus results'!$1:$1048576,ROW(),FALSE)</f>
        <v>0</v>
      </c>
      <c r="AC8468" s="580">
        <f>HLOOKUP("*"&amp;'Output annual'!$AC$2&amp;'Output annual'!$AD$2&amp;"*FangerPMV(Hourly)",'Eplus results'!$1:$1048576,ROW(),FALSE)</f>
        <v>0</v>
      </c>
      <c r="AD8468" s="580">
        <f t="shared" si="696"/>
        <v>5</v>
      </c>
      <c r="AE8468" s="580">
        <f t="shared" si="697"/>
        <v>2.5</v>
      </c>
      <c r="AF8468" s="580">
        <f t="shared" si="698"/>
        <v>2.5</v>
      </c>
      <c r="AG8468" s="580">
        <f t="shared" si="699"/>
        <v>0</v>
      </c>
      <c r="AH8468" s="580">
        <f t="shared" si="700"/>
        <v>0</v>
      </c>
    </row>
    <row r="8469" spans="28:34">
      <c r="AB8469" s="580">
        <f>HLOOKUP("*"&amp;'Output annual'!$AC$2&amp;'Output annual'!$AD$2&amp;"*Zone People Number Of Occupants [](Hourly)",'Eplus results'!$1:$1048576,ROW(),FALSE)</f>
        <v>0</v>
      </c>
      <c r="AC8469" s="580">
        <f>HLOOKUP("*"&amp;'Output annual'!$AC$2&amp;'Output annual'!$AD$2&amp;"*FangerPMV(Hourly)",'Eplus results'!$1:$1048576,ROW(),FALSE)</f>
        <v>0</v>
      </c>
      <c r="AD8469" s="580">
        <f t="shared" si="696"/>
        <v>5</v>
      </c>
      <c r="AE8469" s="580">
        <f t="shared" si="697"/>
        <v>2.5</v>
      </c>
      <c r="AF8469" s="580">
        <f t="shared" si="698"/>
        <v>2.5</v>
      </c>
      <c r="AG8469" s="580">
        <f t="shared" si="699"/>
        <v>0</v>
      </c>
      <c r="AH8469" s="580">
        <f t="shared" si="700"/>
        <v>0</v>
      </c>
    </row>
    <row r="8470" spans="28:34">
      <c r="AB8470" s="580">
        <f>HLOOKUP("*"&amp;'Output annual'!$AC$2&amp;'Output annual'!$AD$2&amp;"*Zone People Number Of Occupants [](Hourly)",'Eplus results'!$1:$1048576,ROW(),FALSE)</f>
        <v>0</v>
      </c>
      <c r="AC8470" s="580">
        <f>HLOOKUP("*"&amp;'Output annual'!$AC$2&amp;'Output annual'!$AD$2&amp;"*FangerPMV(Hourly)",'Eplus results'!$1:$1048576,ROW(),FALSE)</f>
        <v>0</v>
      </c>
      <c r="AD8470" s="580">
        <f t="shared" si="696"/>
        <v>5</v>
      </c>
      <c r="AE8470" s="580">
        <f t="shared" si="697"/>
        <v>2.5</v>
      </c>
      <c r="AF8470" s="580">
        <f t="shared" si="698"/>
        <v>2.5</v>
      </c>
      <c r="AG8470" s="580">
        <f t="shared" si="699"/>
        <v>0</v>
      </c>
      <c r="AH8470" s="580">
        <f t="shared" si="700"/>
        <v>0</v>
      </c>
    </row>
    <row r="8471" spans="28:34">
      <c r="AB8471" s="580">
        <f>HLOOKUP("*"&amp;'Output annual'!$AC$2&amp;'Output annual'!$AD$2&amp;"*Zone People Number Of Occupants [](Hourly)",'Eplus results'!$1:$1048576,ROW(),FALSE)</f>
        <v>0</v>
      </c>
      <c r="AC8471" s="580">
        <f>HLOOKUP("*"&amp;'Output annual'!$AC$2&amp;'Output annual'!$AD$2&amp;"*FangerPMV(Hourly)",'Eplus results'!$1:$1048576,ROW(),FALSE)</f>
        <v>0</v>
      </c>
      <c r="AD8471" s="580">
        <f t="shared" si="696"/>
        <v>5</v>
      </c>
      <c r="AE8471" s="580">
        <f t="shared" si="697"/>
        <v>2.5</v>
      </c>
      <c r="AF8471" s="580">
        <f t="shared" si="698"/>
        <v>2.5</v>
      </c>
      <c r="AG8471" s="580">
        <f t="shared" si="699"/>
        <v>0</v>
      </c>
      <c r="AH8471" s="580">
        <f t="shared" si="700"/>
        <v>0</v>
      </c>
    </row>
    <row r="8472" spans="28:34">
      <c r="AB8472" s="580">
        <f>HLOOKUP("*"&amp;'Output annual'!$AC$2&amp;'Output annual'!$AD$2&amp;"*Zone People Number Of Occupants [](Hourly)",'Eplus results'!$1:$1048576,ROW(),FALSE)</f>
        <v>0</v>
      </c>
      <c r="AC8472" s="580">
        <f>HLOOKUP("*"&amp;'Output annual'!$AC$2&amp;'Output annual'!$AD$2&amp;"*FangerPMV(Hourly)",'Eplus results'!$1:$1048576,ROW(),FALSE)</f>
        <v>0</v>
      </c>
      <c r="AD8472" s="580">
        <f t="shared" si="696"/>
        <v>5</v>
      </c>
      <c r="AE8472" s="580">
        <f t="shared" si="697"/>
        <v>2.5</v>
      </c>
      <c r="AF8472" s="580">
        <f t="shared" si="698"/>
        <v>2.5</v>
      </c>
      <c r="AG8472" s="580">
        <f t="shared" si="699"/>
        <v>0</v>
      </c>
      <c r="AH8472" s="580">
        <f t="shared" si="700"/>
        <v>0</v>
      </c>
    </row>
    <row r="8473" spans="28:34">
      <c r="AB8473" s="580">
        <f>HLOOKUP("*"&amp;'Output annual'!$AC$2&amp;'Output annual'!$AD$2&amp;"*Zone People Number Of Occupants [](Hourly)",'Eplus results'!$1:$1048576,ROW(),FALSE)</f>
        <v>0</v>
      </c>
      <c r="AC8473" s="580">
        <f>HLOOKUP("*"&amp;'Output annual'!$AC$2&amp;'Output annual'!$AD$2&amp;"*FangerPMV(Hourly)",'Eplus results'!$1:$1048576,ROW(),FALSE)</f>
        <v>0</v>
      </c>
      <c r="AD8473" s="580">
        <f t="shared" si="696"/>
        <v>5</v>
      </c>
      <c r="AE8473" s="580">
        <f t="shared" si="697"/>
        <v>2.5</v>
      </c>
      <c r="AF8473" s="580">
        <f t="shared" si="698"/>
        <v>2.5</v>
      </c>
      <c r="AG8473" s="580">
        <f t="shared" si="699"/>
        <v>0</v>
      </c>
      <c r="AH8473" s="580">
        <f t="shared" si="700"/>
        <v>0</v>
      </c>
    </row>
    <row r="8474" spans="28:34">
      <c r="AB8474" s="580">
        <f>HLOOKUP("*"&amp;'Output annual'!$AC$2&amp;'Output annual'!$AD$2&amp;"*Zone People Number Of Occupants [](Hourly)",'Eplus results'!$1:$1048576,ROW(),FALSE)</f>
        <v>0</v>
      </c>
      <c r="AC8474" s="580">
        <f>HLOOKUP("*"&amp;'Output annual'!$AC$2&amp;'Output annual'!$AD$2&amp;"*FangerPMV(Hourly)",'Eplus results'!$1:$1048576,ROW(),FALSE)</f>
        <v>0</v>
      </c>
      <c r="AD8474" s="580">
        <f t="shared" si="696"/>
        <v>5</v>
      </c>
      <c r="AE8474" s="580">
        <f t="shared" si="697"/>
        <v>2.5</v>
      </c>
      <c r="AF8474" s="580">
        <f t="shared" si="698"/>
        <v>2.5</v>
      </c>
      <c r="AG8474" s="580">
        <f t="shared" si="699"/>
        <v>0</v>
      </c>
      <c r="AH8474" s="580">
        <f t="shared" si="700"/>
        <v>0</v>
      </c>
    </row>
    <row r="8475" spans="28:34">
      <c r="AB8475" s="580">
        <f>HLOOKUP("*"&amp;'Output annual'!$AC$2&amp;'Output annual'!$AD$2&amp;"*Zone People Number Of Occupants [](Hourly)",'Eplus results'!$1:$1048576,ROW(),FALSE)</f>
        <v>0</v>
      </c>
      <c r="AC8475" s="580">
        <f>HLOOKUP("*"&amp;'Output annual'!$AC$2&amp;'Output annual'!$AD$2&amp;"*FangerPMV(Hourly)",'Eplus results'!$1:$1048576,ROW(),FALSE)</f>
        <v>0</v>
      </c>
      <c r="AD8475" s="580">
        <f t="shared" si="696"/>
        <v>5</v>
      </c>
      <c r="AE8475" s="580">
        <f t="shared" si="697"/>
        <v>2.5</v>
      </c>
      <c r="AF8475" s="580">
        <f t="shared" si="698"/>
        <v>2.5</v>
      </c>
      <c r="AG8475" s="580">
        <f t="shared" si="699"/>
        <v>0</v>
      </c>
      <c r="AH8475" s="580">
        <f t="shared" si="700"/>
        <v>0</v>
      </c>
    </row>
    <row r="8476" spans="28:34">
      <c r="AB8476" s="580">
        <f>HLOOKUP("*"&amp;'Output annual'!$AC$2&amp;'Output annual'!$AD$2&amp;"*Zone People Number Of Occupants [](Hourly)",'Eplus results'!$1:$1048576,ROW(),FALSE)</f>
        <v>0</v>
      </c>
      <c r="AC8476" s="580">
        <f>HLOOKUP("*"&amp;'Output annual'!$AC$2&amp;'Output annual'!$AD$2&amp;"*FangerPMV(Hourly)",'Eplus results'!$1:$1048576,ROW(),FALSE)</f>
        <v>0</v>
      </c>
      <c r="AD8476" s="580">
        <f t="shared" si="696"/>
        <v>5</v>
      </c>
      <c r="AE8476" s="580">
        <f t="shared" si="697"/>
        <v>2.5</v>
      </c>
      <c r="AF8476" s="580">
        <f t="shared" si="698"/>
        <v>2.5</v>
      </c>
      <c r="AG8476" s="580">
        <f t="shared" si="699"/>
        <v>0</v>
      </c>
      <c r="AH8476" s="580">
        <f t="shared" si="700"/>
        <v>0</v>
      </c>
    </row>
    <row r="8477" spans="28:34">
      <c r="AB8477" s="580">
        <f>HLOOKUP("*"&amp;'Output annual'!$AC$2&amp;'Output annual'!$AD$2&amp;"*Zone People Number Of Occupants [](Hourly)",'Eplus results'!$1:$1048576,ROW(),FALSE)</f>
        <v>0</v>
      </c>
      <c r="AC8477" s="580">
        <f>HLOOKUP("*"&amp;'Output annual'!$AC$2&amp;'Output annual'!$AD$2&amp;"*FangerPMV(Hourly)",'Eplus results'!$1:$1048576,ROW(),FALSE)</f>
        <v>0</v>
      </c>
      <c r="AD8477" s="580">
        <f t="shared" si="696"/>
        <v>5</v>
      </c>
      <c r="AE8477" s="580">
        <f t="shared" si="697"/>
        <v>2.5</v>
      </c>
      <c r="AF8477" s="580">
        <f t="shared" si="698"/>
        <v>2.5</v>
      </c>
      <c r="AG8477" s="580">
        <f t="shared" si="699"/>
        <v>0</v>
      </c>
      <c r="AH8477" s="580">
        <f t="shared" si="700"/>
        <v>0</v>
      </c>
    </row>
    <row r="8478" spans="28:34">
      <c r="AB8478" s="580">
        <f>HLOOKUP("*"&amp;'Output annual'!$AC$2&amp;'Output annual'!$AD$2&amp;"*Zone People Number Of Occupants [](Hourly)",'Eplus results'!$1:$1048576,ROW(),FALSE)</f>
        <v>0</v>
      </c>
      <c r="AC8478" s="580">
        <f>HLOOKUP("*"&amp;'Output annual'!$AC$2&amp;'Output annual'!$AD$2&amp;"*FangerPMV(Hourly)",'Eplus results'!$1:$1048576,ROW(),FALSE)</f>
        <v>0</v>
      </c>
      <c r="AD8478" s="580">
        <f t="shared" si="696"/>
        <v>5</v>
      </c>
      <c r="AE8478" s="580">
        <f t="shared" si="697"/>
        <v>2.5</v>
      </c>
      <c r="AF8478" s="580">
        <f t="shared" si="698"/>
        <v>2.5</v>
      </c>
      <c r="AG8478" s="580">
        <f t="shared" si="699"/>
        <v>0</v>
      </c>
      <c r="AH8478" s="580">
        <f t="shared" si="700"/>
        <v>0</v>
      </c>
    </row>
    <row r="8479" spans="28:34">
      <c r="AB8479" s="580">
        <f>HLOOKUP("*"&amp;'Output annual'!$AC$2&amp;'Output annual'!$AD$2&amp;"*Zone People Number Of Occupants [](Hourly)",'Eplus results'!$1:$1048576,ROW(),FALSE)</f>
        <v>0</v>
      </c>
      <c r="AC8479" s="580">
        <f>HLOOKUP("*"&amp;'Output annual'!$AC$2&amp;'Output annual'!$AD$2&amp;"*FangerPMV(Hourly)",'Eplus results'!$1:$1048576,ROW(),FALSE)</f>
        <v>0</v>
      </c>
      <c r="AD8479" s="580">
        <f t="shared" si="696"/>
        <v>5</v>
      </c>
      <c r="AE8479" s="580">
        <f t="shared" si="697"/>
        <v>2.5</v>
      </c>
      <c r="AF8479" s="580">
        <f t="shared" si="698"/>
        <v>2.5</v>
      </c>
      <c r="AG8479" s="580">
        <f t="shared" si="699"/>
        <v>0</v>
      </c>
      <c r="AH8479" s="580">
        <f t="shared" si="700"/>
        <v>0</v>
      </c>
    </row>
    <row r="8480" spans="28:34">
      <c r="AB8480" s="580">
        <f>HLOOKUP("*"&amp;'Output annual'!$AC$2&amp;'Output annual'!$AD$2&amp;"*Zone People Number Of Occupants [](Hourly)",'Eplus results'!$1:$1048576,ROW(),FALSE)</f>
        <v>0</v>
      </c>
      <c r="AC8480" s="580">
        <f>HLOOKUP("*"&amp;'Output annual'!$AC$2&amp;'Output annual'!$AD$2&amp;"*FangerPMV(Hourly)",'Eplus results'!$1:$1048576,ROW(),FALSE)</f>
        <v>0</v>
      </c>
      <c r="AD8480" s="580">
        <f t="shared" si="696"/>
        <v>5</v>
      </c>
      <c r="AE8480" s="580">
        <f t="shared" si="697"/>
        <v>2.5</v>
      </c>
      <c r="AF8480" s="580">
        <f t="shared" si="698"/>
        <v>2.5</v>
      </c>
      <c r="AG8480" s="580">
        <f t="shared" si="699"/>
        <v>0</v>
      </c>
      <c r="AH8480" s="580">
        <f t="shared" si="700"/>
        <v>0</v>
      </c>
    </row>
    <row r="8481" spans="28:34">
      <c r="AB8481" s="580">
        <f>HLOOKUP("*"&amp;'Output annual'!$AC$2&amp;'Output annual'!$AD$2&amp;"*Zone People Number Of Occupants [](Hourly)",'Eplus results'!$1:$1048576,ROW(),FALSE)</f>
        <v>0</v>
      </c>
      <c r="AC8481" s="580">
        <f>HLOOKUP("*"&amp;'Output annual'!$AC$2&amp;'Output annual'!$AD$2&amp;"*FangerPMV(Hourly)",'Eplus results'!$1:$1048576,ROW(),FALSE)</f>
        <v>0</v>
      </c>
      <c r="AD8481" s="580">
        <f t="shared" si="696"/>
        <v>5</v>
      </c>
      <c r="AE8481" s="580">
        <f t="shared" si="697"/>
        <v>2.5</v>
      </c>
      <c r="AF8481" s="580">
        <f t="shared" si="698"/>
        <v>2.5</v>
      </c>
      <c r="AG8481" s="580">
        <f t="shared" si="699"/>
        <v>0</v>
      </c>
      <c r="AH8481" s="580">
        <f t="shared" si="700"/>
        <v>0</v>
      </c>
    </row>
    <row r="8482" spans="28:34">
      <c r="AB8482" s="580">
        <f>HLOOKUP("*"&amp;'Output annual'!$AC$2&amp;'Output annual'!$AD$2&amp;"*Zone People Number Of Occupants [](Hourly)",'Eplus results'!$1:$1048576,ROW(),FALSE)</f>
        <v>0</v>
      </c>
      <c r="AC8482" s="580">
        <f>HLOOKUP("*"&amp;'Output annual'!$AC$2&amp;'Output annual'!$AD$2&amp;"*FangerPMV(Hourly)",'Eplus results'!$1:$1048576,ROW(),FALSE)</f>
        <v>0</v>
      </c>
      <c r="AD8482" s="580">
        <f t="shared" si="696"/>
        <v>5</v>
      </c>
      <c r="AE8482" s="580">
        <f t="shared" si="697"/>
        <v>2.5</v>
      </c>
      <c r="AF8482" s="580">
        <f t="shared" si="698"/>
        <v>2.5</v>
      </c>
      <c r="AG8482" s="580">
        <f t="shared" si="699"/>
        <v>0</v>
      </c>
      <c r="AH8482" s="580">
        <f t="shared" si="700"/>
        <v>0</v>
      </c>
    </row>
    <row r="8483" spans="28:34">
      <c r="AB8483" s="580">
        <f>HLOOKUP("*"&amp;'Output annual'!$AC$2&amp;'Output annual'!$AD$2&amp;"*Zone People Number Of Occupants [](Hourly)",'Eplus results'!$1:$1048576,ROW(),FALSE)</f>
        <v>0</v>
      </c>
      <c r="AC8483" s="580">
        <f>HLOOKUP("*"&amp;'Output annual'!$AC$2&amp;'Output annual'!$AD$2&amp;"*FangerPMV(Hourly)",'Eplus results'!$1:$1048576,ROW(),FALSE)</f>
        <v>0</v>
      </c>
      <c r="AD8483" s="580">
        <f t="shared" si="696"/>
        <v>5</v>
      </c>
      <c r="AE8483" s="580">
        <f t="shared" si="697"/>
        <v>2.5</v>
      </c>
      <c r="AF8483" s="580">
        <f t="shared" si="698"/>
        <v>2.5</v>
      </c>
      <c r="AG8483" s="580">
        <f t="shared" si="699"/>
        <v>0</v>
      </c>
      <c r="AH8483" s="580">
        <f t="shared" si="700"/>
        <v>0</v>
      </c>
    </row>
    <row r="8484" spans="28:34">
      <c r="AB8484" s="580">
        <f>HLOOKUP("*"&amp;'Output annual'!$AC$2&amp;'Output annual'!$AD$2&amp;"*Zone People Number Of Occupants [](Hourly)",'Eplus results'!$1:$1048576,ROW(),FALSE)</f>
        <v>0</v>
      </c>
      <c r="AC8484" s="580">
        <f>HLOOKUP("*"&amp;'Output annual'!$AC$2&amp;'Output annual'!$AD$2&amp;"*FangerPMV(Hourly)",'Eplus results'!$1:$1048576,ROW(),FALSE)</f>
        <v>0</v>
      </c>
      <c r="AD8484" s="580">
        <f t="shared" si="696"/>
        <v>5</v>
      </c>
      <c r="AE8484" s="580">
        <f t="shared" si="697"/>
        <v>2.5</v>
      </c>
      <c r="AF8484" s="580">
        <f t="shared" si="698"/>
        <v>2.5</v>
      </c>
      <c r="AG8484" s="580">
        <f t="shared" si="699"/>
        <v>0</v>
      </c>
      <c r="AH8484" s="580">
        <f t="shared" si="700"/>
        <v>0</v>
      </c>
    </row>
    <row r="8485" spans="28:34">
      <c r="AB8485" s="580">
        <f>HLOOKUP("*"&amp;'Output annual'!$AC$2&amp;'Output annual'!$AD$2&amp;"*Zone People Number Of Occupants [](Hourly)",'Eplus results'!$1:$1048576,ROW(),FALSE)</f>
        <v>0</v>
      </c>
      <c r="AC8485" s="580">
        <f>HLOOKUP("*"&amp;'Output annual'!$AC$2&amp;'Output annual'!$AD$2&amp;"*FangerPMV(Hourly)",'Eplus results'!$1:$1048576,ROW(),FALSE)</f>
        <v>0</v>
      </c>
      <c r="AD8485" s="580">
        <f t="shared" si="696"/>
        <v>5</v>
      </c>
      <c r="AE8485" s="580">
        <f t="shared" si="697"/>
        <v>2.5</v>
      </c>
      <c r="AF8485" s="580">
        <f t="shared" si="698"/>
        <v>2.5</v>
      </c>
      <c r="AG8485" s="580">
        <f t="shared" si="699"/>
        <v>0</v>
      </c>
      <c r="AH8485" s="580">
        <f t="shared" si="700"/>
        <v>0</v>
      </c>
    </row>
    <row r="8486" spans="28:34">
      <c r="AB8486" s="580">
        <f>HLOOKUP("*"&amp;'Output annual'!$AC$2&amp;'Output annual'!$AD$2&amp;"*Zone People Number Of Occupants [](Hourly)",'Eplus results'!$1:$1048576,ROW(),FALSE)</f>
        <v>0</v>
      </c>
      <c r="AC8486" s="580">
        <f>HLOOKUP("*"&amp;'Output annual'!$AC$2&amp;'Output annual'!$AD$2&amp;"*FangerPMV(Hourly)",'Eplus results'!$1:$1048576,ROW(),FALSE)</f>
        <v>0</v>
      </c>
      <c r="AD8486" s="580">
        <f t="shared" si="696"/>
        <v>5</v>
      </c>
      <c r="AE8486" s="580">
        <f t="shared" si="697"/>
        <v>2.5</v>
      </c>
      <c r="AF8486" s="580">
        <f t="shared" si="698"/>
        <v>2.5</v>
      </c>
      <c r="AG8486" s="580">
        <f t="shared" si="699"/>
        <v>0</v>
      </c>
      <c r="AH8486" s="580">
        <f t="shared" si="700"/>
        <v>0</v>
      </c>
    </row>
    <row r="8487" spans="28:34">
      <c r="AB8487" s="580">
        <f>HLOOKUP("*"&amp;'Output annual'!$AC$2&amp;'Output annual'!$AD$2&amp;"*Zone People Number Of Occupants [](Hourly)",'Eplus results'!$1:$1048576,ROW(),FALSE)</f>
        <v>0</v>
      </c>
      <c r="AC8487" s="580">
        <f>HLOOKUP("*"&amp;'Output annual'!$AC$2&amp;'Output annual'!$AD$2&amp;"*FangerPMV(Hourly)",'Eplus results'!$1:$1048576,ROW(),FALSE)</f>
        <v>0</v>
      </c>
      <c r="AD8487" s="580">
        <f t="shared" si="696"/>
        <v>5</v>
      </c>
      <c r="AE8487" s="580">
        <f t="shared" si="697"/>
        <v>2.5</v>
      </c>
      <c r="AF8487" s="580">
        <f t="shared" si="698"/>
        <v>2.5</v>
      </c>
      <c r="AG8487" s="580">
        <f t="shared" si="699"/>
        <v>0</v>
      </c>
      <c r="AH8487" s="580">
        <f t="shared" si="700"/>
        <v>0</v>
      </c>
    </row>
    <row r="8488" spans="28:34">
      <c r="AB8488" s="580">
        <f>HLOOKUP("*"&amp;'Output annual'!$AC$2&amp;'Output annual'!$AD$2&amp;"*Zone People Number Of Occupants [](Hourly)",'Eplus results'!$1:$1048576,ROW(),FALSE)</f>
        <v>0</v>
      </c>
      <c r="AC8488" s="580">
        <f>HLOOKUP("*"&amp;'Output annual'!$AC$2&amp;'Output annual'!$AD$2&amp;"*FangerPMV(Hourly)",'Eplus results'!$1:$1048576,ROW(),FALSE)</f>
        <v>0</v>
      </c>
      <c r="AD8488" s="580">
        <f t="shared" si="696"/>
        <v>5</v>
      </c>
      <c r="AE8488" s="580">
        <f t="shared" si="697"/>
        <v>2.5</v>
      </c>
      <c r="AF8488" s="580">
        <f t="shared" si="698"/>
        <v>2.5</v>
      </c>
      <c r="AG8488" s="580">
        <f t="shared" si="699"/>
        <v>0</v>
      </c>
      <c r="AH8488" s="580">
        <f t="shared" si="700"/>
        <v>0</v>
      </c>
    </row>
    <row r="8489" spans="28:34">
      <c r="AB8489" s="580">
        <f>HLOOKUP("*"&amp;'Output annual'!$AC$2&amp;'Output annual'!$AD$2&amp;"*Zone People Number Of Occupants [](Hourly)",'Eplus results'!$1:$1048576,ROW(),FALSE)</f>
        <v>0</v>
      </c>
      <c r="AC8489" s="580">
        <f>HLOOKUP("*"&amp;'Output annual'!$AC$2&amp;'Output annual'!$AD$2&amp;"*FangerPMV(Hourly)",'Eplus results'!$1:$1048576,ROW(),FALSE)</f>
        <v>0</v>
      </c>
      <c r="AD8489" s="580">
        <f t="shared" si="696"/>
        <v>5</v>
      </c>
      <c r="AE8489" s="580">
        <f t="shared" si="697"/>
        <v>2.5</v>
      </c>
      <c r="AF8489" s="580">
        <f t="shared" si="698"/>
        <v>2.5</v>
      </c>
      <c r="AG8489" s="580">
        <f t="shared" si="699"/>
        <v>0</v>
      </c>
      <c r="AH8489" s="580">
        <f t="shared" si="700"/>
        <v>0</v>
      </c>
    </row>
    <row r="8490" spans="28:34">
      <c r="AB8490" s="580">
        <f>HLOOKUP("*"&amp;'Output annual'!$AC$2&amp;'Output annual'!$AD$2&amp;"*Zone People Number Of Occupants [](Hourly)",'Eplus results'!$1:$1048576,ROW(),FALSE)</f>
        <v>0</v>
      </c>
      <c r="AC8490" s="580">
        <f>HLOOKUP("*"&amp;'Output annual'!$AC$2&amp;'Output annual'!$AD$2&amp;"*FangerPMV(Hourly)",'Eplus results'!$1:$1048576,ROW(),FALSE)</f>
        <v>0</v>
      </c>
      <c r="AD8490" s="580">
        <f t="shared" si="696"/>
        <v>5</v>
      </c>
      <c r="AE8490" s="580">
        <f t="shared" si="697"/>
        <v>2.5</v>
      </c>
      <c r="AF8490" s="580">
        <f t="shared" si="698"/>
        <v>2.5</v>
      </c>
      <c r="AG8490" s="580">
        <f t="shared" si="699"/>
        <v>0</v>
      </c>
      <c r="AH8490" s="580">
        <f t="shared" si="700"/>
        <v>0</v>
      </c>
    </row>
    <row r="8491" spans="28:34">
      <c r="AB8491" s="580">
        <f>HLOOKUP("*"&amp;'Output annual'!$AC$2&amp;'Output annual'!$AD$2&amp;"*Zone People Number Of Occupants [](Hourly)",'Eplus results'!$1:$1048576,ROW(),FALSE)</f>
        <v>0</v>
      </c>
      <c r="AC8491" s="580">
        <f>HLOOKUP("*"&amp;'Output annual'!$AC$2&amp;'Output annual'!$AD$2&amp;"*FangerPMV(Hourly)",'Eplus results'!$1:$1048576,ROW(),FALSE)</f>
        <v>0</v>
      </c>
      <c r="AD8491" s="580">
        <f t="shared" si="696"/>
        <v>5</v>
      </c>
      <c r="AE8491" s="580">
        <f t="shared" si="697"/>
        <v>2.5</v>
      </c>
      <c r="AF8491" s="580">
        <f t="shared" si="698"/>
        <v>2.5</v>
      </c>
      <c r="AG8491" s="580">
        <f t="shared" si="699"/>
        <v>0</v>
      </c>
      <c r="AH8491" s="580">
        <f t="shared" si="700"/>
        <v>0</v>
      </c>
    </row>
    <row r="8492" spans="28:34">
      <c r="AB8492" s="580">
        <f>HLOOKUP("*"&amp;'Output annual'!$AC$2&amp;'Output annual'!$AD$2&amp;"*Zone People Number Of Occupants [](Hourly)",'Eplus results'!$1:$1048576,ROW(),FALSE)</f>
        <v>0</v>
      </c>
      <c r="AC8492" s="580">
        <f>HLOOKUP("*"&amp;'Output annual'!$AC$2&amp;'Output annual'!$AD$2&amp;"*FangerPMV(Hourly)",'Eplus results'!$1:$1048576,ROW(),FALSE)</f>
        <v>0</v>
      </c>
      <c r="AD8492" s="580">
        <f t="shared" si="696"/>
        <v>5</v>
      </c>
      <c r="AE8492" s="580">
        <f t="shared" si="697"/>
        <v>2.5</v>
      </c>
      <c r="AF8492" s="580">
        <f t="shared" si="698"/>
        <v>2.5</v>
      </c>
      <c r="AG8492" s="580">
        <f t="shared" si="699"/>
        <v>0</v>
      </c>
      <c r="AH8492" s="580">
        <f t="shared" si="700"/>
        <v>0</v>
      </c>
    </row>
    <row r="8493" spans="28:34">
      <c r="AB8493" s="580">
        <f>HLOOKUP("*"&amp;'Output annual'!$AC$2&amp;'Output annual'!$AD$2&amp;"*Zone People Number Of Occupants [](Hourly)",'Eplus results'!$1:$1048576,ROW(),FALSE)</f>
        <v>0</v>
      </c>
      <c r="AC8493" s="580">
        <f>HLOOKUP("*"&amp;'Output annual'!$AC$2&amp;'Output annual'!$AD$2&amp;"*FangerPMV(Hourly)",'Eplus results'!$1:$1048576,ROW(),FALSE)</f>
        <v>0</v>
      </c>
      <c r="AD8493" s="580">
        <f t="shared" si="696"/>
        <v>5</v>
      </c>
      <c r="AE8493" s="580">
        <f t="shared" si="697"/>
        <v>2.5</v>
      </c>
      <c r="AF8493" s="580">
        <f t="shared" si="698"/>
        <v>2.5</v>
      </c>
      <c r="AG8493" s="580">
        <f t="shared" si="699"/>
        <v>0</v>
      </c>
      <c r="AH8493" s="580">
        <f t="shared" si="700"/>
        <v>0</v>
      </c>
    </row>
    <row r="8494" spans="28:34">
      <c r="AB8494" s="580">
        <f>HLOOKUP("*"&amp;'Output annual'!$AC$2&amp;'Output annual'!$AD$2&amp;"*Zone People Number Of Occupants [](Hourly)",'Eplus results'!$1:$1048576,ROW(),FALSE)</f>
        <v>0</v>
      </c>
      <c r="AC8494" s="580">
        <f>HLOOKUP("*"&amp;'Output annual'!$AC$2&amp;'Output annual'!$AD$2&amp;"*FangerPMV(Hourly)",'Eplus results'!$1:$1048576,ROW(),FALSE)</f>
        <v>0</v>
      </c>
      <c r="AD8494" s="580">
        <f t="shared" si="696"/>
        <v>5</v>
      </c>
      <c r="AE8494" s="580">
        <f t="shared" si="697"/>
        <v>2.5</v>
      </c>
      <c r="AF8494" s="580">
        <f t="shared" si="698"/>
        <v>2.5</v>
      </c>
      <c r="AG8494" s="580">
        <f t="shared" si="699"/>
        <v>0</v>
      </c>
      <c r="AH8494" s="580">
        <f t="shared" si="700"/>
        <v>0</v>
      </c>
    </row>
    <row r="8495" spans="28:34">
      <c r="AB8495" s="580">
        <f>HLOOKUP("*"&amp;'Output annual'!$AC$2&amp;'Output annual'!$AD$2&amp;"*Zone People Number Of Occupants [](Hourly)",'Eplus results'!$1:$1048576,ROW(),FALSE)</f>
        <v>0</v>
      </c>
      <c r="AC8495" s="580">
        <f>HLOOKUP("*"&amp;'Output annual'!$AC$2&amp;'Output annual'!$AD$2&amp;"*FangerPMV(Hourly)",'Eplus results'!$1:$1048576,ROW(),FALSE)</f>
        <v>0</v>
      </c>
      <c r="AD8495" s="580">
        <f t="shared" si="696"/>
        <v>5</v>
      </c>
      <c r="AE8495" s="580">
        <f t="shared" si="697"/>
        <v>2.5</v>
      </c>
      <c r="AF8495" s="580">
        <f t="shared" si="698"/>
        <v>2.5</v>
      </c>
      <c r="AG8495" s="580">
        <f t="shared" si="699"/>
        <v>0</v>
      </c>
      <c r="AH8495" s="580">
        <f t="shared" si="700"/>
        <v>0</v>
      </c>
    </row>
    <row r="8496" spans="28:34">
      <c r="AB8496" s="580">
        <f>HLOOKUP("*"&amp;'Output annual'!$AC$2&amp;'Output annual'!$AD$2&amp;"*Zone People Number Of Occupants [](Hourly)",'Eplus results'!$1:$1048576,ROW(),FALSE)</f>
        <v>0</v>
      </c>
      <c r="AC8496" s="580">
        <f>HLOOKUP("*"&amp;'Output annual'!$AC$2&amp;'Output annual'!$AD$2&amp;"*FangerPMV(Hourly)",'Eplus results'!$1:$1048576,ROW(),FALSE)</f>
        <v>0</v>
      </c>
      <c r="AD8496" s="580">
        <f t="shared" si="696"/>
        <v>5</v>
      </c>
      <c r="AE8496" s="580">
        <f t="shared" si="697"/>
        <v>2.5</v>
      </c>
      <c r="AF8496" s="580">
        <f t="shared" si="698"/>
        <v>2.5</v>
      </c>
      <c r="AG8496" s="580">
        <f t="shared" si="699"/>
        <v>0</v>
      </c>
      <c r="AH8496" s="580">
        <f t="shared" si="700"/>
        <v>0</v>
      </c>
    </row>
    <row r="8497" spans="28:34">
      <c r="AB8497" s="580">
        <f>HLOOKUP("*"&amp;'Output annual'!$AC$2&amp;'Output annual'!$AD$2&amp;"*Zone People Number Of Occupants [](Hourly)",'Eplus results'!$1:$1048576,ROW(),FALSE)</f>
        <v>0</v>
      </c>
      <c r="AC8497" s="580">
        <f>HLOOKUP("*"&amp;'Output annual'!$AC$2&amp;'Output annual'!$AD$2&amp;"*FangerPMV(Hourly)",'Eplus results'!$1:$1048576,ROW(),FALSE)</f>
        <v>0</v>
      </c>
      <c r="AD8497" s="580">
        <f t="shared" si="696"/>
        <v>5</v>
      </c>
      <c r="AE8497" s="580">
        <f t="shared" si="697"/>
        <v>2.5</v>
      </c>
      <c r="AF8497" s="580">
        <f t="shared" si="698"/>
        <v>2.5</v>
      </c>
      <c r="AG8497" s="580">
        <f t="shared" si="699"/>
        <v>0</v>
      </c>
      <c r="AH8497" s="580">
        <f t="shared" si="700"/>
        <v>0</v>
      </c>
    </row>
    <row r="8498" spans="28:34">
      <c r="AB8498" s="580">
        <f>HLOOKUP("*"&amp;'Output annual'!$AC$2&amp;'Output annual'!$AD$2&amp;"*Zone People Number Of Occupants [](Hourly)",'Eplus results'!$1:$1048576,ROW(),FALSE)</f>
        <v>0</v>
      </c>
      <c r="AC8498" s="580">
        <f>HLOOKUP("*"&amp;'Output annual'!$AC$2&amp;'Output annual'!$AD$2&amp;"*FangerPMV(Hourly)",'Eplus results'!$1:$1048576,ROW(),FALSE)</f>
        <v>0</v>
      </c>
      <c r="AD8498" s="580">
        <f t="shared" si="696"/>
        <v>5</v>
      </c>
      <c r="AE8498" s="580">
        <f t="shared" si="697"/>
        <v>2.5</v>
      </c>
      <c r="AF8498" s="580">
        <f t="shared" si="698"/>
        <v>2.5</v>
      </c>
      <c r="AG8498" s="580">
        <f t="shared" si="699"/>
        <v>0</v>
      </c>
      <c r="AH8498" s="580">
        <f t="shared" si="700"/>
        <v>0</v>
      </c>
    </row>
    <row r="8499" spans="28:34">
      <c r="AB8499" s="580">
        <f>HLOOKUP("*"&amp;'Output annual'!$AC$2&amp;'Output annual'!$AD$2&amp;"*Zone People Number Of Occupants [](Hourly)",'Eplus results'!$1:$1048576,ROW(),FALSE)</f>
        <v>0</v>
      </c>
      <c r="AC8499" s="580">
        <f>HLOOKUP("*"&amp;'Output annual'!$AC$2&amp;'Output annual'!$AD$2&amp;"*FangerPMV(Hourly)",'Eplus results'!$1:$1048576,ROW(),FALSE)</f>
        <v>0</v>
      </c>
      <c r="AD8499" s="580">
        <f t="shared" si="696"/>
        <v>5</v>
      </c>
      <c r="AE8499" s="580">
        <f t="shared" si="697"/>
        <v>2.5</v>
      </c>
      <c r="AF8499" s="580">
        <f t="shared" si="698"/>
        <v>2.5</v>
      </c>
      <c r="AG8499" s="580">
        <f t="shared" si="699"/>
        <v>0</v>
      </c>
      <c r="AH8499" s="580">
        <f t="shared" si="700"/>
        <v>0</v>
      </c>
    </row>
    <row r="8500" spans="28:34">
      <c r="AB8500" s="580">
        <f>HLOOKUP("*"&amp;'Output annual'!$AC$2&amp;'Output annual'!$AD$2&amp;"*Zone People Number Of Occupants [](Hourly)",'Eplus results'!$1:$1048576,ROW(),FALSE)</f>
        <v>0</v>
      </c>
      <c r="AC8500" s="580">
        <f>HLOOKUP("*"&amp;'Output annual'!$AC$2&amp;'Output annual'!$AD$2&amp;"*FangerPMV(Hourly)",'Eplus results'!$1:$1048576,ROW(),FALSE)</f>
        <v>0</v>
      </c>
      <c r="AD8500" s="580">
        <f t="shared" si="696"/>
        <v>5</v>
      </c>
      <c r="AE8500" s="580">
        <f t="shared" si="697"/>
        <v>2.5</v>
      </c>
      <c r="AF8500" s="580">
        <f t="shared" si="698"/>
        <v>2.5</v>
      </c>
      <c r="AG8500" s="580">
        <f t="shared" si="699"/>
        <v>0</v>
      </c>
      <c r="AH8500" s="580">
        <f t="shared" si="700"/>
        <v>0</v>
      </c>
    </row>
    <row r="8501" spans="28:34">
      <c r="AB8501" s="580">
        <f>HLOOKUP("*"&amp;'Output annual'!$AC$2&amp;'Output annual'!$AD$2&amp;"*Zone People Number Of Occupants [](Hourly)",'Eplus results'!$1:$1048576,ROW(),FALSE)</f>
        <v>0</v>
      </c>
      <c r="AC8501" s="580">
        <f>HLOOKUP("*"&amp;'Output annual'!$AC$2&amp;'Output annual'!$AD$2&amp;"*FangerPMV(Hourly)",'Eplus results'!$1:$1048576,ROW(),FALSE)</f>
        <v>0</v>
      </c>
      <c r="AD8501" s="580">
        <f t="shared" si="696"/>
        <v>5</v>
      </c>
      <c r="AE8501" s="580">
        <f t="shared" si="697"/>
        <v>2.5</v>
      </c>
      <c r="AF8501" s="580">
        <f t="shared" si="698"/>
        <v>2.5</v>
      </c>
      <c r="AG8501" s="580">
        <f t="shared" si="699"/>
        <v>0</v>
      </c>
      <c r="AH8501" s="580">
        <f t="shared" si="700"/>
        <v>0</v>
      </c>
    </row>
    <row r="8502" spans="28:34">
      <c r="AB8502" s="580">
        <f>HLOOKUP("*"&amp;'Output annual'!$AC$2&amp;'Output annual'!$AD$2&amp;"*Zone People Number Of Occupants [](Hourly)",'Eplus results'!$1:$1048576,ROW(),FALSE)</f>
        <v>0</v>
      </c>
      <c r="AC8502" s="580">
        <f>HLOOKUP("*"&amp;'Output annual'!$AC$2&amp;'Output annual'!$AD$2&amp;"*FangerPMV(Hourly)",'Eplus results'!$1:$1048576,ROW(),FALSE)</f>
        <v>0</v>
      </c>
      <c r="AD8502" s="580">
        <f t="shared" si="696"/>
        <v>5</v>
      </c>
      <c r="AE8502" s="580">
        <f t="shared" si="697"/>
        <v>2.5</v>
      </c>
      <c r="AF8502" s="580">
        <f t="shared" si="698"/>
        <v>2.5</v>
      </c>
      <c r="AG8502" s="580">
        <f t="shared" si="699"/>
        <v>0</v>
      </c>
      <c r="AH8502" s="580">
        <f t="shared" si="700"/>
        <v>0</v>
      </c>
    </row>
    <row r="8503" spans="28:34">
      <c r="AB8503" s="580">
        <f>HLOOKUP("*"&amp;'Output annual'!$AC$2&amp;'Output annual'!$AD$2&amp;"*Zone People Number Of Occupants [](Hourly)",'Eplus results'!$1:$1048576,ROW(),FALSE)</f>
        <v>0</v>
      </c>
      <c r="AC8503" s="580">
        <f>HLOOKUP("*"&amp;'Output annual'!$AC$2&amp;'Output annual'!$AD$2&amp;"*FangerPMV(Hourly)",'Eplus results'!$1:$1048576,ROW(),FALSE)</f>
        <v>0</v>
      </c>
      <c r="AD8503" s="580">
        <f t="shared" si="696"/>
        <v>5</v>
      </c>
      <c r="AE8503" s="580">
        <f t="shared" si="697"/>
        <v>2.5</v>
      </c>
      <c r="AF8503" s="580">
        <f t="shared" si="698"/>
        <v>2.5</v>
      </c>
      <c r="AG8503" s="580">
        <f t="shared" si="699"/>
        <v>0</v>
      </c>
      <c r="AH8503" s="580">
        <f t="shared" si="700"/>
        <v>0</v>
      </c>
    </row>
    <row r="8504" spans="28:34">
      <c r="AB8504" s="580">
        <f>HLOOKUP("*"&amp;'Output annual'!$AC$2&amp;'Output annual'!$AD$2&amp;"*Zone People Number Of Occupants [](Hourly)",'Eplus results'!$1:$1048576,ROW(),FALSE)</f>
        <v>0</v>
      </c>
      <c r="AC8504" s="580">
        <f>HLOOKUP("*"&amp;'Output annual'!$AC$2&amp;'Output annual'!$AD$2&amp;"*FangerPMV(Hourly)",'Eplus results'!$1:$1048576,ROW(),FALSE)</f>
        <v>0</v>
      </c>
      <c r="AD8504" s="580">
        <f t="shared" si="696"/>
        <v>5</v>
      </c>
      <c r="AE8504" s="580">
        <f t="shared" si="697"/>
        <v>2.5</v>
      </c>
      <c r="AF8504" s="580">
        <f t="shared" si="698"/>
        <v>2.5</v>
      </c>
      <c r="AG8504" s="580">
        <f t="shared" si="699"/>
        <v>0</v>
      </c>
      <c r="AH8504" s="580">
        <f t="shared" si="700"/>
        <v>0</v>
      </c>
    </row>
    <row r="8505" spans="28:34">
      <c r="AB8505" s="580">
        <f>HLOOKUP("*"&amp;'Output annual'!$AC$2&amp;'Output annual'!$AD$2&amp;"*Zone People Number Of Occupants [](Hourly)",'Eplus results'!$1:$1048576,ROW(),FALSE)</f>
        <v>0</v>
      </c>
      <c r="AC8505" s="580">
        <f>HLOOKUP("*"&amp;'Output annual'!$AC$2&amp;'Output annual'!$AD$2&amp;"*FangerPMV(Hourly)",'Eplus results'!$1:$1048576,ROW(),FALSE)</f>
        <v>0</v>
      </c>
      <c r="AD8505" s="580">
        <f t="shared" si="696"/>
        <v>5</v>
      </c>
      <c r="AE8505" s="580">
        <f t="shared" si="697"/>
        <v>2.5</v>
      </c>
      <c r="AF8505" s="580">
        <f t="shared" si="698"/>
        <v>2.5</v>
      </c>
      <c r="AG8505" s="580">
        <f t="shared" si="699"/>
        <v>0</v>
      </c>
      <c r="AH8505" s="580">
        <f t="shared" si="700"/>
        <v>0</v>
      </c>
    </row>
    <row r="8506" spans="28:34">
      <c r="AB8506" s="580">
        <f>HLOOKUP("*"&amp;'Output annual'!$AC$2&amp;'Output annual'!$AD$2&amp;"*Zone People Number Of Occupants [](Hourly)",'Eplus results'!$1:$1048576,ROW(),FALSE)</f>
        <v>0</v>
      </c>
      <c r="AC8506" s="580">
        <f>HLOOKUP("*"&amp;'Output annual'!$AC$2&amp;'Output annual'!$AD$2&amp;"*FangerPMV(Hourly)",'Eplus results'!$1:$1048576,ROW(),FALSE)</f>
        <v>0</v>
      </c>
      <c r="AD8506" s="580">
        <f t="shared" si="696"/>
        <v>5</v>
      </c>
      <c r="AE8506" s="580">
        <f t="shared" si="697"/>
        <v>2.5</v>
      </c>
      <c r="AF8506" s="580">
        <f t="shared" si="698"/>
        <v>2.5</v>
      </c>
      <c r="AG8506" s="580">
        <f t="shared" si="699"/>
        <v>0</v>
      </c>
      <c r="AH8506" s="580">
        <f t="shared" si="700"/>
        <v>0</v>
      </c>
    </row>
    <row r="8507" spans="28:34">
      <c r="AB8507" s="580">
        <f>HLOOKUP("*"&amp;'Output annual'!$AC$2&amp;'Output annual'!$AD$2&amp;"*Zone People Number Of Occupants [](Hourly)",'Eplus results'!$1:$1048576,ROW(),FALSE)</f>
        <v>0</v>
      </c>
      <c r="AC8507" s="580">
        <f>HLOOKUP("*"&amp;'Output annual'!$AC$2&amp;'Output annual'!$AD$2&amp;"*FangerPMV(Hourly)",'Eplus results'!$1:$1048576,ROW(),FALSE)</f>
        <v>0</v>
      </c>
      <c r="AD8507" s="580">
        <f t="shared" si="696"/>
        <v>5</v>
      </c>
      <c r="AE8507" s="580">
        <f t="shared" si="697"/>
        <v>2.5</v>
      </c>
      <c r="AF8507" s="580">
        <f t="shared" si="698"/>
        <v>2.5</v>
      </c>
      <c r="AG8507" s="580">
        <f t="shared" si="699"/>
        <v>0</v>
      </c>
      <c r="AH8507" s="580">
        <f t="shared" si="700"/>
        <v>0</v>
      </c>
    </row>
    <row r="8508" spans="28:34">
      <c r="AB8508" s="580">
        <f>HLOOKUP("*"&amp;'Output annual'!$AC$2&amp;'Output annual'!$AD$2&amp;"*Zone People Number Of Occupants [](Hourly)",'Eplus results'!$1:$1048576,ROW(),FALSE)</f>
        <v>0</v>
      </c>
      <c r="AC8508" s="580">
        <f>HLOOKUP("*"&amp;'Output annual'!$AC$2&amp;'Output annual'!$AD$2&amp;"*FangerPMV(Hourly)",'Eplus results'!$1:$1048576,ROW(),FALSE)</f>
        <v>0</v>
      </c>
      <c r="AD8508" s="580">
        <f t="shared" si="696"/>
        <v>5</v>
      </c>
      <c r="AE8508" s="580">
        <f t="shared" si="697"/>
        <v>2.5</v>
      </c>
      <c r="AF8508" s="580">
        <f t="shared" si="698"/>
        <v>2.5</v>
      </c>
      <c r="AG8508" s="580">
        <f t="shared" si="699"/>
        <v>0</v>
      </c>
      <c r="AH8508" s="580">
        <f t="shared" si="700"/>
        <v>0</v>
      </c>
    </row>
    <row r="8509" spans="28:34">
      <c r="AB8509" s="580">
        <f>HLOOKUP("*"&amp;'Output annual'!$AC$2&amp;'Output annual'!$AD$2&amp;"*Zone People Number Of Occupants [](Hourly)",'Eplus results'!$1:$1048576,ROW(),FALSE)</f>
        <v>0</v>
      </c>
      <c r="AC8509" s="580">
        <f>HLOOKUP("*"&amp;'Output annual'!$AC$2&amp;'Output annual'!$AD$2&amp;"*FangerPMV(Hourly)",'Eplus results'!$1:$1048576,ROW(),FALSE)</f>
        <v>0</v>
      </c>
      <c r="AD8509" s="580">
        <f t="shared" si="696"/>
        <v>5</v>
      </c>
      <c r="AE8509" s="580">
        <f t="shared" si="697"/>
        <v>2.5</v>
      </c>
      <c r="AF8509" s="580">
        <f t="shared" si="698"/>
        <v>2.5</v>
      </c>
      <c r="AG8509" s="580">
        <f t="shared" si="699"/>
        <v>0</v>
      </c>
      <c r="AH8509" s="580">
        <f t="shared" si="700"/>
        <v>0</v>
      </c>
    </row>
    <row r="8510" spans="28:34">
      <c r="AB8510" s="580">
        <f>HLOOKUP("*"&amp;'Output annual'!$AC$2&amp;'Output annual'!$AD$2&amp;"*Zone People Number Of Occupants [](Hourly)",'Eplus results'!$1:$1048576,ROW(),FALSE)</f>
        <v>0</v>
      </c>
      <c r="AC8510" s="580">
        <f>HLOOKUP("*"&amp;'Output annual'!$AC$2&amp;'Output annual'!$AD$2&amp;"*FangerPMV(Hourly)",'Eplus results'!$1:$1048576,ROW(),FALSE)</f>
        <v>0</v>
      </c>
      <c r="AD8510" s="580">
        <f t="shared" si="696"/>
        <v>5</v>
      </c>
      <c r="AE8510" s="580">
        <f t="shared" si="697"/>
        <v>2.5</v>
      </c>
      <c r="AF8510" s="580">
        <f t="shared" si="698"/>
        <v>2.5</v>
      </c>
      <c r="AG8510" s="580">
        <f t="shared" si="699"/>
        <v>0</v>
      </c>
      <c r="AH8510" s="580">
        <f t="shared" si="700"/>
        <v>0</v>
      </c>
    </row>
    <row r="8511" spans="28:34">
      <c r="AB8511" s="580">
        <f>HLOOKUP("*"&amp;'Output annual'!$AC$2&amp;'Output annual'!$AD$2&amp;"*Zone People Number Of Occupants [](Hourly)",'Eplus results'!$1:$1048576,ROW(),FALSE)</f>
        <v>0</v>
      </c>
      <c r="AC8511" s="580">
        <f>HLOOKUP("*"&amp;'Output annual'!$AC$2&amp;'Output annual'!$AD$2&amp;"*FangerPMV(Hourly)",'Eplus results'!$1:$1048576,ROW(),FALSE)</f>
        <v>0</v>
      </c>
      <c r="AD8511" s="580">
        <f t="shared" si="696"/>
        <v>5</v>
      </c>
      <c r="AE8511" s="580">
        <f t="shared" si="697"/>
        <v>2.5</v>
      </c>
      <c r="AF8511" s="580">
        <f t="shared" si="698"/>
        <v>2.5</v>
      </c>
      <c r="AG8511" s="580">
        <f t="shared" si="699"/>
        <v>0</v>
      </c>
      <c r="AH8511" s="580">
        <f t="shared" si="700"/>
        <v>0</v>
      </c>
    </row>
    <row r="8512" spans="28:34">
      <c r="AB8512" s="580">
        <f>HLOOKUP("*"&amp;'Output annual'!$AC$2&amp;'Output annual'!$AD$2&amp;"*Zone People Number Of Occupants [](Hourly)",'Eplus results'!$1:$1048576,ROW(),FALSE)</f>
        <v>0</v>
      </c>
      <c r="AC8512" s="580">
        <f>HLOOKUP("*"&amp;'Output annual'!$AC$2&amp;'Output annual'!$AD$2&amp;"*FangerPMV(Hourly)",'Eplus results'!$1:$1048576,ROW(),FALSE)</f>
        <v>0</v>
      </c>
      <c r="AD8512" s="580">
        <f t="shared" si="696"/>
        <v>5</v>
      </c>
      <c r="AE8512" s="580">
        <f t="shared" si="697"/>
        <v>2.5</v>
      </c>
      <c r="AF8512" s="580">
        <f t="shared" si="698"/>
        <v>2.5</v>
      </c>
      <c r="AG8512" s="580">
        <f t="shared" si="699"/>
        <v>0</v>
      </c>
      <c r="AH8512" s="580">
        <f t="shared" si="700"/>
        <v>0</v>
      </c>
    </row>
    <row r="8513" spans="28:34">
      <c r="AB8513" s="580">
        <f>HLOOKUP("*"&amp;'Output annual'!$AC$2&amp;'Output annual'!$AD$2&amp;"*Zone People Number Of Occupants [](Hourly)",'Eplus results'!$1:$1048576,ROW(),FALSE)</f>
        <v>0</v>
      </c>
      <c r="AC8513" s="580">
        <f>HLOOKUP("*"&amp;'Output annual'!$AC$2&amp;'Output annual'!$AD$2&amp;"*FangerPMV(Hourly)",'Eplus results'!$1:$1048576,ROW(),FALSE)</f>
        <v>0</v>
      </c>
      <c r="AD8513" s="580">
        <f t="shared" si="696"/>
        <v>5</v>
      </c>
      <c r="AE8513" s="580">
        <f t="shared" si="697"/>
        <v>2.5</v>
      </c>
      <c r="AF8513" s="580">
        <f t="shared" si="698"/>
        <v>2.5</v>
      </c>
      <c r="AG8513" s="580">
        <f t="shared" si="699"/>
        <v>0</v>
      </c>
      <c r="AH8513" s="580">
        <f t="shared" si="700"/>
        <v>0</v>
      </c>
    </row>
    <row r="8514" spans="28:34">
      <c r="AB8514" s="580">
        <f>HLOOKUP("*"&amp;'Output annual'!$AC$2&amp;'Output annual'!$AD$2&amp;"*Zone People Number Of Occupants [](Hourly)",'Eplus results'!$1:$1048576,ROW(),FALSE)</f>
        <v>0</v>
      </c>
      <c r="AC8514" s="580">
        <f>HLOOKUP("*"&amp;'Output annual'!$AC$2&amp;'Output annual'!$AD$2&amp;"*FangerPMV(Hourly)",'Eplus results'!$1:$1048576,ROW(),FALSE)</f>
        <v>0</v>
      </c>
      <c r="AD8514" s="580">
        <f t="shared" si="696"/>
        <v>5</v>
      </c>
      <c r="AE8514" s="580">
        <f t="shared" si="697"/>
        <v>2.5</v>
      </c>
      <c r="AF8514" s="580">
        <f t="shared" si="698"/>
        <v>2.5</v>
      </c>
      <c r="AG8514" s="580">
        <f t="shared" si="699"/>
        <v>0</v>
      </c>
      <c r="AH8514" s="580">
        <f t="shared" si="700"/>
        <v>0</v>
      </c>
    </row>
    <row r="8515" spans="28:34">
      <c r="AB8515" s="580">
        <f>HLOOKUP("*"&amp;'Output annual'!$AC$2&amp;'Output annual'!$AD$2&amp;"*Zone People Number Of Occupants [](Hourly)",'Eplus results'!$1:$1048576,ROW(),FALSE)</f>
        <v>0</v>
      </c>
      <c r="AC8515" s="580">
        <f>HLOOKUP("*"&amp;'Output annual'!$AC$2&amp;'Output annual'!$AD$2&amp;"*FangerPMV(Hourly)",'Eplus results'!$1:$1048576,ROW(),FALSE)</f>
        <v>0</v>
      </c>
      <c r="AD8515" s="580">
        <f t="shared" ref="AD8515:AD8578" si="701">100-95*EXP(-0.03353*AC8515^4-0.2179*AC8515^2)</f>
        <v>5</v>
      </c>
      <c r="AE8515" s="580">
        <f t="shared" ref="AE8515:AE8578" si="702">AD8515*(1/(1+EXP(-6.3*$AC8515)))</f>
        <v>2.5</v>
      </c>
      <c r="AF8515" s="580">
        <f t="shared" ref="AF8515:AF8578" si="703">(AD8515-AE8515)</f>
        <v>2.5</v>
      </c>
      <c r="AG8515" s="580">
        <f t="shared" ref="AG8515:AG8578" si="704">AE8515*AB8515</f>
        <v>0</v>
      </c>
      <c r="AH8515" s="580">
        <f t="shared" ref="AH8515:AH8578" si="705">AF8515*AB8515</f>
        <v>0</v>
      </c>
    </row>
    <row r="8516" spans="28:34">
      <c r="AB8516" s="580">
        <f>HLOOKUP("*"&amp;'Output annual'!$AC$2&amp;'Output annual'!$AD$2&amp;"*Zone People Number Of Occupants [](Hourly)",'Eplus results'!$1:$1048576,ROW(),FALSE)</f>
        <v>0</v>
      </c>
      <c r="AC8516" s="580">
        <f>HLOOKUP("*"&amp;'Output annual'!$AC$2&amp;'Output annual'!$AD$2&amp;"*FangerPMV(Hourly)",'Eplus results'!$1:$1048576,ROW(),FALSE)</f>
        <v>0</v>
      </c>
      <c r="AD8516" s="580">
        <f t="shared" si="701"/>
        <v>5</v>
      </c>
      <c r="AE8516" s="580">
        <f t="shared" si="702"/>
        <v>2.5</v>
      </c>
      <c r="AF8516" s="580">
        <f t="shared" si="703"/>
        <v>2.5</v>
      </c>
      <c r="AG8516" s="580">
        <f t="shared" si="704"/>
        <v>0</v>
      </c>
      <c r="AH8516" s="580">
        <f t="shared" si="705"/>
        <v>0</v>
      </c>
    </row>
    <row r="8517" spans="28:34">
      <c r="AB8517" s="580">
        <f>HLOOKUP("*"&amp;'Output annual'!$AC$2&amp;'Output annual'!$AD$2&amp;"*Zone People Number Of Occupants [](Hourly)",'Eplus results'!$1:$1048576,ROW(),FALSE)</f>
        <v>0</v>
      </c>
      <c r="AC8517" s="580">
        <f>HLOOKUP("*"&amp;'Output annual'!$AC$2&amp;'Output annual'!$AD$2&amp;"*FangerPMV(Hourly)",'Eplus results'!$1:$1048576,ROW(),FALSE)</f>
        <v>0</v>
      </c>
      <c r="AD8517" s="580">
        <f t="shared" si="701"/>
        <v>5</v>
      </c>
      <c r="AE8517" s="580">
        <f t="shared" si="702"/>
        <v>2.5</v>
      </c>
      <c r="AF8517" s="580">
        <f t="shared" si="703"/>
        <v>2.5</v>
      </c>
      <c r="AG8517" s="580">
        <f t="shared" si="704"/>
        <v>0</v>
      </c>
      <c r="AH8517" s="580">
        <f t="shared" si="705"/>
        <v>0</v>
      </c>
    </row>
    <row r="8518" spans="28:34">
      <c r="AB8518" s="580">
        <f>HLOOKUP("*"&amp;'Output annual'!$AC$2&amp;'Output annual'!$AD$2&amp;"*Zone People Number Of Occupants [](Hourly)",'Eplus results'!$1:$1048576,ROW(),FALSE)</f>
        <v>0</v>
      </c>
      <c r="AC8518" s="580">
        <f>HLOOKUP("*"&amp;'Output annual'!$AC$2&amp;'Output annual'!$AD$2&amp;"*FangerPMV(Hourly)",'Eplus results'!$1:$1048576,ROW(),FALSE)</f>
        <v>0</v>
      </c>
      <c r="AD8518" s="580">
        <f t="shared" si="701"/>
        <v>5</v>
      </c>
      <c r="AE8518" s="580">
        <f t="shared" si="702"/>
        <v>2.5</v>
      </c>
      <c r="AF8518" s="580">
        <f t="shared" si="703"/>
        <v>2.5</v>
      </c>
      <c r="AG8518" s="580">
        <f t="shared" si="704"/>
        <v>0</v>
      </c>
      <c r="AH8518" s="580">
        <f t="shared" si="705"/>
        <v>0</v>
      </c>
    </row>
    <row r="8519" spans="28:34">
      <c r="AB8519" s="580">
        <f>HLOOKUP("*"&amp;'Output annual'!$AC$2&amp;'Output annual'!$AD$2&amp;"*Zone People Number Of Occupants [](Hourly)",'Eplus results'!$1:$1048576,ROW(),FALSE)</f>
        <v>0</v>
      </c>
      <c r="AC8519" s="580">
        <f>HLOOKUP("*"&amp;'Output annual'!$AC$2&amp;'Output annual'!$AD$2&amp;"*FangerPMV(Hourly)",'Eplus results'!$1:$1048576,ROW(),FALSE)</f>
        <v>0</v>
      </c>
      <c r="AD8519" s="580">
        <f t="shared" si="701"/>
        <v>5</v>
      </c>
      <c r="AE8519" s="580">
        <f t="shared" si="702"/>
        <v>2.5</v>
      </c>
      <c r="AF8519" s="580">
        <f t="shared" si="703"/>
        <v>2.5</v>
      </c>
      <c r="AG8519" s="580">
        <f t="shared" si="704"/>
        <v>0</v>
      </c>
      <c r="AH8519" s="580">
        <f t="shared" si="705"/>
        <v>0</v>
      </c>
    </row>
    <row r="8520" spans="28:34">
      <c r="AB8520" s="580">
        <f>HLOOKUP("*"&amp;'Output annual'!$AC$2&amp;'Output annual'!$AD$2&amp;"*Zone People Number Of Occupants [](Hourly)",'Eplus results'!$1:$1048576,ROW(),FALSE)</f>
        <v>0</v>
      </c>
      <c r="AC8520" s="580">
        <f>HLOOKUP("*"&amp;'Output annual'!$AC$2&amp;'Output annual'!$AD$2&amp;"*FangerPMV(Hourly)",'Eplus results'!$1:$1048576,ROW(),FALSE)</f>
        <v>0</v>
      </c>
      <c r="AD8520" s="580">
        <f t="shared" si="701"/>
        <v>5</v>
      </c>
      <c r="AE8520" s="580">
        <f t="shared" si="702"/>
        <v>2.5</v>
      </c>
      <c r="AF8520" s="580">
        <f t="shared" si="703"/>
        <v>2.5</v>
      </c>
      <c r="AG8520" s="580">
        <f t="shared" si="704"/>
        <v>0</v>
      </c>
      <c r="AH8520" s="580">
        <f t="shared" si="705"/>
        <v>0</v>
      </c>
    </row>
    <row r="8521" spans="28:34">
      <c r="AB8521" s="580">
        <f>HLOOKUP("*"&amp;'Output annual'!$AC$2&amp;'Output annual'!$AD$2&amp;"*Zone People Number Of Occupants [](Hourly)",'Eplus results'!$1:$1048576,ROW(),FALSE)</f>
        <v>0</v>
      </c>
      <c r="AC8521" s="580">
        <f>HLOOKUP("*"&amp;'Output annual'!$AC$2&amp;'Output annual'!$AD$2&amp;"*FangerPMV(Hourly)",'Eplus results'!$1:$1048576,ROW(),FALSE)</f>
        <v>0</v>
      </c>
      <c r="AD8521" s="580">
        <f t="shared" si="701"/>
        <v>5</v>
      </c>
      <c r="AE8521" s="580">
        <f t="shared" si="702"/>
        <v>2.5</v>
      </c>
      <c r="AF8521" s="580">
        <f t="shared" si="703"/>
        <v>2.5</v>
      </c>
      <c r="AG8521" s="580">
        <f t="shared" si="704"/>
        <v>0</v>
      </c>
      <c r="AH8521" s="580">
        <f t="shared" si="705"/>
        <v>0</v>
      </c>
    </row>
    <row r="8522" spans="28:34">
      <c r="AB8522" s="580">
        <f>HLOOKUP("*"&amp;'Output annual'!$AC$2&amp;'Output annual'!$AD$2&amp;"*Zone People Number Of Occupants [](Hourly)",'Eplus results'!$1:$1048576,ROW(),FALSE)</f>
        <v>0</v>
      </c>
      <c r="AC8522" s="580">
        <f>HLOOKUP("*"&amp;'Output annual'!$AC$2&amp;'Output annual'!$AD$2&amp;"*FangerPMV(Hourly)",'Eplus results'!$1:$1048576,ROW(),FALSE)</f>
        <v>0</v>
      </c>
      <c r="AD8522" s="580">
        <f t="shared" si="701"/>
        <v>5</v>
      </c>
      <c r="AE8522" s="580">
        <f t="shared" si="702"/>
        <v>2.5</v>
      </c>
      <c r="AF8522" s="580">
        <f t="shared" si="703"/>
        <v>2.5</v>
      </c>
      <c r="AG8522" s="580">
        <f t="shared" si="704"/>
        <v>0</v>
      </c>
      <c r="AH8522" s="580">
        <f t="shared" si="705"/>
        <v>0</v>
      </c>
    </row>
    <row r="8523" spans="28:34">
      <c r="AB8523" s="580">
        <f>HLOOKUP("*"&amp;'Output annual'!$AC$2&amp;'Output annual'!$AD$2&amp;"*Zone People Number Of Occupants [](Hourly)",'Eplus results'!$1:$1048576,ROW(),FALSE)</f>
        <v>0</v>
      </c>
      <c r="AC8523" s="580">
        <f>HLOOKUP("*"&amp;'Output annual'!$AC$2&amp;'Output annual'!$AD$2&amp;"*FangerPMV(Hourly)",'Eplus results'!$1:$1048576,ROW(),FALSE)</f>
        <v>0</v>
      </c>
      <c r="AD8523" s="580">
        <f t="shared" si="701"/>
        <v>5</v>
      </c>
      <c r="AE8523" s="580">
        <f t="shared" si="702"/>
        <v>2.5</v>
      </c>
      <c r="AF8523" s="580">
        <f t="shared" si="703"/>
        <v>2.5</v>
      </c>
      <c r="AG8523" s="580">
        <f t="shared" si="704"/>
        <v>0</v>
      </c>
      <c r="AH8523" s="580">
        <f t="shared" si="705"/>
        <v>0</v>
      </c>
    </row>
    <row r="8524" spans="28:34">
      <c r="AB8524" s="580">
        <f>HLOOKUP("*"&amp;'Output annual'!$AC$2&amp;'Output annual'!$AD$2&amp;"*Zone People Number Of Occupants [](Hourly)",'Eplus results'!$1:$1048576,ROW(),FALSE)</f>
        <v>0</v>
      </c>
      <c r="AC8524" s="580">
        <f>HLOOKUP("*"&amp;'Output annual'!$AC$2&amp;'Output annual'!$AD$2&amp;"*FangerPMV(Hourly)",'Eplus results'!$1:$1048576,ROW(),FALSE)</f>
        <v>0</v>
      </c>
      <c r="AD8524" s="580">
        <f t="shared" si="701"/>
        <v>5</v>
      </c>
      <c r="AE8524" s="580">
        <f t="shared" si="702"/>
        <v>2.5</v>
      </c>
      <c r="AF8524" s="580">
        <f t="shared" si="703"/>
        <v>2.5</v>
      </c>
      <c r="AG8524" s="580">
        <f t="shared" si="704"/>
        <v>0</v>
      </c>
      <c r="AH8524" s="580">
        <f t="shared" si="705"/>
        <v>0</v>
      </c>
    </row>
    <row r="8525" spans="28:34">
      <c r="AB8525" s="580">
        <f>HLOOKUP("*"&amp;'Output annual'!$AC$2&amp;'Output annual'!$AD$2&amp;"*Zone People Number Of Occupants [](Hourly)",'Eplus results'!$1:$1048576,ROW(),FALSE)</f>
        <v>0</v>
      </c>
      <c r="AC8525" s="580">
        <f>HLOOKUP("*"&amp;'Output annual'!$AC$2&amp;'Output annual'!$AD$2&amp;"*FangerPMV(Hourly)",'Eplus results'!$1:$1048576,ROW(),FALSE)</f>
        <v>0</v>
      </c>
      <c r="AD8525" s="580">
        <f t="shared" si="701"/>
        <v>5</v>
      </c>
      <c r="AE8525" s="580">
        <f t="shared" si="702"/>
        <v>2.5</v>
      </c>
      <c r="AF8525" s="580">
        <f t="shared" si="703"/>
        <v>2.5</v>
      </c>
      <c r="AG8525" s="580">
        <f t="shared" si="704"/>
        <v>0</v>
      </c>
      <c r="AH8525" s="580">
        <f t="shared" si="705"/>
        <v>0</v>
      </c>
    </row>
    <row r="8526" spans="28:34">
      <c r="AB8526" s="580">
        <f>HLOOKUP("*"&amp;'Output annual'!$AC$2&amp;'Output annual'!$AD$2&amp;"*Zone People Number Of Occupants [](Hourly)",'Eplus results'!$1:$1048576,ROW(),FALSE)</f>
        <v>0</v>
      </c>
      <c r="AC8526" s="580">
        <f>HLOOKUP("*"&amp;'Output annual'!$AC$2&amp;'Output annual'!$AD$2&amp;"*FangerPMV(Hourly)",'Eplus results'!$1:$1048576,ROW(),FALSE)</f>
        <v>0</v>
      </c>
      <c r="AD8526" s="580">
        <f t="shared" si="701"/>
        <v>5</v>
      </c>
      <c r="AE8526" s="580">
        <f t="shared" si="702"/>
        <v>2.5</v>
      </c>
      <c r="AF8526" s="580">
        <f t="shared" si="703"/>
        <v>2.5</v>
      </c>
      <c r="AG8526" s="580">
        <f t="shared" si="704"/>
        <v>0</v>
      </c>
      <c r="AH8526" s="580">
        <f t="shared" si="705"/>
        <v>0</v>
      </c>
    </row>
    <row r="8527" spans="28:34">
      <c r="AB8527" s="580">
        <f>HLOOKUP("*"&amp;'Output annual'!$AC$2&amp;'Output annual'!$AD$2&amp;"*Zone People Number Of Occupants [](Hourly)",'Eplus results'!$1:$1048576,ROW(),FALSE)</f>
        <v>0</v>
      </c>
      <c r="AC8527" s="580">
        <f>HLOOKUP("*"&amp;'Output annual'!$AC$2&amp;'Output annual'!$AD$2&amp;"*FangerPMV(Hourly)",'Eplus results'!$1:$1048576,ROW(),FALSE)</f>
        <v>0</v>
      </c>
      <c r="AD8527" s="580">
        <f t="shared" si="701"/>
        <v>5</v>
      </c>
      <c r="AE8527" s="580">
        <f t="shared" si="702"/>
        <v>2.5</v>
      </c>
      <c r="AF8527" s="580">
        <f t="shared" si="703"/>
        <v>2.5</v>
      </c>
      <c r="AG8527" s="580">
        <f t="shared" si="704"/>
        <v>0</v>
      </c>
      <c r="AH8527" s="580">
        <f t="shared" si="705"/>
        <v>0</v>
      </c>
    </row>
    <row r="8528" spans="28:34">
      <c r="AB8528" s="580">
        <f>HLOOKUP("*"&amp;'Output annual'!$AC$2&amp;'Output annual'!$AD$2&amp;"*Zone People Number Of Occupants [](Hourly)",'Eplus results'!$1:$1048576,ROW(),FALSE)</f>
        <v>0</v>
      </c>
      <c r="AC8528" s="580">
        <f>HLOOKUP("*"&amp;'Output annual'!$AC$2&amp;'Output annual'!$AD$2&amp;"*FangerPMV(Hourly)",'Eplus results'!$1:$1048576,ROW(),FALSE)</f>
        <v>0</v>
      </c>
      <c r="AD8528" s="580">
        <f t="shared" si="701"/>
        <v>5</v>
      </c>
      <c r="AE8528" s="580">
        <f t="shared" si="702"/>
        <v>2.5</v>
      </c>
      <c r="AF8528" s="580">
        <f t="shared" si="703"/>
        <v>2.5</v>
      </c>
      <c r="AG8528" s="580">
        <f t="shared" si="704"/>
        <v>0</v>
      </c>
      <c r="AH8528" s="580">
        <f t="shared" si="705"/>
        <v>0</v>
      </c>
    </row>
    <row r="8529" spans="28:34">
      <c r="AB8529" s="580">
        <f>HLOOKUP("*"&amp;'Output annual'!$AC$2&amp;'Output annual'!$AD$2&amp;"*Zone People Number Of Occupants [](Hourly)",'Eplus results'!$1:$1048576,ROW(),FALSE)</f>
        <v>0</v>
      </c>
      <c r="AC8529" s="580">
        <f>HLOOKUP("*"&amp;'Output annual'!$AC$2&amp;'Output annual'!$AD$2&amp;"*FangerPMV(Hourly)",'Eplus results'!$1:$1048576,ROW(),FALSE)</f>
        <v>0</v>
      </c>
      <c r="AD8529" s="580">
        <f t="shared" si="701"/>
        <v>5</v>
      </c>
      <c r="AE8529" s="580">
        <f t="shared" si="702"/>
        <v>2.5</v>
      </c>
      <c r="AF8529" s="580">
        <f t="shared" si="703"/>
        <v>2.5</v>
      </c>
      <c r="AG8529" s="580">
        <f t="shared" si="704"/>
        <v>0</v>
      </c>
      <c r="AH8529" s="580">
        <f t="shared" si="705"/>
        <v>0</v>
      </c>
    </row>
    <row r="8530" spans="28:34">
      <c r="AB8530" s="580">
        <f>HLOOKUP("*"&amp;'Output annual'!$AC$2&amp;'Output annual'!$AD$2&amp;"*Zone People Number Of Occupants [](Hourly)",'Eplus results'!$1:$1048576,ROW(),FALSE)</f>
        <v>0</v>
      </c>
      <c r="AC8530" s="580">
        <f>HLOOKUP("*"&amp;'Output annual'!$AC$2&amp;'Output annual'!$AD$2&amp;"*FangerPMV(Hourly)",'Eplus results'!$1:$1048576,ROW(),FALSE)</f>
        <v>0</v>
      </c>
      <c r="AD8530" s="580">
        <f t="shared" si="701"/>
        <v>5</v>
      </c>
      <c r="AE8530" s="580">
        <f t="shared" si="702"/>
        <v>2.5</v>
      </c>
      <c r="AF8530" s="580">
        <f t="shared" si="703"/>
        <v>2.5</v>
      </c>
      <c r="AG8530" s="580">
        <f t="shared" si="704"/>
        <v>0</v>
      </c>
      <c r="AH8530" s="580">
        <f t="shared" si="705"/>
        <v>0</v>
      </c>
    </row>
    <row r="8531" spans="28:34">
      <c r="AB8531" s="580">
        <f>HLOOKUP("*"&amp;'Output annual'!$AC$2&amp;'Output annual'!$AD$2&amp;"*Zone People Number Of Occupants [](Hourly)",'Eplus results'!$1:$1048576,ROW(),FALSE)</f>
        <v>0</v>
      </c>
      <c r="AC8531" s="580">
        <f>HLOOKUP("*"&amp;'Output annual'!$AC$2&amp;'Output annual'!$AD$2&amp;"*FangerPMV(Hourly)",'Eplus results'!$1:$1048576,ROW(),FALSE)</f>
        <v>0</v>
      </c>
      <c r="AD8531" s="580">
        <f t="shared" si="701"/>
        <v>5</v>
      </c>
      <c r="AE8531" s="580">
        <f t="shared" si="702"/>
        <v>2.5</v>
      </c>
      <c r="AF8531" s="580">
        <f t="shared" si="703"/>
        <v>2.5</v>
      </c>
      <c r="AG8531" s="580">
        <f t="shared" si="704"/>
        <v>0</v>
      </c>
      <c r="AH8531" s="580">
        <f t="shared" si="705"/>
        <v>0</v>
      </c>
    </row>
    <row r="8532" spans="28:34">
      <c r="AB8532" s="580">
        <f>HLOOKUP("*"&amp;'Output annual'!$AC$2&amp;'Output annual'!$AD$2&amp;"*Zone People Number Of Occupants [](Hourly)",'Eplus results'!$1:$1048576,ROW(),FALSE)</f>
        <v>0</v>
      </c>
      <c r="AC8532" s="580">
        <f>HLOOKUP("*"&amp;'Output annual'!$AC$2&amp;'Output annual'!$AD$2&amp;"*FangerPMV(Hourly)",'Eplus results'!$1:$1048576,ROW(),FALSE)</f>
        <v>0</v>
      </c>
      <c r="AD8532" s="580">
        <f t="shared" si="701"/>
        <v>5</v>
      </c>
      <c r="AE8532" s="580">
        <f t="shared" si="702"/>
        <v>2.5</v>
      </c>
      <c r="AF8532" s="580">
        <f t="shared" si="703"/>
        <v>2.5</v>
      </c>
      <c r="AG8532" s="580">
        <f t="shared" si="704"/>
        <v>0</v>
      </c>
      <c r="AH8532" s="580">
        <f t="shared" si="705"/>
        <v>0</v>
      </c>
    </row>
    <row r="8533" spans="28:34">
      <c r="AB8533" s="580">
        <f>HLOOKUP("*"&amp;'Output annual'!$AC$2&amp;'Output annual'!$AD$2&amp;"*Zone People Number Of Occupants [](Hourly)",'Eplus results'!$1:$1048576,ROW(),FALSE)</f>
        <v>0</v>
      </c>
      <c r="AC8533" s="580">
        <f>HLOOKUP("*"&amp;'Output annual'!$AC$2&amp;'Output annual'!$AD$2&amp;"*FangerPMV(Hourly)",'Eplus results'!$1:$1048576,ROW(),FALSE)</f>
        <v>0</v>
      </c>
      <c r="AD8533" s="580">
        <f t="shared" si="701"/>
        <v>5</v>
      </c>
      <c r="AE8533" s="580">
        <f t="shared" si="702"/>
        <v>2.5</v>
      </c>
      <c r="AF8533" s="580">
        <f t="shared" si="703"/>
        <v>2.5</v>
      </c>
      <c r="AG8533" s="580">
        <f t="shared" si="704"/>
        <v>0</v>
      </c>
      <c r="AH8533" s="580">
        <f t="shared" si="705"/>
        <v>0</v>
      </c>
    </row>
    <row r="8534" spans="28:34">
      <c r="AB8534" s="580">
        <f>HLOOKUP("*"&amp;'Output annual'!$AC$2&amp;'Output annual'!$AD$2&amp;"*Zone People Number Of Occupants [](Hourly)",'Eplus results'!$1:$1048576,ROW(),FALSE)</f>
        <v>0</v>
      </c>
      <c r="AC8534" s="580">
        <f>HLOOKUP("*"&amp;'Output annual'!$AC$2&amp;'Output annual'!$AD$2&amp;"*FangerPMV(Hourly)",'Eplus results'!$1:$1048576,ROW(),FALSE)</f>
        <v>0</v>
      </c>
      <c r="AD8534" s="580">
        <f t="shared" si="701"/>
        <v>5</v>
      </c>
      <c r="AE8534" s="580">
        <f t="shared" si="702"/>
        <v>2.5</v>
      </c>
      <c r="AF8534" s="580">
        <f t="shared" si="703"/>
        <v>2.5</v>
      </c>
      <c r="AG8534" s="580">
        <f t="shared" si="704"/>
        <v>0</v>
      </c>
      <c r="AH8534" s="580">
        <f t="shared" si="705"/>
        <v>0</v>
      </c>
    </row>
    <row r="8535" spans="28:34">
      <c r="AB8535" s="580">
        <f>HLOOKUP("*"&amp;'Output annual'!$AC$2&amp;'Output annual'!$AD$2&amp;"*Zone People Number Of Occupants [](Hourly)",'Eplus results'!$1:$1048576,ROW(),FALSE)</f>
        <v>0</v>
      </c>
      <c r="AC8535" s="580">
        <f>HLOOKUP("*"&amp;'Output annual'!$AC$2&amp;'Output annual'!$AD$2&amp;"*FangerPMV(Hourly)",'Eplus results'!$1:$1048576,ROW(),FALSE)</f>
        <v>0</v>
      </c>
      <c r="AD8535" s="580">
        <f t="shared" si="701"/>
        <v>5</v>
      </c>
      <c r="AE8535" s="580">
        <f t="shared" si="702"/>
        <v>2.5</v>
      </c>
      <c r="AF8535" s="580">
        <f t="shared" si="703"/>
        <v>2.5</v>
      </c>
      <c r="AG8535" s="580">
        <f t="shared" si="704"/>
        <v>0</v>
      </c>
      <c r="AH8535" s="580">
        <f t="shared" si="705"/>
        <v>0</v>
      </c>
    </row>
    <row r="8536" spans="28:34">
      <c r="AB8536" s="580">
        <f>HLOOKUP("*"&amp;'Output annual'!$AC$2&amp;'Output annual'!$AD$2&amp;"*Zone People Number Of Occupants [](Hourly)",'Eplus results'!$1:$1048576,ROW(),FALSE)</f>
        <v>0</v>
      </c>
      <c r="AC8536" s="580">
        <f>HLOOKUP("*"&amp;'Output annual'!$AC$2&amp;'Output annual'!$AD$2&amp;"*FangerPMV(Hourly)",'Eplus results'!$1:$1048576,ROW(),FALSE)</f>
        <v>0</v>
      </c>
      <c r="AD8536" s="580">
        <f t="shared" si="701"/>
        <v>5</v>
      </c>
      <c r="AE8536" s="580">
        <f t="shared" si="702"/>
        <v>2.5</v>
      </c>
      <c r="AF8536" s="580">
        <f t="shared" si="703"/>
        <v>2.5</v>
      </c>
      <c r="AG8536" s="580">
        <f t="shared" si="704"/>
        <v>0</v>
      </c>
      <c r="AH8536" s="580">
        <f t="shared" si="705"/>
        <v>0</v>
      </c>
    </row>
    <row r="8537" spans="28:34">
      <c r="AB8537" s="580">
        <f>HLOOKUP("*"&amp;'Output annual'!$AC$2&amp;'Output annual'!$AD$2&amp;"*Zone People Number Of Occupants [](Hourly)",'Eplus results'!$1:$1048576,ROW(),FALSE)</f>
        <v>0</v>
      </c>
      <c r="AC8537" s="580">
        <f>HLOOKUP("*"&amp;'Output annual'!$AC$2&amp;'Output annual'!$AD$2&amp;"*FangerPMV(Hourly)",'Eplus results'!$1:$1048576,ROW(),FALSE)</f>
        <v>0</v>
      </c>
      <c r="AD8537" s="580">
        <f t="shared" si="701"/>
        <v>5</v>
      </c>
      <c r="AE8537" s="580">
        <f t="shared" si="702"/>
        <v>2.5</v>
      </c>
      <c r="AF8537" s="580">
        <f t="shared" si="703"/>
        <v>2.5</v>
      </c>
      <c r="AG8537" s="580">
        <f t="shared" si="704"/>
        <v>0</v>
      </c>
      <c r="AH8537" s="580">
        <f t="shared" si="705"/>
        <v>0</v>
      </c>
    </row>
    <row r="8538" spans="28:34">
      <c r="AB8538" s="580">
        <f>HLOOKUP("*"&amp;'Output annual'!$AC$2&amp;'Output annual'!$AD$2&amp;"*Zone People Number Of Occupants [](Hourly)",'Eplus results'!$1:$1048576,ROW(),FALSE)</f>
        <v>0</v>
      </c>
      <c r="AC8538" s="580">
        <f>HLOOKUP("*"&amp;'Output annual'!$AC$2&amp;'Output annual'!$AD$2&amp;"*FangerPMV(Hourly)",'Eplus results'!$1:$1048576,ROW(),FALSE)</f>
        <v>0</v>
      </c>
      <c r="AD8538" s="580">
        <f t="shared" si="701"/>
        <v>5</v>
      </c>
      <c r="AE8538" s="580">
        <f t="shared" si="702"/>
        <v>2.5</v>
      </c>
      <c r="AF8538" s="580">
        <f t="shared" si="703"/>
        <v>2.5</v>
      </c>
      <c r="AG8538" s="580">
        <f t="shared" si="704"/>
        <v>0</v>
      </c>
      <c r="AH8538" s="580">
        <f t="shared" si="705"/>
        <v>0</v>
      </c>
    </row>
    <row r="8539" spans="28:34">
      <c r="AB8539" s="580">
        <f>HLOOKUP("*"&amp;'Output annual'!$AC$2&amp;'Output annual'!$AD$2&amp;"*Zone People Number Of Occupants [](Hourly)",'Eplus results'!$1:$1048576,ROW(),FALSE)</f>
        <v>0</v>
      </c>
      <c r="AC8539" s="580">
        <f>HLOOKUP("*"&amp;'Output annual'!$AC$2&amp;'Output annual'!$AD$2&amp;"*FangerPMV(Hourly)",'Eplus results'!$1:$1048576,ROW(),FALSE)</f>
        <v>0</v>
      </c>
      <c r="AD8539" s="580">
        <f t="shared" si="701"/>
        <v>5</v>
      </c>
      <c r="AE8539" s="580">
        <f t="shared" si="702"/>
        <v>2.5</v>
      </c>
      <c r="AF8539" s="580">
        <f t="shared" si="703"/>
        <v>2.5</v>
      </c>
      <c r="AG8539" s="580">
        <f t="shared" si="704"/>
        <v>0</v>
      </c>
      <c r="AH8539" s="580">
        <f t="shared" si="705"/>
        <v>0</v>
      </c>
    </row>
    <row r="8540" spans="28:34">
      <c r="AB8540" s="580">
        <f>HLOOKUP("*"&amp;'Output annual'!$AC$2&amp;'Output annual'!$AD$2&amp;"*Zone People Number Of Occupants [](Hourly)",'Eplus results'!$1:$1048576,ROW(),FALSE)</f>
        <v>0</v>
      </c>
      <c r="AC8540" s="580">
        <f>HLOOKUP("*"&amp;'Output annual'!$AC$2&amp;'Output annual'!$AD$2&amp;"*FangerPMV(Hourly)",'Eplus results'!$1:$1048576,ROW(),FALSE)</f>
        <v>0</v>
      </c>
      <c r="AD8540" s="580">
        <f t="shared" si="701"/>
        <v>5</v>
      </c>
      <c r="AE8540" s="580">
        <f t="shared" si="702"/>
        <v>2.5</v>
      </c>
      <c r="AF8540" s="580">
        <f t="shared" si="703"/>
        <v>2.5</v>
      </c>
      <c r="AG8540" s="580">
        <f t="shared" si="704"/>
        <v>0</v>
      </c>
      <c r="AH8540" s="580">
        <f t="shared" si="705"/>
        <v>0</v>
      </c>
    </row>
    <row r="8541" spans="28:34">
      <c r="AB8541" s="580">
        <f>HLOOKUP("*"&amp;'Output annual'!$AC$2&amp;'Output annual'!$AD$2&amp;"*Zone People Number Of Occupants [](Hourly)",'Eplus results'!$1:$1048576,ROW(),FALSE)</f>
        <v>0</v>
      </c>
      <c r="AC8541" s="580">
        <f>HLOOKUP("*"&amp;'Output annual'!$AC$2&amp;'Output annual'!$AD$2&amp;"*FangerPMV(Hourly)",'Eplus results'!$1:$1048576,ROW(),FALSE)</f>
        <v>0</v>
      </c>
      <c r="AD8541" s="580">
        <f t="shared" si="701"/>
        <v>5</v>
      </c>
      <c r="AE8541" s="580">
        <f t="shared" si="702"/>
        <v>2.5</v>
      </c>
      <c r="AF8541" s="580">
        <f t="shared" si="703"/>
        <v>2.5</v>
      </c>
      <c r="AG8541" s="580">
        <f t="shared" si="704"/>
        <v>0</v>
      </c>
      <c r="AH8541" s="580">
        <f t="shared" si="705"/>
        <v>0</v>
      </c>
    </row>
    <row r="8542" spans="28:34">
      <c r="AB8542" s="580">
        <f>HLOOKUP("*"&amp;'Output annual'!$AC$2&amp;'Output annual'!$AD$2&amp;"*Zone People Number Of Occupants [](Hourly)",'Eplus results'!$1:$1048576,ROW(),FALSE)</f>
        <v>0</v>
      </c>
      <c r="AC8542" s="580">
        <f>HLOOKUP("*"&amp;'Output annual'!$AC$2&amp;'Output annual'!$AD$2&amp;"*FangerPMV(Hourly)",'Eplus results'!$1:$1048576,ROW(),FALSE)</f>
        <v>0</v>
      </c>
      <c r="AD8542" s="580">
        <f t="shared" si="701"/>
        <v>5</v>
      </c>
      <c r="AE8542" s="580">
        <f t="shared" si="702"/>
        <v>2.5</v>
      </c>
      <c r="AF8542" s="580">
        <f t="shared" si="703"/>
        <v>2.5</v>
      </c>
      <c r="AG8542" s="580">
        <f t="shared" si="704"/>
        <v>0</v>
      </c>
      <c r="AH8542" s="580">
        <f t="shared" si="705"/>
        <v>0</v>
      </c>
    </row>
    <row r="8543" spans="28:34">
      <c r="AB8543" s="580">
        <f>HLOOKUP("*"&amp;'Output annual'!$AC$2&amp;'Output annual'!$AD$2&amp;"*Zone People Number Of Occupants [](Hourly)",'Eplus results'!$1:$1048576,ROW(),FALSE)</f>
        <v>0</v>
      </c>
      <c r="AC8543" s="580">
        <f>HLOOKUP("*"&amp;'Output annual'!$AC$2&amp;'Output annual'!$AD$2&amp;"*FangerPMV(Hourly)",'Eplus results'!$1:$1048576,ROW(),FALSE)</f>
        <v>0</v>
      </c>
      <c r="AD8543" s="580">
        <f t="shared" si="701"/>
        <v>5</v>
      </c>
      <c r="AE8543" s="580">
        <f t="shared" si="702"/>
        <v>2.5</v>
      </c>
      <c r="AF8543" s="580">
        <f t="shared" si="703"/>
        <v>2.5</v>
      </c>
      <c r="AG8543" s="580">
        <f t="shared" si="704"/>
        <v>0</v>
      </c>
      <c r="AH8543" s="580">
        <f t="shared" si="705"/>
        <v>0</v>
      </c>
    </row>
    <row r="8544" spans="28:34">
      <c r="AB8544" s="580">
        <f>HLOOKUP("*"&amp;'Output annual'!$AC$2&amp;'Output annual'!$AD$2&amp;"*Zone People Number Of Occupants [](Hourly)",'Eplus results'!$1:$1048576,ROW(),FALSE)</f>
        <v>0</v>
      </c>
      <c r="AC8544" s="580">
        <f>HLOOKUP("*"&amp;'Output annual'!$AC$2&amp;'Output annual'!$AD$2&amp;"*FangerPMV(Hourly)",'Eplus results'!$1:$1048576,ROW(),FALSE)</f>
        <v>0</v>
      </c>
      <c r="AD8544" s="580">
        <f t="shared" si="701"/>
        <v>5</v>
      </c>
      <c r="AE8544" s="580">
        <f t="shared" si="702"/>
        <v>2.5</v>
      </c>
      <c r="AF8544" s="580">
        <f t="shared" si="703"/>
        <v>2.5</v>
      </c>
      <c r="AG8544" s="580">
        <f t="shared" si="704"/>
        <v>0</v>
      </c>
      <c r="AH8544" s="580">
        <f t="shared" si="705"/>
        <v>0</v>
      </c>
    </row>
    <row r="8545" spans="28:34">
      <c r="AB8545" s="580">
        <f>HLOOKUP("*"&amp;'Output annual'!$AC$2&amp;'Output annual'!$AD$2&amp;"*Zone People Number Of Occupants [](Hourly)",'Eplus results'!$1:$1048576,ROW(),FALSE)</f>
        <v>0</v>
      </c>
      <c r="AC8545" s="580">
        <f>HLOOKUP("*"&amp;'Output annual'!$AC$2&amp;'Output annual'!$AD$2&amp;"*FangerPMV(Hourly)",'Eplus results'!$1:$1048576,ROW(),FALSE)</f>
        <v>0</v>
      </c>
      <c r="AD8545" s="580">
        <f t="shared" si="701"/>
        <v>5</v>
      </c>
      <c r="AE8545" s="580">
        <f t="shared" si="702"/>
        <v>2.5</v>
      </c>
      <c r="AF8545" s="580">
        <f t="shared" si="703"/>
        <v>2.5</v>
      </c>
      <c r="AG8545" s="580">
        <f t="shared" si="704"/>
        <v>0</v>
      </c>
      <c r="AH8545" s="580">
        <f t="shared" si="705"/>
        <v>0</v>
      </c>
    </row>
    <row r="8546" spans="28:34">
      <c r="AB8546" s="580">
        <f>HLOOKUP("*"&amp;'Output annual'!$AC$2&amp;'Output annual'!$AD$2&amp;"*Zone People Number Of Occupants [](Hourly)",'Eplus results'!$1:$1048576,ROW(),FALSE)</f>
        <v>0</v>
      </c>
      <c r="AC8546" s="580">
        <f>HLOOKUP("*"&amp;'Output annual'!$AC$2&amp;'Output annual'!$AD$2&amp;"*FangerPMV(Hourly)",'Eplus results'!$1:$1048576,ROW(),FALSE)</f>
        <v>0</v>
      </c>
      <c r="AD8546" s="580">
        <f t="shared" si="701"/>
        <v>5</v>
      </c>
      <c r="AE8546" s="580">
        <f t="shared" si="702"/>
        <v>2.5</v>
      </c>
      <c r="AF8546" s="580">
        <f t="shared" si="703"/>
        <v>2.5</v>
      </c>
      <c r="AG8546" s="580">
        <f t="shared" si="704"/>
        <v>0</v>
      </c>
      <c r="AH8546" s="580">
        <f t="shared" si="705"/>
        <v>0</v>
      </c>
    </row>
    <row r="8547" spans="28:34">
      <c r="AB8547" s="580">
        <f>HLOOKUP("*"&amp;'Output annual'!$AC$2&amp;'Output annual'!$AD$2&amp;"*Zone People Number Of Occupants [](Hourly)",'Eplus results'!$1:$1048576,ROW(),FALSE)</f>
        <v>0</v>
      </c>
      <c r="AC8547" s="580">
        <f>HLOOKUP("*"&amp;'Output annual'!$AC$2&amp;'Output annual'!$AD$2&amp;"*FangerPMV(Hourly)",'Eplus results'!$1:$1048576,ROW(),FALSE)</f>
        <v>0</v>
      </c>
      <c r="AD8547" s="580">
        <f t="shared" si="701"/>
        <v>5</v>
      </c>
      <c r="AE8547" s="580">
        <f t="shared" si="702"/>
        <v>2.5</v>
      </c>
      <c r="AF8547" s="580">
        <f t="shared" si="703"/>
        <v>2.5</v>
      </c>
      <c r="AG8547" s="580">
        <f t="shared" si="704"/>
        <v>0</v>
      </c>
      <c r="AH8547" s="580">
        <f t="shared" si="705"/>
        <v>0</v>
      </c>
    </row>
    <row r="8548" spans="28:34">
      <c r="AB8548" s="580">
        <f>HLOOKUP("*"&amp;'Output annual'!$AC$2&amp;'Output annual'!$AD$2&amp;"*Zone People Number Of Occupants [](Hourly)",'Eplus results'!$1:$1048576,ROW(),FALSE)</f>
        <v>0</v>
      </c>
      <c r="AC8548" s="580">
        <f>HLOOKUP("*"&amp;'Output annual'!$AC$2&amp;'Output annual'!$AD$2&amp;"*FangerPMV(Hourly)",'Eplus results'!$1:$1048576,ROW(),FALSE)</f>
        <v>0</v>
      </c>
      <c r="AD8548" s="580">
        <f t="shared" si="701"/>
        <v>5</v>
      </c>
      <c r="AE8548" s="580">
        <f t="shared" si="702"/>
        <v>2.5</v>
      </c>
      <c r="AF8548" s="580">
        <f t="shared" si="703"/>
        <v>2.5</v>
      </c>
      <c r="AG8548" s="580">
        <f t="shared" si="704"/>
        <v>0</v>
      </c>
      <c r="AH8548" s="580">
        <f t="shared" si="705"/>
        <v>0</v>
      </c>
    </row>
    <row r="8549" spans="28:34">
      <c r="AB8549" s="580">
        <f>HLOOKUP("*"&amp;'Output annual'!$AC$2&amp;'Output annual'!$AD$2&amp;"*Zone People Number Of Occupants [](Hourly)",'Eplus results'!$1:$1048576,ROW(),FALSE)</f>
        <v>0</v>
      </c>
      <c r="AC8549" s="580">
        <f>HLOOKUP("*"&amp;'Output annual'!$AC$2&amp;'Output annual'!$AD$2&amp;"*FangerPMV(Hourly)",'Eplus results'!$1:$1048576,ROW(),FALSE)</f>
        <v>0</v>
      </c>
      <c r="AD8549" s="580">
        <f t="shared" si="701"/>
        <v>5</v>
      </c>
      <c r="AE8549" s="580">
        <f t="shared" si="702"/>
        <v>2.5</v>
      </c>
      <c r="AF8549" s="580">
        <f t="shared" si="703"/>
        <v>2.5</v>
      </c>
      <c r="AG8549" s="580">
        <f t="shared" si="704"/>
        <v>0</v>
      </c>
      <c r="AH8549" s="580">
        <f t="shared" si="705"/>
        <v>0</v>
      </c>
    </row>
    <row r="8550" spans="28:34">
      <c r="AB8550" s="580">
        <f>HLOOKUP("*"&amp;'Output annual'!$AC$2&amp;'Output annual'!$AD$2&amp;"*Zone People Number Of Occupants [](Hourly)",'Eplus results'!$1:$1048576,ROW(),FALSE)</f>
        <v>0</v>
      </c>
      <c r="AC8550" s="580">
        <f>HLOOKUP("*"&amp;'Output annual'!$AC$2&amp;'Output annual'!$AD$2&amp;"*FangerPMV(Hourly)",'Eplus results'!$1:$1048576,ROW(),FALSE)</f>
        <v>0</v>
      </c>
      <c r="AD8550" s="580">
        <f t="shared" si="701"/>
        <v>5</v>
      </c>
      <c r="AE8550" s="580">
        <f t="shared" si="702"/>
        <v>2.5</v>
      </c>
      <c r="AF8550" s="580">
        <f t="shared" si="703"/>
        <v>2.5</v>
      </c>
      <c r="AG8550" s="580">
        <f t="shared" si="704"/>
        <v>0</v>
      </c>
      <c r="AH8550" s="580">
        <f t="shared" si="705"/>
        <v>0</v>
      </c>
    </row>
    <row r="8551" spans="28:34">
      <c r="AB8551" s="580">
        <f>HLOOKUP("*"&amp;'Output annual'!$AC$2&amp;'Output annual'!$AD$2&amp;"*Zone People Number Of Occupants [](Hourly)",'Eplus results'!$1:$1048576,ROW(),FALSE)</f>
        <v>0</v>
      </c>
      <c r="AC8551" s="580">
        <f>HLOOKUP("*"&amp;'Output annual'!$AC$2&amp;'Output annual'!$AD$2&amp;"*FangerPMV(Hourly)",'Eplus results'!$1:$1048576,ROW(),FALSE)</f>
        <v>0</v>
      </c>
      <c r="AD8551" s="580">
        <f t="shared" si="701"/>
        <v>5</v>
      </c>
      <c r="AE8551" s="580">
        <f t="shared" si="702"/>
        <v>2.5</v>
      </c>
      <c r="AF8551" s="580">
        <f t="shared" si="703"/>
        <v>2.5</v>
      </c>
      <c r="AG8551" s="580">
        <f t="shared" si="704"/>
        <v>0</v>
      </c>
      <c r="AH8551" s="580">
        <f t="shared" si="705"/>
        <v>0</v>
      </c>
    </row>
    <row r="8552" spans="28:34">
      <c r="AB8552" s="580">
        <f>HLOOKUP("*"&amp;'Output annual'!$AC$2&amp;'Output annual'!$AD$2&amp;"*Zone People Number Of Occupants [](Hourly)",'Eplus results'!$1:$1048576,ROW(),FALSE)</f>
        <v>0</v>
      </c>
      <c r="AC8552" s="580">
        <f>HLOOKUP("*"&amp;'Output annual'!$AC$2&amp;'Output annual'!$AD$2&amp;"*FangerPMV(Hourly)",'Eplus results'!$1:$1048576,ROW(),FALSE)</f>
        <v>0</v>
      </c>
      <c r="AD8552" s="580">
        <f t="shared" si="701"/>
        <v>5</v>
      </c>
      <c r="AE8552" s="580">
        <f t="shared" si="702"/>
        <v>2.5</v>
      </c>
      <c r="AF8552" s="580">
        <f t="shared" si="703"/>
        <v>2.5</v>
      </c>
      <c r="AG8552" s="580">
        <f t="shared" si="704"/>
        <v>0</v>
      </c>
      <c r="AH8552" s="580">
        <f t="shared" si="705"/>
        <v>0</v>
      </c>
    </row>
    <row r="8553" spans="28:34">
      <c r="AB8553" s="580">
        <f>HLOOKUP("*"&amp;'Output annual'!$AC$2&amp;'Output annual'!$AD$2&amp;"*Zone People Number Of Occupants [](Hourly)",'Eplus results'!$1:$1048576,ROW(),FALSE)</f>
        <v>0</v>
      </c>
      <c r="AC8553" s="580">
        <f>HLOOKUP("*"&amp;'Output annual'!$AC$2&amp;'Output annual'!$AD$2&amp;"*FangerPMV(Hourly)",'Eplus results'!$1:$1048576,ROW(),FALSE)</f>
        <v>0</v>
      </c>
      <c r="AD8553" s="580">
        <f t="shared" si="701"/>
        <v>5</v>
      </c>
      <c r="AE8553" s="580">
        <f t="shared" si="702"/>
        <v>2.5</v>
      </c>
      <c r="AF8553" s="580">
        <f t="shared" si="703"/>
        <v>2.5</v>
      </c>
      <c r="AG8553" s="580">
        <f t="shared" si="704"/>
        <v>0</v>
      </c>
      <c r="AH8553" s="580">
        <f t="shared" si="705"/>
        <v>0</v>
      </c>
    </row>
    <row r="8554" spans="28:34">
      <c r="AB8554" s="580">
        <f>HLOOKUP("*"&amp;'Output annual'!$AC$2&amp;'Output annual'!$AD$2&amp;"*Zone People Number Of Occupants [](Hourly)",'Eplus results'!$1:$1048576,ROW(),FALSE)</f>
        <v>0</v>
      </c>
      <c r="AC8554" s="580">
        <f>HLOOKUP("*"&amp;'Output annual'!$AC$2&amp;'Output annual'!$AD$2&amp;"*FangerPMV(Hourly)",'Eplus results'!$1:$1048576,ROW(),FALSE)</f>
        <v>0</v>
      </c>
      <c r="AD8554" s="580">
        <f t="shared" si="701"/>
        <v>5</v>
      </c>
      <c r="AE8554" s="580">
        <f t="shared" si="702"/>
        <v>2.5</v>
      </c>
      <c r="AF8554" s="580">
        <f t="shared" si="703"/>
        <v>2.5</v>
      </c>
      <c r="AG8554" s="580">
        <f t="shared" si="704"/>
        <v>0</v>
      </c>
      <c r="AH8554" s="580">
        <f t="shared" si="705"/>
        <v>0</v>
      </c>
    </row>
    <row r="8555" spans="28:34">
      <c r="AB8555" s="580">
        <f>HLOOKUP("*"&amp;'Output annual'!$AC$2&amp;'Output annual'!$AD$2&amp;"*Zone People Number Of Occupants [](Hourly)",'Eplus results'!$1:$1048576,ROW(),FALSE)</f>
        <v>0</v>
      </c>
      <c r="AC8555" s="580">
        <f>HLOOKUP("*"&amp;'Output annual'!$AC$2&amp;'Output annual'!$AD$2&amp;"*FangerPMV(Hourly)",'Eplus results'!$1:$1048576,ROW(),FALSE)</f>
        <v>0</v>
      </c>
      <c r="AD8555" s="580">
        <f t="shared" si="701"/>
        <v>5</v>
      </c>
      <c r="AE8555" s="580">
        <f t="shared" si="702"/>
        <v>2.5</v>
      </c>
      <c r="AF8555" s="580">
        <f t="shared" si="703"/>
        <v>2.5</v>
      </c>
      <c r="AG8555" s="580">
        <f t="shared" si="704"/>
        <v>0</v>
      </c>
      <c r="AH8555" s="580">
        <f t="shared" si="705"/>
        <v>0</v>
      </c>
    </row>
    <row r="8556" spans="28:34">
      <c r="AB8556" s="580">
        <f>HLOOKUP("*"&amp;'Output annual'!$AC$2&amp;'Output annual'!$AD$2&amp;"*Zone People Number Of Occupants [](Hourly)",'Eplus results'!$1:$1048576,ROW(),FALSE)</f>
        <v>0</v>
      </c>
      <c r="AC8556" s="580">
        <f>HLOOKUP("*"&amp;'Output annual'!$AC$2&amp;'Output annual'!$AD$2&amp;"*FangerPMV(Hourly)",'Eplus results'!$1:$1048576,ROW(),FALSE)</f>
        <v>0</v>
      </c>
      <c r="AD8556" s="580">
        <f t="shared" si="701"/>
        <v>5</v>
      </c>
      <c r="AE8556" s="580">
        <f t="shared" si="702"/>
        <v>2.5</v>
      </c>
      <c r="AF8556" s="580">
        <f t="shared" si="703"/>
        <v>2.5</v>
      </c>
      <c r="AG8556" s="580">
        <f t="shared" si="704"/>
        <v>0</v>
      </c>
      <c r="AH8556" s="580">
        <f t="shared" si="705"/>
        <v>0</v>
      </c>
    </row>
    <row r="8557" spans="28:34">
      <c r="AB8557" s="580">
        <f>HLOOKUP("*"&amp;'Output annual'!$AC$2&amp;'Output annual'!$AD$2&amp;"*Zone People Number Of Occupants [](Hourly)",'Eplus results'!$1:$1048576,ROW(),FALSE)</f>
        <v>0</v>
      </c>
      <c r="AC8557" s="580">
        <f>HLOOKUP("*"&amp;'Output annual'!$AC$2&amp;'Output annual'!$AD$2&amp;"*FangerPMV(Hourly)",'Eplus results'!$1:$1048576,ROW(),FALSE)</f>
        <v>0</v>
      </c>
      <c r="AD8557" s="580">
        <f t="shared" si="701"/>
        <v>5</v>
      </c>
      <c r="AE8557" s="580">
        <f t="shared" si="702"/>
        <v>2.5</v>
      </c>
      <c r="AF8557" s="580">
        <f t="shared" si="703"/>
        <v>2.5</v>
      </c>
      <c r="AG8557" s="580">
        <f t="shared" si="704"/>
        <v>0</v>
      </c>
      <c r="AH8557" s="580">
        <f t="shared" si="705"/>
        <v>0</v>
      </c>
    </row>
    <row r="8558" spans="28:34">
      <c r="AB8558" s="580">
        <f>HLOOKUP("*"&amp;'Output annual'!$AC$2&amp;'Output annual'!$AD$2&amp;"*Zone People Number Of Occupants [](Hourly)",'Eplus results'!$1:$1048576,ROW(),FALSE)</f>
        <v>0</v>
      </c>
      <c r="AC8558" s="580">
        <f>HLOOKUP("*"&amp;'Output annual'!$AC$2&amp;'Output annual'!$AD$2&amp;"*FangerPMV(Hourly)",'Eplus results'!$1:$1048576,ROW(),FALSE)</f>
        <v>0</v>
      </c>
      <c r="AD8558" s="580">
        <f t="shared" si="701"/>
        <v>5</v>
      </c>
      <c r="AE8558" s="580">
        <f t="shared" si="702"/>
        <v>2.5</v>
      </c>
      <c r="AF8558" s="580">
        <f t="shared" si="703"/>
        <v>2.5</v>
      </c>
      <c r="AG8558" s="580">
        <f t="shared" si="704"/>
        <v>0</v>
      </c>
      <c r="AH8558" s="580">
        <f t="shared" si="705"/>
        <v>0</v>
      </c>
    </row>
    <row r="8559" spans="28:34">
      <c r="AB8559" s="580">
        <f>HLOOKUP("*"&amp;'Output annual'!$AC$2&amp;'Output annual'!$AD$2&amp;"*Zone People Number Of Occupants [](Hourly)",'Eplus results'!$1:$1048576,ROW(),FALSE)</f>
        <v>0</v>
      </c>
      <c r="AC8559" s="580">
        <f>HLOOKUP("*"&amp;'Output annual'!$AC$2&amp;'Output annual'!$AD$2&amp;"*FangerPMV(Hourly)",'Eplus results'!$1:$1048576,ROW(),FALSE)</f>
        <v>0</v>
      </c>
      <c r="AD8559" s="580">
        <f t="shared" si="701"/>
        <v>5</v>
      </c>
      <c r="AE8559" s="580">
        <f t="shared" si="702"/>
        <v>2.5</v>
      </c>
      <c r="AF8559" s="580">
        <f t="shared" si="703"/>
        <v>2.5</v>
      </c>
      <c r="AG8559" s="580">
        <f t="shared" si="704"/>
        <v>0</v>
      </c>
      <c r="AH8559" s="580">
        <f t="shared" si="705"/>
        <v>0</v>
      </c>
    </row>
    <row r="8560" spans="28:34">
      <c r="AB8560" s="580">
        <f>HLOOKUP("*"&amp;'Output annual'!$AC$2&amp;'Output annual'!$AD$2&amp;"*Zone People Number Of Occupants [](Hourly)",'Eplus results'!$1:$1048576,ROW(),FALSE)</f>
        <v>0</v>
      </c>
      <c r="AC8560" s="580">
        <f>HLOOKUP("*"&amp;'Output annual'!$AC$2&amp;'Output annual'!$AD$2&amp;"*FangerPMV(Hourly)",'Eplus results'!$1:$1048576,ROW(),FALSE)</f>
        <v>0</v>
      </c>
      <c r="AD8560" s="580">
        <f t="shared" si="701"/>
        <v>5</v>
      </c>
      <c r="AE8560" s="580">
        <f t="shared" si="702"/>
        <v>2.5</v>
      </c>
      <c r="AF8560" s="580">
        <f t="shared" si="703"/>
        <v>2.5</v>
      </c>
      <c r="AG8560" s="580">
        <f t="shared" si="704"/>
        <v>0</v>
      </c>
      <c r="AH8560" s="580">
        <f t="shared" si="705"/>
        <v>0</v>
      </c>
    </row>
    <row r="8561" spans="28:34">
      <c r="AB8561" s="580">
        <f>HLOOKUP("*"&amp;'Output annual'!$AC$2&amp;'Output annual'!$AD$2&amp;"*Zone People Number Of Occupants [](Hourly)",'Eplus results'!$1:$1048576,ROW(),FALSE)</f>
        <v>0</v>
      </c>
      <c r="AC8561" s="580">
        <f>HLOOKUP("*"&amp;'Output annual'!$AC$2&amp;'Output annual'!$AD$2&amp;"*FangerPMV(Hourly)",'Eplus results'!$1:$1048576,ROW(),FALSE)</f>
        <v>0</v>
      </c>
      <c r="AD8561" s="580">
        <f t="shared" si="701"/>
        <v>5</v>
      </c>
      <c r="AE8561" s="580">
        <f t="shared" si="702"/>
        <v>2.5</v>
      </c>
      <c r="AF8561" s="580">
        <f t="shared" si="703"/>
        <v>2.5</v>
      </c>
      <c r="AG8561" s="580">
        <f t="shared" si="704"/>
        <v>0</v>
      </c>
      <c r="AH8561" s="580">
        <f t="shared" si="705"/>
        <v>0</v>
      </c>
    </row>
    <row r="8562" spans="28:34">
      <c r="AB8562" s="580">
        <f>HLOOKUP("*"&amp;'Output annual'!$AC$2&amp;'Output annual'!$AD$2&amp;"*Zone People Number Of Occupants [](Hourly)",'Eplus results'!$1:$1048576,ROW(),FALSE)</f>
        <v>0</v>
      </c>
      <c r="AC8562" s="580">
        <f>HLOOKUP("*"&amp;'Output annual'!$AC$2&amp;'Output annual'!$AD$2&amp;"*FangerPMV(Hourly)",'Eplus results'!$1:$1048576,ROW(),FALSE)</f>
        <v>0</v>
      </c>
      <c r="AD8562" s="580">
        <f t="shared" si="701"/>
        <v>5</v>
      </c>
      <c r="AE8562" s="580">
        <f t="shared" si="702"/>
        <v>2.5</v>
      </c>
      <c r="AF8562" s="580">
        <f t="shared" si="703"/>
        <v>2.5</v>
      </c>
      <c r="AG8562" s="580">
        <f t="shared" si="704"/>
        <v>0</v>
      </c>
      <c r="AH8562" s="580">
        <f t="shared" si="705"/>
        <v>0</v>
      </c>
    </row>
    <row r="8563" spans="28:34">
      <c r="AB8563" s="580">
        <f>HLOOKUP("*"&amp;'Output annual'!$AC$2&amp;'Output annual'!$AD$2&amp;"*Zone People Number Of Occupants [](Hourly)",'Eplus results'!$1:$1048576,ROW(),FALSE)</f>
        <v>0</v>
      </c>
      <c r="AC8563" s="580">
        <f>HLOOKUP("*"&amp;'Output annual'!$AC$2&amp;'Output annual'!$AD$2&amp;"*FangerPMV(Hourly)",'Eplus results'!$1:$1048576,ROW(),FALSE)</f>
        <v>0</v>
      </c>
      <c r="AD8563" s="580">
        <f t="shared" si="701"/>
        <v>5</v>
      </c>
      <c r="AE8563" s="580">
        <f t="shared" si="702"/>
        <v>2.5</v>
      </c>
      <c r="AF8563" s="580">
        <f t="shared" si="703"/>
        <v>2.5</v>
      </c>
      <c r="AG8563" s="580">
        <f t="shared" si="704"/>
        <v>0</v>
      </c>
      <c r="AH8563" s="580">
        <f t="shared" si="705"/>
        <v>0</v>
      </c>
    </row>
    <row r="8564" spans="28:34">
      <c r="AB8564" s="580">
        <f>HLOOKUP("*"&amp;'Output annual'!$AC$2&amp;'Output annual'!$AD$2&amp;"*Zone People Number Of Occupants [](Hourly)",'Eplus results'!$1:$1048576,ROW(),FALSE)</f>
        <v>0</v>
      </c>
      <c r="AC8564" s="580">
        <f>HLOOKUP("*"&amp;'Output annual'!$AC$2&amp;'Output annual'!$AD$2&amp;"*FangerPMV(Hourly)",'Eplus results'!$1:$1048576,ROW(),FALSE)</f>
        <v>0</v>
      </c>
      <c r="AD8564" s="580">
        <f t="shared" si="701"/>
        <v>5</v>
      </c>
      <c r="AE8564" s="580">
        <f t="shared" si="702"/>
        <v>2.5</v>
      </c>
      <c r="AF8564" s="580">
        <f t="shared" si="703"/>
        <v>2.5</v>
      </c>
      <c r="AG8564" s="580">
        <f t="shared" si="704"/>
        <v>0</v>
      </c>
      <c r="AH8564" s="580">
        <f t="shared" si="705"/>
        <v>0</v>
      </c>
    </row>
    <row r="8565" spans="28:34">
      <c r="AB8565" s="580">
        <f>HLOOKUP("*"&amp;'Output annual'!$AC$2&amp;'Output annual'!$AD$2&amp;"*Zone People Number Of Occupants [](Hourly)",'Eplus results'!$1:$1048576,ROW(),FALSE)</f>
        <v>0</v>
      </c>
      <c r="AC8565" s="580">
        <f>HLOOKUP("*"&amp;'Output annual'!$AC$2&amp;'Output annual'!$AD$2&amp;"*FangerPMV(Hourly)",'Eplus results'!$1:$1048576,ROW(),FALSE)</f>
        <v>0</v>
      </c>
      <c r="AD8565" s="580">
        <f t="shared" si="701"/>
        <v>5</v>
      </c>
      <c r="AE8565" s="580">
        <f t="shared" si="702"/>
        <v>2.5</v>
      </c>
      <c r="AF8565" s="580">
        <f t="shared" si="703"/>
        <v>2.5</v>
      </c>
      <c r="AG8565" s="580">
        <f t="shared" si="704"/>
        <v>0</v>
      </c>
      <c r="AH8565" s="580">
        <f t="shared" si="705"/>
        <v>0</v>
      </c>
    </row>
    <row r="8566" spans="28:34">
      <c r="AB8566" s="580">
        <f>HLOOKUP("*"&amp;'Output annual'!$AC$2&amp;'Output annual'!$AD$2&amp;"*Zone People Number Of Occupants [](Hourly)",'Eplus results'!$1:$1048576,ROW(),FALSE)</f>
        <v>0</v>
      </c>
      <c r="AC8566" s="580">
        <f>HLOOKUP("*"&amp;'Output annual'!$AC$2&amp;'Output annual'!$AD$2&amp;"*FangerPMV(Hourly)",'Eplus results'!$1:$1048576,ROW(),FALSE)</f>
        <v>0</v>
      </c>
      <c r="AD8566" s="580">
        <f t="shared" si="701"/>
        <v>5</v>
      </c>
      <c r="AE8566" s="580">
        <f t="shared" si="702"/>
        <v>2.5</v>
      </c>
      <c r="AF8566" s="580">
        <f t="shared" si="703"/>
        <v>2.5</v>
      </c>
      <c r="AG8566" s="580">
        <f t="shared" si="704"/>
        <v>0</v>
      </c>
      <c r="AH8566" s="580">
        <f t="shared" si="705"/>
        <v>0</v>
      </c>
    </row>
    <row r="8567" spans="28:34">
      <c r="AB8567" s="580">
        <f>HLOOKUP("*"&amp;'Output annual'!$AC$2&amp;'Output annual'!$AD$2&amp;"*Zone People Number Of Occupants [](Hourly)",'Eplus results'!$1:$1048576,ROW(),FALSE)</f>
        <v>0</v>
      </c>
      <c r="AC8567" s="580">
        <f>HLOOKUP("*"&amp;'Output annual'!$AC$2&amp;'Output annual'!$AD$2&amp;"*FangerPMV(Hourly)",'Eplus results'!$1:$1048576,ROW(),FALSE)</f>
        <v>0</v>
      </c>
      <c r="AD8567" s="580">
        <f t="shared" si="701"/>
        <v>5</v>
      </c>
      <c r="AE8567" s="580">
        <f t="shared" si="702"/>
        <v>2.5</v>
      </c>
      <c r="AF8567" s="580">
        <f t="shared" si="703"/>
        <v>2.5</v>
      </c>
      <c r="AG8567" s="580">
        <f t="shared" si="704"/>
        <v>0</v>
      </c>
      <c r="AH8567" s="580">
        <f t="shared" si="705"/>
        <v>0</v>
      </c>
    </row>
    <row r="8568" spans="28:34">
      <c r="AB8568" s="580">
        <f>HLOOKUP("*"&amp;'Output annual'!$AC$2&amp;'Output annual'!$AD$2&amp;"*Zone People Number Of Occupants [](Hourly)",'Eplus results'!$1:$1048576,ROW(),FALSE)</f>
        <v>0</v>
      </c>
      <c r="AC8568" s="580">
        <f>HLOOKUP("*"&amp;'Output annual'!$AC$2&amp;'Output annual'!$AD$2&amp;"*FangerPMV(Hourly)",'Eplus results'!$1:$1048576,ROW(),FALSE)</f>
        <v>0</v>
      </c>
      <c r="AD8568" s="580">
        <f t="shared" si="701"/>
        <v>5</v>
      </c>
      <c r="AE8568" s="580">
        <f t="shared" si="702"/>
        <v>2.5</v>
      </c>
      <c r="AF8568" s="580">
        <f t="shared" si="703"/>
        <v>2.5</v>
      </c>
      <c r="AG8568" s="580">
        <f t="shared" si="704"/>
        <v>0</v>
      </c>
      <c r="AH8568" s="580">
        <f t="shared" si="705"/>
        <v>0</v>
      </c>
    </row>
    <row r="8569" spans="28:34">
      <c r="AB8569" s="580">
        <f>HLOOKUP("*"&amp;'Output annual'!$AC$2&amp;'Output annual'!$AD$2&amp;"*Zone People Number Of Occupants [](Hourly)",'Eplus results'!$1:$1048576,ROW(),FALSE)</f>
        <v>0</v>
      </c>
      <c r="AC8569" s="580">
        <f>HLOOKUP("*"&amp;'Output annual'!$AC$2&amp;'Output annual'!$AD$2&amp;"*FangerPMV(Hourly)",'Eplus results'!$1:$1048576,ROW(),FALSE)</f>
        <v>0</v>
      </c>
      <c r="AD8569" s="580">
        <f t="shared" si="701"/>
        <v>5</v>
      </c>
      <c r="AE8569" s="580">
        <f t="shared" si="702"/>
        <v>2.5</v>
      </c>
      <c r="AF8569" s="580">
        <f t="shared" si="703"/>
        <v>2.5</v>
      </c>
      <c r="AG8569" s="580">
        <f t="shared" si="704"/>
        <v>0</v>
      </c>
      <c r="AH8569" s="580">
        <f t="shared" si="705"/>
        <v>0</v>
      </c>
    </row>
    <row r="8570" spans="28:34">
      <c r="AB8570" s="580">
        <f>HLOOKUP("*"&amp;'Output annual'!$AC$2&amp;'Output annual'!$AD$2&amp;"*Zone People Number Of Occupants [](Hourly)",'Eplus results'!$1:$1048576,ROW(),FALSE)</f>
        <v>0</v>
      </c>
      <c r="AC8570" s="580">
        <f>HLOOKUP("*"&amp;'Output annual'!$AC$2&amp;'Output annual'!$AD$2&amp;"*FangerPMV(Hourly)",'Eplus results'!$1:$1048576,ROW(),FALSE)</f>
        <v>0</v>
      </c>
      <c r="AD8570" s="580">
        <f t="shared" si="701"/>
        <v>5</v>
      </c>
      <c r="AE8570" s="580">
        <f t="shared" si="702"/>
        <v>2.5</v>
      </c>
      <c r="AF8570" s="580">
        <f t="shared" si="703"/>
        <v>2.5</v>
      </c>
      <c r="AG8570" s="580">
        <f t="shared" si="704"/>
        <v>0</v>
      </c>
      <c r="AH8570" s="580">
        <f t="shared" si="705"/>
        <v>0</v>
      </c>
    </row>
    <row r="8571" spans="28:34">
      <c r="AB8571" s="580">
        <f>HLOOKUP("*"&amp;'Output annual'!$AC$2&amp;'Output annual'!$AD$2&amp;"*Zone People Number Of Occupants [](Hourly)",'Eplus results'!$1:$1048576,ROW(),FALSE)</f>
        <v>0</v>
      </c>
      <c r="AC8571" s="580">
        <f>HLOOKUP("*"&amp;'Output annual'!$AC$2&amp;'Output annual'!$AD$2&amp;"*FangerPMV(Hourly)",'Eplus results'!$1:$1048576,ROW(),FALSE)</f>
        <v>0</v>
      </c>
      <c r="AD8571" s="580">
        <f t="shared" si="701"/>
        <v>5</v>
      </c>
      <c r="AE8571" s="580">
        <f t="shared" si="702"/>
        <v>2.5</v>
      </c>
      <c r="AF8571" s="580">
        <f t="shared" si="703"/>
        <v>2.5</v>
      </c>
      <c r="AG8571" s="580">
        <f t="shared" si="704"/>
        <v>0</v>
      </c>
      <c r="AH8571" s="580">
        <f t="shared" si="705"/>
        <v>0</v>
      </c>
    </row>
    <row r="8572" spans="28:34">
      <c r="AB8572" s="580">
        <f>HLOOKUP("*"&amp;'Output annual'!$AC$2&amp;'Output annual'!$AD$2&amp;"*Zone People Number Of Occupants [](Hourly)",'Eplus results'!$1:$1048576,ROW(),FALSE)</f>
        <v>0</v>
      </c>
      <c r="AC8572" s="580">
        <f>HLOOKUP("*"&amp;'Output annual'!$AC$2&amp;'Output annual'!$AD$2&amp;"*FangerPMV(Hourly)",'Eplus results'!$1:$1048576,ROW(),FALSE)</f>
        <v>0</v>
      </c>
      <c r="AD8572" s="580">
        <f t="shared" si="701"/>
        <v>5</v>
      </c>
      <c r="AE8572" s="580">
        <f t="shared" si="702"/>
        <v>2.5</v>
      </c>
      <c r="AF8572" s="580">
        <f t="shared" si="703"/>
        <v>2.5</v>
      </c>
      <c r="AG8572" s="580">
        <f t="shared" si="704"/>
        <v>0</v>
      </c>
      <c r="AH8572" s="580">
        <f t="shared" si="705"/>
        <v>0</v>
      </c>
    </row>
    <row r="8573" spans="28:34">
      <c r="AB8573" s="580">
        <f>HLOOKUP("*"&amp;'Output annual'!$AC$2&amp;'Output annual'!$AD$2&amp;"*Zone People Number Of Occupants [](Hourly)",'Eplus results'!$1:$1048576,ROW(),FALSE)</f>
        <v>0</v>
      </c>
      <c r="AC8573" s="580">
        <f>HLOOKUP("*"&amp;'Output annual'!$AC$2&amp;'Output annual'!$AD$2&amp;"*FangerPMV(Hourly)",'Eplus results'!$1:$1048576,ROW(),FALSE)</f>
        <v>0</v>
      </c>
      <c r="AD8573" s="580">
        <f t="shared" si="701"/>
        <v>5</v>
      </c>
      <c r="AE8573" s="580">
        <f t="shared" si="702"/>
        <v>2.5</v>
      </c>
      <c r="AF8573" s="580">
        <f t="shared" si="703"/>
        <v>2.5</v>
      </c>
      <c r="AG8573" s="580">
        <f t="shared" si="704"/>
        <v>0</v>
      </c>
      <c r="AH8573" s="580">
        <f t="shared" si="705"/>
        <v>0</v>
      </c>
    </row>
    <row r="8574" spans="28:34">
      <c r="AB8574" s="580">
        <f>HLOOKUP("*"&amp;'Output annual'!$AC$2&amp;'Output annual'!$AD$2&amp;"*Zone People Number Of Occupants [](Hourly)",'Eplus results'!$1:$1048576,ROW(),FALSE)</f>
        <v>0</v>
      </c>
      <c r="AC8574" s="580">
        <f>HLOOKUP("*"&amp;'Output annual'!$AC$2&amp;'Output annual'!$AD$2&amp;"*FangerPMV(Hourly)",'Eplus results'!$1:$1048576,ROW(),FALSE)</f>
        <v>0</v>
      </c>
      <c r="AD8574" s="580">
        <f t="shared" si="701"/>
        <v>5</v>
      </c>
      <c r="AE8574" s="580">
        <f t="shared" si="702"/>
        <v>2.5</v>
      </c>
      <c r="AF8574" s="580">
        <f t="shared" si="703"/>
        <v>2.5</v>
      </c>
      <c r="AG8574" s="580">
        <f t="shared" si="704"/>
        <v>0</v>
      </c>
      <c r="AH8574" s="580">
        <f t="shared" si="705"/>
        <v>0</v>
      </c>
    </row>
    <row r="8575" spans="28:34">
      <c r="AB8575" s="580">
        <f>HLOOKUP("*"&amp;'Output annual'!$AC$2&amp;'Output annual'!$AD$2&amp;"*Zone People Number Of Occupants [](Hourly)",'Eplus results'!$1:$1048576,ROW(),FALSE)</f>
        <v>0</v>
      </c>
      <c r="AC8575" s="580">
        <f>HLOOKUP("*"&amp;'Output annual'!$AC$2&amp;'Output annual'!$AD$2&amp;"*FangerPMV(Hourly)",'Eplus results'!$1:$1048576,ROW(),FALSE)</f>
        <v>0</v>
      </c>
      <c r="AD8575" s="580">
        <f t="shared" si="701"/>
        <v>5</v>
      </c>
      <c r="AE8575" s="580">
        <f t="shared" si="702"/>
        <v>2.5</v>
      </c>
      <c r="AF8575" s="580">
        <f t="shared" si="703"/>
        <v>2.5</v>
      </c>
      <c r="AG8575" s="580">
        <f t="shared" si="704"/>
        <v>0</v>
      </c>
      <c r="AH8575" s="580">
        <f t="shared" si="705"/>
        <v>0</v>
      </c>
    </row>
    <row r="8576" spans="28:34">
      <c r="AB8576" s="580">
        <f>HLOOKUP("*"&amp;'Output annual'!$AC$2&amp;'Output annual'!$AD$2&amp;"*Zone People Number Of Occupants [](Hourly)",'Eplus results'!$1:$1048576,ROW(),FALSE)</f>
        <v>0</v>
      </c>
      <c r="AC8576" s="580">
        <f>HLOOKUP("*"&amp;'Output annual'!$AC$2&amp;'Output annual'!$AD$2&amp;"*FangerPMV(Hourly)",'Eplus results'!$1:$1048576,ROW(),FALSE)</f>
        <v>0</v>
      </c>
      <c r="AD8576" s="580">
        <f t="shared" si="701"/>
        <v>5</v>
      </c>
      <c r="AE8576" s="580">
        <f t="shared" si="702"/>
        <v>2.5</v>
      </c>
      <c r="AF8576" s="580">
        <f t="shared" si="703"/>
        <v>2.5</v>
      </c>
      <c r="AG8576" s="580">
        <f t="shared" si="704"/>
        <v>0</v>
      </c>
      <c r="AH8576" s="580">
        <f t="shared" si="705"/>
        <v>0</v>
      </c>
    </row>
    <row r="8577" spans="28:34">
      <c r="AB8577" s="580">
        <f>HLOOKUP("*"&amp;'Output annual'!$AC$2&amp;'Output annual'!$AD$2&amp;"*Zone People Number Of Occupants [](Hourly)",'Eplus results'!$1:$1048576,ROW(),FALSE)</f>
        <v>0</v>
      </c>
      <c r="AC8577" s="580">
        <f>HLOOKUP("*"&amp;'Output annual'!$AC$2&amp;'Output annual'!$AD$2&amp;"*FangerPMV(Hourly)",'Eplus results'!$1:$1048576,ROW(),FALSE)</f>
        <v>0</v>
      </c>
      <c r="AD8577" s="580">
        <f t="shared" si="701"/>
        <v>5</v>
      </c>
      <c r="AE8577" s="580">
        <f t="shared" si="702"/>
        <v>2.5</v>
      </c>
      <c r="AF8577" s="580">
        <f t="shared" si="703"/>
        <v>2.5</v>
      </c>
      <c r="AG8577" s="580">
        <f t="shared" si="704"/>
        <v>0</v>
      </c>
      <c r="AH8577" s="580">
        <f t="shared" si="705"/>
        <v>0</v>
      </c>
    </row>
    <row r="8578" spans="28:34">
      <c r="AB8578" s="580">
        <f>HLOOKUP("*"&amp;'Output annual'!$AC$2&amp;'Output annual'!$AD$2&amp;"*Zone People Number Of Occupants [](Hourly)",'Eplus results'!$1:$1048576,ROW(),FALSE)</f>
        <v>0</v>
      </c>
      <c r="AC8578" s="580">
        <f>HLOOKUP("*"&amp;'Output annual'!$AC$2&amp;'Output annual'!$AD$2&amp;"*FangerPMV(Hourly)",'Eplus results'!$1:$1048576,ROW(),FALSE)</f>
        <v>0</v>
      </c>
      <c r="AD8578" s="580">
        <f t="shared" si="701"/>
        <v>5</v>
      </c>
      <c r="AE8578" s="580">
        <f t="shared" si="702"/>
        <v>2.5</v>
      </c>
      <c r="AF8578" s="580">
        <f t="shared" si="703"/>
        <v>2.5</v>
      </c>
      <c r="AG8578" s="580">
        <f t="shared" si="704"/>
        <v>0</v>
      </c>
      <c r="AH8578" s="580">
        <f t="shared" si="705"/>
        <v>0</v>
      </c>
    </row>
    <row r="8579" spans="28:34">
      <c r="AB8579" s="580">
        <f>HLOOKUP("*"&amp;'Output annual'!$AC$2&amp;'Output annual'!$AD$2&amp;"*Zone People Number Of Occupants [](Hourly)",'Eplus results'!$1:$1048576,ROW(),FALSE)</f>
        <v>0</v>
      </c>
      <c r="AC8579" s="580">
        <f>HLOOKUP("*"&amp;'Output annual'!$AC$2&amp;'Output annual'!$AD$2&amp;"*FangerPMV(Hourly)",'Eplus results'!$1:$1048576,ROW(),FALSE)</f>
        <v>0</v>
      </c>
      <c r="AD8579" s="580">
        <f t="shared" ref="AD8579:AD8642" si="706">100-95*EXP(-0.03353*AC8579^4-0.2179*AC8579^2)</f>
        <v>5</v>
      </c>
      <c r="AE8579" s="580">
        <f t="shared" ref="AE8579:AE8642" si="707">AD8579*(1/(1+EXP(-6.3*$AC8579)))</f>
        <v>2.5</v>
      </c>
      <c r="AF8579" s="580">
        <f t="shared" ref="AF8579:AF8642" si="708">(AD8579-AE8579)</f>
        <v>2.5</v>
      </c>
      <c r="AG8579" s="580">
        <f t="shared" ref="AG8579:AG8642" si="709">AE8579*AB8579</f>
        <v>0</v>
      </c>
      <c r="AH8579" s="580">
        <f t="shared" ref="AH8579:AH8642" si="710">AF8579*AB8579</f>
        <v>0</v>
      </c>
    </row>
    <row r="8580" spans="28:34">
      <c r="AB8580" s="580">
        <f>HLOOKUP("*"&amp;'Output annual'!$AC$2&amp;'Output annual'!$AD$2&amp;"*Zone People Number Of Occupants [](Hourly)",'Eplus results'!$1:$1048576,ROW(),FALSE)</f>
        <v>0</v>
      </c>
      <c r="AC8580" s="580">
        <f>HLOOKUP("*"&amp;'Output annual'!$AC$2&amp;'Output annual'!$AD$2&amp;"*FangerPMV(Hourly)",'Eplus results'!$1:$1048576,ROW(),FALSE)</f>
        <v>0</v>
      </c>
      <c r="AD8580" s="580">
        <f t="shared" si="706"/>
        <v>5</v>
      </c>
      <c r="AE8580" s="580">
        <f t="shared" si="707"/>
        <v>2.5</v>
      </c>
      <c r="AF8580" s="580">
        <f t="shared" si="708"/>
        <v>2.5</v>
      </c>
      <c r="AG8580" s="580">
        <f t="shared" si="709"/>
        <v>0</v>
      </c>
      <c r="AH8580" s="580">
        <f t="shared" si="710"/>
        <v>0</v>
      </c>
    </row>
    <row r="8581" spans="28:34">
      <c r="AB8581" s="580">
        <f>HLOOKUP("*"&amp;'Output annual'!$AC$2&amp;'Output annual'!$AD$2&amp;"*Zone People Number Of Occupants [](Hourly)",'Eplus results'!$1:$1048576,ROW(),FALSE)</f>
        <v>0</v>
      </c>
      <c r="AC8581" s="580">
        <f>HLOOKUP("*"&amp;'Output annual'!$AC$2&amp;'Output annual'!$AD$2&amp;"*FangerPMV(Hourly)",'Eplus results'!$1:$1048576,ROW(),FALSE)</f>
        <v>0</v>
      </c>
      <c r="AD8581" s="580">
        <f t="shared" si="706"/>
        <v>5</v>
      </c>
      <c r="AE8581" s="580">
        <f t="shared" si="707"/>
        <v>2.5</v>
      </c>
      <c r="AF8581" s="580">
        <f t="shared" si="708"/>
        <v>2.5</v>
      </c>
      <c r="AG8581" s="580">
        <f t="shared" si="709"/>
        <v>0</v>
      </c>
      <c r="AH8581" s="580">
        <f t="shared" si="710"/>
        <v>0</v>
      </c>
    </row>
    <row r="8582" spans="28:34">
      <c r="AB8582" s="580">
        <f>HLOOKUP("*"&amp;'Output annual'!$AC$2&amp;'Output annual'!$AD$2&amp;"*Zone People Number Of Occupants [](Hourly)",'Eplus results'!$1:$1048576,ROW(),FALSE)</f>
        <v>0</v>
      </c>
      <c r="AC8582" s="580">
        <f>HLOOKUP("*"&amp;'Output annual'!$AC$2&amp;'Output annual'!$AD$2&amp;"*FangerPMV(Hourly)",'Eplus results'!$1:$1048576,ROW(),FALSE)</f>
        <v>0</v>
      </c>
      <c r="AD8582" s="580">
        <f t="shared" si="706"/>
        <v>5</v>
      </c>
      <c r="AE8582" s="580">
        <f t="shared" si="707"/>
        <v>2.5</v>
      </c>
      <c r="AF8582" s="580">
        <f t="shared" si="708"/>
        <v>2.5</v>
      </c>
      <c r="AG8582" s="580">
        <f t="shared" si="709"/>
        <v>0</v>
      </c>
      <c r="AH8582" s="580">
        <f t="shared" si="710"/>
        <v>0</v>
      </c>
    </row>
    <row r="8583" spans="28:34">
      <c r="AB8583" s="580">
        <f>HLOOKUP("*"&amp;'Output annual'!$AC$2&amp;'Output annual'!$AD$2&amp;"*Zone People Number Of Occupants [](Hourly)",'Eplus results'!$1:$1048576,ROW(),FALSE)</f>
        <v>0</v>
      </c>
      <c r="AC8583" s="580">
        <f>HLOOKUP("*"&amp;'Output annual'!$AC$2&amp;'Output annual'!$AD$2&amp;"*FangerPMV(Hourly)",'Eplus results'!$1:$1048576,ROW(),FALSE)</f>
        <v>0</v>
      </c>
      <c r="AD8583" s="580">
        <f t="shared" si="706"/>
        <v>5</v>
      </c>
      <c r="AE8583" s="580">
        <f t="shared" si="707"/>
        <v>2.5</v>
      </c>
      <c r="AF8583" s="580">
        <f t="shared" si="708"/>
        <v>2.5</v>
      </c>
      <c r="AG8583" s="580">
        <f t="shared" si="709"/>
        <v>0</v>
      </c>
      <c r="AH8583" s="580">
        <f t="shared" si="710"/>
        <v>0</v>
      </c>
    </row>
    <row r="8584" spans="28:34">
      <c r="AB8584" s="580">
        <f>HLOOKUP("*"&amp;'Output annual'!$AC$2&amp;'Output annual'!$AD$2&amp;"*Zone People Number Of Occupants [](Hourly)",'Eplus results'!$1:$1048576,ROW(),FALSE)</f>
        <v>0</v>
      </c>
      <c r="AC8584" s="580">
        <f>HLOOKUP("*"&amp;'Output annual'!$AC$2&amp;'Output annual'!$AD$2&amp;"*FangerPMV(Hourly)",'Eplus results'!$1:$1048576,ROW(),FALSE)</f>
        <v>0</v>
      </c>
      <c r="AD8584" s="580">
        <f t="shared" si="706"/>
        <v>5</v>
      </c>
      <c r="AE8584" s="580">
        <f t="shared" si="707"/>
        <v>2.5</v>
      </c>
      <c r="AF8584" s="580">
        <f t="shared" si="708"/>
        <v>2.5</v>
      </c>
      <c r="AG8584" s="580">
        <f t="shared" si="709"/>
        <v>0</v>
      </c>
      <c r="AH8584" s="580">
        <f t="shared" si="710"/>
        <v>0</v>
      </c>
    </row>
    <row r="8585" spans="28:34">
      <c r="AB8585" s="580">
        <f>HLOOKUP("*"&amp;'Output annual'!$AC$2&amp;'Output annual'!$AD$2&amp;"*Zone People Number Of Occupants [](Hourly)",'Eplus results'!$1:$1048576,ROW(),FALSE)</f>
        <v>0</v>
      </c>
      <c r="AC8585" s="580">
        <f>HLOOKUP("*"&amp;'Output annual'!$AC$2&amp;'Output annual'!$AD$2&amp;"*FangerPMV(Hourly)",'Eplus results'!$1:$1048576,ROW(),FALSE)</f>
        <v>0</v>
      </c>
      <c r="AD8585" s="580">
        <f t="shared" si="706"/>
        <v>5</v>
      </c>
      <c r="AE8585" s="580">
        <f t="shared" si="707"/>
        <v>2.5</v>
      </c>
      <c r="AF8585" s="580">
        <f t="shared" si="708"/>
        <v>2.5</v>
      </c>
      <c r="AG8585" s="580">
        <f t="shared" si="709"/>
        <v>0</v>
      </c>
      <c r="AH8585" s="580">
        <f t="shared" si="710"/>
        <v>0</v>
      </c>
    </row>
    <row r="8586" spans="28:34">
      <c r="AB8586" s="580">
        <f>HLOOKUP("*"&amp;'Output annual'!$AC$2&amp;'Output annual'!$AD$2&amp;"*Zone People Number Of Occupants [](Hourly)",'Eplus results'!$1:$1048576,ROW(),FALSE)</f>
        <v>0</v>
      </c>
      <c r="AC8586" s="580">
        <f>HLOOKUP("*"&amp;'Output annual'!$AC$2&amp;'Output annual'!$AD$2&amp;"*FangerPMV(Hourly)",'Eplus results'!$1:$1048576,ROW(),FALSE)</f>
        <v>0</v>
      </c>
      <c r="AD8586" s="580">
        <f t="shared" si="706"/>
        <v>5</v>
      </c>
      <c r="AE8586" s="580">
        <f t="shared" si="707"/>
        <v>2.5</v>
      </c>
      <c r="AF8586" s="580">
        <f t="shared" si="708"/>
        <v>2.5</v>
      </c>
      <c r="AG8586" s="580">
        <f t="shared" si="709"/>
        <v>0</v>
      </c>
      <c r="AH8586" s="580">
        <f t="shared" si="710"/>
        <v>0</v>
      </c>
    </row>
    <row r="8587" spans="28:34">
      <c r="AB8587" s="580">
        <f>HLOOKUP("*"&amp;'Output annual'!$AC$2&amp;'Output annual'!$AD$2&amp;"*Zone People Number Of Occupants [](Hourly)",'Eplus results'!$1:$1048576,ROW(),FALSE)</f>
        <v>0</v>
      </c>
      <c r="AC8587" s="580">
        <f>HLOOKUP("*"&amp;'Output annual'!$AC$2&amp;'Output annual'!$AD$2&amp;"*FangerPMV(Hourly)",'Eplus results'!$1:$1048576,ROW(),FALSE)</f>
        <v>0</v>
      </c>
      <c r="AD8587" s="580">
        <f t="shared" si="706"/>
        <v>5</v>
      </c>
      <c r="AE8587" s="580">
        <f t="shared" si="707"/>
        <v>2.5</v>
      </c>
      <c r="AF8587" s="580">
        <f t="shared" si="708"/>
        <v>2.5</v>
      </c>
      <c r="AG8587" s="580">
        <f t="shared" si="709"/>
        <v>0</v>
      </c>
      <c r="AH8587" s="580">
        <f t="shared" si="710"/>
        <v>0</v>
      </c>
    </row>
    <row r="8588" spans="28:34">
      <c r="AB8588" s="580">
        <f>HLOOKUP("*"&amp;'Output annual'!$AC$2&amp;'Output annual'!$AD$2&amp;"*Zone People Number Of Occupants [](Hourly)",'Eplus results'!$1:$1048576,ROW(),FALSE)</f>
        <v>0</v>
      </c>
      <c r="AC8588" s="580">
        <f>HLOOKUP("*"&amp;'Output annual'!$AC$2&amp;'Output annual'!$AD$2&amp;"*FangerPMV(Hourly)",'Eplus results'!$1:$1048576,ROW(),FALSE)</f>
        <v>0</v>
      </c>
      <c r="AD8588" s="580">
        <f t="shared" si="706"/>
        <v>5</v>
      </c>
      <c r="AE8588" s="580">
        <f t="shared" si="707"/>
        <v>2.5</v>
      </c>
      <c r="AF8588" s="580">
        <f t="shared" si="708"/>
        <v>2.5</v>
      </c>
      <c r="AG8588" s="580">
        <f t="shared" si="709"/>
        <v>0</v>
      </c>
      <c r="AH8588" s="580">
        <f t="shared" si="710"/>
        <v>0</v>
      </c>
    </row>
    <row r="8589" spans="28:34">
      <c r="AB8589" s="580">
        <f>HLOOKUP("*"&amp;'Output annual'!$AC$2&amp;'Output annual'!$AD$2&amp;"*Zone People Number Of Occupants [](Hourly)",'Eplus results'!$1:$1048576,ROW(),FALSE)</f>
        <v>0</v>
      </c>
      <c r="AC8589" s="580">
        <f>HLOOKUP("*"&amp;'Output annual'!$AC$2&amp;'Output annual'!$AD$2&amp;"*FangerPMV(Hourly)",'Eplus results'!$1:$1048576,ROW(),FALSE)</f>
        <v>0</v>
      </c>
      <c r="AD8589" s="580">
        <f t="shared" si="706"/>
        <v>5</v>
      </c>
      <c r="AE8589" s="580">
        <f t="shared" si="707"/>
        <v>2.5</v>
      </c>
      <c r="AF8589" s="580">
        <f t="shared" si="708"/>
        <v>2.5</v>
      </c>
      <c r="AG8589" s="580">
        <f t="shared" si="709"/>
        <v>0</v>
      </c>
      <c r="AH8589" s="580">
        <f t="shared" si="710"/>
        <v>0</v>
      </c>
    </row>
    <row r="8590" spans="28:34">
      <c r="AB8590" s="580">
        <f>HLOOKUP("*"&amp;'Output annual'!$AC$2&amp;'Output annual'!$AD$2&amp;"*Zone People Number Of Occupants [](Hourly)",'Eplus results'!$1:$1048576,ROW(),FALSE)</f>
        <v>0</v>
      </c>
      <c r="AC8590" s="580">
        <f>HLOOKUP("*"&amp;'Output annual'!$AC$2&amp;'Output annual'!$AD$2&amp;"*FangerPMV(Hourly)",'Eplus results'!$1:$1048576,ROW(),FALSE)</f>
        <v>0</v>
      </c>
      <c r="AD8590" s="580">
        <f t="shared" si="706"/>
        <v>5</v>
      </c>
      <c r="AE8590" s="580">
        <f t="shared" si="707"/>
        <v>2.5</v>
      </c>
      <c r="AF8590" s="580">
        <f t="shared" si="708"/>
        <v>2.5</v>
      </c>
      <c r="AG8590" s="580">
        <f t="shared" si="709"/>
        <v>0</v>
      </c>
      <c r="AH8590" s="580">
        <f t="shared" si="710"/>
        <v>0</v>
      </c>
    </row>
    <row r="8591" spans="28:34">
      <c r="AB8591" s="580">
        <f>HLOOKUP("*"&amp;'Output annual'!$AC$2&amp;'Output annual'!$AD$2&amp;"*Zone People Number Of Occupants [](Hourly)",'Eplus results'!$1:$1048576,ROW(),FALSE)</f>
        <v>0</v>
      </c>
      <c r="AC8591" s="580">
        <f>HLOOKUP("*"&amp;'Output annual'!$AC$2&amp;'Output annual'!$AD$2&amp;"*FangerPMV(Hourly)",'Eplus results'!$1:$1048576,ROW(),FALSE)</f>
        <v>0</v>
      </c>
      <c r="AD8591" s="580">
        <f t="shared" si="706"/>
        <v>5</v>
      </c>
      <c r="AE8591" s="580">
        <f t="shared" si="707"/>
        <v>2.5</v>
      </c>
      <c r="AF8591" s="580">
        <f t="shared" si="708"/>
        <v>2.5</v>
      </c>
      <c r="AG8591" s="580">
        <f t="shared" si="709"/>
        <v>0</v>
      </c>
      <c r="AH8591" s="580">
        <f t="shared" si="710"/>
        <v>0</v>
      </c>
    </row>
    <row r="8592" spans="28:34">
      <c r="AB8592" s="580">
        <f>HLOOKUP("*"&amp;'Output annual'!$AC$2&amp;'Output annual'!$AD$2&amp;"*Zone People Number Of Occupants [](Hourly)",'Eplus results'!$1:$1048576,ROW(),FALSE)</f>
        <v>0</v>
      </c>
      <c r="AC8592" s="580">
        <f>HLOOKUP("*"&amp;'Output annual'!$AC$2&amp;'Output annual'!$AD$2&amp;"*FangerPMV(Hourly)",'Eplus results'!$1:$1048576,ROW(),FALSE)</f>
        <v>0</v>
      </c>
      <c r="AD8592" s="580">
        <f t="shared" si="706"/>
        <v>5</v>
      </c>
      <c r="AE8592" s="580">
        <f t="shared" si="707"/>
        <v>2.5</v>
      </c>
      <c r="AF8592" s="580">
        <f t="shared" si="708"/>
        <v>2.5</v>
      </c>
      <c r="AG8592" s="580">
        <f t="shared" si="709"/>
        <v>0</v>
      </c>
      <c r="AH8592" s="580">
        <f t="shared" si="710"/>
        <v>0</v>
      </c>
    </row>
    <row r="8593" spans="28:34">
      <c r="AB8593" s="580">
        <f>HLOOKUP("*"&amp;'Output annual'!$AC$2&amp;'Output annual'!$AD$2&amp;"*Zone People Number Of Occupants [](Hourly)",'Eplus results'!$1:$1048576,ROW(),FALSE)</f>
        <v>0</v>
      </c>
      <c r="AC8593" s="580">
        <f>HLOOKUP("*"&amp;'Output annual'!$AC$2&amp;'Output annual'!$AD$2&amp;"*FangerPMV(Hourly)",'Eplus results'!$1:$1048576,ROW(),FALSE)</f>
        <v>0</v>
      </c>
      <c r="AD8593" s="580">
        <f t="shared" si="706"/>
        <v>5</v>
      </c>
      <c r="AE8593" s="580">
        <f t="shared" si="707"/>
        <v>2.5</v>
      </c>
      <c r="AF8593" s="580">
        <f t="shared" si="708"/>
        <v>2.5</v>
      </c>
      <c r="AG8593" s="580">
        <f t="shared" si="709"/>
        <v>0</v>
      </c>
      <c r="AH8593" s="580">
        <f t="shared" si="710"/>
        <v>0</v>
      </c>
    </row>
    <row r="8594" spans="28:34">
      <c r="AB8594" s="580">
        <f>HLOOKUP("*"&amp;'Output annual'!$AC$2&amp;'Output annual'!$AD$2&amp;"*Zone People Number Of Occupants [](Hourly)",'Eplus results'!$1:$1048576,ROW(),FALSE)</f>
        <v>0</v>
      </c>
      <c r="AC8594" s="580">
        <f>HLOOKUP("*"&amp;'Output annual'!$AC$2&amp;'Output annual'!$AD$2&amp;"*FangerPMV(Hourly)",'Eplus results'!$1:$1048576,ROW(),FALSE)</f>
        <v>0</v>
      </c>
      <c r="AD8594" s="580">
        <f t="shared" si="706"/>
        <v>5</v>
      </c>
      <c r="AE8594" s="580">
        <f t="shared" si="707"/>
        <v>2.5</v>
      </c>
      <c r="AF8594" s="580">
        <f t="shared" si="708"/>
        <v>2.5</v>
      </c>
      <c r="AG8594" s="580">
        <f t="shared" si="709"/>
        <v>0</v>
      </c>
      <c r="AH8594" s="580">
        <f t="shared" si="710"/>
        <v>0</v>
      </c>
    </row>
    <row r="8595" spans="28:34">
      <c r="AB8595" s="580">
        <f>HLOOKUP("*"&amp;'Output annual'!$AC$2&amp;'Output annual'!$AD$2&amp;"*Zone People Number Of Occupants [](Hourly)",'Eplus results'!$1:$1048576,ROW(),FALSE)</f>
        <v>0</v>
      </c>
      <c r="AC8595" s="580">
        <f>HLOOKUP("*"&amp;'Output annual'!$AC$2&amp;'Output annual'!$AD$2&amp;"*FangerPMV(Hourly)",'Eplus results'!$1:$1048576,ROW(),FALSE)</f>
        <v>0</v>
      </c>
      <c r="AD8595" s="580">
        <f t="shared" si="706"/>
        <v>5</v>
      </c>
      <c r="AE8595" s="580">
        <f t="shared" si="707"/>
        <v>2.5</v>
      </c>
      <c r="AF8595" s="580">
        <f t="shared" si="708"/>
        <v>2.5</v>
      </c>
      <c r="AG8595" s="580">
        <f t="shared" si="709"/>
        <v>0</v>
      </c>
      <c r="AH8595" s="580">
        <f t="shared" si="710"/>
        <v>0</v>
      </c>
    </row>
    <row r="8596" spans="28:34">
      <c r="AB8596" s="580">
        <f>HLOOKUP("*"&amp;'Output annual'!$AC$2&amp;'Output annual'!$AD$2&amp;"*Zone People Number Of Occupants [](Hourly)",'Eplus results'!$1:$1048576,ROW(),FALSE)</f>
        <v>0</v>
      </c>
      <c r="AC8596" s="580">
        <f>HLOOKUP("*"&amp;'Output annual'!$AC$2&amp;'Output annual'!$AD$2&amp;"*FangerPMV(Hourly)",'Eplus results'!$1:$1048576,ROW(),FALSE)</f>
        <v>0</v>
      </c>
      <c r="AD8596" s="580">
        <f t="shared" si="706"/>
        <v>5</v>
      </c>
      <c r="AE8596" s="580">
        <f t="shared" si="707"/>
        <v>2.5</v>
      </c>
      <c r="AF8596" s="580">
        <f t="shared" si="708"/>
        <v>2.5</v>
      </c>
      <c r="AG8596" s="580">
        <f t="shared" si="709"/>
        <v>0</v>
      </c>
      <c r="AH8596" s="580">
        <f t="shared" si="710"/>
        <v>0</v>
      </c>
    </row>
    <row r="8597" spans="28:34">
      <c r="AB8597" s="580">
        <f>HLOOKUP("*"&amp;'Output annual'!$AC$2&amp;'Output annual'!$AD$2&amp;"*Zone People Number Of Occupants [](Hourly)",'Eplus results'!$1:$1048576,ROW(),FALSE)</f>
        <v>0</v>
      </c>
      <c r="AC8597" s="580">
        <f>HLOOKUP("*"&amp;'Output annual'!$AC$2&amp;'Output annual'!$AD$2&amp;"*FangerPMV(Hourly)",'Eplus results'!$1:$1048576,ROW(),FALSE)</f>
        <v>0</v>
      </c>
      <c r="AD8597" s="580">
        <f t="shared" si="706"/>
        <v>5</v>
      </c>
      <c r="AE8597" s="580">
        <f t="shared" si="707"/>
        <v>2.5</v>
      </c>
      <c r="AF8597" s="580">
        <f t="shared" si="708"/>
        <v>2.5</v>
      </c>
      <c r="AG8597" s="580">
        <f t="shared" si="709"/>
        <v>0</v>
      </c>
      <c r="AH8597" s="580">
        <f t="shared" si="710"/>
        <v>0</v>
      </c>
    </row>
    <row r="8598" spans="28:34">
      <c r="AB8598" s="580">
        <f>HLOOKUP("*"&amp;'Output annual'!$AC$2&amp;'Output annual'!$AD$2&amp;"*Zone People Number Of Occupants [](Hourly)",'Eplus results'!$1:$1048576,ROW(),FALSE)</f>
        <v>0</v>
      </c>
      <c r="AC8598" s="580">
        <f>HLOOKUP("*"&amp;'Output annual'!$AC$2&amp;'Output annual'!$AD$2&amp;"*FangerPMV(Hourly)",'Eplus results'!$1:$1048576,ROW(),FALSE)</f>
        <v>0</v>
      </c>
      <c r="AD8598" s="580">
        <f t="shared" si="706"/>
        <v>5</v>
      </c>
      <c r="AE8598" s="580">
        <f t="shared" si="707"/>
        <v>2.5</v>
      </c>
      <c r="AF8598" s="580">
        <f t="shared" si="708"/>
        <v>2.5</v>
      </c>
      <c r="AG8598" s="580">
        <f t="shared" si="709"/>
        <v>0</v>
      </c>
      <c r="AH8598" s="580">
        <f t="shared" si="710"/>
        <v>0</v>
      </c>
    </row>
    <row r="8599" spans="28:34">
      <c r="AB8599" s="580">
        <f>HLOOKUP("*"&amp;'Output annual'!$AC$2&amp;'Output annual'!$AD$2&amp;"*Zone People Number Of Occupants [](Hourly)",'Eplus results'!$1:$1048576,ROW(),FALSE)</f>
        <v>0</v>
      </c>
      <c r="AC8599" s="580">
        <f>HLOOKUP("*"&amp;'Output annual'!$AC$2&amp;'Output annual'!$AD$2&amp;"*FangerPMV(Hourly)",'Eplus results'!$1:$1048576,ROW(),FALSE)</f>
        <v>0</v>
      </c>
      <c r="AD8599" s="580">
        <f t="shared" si="706"/>
        <v>5</v>
      </c>
      <c r="AE8599" s="580">
        <f t="shared" si="707"/>
        <v>2.5</v>
      </c>
      <c r="AF8599" s="580">
        <f t="shared" si="708"/>
        <v>2.5</v>
      </c>
      <c r="AG8599" s="580">
        <f t="shared" si="709"/>
        <v>0</v>
      </c>
      <c r="AH8599" s="580">
        <f t="shared" si="710"/>
        <v>0</v>
      </c>
    </row>
    <row r="8600" spans="28:34">
      <c r="AB8600" s="580">
        <f>HLOOKUP("*"&amp;'Output annual'!$AC$2&amp;'Output annual'!$AD$2&amp;"*Zone People Number Of Occupants [](Hourly)",'Eplus results'!$1:$1048576,ROW(),FALSE)</f>
        <v>0</v>
      </c>
      <c r="AC8600" s="580">
        <f>HLOOKUP("*"&amp;'Output annual'!$AC$2&amp;'Output annual'!$AD$2&amp;"*FangerPMV(Hourly)",'Eplus results'!$1:$1048576,ROW(),FALSE)</f>
        <v>0</v>
      </c>
      <c r="AD8600" s="580">
        <f t="shared" si="706"/>
        <v>5</v>
      </c>
      <c r="AE8600" s="580">
        <f t="shared" si="707"/>
        <v>2.5</v>
      </c>
      <c r="AF8600" s="580">
        <f t="shared" si="708"/>
        <v>2.5</v>
      </c>
      <c r="AG8600" s="580">
        <f t="shared" si="709"/>
        <v>0</v>
      </c>
      <c r="AH8600" s="580">
        <f t="shared" si="710"/>
        <v>0</v>
      </c>
    </row>
    <row r="8601" spans="28:34">
      <c r="AB8601" s="580">
        <f>HLOOKUP("*"&amp;'Output annual'!$AC$2&amp;'Output annual'!$AD$2&amp;"*Zone People Number Of Occupants [](Hourly)",'Eplus results'!$1:$1048576,ROW(),FALSE)</f>
        <v>0</v>
      </c>
      <c r="AC8601" s="580">
        <f>HLOOKUP("*"&amp;'Output annual'!$AC$2&amp;'Output annual'!$AD$2&amp;"*FangerPMV(Hourly)",'Eplus results'!$1:$1048576,ROW(),FALSE)</f>
        <v>0</v>
      </c>
      <c r="AD8601" s="580">
        <f t="shared" si="706"/>
        <v>5</v>
      </c>
      <c r="AE8601" s="580">
        <f t="shared" si="707"/>
        <v>2.5</v>
      </c>
      <c r="AF8601" s="580">
        <f t="shared" si="708"/>
        <v>2.5</v>
      </c>
      <c r="AG8601" s="580">
        <f t="shared" si="709"/>
        <v>0</v>
      </c>
      <c r="AH8601" s="580">
        <f t="shared" si="710"/>
        <v>0</v>
      </c>
    </row>
    <row r="8602" spans="28:34">
      <c r="AB8602" s="580">
        <f>HLOOKUP("*"&amp;'Output annual'!$AC$2&amp;'Output annual'!$AD$2&amp;"*Zone People Number Of Occupants [](Hourly)",'Eplus results'!$1:$1048576,ROW(),FALSE)</f>
        <v>0</v>
      </c>
      <c r="AC8602" s="580">
        <f>HLOOKUP("*"&amp;'Output annual'!$AC$2&amp;'Output annual'!$AD$2&amp;"*FangerPMV(Hourly)",'Eplus results'!$1:$1048576,ROW(),FALSE)</f>
        <v>0</v>
      </c>
      <c r="AD8602" s="580">
        <f t="shared" si="706"/>
        <v>5</v>
      </c>
      <c r="AE8602" s="580">
        <f t="shared" si="707"/>
        <v>2.5</v>
      </c>
      <c r="AF8602" s="580">
        <f t="shared" si="708"/>
        <v>2.5</v>
      </c>
      <c r="AG8602" s="580">
        <f t="shared" si="709"/>
        <v>0</v>
      </c>
      <c r="AH8602" s="580">
        <f t="shared" si="710"/>
        <v>0</v>
      </c>
    </row>
    <row r="8603" spans="28:34">
      <c r="AB8603" s="580">
        <f>HLOOKUP("*"&amp;'Output annual'!$AC$2&amp;'Output annual'!$AD$2&amp;"*Zone People Number Of Occupants [](Hourly)",'Eplus results'!$1:$1048576,ROW(),FALSE)</f>
        <v>0</v>
      </c>
      <c r="AC8603" s="580">
        <f>HLOOKUP("*"&amp;'Output annual'!$AC$2&amp;'Output annual'!$AD$2&amp;"*FangerPMV(Hourly)",'Eplus results'!$1:$1048576,ROW(),FALSE)</f>
        <v>0</v>
      </c>
      <c r="AD8603" s="580">
        <f t="shared" si="706"/>
        <v>5</v>
      </c>
      <c r="AE8603" s="580">
        <f t="shared" si="707"/>
        <v>2.5</v>
      </c>
      <c r="AF8603" s="580">
        <f t="shared" si="708"/>
        <v>2.5</v>
      </c>
      <c r="AG8603" s="580">
        <f t="shared" si="709"/>
        <v>0</v>
      </c>
      <c r="AH8603" s="580">
        <f t="shared" si="710"/>
        <v>0</v>
      </c>
    </row>
    <row r="8604" spans="28:34">
      <c r="AB8604" s="580">
        <f>HLOOKUP("*"&amp;'Output annual'!$AC$2&amp;'Output annual'!$AD$2&amp;"*Zone People Number Of Occupants [](Hourly)",'Eplus results'!$1:$1048576,ROW(),FALSE)</f>
        <v>0</v>
      </c>
      <c r="AC8604" s="580">
        <f>HLOOKUP("*"&amp;'Output annual'!$AC$2&amp;'Output annual'!$AD$2&amp;"*FangerPMV(Hourly)",'Eplus results'!$1:$1048576,ROW(),FALSE)</f>
        <v>0</v>
      </c>
      <c r="AD8604" s="580">
        <f t="shared" si="706"/>
        <v>5</v>
      </c>
      <c r="AE8604" s="580">
        <f t="shared" si="707"/>
        <v>2.5</v>
      </c>
      <c r="AF8604" s="580">
        <f t="shared" si="708"/>
        <v>2.5</v>
      </c>
      <c r="AG8604" s="580">
        <f t="shared" si="709"/>
        <v>0</v>
      </c>
      <c r="AH8604" s="580">
        <f t="shared" si="710"/>
        <v>0</v>
      </c>
    </row>
    <row r="8605" spans="28:34">
      <c r="AB8605" s="580">
        <f>HLOOKUP("*"&amp;'Output annual'!$AC$2&amp;'Output annual'!$AD$2&amp;"*Zone People Number Of Occupants [](Hourly)",'Eplus results'!$1:$1048576,ROW(),FALSE)</f>
        <v>0</v>
      </c>
      <c r="AC8605" s="580">
        <f>HLOOKUP("*"&amp;'Output annual'!$AC$2&amp;'Output annual'!$AD$2&amp;"*FangerPMV(Hourly)",'Eplus results'!$1:$1048576,ROW(),FALSE)</f>
        <v>0</v>
      </c>
      <c r="AD8605" s="580">
        <f t="shared" si="706"/>
        <v>5</v>
      </c>
      <c r="AE8605" s="580">
        <f t="shared" si="707"/>
        <v>2.5</v>
      </c>
      <c r="AF8605" s="580">
        <f t="shared" si="708"/>
        <v>2.5</v>
      </c>
      <c r="AG8605" s="580">
        <f t="shared" si="709"/>
        <v>0</v>
      </c>
      <c r="AH8605" s="580">
        <f t="shared" si="710"/>
        <v>0</v>
      </c>
    </row>
    <row r="8606" spans="28:34">
      <c r="AB8606" s="580">
        <f>HLOOKUP("*"&amp;'Output annual'!$AC$2&amp;'Output annual'!$AD$2&amp;"*Zone People Number Of Occupants [](Hourly)",'Eplus results'!$1:$1048576,ROW(),FALSE)</f>
        <v>0</v>
      </c>
      <c r="AC8606" s="580">
        <f>HLOOKUP("*"&amp;'Output annual'!$AC$2&amp;'Output annual'!$AD$2&amp;"*FangerPMV(Hourly)",'Eplus results'!$1:$1048576,ROW(),FALSE)</f>
        <v>0</v>
      </c>
      <c r="AD8606" s="580">
        <f t="shared" si="706"/>
        <v>5</v>
      </c>
      <c r="AE8606" s="580">
        <f t="shared" si="707"/>
        <v>2.5</v>
      </c>
      <c r="AF8606" s="580">
        <f t="shared" si="708"/>
        <v>2.5</v>
      </c>
      <c r="AG8606" s="580">
        <f t="shared" si="709"/>
        <v>0</v>
      </c>
      <c r="AH8606" s="580">
        <f t="shared" si="710"/>
        <v>0</v>
      </c>
    </row>
    <row r="8607" spans="28:34">
      <c r="AB8607" s="580">
        <f>HLOOKUP("*"&amp;'Output annual'!$AC$2&amp;'Output annual'!$AD$2&amp;"*Zone People Number Of Occupants [](Hourly)",'Eplus results'!$1:$1048576,ROW(),FALSE)</f>
        <v>0</v>
      </c>
      <c r="AC8607" s="580">
        <f>HLOOKUP("*"&amp;'Output annual'!$AC$2&amp;'Output annual'!$AD$2&amp;"*FangerPMV(Hourly)",'Eplus results'!$1:$1048576,ROW(),FALSE)</f>
        <v>0</v>
      </c>
      <c r="AD8607" s="580">
        <f t="shared" si="706"/>
        <v>5</v>
      </c>
      <c r="AE8607" s="580">
        <f t="shared" si="707"/>
        <v>2.5</v>
      </c>
      <c r="AF8607" s="580">
        <f t="shared" si="708"/>
        <v>2.5</v>
      </c>
      <c r="AG8607" s="580">
        <f t="shared" si="709"/>
        <v>0</v>
      </c>
      <c r="AH8607" s="580">
        <f t="shared" si="710"/>
        <v>0</v>
      </c>
    </row>
    <row r="8608" spans="28:34">
      <c r="AB8608" s="580">
        <f>HLOOKUP("*"&amp;'Output annual'!$AC$2&amp;'Output annual'!$AD$2&amp;"*Zone People Number Of Occupants [](Hourly)",'Eplus results'!$1:$1048576,ROW(),FALSE)</f>
        <v>0</v>
      </c>
      <c r="AC8608" s="580">
        <f>HLOOKUP("*"&amp;'Output annual'!$AC$2&amp;'Output annual'!$AD$2&amp;"*FangerPMV(Hourly)",'Eplus results'!$1:$1048576,ROW(),FALSE)</f>
        <v>0</v>
      </c>
      <c r="AD8608" s="580">
        <f t="shared" si="706"/>
        <v>5</v>
      </c>
      <c r="AE8608" s="580">
        <f t="shared" si="707"/>
        <v>2.5</v>
      </c>
      <c r="AF8608" s="580">
        <f t="shared" si="708"/>
        <v>2.5</v>
      </c>
      <c r="AG8608" s="580">
        <f t="shared" si="709"/>
        <v>0</v>
      </c>
      <c r="AH8608" s="580">
        <f t="shared" si="710"/>
        <v>0</v>
      </c>
    </row>
    <row r="8609" spans="28:34">
      <c r="AB8609" s="580">
        <f>HLOOKUP("*"&amp;'Output annual'!$AC$2&amp;'Output annual'!$AD$2&amp;"*Zone People Number Of Occupants [](Hourly)",'Eplus results'!$1:$1048576,ROW(),FALSE)</f>
        <v>0</v>
      </c>
      <c r="AC8609" s="580">
        <f>HLOOKUP("*"&amp;'Output annual'!$AC$2&amp;'Output annual'!$AD$2&amp;"*FangerPMV(Hourly)",'Eplus results'!$1:$1048576,ROW(),FALSE)</f>
        <v>0</v>
      </c>
      <c r="AD8609" s="580">
        <f t="shared" si="706"/>
        <v>5</v>
      </c>
      <c r="AE8609" s="580">
        <f t="shared" si="707"/>
        <v>2.5</v>
      </c>
      <c r="AF8609" s="580">
        <f t="shared" si="708"/>
        <v>2.5</v>
      </c>
      <c r="AG8609" s="580">
        <f t="shared" si="709"/>
        <v>0</v>
      </c>
      <c r="AH8609" s="580">
        <f t="shared" si="710"/>
        <v>0</v>
      </c>
    </row>
    <row r="8610" spans="28:34">
      <c r="AB8610" s="580">
        <f>HLOOKUP("*"&amp;'Output annual'!$AC$2&amp;'Output annual'!$AD$2&amp;"*Zone People Number Of Occupants [](Hourly)",'Eplus results'!$1:$1048576,ROW(),FALSE)</f>
        <v>0</v>
      </c>
      <c r="AC8610" s="580">
        <f>HLOOKUP("*"&amp;'Output annual'!$AC$2&amp;'Output annual'!$AD$2&amp;"*FangerPMV(Hourly)",'Eplus results'!$1:$1048576,ROW(),FALSE)</f>
        <v>0</v>
      </c>
      <c r="AD8610" s="580">
        <f t="shared" si="706"/>
        <v>5</v>
      </c>
      <c r="AE8610" s="580">
        <f t="shared" si="707"/>
        <v>2.5</v>
      </c>
      <c r="AF8610" s="580">
        <f t="shared" si="708"/>
        <v>2.5</v>
      </c>
      <c r="AG8610" s="580">
        <f t="shared" si="709"/>
        <v>0</v>
      </c>
      <c r="AH8610" s="580">
        <f t="shared" si="710"/>
        <v>0</v>
      </c>
    </row>
    <row r="8611" spans="28:34">
      <c r="AB8611" s="580">
        <f>HLOOKUP("*"&amp;'Output annual'!$AC$2&amp;'Output annual'!$AD$2&amp;"*Zone People Number Of Occupants [](Hourly)",'Eplus results'!$1:$1048576,ROW(),FALSE)</f>
        <v>0</v>
      </c>
      <c r="AC8611" s="580">
        <f>HLOOKUP("*"&amp;'Output annual'!$AC$2&amp;'Output annual'!$AD$2&amp;"*FangerPMV(Hourly)",'Eplus results'!$1:$1048576,ROW(),FALSE)</f>
        <v>0</v>
      </c>
      <c r="AD8611" s="580">
        <f t="shared" si="706"/>
        <v>5</v>
      </c>
      <c r="AE8611" s="580">
        <f t="shared" si="707"/>
        <v>2.5</v>
      </c>
      <c r="AF8611" s="580">
        <f t="shared" si="708"/>
        <v>2.5</v>
      </c>
      <c r="AG8611" s="580">
        <f t="shared" si="709"/>
        <v>0</v>
      </c>
      <c r="AH8611" s="580">
        <f t="shared" si="710"/>
        <v>0</v>
      </c>
    </row>
    <row r="8612" spans="28:34">
      <c r="AB8612" s="580">
        <f>HLOOKUP("*"&amp;'Output annual'!$AC$2&amp;'Output annual'!$AD$2&amp;"*Zone People Number Of Occupants [](Hourly)",'Eplus results'!$1:$1048576,ROW(),FALSE)</f>
        <v>0</v>
      </c>
      <c r="AC8612" s="580">
        <f>HLOOKUP("*"&amp;'Output annual'!$AC$2&amp;'Output annual'!$AD$2&amp;"*FangerPMV(Hourly)",'Eplus results'!$1:$1048576,ROW(),FALSE)</f>
        <v>0</v>
      </c>
      <c r="AD8612" s="580">
        <f t="shared" si="706"/>
        <v>5</v>
      </c>
      <c r="AE8612" s="580">
        <f t="shared" si="707"/>
        <v>2.5</v>
      </c>
      <c r="AF8612" s="580">
        <f t="shared" si="708"/>
        <v>2.5</v>
      </c>
      <c r="AG8612" s="580">
        <f t="shared" si="709"/>
        <v>0</v>
      </c>
      <c r="AH8612" s="580">
        <f t="shared" si="710"/>
        <v>0</v>
      </c>
    </row>
    <row r="8613" spans="28:34">
      <c r="AB8613" s="580">
        <f>HLOOKUP("*"&amp;'Output annual'!$AC$2&amp;'Output annual'!$AD$2&amp;"*Zone People Number Of Occupants [](Hourly)",'Eplus results'!$1:$1048576,ROW(),FALSE)</f>
        <v>0</v>
      </c>
      <c r="AC8613" s="580">
        <f>HLOOKUP("*"&amp;'Output annual'!$AC$2&amp;'Output annual'!$AD$2&amp;"*FangerPMV(Hourly)",'Eplus results'!$1:$1048576,ROW(),FALSE)</f>
        <v>0</v>
      </c>
      <c r="AD8613" s="580">
        <f t="shared" si="706"/>
        <v>5</v>
      </c>
      <c r="AE8613" s="580">
        <f t="shared" si="707"/>
        <v>2.5</v>
      </c>
      <c r="AF8613" s="580">
        <f t="shared" si="708"/>
        <v>2.5</v>
      </c>
      <c r="AG8613" s="580">
        <f t="shared" si="709"/>
        <v>0</v>
      </c>
      <c r="AH8613" s="580">
        <f t="shared" si="710"/>
        <v>0</v>
      </c>
    </row>
    <row r="8614" spans="28:34">
      <c r="AB8614" s="580">
        <f>HLOOKUP("*"&amp;'Output annual'!$AC$2&amp;'Output annual'!$AD$2&amp;"*Zone People Number Of Occupants [](Hourly)",'Eplus results'!$1:$1048576,ROW(),FALSE)</f>
        <v>0</v>
      </c>
      <c r="AC8614" s="580">
        <f>HLOOKUP("*"&amp;'Output annual'!$AC$2&amp;'Output annual'!$AD$2&amp;"*FangerPMV(Hourly)",'Eplus results'!$1:$1048576,ROW(),FALSE)</f>
        <v>0</v>
      </c>
      <c r="AD8614" s="580">
        <f t="shared" si="706"/>
        <v>5</v>
      </c>
      <c r="AE8614" s="580">
        <f t="shared" si="707"/>
        <v>2.5</v>
      </c>
      <c r="AF8614" s="580">
        <f t="shared" si="708"/>
        <v>2.5</v>
      </c>
      <c r="AG8614" s="580">
        <f t="shared" si="709"/>
        <v>0</v>
      </c>
      <c r="AH8614" s="580">
        <f t="shared" si="710"/>
        <v>0</v>
      </c>
    </row>
    <row r="8615" spans="28:34">
      <c r="AB8615" s="580">
        <f>HLOOKUP("*"&amp;'Output annual'!$AC$2&amp;'Output annual'!$AD$2&amp;"*Zone People Number Of Occupants [](Hourly)",'Eplus results'!$1:$1048576,ROW(),FALSE)</f>
        <v>0</v>
      </c>
      <c r="AC8615" s="580">
        <f>HLOOKUP("*"&amp;'Output annual'!$AC$2&amp;'Output annual'!$AD$2&amp;"*FangerPMV(Hourly)",'Eplus results'!$1:$1048576,ROW(),FALSE)</f>
        <v>0</v>
      </c>
      <c r="AD8615" s="580">
        <f t="shared" si="706"/>
        <v>5</v>
      </c>
      <c r="AE8615" s="580">
        <f t="shared" si="707"/>
        <v>2.5</v>
      </c>
      <c r="AF8615" s="580">
        <f t="shared" si="708"/>
        <v>2.5</v>
      </c>
      <c r="AG8615" s="580">
        <f t="shared" si="709"/>
        <v>0</v>
      </c>
      <c r="AH8615" s="580">
        <f t="shared" si="710"/>
        <v>0</v>
      </c>
    </row>
    <row r="8616" spans="28:34">
      <c r="AB8616" s="580">
        <f>HLOOKUP("*"&amp;'Output annual'!$AC$2&amp;'Output annual'!$AD$2&amp;"*Zone People Number Of Occupants [](Hourly)",'Eplus results'!$1:$1048576,ROW(),FALSE)</f>
        <v>0</v>
      </c>
      <c r="AC8616" s="580">
        <f>HLOOKUP("*"&amp;'Output annual'!$AC$2&amp;'Output annual'!$AD$2&amp;"*FangerPMV(Hourly)",'Eplus results'!$1:$1048576,ROW(),FALSE)</f>
        <v>0</v>
      </c>
      <c r="AD8616" s="580">
        <f t="shared" si="706"/>
        <v>5</v>
      </c>
      <c r="AE8616" s="580">
        <f t="shared" si="707"/>
        <v>2.5</v>
      </c>
      <c r="AF8616" s="580">
        <f t="shared" si="708"/>
        <v>2.5</v>
      </c>
      <c r="AG8616" s="580">
        <f t="shared" si="709"/>
        <v>0</v>
      </c>
      <c r="AH8616" s="580">
        <f t="shared" si="710"/>
        <v>0</v>
      </c>
    </row>
    <row r="8617" spans="28:34">
      <c r="AB8617" s="580">
        <f>HLOOKUP("*"&amp;'Output annual'!$AC$2&amp;'Output annual'!$AD$2&amp;"*Zone People Number Of Occupants [](Hourly)",'Eplus results'!$1:$1048576,ROW(),FALSE)</f>
        <v>0</v>
      </c>
      <c r="AC8617" s="580">
        <f>HLOOKUP("*"&amp;'Output annual'!$AC$2&amp;'Output annual'!$AD$2&amp;"*FangerPMV(Hourly)",'Eplus results'!$1:$1048576,ROW(),FALSE)</f>
        <v>0</v>
      </c>
      <c r="AD8617" s="580">
        <f t="shared" si="706"/>
        <v>5</v>
      </c>
      <c r="AE8617" s="580">
        <f t="shared" si="707"/>
        <v>2.5</v>
      </c>
      <c r="AF8617" s="580">
        <f t="shared" si="708"/>
        <v>2.5</v>
      </c>
      <c r="AG8617" s="580">
        <f t="shared" si="709"/>
        <v>0</v>
      </c>
      <c r="AH8617" s="580">
        <f t="shared" si="710"/>
        <v>0</v>
      </c>
    </row>
    <row r="8618" spans="28:34">
      <c r="AB8618" s="580">
        <f>HLOOKUP("*"&amp;'Output annual'!$AC$2&amp;'Output annual'!$AD$2&amp;"*Zone People Number Of Occupants [](Hourly)",'Eplus results'!$1:$1048576,ROW(),FALSE)</f>
        <v>0</v>
      </c>
      <c r="AC8618" s="580">
        <f>HLOOKUP("*"&amp;'Output annual'!$AC$2&amp;'Output annual'!$AD$2&amp;"*FangerPMV(Hourly)",'Eplus results'!$1:$1048576,ROW(),FALSE)</f>
        <v>0</v>
      </c>
      <c r="AD8618" s="580">
        <f t="shared" si="706"/>
        <v>5</v>
      </c>
      <c r="AE8618" s="580">
        <f t="shared" si="707"/>
        <v>2.5</v>
      </c>
      <c r="AF8618" s="580">
        <f t="shared" si="708"/>
        <v>2.5</v>
      </c>
      <c r="AG8618" s="580">
        <f t="shared" si="709"/>
        <v>0</v>
      </c>
      <c r="AH8618" s="580">
        <f t="shared" si="710"/>
        <v>0</v>
      </c>
    </row>
    <row r="8619" spans="28:34">
      <c r="AB8619" s="580">
        <f>HLOOKUP("*"&amp;'Output annual'!$AC$2&amp;'Output annual'!$AD$2&amp;"*Zone People Number Of Occupants [](Hourly)",'Eplus results'!$1:$1048576,ROW(),FALSE)</f>
        <v>0</v>
      </c>
      <c r="AC8619" s="580">
        <f>HLOOKUP("*"&amp;'Output annual'!$AC$2&amp;'Output annual'!$AD$2&amp;"*FangerPMV(Hourly)",'Eplus results'!$1:$1048576,ROW(),FALSE)</f>
        <v>0</v>
      </c>
      <c r="AD8619" s="580">
        <f t="shared" si="706"/>
        <v>5</v>
      </c>
      <c r="AE8619" s="580">
        <f t="shared" si="707"/>
        <v>2.5</v>
      </c>
      <c r="AF8619" s="580">
        <f t="shared" si="708"/>
        <v>2.5</v>
      </c>
      <c r="AG8619" s="580">
        <f t="shared" si="709"/>
        <v>0</v>
      </c>
      <c r="AH8619" s="580">
        <f t="shared" si="710"/>
        <v>0</v>
      </c>
    </row>
    <row r="8620" spans="28:34">
      <c r="AB8620" s="580">
        <f>HLOOKUP("*"&amp;'Output annual'!$AC$2&amp;'Output annual'!$AD$2&amp;"*Zone People Number Of Occupants [](Hourly)",'Eplus results'!$1:$1048576,ROW(),FALSE)</f>
        <v>0</v>
      </c>
      <c r="AC8620" s="580">
        <f>HLOOKUP("*"&amp;'Output annual'!$AC$2&amp;'Output annual'!$AD$2&amp;"*FangerPMV(Hourly)",'Eplus results'!$1:$1048576,ROW(),FALSE)</f>
        <v>0</v>
      </c>
      <c r="AD8620" s="580">
        <f t="shared" si="706"/>
        <v>5</v>
      </c>
      <c r="AE8620" s="580">
        <f t="shared" si="707"/>
        <v>2.5</v>
      </c>
      <c r="AF8620" s="580">
        <f t="shared" si="708"/>
        <v>2.5</v>
      </c>
      <c r="AG8620" s="580">
        <f t="shared" si="709"/>
        <v>0</v>
      </c>
      <c r="AH8620" s="580">
        <f t="shared" si="710"/>
        <v>0</v>
      </c>
    </row>
    <row r="8621" spans="28:34">
      <c r="AB8621" s="580">
        <f>HLOOKUP("*"&amp;'Output annual'!$AC$2&amp;'Output annual'!$AD$2&amp;"*Zone People Number Of Occupants [](Hourly)",'Eplus results'!$1:$1048576,ROW(),FALSE)</f>
        <v>0</v>
      </c>
      <c r="AC8621" s="580">
        <f>HLOOKUP("*"&amp;'Output annual'!$AC$2&amp;'Output annual'!$AD$2&amp;"*FangerPMV(Hourly)",'Eplus results'!$1:$1048576,ROW(),FALSE)</f>
        <v>0</v>
      </c>
      <c r="AD8621" s="580">
        <f t="shared" si="706"/>
        <v>5</v>
      </c>
      <c r="AE8621" s="580">
        <f t="shared" si="707"/>
        <v>2.5</v>
      </c>
      <c r="AF8621" s="580">
        <f t="shared" si="708"/>
        <v>2.5</v>
      </c>
      <c r="AG8621" s="580">
        <f t="shared" si="709"/>
        <v>0</v>
      </c>
      <c r="AH8621" s="580">
        <f t="shared" si="710"/>
        <v>0</v>
      </c>
    </row>
    <row r="8622" spans="28:34">
      <c r="AB8622" s="580">
        <f>HLOOKUP("*"&amp;'Output annual'!$AC$2&amp;'Output annual'!$AD$2&amp;"*Zone People Number Of Occupants [](Hourly)",'Eplus results'!$1:$1048576,ROW(),FALSE)</f>
        <v>0</v>
      </c>
      <c r="AC8622" s="580">
        <f>HLOOKUP("*"&amp;'Output annual'!$AC$2&amp;'Output annual'!$AD$2&amp;"*FangerPMV(Hourly)",'Eplus results'!$1:$1048576,ROW(),FALSE)</f>
        <v>0</v>
      </c>
      <c r="AD8622" s="580">
        <f t="shared" si="706"/>
        <v>5</v>
      </c>
      <c r="AE8622" s="580">
        <f t="shared" si="707"/>
        <v>2.5</v>
      </c>
      <c r="AF8622" s="580">
        <f t="shared" si="708"/>
        <v>2.5</v>
      </c>
      <c r="AG8622" s="580">
        <f t="shared" si="709"/>
        <v>0</v>
      </c>
      <c r="AH8622" s="580">
        <f t="shared" si="710"/>
        <v>0</v>
      </c>
    </row>
    <row r="8623" spans="28:34">
      <c r="AB8623" s="580">
        <f>HLOOKUP("*"&amp;'Output annual'!$AC$2&amp;'Output annual'!$AD$2&amp;"*Zone People Number Of Occupants [](Hourly)",'Eplus results'!$1:$1048576,ROW(),FALSE)</f>
        <v>0</v>
      </c>
      <c r="AC8623" s="580">
        <f>HLOOKUP("*"&amp;'Output annual'!$AC$2&amp;'Output annual'!$AD$2&amp;"*FangerPMV(Hourly)",'Eplus results'!$1:$1048576,ROW(),FALSE)</f>
        <v>0</v>
      </c>
      <c r="AD8623" s="580">
        <f t="shared" si="706"/>
        <v>5</v>
      </c>
      <c r="AE8623" s="580">
        <f t="shared" si="707"/>
        <v>2.5</v>
      </c>
      <c r="AF8623" s="580">
        <f t="shared" si="708"/>
        <v>2.5</v>
      </c>
      <c r="AG8623" s="580">
        <f t="shared" si="709"/>
        <v>0</v>
      </c>
      <c r="AH8623" s="580">
        <f t="shared" si="710"/>
        <v>0</v>
      </c>
    </row>
    <row r="8624" spans="28:34">
      <c r="AB8624" s="580">
        <f>HLOOKUP("*"&amp;'Output annual'!$AC$2&amp;'Output annual'!$AD$2&amp;"*Zone People Number Of Occupants [](Hourly)",'Eplus results'!$1:$1048576,ROW(),FALSE)</f>
        <v>0</v>
      </c>
      <c r="AC8624" s="580">
        <f>HLOOKUP("*"&amp;'Output annual'!$AC$2&amp;'Output annual'!$AD$2&amp;"*FangerPMV(Hourly)",'Eplus results'!$1:$1048576,ROW(),FALSE)</f>
        <v>0</v>
      </c>
      <c r="AD8624" s="580">
        <f t="shared" si="706"/>
        <v>5</v>
      </c>
      <c r="AE8624" s="580">
        <f t="shared" si="707"/>
        <v>2.5</v>
      </c>
      <c r="AF8624" s="580">
        <f t="shared" si="708"/>
        <v>2.5</v>
      </c>
      <c r="AG8624" s="580">
        <f t="shared" si="709"/>
        <v>0</v>
      </c>
      <c r="AH8624" s="580">
        <f t="shared" si="710"/>
        <v>0</v>
      </c>
    </row>
    <row r="8625" spans="28:34">
      <c r="AB8625" s="580">
        <f>HLOOKUP("*"&amp;'Output annual'!$AC$2&amp;'Output annual'!$AD$2&amp;"*Zone People Number Of Occupants [](Hourly)",'Eplus results'!$1:$1048576,ROW(),FALSE)</f>
        <v>0</v>
      </c>
      <c r="AC8625" s="580">
        <f>HLOOKUP("*"&amp;'Output annual'!$AC$2&amp;'Output annual'!$AD$2&amp;"*FangerPMV(Hourly)",'Eplus results'!$1:$1048576,ROW(),FALSE)</f>
        <v>0</v>
      </c>
      <c r="AD8625" s="580">
        <f t="shared" si="706"/>
        <v>5</v>
      </c>
      <c r="AE8625" s="580">
        <f t="shared" si="707"/>
        <v>2.5</v>
      </c>
      <c r="AF8625" s="580">
        <f t="shared" si="708"/>
        <v>2.5</v>
      </c>
      <c r="AG8625" s="580">
        <f t="shared" si="709"/>
        <v>0</v>
      </c>
      <c r="AH8625" s="580">
        <f t="shared" si="710"/>
        <v>0</v>
      </c>
    </row>
    <row r="8626" spans="28:34">
      <c r="AB8626" s="580">
        <f>HLOOKUP("*"&amp;'Output annual'!$AC$2&amp;'Output annual'!$AD$2&amp;"*Zone People Number Of Occupants [](Hourly)",'Eplus results'!$1:$1048576,ROW(),FALSE)</f>
        <v>0</v>
      </c>
      <c r="AC8626" s="580">
        <f>HLOOKUP("*"&amp;'Output annual'!$AC$2&amp;'Output annual'!$AD$2&amp;"*FangerPMV(Hourly)",'Eplus results'!$1:$1048576,ROW(),FALSE)</f>
        <v>0</v>
      </c>
      <c r="AD8626" s="580">
        <f t="shared" si="706"/>
        <v>5</v>
      </c>
      <c r="AE8626" s="580">
        <f t="shared" si="707"/>
        <v>2.5</v>
      </c>
      <c r="AF8626" s="580">
        <f t="shared" si="708"/>
        <v>2.5</v>
      </c>
      <c r="AG8626" s="580">
        <f t="shared" si="709"/>
        <v>0</v>
      </c>
      <c r="AH8626" s="580">
        <f t="shared" si="710"/>
        <v>0</v>
      </c>
    </row>
    <row r="8627" spans="28:34">
      <c r="AB8627" s="580">
        <f>HLOOKUP("*"&amp;'Output annual'!$AC$2&amp;'Output annual'!$AD$2&amp;"*Zone People Number Of Occupants [](Hourly)",'Eplus results'!$1:$1048576,ROW(),FALSE)</f>
        <v>0</v>
      </c>
      <c r="AC8627" s="580">
        <f>HLOOKUP("*"&amp;'Output annual'!$AC$2&amp;'Output annual'!$AD$2&amp;"*FangerPMV(Hourly)",'Eplus results'!$1:$1048576,ROW(),FALSE)</f>
        <v>0</v>
      </c>
      <c r="AD8627" s="580">
        <f t="shared" si="706"/>
        <v>5</v>
      </c>
      <c r="AE8627" s="580">
        <f t="shared" si="707"/>
        <v>2.5</v>
      </c>
      <c r="AF8627" s="580">
        <f t="shared" si="708"/>
        <v>2.5</v>
      </c>
      <c r="AG8627" s="580">
        <f t="shared" si="709"/>
        <v>0</v>
      </c>
      <c r="AH8627" s="580">
        <f t="shared" si="710"/>
        <v>0</v>
      </c>
    </row>
    <row r="8628" spans="28:34">
      <c r="AB8628" s="580">
        <f>HLOOKUP("*"&amp;'Output annual'!$AC$2&amp;'Output annual'!$AD$2&amp;"*Zone People Number Of Occupants [](Hourly)",'Eplus results'!$1:$1048576,ROW(),FALSE)</f>
        <v>0</v>
      </c>
      <c r="AC8628" s="580">
        <f>HLOOKUP("*"&amp;'Output annual'!$AC$2&amp;'Output annual'!$AD$2&amp;"*FangerPMV(Hourly)",'Eplus results'!$1:$1048576,ROW(),FALSE)</f>
        <v>0</v>
      </c>
      <c r="AD8628" s="580">
        <f t="shared" si="706"/>
        <v>5</v>
      </c>
      <c r="AE8628" s="580">
        <f t="shared" si="707"/>
        <v>2.5</v>
      </c>
      <c r="AF8628" s="580">
        <f t="shared" si="708"/>
        <v>2.5</v>
      </c>
      <c r="AG8628" s="580">
        <f t="shared" si="709"/>
        <v>0</v>
      </c>
      <c r="AH8628" s="580">
        <f t="shared" si="710"/>
        <v>0</v>
      </c>
    </row>
    <row r="8629" spans="28:34">
      <c r="AB8629" s="580">
        <f>HLOOKUP("*"&amp;'Output annual'!$AC$2&amp;'Output annual'!$AD$2&amp;"*Zone People Number Of Occupants [](Hourly)",'Eplus results'!$1:$1048576,ROW(),FALSE)</f>
        <v>0</v>
      </c>
      <c r="AC8629" s="580">
        <f>HLOOKUP("*"&amp;'Output annual'!$AC$2&amp;'Output annual'!$AD$2&amp;"*FangerPMV(Hourly)",'Eplus results'!$1:$1048576,ROW(),FALSE)</f>
        <v>0</v>
      </c>
      <c r="AD8629" s="580">
        <f t="shared" si="706"/>
        <v>5</v>
      </c>
      <c r="AE8629" s="580">
        <f t="shared" si="707"/>
        <v>2.5</v>
      </c>
      <c r="AF8629" s="580">
        <f t="shared" si="708"/>
        <v>2.5</v>
      </c>
      <c r="AG8629" s="580">
        <f t="shared" si="709"/>
        <v>0</v>
      </c>
      <c r="AH8629" s="580">
        <f t="shared" si="710"/>
        <v>0</v>
      </c>
    </row>
    <row r="8630" spans="28:34">
      <c r="AB8630" s="580">
        <f>HLOOKUP("*"&amp;'Output annual'!$AC$2&amp;'Output annual'!$AD$2&amp;"*Zone People Number Of Occupants [](Hourly)",'Eplus results'!$1:$1048576,ROW(),FALSE)</f>
        <v>0</v>
      </c>
      <c r="AC8630" s="580">
        <f>HLOOKUP("*"&amp;'Output annual'!$AC$2&amp;'Output annual'!$AD$2&amp;"*FangerPMV(Hourly)",'Eplus results'!$1:$1048576,ROW(),FALSE)</f>
        <v>0</v>
      </c>
      <c r="AD8630" s="580">
        <f t="shared" si="706"/>
        <v>5</v>
      </c>
      <c r="AE8630" s="580">
        <f t="shared" si="707"/>
        <v>2.5</v>
      </c>
      <c r="AF8630" s="580">
        <f t="shared" si="708"/>
        <v>2.5</v>
      </c>
      <c r="AG8630" s="580">
        <f t="shared" si="709"/>
        <v>0</v>
      </c>
      <c r="AH8630" s="580">
        <f t="shared" si="710"/>
        <v>0</v>
      </c>
    </row>
    <row r="8631" spans="28:34">
      <c r="AB8631" s="580">
        <f>HLOOKUP("*"&amp;'Output annual'!$AC$2&amp;'Output annual'!$AD$2&amp;"*Zone People Number Of Occupants [](Hourly)",'Eplus results'!$1:$1048576,ROW(),FALSE)</f>
        <v>0</v>
      </c>
      <c r="AC8631" s="580">
        <f>HLOOKUP("*"&amp;'Output annual'!$AC$2&amp;'Output annual'!$AD$2&amp;"*FangerPMV(Hourly)",'Eplus results'!$1:$1048576,ROW(),FALSE)</f>
        <v>0</v>
      </c>
      <c r="AD8631" s="580">
        <f t="shared" si="706"/>
        <v>5</v>
      </c>
      <c r="AE8631" s="580">
        <f t="shared" si="707"/>
        <v>2.5</v>
      </c>
      <c r="AF8631" s="580">
        <f t="shared" si="708"/>
        <v>2.5</v>
      </c>
      <c r="AG8631" s="580">
        <f t="shared" si="709"/>
        <v>0</v>
      </c>
      <c r="AH8631" s="580">
        <f t="shared" si="710"/>
        <v>0</v>
      </c>
    </row>
    <row r="8632" spans="28:34">
      <c r="AB8632" s="580">
        <f>HLOOKUP("*"&amp;'Output annual'!$AC$2&amp;'Output annual'!$AD$2&amp;"*Zone People Number Of Occupants [](Hourly)",'Eplus results'!$1:$1048576,ROW(),FALSE)</f>
        <v>0</v>
      </c>
      <c r="AC8632" s="580">
        <f>HLOOKUP("*"&amp;'Output annual'!$AC$2&amp;'Output annual'!$AD$2&amp;"*FangerPMV(Hourly)",'Eplus results'!$1:$1048576,ROW(),FALSE)</f>
        <v>0</v>
      </c>
      <c r="AD8632" s="580">
        <f t="shared" si="706"/>
        <v>5</v>
      </c>
      <c r="AE8632" s="580">
        <f t="shared" si="707"/>
        <v>2.5</v>
      </c>
      <c r="AF8632" s="580">
        <f t="shared" si="708"/>
        <v>2.5</v>
      </c>
      <c r="AG8632" s="580">
        <f t="shared" si="709"/>
        <v>0</v>
      </c>
      <c r="AH8632" s="580">
        <f t="shared" si="710"/>
        <v>0</v>
      </c>
    </row>
    <row r="8633" spans="28:34">
      <c r="AB8633" s="580">
        <f>HLOOKUP("*"&amp;'Output annual'!$AC$2&amp;'Output annual'!$AD$2&amp;"*Zone People Number Of Occupants [](Hourly)",'Eplus results'!$1:$1048576,ROW(),FALSE)</f>
        <v>0</v>
      </c>
      <c r="AC8633" s="580">
        <f>HLOOKUP("*"&amp;'Output annual'!$AC$2&amp;'Output annual'!$AD$2&amp;"*FangerPMV(Hourly)",'Eplus results'!$1:$1048576,ROW(),FALSE)</f>
        <v>0</v>
      </c>
      <c r="AD8633" s="580">
        <f t="shared" si="706"/>
        <v>5</v>
      </c>
      <c r="AE8633" s="580">
        <f t="shared" si="707"/>
        <v>2.5</v>
      </c>
      <c r="AF8633" s="580">
        <f t="shared" si="708"/>
        <v>2.5</v>
      </c>
      <c r="AG8633" s="580">
        <f t="shared" si="709"/>
        <v>0</v>
      </c>
      <c r="AH8633" s="580">
        <f t="shared" si="710"/>
        <v>0</v>
      </c>
    </row>
    <row r="8634" spans="28:34">
      <c r="AB8634" s="580">
        <f>HLOOKUP("*"&amp;'Output annual'!$AC$2&amp;'Output annual'!$AD$2&amp;"*Zone People Number Of Occupants [](Hourly)",'Eplus results'!$1:$1048576,ROW(),FALSE)</f>
        <v>0</v>
      </c>
      <c r="AC8634" s="580">
        <f>HLOOKUP("*"&amp;'Output annual'!$AC$2&amp;'Output annual'!$AD$2&amp;"*FangerPMV(Hourly)",'Eplus results'!$1:$1048576,ROW(),FALSE)</f>
        <v>0</v>
      </c>
      <c r="AD8634" s="580">
        <f t="shared" si="706"/>
        <v>5</v>
      </c>
      <c r="AE8634" s="580">
        <f t="shared" si="707"/>
        <v>2.5</v>
      </c>
      <c r="AF8634" s="580">
        <f t="shared" si="708"/>
        <v>2.5</v>
      </c>
      <c r="AG8634" s="580">
        <f t="shared" si="709"/>
        <v>0</v>
      </c>
      <c r="AH8634" s="580">
        <f t="shared" si="710"/>
        <v>0</v>
      </c>
    </row>
    <row r="8635" spans="28:34">
      <c r="AB8635" s="580">
        <f>HLOOKUP("*"&amp;'Output annual'!$AC$2&amp;'Output annual'!$AD$2&amp;"*Zone People Number Of Occupants [](Hourly)",'Eplus results'!$1:$1048576,ROW(),FALSE)</f>
        <v>0</v>
      </c>
      <c r="AC8635" s="580">
        <f>HLOOKUP("*"&amp;'Output annual'!$AC$2&amp;'Output annual'!$AD$2&amp;"*FangerPMV(Hourly)",'Eplus results'!$1:$1048576,ROW(),FALSE)</f>
        <v>0</v>
      </c>
      <c r="AD8635" s="580">
        <f t="shared" si="706"/>
        <v>5</v>
      </c>
      <c r="AE8635" s="580">
        <f t="shared" si="707"/>
        <v>2.5</v>
      </c>
      <c r="AF8635" s="580">
        <f t="shared" si="708"/>
        <v>2.5</v>
      </c>
      <c r="AG8635" s="580">
        <f t="shared" si="709"/>
        <v>0</v>
      </c>
      <c r="AH8635" s="580">
        <f t="shared" si="710"/>
        <v>0</v>
      </c>
    </row>
    <row r="8636" spans="28:34">
      <c r="AB8636" s="580">
        <f>HLOOKUP("*"&amp;'Output annual'!$AC$2&amp;'Output annual'!$AD$2&amp;"*Zone People Number Of Occupants [](Hourly)",'Eplus results'!$1:$1048576,ROW(),FALSE)</f>
        <v>0</v>
      </c>
      <c r="AC8636" s="580">
        <f>HLOOKUP("*"&amp;'Output annual'!$AC$2&amp;'Output annual'!$AD$2&amp;"*FangerPMV(Hourly)",'Eplus results'!$1:$1048576,ROW(),FALSE)</f>
        <v>0</v>
      </c>
      <c r="AD8636" s="580">
        <f t="shared" si="706"/>
        <v>5</v>
      </c>
      <c r="AE8636" s="580">
        <f t="shared" si="707"/>
        <v>2.5</v>
      </c>
      <c r="AF8636" s="580">
        <f t="shared" si="708"/>
        <v>2.5</v>
      </c>
      <c r="AG8636" s="580">
        <f t="shared" si="709"/>
        <v>0</v>
      </c>
      <c r="AH8636" s="580">
        <f t="shared" si="710"/>
        <v>0</v>
      </c>
    </row>
    <row r="8637" spans="28:34">
      <c r="AB8637" s="580">
        <f>HLOOKUP("*"&amp;'Output annual'!$AC$2&amp;'Output annual'!$AD$2&amp;"*Zone People Number Of Occupants [](Hourly)",'Eplus results'!$1:$1048576,ROW(),FALSE)</f>
        <v>0</v>
      </c>
      <c r="AC8637" s="580">
        <f>HLOOKUP("*"&amp;'Output annual'!$AC$2&amp;'Output annual'!$AD$2&amp;"*FangerPMV(Hourly)",'Eplus results'!$1:$1048576,ROW(),FALSE)</f>
        <v>0</v>
      </c>
      <c r="AD8637" s="580">
        <f t="shared" si="706"/>
        <v>5</v>
      </c>
      <c r="AE8637" s="580">
        <f t="shared" si="707"/>
        <v>2.5</v>
      </c>
      <c r="AF8637" s="580">
        <f t="shared" si="708"/>
        <v>2.5</v>
      </c>
      <c r="AG8637" s="580">
        <f t="shared" si="709"/>
        <v>0</v>
      </c>
      <c r="AH8637" s="580">
        <f t="shared" si="710"/>
        <v>0</v>
      </c>
    </row>
    <row r="8638" spans="28:34">
      <c r="AB8638" s="580">
        <f>HLOOKUP("*"&amp;'Output annual'!$AC$2&amp;'Output annual'!$AD$2&amp;"*Zone People Number Of Occupants [](Hourly)",'Eplus results'!$1:$1048576,ROW(),FALSE)</f>
        <v>0</v>
      </c>
      <c r="AC8638" s="580">
        <f>HLOOKUP("*"&amp;'Output annual'!$AC$2&amp;'Output annual'!$AD$2&amp;"*FangerPMV(Hourly)",'Eplus results'!$1:$1048576,ROW(),FALSE)</f>
        <v>0</v>
      </c>
      <c r="AD8638" s="580">
        <f t="shared" si="706"/>
        <v>5</v>
      </c>
      <c r="AE8638" s="580">
        <f t="shared" si="707"/>
        <v>2.5</v>
      </c>
      <c r="AF8638" s="580">
        <f t="shared" si="708"/>
        <v>2.5</v>
      </c>
      <c r="AG8638" s="580">
        <f t="shared" si="709"/>
        <v>0</v>
      </c>
      <c r="AH8638" s="580">
        <f t="shared" si="710"/>
        <v>0</v>
      </c>
    </row>
    <row r="8639" spans="28:34">
      <c r="AB8639" s="580">
        <f>HLOOKUP("*"&amp;'Output annual'!$AC$2&amp;'Output annual'!$AD$2&amp;"*Zone People Number Of Occupants [](Hourly)",'Eplus results'!$1:$1048576,ROW(),FALSE)</f>
        <v>0</v>
      </c>
      <c r="AC8639" s="580">
        <f>HLOOKUP("*"&amp;'Output annual'!$AC$2&amp;'Output annual'!$AD$2&amp;"*FangerPMV(Hourly)",'Eplus results'!$1:$1048576,ROW(),FALSE)</f>
        <v>0</v>
      </c>
      <c r="AD8639" s="580">
        <f t="shared" si="706"/>
        <v>5</v>
      </c>
      <c r="AE8639" s="580">
        <f t="shared" si="707"/>
        <v>2.5</v>
      </c>
      <c r="AF8639" s="580">
        <f t="shared" si="708"/>
        <v>2.5</v>
      </c>
      <c r="AG8639" s="580">
        <f t="shared" si="709"/>
        <v>0</v>
      </c>
      <c r="AH8639" s="580">
        <f t="shared" si="710"/>
        <v>0</v>
      </c>
    </row>
    <row r="8640" spans="28:34">
      <c r="AB8640" s="580">
        <f>HLOOKUP("*"&amp;'Output annual'!$AC$2&amp;'Output annual'!$AD$2&amp;"*Zone People Number Of Occupants [](Hourly)",'Eplus results'!$1:$1048576,ROW(),FALSE)</f>
        <v>0</v>
      </c>
      <c r="AC8640" s="580">
        <f>HLOOKUP("*"&amp;'Output annual'!$AC$2&amp;'Output annual'!$AD$2&amp;"*FangerPMV(Hourly)",'Eplus results'!$1:$1048576,ROW(),FALSE)</f>
        <v>0</v>
      </c>
      <c r="AD8640" s="580">
        <f t="shared" si="706"/>
        <v>5</v>
      </c>
      <c r="AE8640" s="580">
        <f t="shared" si="707"/>
        <v>2.5</v>
      </c>
      <c r="AF8640" s="580">
        <f t="shared" si="708"/>
        <v>2.5</v>
      </c>
      <c r="AG8640" s="580">
        <f t="shared" si="709"/>
        <v>0</v>
      </c>
      <c r="AH8640" s="580">
        <f t="shared" si="710"/>
        <v>0</v>
      </c>
    </row>
    <row r="8641" spans="28:34">
      <c r="AB8641" s="580">
        <f>HLOOKUP("*"&amp;'Output annual'!$AC$2&amp;'Output annual'!$AD$2&amp;"*Zone People Number Of Occupants [](Hourly)",'Eplus results'!$1:$1048576,ROW(),FALSE)</f>
        <v>0</v>
      </c>
      <c r="AC8641" s="580">
        <f>HLOOKUP("*"&amp;'Output annual'!$AC$2&amp;'Output annual'!$AD$2&amp;"*FangerPMV(Hourly)",'Eplus results'!$1:$1048576,ROW(),FALSE)</f>
        <v>0</v>
      </c>
      <c r="AD8641" s="580">
        <f t="shared" si="706"/>
        <v>5</v>
      </c>
      <c r="AE8641" s="580">
        <f t="shared" si="707"/>
        <v>2.5</v>
      </c>
      <c r="AF8641" s="580">
        <f t="shared" si="708"/>
        <v>2.5</v>
      </c>
      <c r="AG8641" s="580">
        <f t="shared" si="709"/>
        <v>0</v>
      </c>
      <c r="AH8641" s="580">
        <f t="shared" si="710"/>
        <v>0</v>
      </c>
    </row>
    <row r="8642" spans="28:34">
      <c r="AB8642" s="580">
        <f>HLOOKUP("*"&amp;'Output annual'!$AC$2&amp;'Output annual'!$AD$2&amp;"*Zone People Number Of Occupants [](Hourly)",'Eplus results'!$1:$1048576,ROW(),FALSE)</f>
        <v>0</v>
      </c>
      <c r="AC8642" s="580">
        <f>HLOOKUP("*"&amp;'Output annual'!$AC$2&amp;'Output annual'!$AD$2&amp;"*FangerPMV(Hourly)",'Eplus results'!$1:$1048576,ROW(),FALSE)</f>
        <v>0</v>
      </c>
      <c r="AD8642" s="580">
        <f t="shared" si="706"/>
        <v>5</v>
      </c>
      <c r="AE8642" s="580">
        <f t="shared" si="707"/>
        <v>2.5</v>
      </c>
      <c r="AF8642" s="580">
        <f t="shared" si="708"/>
        <v>2.5</v>
      </c>
      <c r="AG8642" s="580">
        <f t="shared" si="709"/>
        <v>0</v>
      </c>
      <c r="AH8642" s="580">
        <f t="shared" si="710"/>
        <v>0</v>
      </c>
    </row>
    <row r="8643" spans="28:34">
      <c r="AB8643" s="580">
        <f>HLOOKUP("*"&amp;'Output annual'!$AC$2&amp;'Output annual'!$AD$2&amp;"*Zone People Number Of Occupants [](Hourly)",'Eplus results'!$1:$1048576,ROW(),FALSE)</f>
        <v>0</v>
      </c>
      <c r="AC8643" s="580">
        <f>HLOOKUP("*"&amp;'Output annual'!$AC$2&amp;'Output annual'!$AD$2&amp;"*FangerPMV(Hourly)",'Eplus results'!$1:$1048576,ROW(),FALSE)</f>
        <v>0</v>
      </c>
      <c r="AD8643" s="580">
        <f t="shared" ref="AD8643:AD8706" si="711">100-95*EXP(-0.03353*AC8643^4-0.2179*AC8643^2)</f>
        <v>5</v>
      </c>
      <c r="AE8643" s="580">
        <f t="shared" ref="AE8643:AE8706" si="712">AD8643*(1/(1+EXP(-6.3*$AC8643)))</f>
        <v>2.5</v>
      </c>
      <c r="AF8643" s="580">
        <f t="shared" ref="AF8643:AF8706" si="713">(AD8643-AE8643)</f>
        <v>2.5</v>
      </c>
      <c r="AG8643" s="580">
        <f t="shared" ref="AG8643:AG8706" si="714">AE8643*AB8643</f>
        <v>0</v>
      </c>
      <c r="AH8643" s="580">
        <f t="shared" ref="AH8643:AH8706" si="715">AF8643*AB8643</f>
        <v>0</v>
      </c>
    </row>
    <row r="8644" spans="28:34">
      <c r="AB8644" s="580">
        <f>HLOOKUP("*"&amp;'Output annual'!$AC$2&amp;'Output annual'!$AD$2&amp;"*Zone People Number Of Occupants [](Hourly)",'Eplus results'!$1:$1048576,ROW(),FALSE)</f>
        <v>0</v>
      </c>
      <c r="AC8644" s="580">
        <f>HLOOKUP("*"&amp;'Output annual'!$AC$2&amp;'Output annual'!$AD$2&amp;"*FangerPMV(Hourly)",'Eplus results'!$1:$1048576,ROW(),FALSE)</f>
        <v>0</v>
      </c>
      <c r="AD8644" s="580">
        <f t="shared" si="711"/>
        <v>5</v>
      </c>
      <c r="AE8644" s="580">
        <f t="shared" si="712"/>
        <v>2.5</v>
      </c>
      <c r="AF8644" s="580">
        <f t="shared" si="713"/>
        <v>2.5</v>
      </c>
      <c r="AG8644" s="580">
        <f t="shared" si="714"/>
        <v>0</v>
      </c>
      <c r="AH8644" s="580">
        <f t="shared" si="715"/>
        <v>0</v>
      </c>
    </row>
    <row r="8645" spans="28:34">
      <c r="AB8645" s="580">
        <f>HLOOKUP("*"&amp;'Output annual'!$AC$2&amp;'Output annual'!$AD$2&amp;"*Zone People Number Of Occupants [](Hourly)",'Eplus results'!$1:$1048576,ROW(),FALSE)</f>
        <v>0</v>
      </c>
      <c r="AC8645" s="580">
        <f>HLOOKUP("*"&amp;'Output annual'!$AC$2&amp;'Output annual'!$AD$2&amp;"*FangerPMV(Hourly)",'Eplus results'!$1:$1048576,ROW(),FALSE)</f>
        <v>0</v>
      </c>
      <c r="AD8645" s="580">
        <f t="shared" si="711"/>
        <v>5</v>
      </c>
      <c r="AE8645" s="580">
        <f t="shared" si="712"/>
        <v>2.5</v>
      </c>
      <c r="AF8645" s="580">
        <f t="shared" si="713"/>
        <v>2.5</v>
      </c>
      <c r="AG8645" s="580">
        <f t="shared" si="714"/>
        <v>0</v>
      </c>
      <c r="AH8645" s="580">
        <f t="shared" si="715"/>
        <v>0</v>
      </c>
    </row>
    <row r="8646" spans="28:34">
      <c r="AB8646" s="580">
        <f>HLOOKUP("*"&amp;'Output annual'!$AC$2&amp;'Output annual'!$AD$2&amp;"*Zone People Number Of Occupants [](Hourly)",'Eplus results'!$1:$1048576,ROW(),FALSE)</f>
        <v>0</v>
      </c>
      <c r="AC8646" s="580">
        <f>HLOOKUP("*"&amp;'Output annual'!$AC$2&amp;'Output annual'!$AD$2&amp;"*FangerPMV(Hourly)",'Eplus results'!$1:$1048576,ROW(),FALSE)</f>
        <v>0</v>
      </c>
      <c r="AD8646" s="580">
        <f t="shared" si="711"/>
        <v>5</v>
      </c>
      <c r="AE8646" s="580">
        <f t="shared" si="712"/>
        <v>2.5</v>
      </c>
      <c r="AF8646" s="580">
        <f t="shared" si="713"/>
        <v>2.5</v>
      </c>
      <c r="AG8646" s="580">
        <f t="shared" si="714"/>
        <v>0</v>
      </c>
      <c r="AH8646" s="580">
        <f t="shared" si="715"/>
        <v>0</v>
      </c>
    </row>
    <row r="8647" spans="28:34">
      <c r="AB8647" s="580">
        <f>HLOOKUP("*"&amp;'Output annual'!$AC$2&amp;'Output annual'!$AD$2&amp;"*Zone People Number Of Occupants [](Hourly)",'Eplus results'!$1:$1048576,ROW(),FALSE)</f>
        <v>0</v>
      </c>
      <c r="AC8647" s="580">
        <f>HLOOKUP("*"&amp;'Output annual'!$AC$2&amp;'Output annual'!$AD$2&amp;"*FangerPMV(Hourly)",'Eplus results'!$1:$1048576,ROW(),FALSE)</f>
        <v>0</v>
      </c>
      <c r="AD8647" s="580">
        <f t="shared" si="711"/>
        <v>5</v>
      </c>
      <c r="AE8647" s="580">
        <f t="shared" si="712"/>
        <v>2.5</v>
      </c>
      <c r="AF8647" s="580">
        <f t="shared" si="713"/>
        <v>2.5</v>
      </c>
      <c r="AG8647" s="580">
        <f t="shared" si="714"/>
        <v>0</v>
      </c>
      <c r="AH8647" s="580">
        <f t="shared" si="715"/>
        <v>0</v>
      </c>
    </row>
    <row r="8648" spans="28:34">
      <c r="AB8648" s="580">
        <f>HLOOKUP("*"&amp;'Output annual'!$AC$2&amp;'Output annual'!$AD$2&amp;"*Zone People Number Of Occupants [](Hourly)",'Eplus results'!$1:$1048576,ROW(),FALSE)</f>
        <v>0</v>
      </c>
      <c r="AC8648" s="580">
        <f>HLOOKUP("*"&amp;'Output annual'!$AC$2&amp;'Output annual'!$AD$2&amp;"*FangerPMV(Hourly)",'Eplus results'!$1:$1048576,ROW(),FALSE)</f>
        <v>0</v>
      </c>
      <c r="AD8648" s="580">
        <f t="shared" si="711"/>
        <v>5</v>
      </c>
      <c r="AE8648" s="580">
        <f t="shared" si="712"/>
        <v>2.5</v>
      </c>
      <c r="AF8648" s="580">
        <f t="shared" si="713"/>
        <v>2.5</v>
      </c>
      <c r="AG8648" s="580">
        <f t="shared" si="714"/>
        <v>0</v>
      </c>
      <c r="AH8648" s="580">
        <f t="shared" si="715"/>
        <v>0</v>
      </c>
    </row>
    <row r="8649" spans="28:34">
      <c r="AB8649" s="580">
        <f>HLOOKUP("*"&amp;'Output annual'!$AC$2&amp;'Output annual'!$AD$2&amp;"*Zone People Number Of Occupants [](Hourly)",'Eplus results'!$1:$1048576,ROW(),FALSE)</f>
        <v>0</v>
      </c>
      <c r="AC8649" s="580">
        <f>HLOOKUP("*"&amp;'Output annual'!$AC$2&amp;'Output annual'!$AD$2&amp;"*FangerPMV(Hourly)",'Eplus results'!$1:$1048576,ROW(),FALSE)</f>
        <v>0</v>
      </c>
      <c r="AD8649" s="580">
        <f t="shared" si="711"/>
        <v>5</v>
      </c>
      <c r="AE8649" s="580">
        <f t="shared" si="712"/>
        <v>2.5</v>
      </c>
      <c r="AF8649" s="580">
        <f t="shared" si="713"/>
        <v>2.5</v>
      </c>
      <c r="AG8649" s="580">
        <f t="shared" si="714"/>
        <v>0</v>
      </c>
      <c r="AH8649" s="580">
        <f t="shared" si="715"/>
        <v>0</v>
      </c>
    </row>
    <row r="8650" spans="28:34">
      <c r="AB8650" s="580">
        <f>HLOOKUP("*"&amp;'Output annual'!$AC$2&amp;'Output annual'!$AD$2&amp;"*Zone People Number Of Occupants [](Hourly)",'Eplus results'!$1:$1048576,ROW(),FALSE)</f>
        <v>0</v>
      </c>
      <c r="AC8650" s="580">
        <f>HLOOKUP("*"&amp;'Output annual'!$AC$2&amp;'Output annual'!$AD$2&amp;"*FangerPMV(Hourly)",'Eplus results'!$1:$1048576,ROW(),FALSE)</f>
        <v>0</v>
      </c>
      <c r="AD8650" s="580">
        <f t="shared" si="711"/>
        <v>5</v>
      </c>
      <c r="AE8650" s="580">
        <f t="shared" si="712"/>
        <v>2.5</v>
      </c>
      <c r="AF8650" s="580">
        <f t="shared" si="713"/>
        <v>2.5</v>
      </c>
      <c r="AG8650" s="580">
        <f t="shared" si="714"/>
        <v>0</v>
      </c>
      <c r="AH8650" s="580">
        <f t="shared" si="715"/>
        <v>0</v>
      </c>
    </row>
    <row r="8651" spans="28:34">
      <c r="AB8651" s="580">
        <f>HLOOKUP("*"&amp;'Output annual'!$AC$2&amp;'Output annual'!$AD$2&amp;"*Zone People Number Of Occupants [](Hourly)",'Eplus results'!$1:$1048576,ROW(),FALSE)</f>
        <v>0</v>
      </c>
      <c r="AC8651" s="580">
        <f>HLOOKUP("*"&amp;'Output annual'!$AC$2&amp;'Output annual'!$AD$2&amp;"*FangerPMV(Hourly)",'Eplus results'!$1:$1048576,ROW(),FALSE)</f>
        <v>0</v>
      </c>
      <c r="AD8651" s="580">
        <f t="shared" si="711"/>
        <v>5</v>
      </c>
      <c r="AE8651" s="580">
        <f t="shared" si="712"/>
        <v>2.5</v>
      </c>
      <c r="AF8651" s="580">
        <f t="shared" si="713"/>
        <v>2.5</v>
      </c>
      <c r="AG8651" s="580">
        <f t="shared" si="714"/>
        <v>0</v>
      </c>
      <c r="AH8651" s="580">
        <f t="shared" si="715"/>
        <v>0</v>
      </c>
    </row>
    <row r="8652" spans="28:34">
      <c r="AB8652" s="580">
        <f>HLOOKUP("*"&amp;'Output annual'!$AC$2&amp;'Output annual'!$AD$2&amp;"*Zone People Number Of Occupants [](Hourly)",'Eplus results'!$1:$1048576,ROW(),FALSE)</f>
        <v>0</v>
      </c>
      <c r="AC8652" s="580">
        <f>HLOOKUP("*"&amp;'Output annual'!$AC$2&amp;'Output annual'!$AD$2&amp;"*FangerPMV(Hourly)",'Eplus results'!$1:$1048576,ROW(),FALSE)</f>
        <v>0</v>
      </c>
      <c r="AD8652" s="580">
        <f t="shared" si="711"/>
        <v>5</v>
      </c>
      <c r="AE8652" s="580">
        <f t="shared" si="712"/>
        <v>2.5</v>
      </c>
      <c r="AF8652" s="580">
        <f t="shared" si="713"/>
        <v>2.5</v>
      </c>
      <c r="AG8652" s="580">
        <f t="shared" si="714"/>
        <v>0</v>
      </c>
      <c r="AH8652" s="580">
        <f t="shared" si="715"/>
        <v>0</v>
      </c>
    </row>
    <row r="8653" spans="28:34">
      <c r="AB8653" s="580">
        <f>HLOOKUP("*"&amp;'Output annual'!$AC$2&amp;'Output annual'!$AD$2&amp;"*Zone People Number Of Occupants [](Hourly)",'Eplus results'!$1:$1048576,ROW(),FALSE)</f>
        <v>0</v>
      </c>
      <c r="AC8653" s="580">
        <f>HLOOKUP("*"&amp;'Output annual'!$AC$2&amp;'Output annual'!$AD$2&amp;"*FangerPMV(Hourly)",'Eplus results'!$1:$1048576,ROW(),FALSE)</f>
        <v>0</v>
      </c>
      <c r="AD8653" s="580">
        <f t="shared" si="711"/>
        <v>5</v>
      </c>
      <c r="AE8653" s="580">
        <f t="shared" si="712"/>
        <v>2.5</v>
      </c>
      <c r="AF8653" s="580">
        <f t="shared" si="713"/>
        <v>2.5</v>
      </c>
      <c r="AG8653" s="580">
        <f t="shared" si="714"/>
        <v>0</v>
      </c>
      <c r="AH8653" s="580">
        <f t="shared" si="715"/>
        <v>0</v>
      </c>
    </row>
    <row r="8654" spans="28:34">
      <c r="AB8654" s="580">
        <f>HLOOKUP("*"&amp;'Output annual'!$AC$2&amp;'Output annual'!$AD$2&amp;"*Zone People Number Of Occupants [](Hourly)",'Eplus results'!$1:$1048576,ROW(),FALSE)</f>
        <v>0</v>
      </c>
      <c r="AC8654" s="580">
        <f>HLOOKUP("*"&amp;'Output annual'!$AC$2&amp;'Output annual'!$AD$2&amp;"*FangerPMV(Hourly)",'Eplus results'!$1:$1048576,ROW(),FALSE)</f>
        <v>0</v>
      </c>
      <c r="AD8654" s="580">
        <f t="shared" si="711"/>
        <v>5</v>
      </c>
      <c r="AE8654" s="580">
        <f t="shared" si="712"/>
        <v>2.5</v>
      </c>
      <c r="AF8654" s="580">
        <f t="shared" si="713"/>
        <v>2.5</v>
      </c>
      <c r="AG8654" s="580">
        <f t="shared" si="714"/>
        <v>0</v>
      </c>
      <c r="AH8654" s="580">
        <f t="shared" si="715"/>
        <v>0</v>
      </c>
    </row>
    <row r="8655" spans="28:34">
      <c r="AB8655" s="580">
        <f>HLOOKUP("*"&amp;'Output annual'!$AC$2&amp;'Output annual'!$AD$2&amp;"*Zone People Number Of Occupants [](Hourly)",'Eplus results'!$1:$1048576,ROW(),FALSE)</f>
        <v>0</v>
      </c>
      <c r="AC8655" s="580">
        <f>HLOOKUP("*"&amp;'Output annual'!$AC$2&amp;'Output annual'!$AD$2&amp;"*FangerPMV(Hourly)",'Eplus results'!$1:$1048576,ROW(),FALSE)</f>
        <v>0</v>
      </c>
      <c r="AD8655" s="580">
        <f t="shared" si="711"/>
        <v>5</v>
      </c>
      <c r="AE8655" s="580">
        <f t="shared" si="712"/>
        <v>2.5</v>
      </c>
      <c r="AF8655" s="580">
        <f t="shared" si="713"/>
        <v>2.5</v>
      </c>
      <c r="AG8655" s="580">
        <f t="shared" si="714"/>
        <v>0</v>
      </c>
      <c r="AH8655" s="580">
        <f t="shared" si="715"/>
        <v>0</v>
      </c>
    </row>
    <row r="8656" spans="28:34">
      <c r="AB8656" s="580">
        <f>HLOOKUP("*"&amp;'Output annual'!$AC$2&amp;'Output annual'!$AD$2&amp;"*Zone People Number Of Occupants [](Hourly)",'Eplus results'!$1:$1048576,ROW(),FALSE)</f>
        <v>0</v>
      </c>
      <c r="AC8656" s="580">
        <f>HLOOKUP("*"&amp;'Output annual'!$AC$2&amp;'Output annual'!$AD$2&amp;"*FangerPMV(Hourly)",'Eplus results'!$1:$1048576,ROW(),FALSE)</f>
        <v>0</v>
      </c>
      <c r="AD8656" s="580">
        <f t="shared" si="711"/>
        <v>5</v>
      </c>
      <c r="AE8656" s="580">
        <f t="shared" si="712"/>
        <v>2.5</v>
      </c>
      <c r="AF8656" s="580">
        <f t="shared" si="713"/>
        <v>2.5</v>
      </c>
      <c r="AG8656" s="580">
        <f t="shared" si="714"/>
        <v>0</v>
      </c>
      <c r="AH8656" s="580">
        <f t="shared" si="715"/>
        <v>0</v>
      </c>
    </row>
    <row r="8657" spans="28:34">
      <c r="AB8657" s="580">
        <f>HLOOKUP("*"&amp;'Output annual'!$AC$2&amp;'Output annual'!$AD$2&amp;"*Zone People Number Of Occupants [](Hourly)",'Eplus results'!$1:$1048576,ROW(),FALSE)</f>
        <v>0</v>
      </c>
      <c r="AC8657" s="580">
        <f>HLOOKUP("*"&amp;'Output annual'!$AC$2&amp;'Output annual'!$AD$2&amp;"*FangerPMV(Hourly)",'Eplus results'!$1:$1048576,ROW(),FALSE)</f>
        <v>0</v>
      </c>
      <c r="AD8657" s="580">
        <f t="shared" si="711"/>
        <v>5</v>
      </c>
      <c r="AE8657" s="580">
        <f t="shared" si="712"/>
        <v>2.5</v>
      </c>
      <c r="AF8657" s="580">
        <f t="shared" si="713"/>
        <v>2.5</v>
      </c>
      <c r="AG8657" s="580">
        <f t="shared" si="714"/>
        <v>0</v>
      </c>
      <c r="AH8657" s="580">
        <f t="shared" si="715"/>
        <v>0</v>
      </c>
    </row>
    <row r="8658" spans="28:34">
      <c r="AB8658" s="580">
        <f>HLOOKUP("*"&amp;'Output annual'!$AC$2&amp;'Output annual'!$AD$2&amp;"*Zone People Number Of Occupants [](Hourly)",'Eplus results'!$1:$1048576,ROW(),FALSE)</f>
        <v>0</v>
      </c>
      <c r="AC8658" s="580">
        <f>HLOOKUP("*"&amp;'Output annual'!$AC$2&amp;'Output annual'!$AD$2&amp;"*FangerPMV(Hourly)",'Eplus results'!$1:$1048576,ROW(),FALSE)</f>
        <v>0</v>
      </c>
      <c r="AD8658" s="580">
        <f t="shared" si="711"/>
        <v>5</v>
      </c>
      <c r="AE8658" s="580">
        <f t="shared" si="712"/>
        <v>2.5</v>
      </c>
      <c r="AF8658" s="580">
        <f t="shared" si="713"/>
        <v>2.5</v>
      </c>
      <c r="AG8658" s="580">
        <f t="shared" si="714"/>
        <v>0</v>
      </c>
      <c r="AH8658" s="580">
        <f t="shared" si="715"/>
        <v>0</v>
      </c>
    </row>
    <row r="8659" spans="28:34">
      <c r="AB8659" s="580">
        <f>HLOOKUP("*"&amp;'Output annual'!$AC$2&amp;'Output annual'!$AD$2&amp;"*Zone People Number Of Occupants [](Hourly)",'Eplus results'!$1:$1048576,ROW(),FALSE)</f>
        <v>0</v>
      </c>
      <c r="AC8659" s="580">
        <f>HLOOKUP("*"&amp;'Output annual'!$AC$2&amp;'Output annual'!$AD$2&amp;"*FangerPMV(Hourly)",'Eplus results'!$1:$1048576,ROW(),FALSE)</f>
        <v>0</v>
      </c>
      <c r="AD8659" s="580">
        <f t="shared" si="711"/>
        <v>5</v>
      </c>
      <c r="AE8659" s="580">
        <f t="shared" si="712"/>
        <v>2.5</v>
      </c>
      <c r="AF8659" s="580">
        <f t="shared" si="713"/>
        <v>2.5</v>
      </c>
      <c r="AG8659" s="580">
        <f t="shared" si="714"/>
        <v>0</v>
      </c>
      <c r="AH8659" s="580">
        <f t="shared" si="715"/>
        <v>0</v>
      </c>
    </row>
    <row r="8660" spans="28:34">
      <c r="AB8660" s="580">
        <f>HLOOKUP("*"&amp;'Output annual'!$AC$2&amp;'Output annual'!$AD$2&amp;"*Zone People Number Of Occupants [](Hourly)",'Eplus results'!$1:$1048576,ROW(),FALSE)</f>
        <v>0</v>
      </c>
      <c r="AC8660" s="580">
        <f>HLOOKUP("*"&amp;'Output annual'!$AC$2&amp;'Output annual'!$AD$2&amp;"*FangerPMV(Hourly)",'Eplus results'!$1:$1048576,ROW(),FALSE)</f>
        <v>0</v>
      </c>
      <c r="AD8660" s="580">
        <f t="shared" si="711"/>
        <v>5</v>
      </c>
      <c r="AE8660" s="580">
        <f t="shared" si="712"/>
        <v>2.5</v>
      </c>
      <c r="AF8660" s="580">
        <f t="shared" si="713"/>
        <v>2.5</v>
      </c>
      <c r="AG8660" s="580">
        <f t="shared" si="714"/>
        <v>0</v>
      </c>
      <c r="AH8660" s="580">
        <f t="shared" si="715"/>
        <v>0</v>
      </c>
    </row>
    <row r="8661" spans="28:34">
      <c r="AB8661" s="580">
        <f>HLOOKUP("*"&amp;'Output annual'!$AC$2&amp;'Output annual'!$AD$2&amp;"*Zone People Number Of Occupants [](Hourly)",'Eplus results'!$1:$1048576,ROW(),FALSE)</f>
        <v>0</v>
      </c>
      <c r="AC8661" s="580">
        <f>HLOOKUP("*"&amp;'Output annual'!$AC$2&amp;'Output annual'!$AD$2&amp;"*FangerPMV(Hourly)",'Eplus results'!$1:$1048576,ROW(),FALSE)</f>
        <v>0</v>
      </c>
      <c r="AD8661" s="580">
        <f t="shared" si="711"/>
        <v>5</v>
      </c>
      <c r="AE8661" s="580">
        <f t="shared" si="712"/>
        <v>2.5</v>
      </c>
      <c r="AF8661" s="580">
        <f t="shared" si="713"/>
        <v>2.5</v>
      </c>
      <c r="AG8661" s="580">
        <f t="shared" si="714"/>
        <v>0</v>
      </c>
      <c r="AH8661" s="580">
        <f t="shared" si="715"/>
        <v>0</v>
      </c>
    </row>
    <row r="8662" spans="28:34">
      <c r="AB8662" s="580">
        <f>HLOOKUP("*"&amp;'Output annual'!$AC$2&amp;'Output annual'!$AD$2&amp;"*Zone People Number Of Occupants [](Hourly)",'Eplus results'!$1:$1048576,ROW(),FALSE)</f>
        <v>0</v>
      </c>
      <c r="AC8662" s="580">
        <f>HLOOKUP("*"&amp;'Output annual'!$AC$2&amp;'Output annual'!$AD$2&amp;"*FangerPMV(Hourly)",'Eplus results'!$1:$1048576,ROW(),FALSE)</f>
        <v>0</v>
      </c>
      <c r="AD8662" s="580">
        <f t="shared" si="711"/>
        <v>5</v>
      </c>
      <c r="AE8662" s="580">
        <f t="shared" si="712"/>
        <v>2.5</v>
      </c>
      <c r="AF8662" s="580">
        <f t="shared" si="713"/>
        <v>2.5</v>
      </c>
      <c r="AG8662" s="580">
        <f t="shared" si="714"/>
        <v>0</v>
      </c>
      <c r="AH8662" s="580">
        <f t="shared" si="715"/>
        <v>0</v>
      </c>
    </row>
    <row r="8663" spans="28:34">
      <c r="AB8663" s="580">
        <f>HLOOKUP("*"&amp;'Output annual'!$AC$2&amp;'Output annual'!$AD$2&amp;"*Zone People Number Of Occupants [](Hourly)",'Eplus results'!$1:$1048576,ROW(),FALSE)</f>
        <v>0</v>
      </c>
      <c r="AC8663" s="580">
        <f>HLOOKUP("*"&amp;'Output annual'!$AC$2&amp;'Output annual'!$AD$2&amp;"*FangerPMV(Hourly)",'Eplus results'!$1:$1048576,ROW(),FALSE)</f>
        <v>0</v>
      </c>
      <c r="AD8663" s="580">
        <f t="shared" si="711"/>
        <v>5</v>
      </c>
      <c r="AE8663" s="580">
        <f t="shared" si="712"/>
        <v>2.5</v>
      </c>
      <c r="AF8663" s="580">
        <f t="shared" si="713"/>
        <v>2.5</v>
      </c>
      <c r="AG8663" s="580">
        <f t="shared" si="714"/>
        <v>0</v>
      </c>
      <c r="AH8663" s="580">
        <f t="shared" si="715"/>
        <v>0</v>
      </c>
    </row>
    <row r="8664" spans="28:34">
      <c r="AB8664" s="580">
        <f>HLOOKUP("*"&amp;'Output annual'!$AC$2&amp;'Output annual'!$AD$2&amp;"*Zone People Number Of Occupants [](Hourly)",'Eplus results'!$1:$1048576,ROW(),FALSE)</f>
        <v>0</v>
      </c>
      <c r="AC8664" s="580">
        <f>HLOOKUP("*"&amp;'Output annual'!$AC$2&amp;'Output annual'!$AD$2&amp;"*FangerPMV(Hourly)",'Eplus results'!$1:$1048576,ROW(),FALSE)</f>
        <v>0</v>
      </c>
      <c r="AD8664" s="580">
        <f t="shared" si="711"/>
        <v>5</v>
      </c>
      <c r="AE8664" s="580">
        <f t="shared" si="712"/>
        <v>2.5</v>
      </c>
      <c r="AF8664" s="580">
        <f t="shared" si="713"/>
        <v>2.5</v>
      </c>
      <c r="AG8664" s="580">
        <f t="shared" si="714"/>
        <v>0</v>
      </c>
      <c r="AH8664" s="580">
        <f t="shared" si="715"/>
        <v>0</v>
      </c>
    </row>
    <row r="8665" spans="28:34">
      <c r="AB8665" s="580">
        <f>HLOOKUP("*"&amp;'Output annual'!$AC$2&amp;'Output annual'!$AD$2&amp;"*Zone People Number Of Occupants [](Hourly)",'Eplus results'!$1:$1048576,ROW(),FALSE)</f>
        <v>0</v>
      </c>
      <c r="AC8665" s="580">
        <f>HLOOKUP("*"&amp;'Output annual'!$AC$2&amp;'Output annual'!$AD$2&amp;"*FangerPMV(Hourly)",'Eplus results'!$1:$1048576,ROW(),FALSE)</f>
        <v>0</v>
      </c>
      <c r="AD8665" s="580">
        <f t="shared" si="711"/>
        <v>5</v>
      </c>
      <c r="AE8665" s="580">
        <f t="shared" si="712"/>
        <v>2.5</v>
      </c>
      <c r="AF8665" s="580">
        <f t="shared" si="713"/>
        <v>2.5</v>
      </c>
      <c r="AG8665" s="580">
        <f t="shared" si="714"/>
        <v>0</v>
      </c>
      <c r="AH8665" s="580">
        <f t="shared" si="715"/>
        <v>0</v>
      </c>
    </row>
    <row r="8666" spans="28:34">
      <c r="AB8666" s="580">
        <f>HLOOKUP("*"&amp;'Output annual'!$AC$2&amp;'Output annual'!$AD$2&amp;"*Zone People Number Of Occupants [](Hourly)",'Eplus results'!$1:$1048576,ROW(),FALSE)</f>
        <v>0</v>
      </c>
      <c r="AC8666" s="580">
        <f>HLOOKUP("*"&amp;'Output annual'!$AC$2&amp;'Output annual'!$AD$2&amp;"*FangerPMV(Hourly)",'Eplus results'!$1:$1048576,ROW(),FALSE)</f>
        <v>0</v>
      </c>
      <c r="AD8666" s="580">
        <f t="shared" si="711"/>
        <v>5</v>
      </c>
      <c r="AE8666" s="580">
        <f t="shared" si="712"/>
        <v>2.5</v>
      </c>
      <c r="AF8666" s="580">
        <f t="shared" si="713"/>
        <v>2.5</v>
      </c>
      <c r="AG8666" s="580">
        <f t="shared" si="714"/>
        <v>0</v>
      </c>
      <c r="AH8666" s="580">
        <f t="shared" si="715"/>
        <v>0</v>
      </c>
    </row>
    <row r="8667" spans="28:34">
      <c r="AB8667" s="580">
        <f>HLOOKUP("*"&amp;'Output annual'!$AC$2&amp;'Output annual'!$AD$2&amp;"*Zone People Number Of Occupants [](Hourly)",'Eplus results'!$1:$1048576,ROW(),FALSE)</f>
        <v>0</v>
      </c>
      <c r="AC8667" s="580">
        <f>HLOOKUP("*"&amp;'Output annual'!$AC$2&amp;'Output annual'!$AD$2&amp;"*FangerPMV(Hourly)",'Eplus results'!$1:$1048576,ROW(),FALSE)</f>
        <v>0</v>
      </c>
      <c r="AD8667" s="580">
        <f t="shared" si="711"/>
        <v>5</v>
      </c>
      <c r="AE8667" s="580">
        <f t="shared" si="712"/>
        <v>2.5</v>
      </c>
      <c r="AF8667" s="580">
        <f t="shared" si="713"/>
        <v>2.5</v>
      </c>
      <c r="AG8667" s="580">
        <f t="shared" si="714"/>
        <v>0</v>
      </c>
      <c r="AH8667" s="580">
        <f t="shared" si="715"/>
        <v>0</v>
      </c>
    </row>
    <row r="8668" spans="28:34">
      <c r="AB8668" s="580">
        <f>HLOOKUP("*"&amp;'Output annual'!$AC$2&amp;'Output annual'!$AD$2&amp;"*Zone People Number Of Occupants [](Hourly)",'Eplus results'!$1:$1048576,ROW(),FALSE)</f>
        <v>0</v>
      </c>
      <c r="AC8668" s="580">
        <f>HLOOKUP("*"&amp;'Output annual'!$AC$2&amp;'Output annual'!$AD$2&amp;"*FangerPMV(Hourly)",'Eplus results'!$1:$1048576,ROW(),FALSE)</f>
        <v>0</v>
      </c>
      <c r="AD8668" s="580">
        <f t="shared" si="711"/>
        <v>5</v>
      </c>
      <c r="AE8668" s="580">
        <f t="shared" si="712"/>
        <v>2.5</v>
      </c>
      <c r="AF8668" s="580">
        <f t="shared" si="713"/>
        <v>2.5</v>
      </c>
      <c r="AG8668" s="580">
        <f t="shared" si="714"/>
        <v>0</v>
      </c>
      <c r="AH8668" s="580">
        <f t="shared" si="715"/>
        <v>0</v>
      </c>
    </row>
    <row r="8669" spans="28:34">
      <c r="AB8669" s="580">
        <f>HLOOKUP("*"&amp;'Output annual'!$AC$2&amp;'Output annual'!$AD$2&amp;"*Zone People Number Of Occupants [](Hourly)",'Eplus results'!$1:$1048576,ROW(),FALSE)</f>
        <v>0</v>
      </c>
      <c r="AC8669" s="580">
        <f>HLOOKUP("*"&amp;'Output annual'!$AC$2&amp;'Output annual'!$AD$2&amp;"*FangerPMV(Hourly)",'Eplus results'!$1:$1048576,ROW(),FALSE)</f>
        <v>0</v>
      </c>
      <c r="AD8669" s="580">
        <f t="shared" si="711"/>
        <v>5</v>
      </c>
      <c r="AE8669" s="580">
        <f t="shared" si="712"/>
        <v>2.5</v>
      </c>
      <c r="AF8669" s="580">
        <f t="shared" si="713"/>
        <v>2.5</v>
      </c>
      <c r="AG8669" s="580">
        <f t="shared" si="714"/>
        <v>0</v>
      </c>
      <c r="AH8669" s="580">
        <f t="shared" si="715"/>
        <v>0</v>
      </c>
    </row>
    <row r="8670" spans="28:34">
      <c r="AB8670" s="580">
        <f>HLOOKUP("*"&amp;'Output annual'!$AC$2&amp;'Output annual'!$AD$2&amp;"*Zone People Number Of Occupants [](Hourly)",'Eplus results'!$1:$1048576,ROW(),FALSE)</f>
        <v>0</v>
      </c>
      <c r="AC8670" s="580">
        <f>HLOOKUP("*"&amp;'Output annual'!$AC$2&amp;'Output annual'!$AD$2&amp;"*FangerPMV(Hourly)",'Eplus results'!$1:$1048576,ROW(),FALSE)</f>
        <v>0</v>
      </c>
      <c r="AD8670" s="580">
        <f t="shared" si="711"/>
        <v>5</v>
      </c>
      <c r="AE8670" s="580">
        <f t="shared" si="712"/>
        <v>2.5</v>
      </c>
      <c r="AF8670" s="580">
        <f t="shared" si="713"/>
        <v>2.5</v>
      </c>
      <c r="AG8670" s="580">
        <f t="shared" si="714"/>
        <v>0</v>
      </c>
      <c r="AH8670" s="580">
        <f t="shared" si="715"/>
        <v>0</v>
      </c>
    </row>
    <row r="8671" spans="28:34">
      <c r="AB8671" s="580">
        <f>HLOOKUP("*"&amp;'Output annual'!$AC$2&amp;'Output annual'!$AD$2&amp;"*Zone People Number Of Occupants [](Hourly)",'Eplus results'!$1:$1048576,ROW(),FALSE)</f>
        <v>0</v>
      </c>
      <c r="AC8671" s="580">
        <f>HLOOKUP("*"&amp;'Output annual'!$AC$2&amp;'Output annual'!$AD$2&amp;"*FangerPMV(Hourly)",'Eplus results'!$1:$1048576,ROW(),FALSE)</f>
        <v>0</v>
      </c>
      <c r="AD8671" s="580">
        <f t="shared" si="711"/>
        <v>5</v>
      </c>
      <c r="AE8671" s="580">
        <f t="shared" si="712"/>
        <v>2.5</v>
      </c>
      <c r="AF8671" s="580">
        <f t="shared" si="713"/>
        <v>2.5</v>
      </c>
      <c r="AG8671" s="580">
        <f t="shared" si="714"/>
        <v>0</v>
      </c>
      <c r="AH8671" s="580">
        <f t="shared" si="715"/>
        <v>0</v>
      </c>
    </row>
    <row r="8672" spans="28:34">
      <c r="AB8672" s="580">
        <f>HLOOKUP("*"&amp;'Output annual'!$AC$2&amp;'Output annual'!$AD$2&amp;"*Zone People Number Of Occupants [](Hourly)",'Eplus results'!$1:$1048576,ROW(),FALSE)</f>
        <v>0</v>
      </c>
      <c r="AC8672" s="580">
        <f>HLOOKUP("*"&amp;'Output annual'!$AC$2&amp;'Output annual'!$AD$2&amp;"*FangerPMV(Hourly)",'Eplus results'!$1:$1048576,ROW(),FALSE)</f>
        <v>0</v>
      </c>
      <c r="AD8672" s="580">
        <f t="shared" si="711"/>
        <v>5</v>
      </c>
      <c r="AE8672" s="580">
        <f t="shared" si="712"/>
        <v>2.5</v>
      </c>
      <c r="AF8672" s="580">
        <f t="shared" si="713"/>
        <v>2.5</v>
      </c>
      <c r="AG8672" s="580">
        <f t="shared" si="714"/>
        <v>0</v>
      </c>
      <c r="AH8672" s="580">
        <f t="shared" si="715"/>
        <v>0</v>
      </c>
    </row>
    <row r="8673" spans="28:34">
      <c r="AB8673" s="580">
        <f>HLOOKUP("*"&amp;'Output annual'!$AC$2&amp;'Output annual'!$AD$2&amp;"*Zone People Number Of Occupants [](Hourly)",'Eplus results'!$1:$1048576,ROW(),FALSE)</f>
        <v>0</v>
      </c>
      <c r="AC8673" s="580">
        <f>HLOOKUP("*"&amp;'Output annual'!$AC$2&amp;'Output annual'!$AD$2&amp;"*FangerPMV(Hourly)",'Eplus results'!$1:$1048576,ROW(),FALSE)</f>
        <v>0</v>
      </c>
      <c r="AD8673" s="580">
        <f t="shared" si="711"/>
        <v>5</v>
      </c>
      <c r="AE8673" s="580">
        <f t="shared" si="712"/>
        <v>2.5</v>
      </c>
      <c r="AF8673" s="580">
        <f t="shared" si="713"/>
        <v>2.5</v>
      </c>
      <c r="AG8673" s="580">
        <f t="shared" si="714"/>
        <v>0</v>
      </c>
      <c r="AH8673" s="580">
        <f t="shared" si="715"/>
        <v>0</v>
      </c>
    </row>
    <row r="8674" spans="28:34">
      <c r="AB8674" s="580">
        <f>HLOOKUP("*"&amp;'Output annual'!$AC$2&amp;'Output annual'!$AD$2&amp;"*Zone People Number Of Occupants [](Hourly)",'Eplus results'!$1:$1048576,ROW(),FALSE)</f>
        <v>0</v>
      </c>
      <c r="AC8674" s="580">
        <f>HLOOKUP("*"&amp;'Output annual'!$AC$2&amp;'Output annual'!$AD$2&amp;"*FangerPMV(Hourly)",'Eplus results'!$1:$1048576,ROW(),FALSE)</f>
        <v>0</v>
      </c>
      <c r="AD8674" s="580">
        <f t="shared" si="711"/>
        <v>5</v>
      </c>
      <c r="AE8674" s="580">
        <f t="shared" si="712"/>
        <v>2.5</v>
      </c>
      <c r="AF8674" s="580">
        <f t="shared" si="713"/>
        <v>2.5</v>
      </c>
      <c r="AG8674" s="580">
        <f t="shared" si="714"/>
        <v>0</v>
      </c>
      <c r="AH8674" s="580">
        <f t="shared" si="715"/>
        <v>0</v>
      </c>
    </row>
    <row r="8675" spans="28:34">
      <c r="AB8675" s="580">
        <f>HLOOKUP("*"&amp;'Output annual'!$AC$2&amp;'Output annual'!$AD$2&amp;"*Zone People Number Of Occupants [](Hourly)",'Eplus results'!$1:$1048576,ROW(),FALSE)</f>
        <v>0</v>
      </c>
      <c r="AC8675" s="580">
        <f>HLOOKUP("*"&amp;'Output annual'!$AC$2&amp;'Output annual'!$AD$2&amp;"*FangerPMV(Hourly)",'Eplus results'!$1:$1048576,ROW(),FALSE)</f>
        <v>0</v>
      </c>
      <c r="AD8675" s="580">
        <f t="shared" si="711"/>
        <v>5</v>
      </c>
      <c r="AE8675" s="580">
        <f t="shared" si="712"/>
        <v>2.5</v>
      </c>
      <c r="AF8675" s="580">
        <f t="shared" si="713"/>
        <v>2.5</v>
      </c>
      <c r="AG8675" s="580">
        <f t="shared" si="714"/>
        <v>0</v>
      </c>
      <c r="AH8675" s="580">
        <f t="shared" si="715"/>
        <v>0</v>
      </c>
    </row>
    <row r="8676" spans="28:34">
      <c r="AB8676" s="580">
        <f>HLOOKUP("*"&amp;'Output annual'!$AC$2&amp;'Output annual'!$AD$2&amp;"*Zone People Number Of Occupants [](Hourly)",'Eplus results'!$1:$1048576,ROW(),FALSE)</f>
        <v>0</v>
      </c>
      <c r="AC8676" s="580">
        <f>HLOOKUP("*"&amp;'Output annual'!$AC$2&amp;'Output annual'!$AD$2&amp;"*FangerPMV(Hourly)",'Eplus results'!$1:$1048576,ROW(),FALSE)</f>
        <v>0</v>
      </c>
      <c r="AD8676" s="580">
        <f t="shared" si="711"/>
        <v>5</v>
      </c>
      <c r="AE8676" s="580">
        <f t="shared" si="712"/>
        <v>2.5</v>
      </c>
      <c r="AF8676" s="580">
        <f t="shared" si="713"/>
        <v>2.5</v>
      </c>
      <c r="AG8676" s="580">
        <f t="shared" si="714"/>
        <v>0</v>
      </c>
      <c r="AH8676" s="580">
        <f t="shared" si="715"/>
        <v>0</v>
      </c>
    </row>
    <row r="8677" spans="28:34">
      <c r="AB8677" s="580">
        <f>HLOOKUP("*"&amp;'Output annual'!$AC$2&amp;'Output annual'!$AD$2&amp;"*Zone People Number Of Occupants [](Hourly)",'Eplus results'!$1:$1048576,ROW(),FALSE)</f>
        <v>0</v>
      </c>
      <c r="AC8677" s="580">
        <f>HLOOKUP("*"&amp;'Output annual'!$AC$2&amp;'Output annual'!$AD$2&amp;"*FangerPMV(Hourly)",'Eplus results'!$1:$1048576,ROW(),FALSE)</f>
        <v>0</v>
      </c>
      <c r="AD8677" s="580">
        <f t="shared" si="711"/>
        <v>5</v>
      </c>
      <c r="AE8677" s="580">
        <f t="shared" si="712"/>
        <v>2.5</v>
      </c>
      <c r="AF8677" s="580">
        <f t="shared" si="713"/>
        <v>2.5</v>
      </c>
      <c r="AG8677" s="580">
        <f t="shared" si="714"/>
        <v>0</v>
      </c>
      <c r="AH8677" s="580">
        <f t="shared" si="715"/>
        <v>0</v>
      </c>
    </row>
    <row r="8678" spans="28:34">
      <c r="AB8678" s="580">
        <f>HLOOKUP("*"&amp;'Output annual'!$AC$2&amp;'Output annual'!$AD$2&amp;"*Zone People Number Of Occupants [](Hourly)",'Eplus results'!$1:$1048576,ROW(),FALSE)</f>
        <v>0</v>
      </c>
      <c r="AC8678" s="580">
        <f>HLOOKUP("*"&amp;'Output annual'!$AC$2&amp;'Output annual'!$AD$2&amp;"*FangerPMV(Hourly)",'Eplus results'!$1:$1048576,ROW(),FALSE)</f>
        <v>0</v>
      </c>
      <c r="AD8678" s="580">
        <f t="shared" si="711"/>
        <v>5</v>
      </c>
      <c r="AE8678" s="580">
        <f t="shared" si="712"/>
        <v>2.5</v>
      </c>
      <c r="AF8678" s="580">
        <f t="shared" si="713"/>
        <v>2.5</v>
      </c>
      <c r="AG8678" s="580">
        <f t="shared" si="714"/>
        <v>0</v>
      </c>
      <c r="AH8678" s="580">
        <f t="shared" si="715"/>
        <v>0</v>
      </c>
    </row>
    <row r="8679" spans="28:34">
      <c r="AB8679" s="580">
        <f>HLOOKUP("*"&amp;'Output annual'!$AC$2&amp;'Output annual'!$AD$2&amp;"*Zone People Number Of Occupants [](Hourly)",'Eplus results'!$1:$1048576,ROW(),FALSE)</f>
        <v>0</v>
      </c>
      <c r="AC8679" s="580">
        <f>HLOOKUP("*"&amp;'Output annual'!$AC$2&amp;'Output annual'!$AD$2&amp;"*FangerPMV(Hourly)",'Eplus results'!$1:$1048576,ROW(),FALSE)</f>
        <v>0</v>
      </c>
      <c r="AD8679" s="580">
        <f t="shared" si="711"/>
        <v>5</v>
      </c>
      <c r="AE8679" s="580">
        <f t="shared" si="712"/>
        <v>2.5</v>
      </c>
      <c r="AF8679" s="580">
        <f t="shared" si="713"/>
        <v>2.5</v>
      </c>
      <c r="AG8679" s="580">
        <f t="shared" si="714"/>
        <v>0</v>
      </c>
      <c r="AH8679" s="580">
        <f t="shared" si="715"/>
        <v>0</v>
      </c>
    </row>
    <row r="8680" spans="28:34">
      <c r="AB8680" s="580">
        <f>HLOOKUP("*"&amp;'Output annual'!$AC$2&amp;'Output annual'!$AD$2&amp;"*Zone People Number Of Occupants [](Hourly)",'Eplus results'!$1:$1048576,ROW(),FALSE)</f>
        <v>0</v>
      </c>
      <c r="AC8680" s="580">
        <f>HLOOKUP("*"&amp;'Output annual'!$AC$2&amp;'Output annual'!$AD$2&amp;"*FangerPMV(Hourly)",'Eplus results'!$1:$1048576,ROW(),FALSE)</f>
        <v>0</v>
      </c>
      <c r="AD8680" s="580">
        <f t="shared" si="711"/>
        <v>5</v>
      </c>
      <c r="AE8680" s="580">
        <f t="shared" si="712"/>
        <v>2.5</v>
      </c>
      <c r="AF8680" s="580">
        <f t="shared" si="713"/>
        <v>2.5</v>
      </c>
      <c r="AG8680" s="580">
        <f t="shared" si="714"/>
        <v>0</v>
      </c>
      <c r="AH8680" s="580">
        <f t="shared" si="715"/>
        <v>0</v>
      </c>
    </row>
    <row r="8681" spans="28:34">
      <c r="AB8681" s="580">
        <f>HLOOKUP("*"&amp;'Output annual'!$AC$2&amp;'Output annual'!$AD$2&amp;"*Zone People Number Of Occupants [](Hourly)",'Eplus results'!$1:$1048576,ROW(),FALSE)</f>
        <v>0</v>
      </c>
      <c r="AC8681" s="580">
        <f>HLOOKUP("*"&amp;'Output annual'!$AC$2&amp;'Output annual'!$AD$2&amp;"*FangerPMV(Hourly)",'Eplus results'!$1:$1048576,ROW(),FALSE)</f>
        <v>0</v>
      </c>
      <c r="AD8681" s="580">
        <f t="shared" si="711"/>
        <v>5</v>
      </c>
      <c r="AE8681" s="580">
        <f t="shared" si="712"/>
        <v>2.5</v>
      </c>
      <c r="AF8681" s="580">
        <f t="shared" si="713"/>
        <v>2.5</v>
      </c>
      <c r="AG8681" s="580">
        <f t="shared" si="714"/>
        <v>0</v>
      </c>
      <c r="AH8681" s="580">
        <f t="shared" si="715"/>
        <v>0</v>
      </c>
    </row>
    <row r="8682" spans="28:34">
      <c r="AB8682" s="580">
        <f>HLOOKUP("*"&amp;'Output annual'!$AC$2&amp;'Output annual'!$AD$2&amp;"*Zone People Number Of Occupants [](Hourly)",'Eplus results'!$1:$1048576,ROW(),FALSE)</f>
        <v>0</v>
      </c>
      <c r="AC8682" s="580">
        <f>HLOOKUP("*"&amp;'Output annual'!$AC$2&amp;'Output annual'!$AD$2&amp;"*FangerPMV(Hourly)",'Eplus results'!$1:$1048576,ROW(),FALSE)</f>
        <v>0</v>
      </c>
      <c r="AD8682" s="580">
        <f t="shared" si="711"/>
        <v>5</v>
      </c>
      <c r="AE8682" s="580">
        <f t="shared" si="712"/>
        <v>2.5</v>
      </c>
      <c r="AF8682" s="580">
        <f t="shared" si="713"/>
        <v>2.5</v>
      </c>
      <c r="AG8682" s="580">
        <f t="shared" si="714"/>
        <v>0</v>
      </c>
      <c r="AH8682" s="580">
        <f t="shared" si="715"/>
        <v>0</v>
      </c>
    </row>
    <row r="8683" spans="28:34">
      <c r="AB8683" s="580">
        <f>HLOOKUP("*"&amp;'Output annual'!$AC$2&amp;'Output annual'!$AD$2&amp;"*Zone People Number Of Occupants [](Hourly)",'Eplus results'!$1:$1048576,ROW(),FALSE)</f>
        <v>0</v>
      </c>
      <c r="AC8683" s="580">
        <f>HLOOKUP("*"&amp;'Output annual'!$AC$2&amp;'Output annual'!$AD$2&amp;"*FangerPMV(Hourly)",'Eplus results'!$1:$1048576,ROW(),FALSE)</f>
        <v>0</v>
      </c>
      <c r="AD8683" s="580">
        <f t="shared" si="711"/>
        <v>5</v>
      </c>
      <c r="AE8683" s="580">
        <f t="shared" si="712"/>
        <v>2.5</v>
      </c>
      <c r="AF8683" s="580">
        <f t="shared" si="713"/>
        <v>2.5</v>
      </c>
      <c r="AG8683" s="580">
        <f t="shared" si="714"/>
        <v>0</v>
      </c>
      <c r="AH8683" s="580">
        <f t="shared" si="715"/>
        <v>0</v>
      </c>
    </row>
    <row r="8684" spans="28:34">
      <c r="AB8684" s="580">
        <f>HLOOKUP("*"&amp;'Output annual'!$AC$2&amp;'Output annual'!$AD$2&amp;"*Zone People Number Of Occupants [](Hourly)",'Eplus results'!$1:$1048576,ROW(),FALSE)</f>
        <v>0</v>
      </c>
      <c r="AC8684" s="580">
        <f>HLOOKUP("*"&amp;'Output annual'!$AC$2&amp;'Output annual'!$AD$2&amp;"*FangerPMV(Hourly)",'Eplus results'!$1:$1048576,ROW(),FALSE)</f>
        <v>0</v>
      </c>
      <c r="AD8684" s="580">
        <f t="shared" si="711"/>
        <v>5</v>
      </c>
      <c r="AE8684" s="580">
        <f t="shared" si="712"/>
        <v>2.5</v>
      </c>
      <c r="AF8684" s="580">
        <f t="shared" si="713"/>
        <v>2.5</v>
      </c>
      <c r="AG8684" s="580">
        <f t="shared" si="714"/>
        <v>0</v>
      </c>
      <c r="AH8684" s="580">
        <f t="shared" si="715"/>
        <v>0</v>
      </c>
    </row>
    <row r="8685" spans="28:34">
      <c r="AB8685" s="580">
        <f>HLOOKUP("*"&amp;'Output annual'!$AC$2&amp;'Output annual'!$AD$2&amp;"*Zone People Number Of Occupants [](Hourly)",'Eplus results'!$1:$1048576,ROW(),FALSE)</f>
        <v>0</v>
      </c>
      <c r="AC8685" s="580">
        <f>HLOOKUP("*"&amp;'Output annual'!$AC$2&amp;'Output annual'!$AD$2&amp;"*FangerPMV(Hourly)",'Eplus results'!$1:$1048576,ROW(),FALSE)</f>
        <v>0</v>
      </c>
      <c r="AD8685" s="580">
        <f t="shared" si="711"/>
        <v>5</v>
      </c>
      <c r="AE8685" s="580">
        <f t="shared" si="712"/>
        <v>2.5</v>
      </c>
      <c r="AF8685" s="580">
        <f t="shared" si="713"/>
        <v>2.5</v>
      </c>
      <c r="AG8685" s="580">
        <f t="shared" si="714"/>
        <v>0</v>
      </c>
      <c r="AH8685" s="580">
        <f t="shared" si="715"/>
        <v>0</v>
      </c>
    </row>
    <row r="8686" spans="28:34">
      <c r="AB8686" s="580">
        <f>HLOOKUP("*"&amp;'Output annual'!$AC$2&amp;'Output annual'!$AD$2&amp;"*Zone People Number Of Occupants [](Hourly)",'Eplus results'!$1:$1048576,ROW(),FALSE)</f>
        <v>0</v>
      </c>
      <c r="AC8686" s="580">
        <f>HLOOKUP("*"&amp;'Output annual'!$AC$2&amp;'Output annual'!$AD$2&amp;"*FangerPMV(Hourly)",'Eplus results'!$1:$1048576,ROW(),FALSE)</f>
        <v>0</v>
      </c>
      <c r="AD8686" s="580">
        <f t="shared" si="711"/>
        <v>5</v>
      </c>
      <c r="AE8686" s="580">
        <f t="shared" si="712"/>
        <v>2.5</v>
      </c>
      <c r="AF8686" s="580">
        <f t="shared" si="713"/>
        <v>2.5</v>
      </c>
      <c r="AG8686" s="580">
        <f t="shared" si="714"/>
        <v>0</v>
      </c>
      <c r="AH8686" s="580">
        <f t="shared" si="715"/>
        <v>0</v>
      </c>
    </row>
    <row r="8687" spans="28:34">
      <c r="AB8687" s="580">
        <f>HLOOKUP("*"&amp;'Output annual'!$AC$2&amp;'Output annual'!$AD$2&amp;"*Zone People Number Of Occupants [](Hourly)",'Eplus results'!$1:$1048576,ROW(),FALSE)</f>
        <v>0</v>
      </c>
      <c r="AC8687" s="580">
        <f>HLOOKUP("*"&amp;'Output annual'!$AC$2&amp;'Output annual'!$AD$2&amp;"*FangerPMV(Hourly)",'Eplus results'!$1:$1048576,ROW(),FALSE)</f>
        <v>0</v>
      </c>
      <c r="AD8687" s="580">
        <f t="shared" si="711"/>
        <v>5</v>
      </c>
      <c r="AE8687" s="580">
        <f t="shared" si="712"/>
        <v>2.5</v>
      </c>
      <c r="AF8687" s="580">
        <f t="shared" si="713"/>
        <v>2.5</v>
      </c>
      <c r="AG8687" s="580">
        <f t="shared" si="714"/>
        <v>0</v>
      </c>
      <c r="AH8687" s="580">
        <f t="shared" si="715"/>
        <v>0</v>
      </c>
    </row>
    <row r="8688" spans="28:34">
      <c r="AB8688" s="580">
        <f>HLOOKUP("*"&amp;'Output annual'!$AC$2&amp;'Output annual'!$AD$2&amp;"*Zone People Number Of Occupants [](Hourly)",'Eplus results'!$1:$1048576,ROW(),FALSE)</f>
        <v>0</v>
      </c>
      <c r="AC8688" s="580">
        <f>HLOOKUP("*"&amp;'Output annual'!$AC$2&amp;'Output annual'!$AD$2&amp;"*FangerPMV(Hourly)",'Eplus results'!$1:$1048576,ROW(),FALSE)</f>
        <v>0</v>
      </c>
      <c r="AD8688" s="580">
        <f t="shared" si="711"/>
        <v>5</v>
      </c>
      <c r="AE8688" s="580">
        <f t="shared" si="712"/>
        <v>2.5</v>
      </c>
      <c r="AF8688" s="580">
        <f t="shared" si="713"/>
        <v>2.5</v>
      </c>
      <c r="AG8688" s="580">
        <f t="shared" si="714"/>
        <v>0</v>
      </c>
      <c r="AH8688" s="580">
        <f t="shared" si="715"/>
        <v>0</v>
      </c>
    </row>
    <row r="8689" spans="28:34">
      <c r="AB8689" s="580">
        <f>HLOOKUP("*"&amp;'Output annual'!$AC$2&amp;'Output annual'!$AD$2&amp;"*Zone People Number Of Occupants [](Hourly)",'Eplus results'!$1:$1048576,ROW(),FALSE)</f>
        <v>0</v>
      </c>
      <c r="AC8689" s="580">
        <f>HLOOKUP("*"&amp;'Output annual'!$AC$2&amp;'Output annual'!$AD$2&amp;"*FangerPMV(Hourly)",'Eplus results'!$1:$1048576,ROW(),FALSE)</f>
        <v>0</v>
      </c>
      <c r="AD8689" s="580">
        <f t="shared" si="711"/>
        <v>5</v>
      </c>
      <c r="AE8689" s="580">
        <f t="shared" si="712"/>
        <v>2.5</v>
      </c>
      <c r="AF8689" s="580">
        <f t="shared" si="713"/>
        <v>2.5</v>
      </c>
      <c r="AG8689" s="580">
        <f t="shared" si="714"/>
        <v>0</v>
      </c>
      <c r="AH8689" s="580">
        <f t="shared" si="715"/>
        <v>0</v>
      </c>
    </row>
    <row r="8690" spans="28:34">
      <c r="AB8690" s="580">
        <f>HLOOKUP("*"&amp;'Output annual'!$AC$2&amp;'Output annual'!$AD$2&amp;"*Zone People Number Of Occupants [](Hourly)",'Eplus results'!$1:$1048576,ROW(),FALSE)</f>
        <v>0</v>
      </c>
      <c r="AC8690" s="580">
        <f>HLOOKUP("*"&amp;'Output annual'!$AC$2&amp;'Output annual'!$AD$2&amp;"*FangerPMV(Hourly)",'Eplus results'!$1:$1048576,ROW(),FALSE)</f>
        <v>0</v>
      </c>
      <c r="AD8690" s="580">
        <f t="shared" si="711"/>
        <v>5</v>
      </c>
      <c r="AE8690" s="580">
        <f t="shared" si="712"/>
        <v>2.5</v>
      </c>
      <c r="AF8690" s="580">
        <f t="shared" si="713"/>
        <v>2.5</v>
      </c>
      <c r="AG8690" s="580">
        <f t="shared" si="714"/>
        <v>0</v>
      </c>
      <c r="AH8690" s="580">
        <f t="shared" si="715"/>
        <v>0</v>
      </c>
    </row>
    <row r="8691" spans="28:34">
      <c r="AB8691" s="580">
        <f>HLOOKUP("*"&amp;'Output annual'!$AC$2&amp;'Output annual'!$AD$2&amp;"*Zone People Number Of Occupants [](Hourly)",'Eplus results'!$1:$1048576,ROW(),FALSE)</f>
        <v>0</v>
      </c>
      <c r="AC8691" s="580">
        <f>HLOOKUP("*"&amp;'Output annual'!$AC$2&amp;'Output annual'!$AD$2&amp;"*FangerPMV(Hourly)",'Eplus results'!$1:$1048576,ROW(),FALSE)</f>
        <v>0</v>
      </c>
      <c r="AD8691" s="580">
        <f t="shared" si="711"/>
        <v>5</v>
      </c>
      <c r="AE8691" s="580">
        <f t="shared" si="712"/>
        <v>2.5</v>
      </c>
      <c r="AF8691" s="580">
        <f t="shared" si="713"/>
        <v>2.5</v>
      </c>
      <c r="AG8691" s="580">
        <f t="shared" si="714"/>
        <v>0</v>
      </c>
      <c r="AH8691" s="580">
        <f t="shared" si="715"/>
        <v>0</v>
      </c>
    </row>
    <row r="8692" spans="28:34">
      <c r="AB8692" s="580">
        <f>HLOOKUP("*"&amp;'Output annual'!$AC$2&amp;'Output annual'!$AD$2&amp;"*Zone People Number Of Occupants [](Hourly)",'Eplus results'!$1:$1048576,ROW(),FALSE)</f>
        <v>0</v>
      </c>
      <c r="AC8692" s="580">
        <f>HLOOKUP("*"&amp;'Output annual'!$AC$2&amp;'Output annual'!$AD$2&amp;"*FangerPMV(Hourly)",'Eplus results'!$1:$1048576,ROW(),FALSE)</f>
        <v>0</v>
      </c>
      <c r="AD8692" s="580">
        <f t="shared" si="711"/>
        <v>5</v>
      </c>
      <c r="AE8692" s="580">
        <f t="shared" si="712"/>
        <v>2.5</v>
      </c>
      <c r="AF8692" s="580">
        <f t="shared" si="713"/>
        <v>2.5</v>
      </c>
      <c r="AG8692" s="580">
        <f t="shared" si="714"/>
        <v>0</v>
      </c>
      <c r="AH8692" s="580">
        <f t="shared" si="715"/>
        <v>0</v>
      </c>
    </row>
    <row r="8693" spans="28:34">
      <c r="AB8693" s="580">
        <f>HLOOKUP("*"&amp;'Output annual'!$AC$2&amp;'Output annual'!$AD$2&amp;"*Zone People Number Of Occupants [](Hourly)",'Eplus results'!$1:$1048576,ROW(),FALSE)</f>
        <v>0</v>
      </c>
      <c r="AC8693" s="580">
        <f>HLOOKUP("*"&amp;'Output annual'!$AC$2&amp;'Output annual'!$AD$2&amp;"*FangerPMV(Hourly)",'Eplus results'!$1:$1048576,ROW(),FALSE)</f>
        <v>0</v>
      </c>
      <c r="AD8693" s="580">
        <f t="shared" si="711"/>
        <v>5</v>
      </c>
      <c r="AE8693" s="580">
        <f t="shared" si="712"/>
        <v>2.5</v>
      </c>
      <c r="AF8693" s="580">
        <f t="shared" si="713"/>
        <v>2.5</v>
      </c>
      <c r="AG8693" s="580">
        <f t="shared" si="714"/>
        <v>0</v>
      </c>
      <c r="AH8693" s="580">
        <f t="shared" si="715"/>
        <v>0</v>
      </c>
    </row>
    <row r="8694" spans="28:34">
      <c r="AB8694" s="580">
        <f>HLOOKUP("*"&amp;'Output annual'!$AC$2&amp;'Output annual'!$AD$2&amp;"*Zone People Number Of Occupants [](Hourly)",'Eplus results'!$1:$1048576,ROW(),FALSE)</f>
        <v>0</v>
      </c>
      <c r="AC8694" s="580">
        <f>HLOOKUP("*"&amp;'Output annual'!$AC$2&amp;'Output annual'!$AD$2&amp;"*FangerPMV(Hourly)",'Eplus results'!$1:$1048576,ROW(),FALSE)</f>
        <v>0</v>
      </c>
      <c r="AD8694" s="580">
        <f t="shared" si="711"/>
        <v>5</v>
      </c>
      <c r="AE8694" s="580">
        <f t="shared" si="712"/>
        <v>2.5</v>
      </c>
      <c r="AF8694" s="580">
        <f t="shared" si="713"/>
        <v>2.5</v>
      </c>
      <c r="AG8694" s="580">
        <f t="shared" si="714"/>
        <v>0</v>
      </c>
      <c r="AH8694" s="580">
        <f t="shared" si="715"/>
        <v>0</v>
      </c>
    </row>
    <row r="8695" spans="28:34">
      <c r="AB8695" s="580">
        <f>HLOOKUP("*"&amp;'Output annual'!$AC$2&amp;'Output annual'!$AD$2&amp;"*Zone People Number Of Occupants [](Hourly)",'Eplus results'!$1:$1048576,ROW(),FALSE)</f>
        <v>0</v>
      </c>
      <c r="AC8695" s="580">
        <f>HLOOKUP("*"&amp;'Output annual'!$AC$2&amp;'Output annual'!$AD$2&amp;"*FangerPMV(Hourly)",'Eplus results'!$1:$1048576,ROW(),FALSE)</f>
        <v>0</v>
      </c>
      <c r="AD8695" s="580">
        <f t="shared" si="711"/>
        <v>5</v>
      </c>
      <c r="AE8695" s="580">
        <f t="shared" si="712"/>
        <v>2.5</v>
      </c>
      <c r="AF8695" s="580">
        <f t="shared" si="713"/>
        <v>2.5</v>
      </c>
      <c r="AG8695" s="580">
        <f t="shared" si="714"/>
        <v>0</v>
      </c>
      <c r="AH8695" s="580">
        <f t="shared" si="715"/>
        <v>0</v>
      </c>
    </row>
    <row r="8696" spans="28:34">
      <c r="AB8696" s="580">
        <f>HLOOKUP("*"&amp;'Output annual'!$AC$2&amp;'Output annual'!$AD$2&amp;"*Zone People Number Of Occupants [](Hourly)",'Eplus results'!$1:$1048576,ROW(),FALSE)</f>
        <v>0</v>
      </c>
      <c r="AC8696" s="580">
        <f>HLOOKUP("*"&amp;'Output annual'!$AC$2&amp;'Output annual'!$AD$2&amp;"*FangerPMV(Hourly)",'Eplus results'!$1:$1048576,ROW(),FALSE)</f>
        <v>0</v>
      </c>
      <c r="AD8696" s="580">
        <f t="shared" si="711"/>
        <v>5</v>
      </c>
      <c r="AE8696" s="580">
        <f t="shared" si="712"/>
        <v>2.5</v>
      </c>
      <c r="AF8696" s="580">
        <f t="shared" si="713"/>
        <v>2.5</v>
      </c>
      <c r="AG8696" s="580">
        <f t="shared" si="714"/>
        <v>0</v>
      </c>
      <c r="AH8696" s="580">
        <f t="shared" si="715"/>
        <v>0</v>
      </c>
    </row>
    <row r="8697" spans="28:34">
      <c r="AB8697" s="580">
        <f>HLOOKUP("*"&amp;'Output annual'!$AC$2&amp;'Output annual'!$AD$2&amp;"*Zone People Number Of Occupants [](Hourly)",'Eplus results'!$1:$1048576,ROW(),FALSE)</f>
        <v>0</v>
      </c>
      <c r="AC8697" s="580">
        <f>HLOOKUP("*"&amp;'Output annual'!$AC$2&amp;'Output annual'!$AD$2&amp;"*FangerPMV(Hourly)",'Eplus results'!$1:$1048576,ROW(),FALSE)</f>
        <v>0</v>
      </c>
      <c r="AD8697" s="580">
        <f t="shared" si="711"/>
        <v>5</v>
      </c>
      <c r="AE8697" s="580">
        <f t="shared" si="712"/>
        <v>2.5</v>
      </c>
      <c r="AF8697" s="580">
        <f t="shared" si="713"/>
        <v>2.5</v>
      </c>
      <c r="AG8697" s="580">
        <f t="shared" si="714"/>
        <v>0</v>
      </c>
      <c r="AH8697" s="580">
        <f t="shared" si="715"/>
        <v>0</v>
      </c>
    </row>
    <row r="8698" spans="28:34">
      <c r="AB8698" s="580">
        <f>HLOOKUP("*"&amp;'Output annual'!$AC$2&amp;'Output annual'!$AD$2&amp;"*Zone People Number Of Occupants [](Hourly)",'Eplus results'!$1:$1048576,ROW(),FALSE)</f>
        <v>0</v>
      </c>
      <c r="AC8698" s="580">
        <f>HLOOKUP("*"&amp;'Output annual'!$AC$2&amp;'Output annual'!$AD$2&amp;"*FangerPMV(Hourly)",'Eplus results'!$1:$1048576,ROW(),FALSE)</f>
        <v>0</v>
      </c>
      <c r="AD8698" s="580">
        <f t="shared" si="711"/>
        <v>5</v>
      </c>
      <c r="AE8698" s="580">
        <f t="shared" si="712"/>
        <v>2.5</v>
      </c>
      <c r="AF8698" s="580">
        <f t="shared" si="713"/>
        <v>2.5</v>
      </c>
      <c r="AG8698" s="580">
        <f t="shared" si="714"/>
        <v>0</v>
      </c>
      <c r="AH8698" s="580">
        <f t="shared" si="715"/>
        <v>0</v>
      </c>
    </row>
    <row r="8699" spans="28:34">
      <c r="AB8699" s="580">
        <f>HLOOKUP("*"&amp;'Output annual'!$AC$2&amp;'Output annual'!$AD$2&amp;"*Zone People Number Of Occupants [](Hourly)",'Eplus results'!$1:$1048576,ROW(),FALSE)</f>
        <v>0</v>
      </c>
      <c r="AC8699" s="580">
        <f>HLOOKUP("*"&amp;'Output annual'!$AC$2&amp;'Output annual'!$AD$2&amp;"*FangerPMV(Hourly)",'Eplus results'!$1:$1048576,ROW(),FALSE)</f>
        <v>0</v>
      </c>
      <c r="AD8699" s="580">
        <f t="shared" si="711"/>
        <v>5</v>
      </c>
      <c r="AE8699" s="580">
        <f t="shared" si="712"/>
        <v>2.5</v>
      </c>
      <c r="AF8699" s="580">
        <f t="shared" si="713"/>
        <v>2.5</v>
      </c>
      <c r="AG8699" s="580">
        <f t="shared" si="714"/>
        <v>0</v>
      </c>
      <c r="AH8699" s="580">
        <f t="shared" si="715"/>
        <v>0</v>
      </c>
    </row>
    <row r="8700" spans="28:34">
      <c r="AB8700" s="580">
        <f>HLOOKUP("*"&amp;'Output annual'!$AC$2&amp;'Output annual'!$AD$2&amp;"*Zone People Number Of Occupants [](Hourly)",'Eplus results'!$1:$1048576,ROW(),FALSE)</f>
        <v>0</v>
      </c>
      <c r="AC8700" s="580">
        <f>HLOOKUP("*"&amp;'Output annual'!$AC$2&amp;'Output annual'!$AD$2&amp;"*FangerPMV(Hourly)",'Eplus results'!$1:$1048576,ROW(),FALSE)</f>
        <v>0</v>
      </c>
      <c r="AD8700" s="580">
        <f t="shared" si="711"/>
        <v>5</v>
      </c>
      <c r="AE8700" s="580">
        <f t="shared" si="712"/>
        <v>2.5</v>
      </c>
      <c r="AF8700" s="580">
        <f t="shared" si="713"/>
        <v>2.5</v>
      </c>
      <c r="AG8700" s="580">
        <f t="shared" si="714"/>
        <v>0</v>
      </c>
      <c r="AH8700" s="580">
        <f t="shared" si="715"/>
        <v>0</v>
      </c>
    </row>
    <row r="8701" spans="28:34">
      <c r="AB8701" s="580">
        <f>HLOOKUP("*"&amp;'Output annual'!$AC$2&amp;'Output annual'!$AD$2&amp;"*Zone People Number Of Occupants [](Hourly)",'Eplus results'!$1:$1048576,ROW(),FALSE)</f>
        <v>0</v>
      </c>
      <c r="AC8701" s="580">
        <f>HLOOKUP("*"&amp;'Output annual'!$AC$2&amp;'Output annual'!$AD$2&amp;"*FangerPMV(Hourly)",'Eplus results'!$1:$1048576,ROW(),FALSE)</f>
        <v>0</v>
      </c>
      <c r="AD8701" s="580">
        <f t="shared" si="711"/>
        <v>5</v>
      </c>
      <c r="AE8701" s="580">
        <f t="shared" si="712"/>
        <v>2.5</v>
      </c>
      <c r="AF8701" s="580">
        <f t="shared" si="713"/>
        <v>2.5</v>
      </c>
      <c r="AG8701" s="580">
        <f t="shared" si="714"/>
        <v>0</v>
      </c>
      <c r="AH8701" s="580">
        <f t="shared" si="715"/>
        <v>0</v>
      </c>
    </row>
    <row r="8702" spans="28:34">
      <c r="AB8702" s="580">
        <f>HLOOKUP("*"&amp;'Output annual'!$AC$2&amp;'Output annual'!$AD$2&amp;"*Zone People Number Of Occupants [](Hourly)",'Eplus results'!$1:$1048576,ROW(),FALSE)</f>
        <v>0</v>
      </c>
      <c r="AC8702" s="580">
        <f>HLOOKUP("*"&amp;'Output annual'!$AC$2&amp;'Output annual'!$AD$2&amp;"*FangerPMV(Hourly)",'Eplus results'!$1:$1048576,ROW(),FALSE)</f>
        <v>0</v>
      </c>
      <c r="AD8702" s="580">
        <f t="shared" si="711"/>
        <v>5</v>
      </c>
      <c r="AE8702" s="580">
        <f t="shared" si="712"/>
        <v>2.5</v>
      </c>
      <c r="AF8702" s="580">
        <f t="shared" si="713"/>
        <v>2.5</v>
      </c>
      <c r="AG8702" s="580">
        <f t="shared" si="714"/>
        <v>0</v>
      </c>
      <c r="AH8702" s="580">
        <f t="shared" si="715"/>
        <v>0</v>
      </c>
    </row>
    <row r="8703" spans="28:34">
      <c r="AB8703" s="580">
        <f>HLOOKUP("*"&amp;'Output annual'!$AC$2&amp;'Output annual'!$AD$2&amp;"*Zone People Number Of Occupants [](Hourly)",'Eplus results'!$1:$1048576,ROW(),FALSE)</f>
        <v>0</v>
      </c>
      <c r="AC8703" s="580">
        <f>HLOOKUP("*"&amp;'Output annual'!$AC$2&amp;'Output annual'!$AD$2&amp;"*FangerPMV(Hourly)",'Eplus results'!$1:$1048576,ROW(),FALSE)</f>
        <v>0</v>
      </c>
      <c r="AD8703" s="580">
        <f t="shared" si="711"/>
        <v>5</v>
      </c>
      <c r="AE8703" s="580">
        <f t="shared" si="712"/>
        <v>2.5</v>
      </c>
      <c r="AF8703" s="580">
        <f t="shared" si="713"/>
        <v>2.5</v>
      </c>
      <c r="AG8703" s="580">
        <f t="shared" si="714"/>
        <v>0</v>
      </c>
      <c r="AH8703" s="580">
        <f t="shared" si="715"/>
        <v>0</v>
      </c>
    </row>
    <row r="8704" spans="28:34">
      <c r="AB8704" s="580">
        <f>HLOOKUP("*"&amp;'Output annual'!$AC$2&amp;'Output annual'!$AD$2&amp;"*Zone People Number Of Occupants [](Hourly)",'Eplus results'!$1:$1048576,ROW(),FALSE)</f>
        <v>0</v>
      </c>
      <c r="AC8704" s="580">
        <f>HLOOKUP("*"&amp;'Output annual'!$AC$2&amp;'Output annual'!$AD$2&amp;"*FangerPMV(Hourly)",'Eplus results'!$1:$1048576,ROW(),FALSE)</f>
        <v>0</v>
      </c>
      <c r="AD8704" s="580">
        <f t="shared" si="711"/>
        <v>5</v>
      </c>
      <c r="AE8704" s="580">
        <f t="shared" si="712"/>
        <v>2.5</v>
      </c>
      <c r="AF8704" s="580">
        <f t="shared" si="713"/>
        <v>2.5</v>
      </c>
      <c r="AG8704" s="580">
        <f t="shared" si="714"/>
        <v>0</v>
      </c>
      <c r="AH8704" s="580">
        <f t="shared" si="715"/>
        <v>0</v>
      </c>
    </row>
    <row r="8705" spans="28:34">
      <c r="AB8705" s="580">
        <f>HLOOKUP("*"&amp;'Output annual'!$AC$2&amp;'Output annual'!$AD$2&amp;"*Zone People Number Of Occupants [](Hourly)",'Eplus results'!$1:$1048576,ROW(),FALSE)</f>
        <v>0</v>
      </c>
      <c r="AC8705" s="580">
        <f>HLOOKUP("*"&amp;'Output annual'!$AC$2&amp;'Output annual'!$AD$2&amp;"*FangerPMV(Hourly)",'Eplus results'!$1:$1048576,ROW(),FALSE)</f>
        <v>0</v>
      </c>
      <c r="AD8705" s="580">
        <f t="shared" si="711"/>
        <v>5</v>
      </c>
      <c r="AE8705" s="580">
        <f t="shared" si="712"/>
        <v>2.5</v>
      </c>
      <c r="AF8705" s="580">
        <f t="shared" si="713"/>
        <v>2.5</v>
      </c>
      <c r="AG8705" s="580">
        <f t="shared" si="714"/>
        <v>0</v>
      </c>
      <c r="AH8705" s="580">
        <f t="shared" si="715"/>
        <v>0</v>
      </c>
    </row>
    <row r="8706" spans="28:34">
      <c r="AB8706" s="580">
        <f>HLOOKUP("*"&amp;'Output annual'!$AC$2&amp;'Output annual'!$AD$2&amp;"*Zone People Number Of Occupants [](Hourly)",'Eplus results'!$1:$1048576,ROW(),FALSE)</f>
        <v>0</v>
      </c>
      <c r="AC8706" s="580">
        <f>HLOOKUP("*"&amp;'Output annual'!$AC$2&amp;'Output annual'!$AD$2&amp;"*FangerPMV(Hourly)",'Eplus results'!$1:$1048576,ROW(),FALSE)</f>
        <v>0</v>
      </c>
      <c r="AD8706" s="580">
        <f t="shared" si="711"/>
        <v>5</v>
      </c>
      <c r="AE8706" s="580">
        <f t="shared" si="712"/>
        <v>2.5</v>
      </c>
      <c r="AF8706" s="580">
        <f t="shared" si="713"/>
        <v>2.5</v>
      </c>
      <c r="AG8706" s="580">
        <f t="shared" si="714"/>
        <v>0</v>
      </c>
      <c r="AH8706" s="580">
        <f t="shared" si="715"/>
        <v>0</v>
      </c>
    </row>
    <row r="8707" spans="28:34">
      <c r="AB8707" s="580">
        <f>HLOOKUP("*"&amp;'Output annual'!$AC$2&amp;'Output annual'!$AD$2&amp;"*Zone People Number Of Occupants [](Hourly)",'Eplus results'!$1:$1048576,ROW(),FALSE)</f>
        <v>0</v>
      </c>
      <c r="AC8707" s="580">
        <f>HLOOKUP("*"&amp;'Output annual'!$AC$2&amp;'Output annual'!$AD$2&amp;"*FangerPMV(Hourly)",'Eplus results'!$1:$1048576,ROW(),FALSE)</f>
        <v>0</v>
      </c>
      <c r="AD8707" s="580">
        <f t="shared" ref="AD8707:AD8762" si="716">100-95*EXP(-0.03353*AC8707^4-0.2179*AC8707^2)</f>
        <v>5</v>
      </c>
      <c r="AE8707" s="580">
        <f t="shared" ref="AE8707:AE8762" si="717">AD8707*(1/(1+EXP(-6.3*$AC8707)))</f>
        <v>2.5</v>
      </c>
      <c r="AF8707" s="580">
        <f t="shared" ref="AF8707:AF8762" si="718">(AD8707-AE8707)</f>
        <v>2.5</v>
      </c>
      <c r="AG8707" s="580">
        <f t="shared" ref="AG8707:AG8762" si="719">AE8707*AB8707</f>
        <v>0</v>
      </c>
      <c r="AH8707" s="580">
        <f t="shared" ref="AH8707:AH8762" si="720">AF8707*AB8707</f>
        <v>0</v>
      </c>
    </row>
    <row r="8708" spans="28:34">
      <c r="AB8708" s="580">
        <f>HLOOKUP("*"&amp;'Output annual'!$AC$2&amp;'Output annual'!$AD$2&amp;"*Zone People Number Of Occupants [](Hourly)",'Eplus results'!$1:$1048576,ROW(),FALSE)</f>
        <v>0</v>
      </c>
      <c r="AC8708" s="580">
        <f>HLOOKUP("*"&amp;'Output annual'!$AC$2&amp;'Output annual'!$AD$2&amp;"*FangerPMV(Hourly)",'Eplus results'!$1:$1048576,ROW(),FALSE)</f>
        <v>0</v>
      </c>
      <c r="AD8708" s="580">
        <f t="shared" si="716"/>
        <v>5</v>
      </c>
      <c r="AE8708" s="580">
        <f t="shared" si="717"/>
        <v>2.5</v>
      </c>
      <c r="AF8708" s="580">
        <f t="shared" si="718"/>
        <v>2.5</v>
      </c>
      <c r="AG8708" s="580">
        <f t="shared" si="719"/>
        <v>0</v>
      </c>
      <c r="AH8708" s="580">
        <f t="shared" si="720"/>
        <v>0</v>
      </c>
    </row>
    <row r="8709" spans="28:34">
      <c r="AB8709" s="580">
        <f>HLOOKUP("*"&amp;'Output annual'!$AC$2&amp;'Output annual'!$AD$2&amp;"*Zone People Number Of Occupants [](Hourly)",'Eplus results'!$1:$1048576,ROW(),FALSE)</f>
        <v>0</v>
      </c>
      <c r="AC8709" s="580">
        <f>HLOOKUP("*"&amp;'Output annual'!$AC$2&amp;'Output annual'!$AD$2&amp;"*FangerPMV(Hourly)",'Eplus results'!$1:$1048576,ROW(),FALSE)</f>
        <v>0</v>
      </c>
      <c r="AD8709" s="580">
        <f t="shared" si="716"/>
        <v>5</v>
      </c>
      <c r="AE8709" s="580">
        <f t="shared" si="717"/>
        <v>2.5</v>
      </c>
      <c r="AF8709" s="580">
        <f t="shared" si="718"/>
        <v>2.5</v>
      </c>
      <c r="AG8709" s="580">
        <f t="shared" si="719"/>
        <v>0</v>
      </c>
      <c r="AH8709" s="580">
        <f t="shared" si="720"/>
        <v>0</v>
      </c>
    </row>
    <row r="8710" spans="28:34">
      <c r="AB8710" s="580">
        <f>HLOOKUP("*"&amp;'Output annual'!$AC$2&amp;'Output annual'!$AD$2&amp;"*Zone People Number Of Occupants [](Hourly)",'Eplus results'!$1:$1048576,ROW(),FALSE)</f>
        <v>0</v>
      </c>
      <c r="AC8710" s="580">
        <f>HLOOKUP("*"&amp;'Output annual'!$AC$2&amp;'Output annual'!$AD$2&amp;"*FangerPMV(Hourly)",'Eplus results'!$1:$1048576,ROW(),FALSE)</f>
        <v>0</v>
      </c>
      <c r="AD8710" s="580">
        <f t="shared" si="716"/>
        <v>5</v>
      </c>
      <c r="AE8710" s="580">
        <f t="shared" si="717"/>
        <v>2.5</v>
      </c>
      <c r="AF8710" s="580">
        <f t="shared" si="718"/>
        <v>2.5</v>
      </c>
      <c r="AG8710" s="580">
        <f t="shared" si="719"/>
        <v>0</v>
      </c>
      <c r="AH8710" s="580">
        <f t="shared" si="720"/>
        <v>0</v>
      </c>
    </row>
    <row r="8711" spans="28:34">
      <c r="AB8711" s="580">
        <f>HLOOKUP("*"&amp;'Output annual'!$AC$2&amp;'Output annual'!$AD$2&amp;"*Zone People Number Of Occupants [](Hourly)",'Eplus results'!$1:$1048576,ROW(),FALSE)</f>
        <v>0</v>
      </c>
      <c r="AC8711" s="580">
        <f>HLOOKUP("*"&amp;'Output annual'!$AC$2&amp;'Output annual'!$AD$2&amp;"*FangerPMV(Hourly)",'Eplus results'!$1:$1048576,ROW(),FALSE)</f>
        <v>0</v>
      </c>
      <c r="AD8711" s="580">
        <f t="shared" si="716"/>
        <v>5</v>
      </c>
      <c r="AE8711" s="580">
        <f t="shared" si="717"/>
        <v>2.5</v>
      </c>
      <c r="AF8711" s="580">
        <f t="shared" si="718"/>
        <v>2.5</v>
      </c>
      <c r="AG8711" s="580">
        <f t="shared" si="719"/>
        <v>0</v>
      </c>
      <c r="AH8711" s="580">
        <f t="shared" si="720"/>
        <v>0</v>
      </c>
    </row>
    <row r="8712" spans="28:34">
      <c r="AB8712" s="580">
        <f>HLOOKUP("*"&amp;'Output annual'!$AC$2&amp;'Output annual'!$AD$2&amp;"*Zone People Number Of Occupants [](Hourly)",'Eplus results'!$1:$1048576,ROW(),FALSE)</f>
        <v>0</v>
      </c>
      <c r="AC8712" s="580">
        <f>HLOOKUP("*"&amp;'Output annual'!$AC$2&amp;'Output annual'!$AD$2&amp;"*FangerPMV(Hourly)",'Eplus results'!$1:$1048576,ROW(),FALSE)</f>
        <v>0</v>
      </c>
      <c r="AD8712" s="580">
        <f t="shared" si="716"/>
        <v>5</v>
      </c>
      <c r="AE8712" s="580">
        <f t="shared" si="717"/>
        <v>2.5</v>
      </c>
      <c r="AF8712" s="580">
        <f t="shared" si="718"/>
        <v>2.5</v>
      </c>
      <c r="AG8712" s="580">
        <f t="shared" si="719"/>
        <v>0</v>
      </c>
      <c r="AH8712" s="580">
        <f t="shared" si="720"/>
        <v>0</v>
      </c>
    </row>
    <row r="8713" spans="28:34">
      <c r="AB8713" s="580">
        <f>HLOOKUP("*"&amp;'Output annual'!$AC$2&amp;'Output annual'!$AD$2&amp;"*Zone People Number Of Occupants [](Hourly)",'Eplus results'!$1:$1048576,ROW(),FALSE)</f>
        <v>0</v>
      </c>
      <c r="AC8713" s="580">
        <f>HLOOKUP("*"&amp;'Output annual'!$AC$2&amp;'Output annual'!$AD$2&amp;"*FangerPMV(Hourly)",'Eplus results'!$1:$1048576,ROW(),FALSE)</f>
        <v>0</v>
      </c>
      <c r="AD8713" s="580">
        <f t="shared" si="716"/>
        <v>5</v>
      </c>
      <c r="AE8713" s="580">
        <f t="shared" si="717"/>
        <v>2.5</v>
      </c>
      <c r="AF8713" s="580">
        <f t="shared" si="718"/>
        <v>2.5</v>
      </c>
      <c r="AG8713" s="580">
        <f t="shared" si="719"/>
        <v>0</v>
      </c>
      <c r="AH8713" s="580">
        <f t="shared" si="720"/>
        <v>0</v>
      </c>
    </row>
    <row r="8714" spans="28:34">
      <c r="AB8714" s="580">
        <f>HLOOKUP("*"&amp;'Output annual'!$AC$2&amp;'Output annual'!$AD$2&amp;"*Zone People Number Of Occupants [](Hourly)",'Eplus results'!$1:$1048576,ROW(),FALSE)</f>
        <v>0</v>
      </c>
      <c r="AC8714" s="580">
        <f>HLOOKUP("*"&amp;'Output annual'!$AC$2&amp;'Output annual'!$AD$2&amp;"*FangerPMV(Hourly)",'Eplus results'!$1:$1048576,ROW(),FALSE)</f>
        <v>0</v>
      </c>
      <c r="AD8714" s="580">
        <f t="shared" si="716"/>
        <v>5</v>
      </c>
      <c r="AE8714" s="580">
        <f t="shared" si="717"/>
        <v>2.5</v>
      </c>
      <c r="AF8714" s="580">
        <f t="shared" si="718"/>
        <v>2.5</v>
      </c>
      <c r="AG8714" s="580">
        <f t="shared" si="719"/>
        <v>0</v>
      </c>
      <c r="AH8714" s="580">
        <f t="shared" si="720"/>
        <v>0</v>
      </c>
    </row>
    <row r="8715" spans="28:34">
      <c r="AB8715" s="580">
        <f>HLOOKUP("*"&amp;'Output annual'!$AC$2&amp;'Output annual'!$AD$2&amp;"*Zone People Number Of Occupants [](Hourly)",'Eplus results'!$1:$1048576,ROW(),FALSE)</f>
        <v>0</v>
      </c>
      <c r="AC8715" s="580">
        <f>HLOOKUP("*"&amp;'Output annual'!$AC$2&amp;'Output annual'!$AD$2&amp;"*FangerPMV(Hourly)",'Eplus results'!$1:$1048576,ROW(),FALSE)</f>
        <v>0</v>
      </c>
      <c r="AD8715" s="580">
        <f t="shared" si="716"/>
        <v>5</v>
      </c>
      <c r="AE8715" s="580">
        <f t="shared" si="717"/>
        <v>2.5</v>
      </c>
      <c r="AF8715" s="580">
        <f t="shared" si="718"/>
        <v>2.5</v>
      </c>
      <c r="AG8715" s="580">
        <f t="shared" si="719"/>
        <v>0</v>
      </c>
      <c r="AH8715" s="580">
        <f t="shared" si="720"/>
        <v>0</v>
      </c>
    </row>
    <row r="8716" spans="28:34">
      <c r="AB8716" s="580">
        <f>HLOOKUP("*"&amp;'Output annual'!$AC$2&amp;'Output annual'!$AD$2&amp;"*Zone People Number Of Occupants [](Hourly)",'Eplus results'!$1:$1048576,ROW(),FALSE)</f>
        <v>0</v>
      </c>
      <c r="AC8716" s="580">
        <f>HLOOKUP("*"&amp;'Output annual'!$AC$2&amp;'Output annual'!$AD$2&amp;"*FangerPMV(Hourly)",'Eplus results'!$1:$1048576,ROW(),FALSE)</f>
        <v>0</v>
      </c>
      <c r="AD8716" s="580">
        <f t="shared" si="716"/>
        <v>5</v>
      </c>
      <c r="AE8716" s="580">
        <f t="shared" si="717"/>
        <v>2.5</v>
      </c>
      <c r="AF8716" s="580">
        <f t="shared" si="718"/>
        <v>2.5</v>
      </c>
      <c r="AG8716" s="580">
        <f t="shared" si="719"/>
        <v>0</v>
      </c>
      <c r="AH8716" s="580">
        <f t="shared" si="720"/>
        <v>0</v>
      </c>
    </row>
    <row r="8717" spans="28:34">
      <c r="AB8717" s="580">
        <f>HLOOKUP("*"&amp;'Output annual'!$AC$2&amp;'Output annual'!$AD$2&amp;"*Zone People Number Of Occupants [](Hourly)",'Eplus results'!$1:$1048576,ROW(),FALSE)</f>
        <v>0</v>
      </c>
      <c r="AC8717" s="580">
        <f>HLOOKUP("*"&amp;'Output annual'!$AC$2&amp;'Output annual'!$AD$2&amp;"*FangerPMV(Hourly)",'Eplus results'!$1:$1048576,ROW(),FALSE)</f>
        <v>0</v>
      </c>
      <c r="AD8717" s="580">
        <f t="shared" si="716"/>
        <v>5</v>
      </c>
      <c r="AE8717" s="580">
        <f t="shared" si="717"/>
        <v>2.5</v>
      </c>
      <c r="AF8717" s="580">
        <f t="shared" si="718"/>
        <v>2.5</v>
      </c>
      <c r="AG8717" s="580">
        <f t="shared" si="719"/>
        <v>0</v>
      </c>
      <c r="AH8717" s="580">
        <f t="shared" si="720"/>
        <v>0</v>
      </c>
    </row>
    <row r="8718" spans="28:34">
      <c r="AB8718" s="580">
        <f>HLOOKUP("*"&amp;'Output annual'!$AC$2&amp;'Output annual'!$AD$2&amp;"*Zone People Number Of Occupants [](Hourly)",'Eplus results'!$1:$1048576,ROW(),FALSE)</f>
        <v>0</v>
      </c>
      <c r="AC8718" s="580">
        <f>HLOOKUP("*"&amp;'Output annual'!$AC$2&amp;'Output annual'!$AD$2&amp;"*FangerPMV(Hourly)",'Eplus results'!$1:$1048576,ROW(),FALSE)</f>
        <v>0</v>
      </c>
      <c r="AD8718" s="580">
        <f t="shared" si="716"/>
        <v>5</v>
      </c>
      <c r="AE8718" s="580">
        <f t="shared" si="717"/>
        <v>2.5</v>
      </c>
      <c r="AF8718" s="580">
        <f t="shared" si="718"/>
        <v>2.5</v>
      </c>
      <c r="AG8718" s="580">
        <f t="shared" si="719"/>
        <v>0</v>
      </c>
      <c r="AH8718" s="580">
        <f t="shared" si="720"/>
        <v>0</v>
      </c>
    </row>
    <row r="8719" spans="28:34">
      <c r="AB8719" s="580">
        <f>HLOOKUP("*"&amp;'Output annual'!$AC$2&amp;'Output annual'!$AD$2&amp;"*Zone People Number Of Occupants [](Hourly)",'Eplus results'!$1:$1048576,ROW(),FALSE)</f>
        <v>0</v>
      </c>
      <c r="AC8719" s="580">
        <f>HLOOKUP("*"&amp;'Output annual'!$AC$2&amp;'Output annual'!$AD$2&amp;"*FangerPMV(Hourly)",'Eplus results'!$1:$1048576,ROW(),FALSE)</f>
        <v>0</v>
      </c>
      <c r="AD8719" s="580">
        <f t="shared" si="716"/>
        <v>5</v>
      </c>
      <c r="AE8719" s="580">
        <f t="shared" si="717"/>
        <v>2.5</v>
      </c>
      <c r="AF8719" s="580">
        <f t="shared" si="718"/>
        <v>2.5</v>
      </c>
      <c r="AG8719" s="580">
        <f t="shared" si="719"/>
        <v>0</v>
      </c>
      <c r="AH8719" s="580">
        <f t="shared" si="720"/>
        <v>0</v>
      </c>
    </row>
    <row r="8720" spans="28:34">
      <c r="AB8720" s="580">
        <f>HLOOKUP("*"&amp;'Output annual'!$AC$2&amp;'Output annual'!$AD$2&amp;"*Zone People Number Of Occupants [](Hourly)",'Eplus results'!$1:$1048576,ROW(),FALSE)</f>
        <v>0</v>
      </c>
      <c r="AC8720" s="580">
        <f>HLOOKUP("*"&amp;'Output annual'!$AC$2&amp;'Output annual'!$AD$2&amp;"*FangerPMV(Hourly)",'Eplus results'!$1:$1048576,ROW(),FALSE)</f>
        <v>0</v>
      </c>
      <c r="AD8720" s="580">
        <f t="shared" si="716"/>
        <v>5</v>
      </c>
      <c r="AE8720" s="580">
        <f t="shared" si="717"/>
        <v>2.5</v>
      </c>
      <c r="AF8720" s="580">
        <f t="shared" si="718"/>
        <v>2.5</v>
      </c>
      <c r="AG8720" s="580">
        <f t="shared" si="719"/>
        <v>0</v>
      </c>
      <c r="AH8720" s="580">
        <f t="shared" si="720"/>
        <v>0</v>
      </c>
    </row>
    <row r="8721" spans="28:34">
      <c r="AB8721" s="580">
        <f>HLOOKUP("*"&amp;'Output annual'!$AC$2&amp;'Output annual'!$AD$2&amp;"*Zone People Number Of Occupants [](Hourly)",'Eplus results'!$1:$1048576,ROW(),FALSE)</f>
        <v>0</v>
      </c>
      <c r="AC8721" s="580">
        <f>HLOOKUP("*"&amp;'Output annual'!$AC$2&amp;'Output annual'!$AD$2&amp;"*FangerPMV(Hourly)",'Eplus results'!$1:$1048576,ROW(),FALSE)</f>
        <v>0</v>
      </c>
      <c r="AD8721" s="580">
        <f t="shared" si="716"/>
        <v>5</v>
      </c>
      <c r="AE8721" s="580">
        <f t="shared" si="717"/>
        <v>2.5</v>
      </c>
      <c r="AF8721" s="580">
        <f t="shared" si="718"/>
        <v>2.5</v>
      </c>
      <c r="AG8721" s="580">
        <f t="shared" si="719"/>
        <v>0</v>
      </c>
      <c r="AH8721" s="580">
        <f t="shared" si="720"/>
        <v>0</v>
      </c>
    </row>
    <row r="8722" spans="28:34">
      <c r="AB8722" s="580">
        <f>HLOOKUP("*"&amp;'Output annual'!$AC$2&amp;'Output annual'!$AD$2&amp;"*Zone People Number Of Occupants [](Hourly)",'Eplus results'!$1:$1048576,ROW(),FALSE)</f>
        <v>0</v>
      </c>
      <c r="AC8722" s="580">
        <f>HLOOKUP("*"&amp;'Output annual'!$AC$2&amp;'Output annual'!$AD$2&amp;"*FangerPMV(Hourly)",'Eplus results'!$1:$1048576,ROW(),FALSE)</f>
        <v>0</v>
      </c>
      <c r="AD8722" s="580">
        <f t="shared" si="716"/>
        <v>5</v>
      </c>
      <c r="AE8722" s="580">
        <f t="shared" si="717"/>
        <v>2.5</v>
      </c>
      <c r="AF8722" s="580">
        <f t="shared" si="718"/>
        <v>2.5</v>
      </c>
      <c r="AG8722" s="580">
        <f t="shared" si="719"/>
        <v>0</v>
      </c>
      <c r="AH8722" s="580">
        <f t="shared" si="720"/>
        <v>0</v>
      </c>
    </row>
    <row r="8723" spans="28:34">
      <c r="AB8723" s="580">
        <f>HLOOKUP("*"&amp;'Output annual'!$AC$2&amp;'Output annual'!$AD$2&amp;"*Zone People Number Of Occupants [](Hourly)",'Eplus results'!$1:$1048576,ROW(),FALSE)</f>
        <v>0</v>
      </c>
      <c r="AC8723" s="580">
        <f>HLOOKUP("*"&amp;'Output annual'!$AC$2&amp;'Output annual'!$AD$2&amp;"*FangerPMV(Hourly)",'Eplus results'!$1:$1048576,ROW(),FALSE)</f>
        <v>0</v>
      </c>
      <c r="AD8723" s="580">
        <f t="shared" si="716"/>
        <v>5</v>
      </c>
      <c r="AE8723" s="580">
        <f t="shared" si="717"/>
        <v>2.5</v>
      </c>
      <c r="AF8723" s="580">
        <f t="shared" si="718"/>
        <v>2.5</v>
      </c>
      <c r="AG8723" s="580">
        <f t="shared" si="719"/>
        <v>0</v>
      </c>
      <c r="AH8723" s="580">
        <f t="shared" si="720"/>
        <v>0</v>
      </c>
    </row>
    <row r="8724" spans="28:34">
      <c r="AB8724" s="580">
        <f>HLOOKUP("*"&amp;'Output annual'!$AC$2&amp;'Output annual'!$AD$2&amp;"*Zone People Number Of Occupants [](Hourly)",'Eplus results'!$1:$1048576,ROW(),FALSE)</f>
        <v>0</v>
      </c>
      <c r="AC8724" s="580">
        <f>HLOOKUP("*"&amp;'Output annual'!$AC$2&amp;'Output annual'!$AD$2&amp;"*FangerPMV(Hourly)",'Eplus results'!$1:$1048576,ROW(),FALSE)</f>
        <v>0</v>
      </c>
      <c r="AD8724" s="580">
        <f t="shared" si="716"/>
        <v>5</v>
      </c>
      <c r="AE8724" s="580">
        <f t="shared" si="717"/>
        <v>2.5</v>
      </c>
      <c r="AF8724" s="580">
        <f t="shared" si="718"/>
        <v>2.5</v>
      </c>
      <c r="AG8724" s="580">
        <f t="shared" si="719"/>
        <v>0</v>
      </c>
      <c r="AH8724" s="580">
        <f t="shared" si="720"/>
        <v>0</v>
      </c>
    </row>
    <row r="8725" spans="28:34">
      <c r="AB8725" s="580">
        <f>HLOOKUP("*"&amp;'Output annual'!$AC$2&amp;'Output annual'!$AD$2&amp;"*Zone People Number Of Occupants [](Hourly)",'Eplus results'!$1:$1048576,ROW(),FALSE)</f>
        <v>0</v>
      </c>
      <c r="AC8725" s="580">
        <f>HLOOKUP("*"&amp;'Output annual'!$AC$2&amp;'Output annual'!$AD$2&amp;"*FangerPMV(Hourly)",'Eplus results'!$1:$1048576,ROW(),FALSE)</f>
        <v>0</v>
      </c>
      <c r="AD8725" s="580">
        <f t="shared" si="716"/>
        <v>5</v>
      </c>
      <c r="AE8725" s="580">
        <f t="shared" si="717"/>
        <v>2.5</v>
      </c>
      <c r="AF8725" s="580">
        <f t="shared" si="718"/>
        <v>2.5</v>
      </c>
      <c r="AG8725" s="580">
        <f t="shared" si="719"/>
        <v>0</v>
      </c>
      <c r="AH8725" s="580">
        <f t="shared" si="720"/>
        <v>0</v>
      </c>
    </row>
    <row r="8726" spans="28:34">
      <c r="AB8726" s="580">
        <f>HLOOKUP("*"&amp;'Output annual'!$AC$2&amp;'Output annual'!$AD$2&amp;"*Zone People Number Of Occupants [](Hourly)",'Eplus results'!$1:$1048576,ROW(),FALSE)</f>
        <v>0</v>
      </c>
      <c r="AC8726" s="580">
        <f>HLOOKUP("*"&amp;'Output annual'!$AC$2&amp;'Output annual'!$AD$2&amp;"*FangerPMV(Hourly)",'Eplus results'!$1:$1048576,ROW(),FALSE)</f>
        <v>0</v>
      </c>
      <c r="AD8726" s="580">
        <f t="shared" si="716"/>
        <v>5</v>
      </c>
      <c r="AE8726" s="580">
        <f t="shared" si="717"/>
        <v>2.5</v>
      </c>
      <c r="AF8726" s="580">
        <f t="shared" si="718"/>
        <v>2.5</v>
      </c>
      <c r="AG8726" s="580">
        <f t="shared" si="719"/>
        <v>0</v>
      </c>
      <c r="AH8726" s="580">
        <f t="shared" si="720"/>
        <v>0</v>
      </c>
    </row>
    <row r="8727" spans="28:34">
      <c r="AB8727" s="580">
        <f>HLOOKUP("*"&amp;'Output annual'!$AC$2&amp;'Output annual'!$AD$2&amp;"*Zone People Number Of Occupants [](Hourly)",'Eplus results'!$1:$1048576,ROW(),FALSE)</f>
        <v>0</v>
      </c>
      <c r="AC8727" s="580">
        <f>HLOOKUP("*"&amp;'Output annual'!$AC$2&amp;'Output annual'!$AD$2&amp;"*FangerPMV(Hourly)",'Eplus results'!$1:$1048576,ROW(),FALSE)</f>
        <v>0</v>
      </c>
      <c r="AD8727" s="580">
        <f t="shared" si="716"/>
        <v>5</v>
      </c>
      <c r="AE8727" s="580">
        <f t="shared" si="717"/>
        <v>2.5</v>
      </c>
      <c r="AF8727" s="580">
        <f t="shared" si="718"/>
        <v>2.5</v>
      </c>
      <c r="AG8727" s="580">
        <f t="shared" si="719"/>
        <v>0</v>
      </c>
      <c r="AH8727" s="580">
        <f t="shared" si="720"/>
        <v>0</v>
      </c>
    </row>
    <row r="8728" spans="28:34">
      <c r="AB8728" s="580">
        <f>HLOOKUP("*"&amp;'Output annual'!$AC$2&amp;'Output annual'!$AD$2&amp;"*Zone People Number Of Occupants [](Hourly)",'Eplus results'!$1:$1048576,ROW(),FALSE)</f>
        <v>0</v>
      </c>
      <c r="AC8728" s="580">
        <f>HLOOKUP("*"&amp;'Output annual'!$AC$2&amp;'Output annual'!$AD$2&amp;"*FangerPMV(Hourly)",'Eplus results'!$1:$1048576,ROW(),FALSE)</f>
        <v>0</v>
      </c>
      <c r="AD8728" s="580">
        <f t="shared" si="716"/>
        <v>5</v>
      </c>
      <c r="AE8728" s="580">
        <f t="shared" si="717"/>
        <v>2.5</v>
      </c>
      <c r="AF8728" s="580">
        <f t="shared" si="718"/>
        <v>2.5</v>
      </c>
      <c r="AG8728" s="580">
        <f t="shared" si="719"/>
        <v>0</v>
      </c>
      <c r="AH8728" s="580">
        <f t="shared" si="720"/>
        <v>0</v>
      </c>
    </row>
    <row r="8729" spans="28:34">
      <c r="AB8729" s="580">
        <f>HLOOKUP("*"&amp;'Output annual'!$AC$2&amp;'Output annual'!$AD$2&amp;"*Zone People Number Of Occupants [](Hourly)",'Eplus results'!$1:$1048576,ROW(),FALSE)</f>
        <v>0</v>
      </c>
      <c r="AC8729" s="580">
        <f>HLOOKUP("*"&amp;'Output annual'!$AC$2&amp;'Output annual'!$AD$2&amp;"*FangerPMV(Hourly)",'Eplus results'!$1:$1048576,ROW(),FALSE)</f>
        <v>0</v>
      </c>
      <c r="AD8729" s="580">
        <f t="shared" si="716"/>
        <v>5</v>
      </c>
      <c r="AE8729" s="580">
        <f t="shared" si="717"/>
        <v>2.5</v>
      </c>
      <c r="AF8729" s="580">
        <f t="shared" si="718"/>
        <v>2.5</v>
      </c>
      <c r="AG8729" s="580">
        <f t="shared" si="719"/>
        <v>0</v>
      </c>
      <c r="AH8729" s="580">
        <f t="shared" si="720"/>
        <v>0</v>
      </c>
    </row>
    <row r="8730" spans="28:34">
      <c r="AB8730" s="580">
        <f>HLOOKUP("*"&amp;'Output annual'!$AC$2&amp;'Output annual'!$AD$2&amp;"*Zone People Number Of Occupants [](Hourly)",'Eplus results'!$1:$1048576,ROW(),FALSE)</f>
        <v>0</v>
      </c>
      <c r="AC8730" s="580">
        <f>HLOOKUP("*"&amp;'Output annual'!$AC$2&amp;'Output annual'!$AD$2&amp;"*FangerPMV(Hourly)",'Eplus results'!$1:$1048576,ROW(),FALSE)</f>
        <v>0</v>
      </c>
      <c r="AD8730" s="580">
        <f t="shared" si="716"/>
        <v>5</v>
      </c>
      <c r="AE8730" s="580">
        <f t="shared" si="717"/>
        <v>2.5</v>
      </c>
      <c r="AF8730" s="580">
        <f t="shared" si="718"/>
        <v>2.5</v>
      </c>
      <c r="AG8730" s="580">
        <f t="shared" si="719"/>
        <v>0</v>
      </c>
      <c r="AH8730" s="580">
        <f t="shared" si="720"/>
        <v>0</v>
      </c>
    </row>
    <row r="8731" spans="28:34">
      <c r="AB8731" s="580">
        <f>HLOOKUP("*"&amp;'Output annual'!$AC$2&amp;'Output annual'!$AD$2&amp;"*Zone People Number Of Occupants [](Hourly)",'Eplus results'!$1:$1048576,ROW(),FALSE)</f>
        <v>0</v>
      </c>
      <c r="AC8731" s="580">
        <f>HLOOKUP("*"&amp;'Output annual'!$AC$2&amp;'Output annual'!$AD$2&amp;"*FangerPMV(Hourly)",'Eplus results'!$1:$1048576,ROW(),FALSE)</f>
        <v>0</v>
      </c>
      <c r="AD8731" s="580">
        <f t="shared" si="716"/>
        <v>5</v>
      </c>
      <c r="AE8731" s="580">
        <f t="shared" si="717"/>
        <v>2.5</v>
      </c>
      <c r="AF8731" s="580">
        <f t="shared" si="718"/>
        <v>2.5</v>
      </c>
      <c r="AG8731" s="580">
        <f t="shared" si="719"/>
        <v>0</v>
      </c>
      <c r="AH8731" s="580">
        <f t="shared" si="720"/>
        <v>0</v>
      </c>
    </row>
    <row r="8732" spans="28:34">
      <c r="AB8732" s="580">
        <f>HLOOKUP("*"&amp;'Output annual'!$AC$2&amp;'Output annual'!$AD$2&amp;"*Zone People Number Of Occupants [](Hourly)",'Eplus results'!$1:$1048576,ROW(),FALSE)</f>
        <v>0</v>
      </c>
      <c r="AC8732" s="580">
        <f>HLOOKUP("*"&amp;'Output annual'!$AC$2&amp;'Output annual'!$AD$2&amp;"*FangerPMV(Hourly)",'Eplus results'!$1:$1048576,ROW(),FALSE)</f>
        <v>0</v>
      </c>
      <c r="AD8732" s="580">
        <f t="shared" si="716"/>
        <v>5</v>
      </c>
      <c r="AE8732" s="580">
        <f t="shared" si="717"/>
        <v>2.5</v>
      </c>
      <c r="AF8732" s="580">
        <f t="shared" si="718"/>
        <v>2.5</v>
      </c>
      <c r="AG8732" s="580">
        <f t="shared" si="719"/>
        <v>0</v>
      </c>
      <c r="AH8732" s="580">
        <f t="shared" si="720"/>
        <v>0</v>
      </c>
    </row>
    <row r="8733" spans="28:34">
      <c r="AB8733" s="580">
        <f>HLOOKUP("*"&amp;'Output annual'!$AC$2&amp;'Output annual'!$AD$2&amp;"*Zone People Number Of Occupants [](Hourly)",'Eplus results'!$1:$1048576,ROW(),FALSE)</f>
        <v>0</v>
      </c>
      <c r="AC8733" s="580">
        <f>HLOOKUP("*"&amp;'Output annual'!$AC$2&amp;'Output annual'!$AD$2&amp;"*FangerPMV(Hourly)",'Eplus results'!$1:$1048576,ROW(),FALSE)</f>
        <v>0</v>
      </c>
      <c r="AD8733" s="580">
        <f t="shared" si="716"/>
        <v>5</v>
      </c>
      <c r="AE8733" s="580">
        <f t="shared" si="717"/>
        <v>2.5</v>
      </c>
      <c r="AF8733" s="580">
        <f t="shared" si="718"/>
        <v>2.5</v>
      </c>
      <c r="AG8733" s="580">
        <f t="shared" si="719"/>
        <v>0</v>
      </c>
      <c r="AH8733" s="580">
        <f t="shared" si="720"/>
        <v>0</v>
      </c>
    </row>
    <row r="8734" spans="28:34">
      <c r="AB8734" s="580">
        <f>HLOOKUP("*"&amp;'Output annual'!$AC$2&amp;'Output annual'!$AD$2&amp;"*Zone People Number Of Occupants [](Hourly)",'Eplus results'!$1:$1048576,ROW(),FALSE)</f>
        <v>0</v>
      </c>
      <c r="AC8734" s="580">
        <f>HLOOKUP("*"&amp;'Output annual'!$AC$2&amp;'Output annual'!$AD$2&amp;"*FangerPMV(Hourly)",'Eplus results'!$1:$1048576,ROW(),FALSE)</f>
        <v>0</v>
      </c>
      <c r="AD8734" s="580">
        <f t="shared" si="716"/>
        <v>5</v>
      </c>
      <c r="AE8734" s="580">
        <f t="shared" si="717"/>
        <v>2.5</v>
      </c>
      <c r="AF8734" s="580">
        <f t="shared" si="718"/>
        <v>2.5</v>
      </c>
      <c r="AG8734" s="580">
        <f t="shared" si="719"/>
        <v>0</v>
      </c>
      <c r="AH8734" s="580">
        <f t="shared" si="720"/>
        <v>0</v>
      </c>
    </row>
    <row r="8735" spans="28:34">
      <c r="AB8735" s="580">
        <f>HLOOKUP("*"&amp;'Output annual'!$AC$2&amp;'Output annual'!$AD$2&amp;"*Zone People Number Of Occupants [](Hourly)",'Eplus results'!$1:$1048576,ROW(),FALSE)</f>
        <v>0</v>
      </c>
      <c r="AC8735" s="580">
        <f>HLOOKUP("*"&amp;'Output annual'!$AC$2&amp;'Output annual'!$AD$2&amp;"*FangerPMV(Hourly)",'Eplus results'!$1:$1048576,ROW(),FALSE)</f>
        <v>0</v>
      </c>
      <c r="AD8735" s="580">
        <f t="shared" si="716"/>
        <v>5</v>
      </c>
      <c r="AE8735" s="580">
        <f t="shared" si="717"/>
        <v>2.5</v>
      </c>
      <c r="AF8735" s="580">
        <f t="shared" si="718"/>
        <v>2.5</v>
      </c>
      <c r="AG8735" s="580">
        <f t="shared" si="719"/>
        <v>0</v>
      </c>
      <c r="AH8735" s="580">
        <f t="shared" si="720"/>
        <v>0</v>
      </c>
    </row>
    <row r="8736" spans="28:34">
      <c r="AB8736" s="580">
        <f>HLOOKUP("*"&amp;'Output annual'!$AC$2&amp;'Output annual'!$AD$2&amp;"*Zone People Number Of Occupants [](Hourly)",'Eplus results'!$1:$1048576,ROW(),FALSE)</f>
        <v>0</v>
      </c>
      <c r="AC8736" s="580">
        <f>HLOOKUP("*"&amp;'Output annual'!$AC$2&amp;'Output annual'!$AD$2&amp;"*FangerPMV(Hourly)",'Eplus results'!$1:$1048576,ROW(),FALSE)</f>
        <v>0</v>
      </c>
      <c r="AD8736" s="580">
        <f t="shared" si="716"/>
        <v>5</v>
      </c>
      <c r="AE8736" s="580">
        <f t="shared" si="717"/>
        <v>2.5</v>
      </c>
      <c r="AF8736" s="580">
        <f t="shared" si="718"/>
        <v>2.5</v>
      </c>
      <c r="AG8736" s="580">
        <f t="shared" si="719"/>
        <v>0</v>
      </c>
      <c r="AH8736" s="580">
        <f t="shared" si="720"/>
        <v>0</v>
      </c>
    </row>
    <row r="8737" spans="28:34">
      <c r="AB8737" s="580">
        <f>HLOOKUP("*"&amp;'Output annual'!$AC$2&amp;'Output annual'!$AD$2&amp;"*Zone People Number Of Occupants [](Hourly)",'Eplus results'!$1:$1048576,ROW(),FALSE)</f>
        <v>0</v>
      </c>
      <c r="AC8737" s="580">
        <f>HLOOKUP("*"&amp;'Output annual'!$AC$2&amp;'Output annual'!$AD$2&amp;"*FangerPMV(Hourly)",'Eplus results'!$1:$1048576,ROW(),FALSE)</f>
        <v>0</v>
      </c>
      <c r="AD8737" s="580">
        <f t="shared" si="716"/>
        <v>5</v>
      </c>
      <c r="AE8737" s="580">
        <f t="shared" si="717"/>
        <v>2.5</v>
      </c>
      <c r="AF8737" s="580">
        <f t="shared" si="718"/>
        <v>2.5</v>
      </c>
      <c r="AG8737" s="580">
        <f t="shared" si="719"/>
        <v>0</v>
      </c>
      <c r="AH8737" s="580">
        <f t="shared" si="720"/>
        <v>0</v>
      </c>
    </row>
    <row r="8738" spans="28:34">
      <c r="AB8738" s="580">
        <f>HLOOKUP("*"&amp;'Output annual'!$AC$2&amp;'Output annual'!$AD$2&amp;"*Zone People Number Of Occupants [](Hourly)",'Eplus results'!$1:$1048576,ROW(),FALSE)</f>
        <v>0</v>
      </c>
      <c r="AC8738" s="580">
        <f>HLOOKUP("*"&amp;'Output annual'!$AC$2&amp;'Output annual'!$AD$2&amp;"*FangerPMV(Hourly)",'Eplus results'!$1:$1048576,ROW(),FALSE)</f>
        <v>0</v>
      </c>
      <c r="AD8738" s="580">
        <f t="shared" si="716"/>
        <v>5</v>
      </c>
      <c r="AE8738" s="580">
        <f t="shared" si="717"/>
        <v>2.5</v>
      </c>
      <c r="AF8738" s="580">
        <f t="shared" si="718"/>
        <v>2.5</v>
      </c>
      <c r="AG8738" s="580">
        <f t="shared" si="719"/>
        <v>0</v>
      </c>
      <c r="AH8738" s="580">
        <f t="shared" si="720"/>
        <v>0</v>
      </c>
    </row>
    <row r="8739" spans="28:34">
      <c r="AB8739" s="580">
        <f>HLOOKUP("*"&amp;'Output annual'!$AC$2&amp;'Output annual'!$AD$2&amp;"*Zone People Number Of Occupants [](Hourly)",'Eplus results'!$1:$1048576,ROW(),FALSE)</f>
        <v>0</v>
      </c>
      <c r="AC8739" s="580">
        <f>HLOOKUP("*"&amp;'Output annual'!$AC$2&amp;'Output annual'!$AD$2&amp;"*FangerPMV(Hourly)",'Eplus results'!$1:$1048576,ROW(),FALSE)</f>
        <v>0</v>
      </c>
      <c r="AD8739" s="580">
        <f t="shared" si="716"/>
        <v>5</v>
      </c>
      <c r="AE8739" s="580">
        <f t="shared" si="717"/>
        <v>2.5</v>
      </c>
      <c r="AF8739" s="580">
        <f t="shared" si="718"/>
        <v>2.5</v>
      </c>
      <c r="AG8739" s="580">
        <f t="shared" si="719"/>
        <v>0</v>
      </c>
      <c r="AH8739" s="580">
        <f t="shared" si="720"/>
        <v>0</v>
      </c>
    </row>
    <row r="8740" spans="28:34">
      <c r="AB8740" s="580">
        <f>HLOOKUP("*"&amp;'Output annual'!$AC$2&amp;'Output annual'!$AD$2&amp;"*Zone People Number Of Occupants [](Hourly)",'Eplus results'!$1:$1048576,ROW(),FALSE)</f>
        <v>0</v>
      </c>
      <c r="AC8740" s="580">
        <f>HLOOKUP("*"&amp;'Output annual'!$AC$2&amp;'Output annual'!$AD$2&amp;"*FangerPMV(Hourly)",'Eplus results'!$1:$1048576,ROW(),FALSE)</f>
        <v>0</v>
      </c>
      <c r="AD8740" s="580">
        <f t="shared" si="716"/>
        <v>5</v>
      </c>
      <c r="AE8740" s="580">
        <f t="shared" si="717"/>
        <v>2.5</v>
      </c>
      <c r="AF8740" s="580">
        <f t="shared" si="718"/>
        <v>2.5</v>
      </c>
      <c r="AG8740" s="580">
        <f t="shared" si="719"/>
        <v>0</v>
      </c>
      <c r="AH8740" s="580">
        <f t="shared" si="720"/>
        <v>0</v>
      </c>
    </row>
    <row r="8741" spans="28:34">
      <c r="AB8741" s="580">
        <f>HLOOKUP("*"&amp;'Output annual'!$AC$2&amp;'Output annual'!$AD$2&amp;"*Zone People Number Of Occupants [](Hourly)",'Eplus results'!$1:$1048576,ROW(),FALSE)</f>
        <v>0</v>
      </c>
      <c r="AC8741" s="580">
        <f>HLOOKUP("*"&amp;'Output annual'!$AC$2&amp;'Output annual'!$AD$2&amp;"*FangerPMV(Hourly)",'Eplus results'!$1:$1048576,ROW(),FALSE)</f>
        <v>0</v>
      </c>
      <c r="AD8741" s="580">
        <f t="shared" si="716"/>
        <v>5</v>
      </c>
      <c r="AE8741" s="580">
        <f t="shared" si="717"/>
        <v>2.5</v>
      </c>
      <c r="AF8741" s="580">
        <f t="shared" si="718"/>
        <v>2.5</v>
      </c>
      <c r="AG8741" s="580">
        <f t="shared" si="719"/>
        <v>0</v>
      </c>
      <c r="AH8741" s="580">
        <f t="shared" si="720"/>
        <v>0</v>
      </c>
    </row>
    <row r="8742" spans="28:34">
      <c r="AB8742" s="580">
        <f>HLOOKUP("*"&amp;'Output annual'!$AC$2&amp;'Output annual'!$AD$2&amp;"*Zone People Number Of Occupants [](Hourly)",'Eplus results'!$1:$1048576,ROW(),FALSE)</f>
        <v>0</v>
      </c>
      <c r="AC8742" s="580">
        <f>HLOOKUP("*"&amp;'Output annual'!$AC$2&amp;'Output annual'!$AD$2&amp;"*FangerPMV(Hourly)",'Eplus results'!$1:$1048576,ROW(),FALSE)</f>
        <v>0</v>
      </c>
      <c r="AD8742" s="580">
        <f t="shared" si="716"/>
        <v>5</v>
      </c>
      <c r="AE8742" s="580">
        <f t="shared" si="717"/>
        <v>2.5</v>
      </c>
      <c r="AF8742" s="580">
        <f t="shared" si="718"/>
        <v>2.5</v>
      </c>
      <c r="AG8742" s="580">
        <f t="shared" si="719"/>
        <v>0</v>
      </c>
      <c r="AH8742" s="580">
        <f t="shared" si="720"/>
        <v>0</v>
      </c>
    </row>
    <row r="8743" spans="28:34">
      <c r="AB8743" s="580">
        <f>HLOOKUP("*"&amp;'Output annual'!$AC$2&amp;'Output annual'!$AD$2&amp;"*Zone People Number Of Occupants [](Hourly)",'Eplus results'!$1:$1048576,ROW(),FALSE)</f>
        <v>0</v>
      </c>
      <c r="AC8743" s="580">
        <f>HLOOKUP("*"&amp;'Output annual'!$AC$2&amp;'Output annual'!$AD$2&amp;"*FangerPMV(Hourly)",'Eplus results'!$1:$1048576,ROW(),FALSE)</f>
        <v>0</v>
      </c>
      <c r="AD8743" s="580">
        <f t="shared" si="716"/>
        <v>5</v>
      </c>
      <c r="AE8743" s="580">
        <f t="shared" si="717"/>
        <v>2.5</v>
      </c>
      <c r="AF8743" s="580">
        <f t="shared" si="718"/>
        <v>2.5</v>
      </c>
      <c r="AG8743" s="580">
        <f t="shared" si="719"/>
        <v>0</v>
      </c>
      <c r="AH8743" s="580">
        <f t="shared" si="720"/>
        <v>0</v>
      </c>
    </row>
    <row r="8744" spans="28:34">
      <c r="AB8744" s="580">
        <f>HLOOKUP("*"&amp;'Output annual'!$AC$2&amp;'Output annual'!$AD$2&amp;"*Zone People Number Of Occupants [](Hourly)",'Eplus results'!$1:$1048576,ROW(),FALSE)</f>
        <v>0</v>
      </c>
      <c r="AC8744" s="580">
        <f>HLOOKUP("*"&amp;'Output annual'!$AC$2&amp;'Output annual'!$AD$2&amp;"*FangerPMV(Hourly)",'Eplus results'!$1:$1048576,ROW(),FALSE)</f>
        <v>0</v>
      </c>
      <c r="AD8744" s="580">
        <f t="shared" si="716"/>
        <v>5</v>
      </c>
      <c r="AE8744" s="580">
        <f t="shared" si="717"/>
        <v>2.5</v>
      </c>
      <c r="AF8744" s="580">
        <f t="shared" si="718"/>
        <v>2.5</v>
      </c>
      <c r="AG8744" s="580">
        <f t="shared" si="719"/>
        <v>0</v>
      </c>
      <c r="AH8744" s="580">
        <f t="shared" si="720"/>
        <v>0</v>
      </c>
    </row>
    <row r="8745" spans="28:34">
      <c r="AB8745" s="580">
        <f>HLOOKUP("*"&amp;'Output annual'!$AC$2&amp;'Output annual'!$AD$2&amp;"*Zone People Number Of Occupants [](Hourly)",'Eplus results'!$1:$1048576,ROW(),FALSE)</f>
        <v>0</v>
      </c>
      <c r="AC8745" s="580">
        <f>HLOOKUP("*"&amp;'Output annual'!$AC$2&amp;'Output annual'!$AD$2&amp;"*FangerPMV(Hourly)",'Eplus results'!$1:$1048576,ROW(),FALSE)</f>
        <v>0</v>
      </c>
      <c r="AD8745" s="580">
        <f t="shared" si="716"/>
        <v>5</v>
      </c>
      <c r="AE8745" s="580">
        <f t="shared" si="717"/>
        <v>2.5</v>
      </c>
      <c r="AF8745" s="580">
        <f t="shared" si="718"/>
        <v>2.5</v>
      </c>
      <c r="AG8745" s="580">
        <f t="shared" si="719"/>
        <v>0</v>
      </c>
      <c r="AH8745" s="580">
        <f t="shared" si="720"/>
        <v>0</v>
      </c>
    </row>
    <row r="8746" spans="28:34">
      <c r="AB8746" s="580">
        <f>HLOOKUP("*"&amp;'Output annual'!$AC$2&amp;'Output annual'!$AD$2&amp;"*Zone People Number Of Occupants [](Hourly)",'Eplus results'!$1:$1048576,ROW(),FALSE)</f>
        <v>0</v>
      </c>
      <c r="AC8746" s="580">
        <f>HLOOKUP("*"&amp;'Output annual'!$AC$2&amp;'Output annual'!$AD$2&amp;"*FangerPMV(Hourly)",'Eplus results'!$1:$1048576,ROW(),FALSE)</f>
        <v>0</v>
      </c>
      <c r="AD8746" s="580">
        <f t="shared" si="716"/>
        <v>5</v>
      </c>
      <c r="AE8746" s="580">
        <f t="shared" si="717"/>
        <v>2.5</v>
      </c>
      <c r="AF8746" s="580">
        <f t="shared" si="718"/>
        <v>2.5</v>
      </c>
      <c r="AG8746" s="580">
        <f t="shared" si="719"/>
        <v>0</v>
      </c>
      <c r="AH8746" s="580">
        <f t="shared" si="720"/>
        <v>0</v>
      </c>
    </row>
    <row r="8747" spans="28:34">
      <c r="AB8747" s="580">
        <f>HLOOKUP("*"&amp;'Output annual'!$AC$2&amp;'Output annual'!$AD$2&amp;"*Zone People Number Of Occupants [](Hourly)",'Eplus results'!$1:$1048576,ROW(),FALSE)</f>
        <v>0</v>
      </c>
      <c r="AC8747" s="580">
        <f>HLOOKUP("*"&amp;'Output annual'!$AC$2&amp;'Output annual'!$AD$2&amp;"*FangerPMV(Hourly)",'Eplus results'!$1:$1048576,ROW(),FALSE)</f>
        <v>0</v>
      </c>
      <c r="AD8747" s="580">
        <f t="shared" si="716"/>
        <v>5</v>
      </c>
      <c r="AE8747" s="580">
        <f t="shared" si="717"/>
        <v>2.5</v>
      </c>
      <c r="AF8747" s="580">
        <f t="shared" si="718"/>
        <v>2.5</v>
      </c>
      <c r="AG8747" s="580">
        <f t="shared" si="719"/>
        <v>0</v>
      </c>
      <c r="AH8747" s="580">
        <f t="shared" si="720"/>
        <v>0</v>
      </c>
    </row>
    <row r="8748" spans="28:34">
      <c r="AB8748" s="580">
        <f>HLOOKUP("*"&amp;'Output annual'!$AC$2&amp;'Output annual'!$AD$2&amp;"*Zone People Number Of Occupants [](Hourly)",'Eplus results'!$1:$1048576,ROW(),FALSE)</f>
        <v>0</v>
      </c>
      <c r="AC8748" s="580">
        <f>HLOOKUP("*"&amp;'Output annual'!$AC$2&amp;'Output annual'!$AD$2&amp;"*FangerPMV(Hourly)",'Eplus results'!$1:$1048576,ROW(),FALSE)</f>
        <v>0</v>
      </c>
      <c r="AD8748" s="580">
        <f t="shared" si="716"/>
        <v>5</v>
      </c>
      <c r="AE8748" s="580">
        <f t="shared" si="717"/>
        <v>2.5</v>
      </c>
      <c r="AF8748" s="580">
        <f t="shared" si="718"/>
        <v>2.5</v>
      </c>
      <c r="AG8748" s="580">
        <f t="shared" si="719"/>
        <v>0</v>
      </c>
      <c r="AH8748" s="580">
        <f t="shared" si="720"/>
        <v>0</v>
      </c>
    </row>
    <row r="8749" spans="28:34">
      <c r="AB8749" s="580">
        <f>HLOOKUP("*"&amp;'Output annual'!$AC$2&amp;'Output annual'!$AD$2&amp;"*Zone People Number Of Occupants [](Hourly)",'Eplus results'!$1:$1048576,ROW(),FALSE)</f>
        <v>0</v>
      </c>
      <c r="AC8749" s="580">
        <f>HLOOKUP("*"&amp;'Output annual'!$AC$2&amp;'Output annual'!$AD$2&amp;"*FangerPMV(Hourly)",'Eplus results'!$1:$1048576,ROW(),FALSE)</f>
        <v>0</v>
      </c>
      <c r="AD8749" s="580">
        <f t="shared" si="716"/>
        <v>5</v>
      </c>
      <c r="AE8749" s="580">
        <f t="shared" si="717"/>
        <v>2.5</v>
      </c>
      <c r="AF8749" s="580">
        <f t="shared" si="718"/>
        <v>2.5</v>
      </c>
      <c r="AG8749" s="580">
        <f t="shared" si="719"/>
        <v>0</v>
      </c>
      <c r="AH8749" s="580">
        <f t="shared" si="720"/>
        <v>0</v>
      </c>
    </row>
    <row r="8750" spans="28:34">
      <c r="AB8750" s="580">
        <f>HLOOKUP("*"&amp;'Output annual'!$AC$2&amp;'Output annual'!$AD$2&amp;"*Zone People Number Of Occupants [](Hourly)",'Eplus results'!$1:$1048576,ROW(),FALSE)</f>
        <v>0</v>
      </c>
      <c r="AC8750" s="580">
        <f>HLOOKUP("*"&amp;'Output annual'!$AC$2&amp;'Output annual'!$AD$2&amp;"*FangerPMV(Hourly)",'Eplus results'!$1:$1048576,ROW(),FALSE)</f>
        <v>0</v>
      </c>
      <c r="AD8750" s="580">
        <f t="shared" si="716"/>
        <v>5</v>
      </c>
      <c r="AE8750" s="580">
        <f t="shared" si="717"/>
        <v>2.5</v>
      </c>
      <c r="AF8750" s="580">
        <f t="shared" si="718"/>
        <v>2.5</v>
      </c>
      <c r="AG8750" s="580">
        <f t="shared" si="719"/>
        <v>0</v>
      </c>
      <c r="AH8750" s="580">
        <f t="shared" si="720"/>
        <v>0</v>
      </c>
    </row>
    <row r="8751" spans="28:34">
      <c r="AB8751" s="580">
        <f>HLOOKUP("*"&amp;'Output annual'!$AC$2&amp;'Output annual'!$AD$2&amp;"*Zone People Number Of Occupants [](Hourly)",'Eplus results'!$1:$1048576,ROW(),FALSE)</f>
        <v>0</v>
      </c>
      <c r="AC8751" s="580">
        <f>HLOOKUP("*"&amp;'Output annual'!$AC$2&amp;'Output annual'!$AD$2&amp;"*FangerPMV(Hourly)",'Eplus results'!$1:$1048576,ROW(),FALSE)</f>
        <v>0</v>
      </c>
      <c r="AD8751" s="580">
        <f t="shared" si="716"/>
        <v>5</v>
      </c>
      <c r="AE8751" s="580">
        <f t="shared" si="717"/>
        <v>2.5</v>
      </c>
      <c r="AF8751" s="580">
        <f t="shared" si="718"/>
        <v>2.5</v>
      </c>
      <c r="AG8751" s="580">
        <f t="shared" si="719"/>
        <v>0</v>
      </c>
      <c r="AH8751" s="580">
        <f t="shared" si="720"/>
        <v>0</v>
      </c>
    </row>
    <row r="8752" spans="28:34">
      <c r="AB8752" s="580">
        <f>HLOOKUP("*"&amp;'Output annual'!$AC$2&amp;'Output annual'!$AD$2&amp;"*Zone People Number Of Occupants [](Hourly)",'Eplus results'!$1:$1048576,ROW(),FALSE)</f>
        <v>0</v>
      </c>
      <c r="AC8752" s="580">
        <f>HLOOKUP("*"&amp;'Output annual'!$AC$2&amp;'Output annual'!$AD$2&amp;"*FangerPMV(Hourly)",'Eplus results'!$1:$1048576,ROW(),FALSE)</f>
        <v>0</v>
      </c>
      <c r="AD8752" s="580">
        <f t="shared" si="716"/>
        <v>5</v>
      </c>
      <c r="AE8752" s="580">
        <f t="shared" si="717"/>
        <v>2.5</v>
      </c>
      <c r="AF8752" s="580">
        <f t="shared" si="718"/>
        <v>2.5</v>
      </c>
      <c r="AG8752" s="580">
        <f t="shared" si="719"/>
        <v>0</v>
      </c>
      <c r="AH8752" s="580">
        <f t="shared" si="720"/>
        <v>0</v>
      </c>
    </row>
    <row r="8753" spans="28:34">
      <c r="AB8753" s="580">
        <f>HLOOKUP("*"&amp;'Output annual'!$AC$2&amp;'Output annual'!$AD$2&amp;"*Zone People Number Of Occupants [](Hourly)",'Eplus results'!$1:$1048576,ROW(),FALSE)</f>
        <v>0</v>
      </c>
      <c r="AC8753" s="580">
        <f>HLOOKUP("*"&amp;'Output annual'!$AC$2&amp;'Output annual'!$AD$2&amp;"*FangerPMV(Hourly)",'Eplus results'!$1:$1048576,ROW(),FALSE)</f>
        <v>0</v>
      </c>
      <c r="AD8753" s="580">
        <f t="shared" si="716"/>
        <v>5</v>
      </c>
      <c r="AE8753" s="580">
        <f t="shared" si="717"/>
        <v>2.5</v>
      </c>
      <c r="AF8753" s="580">
        <f t="shared" si="718"/>
        <v>2.5</v>
      </c>
      <c r="AG8753" s="580">
        <f t="shared" si="719"/>
        <v>0</v>
      </c>
      <c r="AH8753" s="580">
        <f t="shared" si="720"/>
        <v>0</v>
      </c>
    </row>
    <row r="8754" spans="28:34">
      <c r="AB8754" s="580">
        <f>HLOOKUP("*"&amp;'Output annual'!$AC$2&amp;'Output annual'!$AD$2&amp;"*Zone People Number Of Occupants [](Hourly)",'Eplus results'!$1:$1048576,ROW(),FALSE)</f>
        <v>0</v>
      </c>
      <c r="AC8754" s="580">
        <f>HLOOKUP("*"&amp;'Output annual'!$AC$2&amp;'Output annual'!$AD$2&amp;"*FangerPMV(Hourly)",'Eplus results'!$1:$1048576,ROW(),FALSE)</f>
        <v>0</v>
      </c>
      <c r="AD8754" s="580">
        <f t="shared" si="716"/>
        <v>5</v>
      </c>
      <c r="AE8754" s="580">
        <f t="shared" si="717"/>
        <v>2.5</v>
      </c>
      <c r="AF8754" s="580">
        <f t="shared" si="718"/>
        <v>2.5</v>
      </c>
      <c r="AG8754" s="580">
        <f t="shared" si="719"/>
        <v>0</v>
      </c>
      <c r="AH8754" s="580">
        <f t="shared" si="720"/>
        <v>0</v>
      </c>
    </row>
    <row r="8755" spans="28:34">
      <c r="AB8755" s="580">
        <f>HLOOKUP("*"&amp;'Output annual'!$AC$2&amp;'Output annual'!$AD$2&amp;"*Zone People Number Of Occupants [](Hourly)",'Eplus results'!$1:$1048576,ROW(),FALSE)</f>
        <v>0</v>
      </c>
      <c r="AC8755" s="580">
        <f>HLOOKUP("*"&amp;'Output annual'!$AC$2&amp;'Output annual'!$AD$2&amp;"*FangerPMV(Hourly)",'Eplus results'!$1:$1048576,ROW(),FALSE)</f>
        <v>0</v>
      </c>
      <c r="AD8755" s="580">
        <f t="shared" si="716"/>
        <v>5</v>
      </c>
      <c r="AE8755" s="580">
        <f t="shared" si="717"/>
        <v>2.5</v>
      </c>
      <c r="AF8755" s="580">
        <f t="shared" si="718"/>
        <v>2.5</v>
      </c>
      <c r="AG8755" s="580">
        <f t="shared" si="719"/>
        <v>0</v>
      </c>
      <c r="AH8755" s="580">
        <f t="shared" si="720"/>
        <v>0</v>
      </c>
    </row>
    <row r="8756" spans="28:34">
      <c r="AB8756" s="580">
        <f>HLOOKUP("*"&amp;'Output annual'!$AC$2&amp;'Output annual'!$AD$2&amp;"*Zone People Number Of Occupants [](Hourly)",'Eplus results'!$1:$1048576,ROW(),FALSE)</f>
        <v>0</v>
      </c>
      <c r="AC8756" s="580">
        <f>HLOOKUP("*"&amp;'Output annual'!$AC$2&amp;'Output annual'!$AD$2&amp;"*FangerPMV(Hourly)",'Eplus results'!$1:$1048576,ROW(),FALSE)</f>
        <v>0</v>
      </c>
      <c r="AD8756" s="580">
        <f t="shared" si="716"/>
        <v>5</v>
      </c>
      <c r="AE8756" s="580">
        <f t="shared" si="717"/>
        <v>2.5</v>
      </c>
      <c r="AF8756" s="580">
        <f t="shared" si="718"/>
        <v>2.5</v>
      </c>
      <c r="AG8756" s="580">
        <f t="shared" si="719"/>
        <v>0</v>
      </c>
      <c r="AH8756" s="580">
        <f t="shared" si="720"/>
        <v>0</v>
      </c>
    </row>
    <row r="8757" spans="28:34">
      <c r="AB8757" s="580">
        <f>HLOOKUP("*"&amp;'Output annual'!$AC$2&amp;'Output annual'!$AD$2&amp;"*Zone People Number Of Occupants [](Hourly)",'Eplus results'!$1:$1048576,ROW(),FALSE)</f>
        <v>0</v>
      </c>
      <c r="AC8757" s="580">
        <f>HLOOKUP("*"&amp;'Output annual'!$AC$2&amp;'Output annual'!$AD$2&amp;"*FangerPMV(Hourly)",'Eplus results'!$1:$1048576,ROW(),FALSE)</f>
        <v>0</v>
      </c>
      <c r="AD8757" s="580">
        <f t="shared" si="716"/>
        <v>5</v>
      </c>
      <c r="AE8757" s="580">
        <f t="shared" si="717"/>
        <v>2.5</v>
      </c>
      <c r="AF8757" s="580">
        <f t="shared" si="718"/>
        <v>2.5</v>
      </c>
      <c r="AG8757" s="580">
        <f t="shared" si="719"/>
        <v>0</v>
      </c>
      <c r="AH8757" s="580">
        <f t="shared" si="720"/>
        <v>0</v>
      </c>
    </row>
    <row r="8758" spans="28:34">
      <c r="AB8758" s="580">
        <f>HLOOKUP("*"&amp;'Output annual'!$AC$2&amp;'Output annual'!$AD$2&amp;"*Zone People Number Of Occupants [](Hourly)",'Eplus results'!$1:$1048576,ROW(),FALSE)</f>
        <v>0</v>
      </c>
      <c r="AC8758" s="580">
        <f>HLOOKUP("*"&amp;'Output annual'!$AC$2&amp;'Output annual'!$AD$2&amp;"*FangerPMV(Hourly)",'Eplus results'!$1:$1048576,ROW(),FALSE)</f>
        <v>0</v>
      </c>
      <c r="AD8758" s="580">
        <f t="shared" si="716"/>
        <v>5</v>
      </c>
      <c r="AE8758" s="580">
        <f t="shared" si="717"/>
        <v>2.5</v>
      </c>
      <c r="AF8758" s="580">
        <f t="shared" si="718"/>
        <v>2.5</v>
      </c>
      <c r="AG8758" s="580">
        <f t="shared" si="719"/>
        <v>0</v>
      </c>
      <c r="AH8758" s="580">
        <f t="shared" si="720"/>
        <v>0</v>
      </c>
    </row>
    <row r="8759" spans="28:34">
      <c r="AB8759" s="580">
        <f>HLOOKUP("*"&amp;'Output annual'!$AC$2&amp;'Output annual'!$AD$2&amp;"*Zone People Number Of Occupants [](Hourly)",'Eplus results'!$1:$1048576,ROW(),FALSE)</f>
        <v>0</v>
      </c>
      <c r="AC8759" s="580">
        <f>HLOOKUP("*"&amp;'Output annual'!$AC$2&amp;'Output annual'!$AD$2&amp;"*FangerPMV(Hourly)",'Eplus results'!$1:$1048576,ROW(),FALSE)</f>
        <v>0</v>
      </c>
      <c r="AD8759" s="580">
        <f t="shared" si="716"/>
        <v>5</v>
      </c>
      <c r="AE8759" s="580">
        <f t="shared" si="717"/>
        <v>2.5</v>
      </c>
      <c r="AF8759" s="580">
        <f t="shared" si="718"/>
        <v>2.5</v>
      </c>
      <c r="AG8759" s="580">
        <f t="shared" si="719"/>
        <v>0</v>
      </c>
      <c r="AH8759" s="580">
        <f t="shared" si="720"/>
        <v>0</v>
      </c>
    </row>
    <row r="8760" spans="28:34">
      <c r="AB8760" s="580">
        <f>HLOOKUP("*"&amp;'Output annual'!$AC$2&amp;'Output annual'!$AD$2&amp;"*Zone People Number Of Occupants [](Hourly)",'Eplus results'!$1:$1048576,ROW(),FALSE)</f>
        <v>0</v>
      </c>
      <c r="AC8760" s="580">
        <f>HLOOKUP("*"&amp;'Output annual'!$AC$2&amp;'Output annual'!$AD$2&amp;"*FangerPMV(Hourly)",'Eplus results'!$1:$1048576,ROW(),FALSE)</f>
        <v>0</v>
      </c>
      <c r="AD8760" s="580">
        <f t="shared" si="716"/>
        <v>5</v>
      </c>
      <c r="AE8760" s="580">
        <f t="shared" si="717"/>
        <v>2.5</v>
      </c>
      <c r="AF8760" s="580">
        <f t="shared" si="718"/>
        <v>2.5</v>
      </c>
      <c r="AG8760" s="580">
        <f t="shared" si="719"/>
        <v>0</v>
      </c>
      <c r="AH8760" s="580">
        <f t="shared" si="720"/>
        <v>0</v>
      </c>
    </row>
    <row r="8761" spans="28:34">
      <c r="AB8761" s="580">
        <f>HLOOKUP("*"&amp;'Output annual'!$AC$2&amp;'Output annual'!$AD$2&amp;"*Zone People Number Of Occupants [](Hourly)",'Eplus results'!$1:$1048576,ROW(),FALSE)</f>
        <v>0</v>
      </c>
      <c r="AC8761" s="580">
        <f>HLOOKUP("*"&amp;'Output annual'!$AC$2&amp;'Output annual'!$AD$2&amp;"*FangerPMV(Hourly)",'Eplus results'!$1:$1048576,ROW(),FALSE)</f>
        <v>0</v>
      </c>
      <c r="AD8761" s="580">
        <f t="shared" si="716"/>
        <v>5</v>
      </c>
      <c r="AE8761" s="580">
        <f t="shared" si="717"/>
        <v>2.5</v>
      </c>
      <c r="AF8761" s="580">
        <f t="shared" si="718"/>
        <v>2.5</v>
      </c>
      <c r="AG8761" s="580">
        <f t="shared" si="719"/>
        <v>0</v>
      </c>
      <c r="AH8761" s="580">
        <f t="shared" si="720"/>
        <v>0</v>
      </c>
    </row>
    <row r="8762" spans="28:34">
      <c r="AB8762" s="580">
        <f>HLOOKUP("*"&amp;'Output annual'!$AC$2&amp;'Output annual'!$AD$2&amp;"*Zone People Number Of Occupants [](Hourly)",'Eplus results'!$1:$1048576,ROW(),FALSE)</f>
        <v>0</v>
      </c>
      <c r="AC8762" s="580">
        <f>HLOOKUP("*"&amp;'Output annual'!$AC$2&amp;'Output annual'!$AD$2&amp;"*FangerPMV(Hourly)",'Eplus results'!$1:$1048576,ROW(),FALSE)</f>
        <v>0</v>
      </c>
      <c r="AD8762" s="580">
        <f t="shared" si="716"/>
        <v>5</v>
      </c>
      <c r="AE8762" s="580">
        <f t="shared" si="717"/>
        <v>2.5</v>
      </c>
      <c r="AF8762" s="580">
        <f t="shared" si="718"/>
        <v>2.5</v>
      </c>
      <c r="AG8762" s="580">
        <f t="shared" si="719"/>
        <v>0</v>
      </c>
      <c r="AH8762" s="580">
        <f t="shared" si="720"/>
        <v>0</v>
      </c>
    </row>
  </sheetData>
  <mergeCells count="29">
    <mergeCell ref="D196:D197"/>
    <mergeCell ref="D206:D207"/>
    <mergeCell ref="D198:D205"/>
    <mergeCell ref="C193:C210"/>
    <mergeCell ref="B214:B231"/>
    <mergeCell ref="D217:D218"/>
    <mergeCell ref="D219:D226"/>
    <mergeCell ref="D227:D228"/>
    <mergeCell ref="C214:C231"/>
    <mergeCell ref="C263:C280"/>
    <mergeCell ref="D266:D267"/>
    <mergeCell ref="D268:D275"/>
    <mergeCell ref="D276:D277"/>
    <mergeCell ref="C235:C252"/>
    <mergeCell ref="D238:D239"/>
    <mergeCell ref="D240:D247"/>
    <mergeCell ref="D248:D249"/>
    <mergeCell ref="B284:B301"/>
    <mergeCell ref="C284:C301"/>
    <mergeCell ref="D287:D288"/>
    <mergeCell ref="D289:D296"/>
    <mergeCell ref="D297:D298"/>
    <mergeCell ref="C616:F616"/>
    <mergeCell ref="G616:J616"/>
    <mergeCell ref="K616:N616"/>
    <mergeCell ref="C305:C322"/>
    <mergeCell ref="D308:D309"/>
    <mergeCell ref="D310:D317"/>
    <mergeCell ref="D318:D319"/>
  </mergeCells>
  <phoneticPr fontId="11" type="noConversion"/>
  <dataValidations disablePrompts="1" count="4">
    <dataValidation type="list" allowBlank="1" showInputMessage="1" showErrorMessage="1" sqref="C411 E442">
      <formula1>"1,2,3,4,5,6,7,8,9,10,11,12"</formula1>
    </dataValidation>
    <dataValidation type="list" allowBlank="1" showInputMessage="1" showErrorMessage="1" sqref="D442">
      <formula1>"Core, ServCore, East, West, South, North"</formula1>
    </dataValidation>
    <dataValidation type="list" allowBlank="1" showInputMessage="1" showErrorMessage="1" sqref="G442">
      <formula1>"1,2,3,4,5,6,7"</formula1>
    </dataValidation>
    <dataValidation type="list" allowBlank="1" showInputMessage="1" showErrorMessage="1" sqref="C442">
      <formula1>"GF, MF, TF"</formula1>
    </dataValidation>
  </dataValidations>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67" r:id="rId4" name="Spinner 7">
              <controlPr defaultSize="0" autoPict="0">
                <anchor moveWithCells="1" sizeWithCells="1">
                  <from>
                    <xdr:col>7</xdr:col>
                    <xdr:colOff>38100</xdr:colOff>
                    <xdr:row>2</xdr:row>
                    <xdr:rowOff>38100</xdr:rowOff>
                  </from>
                  <to>
                    <xdr:col>7</xdr:col>
                    <xdr:colOff>390525</xdr:colOff>
                    <xdr:row>5</xdr:row>
                    <xdr:rowOff>104775</xdr:rowOff>
                  </to>
                </anchor>
              </controlPr>
            </control>
          </mc:Choice>
        </mc:AlternateContent>
        <mc:AlternateContent xmlns:mc="http://schemas.openxmlformats.org/markup-compatibility/2006">
          <mc:Choice Requires="x14">
            <control shapeId="143368" r:id="rId5" name="Button 8">
              <controlPr defaultSize="0" print="0" autoFill="0" autoPict="0" macro="[0]!Ground_Temperature">
                <anchor moveWithCells="1" sizeWithCells="1">
                  <from>
                    <xdr:col>1</xdr:col>
                    <xdr:colOff>0</xdr:colOff>
                    <xdr:row>400</xdr:row>
                    <xdr:rowOff>123825</xdr:rowOff>
                  </from>
                  <to>
                    <xdr:col>2</xdr:col>
                    <xdr:colOff>0</xdr:colOff>
                    <xdr:row>403</xdr:row>
                    <xdr:rowOff>0</xdr:rowOff>
                  </to>
                </anchor>
              </controlPr>
            </control>
          </mc:Choice>
        </mc:AlternateContent>
        <mc:AlternateContent xmlns:mc="http://schemas.openxmlformats.org/markup-compatibility/2006">
          <mc:Choice Requires="x14">
            <control shapeId="143369" r:id="rId6" name="Button 9">
              <controlPr defaultSize="0" print="0" autoFill="0" autoPict="0" macro="[0]!Hourly_airflow">
                <anchor moveWithCells="1" sizeWithCells="1">
                  <from>
                    <xdr:col>4</xdr:col>
                    <xdr:colOff>304800</xdr:colOff>
                    <xdr:row>433</xdr:row>
                    <xdr:rowOff>0</xdr:rowOff>
                  </from>
                  <to>
                    <xdr:col>6</xdr:col>
                    <xdr:colOff>9525</xdr:colOff>
                    <xdr:row>435</xdr:row>
                    <xdr:rowOff>19050</xdr:rowOff>
                  </to>
                </anchor>
              </controlPr>
            </control>
          </mc:Choice>
        </mc:AlternateContent>
        <mc:AlternateContent xmlns:mc="http://schemas.openxmlformats.org/markup-compatibility/2006">
          <mc:Choice Requires="x14">
            <control shapeId="143370" r:id="rId7" name="Button 10">
              <controlPr defaultSize="0" print="0" autoFill="0" autoPict="0" macro="[0]!Draw_timeseries">
                <anchor moveWithCells="1" sizeWithCells="1">
                  <from>
                    <xdr:col>7</xdr:col>
                    <xdr:colOff>762000</xdr:colOff>
                    <xdr:row>445</xdr:row>
                    <xdr:rowOff>0</xdr:rowOff>
                  </from>
                  <to>
                    <xdr:col>9</xdr:col>
                    <xdr:colOff>28575</xdr:colOff>
                    <xdr:row>447</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AOH1774"/>
  <sheetViews>
    <sheetView workbookViewId="0">
      <pane xSplit="5" ySplit="1" topLeftCell="ABE20" activePane="bottomRight" state="frozenSplit"/>
      <selection pane="topRight" activeCell="D1" sqref="D1"/>
      <selection pane="bottomLeft"/>
      <selection pane="bottomRight"/>
    </sheetView>
  </sheetViews>
  <sheetFormatPr defaultRowHeight="12.75"/>
  <cols>
    <col min="391" max="391" width="36.85546875" customWidth="1"/>
    <col min="481" max="481" width="10.5703125" customWidth="1"/>
    <col min="709" max="709" width="11" bestFit="1" customWidth="1"/>
  </cols>
  <sheetData>
    <row r="1" spans="1:1074" s="644" customFormat="1" ht="204">
      <c r="A1" s="644" t="s">
        <v>25</v>
      </c>
      <c r="B1" s="644" t="s">
        <v>26</v>
      </c>
      <c r="C1" s="644" t="s">
        <v>1144</v>
      </c>
      <c r="D1" s="644" t="s">
        <v>1145</v>
      </c>
      <c r="E1" s="644" t="s">
        <v>1146</v>
      </c>
      <c r="F1" s="644" t="s">
        <v>1147</v>
      </c>
      <c r="G1" s="644" t="s">
        <v>1148</v>
      </c>
      <c r="H1" s="644" t="s">
        <v>1149</v>
      </c>
      <c r="I1" s="644" t="s">
        <v>1150</v>
      </c>
      <c r="J1" s="644" t="s">
        <v>1151</v>
      </c>
      <c r="K1" s="644" t="s">
        <v>1152</v>
      </c>
      <c r="L1" s="644" t="s">
        <v>1153</v>
      </c>
      <c r="M1" s="644" t="s">
        <v>1154</v>
      </c>
      <c r="N1" s="644" t="s">
        <v>1155</v>
      </c>
      <c r="O1" s="644" t="s">
        <v>1156</v>
      </c>
      <c r="P1" s="644" t="s">
        <v>1157</v>
      </c>
      <c r="Q1" s="644" t="s">
        <v>1158</v>
      </c>
      <c r="R1" s="644" t="s">
        <v>1159</v>
      </c>
      <c r="S1" s="644" t="s">
        <v>1160</v>
      </c>
      <c r="T1" s="644" t="s">
        <v>1161</v>
      </c>
      <c r="U1" s="644" t="s">
        <v>1162</v>
      </c>
      <c r="V1" s="644" t="s">
        <v>1163</v>
      </c>
      <c r="W1" s="644" t="s">
        <v>1164</v>
      </c>
      <c r="X1" s="644" t="s">
        <v>1165</v>
      </c>
      <c r="Y1" s="644" t="s">
        <v>1166</v>
      </c>
      <c r="Z1" s="644" t="s">
        <v>1167</v>
      </c>
      <c r="AA1" s="644" t="s">
        <v>1168</v>
      </c>
      <c r="AB1" s="644" t="s">
        <v>1169</v>
      </c>
      <c r="AC1" s="644" t="s">
        <v>1170</v>
      </c>
      <c r="AD1" s="644" t="s">
        <v>1171</v>
      </c>
      <c r="AE1" s="644" t="s">
        <v>1172</v>
      </c>
      <c r="AF1" s="644" t="s">
        <v>1173</v>
      </c>
      <c r="AG1" s="644" t="s">
        <v>1174</v>
      </c>
      <c r="AH1" s="644" t="s">
        <v>1175</v>
      </c>
      <c r="AI1" s="644" t="s">
        <v>1176</v>
      </c>
      <c r="AJ1" s="644" t="s">
        <v>1177</v>
      </c>
      <c r="AK1" s="645" t="s">
        <v>1178</v>
      </c>
      <c r="AL1" s="644" t="s">
        <v>1179</v>
      </c>
      <c r="AM1" s="644" t="s">
        <v>1180</v>
      </c>
      <c r="AN1" s="644" t="s">
        <v>1181</v>
      </c>
      <c r="AO1" s="644" t="s">
        <v>1182</v>
      </c>
      <c r="AP1" s="644" t="s">
        <v>1183</v>
      </c>
      <c r="AQ1" s="644" t="s">
        <v>1184</v>
      </c>
      <c r="AR1" s="644" t="s">
        <v>1185</v>
      </c>
      <c r="AS1" s="644" t="s">
        <v>1186</v>
      </c>
      <c r="AT1" s="644" t="s">
        <v>1187</v>
      </c>
      <c r="AU1" s="644" t="s">
        <v>1188</v>
      </c>
      <c r="AV1" s="644" t="s">
        <v>1189</v>
      </c>
      <c r="AW1" s="644" t="s">
        <v>1190</v>
      </c>
      <c r="AX1" s="644" t="s">
        <v>1191</v>
      </c>
      <c r="AY1" s="644" t="s">
        <v>1192</v>
      </c>
      <c r="AZ1" s="644" t="s">
        <v>1193</v>
      </c>
      <c r="BA1" s="644" t="s">
        <v>1194</v>
      </c>
      <c r="BB1" s="644" t="s">
        <v>1195</v>
      </c>
      <c r="BC1" s="644" t="s">
        <v>1196</v>
      </c>
      <c r="BD1" s="644" t="s">
        <v>1197</v>
      </c>
      <c r="BE1" s="644" t="s">
        <v>1198</v>
      </c>
      <c r="BF1" s="644" t="s">
        <v>1199</v>
      </c>
      <c r="BG1" s="644" t="s">
        <v>1200</v>
      </c>
      <c r="BH1" s="644" t="s">
        <v>1201</v>
      </c>
      <c r="BI1" s="644" t="s">
        <v>1202</v>
      </c>
      <c r="BJ1" s="644" t="s">
        <v>1203</v>
      </c>
      <c r="BK1" s="644" t="s">
        <v>1204</v>
      </c>
      <c r="BL1" s="644" t="s">
        <v>1205</v>
      </c>
      <c r="BM1" s="644" t="s">
        <v>1206</v>
      </c>
      <c r="BN1" s="644" t="s">
        <v>1207</v>
      </c>
      <c r="BO1" s="644" t="s">
        <v>1208</v>
      </c>
      <c r="BP1" s="644" t="s">
        <v>1209</v>
      </c>
      <c r="BQ1" s="644" t="s">
        <v>1210</v>
      </c>
      <c r="BR1" s="644" t="s">
        <v>1211</v>
      </c>
      <c r="BS1" s="644" t="s">
        <v>1212</v>
      </c>
      <c r="BT1" s="644" t="s">
        <v>1213</v>
      </c>
      <c r="BU1" s="644" t="s">
        <v>1214</v>
      </c>
      <c r="BV1" s="644" t="s">
        <v>1215</v>
      </c>
      <c r="BW1" s="644" t="s">
        <v>1216</v>
      </c>
      <c r="BX1" s="644" t="s">
        <v>1217</v>
      </c>
      <c r="BY1" s="644" t="s">
        <v>1218</v>
      </c>
      <c r="BZ1" s="644" t="s">
        <v>1219</v>
      </c>
      <c r="CA1" s="644" t="s">
        <v>1220</v>
      </c>
      <c r="CB1" s="644" t="s">
        <v>1221</v>
      </c>
      <c r="CC1" s="644" t="s">
        <v>1222</v>
      </c>
      <c r="CD1" s="644" t="s">
        <v>1223</v>
      </c>
      <c r="CE1" s="644" t="s">
        <v>1224</v>
      </c>
      <c r="CF1" s="644" t="s">
        <v>1225</v>
      </c>
      <c r="CG1" s="644" t="s">
        <v>1226</v>
      </c>
      <c r="CH1" s="644" t="s">
        <v>1227</v>
      </c>
      <c r="CI1" s="644" t="s">
        <v>1228</v>
      </c>
      <c r="CJ1" s="644" t="s">
        <v>1229</v>
      </c>
      <c r="CK1" s="644" t="s">
        <v>1230</v>
      </c>
      <c r="CL1" s="644" t="s">
        <v>1231</v>
      </c>
      <c r="CM1" s="644" t="s">
        <v>1232</v>
      </c>
      <c r="CN1" s="644" t="s">
        <v>1233</v>
      </c>
      <c r="CO1" s="644" t="s">
        <v>1234</v>
      </c>
      <c r="CP1" s="644" t="s">
        <v>1235</v>
      </c>
      <c r="CQ1" s="644" t="s">
        <v>1236</v>
      </c>
      <c r="CR1" s="644" t="s">
        <v>1237</v>
      </c>
      <c r="CS1" s="644" t="s">
        <v>1238</v>
      </c>
      <c r="CT1" s="644" t="s">
        <v>1239</v>
      </c>
      <c r="CU1" s="644" t="s">
        <v>1240</v>
      </c>
      <c r="CV1" s="644" t="s">
        <v>1241</v>
      </c>
      <c r="CW1" s="644" t="s">
        <v>1242</v>
      </c>
      <c r="CX1" s="644" t="s">
        <v>1243</v>
      </c>
      <c r="CY1" s="644" t="s">
        <v>1244</v>
      </c>
      <c r="CZ1" s="644" t="s">
        <v>1245</v>
      </c>
      <c r="DA1" s="644" t="s">
        <v>1246</v>
      </c>
      <c r="DB1" s="644" t="s">
        <v>1247</v>
      </c>
      <c r="DC1" s="644" t="s">
        <v>1248</v>
      </c>
      <c r="DD1" s="644" t="s">
        <v>1249</v>
      </c>
      <c r="DE1" s="644" t="s">
        <v>1250</v>
      </c>
      <c r="DF1" s="644" t="s">
        <v>1251</v>
      </c>
      <c r="DG1" s="644" t="s">
        <v>1252</v>
      </c>
      <c r="DH1" s="644" t="s">
        <v>1253</v>
      </c>
      <c r="DI1" s="644" t="s">
        <v>1254</v>
      </c>
      <c r="DJ1" s="644" t="s">
        <v>1255</v>
      </c>
      <c r="DK1" s="644" t="s">
        <v>1256</v>
      </c>
      <c r="DL1" s="644" t="s">
        <v>1257</v>
      </c>
      <c r="DM1" s="644" t="s">
        <v>1258</v>
      </c>
      <c r="DN1" s="644" t="s">
        <v>1259</v>
      </c>
      <c r="DO1" s="644" t="s">
        <v>1260</v>
      </c>
      <c r="DP1" s="644" t="s">
        <v>1261</v>
      </c>
      <c r="DQ1" s="644" t="s">
        <v>1262</v>
      </c>
      <c r="DR1" s="644" t="s">
        <v>1263</v>
      </c>
      <c r="DS1" s="644" t="s">
        <v>1264</v>
      </c>
      <c r="DT1" s="644" t="s">
        <v>1265</v>
      </c>
      <c r="DU1" s="644" t="s">
        <v>1266</v>
      </c>
      <c r="DV1" s="644" t="s">
        <v>1267</v>
      </c>
      <c r="DW1" s="644" t="s">
        <v>1268</v>
      </c>
      <c r="DX1" s="644" t="s">
        <v>1269</v>
      </c>
      <c r="DY1" s="644" t="s">
        <v>1270</v>
      </c>
      <c r="DZ1" s="644" t="s">
        <v>1271</v>
      </c>
      <c r="EA1" s="644" t="s">
        <v>1272</v>
      </c>
      <c r="EB1" s="644" t="s">
        <v>1273</v>
      </c>
      <c r="EC1" s="644" t="s">
        <v>1274</v>
      </c>
      <c r="ED1" s="644" t="s">
        <v>1275</v>
      </c>
      <c r="EE1" s="644" t="s">
        <v>1276</v>
      </c>
      <c r="EF1" s="644" t="s">
        <v>1277</v>
      </c>
      <c r="EG1" s="644" t="s">
        <v>1278</v>
      </c>
      <c r="EH1" s="644" t="s">
        <v>1279</v>
      </c>
      <c r="EI1" s="644" t="s">
        <v>1280</v>
      </c>
      <c r="EJ1" s="644" t="s">
        <v>1281</v>
      </c>
      <c r="EK1" s="644" t="s">
        <v>1282</v>
      </c>
      <c r="EL1" s="644" t="s">
        <v>1283</v>
      </c>
      <c r="EM1" s="644" t="s">
        <v>1284</v>
      </c>
      <c r="EN1" s="644" t="s">
        <v>1285</v>
      </c>
      <c r="EO1" s="644" t="s">
        <v>1286</v>
      </c>
      <c r="EP1" s="644" t="s">
        <v>1287</v>
      </c>
      <c r="EQ1" s="644" t="s">
        <v>1288</v>
      </c>
      <c r="ER1" s="644" t="s">
        <v>1289</v>
      </c>
      <c r="ES1" s="644" t="s">
        <v>1290</v>
      </c>
      <c r="ET1" s="644" t="s">
        <v>1291</v>
      </c>
      <c r="EU1" s="644" t="s">
        <v>1292</v>
      </c>
      <c r="EV1" s="644" t="s">
        <v>1293</v>
      </c>
      <c r="EW1" s="644" t="s">
        <v>1294</v>
      </c>
      <c r="EX1" s="644" t="s">
        <v>1295</v>
      </c>
      <c r="EY1" s="644" t="s">
        <v>1296</v>
      </c>
      <c r="EZ1" s="644" t="s">
        <v>1297</v>
      </c>
      <c r="FA1" s="644" t="s">
        <v>1298</v>
      </c>
      <c r="FB1" s="644" t="s">
        <v>1299</v>
      </c>
      <c r="FC1" s="644" t="s">
        <v>1300</v>
      </c>
      <c r="FD1" s="644" t="s">
        <v>1301</v>
      </c>
      <c r="FE1" s="644" t="s">
        <v>1302</v>
      </c>
      <c r="FF1" s="644" t="s">
        <v>1303</v>
      </c>
      <c r="FG1" s="644" t="s">
        <v>1304</v>
      </c>
      <c r="FH1" s="644" t="s">
        <v>1305</v>
      </c>
      <c r="FI1" s="644" t="s">
        <v>1306</v>
      </c>
      <c r="FJ1" s="644" t="s">
        <v>1307</v>
      </c>
      <c r="FK1" s="644" t="s">
        <v>1308</v>
      </c>
      <c r="FL1" s="644" t="s">
        <v>1309</v>
      </c>
      <c r="FM1" s="644" t="s">
        <v>1310</v>
      </c>
      <c r="FN1" s="644" t="s">
        <v>1311</v>
      </c>
      <c r="FO1" s="644" t="s">
        <v>1312</v>
      </c>
      <c r="FP1" s="644" t="s">
        <v>1313</v>
      </c>
      <c r="FQ1" s="644" t="s">
        <v>1314</v>
      </c>
      <c r="FR1" s="644" t="s">
        <v>1315</v>
      </c>
      <c r="FS1" s="644" t="s">
        <v>1316</v>
      </c>
      <c r="FT1" s="644" t="s">
        <v>1317</v>
      </c>
      <c r="FU1" s="644" t="s">
        <v>1318</v>
      </c>
      <c r="FV1" s="644" t="s">
        <v>1319</v>
      </c>
      <c r="FW1" s="644" t="s">
        <v>1320</v>
      </c>
      <c r="FX1" s="644" t="s">
        <v>1321</v>
      </c>
      <c r="FY1" s="644" t="s">
        <v>1322</v>
      </c>
      <c r="FZ1" s="644" t="s">
        <v>1323</v>
      </c>
      <c r="GA1" s="644" t="s">
        <v>1324</v>
      </c>
      <c r="GB1" s="644" t="s">
        <v>1325</v>
      </c>
      <c r="GC1" s="644" t="s">
        <v>1326</v>
      </c>
      <c r="GD1" s="644" t="s">
        <v>1327</v>
      </c>
      <c r="GE1" s="644" t="s">
        <v>1328</v>
      </c>
      <c r="GF1" s="644" t="s">
        <v>1329</v>
      </c>
      <c r="GG1" s="644" t="s">
        <v>1330</v>
      </c>
      <c r="GH1" s="644" t="s">
        <v>1331</v>
      </c>
      <c r="GI1" s="644" t="s">
        <v>1332</v>
      </c>
      <c r="GJ1" s="644" t="s">
        <v>1333</v>
      </c>
      <c r="GK1" s="644" t="s">
        <v>1334</v>
      </c>
      <c r="GL1" s="644" t="s">
        <v>1335</v>
      </c>
      <c r="GM1" s="644" t="s">
        <v>1336</v>
      </c>
      <c r="GN1" s="644" t="s">
        <v>1337</v>
      </c>
      <c r="GO1" s="644" t="s">
        <v>1338</v>
      </c>
      <c r="GP1" s="644" t="s">
        <v>1339</v>
      </c>
      <c r="GQ1" s="644" t="s">
        <v>1340</v>
      </c>
      <c r="GR1" s="644" t="s">
        <v>1341</v>
      </c>
      <c r="GS1" s="644" t="s">
        <v>1342</v>
      </c>
      <c r="GT1" s="644" t="s">
        <v>1343</v>
      </c>
      <c r="GU1" s="644" t="s">
        <v>1344</v>
      </c>
      <c r="GV1" s="644" t="s">
        <v>1345</v>
      </c>
      <c r="GW1" s="644" t="s">
        <v>1346</v>
      </c>
      <c r="GX1" s="644" t="s">
        <v>1347</v>
      </c>
      <c r="GY1" s="644" t="s">
        <v>1348</v>
      </c>
      <c r="GZ1" s="644" t="s">
        <v>1349</v>
      </c>
      <c r="HA1" s="644" t="s">
        <v>1350</v>
      </c>
      <c r="HB1" s="644" t="s">
        <v>1351</v>
      </c>
      <c r="HC1" s="644" t="s">
        <v>1352</v>
      </c>
      <c r="HD1" s="644" t="s">
        <v>1353</v>
      </c>
      <c r="HE1" s="644" t="s">
        <v>1354</v>
      </c>
      <c r="HF1" s="644" t="s">
        <v>1355</v>
      </c>
      <c r="HG1" s="644" t="s">
        <v>1356</v>
      </c>
      <c r="HH1" s="644" t="s">
        <v>1357</v>
      </c>
      <c r="HI1" s="644" t="s">
        <v>1358</v>
      </c>
      <c r="HJ1" s="644" t="s">
        <v>1359</v>
      </c>
      <c r="HK1" s="644" t="s">
        <v>1360</v>
      </c>
      <c r="HL1" s="644" t="s">
        <v>1361</v>
      </c>
      <c r="HM1" s="644" t="s">
        <v>1362</v>
      </c>
      <c r="HN1" s="644" t="s">
        <v>1363</v>
      </c>
      <c r="HO1" s="644" t="s">
        <v>1364</v>
      </c>
      <c r="HP1" s="644" t="s">
        <v>1365</v>
      </c>
      <c r="HQ1" s="644" t="s">
        <v>1366</v>
      </c>
      <c r="HR1" s="644" t="s">
        <v>1367</v>
      </c>
      <c r="HS1" s="644" t="s">
        <v>1368</v>
      </c>
      <c r="HT1" s="644" t="s">
        <v>1369</v>
      </c>
      <c r="HU1" s="644" t="s">
        <v>1370</v>
      </c>
      <c r="HV1" s="644" t="s">
        <v>1371</v>
      </c>
      <c r="HW1" s="644" t="s">
        <v>1372</v>
      </c>
      <c r="HX1" s="644" t="s">
        <v>1373</v>
      </c>
      <c r="HY1" s="644" t="s">
        <v>1374</v>
      </c>
      <c r="HZ1" s="644" t="s">
        <v>1375</v>
      </c>
      <c r="IA1" s="644" t="s">
        <v>1376</v>
      </c>
      <c r="IB1" s="644" t="s">
        <v>1377</v>
      </c>
      <c r="IC1" s="644" t="s">
        <v>1378</v>
      </c>
      <c r="ID1" s="644" t="s">
        <v>1379</v>
      </c>
      <c r="IE1" s="644" t="s">
        <v>1380</v>
      </c>
      <c r="IF1" s="644" t="s">
        <v>1381</v>
      </c>
      <c r="IG1" s="644" t="s">
        <v>1382</v>
      </c>
      <c r="IH1" s="644" t="s">
        <v>1383</v>
      </c>
      <c r="II1" s="644" t="s">
        <v>1384</v>
      </c>
      <c r="IJ1" s="644" t="s">
        <v>1385</v>
      </c>
      <c r="IK1" s="644" t="s">
        <v>1386</v>
      </c>
      <c r="IL1" s="644" t="s">
        <v>1387</v>
      </c>
      <c r="IM1" s="644" t="s">
        <v>1388</v>
      </c>
      <c r="IN1" s="644" t="s">
        <v>1389</v>
      </c>
      <c r="IO1" s="644" t="s">
        <v>1390</v>
      </c>
      <c r="IP1" s="644" t="s">
        <v>1391</v>
      </c>
      <c r="IQ1" s="644" t="s">
        <v>2625</v>
      </c>
      <c r="IR1" s="644" t="s">
        <v>2626</v>
      </c>
      <c r="IS1" s="644" t="s">
        <v>2627</v>
      </c>
      <c r="IT1" s="644" t="s">
        <v>2628</v>
      </c>
      <c r="IU1" s="644" t="s">
        <v>1392</v>
      </c>
      <c r="IV1" s="644" t="s">
        <v>1393</v>
      </c>
      <c r="IW1" s="644" t="s">
        <v>1394</v>
      </c>
      <c r="IX1" s="644" t="s">
        <v>1395</v>
      </c>
      <c r="IY1" s="644" t="s">
        <v>1396</v>
      </c>
      <c r="IZ1" s="644" t="s">
        <v>1397</v>
      </c>
      <c r="JA1" s="644" t="s">
        <v>1398</v>
      </c>
      <c r="JB1" s="644" t="s">
        <v>1399</v>
      </c>
      <c r="JC1" s="644" t="s">
        <v>1400</v>
      </c>
      <c r="JD1" s="644" t="s">
        <v>1401</v>
      </c>
      <c r="JE1" s="644" t="s">
        <v>1402</v>
      </c>
      <c r="JF1" s="644" t="s">
        <v>1403</v>
      </c>
      <c r="JG1" s="644" t="s">
        <v>1404</v>
      </c>
      <c r="JH1" s="644" t="s">
        <v>1405</v>
      </c>
      <c r="JI1" s="644" t="s">
        <v>1406</v>
      </c>
      <c r="JJ1" s="644" t="s">
        <v>1407</v>
      </c>
      <c r="JK1" s="644" t="s">
        <v>1408</v>
      </c>
      <c r="JL1" s="645" t="s">
        <v>1409</v>
      </c>
      <c r="JM1" s="644" t="s">
        <v>1410</v>
      </c>
      <c r="JN1" s="645" t="s">
        <v>1411</v>
      </c>
      <c r="JO1" s="644" t="s">
        <v>1412</v>
      </c>
      <c r="JP1" s="645" t="s">
        <v>1413</v>
      </c>
      <c r="JQ1" s="644" t="s">
        <v>1414</v>
      </c>
      <c r="JR1" s="644" t="s">
        <v>1415</v>
      </c>
      <c r="JS1" s="644" t="s">
        <v>1416</v>
      </c>
      <c r="JT1" s="644" t="s">
        <v>1417</v>
      </c>
      <c r="JU1" s="644" t="s">
        <v>1418</v>
      </c>
      <c r="JV1" s="644" t="s">
        <v>1419</v>
      </c>
      <c r="JW1" s="644" t="s">
        <v>1420</v>
      </c>
      <c r="JX1" s="644" t="s">
        <v>1421</v>
      </c>
      <c r="JY1" s="644" t="s">
        <v>1422</v>
      </c>
      <c r="JZ1" s="644" t="s">
        <v>1423</v>
      </c>
      <c r="KA1" s="644" t="s">
        <v>1424</v>
      </c>
      <c r="KB1" s="644" t="s">
        <v>1425</v>
      </c>
      <c r="KC1" s="644" t="s">
        <v>1426</v>
      </c>
      <c r="KD1" s="644" t="s">
        <v>1427</v>
      </c>
      <c r="KE1" s="644" t="s">
        <v>1428</v>
      </c>
      <c r="KF1" s="644" t="s">
        <v>1429</v>
      </c>
      <c r="KG1" s="644" t="s">
        <v>1430</v>
      </c>
      <c r="KH1" s="644" t="s">
        <v>1431</v>
      </c>
      <c r="KI1" s="644" t="s">
        <v>1432</v>
      </c>
      <c r="KJ1" s="644" t="s">
        <v>1433</v>
      </c>
      <c r="KK1" s="644" t="s">
        <v>1434</v>
      </c>
      <c r="KL1" s="644" t="s">
        <v>1435</v>
      </c>
      <c r="KM1" s="644" t="s">
        <v>1436</v>
      </c>
      <c r="KN1" s="644" t="s">
        <v>1437</v>
      </c>
      <c r="KO1" s="644" t="s">
        <v>1438</v>
      </c>
      <c r="KP1" s="644" t="s">
        <v>1439</v>
      </c>
      <c r="KQ1" s="644" t="s">
        <v>1440</v>
      </c>
      <c r="KR1" s="644" t="s">
        <v>1441</v>
      </c>
      <c r="KS1" s="644" t="s">
        <v>1442</v>
      </c>
      <c r="KT1" s="644" t="s">
        <v>1443</v>
      </c>
      <c r="KU1" s="644" t="s">
        <v>1444</v>
      </c>
      <c r="KV1" s="644" t="s">
        <v>1445</v>
      </c>
      <c r="KW1" s="644" t="s">
        <v>1446</v>
      </c>
      <c r="KX1" s="644" t="s">
        <v>1447</v>
      </c>
      <c r="KY1" s="644" t="s">
        <v>1448</v>
      </c>
      <c r="KZ1" s="644" t="s">
        <v>1449</v>
      </c>
      <c r="LA1" s="644" t="s">
        <v>1450</v>
      </c>
      <c r="LB1" s="644" t="s">
        <v>1451</v>
      </c>
      <c r="LC1" s="644" t="s">
        <v>1452</v>
      </c>
      <c r="LD1" s="644" t="s">
        <v>1453</v>
      </c>
      <c r="LE1" s="644" t="s">
        <v>1454</v>
      </c>
      <c r="LF1" s="644" t="s">
        <v>1455</v>
      </c>
      <c r="LG1" s="644" t="s">
        <v>1456</v>
      </c>
      <c r="LH1" s="644" t="s">
        <v>1457</v>
      </c>
      <c r="LI1" s="644" t="s">
        <v>1458</v>
      </c>
      <c r="LJ1" s="644" t="s">
        <v>1459</v>
      </c>
      <c r="LK1" s="644" t="s">
        <v>1460</v>
      </c>
      <c r="LL1" s="644" t="s">
        <v>1461</v>
      </c>
      <c r="LM1" s="644" t="s">
        <v>1462</v>
      </c>
      <c r="LN1" s="644" t="s">
        <v>1463</v>
      </c>
      <c r="LO1" s="644" t="s">
        <v>1464</v>
      </c>
      <c r="LP1" s="644" t="s">
        <v>1465</v>
      </c>
      <c r="LQ1" s="644" t="s">
        <v>2629</v>
      </c>
      <c r="LR1" s="644" t="s">
        <v>2630</v>
      </c>
      <c r="LS1" s="644" t="s">
        <v>2631</v>
      </c>
      <c r="LT1" s="644" t="s">
        <v>2632</v>
      </c>
      <c r="LU1" s="644" t="s">
        <v>2633</v>
      </c>
      <c r="LV1" s="644" t="s">
        <v>2634</v>
      </c>
      <c r="LW1" s="644" t="s">
        <v>2635</v>
      </c>
      <c r="LX1" s="644" t="s">
        <v>2636</v>
      </c>
      <c r="LY1" s="644" t="s">
        <v>2637</v>
      </c>
      <c r="LZ1" s="644" t="s">
        <v>2638</v>
      </c>
      <c r="MA1" s="644" t="s">
        <v>2639</v>
      </c>
      <c r="MB1" s="644" t="s">
        <v>2640</v>
      </c>
      <c r="MC1" s="644" t="s">
        <v>2641</v>
      </c>
      <c r="MD1" s="644" t="s">
        <v>2642</v>
      </c>
      <c r="ME1" s="644" t="s">
        <v>2643</v>
      </c>
      <c r="MF1" s="644" t="s">
        <v>2644</v>
      </c>
      <c r="MG1" s="644" t="s">
        <v>2645</v>
      </c>
      <c r="MH1" s="644" t="s">
        <v>2646</v>
      </c>
      <c r="MI1" s="644" t="s">
        <v>2647</v>
      </c>
      <c r="MJ1" s="644" t="s">
        <v>2648</v>
      </c>
      <c r="MK1" s="644" t="s">
        <v>2649</v>
      </c>
      <c r="ML1" s="644" t="s">
        <v>2650</v>
      </c>
      <c r="MM1" s="644" t="s">
        <v>2651</v>
      </c>
      <c r="MN1" s="644" t="s">
        <v>2652</v>
      </c>
      <c r="MO1" s="644" t="s">
        <v>2653</v>
      </c>
      <c r="MP1" s="644" t="s">
        <v>2654</v>
      </c>
      <c r="MQ1" s="644" t="s">
        <v>2655</v>
      </c>
      <c r="MR1" s="644" t="s">
        <v>2656</v>
      </c>
      <c r="MS1" s="644" t="s">
        <v>2657</v>
      </c>
      <c r="MT1" s="644" t="s">
        <v>2658</v>
      </c>
      <c r="MU1" s="644" t="s">
        <v>2659</v>
      </c>
      <c r="MV1" s="644" t="s">
        <v>2660</v>
      </c>
      <c r="MW1" s="644" t="s">
        <v>2661</v>
      </c>
      <c r="MX1" s="644" t="s">
        <v>2662</v>
      </c>
      <c r="MY1" s="644" t="s">
        <v>2663</v>
      </c>
      <c r="MZ1" s="644" t="s">
        <v>2664</v>
      </c>
      <c r="NA1" s="644" t="s">
        <v>2665</v>
      </c>
      <c r="NB1" s="644" t="s">
        <v>2666</v>
      </c>
      <c r="NC1" s="644" t="s">
        <v>2667</v>
      </c>
      <c r="ND1" s="644" t="s">
        <v>2668</v>
      </c>
      <c r="NE1" s="644" t="s">
        <v>2669</v>
      </c>
      <c r="NF1" s="644" t="s">
        <v>2670</v>
      </c>
      <c r="NG1" s="644" t="s">
        <v>2671</v>
      </c>
      <c r="NH1" s="644" t="s">
        <v>2672</v>
      </c>
      <c r="NI1" s="644" t="s">
        <v>2673</v>
      </c>
      <c r="NJ1" s="644" t="s">
        <v>2674</v>
      </c>
      <c r="NK1" s="644" t="s">
        <v>2675</v>
      </c>
      <c r="NL1" s="644" t="s">
        <v>2676</v>
      </c>
      <c r="NM1" s="644" t="s">
        <v>2677</v>
      </c>
      <c r="NN1" s="644" t="s">
        <v>2678</v>
      </c>
      <c r="NO1" s="644" t="s">
        <v>2679</v>
      </c>
      <c r="NP1" s="644" t="s">
        <v>2680</v>
      </c>
      <c r="NQ1" s="644" t="s">
        <v>2681</v>
      </c>
      <c r="NR1" s="644" t="s">
        <v>2682</v>
      </c>
      <c r="NS1" s="644" t="s">
        <v>2683</v>
      </c>
      <c r="NT1" s="644" t="s">
        <v>2684</v>
      </c>
      <c r="NU1" s="644" t="s">
        <v>2685</v>
      </c>
      <c r="NV1" s="644" t="s">
        <v>2686</v>
      </c>
      <c r="NW1" s="644" t="s">
        <v>2687</v>
      </c>
      <c r="NX1" s="644" t="s">
        <v>2688</v>
      </c>
      <c r="NY1" s="644" t="s">
        <v>2689</v>
      </c>
      <c r="NZ1" s="644" t="s">
        <v>2690</v>
      </c>
      <c r="OA1" s="644" t="s">
        <v>2691</v>
      </c>
      <c r="OB1" s="644" t="s">
        <v>2692</v>
      </c>
      <c r="OC1" s="644" t="s">
        <v>2693</v>
      </c>
      <c r="OD1" s="644" t="s">
        <v>2694</v>
      </c>
      <c r="OE1" s="644" t="s">
        <v>2695</v>
      </c>
      <c r="OF1" s="644" t="s">
        <v>2696</v>
      </c>
      <c r="OG1" s="644" t="s">
        <v>2697</v>
      </c>
      <c r="OH1" s="644" t="s">
        <v>2698</v>
      </c>
      <c r="OI1" s="644" t="s">
        <v>2699</v>
      </c>
      <c r="OJ1" s="644" t="s">
        <v>2700</v>
      </c>
      <c r="OK1" s="644" t="s">
        <v>2701</v>
      </c>
      <c r="OL1" s="644" t="s">
        <v>2702</v>
      </c>
      <c r="OM1" s="644" t="s">
        <v>2703</v>
      </c>
      <c r="ON1" s="644" t="s">
        <v>2704</v>
      </c>
      <c r="OO1" s="644" t="s">
        <v>2705</v>
      </c>
      <c r="OP1" s="644" t="s">
        <v>2706</v>
      </c>
      <c r="OQ1" s="644" t="s">
        <v>2707</v>
      </c>
      <c r="OR1" s="644" t="s">
        <v>2708</v>
      </c>
      <c r="OS1" s="644" t="s">
        <v>2709</v>
      </c>
      <c r="OT1" s="644" t="s">
        <v>2710</v>
      </c>
      <c r="OU1" s="644" t="s">
        <v>2711</v>
      </c>
      <c r="OV1" s="644" t="s">
        <v>2712</v>
      </c>
      <c r="OW1" s="644" t="s">
        <v>2713</v>
      </c>
      <c r="OX1" s="644" t="s">
        <v>2714</v>
      </c>
      <c r="OY1" s="644" t="s">
        <v>2715</v>
      </c>
      <c r="OZ1" s="644" t="s">
        <v>2716</v>
      </c>
      <c r="PA1" s="644" t="s">
        <v>2717</v>
      </c>
      <c r="PB1" s="644" t="s">
        <v>2718</v>
      </c>
      <c r="PC1" s="644" t="s">
        <v>2719</v>
      </c>
      <c r="PD1" s="644" t="s">
        <v>2720</v>
      </c>
      <c r="PE1" s="644" t="s">
        <v>2721</v>
      </c>
      <c r="PF1" s="644" t="s">
        <v>2722</v>
      </c>
      <c r="PG1" s="645" t="s">
        <v>2723</v>
      </c>
      <c r="PH1" s="644" t="s">
        <v>2724</v>
      </c>
      <c r="PI1" s="644" t="s">
        <v>2725</v>
      </c>
      <c r="PJ1" s="644" t="s">
        <v>2726</v>
      </c>
      <c r="PK1" s="644" t="s">
        <v>2727</v>
      </c>
      <c r="PL1" s="644" t="s">
        <v>2728</v>
      </c>
      <c r="PM1" s="644" t="s">
        <v>2729</v>
      </c>
      <c r="PN1" s="644" t="s">
        <v>2730</v>
      </c>
      <c r="PO1" s="644" t="s">
        <v>1466</v>
      </c>
      <c r="PP1" s="644" t="s">
        <v>1467</v>
      </c>
      <c r="PQ1" s="644" t="s">
        <v>1468</v>
      </c>
      <c r="PR1" s="644" t="s">
        <v>1469</v>
      </c>
      <c r="PS1" s="644" t="s">
        <v>1470</v>
      </c>
      <c r="PT1" s="644" t="s">
        <v>1471</v>
      </c>
      <c r="PU1" s="644" t="s">
        <v>1472</v>
      </c>
      <c r="PV1" s="644" t="s">
        <v>1473</v>
      </c>
      <c r="PW1" s="644" t="s">
        <v>1474</v>
      </c>
      <c r="PX1" s="644" t="s">
        <v>1475</v>
      </c>
      <c r="PY1" s="644" t="s">
        <v>1476</v>
      </c>
      <c r="PZ1" s="644" t="s">
        <v>1477</v>
      </c>
      <c r="QA1" s="644" t="s">
        <v>1478</v>
      </c>
      <c r="QB1" s="644" t="s">
        <v>1479</v>
      </c>
      <c r="QC1" s="644" t="s">
        <v>1480</v>
      </c>
      <c r="QD1" s="644" t="s">
        <v>2731</v>
      </c>
      <c r="QE1" s="644" t="s">
        <v>1481</v>
      </c>
      <c r="QF1" s="644" t="s">
        <v>1482</v>
      </c>
      <c r="QG1" s="644" t="s">
        <v>1483</v>
      </c>
      <c r="QH1" s="644" t="s">
        <v>1484</v>
      </c>
      <c r="QI1" s="644" t="s">
        <v>1485</v>
      </c>
      <c r="QJ1" s="644" t="s">
        <v>1486</v>
      </c>
      <c r="QK1" s="644" t="s">
        <v>1487</v>
      </c>
      <c r="QL1" s="644" t="s">
        <v>1488</v>
      </c>
      <c r="QM1" s="644" t="s">
        <v>1489</v>
      </c>
      <c r="QN1" s="644" t="s">
        <v>1490</v>
      </c>
      <c r="QO1" s="644" t="s">
        <v>1491</v>
      </c>
      <c r="QP1" s="644" t="s">
        <v>1492</v>
      </c>
      <c r="QQ1" s="644" t="s">
        <v>1493</v>
      </c>
      <c r="QR1" s="644" t="s">
        <v>1494</v>
      </c>
      <c r="QS1" s="644" t="s">
        <v>1495</v>
      </c>
      <c r="QT1" s="644" t="s">
        <v>1496</v>
      </c>
      <c r="QU1" s="644" t="s">
        <v>1497</v>
      </c>
      <c r="QV1" s="644" t="s">
        <v>2732</v>
      </c>
      <c r="QW1" s="644" t="s">
        <v>1498</v>
      </c>
      <c r="QX1" s="644" t="s">
        <v>1499</v>
      </c>
      <c r="QY1" s="644" t="s">
        <v>1500</v>
      </c>
      <c r="QZ1" s="644" t="s">
        <v>1501</v>
      </c>
      <c r="RA1" s="644" t="s">
        <v>2733</v>
      </c>
      <c r="RB1" s="644" t="s">
        <v>2734</v>
      </c>
      <c r="RC1" s="644" t="s">
        <v>2735</v>
      </c>
      <c r="RD1" s="644" t="s">
        <v>2736</v>
      </c>
      <c r="RE1" s="644" t="s">
        <v>1502</v>
      </c>
      <c r="RF1" s="644" t="s">
        <v>1503</v>
      </c>
      <c r="RG1" s="644" t="s">
        <v>1504</v>
      </c>
      <c r="RH1" s="644" t="s">
        <v>1505</v>
      </c>
      <c r="RI1" s="644" t="s">
        <v>1506</v>
      </c>
      <c r="RJ1" s="644" t="s">
        <v>1507</v>
      </c>
      <c r="RK1" s="644" t="s">
        <v>1508</v>
      </c>
      <c r="RL1" s="644" t="s">
        <v>1509</v>
      </c>
      <c r="RM1" s="644" t="s">
        <v>1510</v>
      </c>
      <c r="RN1" s="644" t="s">
        <v>1511</v>
      </c>
      <c r="RO1" s="644" t="s">
        <v>1512</v>
      </c>
      <c r="RP1" s="644" t="s">
        <v>1513</v>
      </c>
      <c r="RQ1" s="644" t="s">
        <v>1514</v>
      </c>
      <c r="RR1" s="644" t="s">
        <v>1515</v>
      </c>
      <c r="RS1" s="644" t="s">
        <v>1516</v>
      </c>
      <c r="RT1" s="644" t="s">
        <v>1517</v>
      </c>
      <c r="RU1" s="644" t="s">
        <v>1518</v>
      </c>
      <c r="RV1" s="644" t="s">
        <v>1519</v>
      </c>
      <c r="RW1" s="644" t="s">
        <v>1520</v>
      </c>
      <c r="RX1" s="644" t="s">
        <v>1521</v>
      </c>
      <c r="RY1" s="644" t="s">
        <v>1522</v>
      </c>
      <c r="RZ1" s="645" t="s">
        <v>1523</v>
      </c>
      <c r="SA1" s="644" t="s">
        <v>1524</v>
      </c>
      <c r="SB1" s="644" t="s">
        <v>1525</v>
      </c>
      <c r="SC1" s="645" t="s">
        <v>1526</v>
      </c>
      <c r="SD1" s="644" t="s">
        <v>1527</v>
      </c>
      <c r="SE1" s="644" t="s">
        <v>1528</v>
      </c>
      <c r="SF1" s="644" t="s">
        <v>1529</v>
      </c>
      <c r="SG1" s="644" t="s">
        <v>1530</v>
      </c>
      <c r="SH1" s="644" t="s">
        <v>1531</v>
      </c>
      <c r="SI1" s="644" t="s">
        <v>1532</v>
      </c>
      <c r="SJ1" s="644" t="s">
        <v>1533</v>
      </c>
      <c r="SK1" s="644" t="s">
        <v>1534</v>
      </c>
      <c r="SL1" s="644" t="s">
        <v>1535</v>
      </c>
      <c r="SM1" s="644" t="s">
        <v>1536</v>
      </c>
      <c r="SN1" s="644" t="s">
        <v>1537</v>
      </c>
      <c r="SO1" s="644" t="s">
        <v>1538</v>
      </c>
      <c r="SP1" s="644" t="s">
        <v>1539</v>
      </c>
      <c r="SQ1" s="644" t="s">
        <v>1540</v>
      </c>
      <c r="SR1" s="644" t="s">
        <v>1541</v>
      </c>
      <c r="SS1" s="644" t="s">
        <v>1542</v>
      </c>
      <c r="ST1" s="644" t="s">
        <v>1543</v>
      </c>
      <c r="SU1" s="644" t="s">
        <v>1544</v>
      </c>
      <c r="SV1" s="644" t="s">
        <v>1545</v>
      </c>
      <c r="SW1" s="644" t="s">
        <v>1546</v>
      </c>
      <c r="SX1" s="644" t="s">
        <v>1547</v>
      </c>
      <c r="SY1" s="644" t="s">
        <v>1548</v>
      </c>
      <c r="SZ1" s="644" t="s">
        <v>1549</v>
      </c>
      <c r="TA1" s="644" t="s">
        <v>1550</v>
      </c>
      <c r="TB1" s="644" t="s">
        <v>1551</v>
      </c>
      <c r="TC1" s="644" t="s">
        <v>1552</v>
      </c>
      <c r="TD1" s="644" t="s">
        <v>1553</v>
      </c>
      <c r="TE1" s="644" t="s">
        <v>1554</v>
      </c>
      <c r="TF1" s="644" t="s">
        <v>1555</v>
      </c>
      <c r="TG1" s="644" t="s">
        <v>1556</v>
      </c>
      <c r="TH1" s="644" t="s">
        <v>1557</v>
      </c>
      <c r="TI1" s="644" t="s">
        <v>1558</v>
      </c>
      <c r="TJ1" s="644" t="s">
        <v>1559</v>
      </c>
      <c r="TK1" s="644" t="s">
        <v>1560</v>
      </c>
      <c r="TL1" s="644" t="s">
        <v>1561</v>
      </c>
      <c r="TM1" s="644" t="s">
        <v>1562</v>
      </c>
      <c r="TN1" s="644" t="s">
        <v>1563</v>
      </c>
      <c r="TO1" s="645" t="s">
        <v>1564</v>
      </c>
      <c r="TP1" s="644" t="s">
        <v>1565</v>
      </c>
      <c r="TQ1" s="644" t="s">
        <v>1566</v>
      </c>
      <c r="TR1" s="644" t="s">
        <v>1567</v>
      </c>
      <c r="TS1" s="644" t="s">
        <v>1568</v>
      </c>
      <c r="TT1" s="644" t="s">
        <v>1569</v>
      </c>
      <c r="TU1" s="644" t="s">
        <v>1570</v>
      </c>
      <c r="TV1" s="644" t="s">
        <v>1571</v>
      </c>
      <c r="TW1" s="644" t="s">
        <v>1572</v>
      </c>
      <c r="TX1" s="644" t="s">
        <v>1573</v>
      </c>
      <c r="TY1" s="644" t="s">
        <v>1574</v>
      </c>
      <c r="TZ1" s="644" t="s">
        <v>1575</v>
      </c>
      <c r="UA1" s="644" t="s">
        <v>1576</v>
      </c>
      <c r="UB1" s="644" t="s">
        <v>1577</v>
      </c>
      <c r="UC1" s="644" t="s">
        <v>1578</v>
      </c>
      <c r="UD1" s="644" t="s">
        <v>1579</v>
      </c>
      <c r="UE1" s="644" t="s">
        <v>1580</v>
      </c>
      <c r="UF1" s="644" t="s">
        <v>1581</v>
      </c>
      <c r="UG1" s="644" t="s">
        <v>1582</v>
      </c>
      <c r="UH1" s="644" t="s">
        <v>1583</v>
      </c>
      <c r="UI1" s="644" t="s">
        <v>1584</v>
      </c>
      <c r="UJ1" s="644" t="s">
        <v>1585</v>
      </c>
      <c r="UK1" s="644" t="s">
        <v>1586</v>
      </c>
      <c r="UL1" s="644" t="s">
        <v>1587</v>
      </c>
      <c r="UM1" s="644" t="s">
        <v>1588</v>
      </c>
      <c r="UN1" s="645" t="s">
        <v>1589</v>
      </c>
      <c r="UO1" s="644" t="s">
        <v>1590</v>
      </c>
      <c r="UP1" s="644" t="s">
        <v>1591</v>
      </c>
      <c r="UQ1" s="644" t="s">
        <v>1592</v>
      </c>
      <c r="UR1" s="644" t="s">
        <v>1593</v>
      </c>
      <c r="US1" s="644" t="s">
        <v>1594</v>
      </c>
      <c r="UT1" s="644" t="s">
        <v>1595</v>
      </c>
      <c r="UU1" s="644" t="s">
        <v>1596</v>
      </c>
      <c r="UV1" s="644" t="s">
        <v>1597</v>
      </c>
      <c r="UW1" s="644" t="s">
        <v>1598</v>
      </c>
      <c r="UX1" s="644" t="s">
        <v>1599</v>
      </c>
      <c r="UY1" s="644" t="s">
        <v>1600</v>
      </c>
      <c r="UZ1" s="644" t="s">
        <v>1601</v>
      </c>
      <c r="VA1" s="644" t="s">
        <v>1602</v>
      </c>
      <c r="VB1" s="644" t="s">
        <v>1603</v>
      </c>
      <c r="VC1" s="644" t="s">
        <v>1604</v>
      </c>
      <c r="VD1" s="644" t="s">
        <v>1605</v>
      </c>
      <c r="VE1" s="644" t="s">
        <v>1606</v>
      </c>
      <c r="VF1" s="644" t="s">
        <v>1607</v>
      </c>
      <c r="VG1" s="644" t="s">
        <v>1608</v>
      </c>
      <c r="VH1" s="644" t="s">
        <v>1609</v>
      </c>
      <c r="VI1" s="644" t="s">
        <v>1610</v>
      </c>
      <c r="VJ1" s="644" t="s">
        <v>1611</v>
      </c>
      <c r="VK1" s="644" t="s">
        <v>1612</v>
      </c>
      <c r="VL1" s="644" t="s">
        <v>1613</v>
      </c>
      <c r="VM1" s="644" t="s">
        <v>1614</v>
      </c>
      <c r="VN1" s="644" t="s">
        <v>1615</v>
      </c>
      <c r="VO1" s="644" t="s">
        <v>1616</v>
      </c>
      <c r="VP1" s="644" t="s">
        <v>1617</v>
      </c>
      <c r="VQ1" s="644" t="s">
        <v>1618</v>
      </c>
      <c r="VR1" s="644" t="s">
        <v>1619</v>
      </c>
      <c r="VS1" s="644" t="s">
        <v>1620</v>
      </c>
      <c r="VT1" s="644" t="s">
        <v>1621</v>
      </c>
      <c r="VU1" s="644" t="s">
        <v>1622</v>
      </c>
      <c r="VV1" s="644" t="s">
        <v>1623</v>
      </c>
      <c r="VW1" s="644" t="s">
        <v>1624</v>
      </c>
      <c r="VX1" s="644" t="s">
        <v>1625</v>
      </c>
      <c r="VY1" s="644" t="s">
        <v>1626</v>
      </c>
      <c r="VZ1" s="644" t="s">
        <v>1627</v>
      </c>
      <c r="WA1" s="644" t="s">
        <v>1628</v>
      </c>
      <c r="WB1" s="644" t="s">
        <v>1629</v>
      </c>
      <c r="WC1" s="644" t="s">
        <v>1630</v>
      </c>
      <c r="WD1" s="644" t="s">
        <v>1631</v>
      </c>
      <c r="WE1" s="644" t="s">
        <v>1632</v>
      </c>
      <c r="WF1" s="644" t="s">
        <v>1633</v>
      </c>
      <c r="WG1" s="644" t="s">
        <v>1634</v>
      </c>
      <c r="WH1" s="644" t="s">
        <v>1635</v>
      </c>
      <c r="WI1" s="644" t="s">
        <v>1636</v>
      </c>
      <c r="WJ1" s="644" t="s">
        <v>1637</v>
      </c>
      <c r="WK1" s="644" t="s">
        <v>1638</v>
      </c>
      <c r="WL1" s="644" t="s">
        <v>1639</v>
      </c>
      <c r="WM1" s="644" t="s">
        <v>1640</v>
      </c>
      <c r="WN1" s="644" t="s">
        <v>1641</v>
      </c>
      <c r="WO1" s="644" t="s">
        <v>1642</v>
      </c>
      <c r="WP1" s="644" t="s">
        <v>1643</v>
      </c>
      <c r="WQ1" s="644" t="s">
        <v>1644</v>
      </c>
      <c r="WR1" s="644" t="s">
        <v>1645</v>
      </c>
      <c r="WS1" s="644" t="s">
        <v>1646</v>
      </c>
      <c r="WT1" s="644" t="s">
        <v>1647</v>
      </c>
      <c r="WU1" s="644" t="s">
        <v>1648</v>
      </c>
      <c r="WV1" s="644" t="s">
        <v>1649</v>
      </c>
      <c r="WW1" s="644" t="s">
        <v>1650</v>
      </c>
      <c r="WX1" s="644" t="s">
        <v>1651</v>
      </c>
      <c r="WY1" s="644" t="s">
        <v>1652</v>
      </c>
      <c r="WZ1" s="644" t="s">
        <v>1653</v>
      </c>
      <c r="XA1" s="644" t="s">
        <v>1654</v>
      </c>
      <c r="XB1" s="644" t="s">
        <v>1655</v>
      </c>
      <c r="XC1" s="644" t="s">
        <v>1656</v>
      </c>
      <c r="XD1" s="644" t="s">
        <v>1657</v>
      </c>
      <c r="XE1" s="644" t="s">
        <v>1658</v>
      </c>
      <c r="XF1" s="644" t="s">
        <v>1659</v>
      </c>
      <c r="XG1" s="644" t="s">
        <v>1660</v>
      </c>
      <c r="XH1" s="644" t="s">
        <v>1661</v>
      </c>
      <c r="XI1" s="644" t="s">
        <v>1662</v>
      </c>
      <c r="XJ1" s="644" t="s">
        <v>1663</v>
      </c>
      <c r="XK1" s="644" t="s">
        <v>1664</v>
      </c>
      <c r="XL1" s="644" t="s">
        <v>1665</v>
      </c>
      <c r="XM1" s="644" t="s">
        <v>1666</v>
      </c>
      <c r="XN1" s="644" t="s">
        <v>1667</v>
      </c>
      <c r="XO1" s="644" t="s">
        <v>1668</v>
      </c>
      <c r="XP1" s="644" t="s">
        <v>1669</v>
      </c>
      <c r="XQ1" s="644" t="s">
        <v>1670</v>
      </c>
      <c r="XR1" s="644" t="s">
        <v>1671</v>
      </c>
      <c r="XS1" s="644" t="s">
        <v>1672</v>
      </c>
      <c r="XT1" s="644" t="s">
        <v>1673</v>
      </c>
      <c r="XU1" s="644" t="s">
        <v>1674</v>
      </c>
      <c r="XV1" s="644" t="s">
        <v>1675</v>
      </c>
      <c r="XW1" s="644" t="s">
        <v>1676</v>
      </c>
      <c r="XX1" s="644" t="s">
        <v>1677</v>
      </c>
      <c r="XY1" s="644" t="s">
        <v>1678</v>
      </c>
      <c r="XZ1" s="644" t="s">
        <v>1679</v>
      </c>
      <c r="YA1" s="644" t="s">
        <v>1680</v>
      </c>
      <c r="YB1" s="644" t="s">
        <v>1681</v>
      </c>
      <c r="YC1" s="644" t="s">
        <v>1682</v>
      </c>
      <c r="YD1" s="644" t="s">
        <v>1683</v>
      </c>
      <c r="YE1" s="644" t="s">
        <v>1684</v>
      </c>
      <c r="YF1" s="644" t="s">
        <v>1685</v>
      </c>
      <c r="YG1" s="644" t="s">
        <v>1686</v>
      </c>
      <c r="YH1" s="644" t="s">
        <v>1687</v>
      </c>
      <c r="YI1" s="644" t="s">
        <v>1688</v>
      </c>
      <c r="YJ1" s="644" t="s">
        <v>1689</v>
      </c>
      <c r="YK1" s="644" t="s">
        <v>1690</v>
      </c>
      <c r="YL1" s="644" t="s">
        <v>1691</v>
      </c>
      <c r="YM1" s="644" t="s">
        <v>1692</v>
      </c>
      <c r="YN1" s="644" t="s">
        <v>1693</v>
      </c>
      <c r="YO1" s="644" t="s">
        <v>1694</v>
      </c>
      <c r="YP1" s="644" t="s">
        <v>1695</v>
      </c>
      <c r="YQ1" s="644" t="s">
        <v>2737</v>
      </c>
      <c r="YR1" s="644" t="s">
        <v>2738</v>
      </c>
      <c r="YS1" s="644" t="s">
        <v>2739</v>
      </c>
      <c r="YT1" s="644" t="s">
        <v>2740</v>
      </c>
      <c r="YU1" s="644" t="s">
        <v>2741</v>
      </c>
      <c r="YV1" s="644" t="s">
        <v>2742</v>
      </c>
      <c r="YW1" s="644" t="s">
        <v>2743</v>
      </c>
      <c r="YX1" s="644" t="s">
        <v>2744</v>
      </c>
      <c r="YY1" s="644" t="s">
        <v>2745</v>
      </c>
      <c r="YZ1" s="644" t="s">
        <v>2746</v>
      </c>
      <c r="ZA1" s="644" t="s">
        <v>2747</v>
      </c>
      <c r="ZB1" s="644" t="s">
        <v>2748</v>
      </c>
      <c r="ZC1" s="644" t="s">
        <v>2749</v>
      </c>
      <c r="ZD1" s="644" t="s">
        <v>2750</v>
      </c>
      <c r="ZE1" s="644" t="s">
        <v>2751</v>
      </c>
      <c r="ZF1" s="644" t="s">
        <v>2752</v>
      </c>
      <c r="ZG1" s="644" t="s">
        <v>2753</v>
      </c>
      <c r="ZH1" s="644" t="s">
        <v>2754</v>
      </c>
      <c r="ZI1" s="644" t="s">
        <v>2755</v>
      </c>
      <c r="ZJ1" s="644" t="s">
        <v>2756</v>
      </c>
      <c r="ZK1" s="644" t="s">
        <v>2757</v>
      </c>
      <c r="ZL1" s="644" t="s">
        <v>2758</v>
      </c>
      <c r="ZM1" s="644" t="s">
        <v>2759</v>
      </c>
      <c r="ZN1" s="644" t="s">
        <v>2760</v>
      </c>
      <c r="ZO1" s="644" t="s">
        <v>2761</v>
      </c>
      <c r="ZP1" s="644" t="s">
        <v>2762</v>
      </c>
      <c r="ZQ1" s="644" t="s">
        <v>2763</v>
      </c>
      <c r="ZR1" s="644" t="s">
        <v>2764</v>
      </c>
      <c r="ZS1" s="644" t="s">
        <v>2765</v>
      </c>
      <c r="ZT1" s="644" t="s">
        <v>2766</v>
      </c>
      <c r="ZU1" s="644" t="s">
        <v>2767</v>
      </c>
      <c r="ZV1" s="644" t="s">
        <v>2768</v>
      </c>
      <c r="ZW1" s="644" t="s">
        <v>2769</v>
      </c>
      <c r="ZX1" s="644" t="s">
        <v>2770</v>
      </c>
      <c r="ZY1" s="644" t="s">
        <v>2771</v>
      </c>
      <c r="ZZ1" s="644" t="s">
        <v>2772</v>
      </c>
      <c r="AAA1" s="644" t="s">
        <v>2773</v>
      </c>
      <c r="AAB1" s="644" t="s">
        <v>2774</v>
      </c>
      <c r="AAC1" s="644" t="s">
        <v>2775</v>
      </c>
      <c r="AAD1" s="644" t="s">
        <v>2776</v>
      </c>
      <c r="AAE1" s="644" t="s">
        <v>2777</v>
      </c>
      <c r="AAF1" s="644" t="s">
        <v>2778</v>
      </c>
      <c r="AAG1" s="644" t="s">
        <v>2779</v>
      </c>
      <c r="AAH1" s="644" t="s">
        <v>2780</v>
      </c>
      <c r="AAI1" s="644" t="s">
        <v>2781</v>
      </c>
      <c r="AAJ1" s="644" t="s">
        <v>2782</v>
      </c>
      <c r="AAK1" s="644" t="s">
        <v>2783</v>
      </c>
      <c r="AAL1" s="644" t="s">
        <v>2784</v>
      </c>
      <c r="AAM1" s="644" t="s">
        <v>2785</v>
      </c>
      <c r="AAN1" s="644" t="s">
        <v>2786</v>
      </c>
      <c r="AAO1" s="644" t="s">
        <v>2787</v>
      </c>
      <c r="AAP1" s="644" t="s">
        <v>2788</v>
      </c>
      <c r="AAQ1" s="644" t="s">
        <v>2789</v>
      </c>
      <c r="AAR1" s="644" t="s">
        <v>2790</v>
      </c>
      <c r="AAS1" s="644" t="s">
        <v>2791</v>
      </c>
      <c r="AAT1" s="645" t="s">
        <v>2792</v>
      </c>
      <c r="AAU1" s="644" t="s">
        <v>2793</v>
      </c>
      <c r="AAV1" s="645" t="s">
        <v>2794</v>
      </c>
      <c r="AAW1" s="644" t="s">
        <v>2795</v>
      </c>
      <c r="AAX1" s="644" t="s">
        <v>2796</v>
      </c>
      <c r="AAY1" s="644" t="s">
        <v>2797</v>
      </c>
      <c r="AAZ1" s="644" t="s">
        <v>2798</v>
      </c>
      <c r="ABA1" s="644" t="s">
        <v>2799</v>
      </c>
      <c r="ABB1" s="644" t="s">
        <v>2800</v>
      </c>
      <c r="ABC1" s="644" t="s">
        <v>2801</v>
      </c>
      <c r="ABD1" s="644" t="s">
        <v>2802</v>
      </c>
      <c r="ABE1" s="644" t="s">
        <v>2803</v>
      </c>
      <c r="ABF1" s="644" t="s">
        <v>2804</v>
      </c>
      <c r="ABG1" s="644" t="s">
        <v>2805</v>
      </c>
      <c r="ABH1" s="644" t="s">
        <v>2806</v>
      </c>
      <c r="ABI1" s="644" t="s">
        <v>2807</v>
      </c>
      <c r="ABJ1" s="644" t="s">
        <v>2808</v>
      </c>
      <c r="ABK1" s="644" t="s">
        <v>2809</v>
      </c>
      <c r="ABL1" s="644" t="s">
        <v>2810</v>
      </c>
      <c r="ABM1" s="644" t="s">
        <v>2811</v>
      </c>
      <c r="ABN1" s="644" t="s">
        <v>2812</v>
      </c>
      <c r="ABO1" s="644" t="s">
        <v>2813</v>
      </c>
      <c r="ABP1" s="644" t="s">
        <v>2814</v>
      </c>
      <c r="ABQ1" s="644" t="s">
        <v>2815</v>
      </c>
      <c r="ABR1" s="644" t="s">
        <v>2816</v>
      </c>
      <c r="ABS1" s="644" t="s">
        <v>2817</v>
      </c>
      <c r="ABT1" s="644" t="s">
        <v>2818</v>
      </c>
      <c r="ABU1" s="645" t="s">
        <v>2819</v>
      </c>
      <c r="ABV1" s="644" t="s">
        <v>2820</v>
      </c>
      <c r="ABW1" s="644" t="s">
        <v>2821</v>
      </c>
      <c r="ABX1" s="644" t="s">
        <v>2822</v>
      </c>
      <c r="ABY1" s="644" t="s">
        <v>2823</v>
      </c>
      <c r="ABZ1" s="644" t="s">
        <v>2824</v>
      </c>
      <c r="ACA1" s="645" t="s">
        <v>2825</v>
      </c>
      <c r="ACB1" s="644" t="s">
        <v>2826</v>
      </c>
      <c r="ACC1" s="644" t="s">
        <v>1696</v>
      </c>
      <c r="ACD1" s="644" t="s">
        <v>1697</v>
      </c>
      <c r="ACE1" s="644" t="s">
        <v>1698</v>
      </c>
      <c r="ACF1" s="644" t="s">
        <v>1699</v>
      </c>
      <c r="ACG1" s="644" t="s">
        <v>1700</v>
      </c>
      <c r="ACH1" s="644" t="s">
        <v>1701</v>
      </c>
      <c r="ACI1" s="644" t="s">
        <v>1702</v>
      </c>
      <c r="ACJ1" s="644" t="s">
        <v>1703</v>
      </c>
      <c r="ACK1" s="644" t="s">
        <v>1704</v>
      </c>
      <c r="ACL1" s="644" t="s">
        <v>1705</v>
      </c>
      <c r="ACM1" s="644" t="s">
        <v>1706</v>
      </c>
      <c r="ACN1" s="644" t="s">
        <v>1707</v>
      </c>
      <c r="ACO1" s="644" t="s">
        <v>1708</v>
      </c>
      <c r="ACP1" s="644" t="s">
        <v>1709</v>
      </c>
      <c r="ACQ1" s="644" t="s">
        <v>1710</v>
      </c>
      <c r="ACR1" s="644" t="s">
        <v>1711</v>
      </c>
      <c r="ACS1" s="644" t="s">
        <v>1712</v>
      </c>
      <c r="ACT1" s="644" t="s">
        <v>2827</v>
      </c>
      <c r="ACU1" s="644" t="s">
        <v>2828</v>
      </c>
      <c r="ACV1" s="644" t="s">
        <v>2829</v>
      </c>
      <c r="ACW1" s="644" t="s">
        <v>2830</v>
      </c>
      <c r="ACX1" s="644" t="s">
        <v>2831</v>
      </c>
      <c r="ACY1" s="644" t="s">
        <v>2832</v>
      </c>
      <c r="ACZ1" s="644" t="s">
        <v>2833</v>
      </c>
      <c r="ADA1" s="644" t="s">
        <v>2834</v>
      </c>
      <c r="ADB1" s="644" t="s">
        <v>2835</v>
      </c>
      <c r="ADC1" s="644" t="s">
        <v>2836</v>
      </c>
      <c r="ADD1" s="644" t="s">
        <v>2837</v>
      </c>
      <c r="ADE1" s="644" t="s">
        <v>2838</v>
      </c>
      <c r="ADF1" s="644" t="s">
        <v>2839</v>
      </c>
      <c r="ADG1" s="644" t="s">
        <v>2840</v>
      </c>
      <c r="ADH1" s="644" t="s">
        <v>2841</v>
      </c>
      <c r="ADI1" s="644" t="s">
        <v>2842</v>
      </c>
      <c r="ADJ1" s="644" t="s">
        <v>2843</v>
      </c>
      <c r="ADK1" s="644" t="s">
        <v>2844</v>
      </c>
      <c r="ADL1" s="644" t="s">
        <v>2845</v>
      </c>
      <c r="ADM1" s="644" t="s">
        <v>2846</v>
      </c>
      <c r="ADN1" s="644" t="s">
        <v>2847</v>
      </c>
      <c r="ADO1" s="644" t="s">
        <v>2848</v>
      </c>
      <c r="ADP1" s="644" t="s">
        <v>2849</v>
      </c>
      <c r="ADQ1" s="644" t="s">
        <v>2850</v>
      </c>
      <c r="ADR1" s="644" t="s">
        <v>2851</v>
      </c>
      <c r="ADS1" s="644" t="s">
        <v>2852</v>
      </c>
      <c r="ADT1" s="644" t="s">
        <v>2853</v>
      </c>
      <c r="ADU1" s="644" t="s">
        <v>2854</v>
      </c>
      <c r="ADV1" s="644" t="s">
        <v>2855</v>
      </c>
      <c r="ADW1" s="644" t="s">
        <v>2856</v>
      </c>
      <c r="ADX1" s="645" t="s">
        <v>2857</v>
      </c>
      <c r="ADY1" s="644" t="s">
        <v>2858</v>
      </c>
      <c r="ADZ1" s="644" t="s">
        <v>2859</v>
      </c>
      <c r="AEA1" s="644" t="s">
        <v>2860</v>
      </c>
      <c r="AEB1" s="644" t="s">
        <v>2861</v>
      </c>
      <c r="AEC1" s="644" t="s">
        <v>2862</v>
      </c>
      <c r="AED1" s="644" t="s">
        <v>2863</v>
      </c>
      <c r="AEE1" s="644" t="s">
        <v>2864</v>
      </c>
      <c r="AEF1" s="644" t="s">
        <v>2865</v>
      </c>
      <c r="AEG1" s="644" t="s">
        <v>2866</v>
      </c>
      <c r="AEH1" s="644" t="s">
        <v>2867</v>
      </c>
      <c r="AEI1" s="644" t="s">
        <v>2868</v>
      </c>
      <c r="AEJ1" s="644" t="s">
        <v>2869</v>
      </c>
      <c r="AEK1" s="644" t="s">
        <v>2870</v>
      </c>
      <c r="AEL1" s="644" t="s">
        <v>2871</v>
      </c>
      <c r="AEM1" s="644" t="s">
        <v>2872</v>
      </c>
      <c r="AEN1" s="644" t="s">
        <v>2873</v>
      </c>
      <c r="AEO1" s="644" t="s">
        <v>2874</v>
      </c>
      <c r="AEP1" s="644" t="s">
        <v>2875</v>
      </c>
      <c r="AEQ1" s="644" t="s">
        <v>2876</v>
      </c>
      <c r="AER1" s="645" t="s">
        <v>2877</v>
      </c>
      <c r="AES1" s="644" t="s">
        <v>2878</v>
      </c>
      <c r="AET1" s="644" t="s">
        <v>2879</v>
      </c>
      <c r="AEU1" s="644" t="s">
        <v>2880</v>
      </c>
      <c r="AEV1" s="644" t="s">
        <v>2881</v>
      </c>
      <c r="AEW1" s="644" t="s">
        <v>2882</v>
      </c>
      <c r="AEX1" s="644" t="s">
        <v>2883</v>
      </c>
      <c r="AEY1" s="644" t="s">
        <v>2884</v>
      </c>
      <c r="AEZ1" s="644" t="s">
        <v>2885</v>
      </c>
      <c r="AFA1" s="644" t="s">
        <v>2886</v>
      </c>
      <c r="AFB1" s="644" t="s">
        <v>2887</v>
      </c>
      <c r="AFC1" s="644" t="s">
        <v>2888</v>
      </c>
      <c r="AFD1" s="644" t="s">
        <v>2889</v>
      </c>
      <c r="AFE1" s="644" t="s">
        <v>2890</v>
      </c>
      <c r="AFF1" s="644" t="s">
        <v>2891</v>
      </c>
      <c r="AFG1" s="644" t="s">
        <v>2892</v>
      </c>
      <c r="AFH1" s="644" t="s">
        <v>2893</v>
      </c>
      <c r="AFI1" s="644" t="s">
        <v>2894</v>
      </c>
      <c r="AFJ1" s="644" t="s">
        <v>2895</v>
      </c>
      <c r="AFK1" s="644" t="s">
        <v>2896</v>
      </c>
      <c r="AFL1" s="644" t="s">
        <v>2897</v>
      </c>
      <c r="AFM1" s="644" t="s">
        <v>2898</v>
      </c>
      <c r="AFN1" s="644" t="s">
        <v>2899</v>
      </c>
      <c r="AFO1" s="644" t="s">
        <v>2900</v>
      </c>
      <c r="AFP1" s="644" t="s">
        <v>2901</v>
      </c>
      <c r="AFQ1" s="644" t="s">
        <v>1713</v>
      </c>
      <c r="AFR1" s="644" t="s">
        <v>1714</v>
      </c>
      <c r="AFS1" s="644" t="s">
        <v>1715</v>
      </c>
      <c r="AFT1" s="644" t="s">
        <v>1716</v>
      </c>
      <c r="AFU1" s="644" t="s">
        <v>1717</v>
      </c>
      <c r="AFV1" s="644" t="s">
        <v>1718</v>
      </c>
      <c r="AFW1" s="644" t="s">
        <v>1719</v>
      </c>
      <c r="AFX1" s="644" t="s">
        <v>1720</v>
      </c>
      <c r="AFY1" s="644" t="s">
        <v>1721</v>
      </c>
      <c r="AFZ1" s="644" t="s">
        <v>1722</v>
      </c>
      <c r="AGA1" s="644" t="s">
        <v>1723</v>
      </c>
      <c r="AGB1" s="644" t="s">
        <v>1724</v>
      </c>
      <c r="AGC1" s="644" t="s">
        <v>1725</v>
      </c>
      <c r="AGD1" s="644" t="s">
        <v>1726</v>
      </c>
      <c r="AGE1" s="644" t="s">
        <v>1727</v>
      </c>
      <c r="AGF1" s="644" t="s">
        <v>1728</v>
      </c>
      <c r="AGG1" s="644" t="s">
        <v>1729</v>
      </c>
      <c r="AGH1" s="644" t="s">
        <v>1730</v>
      </c>
      <c r="AGI1" s="644" t="s">
        <v>1731</v>
      </c>
      <c r="AGJ1" s="644" t="s">
        <v>1732</v>
      </c>
      <c r="AGK1" s="644" t="s">
        <v>1733</v>
      </c>
      <c r="AGL1" s="644" t="s">
        <v>1734</v>
      </c>
      <c r="AGM1" s="644" t="s">
        <v>1735</v>
      </c>
      <c r="AGN1" s="644" t="s">
        <v>1736</v>
      </c>
      <c r="AGO1" s="644" t="s">
        <v>1737</v>
      </c>
      <c r="AGP1" s="644" t="s">
        <v>1738</v>
      </c>
      <c r="AGQ1" s="644" t="s">
        <v>1739</v>
      </c>
      <c r="AGR1" s="644" t="s">
        <v>1740</v>
      </c>
      <c r="AGS1" s="644" t="s">
        <v>1741</v>
      </c>
      <c r="AGT1" s="644" t="s">
        <v>1742</v>
      </c>
      <c r="AGU1" s="644" t="s">
        <v>1743</v>
      </c>
      <c r="AGV1" s="644" t="s">
        <v>1744</v>
      </c>
      <c r="AGW1" s="644" t="s">
        <v>1745</v>
      </c>
      <c r="AGX1" s="644" t="s">
        <v>1746</v>
      </c>
      <c r="AGY1" s="644" t="s">
        <v>1747</v>
      </c>
      <c r="AGZ1" s="644" t="s">
        <v>1748</v>
      </c>
      <c r="AHA1" s="644" t="s">
        <v>1749</v>
      </c>
      <c r="AHB1" s="644" t="s">
        <v>1750</v>
      </c>
      <c r="AHC1" s="644" t="s">
        <v>1751</v>
      </c>
      <c r="AHD1" s="644" t="s">
        <v>1752</v>
      </c>
      <c r="AHE1" s="644" t="s">
        <v>1753</v>
      </c>
      <c r="AHF1" s="644" t="s">
        <v>1754</v>
      </c>
      <c r="AHG1" s="644" t="s">
        <v>1755</v>
      </c>
      <c r="AHH1" s="644" t="s">
        <v>1756</v>
      </c>
      <c r="AHI1" s="644" t="s">
        <v>1757</v>
      </c>
      <c r="AHJ1" s="644" t="s">
        <v>2902</v>
      </c>
      <c r="AHK1" s="644" t="s">
        <v>2903</v>
      </c>
      <c r="AHL1" s="644" t="s">
        <v>2904</v>
      </c>
      <c r="AHM1" s="644" t="s">
        <v>2905</v>
      </c>
      <c r="AHN1" s="644" t="s">
        <v>2906</v>
      </c>
      <c r="AHO1" s="644" t="s">
        <v>2907</v>
      </c>
      <c r="AHP1" s="644" t="s">
        <v>2908</v>
      </c>
      <c r="AHQ1" s="644" t="s">
        <v>2909</v>
      </c>
      <c r="AHR1" s="644" t="s">
        <v>2910</v>
      </c>
      <c r="AHS1" s="644" t="s">
        <v>2911</v>
      </c>
      <c r="AHT1" s="644" t="s">
        <v>2912</v>
      </c>
      <c r="AHU1" s="644" t="s">
        <v>2913</v>
      </c>
      <c r="AHV1" s="644" t="s">
        <v>2914</v>
      </c>
      <c r="AHW1" s="644" t="s">
        <v>2915</v>
      </c>
      <c r="AHX1" s="644" t="s">
        <v>2916</v>
      </c>
      <c r="AHY1" s="644" t="s">
        <v>1758</v>
      </c>
      <c r="AHZ1" s="644" t="s">
        <v>1759</v>
      </c>
      <c r="AIA1" s="644" t="s">
        <v>1760</v>
      </c>
      <c r="AIB1" s="644" t="s">
        <v>1761</v>
      </c>
      <c r="AIC1" s="644" t="s">
        <v>1762</v>
      </c>
      <c r="AID1" s="644" t="s">
        <v>1763</v>
      </c>
      <c r="AIE1" s="644" t="s">
        <v>1764</v>
      </c>
      <c r="AIF1" s="644" t="s">
        <v>1765</v>
      </c>
      <c r="AIG1" s="644" t="s">
        <v>1766</v>
      </c>
      <c r="AIH1" s="644" t="s">
        <v>1767</v>
      </c>
      <c r="AII1" s="644" t="s">
        <v>1768</v>
      </c>
      <c r="AIJ1" s="644" t="s">
        <v>1769</v>
      </c>
      <c r="AIK1" s="644" t="s">
        <v>1770</v>
      </c>
      <c r="AIL1" s="644" t="s">
        <v>1771</v>
      </c>
      <c r="AIM1" s="644" t="s">
        <v>1772</v>
      </c>
      <c r="AIN1" s="644" t="s">
        <v>1773</v>
      </c>
      <c r="AIO1" s="644" t="s">
        <v>1774</v>
      </c>
      <c r="AIP1" s="644" t="s">
        <v>1775</v>
      </c>
      <c r="AIQ1" s="644" t="s">
        <v>1776</v>
      </c>
      <c r="AIR1" s="644" t="s">
        <v>1777</v>
      </c>
      <c r="AIS1" s="644" t="s">
        <v>1778</v>
      </c>
      <c r="AIT1" s="644" t="s">
        <v>1779</v>
      </c>
      <c r="AIU1" s="644" t="s">
        <v>1780</v>
      </c>
      <c r="AIV1" s="644" t="s">
        <v>1781</v>
      </c>
      <c r="AIW1" s="644" t="s">
        <v>1782</v>
      </c>
      <c r="AIX1" s="644" t="s">
        <v>1783</v>
      </c>
      <c r="AIY1" s="644" t="s">
        <v>1784</v>
      </c>
      <c r="AIZ1" s="644" t="s">
        <v>1785</v>
      </c>
      <c r="AJA1" s="644" t="s">
        <v>1786</v>
      </c>
      <c r="AJB1" s="644" t="s">
        <v>1787</v>
      </c>
      <c r="AJC1" s="644" t="s">
        <v>1788</v>
      </c>
      <c r="AJD1" s="644" t="s">
        <v>1789</v>
      </c>
      <c r="AJE1" s="644" t="s">
        <v>1790</v>
      </c>
      <c r="AJF1" s="644" t="s">
        <v>1791</v>
      </c>
      <c r="AJG1" s="644" t="s">
        <v>1792</v>
      </c>
      <c r="AJH1" s="644" t="s">
        <v>1793</v>
      </c>
      <c r="AJI1" s="644" t="s">
        <v>1794</v>
      </c>
      <c r="AJJ1" s="644" t="s">
        <v>1795</v>
      </c>
      <c r="AJK1" s="644" t="s">
        <v>2917</v>
      </c>
      <c r="AJL1" s="644" t="s">
        <v>2918</v>
      </c>
      <c r="AJM1" s="644" t="s">
        <v>2919</v>
      </c>
      <c r="AJN1" s="644" t="s">
        <v>2920</v>
      </c>
      <c r="AJO1" s="644" t="s">
        <v>2921</v>
      </c>
      <c r="AJP1" s="644" t="s">
        <v>2922</v>
      </c>
      <c r="AJQ1" s="644" t="s">
        <v>2923</v>
      </c>
      <c r="AJR1" s="644" t="s">
        <v>2924</v>
      </c>
      <c r="AJS1" s="644" t="s">
        <v>2925</v>
      </c>
      <c r="AJT1" s="644" t="s">
        <v>2926</v>
      </c>
      <c r="AJU1" s="644" t="s">
        <v>2927</v>
      </c>
      <c r="AJV1" s="644" t="s">
        <v>2928</v>
      </c>
      <c r="AJW1" s="644" t="s">
        <v>1796</v>
      </c>
      <c r="AJX1" s="644" t="s">
        <v>1797</v>
      </c>
      <c r="AJY1" s="644" t="s">
        <v>1798</v>
      </c>
      <c r="AJZ1" s="644" t="s">
        <v>1799</v>
      </c>
      <c r="AKA1" s="644" t="s">
        <v>1800</v>
      </c>
      <c r="AKB1" s="644" t="s">
        <v>1801</v>
      </c>
      <c r="AKC1" s="644" t="s">
        <v>1802</v>
      </c>
      <c r="AKD1" s="644" t="s">
        <v>1803</v>
      </c>
      <c r="AKE1" s="644" t="s">
        <v>1804</v>
      </c>
      <c r="AKF1" s="644" t="s">
        <v>1805</v>
      </c>
      <c r="AKG1" s="644" t="s">
        <v>1806</v>
      </c>
      <c r="AKH1" s="644" t="s">
        <v>1807</v>
      </c>
      <c r="AKI1" s="644" t="s">
        <v>1808</v>
      </c>
      <c r="AKJ1" s="644" t="s">
        <v>1809</v>
      </c>
      <c r="AKK1" s="644" t="s">
        <v>1810</v>
      </c>
      <c r="AKL1" s="644" t="s">
        <v>1811</v>
      </c>
      <c r="AKM1" s="644" t="s">
        <v>1812</v>
      </c>
      <c r="AKN1" s="644" t="s">
        <v>1813</v>
      </c>
      <c r="AKO1" s="644" t="s">
        <v>1814</v>
      </c>
      <c r="AKP1" s="644" t="s">
        <v>1815</v>
      </c>
      <c r="AKQ1" s="644" t="s">
        <v>1816</v>
      </c>
      <c r="AKR1" s="644" t="s">
        <v>1817</v>
      </c>
      <c r="AKS1" s="644" t="s">
        <v>1818</v>
      </c>
      <c r="AKT1" s="644" t="s">
        <v>1819</v>
      </c>
      <c r="AKU1" s="644" t="s">
        <v>1820</v>
      </c>
      <c r="AKV1" s="644" t="s">
        <v>1821</v>
      </c>
      <c r="AKW1" s="644" t="s">
        <v>1822</v>
      </c>
      <c r="AKX1" s="644" t="s">
        <v>1823</v>
      </c>
      <c r="AKY1" s="644" t="s">
        <v>1824</v>
      </c>
      <c r="AKZ1" s="644" t="s">
        <v>1825</v>
      </c>
      <c r="ALA1" s="644" t="s">
        <v>1826</v>
      </c>
      <c r="ALB1" s="644" t="s">
        <v>1827</v>
      </c>
      <c r="ALC1" s="644" t="s">
        <v>1828</v>
      </c>
      <c r="ALD1" s="644" t="s">
        <v>1829</v>
      </c>
      <c r="ALE1" s="644" t="s">
        <v>1830</v>
      </c>
      <c r="ALF1" s="644" t="s">
        <v>1831</v>
      </c>
      <c r="ALG1" s="644" t="s">
        <v>1832</v>
      </c>
      <c r="ALH1" s="644" t="s">
        <v>1833</v>
      </c>
      <c r="ALI1" s="644" t="s">
        <v>1834</v>
      </c>
      <c r="ALJ1" s="644" t="s">
        <v>1835</v>
      </c>
      <c r="ALK1" s="644" t="s">
        <v>1836</v>
      </c>
      <c r="ALL1" s="644" t="s">
        <v>1837</v>
      </c>
      <c r="ALM1" s="644" t="s">
        <v>1838</v>
      </c>
      <c r="ALN1" s="644" t="s">
        <v>1839</v>
      </c>
      <c r="ALO1" s="644" t="s">
        <v>1840</v>
      </c>
      <c r="ALP1" s="644" t="s">
        <v>1841</v>
      </c>
      <c r="ALQ1" s="644" t="s">
        <v>1842</v>
      </c>
      <c r="ALR1" s="644" t="s">
        <v>1843</v>
      </c>
      <c r="ALS1" s="644" t="s">
        <v>1844</v>
      </c>
      <c r="ALT1" s="644" t="s">
        <v>340</v>
      </c>
      <c r="ALU1" s="644" t="s">
        <v>1845</v>
      </c>
      <c r="ALV1" s="644" t="s">
        <v>1846</v>
      </c>
      <c r="ALW1" s="644" t="s">
        <v>1847</v>
      </c>
      <c r="ALX1" s="644" t="s">
        <v>1848</v>
      </c>
      <c r="ALY1" s="644" t="s">
        <v>1849</v>
      </c>
      <c r="ALZ1" s="644" t="s">
        <v>1850</v>
      </c>
      <c r="AMA1" s="644" t="s">
        <v>1851</v>
      </c>
      <c r="AMB1" s="644" t="s">
        <v>1852</v>
      </c>
      <c r="AMC1" s="644" t="s">
        <v>1853</v>
      </c>
      <c r="AMD1" s="644" t="s">
        <v>1854</v>
      </c>
      <c r="AME1" s="644" t="s">
        <v>1855</v>
      </c>
      <c r="AMF1" s="644" t="s">
        <v>1856</v>
      </c>
      <c r="AMG1" s="644" t="s">
        <v>1857</v>
      </c>
      <c r="AMH1" s="644" t="s">
        <v>1858</v>
      </c>
      <c r="AMI1" s="644" t="s">
        <v>1859</v>
      </c>
      <c r="AMJ1" s="644" t="s">
        <v>1860</v>
      </c>
      <c r="AMK1" s="644" t="s">
        <v>1861</v>
      </c>
      <c r="AML1" s="644" t="s">
        <v>1862</v>
      </c>
      <c r="AMM1" s="644" t="s">
        <v>1863</v>
      </c>
      <c r="AMN1" s="644" t="s">
        <v>1864</v>
      </c>
      <c r="AMO1" s="644" t="s">
        <v>1865</v>
      </c>
      <c r="AMP1" s="644" t="s">
        <v>1866</v>
      </c>
      <c r="AMQ1" s="644" t="s">
        <v>1867</v>
      </c>
      <c r="AMR1" s="644" t="s">
        <v>1868</v>
      </c>
      <c r="AMS1" s="644" t="s">
        <v>1869</v>
      </c>
      <c r="AMT1" s="644" t="s">
        <v>1870</v>
      </c>
      <c r="AMU1" s="644" t="s">
        <v>1871</v>
      </c>
      <c r="AMV1" s="644" t="s">
        <v>1872</v>
      </c>
      <c r="AMW1" s="645" t="s">
        <v>1873</v>
      </c>
      <c r="AMX1" s="644" t="s">
        <v>1874</v>
      </c>
      <c r="AMY1" s="644" t="s">
        <v>1875</v>
      </c>
      <c r="AMZ1" s="644" t="s">
        <v>1876</v>
      </c>
      <c r="ANA1" s="644" t="s">
        <v>1877</v>
      </c>
      <c r="ANB1" s="644" t="s">
        <v>1878</v>
      </c>
      <c r="ANC1" s="644" t="s">
        <v>1879</v>
      </c>
      <c r="AND1" s="644" t="s">
        <v>1880</v>
      </c>
      <c r="ANE1" s="644" t="s">
        <v>1881</v>
      </c>
      <c r="ANF1" s="644" t="s">
        <v>1882</v>
      </c>
      <c r="ANG1" s="644" t="s">
        <v>1883</v>
      </c>
      <c r="ANH1" s="644" t="s">
        <v>1884</v>
      </c>
      <c r="ANI1" s="644" t="s">
        <v>1885</v>
      </c>
      <c r="ANJ1" s="644" t="s">
        <v>1886</v>
      </c>
      <c r="ANK1" s="644" t="s">
        <v>1887</v>
      </c>
      <c r="ANL1" s="644" t="s">
        <v>1888</v>
      </c>
      <c r="ANM1" s="644" t="s">
        <v>2929</v>
      </c>
      <c r="ANN1" s="644" t="s">
        <v>2930</v>
      </c>
      <c r="ANO1" s="644" t="s">
        <v>2931</v>
      </c>
      <c r="ANP1" s="644" t="s">
        <v>1889</v>
      </c>
      <c r="ANQ1" s="644" t="s">
        <v>1890</v>
      </c>
      <c r="ANR1" s="644" t="s">
        <v>1891</v>
      </c>
      <c r="ANS1" s="644" t="s">
        <v>1892</v>
      </c>
      <c r="ANT1" s="644" t="s">
        <v>1893</v>
      </c>
      <c r="ANU1" s="644" t="s">
        <v>1894</v>
      </c>
      <c r="ANV1" s="644" t="s">
        <v>1895</v>
      </c>
      <c r="ANW1" s="644" t="s">
        <v>1896</v>
      </c>
      <c r="ANX1" s="644" t="s">
        <v>1897</v>
      </c>
      <c r="ANY1" s="644" t="s">
        <v>1898</v>
      </c>
      <c r="ANZ1" s="644" t="s">
        <v>1899</v>
      </c>
      <c r="AOA1" s="644" t="s">
        <v>1900</v>
      </c>
      <c r="AOB1" s="644" t="s">
        <v>1901</v>
      </c>
      <c r="AOC1" s="644" t="s">
        <v>1902</v>
      </c>
      <c r="AOD1" s="644" t="s">
        <v>1903</v>
      </c>
      <c r="AOE1" s="644" t="s">
        <v>1904</v>
      </c>
      <c r="AOF1" s="644" t="s">
        <v>1905</v>
      </c>
      <c r="AOG1" s="644" t="s">
        <v>1906</v>
      </c>
      <c r="AOH1" s="644" t="s">
        <v>1907</v>
      </c>
    </row>
    <row r="2" spans="1:1074">
      <c r="A2" t="s">
        <v>2572</v>
      </c>
      <c r="B2">
        <v>-3.33</v>
      </c>
      <c r="D2">
        <v>-3.33</v>
      </c>
      <c r="F2">
        <v>10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0</v>
      </c>
      <c r="CF2">
        <v>0</v>
      </c>
      <c r="CG2">
        <v>0</v>
      </c>
      <c r="CH2">
        <v>0</v>
      </c>
      <c r="CI2">
        <v>0</v>
      </c>
      <c r="CJ2">
        <v>0</v>
      </c>
      <c r="CK2">
        <v>0</v>
      </c>
      <c r="CL2">
        <v>0</v>
      </c>
      <c r="CM2">
        <v>0</v>
      </c>
      <c r="CN2">
        <v>0</v>
      </c>
      <c r="CO2">
        <v>0</v>
      </c>
      <c r="CP2">
        <v>0</v>
      </c>
      <c r="CQ2">
        <v>0</v>
      </c>
      <c r="CR2">
        <v>0</v>
      </c>
      <c r="CS2">
        <v>0</v>
      </c>
      <c r="CT2">
        <v>0</v>
      </c>
      <c r="CU2">
        <v>0</v>
      </c>
      <c r="CV2">
        <v>0</v>
      </c>
      <c r="CW2">
        <v>0</v>
      </c>
      <c r="CX2">
        <v>0</v>
      </c>
      <c r="CY2">
        <v>0</v>
      </c>
      <c r="CZ2">
        <v>0</v>
      </c>
      <c r="DA2">
        <v>0</v>
      </c>
      <c r="DB2">
        <v>0</v>
      </c>
      <c r="DC2">
        <v>0</v>
      </c>
      <c r="DD2">
        <v>0</v>
      </c>
      <c r="DE2">
        <v>0</v>
      </c>
      <c r="DF2">
        <v>0</v>
      </c>
      <c r="DG2">
        <v>0</v>
      </c>
      <c r="DH2">
        <v>0</v>
      </c>
      <c r="DI2">
        <v>0</v>
      </c>
      <c r="DJ2">
        <v>0</v>
      </c>
      <c r="DK2">
        <v>0</v>
      </c>
      <c r="DL2">
        <v>0</v>
      </c>
      <c r="DM2">
        <v>0</v>
      </c>
      <c r="DN2">
        <v>0</v>
      </c>
      <c r="DO2">
        <v>0</v>
      </c>
      <c r="DP2">
        <v>0</v>
      </c>
      <c r="DQ2">
        <v>0</v>
      </c>
      <c r="DR2">
        <v>0</v>
      </c>
      <c r="DS2">
        <v>0</v>
      </c>
      <c r="DT2">
        <v>0</v>
      </c>
      <c r="DU2">
        <v>0</v>
      </c>
      <c r="DV2">
        <v>0</v>
      </c>
      <c r="DW2">
        <v>0</v>
      </c>
      <c r="DX2">
        <v>0</v>
      </c>
      <c r="DY2">
        <v>0</v>
      </c>
      <c r="DZ2">
        <v>0</v>
      </c>
      <c r="EA2">
        <v>0</v>
      </c>
      <c r="EB2">
        <v>0</v>
      </c>
      <c r="EC2">
        <v>0</v>
      </c>
      <c r="ED2">
        <v>0</v>
      </c>
      <c r="EE2">
        <v>0</v>
      </c>
      <c r="EF2">
        <v>0</v>
      </c>
      <c r="EG2">
        <v>0</v>
      </c>
      <c r="EH2">
        <v>0</v>
      </c>
      <c r="EI2">
        <v>0</v>
      </c>
      <c r="EJ2">
        <v>0</v>
      </c>
      <c r="EK2">
        <v>0</v>
      </c>
      <c r="EL2">
        <v>0</v>
      </c>
      <c r="EM2">
        <v>0</v>
      </c>
      <c r="EN2">
        <v>0</v>
      </c>
      <c r="EO2">
        <v>0</v>
      </c>
      <c r="EP2">
        <v>0</v>
      </c>
      <c r="EQ2">
        <v>0</v>
      </c>
      <c r="ER2">
        <v>0</v>
      </c>
      <c r="ES2">
        <v>0</v>
      </c>
      <c r="ET2">
        <v>0</v>
      </c>
      <c r="EU2">
        <v>0</v>
      </c>
      <c r="EV2">
        <v>0</v>
      </c>
      <c r="EW2">
        <v>0</v>
      </c>
      <c r="EX2">
        <v>0</v>
      </c>
      <c r="EY2">
        <v>0</v>
      </c>
      <c r="EZ2">
        <v>0</v>
      </c>
      <c r="FA2">
        <v>0</v>
      </c>
      <c r="FB2">
        <v>0</v>
      </c>
      <c r="FC2">
        <v>0</v>
      </c>
      <c r="FD2">
        <v>0</v>
      </c>
      <c r="FE2">
        <v>0</v>
      </c>
      <c r="FF2">
        <v>0</v>
      </c>
      <c r="FG2">
        <v>0</v>
      </c>
      <c r="FH2">
        <v>0</v>
      </c>
      <c r="FI2">
        <v>0</v>
      </c>
      <c r="FJ2">
        <v>0</v>
      </c>
      <c r="FK2">
        <v>0</v>
      </c>
      <c r="FL2">
        <v>0</v>
      </c>
      <c r="FM2">
        <v>0</v>
      </c>
      <c r="FN2">
        <v>0</v>
      </c>
      <c r="FO2">
        <v>0</v>
      </c>
      <c r="FP2">
        <v>0</v>
      </c>
      <c r="FQ2">
        <v>0</v>
      </c>
      <c r="FR2">
        <v>0</v>
      </c>
      <c r="FS2">
        <v>0</v>
      </c>
      <c r="FT2">
        <v>0</v>
      </c>
      <c r="FU2">
        <v>0</v>
      </c>
      <c r="FV2">
        <v>0</v>
      </c>
      <c r="FW2">
        <v>0</v>
      </c>
      <c r="FX2">
        <v>0</v>
      </c>
      <c r="FY2">
        <v>0</v>
      </c>
      <c r="FZ2">
        <v>0</v>
      </c>
      <c r="GA2">
        <v>0</v>
      </c>
      <c r="GB2">
        <v>-31.299221579682001</v>
      </c>
      <c r="GC2">
        <v>502.89372152326399</v>
      </c>
      <c r="GD2">
        <v>250.743030670416</v>
      </c>
      <c r="GE2">
        <v>-20.7412228564271</v>
      </c>
      <c r="GF2">
        <v>327.214079199227</v>
      </c>
      <c r="GG2">
        <v>162.06124843348201</v>
      </c>
      <c r="GH2">
        <v>-30.5344647228724</v>
      </c>
      <c r="GI2">
        <v>501.19153920849197</v>
      </c>
      <c r="GJ2">
        <v>260.55417643537498</v>
      </c>
      <c r="GK2">
        <v>-20.5017077529223</v>
      </c>
      <c r="GL2">
        <v>332.35313421337901</v>
      </c>
      <c r="GM2">
        <v>165.36535958701501</v>
      </c>
      <c r="GN2">
        <v>-73.249621619955903</v>
      </c>
      <c r="GO2">
        <v>15.4782768689187</v>
      </c>
      <c r="GP2">
        <v>14.905831827684001</v>
      </c>
      <c r="GQ2">
        <v>-2.5174929625759299</v>
      </c>
      <c r="GR2">
        <v>105.90451994705801</v>
      </c>
      <c r="GS2">
        <v>928.92577998657202</v>
      </c>
      <c r="GT2">
        <v>-49.0616299275503</v>
      </c>
      <c r="GU2">
        <v>15.415289505303299</v>
      </c>
      <c r="GV2">
        <v>14.842537340498</v>
      </c>
      <c r="GW2">
        <v>-1.3103542031089499</v>
      </c>
      <c r="GX2">
        <v>69.559570780045206</v>
      </c>
      <c r="GY2">
        <v>602.01263568300101</v>
      </c>
      <c r="GZ2">
        <v>-74.463544583578297</v>
      </c>
      <c r="HA2">
        <v>15.689845816547299</v>
      </c>
      <c r="HB2">
        <v>15.1111352460878</v>
      </c>
      <c r="HC2">
        <v>-2.2456939681790802</v>
      </c>
      <c r="HD2">
        <v>108.88421334663801</v>
      </c>
      <c r="HE2">
        <v>955.57048004665103</v>
      </c>
      <c r="HF2">
        <v>-48.303312355619397</v>
      </c>
      <c r="HG2">
        <v>15.4233747868193</v>
      </c>
      <c r="HH2">
        <v>14.8399258838937</v>
      </c>
      <c r="HI2">
        <v>-1.8066802483647899</v>
      </c>
      <c r="HJ2">
        <v>69.5116559730793</v>
      </c>
      <c r="HK2">
        <v>606.11552406984504</v>
      </c>
      <c r="HL2">
        <v>-28.858593171800699</v>
      </c>
      <c r="HM2">
        <v>15.336290000702199</v>
      </c>
      <c r="HN2">
        <v>16.050706563758499</v>
      </c>
      <c r="HO2">
        <v>275.67643891524199</v>
      </c>
      <c r="HP2">
        <v>515.60680465975599</v>
      </c>
      <c r="HQ2">
        <v>15.3273749216007</v>
      </c>
      <c r="HR2">
        <v>292.858259302899</v>
      </c>
      <c r="HS2">
        <v>-17.941759841913999</v>
      </c>
      <c r="HT2">
        <v>15.278322604692001</v>
      </c>
      <c r="HU2">
        <v>16.037835725481401</v>
      </c>
      <c r="HV2">
        <v>171.64301290123399</v>
      </c>
      <c r="HW2">
        <v>334.03594643974901</v>
      </c>
      <c r="HX2">
        <v>15.2406669129594</v>
      </c>
      <c r="HY2">
        <v>189.25699550972701</v>
      </c>
      <c r="HZ2">
        <v>15.157241648359101</v>
      </c>
      <c r="IA2">
        <v>15.9842757074746</v>
      </c>
      <c r="IB2">
        <v>281.26330277892498</v>
      </c>
      <c r="IC2">
        <v>-27.283748255794801</v>
      </c>
      <c r="ID2">
        <v>548.689937127294</v>
      </c>
      <c r="IE2">
        <v>15.0644535869724</v>
      </c>
      <c r="IF2">
        <v>276.92226746889799</v>
      </c>
      <c r="IG2">
        <v>23.258222415835899</v>
      </c>
      <c r="IH2">
        <v>15.2900804230313</v>
      </c>
      <c r="II2">
        <v>16.043336726509299</v>
      </c>
      <c r="IJ2">
        <v>173.303361165919</v>
      </c>
      <c r="IK2">
        <v>21.3506141560031</v>
      </c>
      <c r="IL2">
        <v>-17.180531754507498</v>
      </c>
      <c r="IM2">
        <v>339.49580382185701</v>
      </c>
      <c r="IN2">
        <v>15.2625198968441</v>
      </c>
      <c r="IO2">
        <v>0.99137461989901798</v>
      </c>
      <c r="IP2">
        <v>192.815615024138</v>
      </c>
      <c r="IQ2">
        <v>-91.478027271101496</v>
      </c>
      <c r="IR2">
        <v>-55.9888896792678</v>
      </c>
      <c r="IS2">
        <v>-103.821947257109</v>
      </c>
      <c r="IT2">
        <v>-55.421419161389402</v>
      </c>
      <c r="IU2">
        <v>-12.516483268406301</v>
      </c>
      <c r="IV2">
        <v>-72.209890383503307</v>
      </c>
      <c r="IW2">
        <v>16.032945142586598</v>
      </c>
      <c r="IX2">
        <v>15.3273749216007</v>
      </c>
      <c r="IY2">
        <v>-7.5869470105007597</v>
      </c>
      <c r="IZ2">
        <v>123.87415202099</v>
      </c>
      <c r="JA2">
        <v>1106.30907839767</v>
      </c>
      <c r="JB2">
        <v>-48.323925726677302</v>
      </c>
      <c r="JC2">
        <v>15.958526116376801</v>
      </c>
      <c r="JD2">
        <v>15.2406669129594</v>
      </c>
      <c r="JE2">
        <v>-4.9181080262943997</v>
      </c>
      <c r="JF2">
        <v>82.307583492034894</v>
      </c>
      <c r="JG2">
        <v>726.59498628449103</v>
      </c>
      <c r="JH2">
        <v>-71.858480346601894</v>
      </c>
      <c r="JI2">
        <v>15.651037453083701</v>
      </c>
      <c r="JJ2">
        <v>15.0644535869724</v>
      </c>
      <c r="JK2">
        <v>-2.3321713586981598</v>
      </c>
      <c r="JL2">
        <v>111.507861817739</v>
      </c>
      <c r="JM2">
        <v>953.15774270068903</v>
      </c>
      <c r="JN2">
        <v>-47.551797835965097</v>
      </c>
      <c r="JO2">
        <v>15.986129027973501</v>
      </c>
      <c r="JP2">
        <v>15.2625198968441</v>
      </c>
      <c r="JQ2">
        <v>0.31250163161196398</v>
      </c>
      <c r="JR2">
        <v>-5.2860357359833303</v>
      </c>
      <c r="JS2">
        <v>0.72522793561418897</v>
      </c>
      <c r="JT2">
        <v>82.396523061772101</v>
      </c>
      <c r="JU2">
        <v>729.73888517278601</v>
      </c>
      <c r="JV2">
        <v>-31.3607122930167</v>
      </c>
      <c r="JW2">
        <v>672.95828553575802</v>
      </c>
      <c r="JX2">
        <v>-43.392060144229198</v>
      </c>
      <c r="JY2">
        <v>-19.906168288729599</v>
      </c>
      <c r="JZ2">
        <v>427.17475944978997</v>
      </c>
      <c r="KA2">
        <v>-27.242953229580799</v>
      </c>
      <c r="KB2">
        <v>-28.403292394440701</v>
      </c>
      <c r="KC2">
        <v>646.45000085499601</v>
      </c>
      <c r="KD2">
        <v>-38.336914852857703</v>
      </c>
      <c r="KE2">
        <v>-19.487037095831202</v>
      </c>
      <c r="KF2">
        <v>9.6749971310690892</v>
      </c>
      <c r="KG2">
        <v>-145.48781338248801</v>
      </c>
      <c r="KH2">
        <v>2.0011527878889099</v>
      </c>
      <c r="KI2">
        <v>436.425210588776</v>
      </c>
      <c r="KJ2">
        <v>-25.643176343643098</v>
      </c>
      <c r="KK2">
        <v>-32.799161087371502</v>
      </c>
      <c r="KL2">
        <v>9.9335833861114899</v>
      </c>
      <c r="KM2">
        <v>11.441382648702399</v>
      </c>
      <c r="KN2">
        <v>348.94599447805803</v>
      </c>
      <c r="KO2">
        <v>8.5957810605212295</v>
      </c>
      <c r="KP2">
        <v>-10.716482980281</v>
      </c>
      <c r="KQ2">
        <v>-66.832271999733706</v>
      </c>
      <c r="KR2">
        <v>-1151.4561429640301</v>
      </c>
      <c r="KS2">
        <v>-22.5181194535601</v>
      </c>
      <c r="KT2">
        <v>9.8625004802273306</v>
      </c>
      <c r="KU2">
        <v>11.377090631683201</v>
      </c>
      <c r="KV2">
        <v>222.68440665143399</v>
      </c>
      <c r="KW2">
        <v>8.5199997051830891</v>
      </c>
      <c r="KX2">
        <v>-10.6342696923793</v>
      </c>
      <c r="KY2">
        <v>-42.589332751548497</v>
      </c>
      <c r="KZ2">
        <v>-724.29499690780301</v>
      </c>
      <c r="LA2">
        <v>-34.054424093875198</v>
      </c>
      <c r="LB2">
        <v>9.7312252442868896</v>
      </c>
      <c r="LC2">
        <v>11.214040742940901</v>
      </c>
      <c r="LD2">
        <v>342.52522967925802</v>
      </c>
      <c r="LE2">
        <v>8.4080035516695997</v>
      </c>
      <c r="LF2">
        <v>-10.7233264606599</v>
      </c>
      <c r="LG2">
        <v>-66.782858632742901</v>
      </c>
      <c r="LH2">
        <v>-1142.0628066659799</v>
      </c>
      <c r="LI2">
        <v>-21.578706237342001</v>
      </c>
      <c r="LJ2">
        <v>9.9030950005265694</v>
      </c>
      <c r="LK2">
        <v>11.4016374418658</v>
      </c>
      <c r="LL2">
        <v>221.275501878244</v>
      </c>
      <c r="LM2">
        <v>8.5775766001507492</v>
      </c>
      <c r="LN2">
        <v>-10.296136462268599</v>
      </c>
      <c r="LO2">
        <v>-40.323013924331001</v>
      </c>
      <c r="LP2">
        <v>-713.28290173947005</v>
      </c>
      <c r="LQ2">
        <v>-47.077083278007102</v>
      </c>
      <c r="LR2">
        <v>16.715619317487398</v>
      </c>
      <c r="LS2">
        <v>16.481000000000002</v>
      </c>
      <c r="LT2">
        <v>162.85674693682901</v>
      </c>
      <c r="LU2">
        <v>931.11600297058897</v>
      </c>
      <c r="LV2">
        <v>15.981443958842499</v>
      </c>
      <c r="LW2">
        <v>14.916445180832101</v>
      </c>
      <c r="LX2">
        <v>-112.424926723505</v>
      </c>
      <c r="LY2">
        <v>-31.752040279235398</v>
      </c>
      <c r="LZ2">
        <v>16.7005297342481</v>
      </c>
      <c r="MA2">
        <v>16.481000000000002</v>
      </c>
      <c r="MB2">
        <v>106.73686916654199</v>
      </c>
      <c r="MC2">
        <v>608.00163331514102</v>
      </c>
      <c r="MD2">
        <v>15.9473220822141</v>
      </c>
      <c r="ME2">
        <v>14.8601093197236</v>
      </c>
      <c r="MF2">
        <v>-72.615335229549103</v>
      </c>
      <c r="MG2">
        <v>-47.701821673007302</v>
      </c>
      <c r="MH2">
        <v>16.693702768364901</v>
      </c>
      <c r="MI2">
        <v>16.481000000000002</v>
      </c>
      <c r="MJ2">
        <v>145.587809608714</v>
      </c>
      <c r="MK2">
        <v>831.32921635754099</v>
      </c>
      <c r="ML2">
        <v>16.047406321576901</v>
      </c>
      <c r="MM2">
        <v>15.079589933757999</v>
      </c>
      <c r="MN2">
        <v>-96.743352092115401</v>
      </c>
      <c r="MO2">
        <v>-31.2536799052343</v>
      </c>
      <c r="MP2">
        <v>16.707111367064002</v>
      </c>
      <c r="MQ2">
        <v>16.481000000000002</v>
      </c>
      <c r="MR2">
        <v>107.046815990063</v>
      </c>
      <c r="MS2">
        <v>610.57264140699601</v>
      </c>
      <c r="MT2">
        <v>15.9492172628667</v>
      </c>
      <c r="MU2">
        <v>14.8529882321012</v>
      </c>
      <c r="MV2">
        <v>-73.421316429350796</v>
      </c>
      <c r="MW2">
        <v>-44.360650183635002</v>
      </c>
      <c r="MX2">
        <v>16.547049569562201</v>
      </c>
      <c r="MY2">
        <v>16.231140088414701</v>
      </c>
      <c r="MZ2">
        <v>109.330194777608</v>
      </c>
      <c r="NA2">
        <v>631.62594462990501</v>
      </c>
      <c r="NB2">
        <v>16.074178252057699</v>
      </c>
      <c r="NC2">
        <v>15.199138028756799</v>
      </c>
      <c r="ND2">
        <v>-67.974595114649006</v>
      </c>
      <c r="NE2">
        <v>-29.914106415453201</v>
      </c>
      <c r="NF2">
        <v>16.495483318228601</v>
      </c>
      <c r="NG2">
        <v>16.1810791290285</v>
      </c>
      <c r="NH2">
        <v>72.101533846787504</v>
      </c>
      <c r="NI2">
        <v>413.79524027818599</v>
      </c>
      <c r="NJ2">
        <v>16.0080869584326</v>
      </c>
      <c r="NK2">
        <v>15.1132646583136</v>
      </c>
      <c r="NL2">
        <v>-43.956250892879901</v>
      </c>
      <c r="NM2">
        <v>-45.309378845539698</v>
      </c>
      <c r="NN2">
        <v>16.657626965038698</v>
      </c>
      <c r="NO2">
        <v>16.4557049883046</v>
      </c>
      <c r="NP2">
        <v>129.68543368951501</v>
      </c>
      <c r="NQ2">
        <v>755.42180785003495</v>
      </c>
      <c r="NR2">
        <v>16.078979682971301</v>
      </c>
      <c r="NS2">
        <v>15.062127401193999</v>
      </c>
      <c r="NT2">
        <v>-87.280432013951099</v>
      </c>
      <c r="NU2">
        <v>-29.383187956271101</v>
      </c>
      <c r="NV2">
        <v>16.5178113256462</v>
      </c>
      <c r="NW2">
        <v>16.198061737667</v>
      </c>
      <c r="NX2">
        <v>1.7</v>
      </c>
      <c r="NY2" s="35">
        <v>72.078176394659096</v>
      </c>
      <c r="NZ2" s="35">
        <v>414.59758168225898</v>
      </c>
      <c r="OA2" s="35">
        <v>16.028467510064502</v>
      </c>
      <c r="OB2">
        <v>15.1308232011526</v>
      </c>
      <c r="OC2">
        <v>1.7</v>
      </c>
      <c r="OD2">
        <v>-44.443332375432298</v>
      </c>
      <c r="OE2">
        <v>1.7</v>
      </c>
      <c r="OF2">
        <v>1.7</v>
      </c>
      <c r="OG2">
        <v>-41.996750928418699</v>
      </c>
      <c r="OH2">
        <v>16.6679308956132</v>
      </c>
      <c r="OI2">
        <v>16.930059982661898</v>
      </c>
      <c r="OJ2">
        <v>233.72642770930599</v>
      </c>
      <c r="OK2">
        <v>1443.82896506833</v>
      </c>
      <c r="OL2">
        <v>15.475919391328199</v>
      </c>
      <c r="OM2">
        <v>13.326518834158</v>
      </c>
      <c r="ON2">
        <v>-213.22254443769901</v>
      </c>
      <c r="OO2">
        <v>-28.342837970844698</v>
      </c>
      <c r="OP2">
        <v>16.638106718164501</v>
      </c>
      <c r="OQ2">
        <v>16.884709612768201</v>
      </c>
      <c r="OR2">
        <v>151.47761002638299</v>
      </c>
      <c r="OS2">
        <v>931.26755856981299</v>
      </c>
      <c r="OT2">
        <v>15.4288950348489</v>
      </c>
      <c r="OU2">
        <v>13.258180467823401</v>
      </c>
      <c r="OV2">
        <v>-136.45730459975599</v>
      </c>
      <c r="OW2">
        <v>-41.9343030046116</v>
      </c>
      <c r="OX2">
        <v>16.121767850472398</v>
      </c>
      <c r="OY2">
        <v>16.415154466083699</v>
      </c>
      <c r="OZ2">
        <v>217.97564268062001</v>
      </c>
      <c r="PA2">
        <v>1331.17938669511</v>
      </c>
      <c r="PB2">
        <v>15.0157042644678</v>
      </c>
      <c r="PC2">
        <v>13.015569470379999</v>
      </c>
      <c r="PD2">
        <v>-196.74685044705399</v>
      </c>
      <c r="PE2">
        <v>-27.828160712104999</v>
      </c>
      <c r="PF2">
        <v>16.6697740438279</v>
      </c>
      <c r="PG2">
        <v>16.917966533751301</v>
      </c>
      <c r="PH2">
        <v>1.7</v>
      </c>
      <c r="PI2">
        <v>151.99849285596599</v>
      </c>
      <c r="PJ2">
        <v>935.612287010155</v>
      </c>
      <c r="PK2">
        <v>15.454053454699499</v>
      </c>
      <c r="PL2">
        <v>13.270145450506799</v>
      </c>
      <c r="PM2">
        <v>1.7</v>
      </c>
      <c r="PN2">
        <v>-137.486308581044</v>
      </c>
      <c r="PO2">
        <v>14.685398603143</v>
      </c>
      <c r="PP2">
        <v>14.596926857249899</v>
      </c>
      <c r="PQ2">
        <v>14.834167716643</v>
      </c>
      <c r="PR2">
        <v>14.5904325579687</v>
      </c>
      <c r="PS2">
        <v>16.955907806180601</v>
      </c>
      <c r="PT2">
        <v>15.0296744459986</v>
      </c>
      <c r="PU2">
        <v>14.9126912750247</v>
      </c>
      <c r="PV2">
        <v>14.789777842122399</v>
      </c>
      <c r="PW2">
        <v>14.935321358924901</v>
      </c>
      <c r="PX2">
        <v>16.7258966071416</v>
      </c>
      <c r="PY2">
        <v>12.4978281742312</v>
      </c>
      <c r="PZ2">
        <v>12.4207327069931</v>
      </c>
      <c r="QA2">
        <v>12.213171745724599</v>
      </c>
      <c r="QB2">
        <v>12.4350495650057</v>
      </c>
      <c r="QC2">
        <v>14.177485011965</v>
      </c>
      <c r="QD2">
        <v>15.7565628053207</v>
      </c>
      <c r="QE2">
        <v>13.836899818127501</v>
      </c>
      <c r="QF2">
        <v>13.749339365589</v>
      </c>
      <c r="QG2">
        <v>13.999006468199999</v>
      </c>
      <c r="QH2">
        <v>13.7287097688821</v>
      </c>
      <c r="QI2">
        <v>16.939149769936499</v>
      </c>
      <c r="QJ2">
        <v>14.103407978202201</v>
      </c>
      <c r="QK2">
        <v>13.9906213276067</v>
      </c>
      <c r="QL2">
        <v>13.899821105942801</v>
      </c>
      <c r="QM2">
        <v>13.9837586016522</v>
      </c>
      <c r="QN2">
        <v>999.94953956488098</v>
      </c>
      <c r="QO2">
        <v>16.721541993145699</v>
      </c>
      <c r="QP2">
        <v>-36.745267939002098</v>
      </c>
      <c r="QQ2">
        <v>11.772996803549299</v>
      </c>
      <c r="QR2">
        <v>11.7021060086572</v>
      </c>
      <c r="QS2">
        <v>11.515889535581</v>
      </c>
      <c r="QT2">
        <v>11.688143750956099</v>
      </c>
      <c r="QU2">
        <v>14.1691343914844</v>
      </c>
      <c r="QV2">
        <v>15.7592841972149</v>
      </c>
      <c r="QW2">
        <v>816686.84312884498</v>
      </c>
      <c r="QX2">
        <v>0</v>
      </c>
      <c r="QY2">
        <v>546410.15459150495</v>
      </c>
      <c r="QZ2">
        <v>0</v>
      </c>
      <c r="RA2">
        <v>134956.91905416301</v>
      </c>
      <c r="RB2">
        <v>0</v>
      </c>
      <c r="RC2">
        <v>89422.673280401505</v>
      </c>
      <c r="RD2">
        <v>0</v>
      </c>
      <c r="RE2">
        <v>298495.28244041401</v>
      </c>
      <c r="RF2">
        <v>0</v>
      </c>
      <c r="RG2">
        <v>202933.82641778901</v>
      </c>
      <c r="RH2" s="35">
        <v>0</v>
      </c>
      <c r="RI2">
        <v>0</v>
      </c>
      <c r="RJ2" s="35">
        <v>0</v>
      </c>
      <c r="RK2">
        <v>12.988401033112</v>
      </c>
      <c r="RL2">
        <v>8254.0642205804397</v>
      </c>
      <c r="RM2">
        <v>8254.0642205804397</v>
      </c>
      <c r="RN2">
        <v>21077.549387291201</v>
      </c>
      <c r="RO2" s="35">
        <v>0</v>
      </c>
      <c r="RP2">
        <v>0</v>
      </c>
      <c r="RQ2">
        <v>12.901751873928101</v>
      </c>
      <c r="RR2">
        <v>5331.3621355636697</v>
      </c>
      <c r="RS2">
        <v>5331.3621355636697</v>
      </c>
      <c r="RT2">
        <v>13480.279087368401</v>
      </c>
      <c r="RU2">
        <v>0</v>
      </c>
      <c r="RV2">
        <v>0</v>
      </c>
      <c r="RW2">
        <v>13.163845219756899</v>
      </c>
      <c r="RX2">
        <v>7986.7538945563301</v>
      </c>
      <c r="RY2">
        <v>7986.7538945563301</v>
      </c>
      <c r="RZ2">
        <v>20802.1954216665</v>
      </c>
      <c r="SA2">
        <v>0</v>
      </c>
      <c r="SB2">
        <v>0</v>
      </c>
      <c r="SC2">
        <v>12.8669869797956</v>
      </c>
      <c r="SD2">
        <v>5366.1843946687404</v>
      </c>
      <c r="SE2">
        <v>5366.1843946687404</v>
      </c>
      <c r="SF2">
        <v>13516.0835476146</v>
      </c>
      <c r="SG2">
        <v>0</v>
      </c>
      <c r="SH2">
        <v>0</v>
      </c>
      <c r="SI2">
        <v>16.9223917336924</v>
      </c>
      <c r="SJ2">
        <v>32568.707700115301</v>
      </c>
      <c r="SK2">
        <v>32568.707700115301</v>
      </c>
      <c r="SL2">
        <v>75759.697286120398</v>
      </c>
      <c r="SM2">
        <v>21.1111</v>
      </c>
      <c r="SN2">
        <v>26.666699999999999</v>
      </c>
      <c r="SO2">
        <v>0</v>
      </c>
      <c r="SP2">
        <v>0</v>
      </c>
      <c r="SQ2">
        <v>15.4997156058093</v>
      </c>
      <c r="SR2">
        <v>0</v>
      </c>
      <c r="SS2">
        <v>0</v>
      </c>
      <c r="ST2">
        <v>0</v>
      </c>
      <c r="SU2">
        <v>0</v>
      </c>
      <c r="SV2">
        <v>0</v>
      </c>
      <c r="SW2">
        <v>15.4306635980523</v>
      </c>
      <c r="SX2">
        <v>0</v>
      </c>
      <c r="SY2">
        <v>0</v>
      </c>
      <c r="SZ2">
        <v>0</v>
      </c>
      <c r="TA2">
        <v>0</v>
      </c>
      <c r="TB2">
        <v>0</v>
      </c>
      <c r="TC2">
        <v>15.705463545478199</v>
      </c>
      <c r="TD2">
        <v>0</v>
      </c>
      <c r="TE2">
        <v>0</v>
      </c>
      <c r="TF2">
        <v>0</v>
      </c>
      <c r="TG2">
        <v>0</v>
      </c>
      <c r="TH2">
        <v>0</v>
      </c>
      <c r="TI2">
        <v>15.447974819583999</v>
      </c>
      <c r="TJ2">
        <v>0</v>
      </c>
      <c r="TK2">
        <v>0</v>
      </c>
      <c r="TL2">
        <v>0</v>
      </c>
      <c r="TM2">
        <v>0</v>
      </c>
      <c r="TN2">
        <v>0</v>
      </c>
      <c r="TO2">
        <v>16.7677887145155</v>
      </c>
      <c r="TP2">
        <v>0</v>
      </c>
      <c r="TQ2">
        <v>0</v>
      </c>
      <c r="TR2">
        <v>0</v>
      </c>
      <c r="TS2">
        <v>0</v>
      </c>
      <c r="TT2">
        <v>0</v>
      </c>
      <c r="TU2">
        <v>13.177141510405701</v>
      </c>
      <c r="TV2">
        <v>8003.8370974011896</v>
      </c>
      <c r="TW2">
        <v>8003.8370974011896</v>
      </c>
      <c r="TX2">
        <v>20844.340371866299</v>
      </c>
      <c r="TY2">
        <v>0</v>
      </c>
      <c r="TZ2">
        <v>0</v>
      </c>
      <c r="UA2">
        <v>13.068551380188801</v>
      </c>
      <c r="UB2">
        <v>5195.0995083726202</v>
      </c>
      <c r="UC2">
        <v>5195.0995083726202</v>
      </c>
      <c r="UD2">
        <v>13356.2772945086</v>
      </c>
      <c r="UE2">
        <v>0</v>
      </c>
      <c r="UF2">
        <v>0</v>
      </c>
      <c r="UG2">
        <v>13.0098643697632</v>
      </c>
      <c r="UH2">
        <v>8260.7451268938803</v>
      </c>
      <c r="UI2">
        <v>8260.7451268938803</v>
      </c>
      <c r="UJ2">
        <v>21108.835243077701</v>
      </c>
      <c r="UK2">
        <v>0</v>
      </c>
      <c r="UL2">
        <v>0</v>
      </c>
      <c r="UM2">
        <v>13.032195844379601</v>
      </c>
      <c r="UN2">
        <v>5237.5707408936296</v>
      </c>
      <c r="UO2">
        <v>5237.5707408936296</v>
      </c>
      <c r="UP2">
        <v>13399.380298714699</v>
      </c>
      <c r="UQ2">
        <v>0</v>
      </c>
      <c r="UR2">
        <v>0</v>
      </c>
      <c r="US2">
        <v>16.717187379149902</v>
      </c>
      <c r="UT2">
        <v>34200.610529731202</v>
      </c>
      <c r="UU2">
        <v>34200.610529731202</v>
      </c>
      <c r="UV2">
        <v>77421.153846858695</v>
      </c>
      <c r="UW2">
        <v>21.1111</v>
      </c>
      <c r="UX2">
        <v>26.666699999999999</v>
      </c>
      <c r="UY2">
        <v>0</v>
      </c>
      <c r="UZ2">
        <v>0</v>
      </c>
      <c r="VA2">
        <v>16.094341505409801</v>
      </c>
      <c r="VB2">
        <v>0</v>
      </c>
      <c r="VC2">
        <v>0</v>
      </c>
      <c r="VD2">
        <v>0</v>
      </c>
      <c r="VE2">
        <v>0</v>
      </c>
      <c r="VF2">
        <v>0</v>
      </c>
      <c r="VG2">
        <v>16.020639940947401</v>
      </c>
      <c r="VH2">
        <v>0</v>
      </c>
      <c r="VI2">
        <v>0</v>
      </c>
      <c r="VJ2">
        <v>0</v>
      </c>
      <c r="VK2">
        <v>0</v>
      </c>
      <c r="VL2">
        <v>0</v>
      </c>
      <c r="VM2">
        <v>15.644475111892</v>
      </c>
      <c r="VN2">
        <v>0</v>
      </c>
      <c r="VO2">
        <v>0</v>
      </c>
      <c r="VP2">
        <v>0</v>
      </c>
      <c r="VQ2">
        <v>0</v>
      </c>
      <c r="VR2">
        <v>0</v>
      </c>
      <c r="VS2">
        <v>16.053236931682701</v>
      </c>
      <c r="VT2">
        <v>0</v>
      </c>
      <c r="VU2">
        <v>0</v>
      </c>
      <c r="VV2">
        <v>0</v>
      </c>
      <c r="VW2">
        <v>0</v>
      </c>
      <c r="VX2">
        <v>0</v>
      </c>
      <c r="VY2">
        <v>16.593848001132901</v>
      </c>
      <c r="VZ2">
        <v>0</v>
      </c>
      <c r="WA2">
        <v>0</v>
      </c>
      <c r="WB2">
        <v>0</v>
      </c>
      <c r="WC2">
        <v>0</v>
      </c>
      <c r="WD2">
        <v>0</v>
      </c>
      <c r="WE2">
        <v>11.048165432867499</v>
      </c>
      <c r="WF2">
        <v>11410.0351600789</v>
      </c>
      <c r="WG2">
        <v>11410.0351600789</v>
      </c>
      <c r="WH2">
        <v>24354.589561464902</v>
      </c>
      <c r="WI2">
        <v>0</v>
      </c>
      <c r="WJ2">
        <v>0</v>
      </c>
      <c r="WK2">
        <v>0</v>
      </c>
      <c r="WL2">
        <v>10.9834793103214</v>
      </c>
      <c r="WM2">
        <v>7315.3844200457497</v>
      </c>
      <c r="WN2">
        <v>7315.3844200457497</v>
      </c>
      <c r="WO2">
        <v>15541.8995345197</v>
      </c>
      <c r="WP2">
        <v>18.333300000000001</v>
      </c>
      <c r="WQ2">
        <v>26.666699999999999</v>
      </c>
      <c r="WR2">
        <v>0</v>
      </c>
      <c r="WS2">
        <v>0</v>
      </c>
      <c r="WT2">
        <v>10.8186073254374</v>
      </c>
      <c r="WU2">
        <v>11770.774855306499</v>
      </c>
      <c r="WV2">
        <v>11770.774855306499</v>
      </c>
      <c r="WW2">
        <v>24725.809803569598</v>
      </c>
      <c r="WX2">
        <v>0</v>
      </c>
      <c r="WY2">
        <v>0</v>
      </c>
      <c r="WZ2">
        <v>0</v>
      </c>
      <c r="XA2">
        <v>10.9412379369066</v>
      </c>
      <c r="XB2">
        <v>7357.9222527371703</v>
      </c>
      <c r="XC2">
        <v>7357.9222527371703</v>
      </c>
      <c r="XD2">
        <v>15585.451283599101</v>
      </c>
      <c r="XE2">
        <v>0</v>
      </c>
      <c r="XF2">
        <v>0</v>
      </c>
      <c r="XG2">
        <v>14.1607837710038</v>
      </c>
      <c r="XH2">
        <v>54680.715834635899</v>
      </c>
      <c r="XI2">
        <v>54680.715834635899</v>
      </c>
      <c r="XJ2">
        <v>98267.555511887302</v>
      </c>
      <c r="XK2">
        <v>21.1111</v>
      </c>
      <c r="XL2">
        <v>26.666699999999999</v>
      </c>
      <c r="XM2">
        <v>0</v>
      </c>
      <c r="XN2">
        <v>0</v>
      </c>
      <c r="XO2">
        <v>8.8453164257412809</v>
      </c>
      <c r="XP2">
        <v>0</v>
      </c>
      <c r="XQ2">
        <v>0</v>
      </c>
      <c r="XR2">
        <v>0</v>
      </c>
      <c r="XS2">
        <v>0</v>
      </c>
      <c r="XT2">
        <v>0</v>
      </c>
      <c r="XU2">
        <v>8.7693108075960406</v>
      </c>
      <c r="XV2">
        <v>0</v>
      </c>
      <c r="XW2">
        <v>0</v>
      </c>
      <c r="XX2">
        <v>0</v>
      </c>
      <c r="XY2">
        <v>0</v>
      </c>
      <c r="XZ2">
        <v>0</v>
      </c>
      <c r="YA2">
        <v>8.6590852016429505</v>
      </c>
      <c r="YB2">
        <v>0</v>
      </c>
      <c r="YC2">
        <v>0</v>
      </c>
      <c r="YD2">
        <v>0</v>
      </c>
      <c r="YE2">
        <v>0</v>
      </c>
      <c r="YF2">
        <v>0</v>
      </c>
      <c r="YG2">
        <v>8.81498832516756</v>
      </c>
      <c r="YH2">
        <v>0</v>
      </c>
      <c r="YI2">
        <v>0</v>
      </c>
      <c r="YJ2">
        <v>0</v>
      </c>
      <c r="YK2">
        <v>0</v>
      </c>
      <c r="YL2">
        <v>0</v>
      </c>
      <c r="YM2">
        <v>11.3469270769265</v>
      </c>
      <c r="YN2">
        <v>0</v>
      </c>
      <c r="YO2">
        <v>0</v>
      </c>
      <c r="YP2">
        <v>0</v>
      </c>
      <c r="YQ2">
        <v>0</v>
      </c>
      <c r="YR2">
        <v>0</v>
      </c>
      <c r="YS2">
        <v>16.269769741357699</v>
      </c>
      <c r="YT2">
        <v>0</v>
      </c>
      <c r="YU2">
        <v>0</v>
      </c>
      <c r="YV2">
        <v>0</v>
      </c>
      <c r="YW2">
        <v>0</v>
      </c>
      <c r="YX2">
        <v>0</v>
      </c>
      <c r="YY2">
        <v>16.240246359358601</v>
      </c>
      <c r="YZ2">
        <v>0</v>
      </c>
      <c r="ZA2">
        <v>0</v>
      </c>
      <c r="ZB2">
        <v>0</v>
      </c>
      <c r="ZC2">
        <v>0</v>
      </c>
      <c r="ZD2">
        <v>0</v>
      </c>
      <c r="ZE2">
        <v>16.291241217953601</v>
      </c>
      <c r="ZF2">
        <v>0</v>
      </c>
      <c r="ZG2">
        <v>0</v>
      </c>
      <c r="ZH2">
        <v>0</v>
      </c>
      <c r="ZI2">
        <v>0</v>
      </c>
      <c r="ZJ2">
        <v>0</v>
      </c>
      <c r="ZK2">
        <v>16.245465476503401</v>
      </c>
      <c r="ZL2">
        <v>0</v>
      </c>
      <c r="ZM2">
        <v>0</v>
      </c>
      <c r="ZN2">
        <v>0</v>
      </c>
      <c r="ZO2">
        <v>0</v>
      </c>
      <c r="ZP2">
        <v>0</v>
      </c>
      <c r="ZQ2">
        <v>17.217867683733299</v>
      </c>
      <c r="ZR2">
        <v>0</v>
      </c>
      <c r="ZS2">
        <v>0</v>
      </c>
      <c r="ZT2">
        <v>0</v>
      </c>
      <c r="ZU2">
        <v>0</v>
      </c>
      <c r="ZV2">
        <v>0</v>
      </c>
      <c r="ZW2">
        <v>16.213747202869001</v>
      </c>
      <c r="ZX2">
        <v>0</v>
      </c>
      <c r="ZY2">
        <v>0</v>
      </c>
      <c r="ZZ2">
        <v>0</v>
      </c>
      <c r="AAA2">
        <v>0</v>
      </c>
      <c r="AAB2">
        <v>0</v>
      </c>
      <c r="AAC2">
        <v>16.150013249273002</v>
      </c>
      <c r="AAD2">
        <v>0</v>
      </c>
      <c r="AAE2">
        <v>0</v>
      </c>
      <c r="AAF2">
        <v>0</v>
      </c>
      <c r="AAG2">
        <v>0</v>
      </c>
      <c r="AAH2">
        <v>0</v>
      </c>
      <c r="AAI2">
        <v>16.269630910118</v>
      </c>
      <c r="AAJ2">
        <v>0</v>
      </c>
      <c r="AAK2">
        <v>0</v>
      </c>
      <c r="AAL2">
        <v>0</v>
      </c>
      <c r="AAM2">
        <v>0</v>
      </c>
      <c r="AAN2">
        <v>0</v>
      </c>
      <c r="AAO2">
        <v>16.172207539494401</v>
      </c>
      <c r="AAP2">
        <v>0</v>
      </c>
      <c r="AAQ2">
        <v>0</v>
      </c>
      <c r="AAR2">
        <v>0</v>
      </c>
      <c r="AAS2">
        <v>0</v>
      </c>
      <c r="AAT2">
        <v>0</v>
      </c>
      <c r="AAU2">
        <v>16.6946027624614</v>
      </c>
      <c r="AAV2">
        <v>0</v>
      </c>
      <c r="AAW2">
        <v>0</v>
      </c>
      <c r="AAX2">
        <v>0</v>
      </c>
      <c r="AAY2">
        <v>0</v>
      </c>
      <c r="AAZ2">
        <v>0</v>
      </c>
      <c r="ABA2">
        <v>15.973128526280201</v>
      </c>
      <c r="ABB2">
        <v>0</v>
      </c>
      <c r="ABC2">
        <v>0</v>
      </c>
      <c r="ABD2">
        <v>0</v>
      </c>
      <c r="ABE2">
        <v>0</v>
      </c>
      <c r="ABF2">
        <v>0</v>
      </c>
      <c r="ABG2">
        <v>15.9289355196422</v>
      </c>
      <c r="ABH2">
        <v>0</v>
      </c>
      <c r="ABI2">
        <v>0</v>
      </c>
      <c r="ABJ2">
        <v>0</v>
      </c>
      <c r="ABK2">
        <v>0</v>
      </c>
      <c r="ABL2">
        <v>0</v>
      </c>
      <c r="ABM2">
        <v>15.4739807344993</v>
      </c>
      <c r="ABN2">
        <v>0</v>
      </c>
      <c r="ABO2">
        <v>0</v>
      </c>
      <c r="ABP2">
        <v>0</v>
      </c>
      <c r="ABQ2">
        <v>0</v>
      </c>
      <c r="ABR2">
        <v>0</v>
      </c>
      <c r="ABS2">
        <v>15.958189309651701</v>
      </c>
      <c r="ABT2">
        <v>0</v>
      </c>
      <c r="ABU2">
        <v>0</v>
      </c>
      <c r="ABV2">
        <v>0</v>
      </c>
      <c r="ABW2">
        <v>0</v>
      </c>
      <c r="ABX2">
        <v>0</v>
      </c>
      <c r="ABY2">
        <v>15.7592841972149</v>
      </c>
      <c r="ABZ2">
        <v>0</v>
      </c>
      <c r="ACA2">
        <v>0</v>
      </c>
      <c r="ACB2">
        <v>0</v>
      </c>
      <c r="ACC2">
        <v>0</v>
      </c>
      <c r="ACD2">
        <v>0</v>
      </c>
      <c r="ACE2">
        <v>0</v>
      </c>
      <c r="ACF2">
        <v>12.2200000000641</v>
      </c>
      <c r="ACG2">
        <v>12.2200000000641</v>
      </c>
      <c r="ACH2">
        <v>0</v>
      </c>
      <c r="ACI2">
        <v>0</v>
      </c>
      <c r="ACJ2">
        <v>0</v>
      </c>
      <c r="ACK2">
        <v>20.973579277941599</v>
      </c>
      <c r="ACL2">
        <v>20.973579277941599</v>
      </c>
      <c r="ACM2">
        <v>0</v>
      </c>
      <c r="ACN2">
        <v>0</v>
      </c>
      <c r="ACP2">
        <v>0</v>
      </c>
      <c r="ACR2">
        <v>0</v>
      </c>
      <c r="ACT2">
        <v>16.922370414307</v>
      </c>
      <c r="ACU2">
        <v>16.922370414307</v>
      </c>
      <c r="ACV2">
        <v>0</v>
      </c>
      <c r="ACW2">
        <v>0</v>
      </c>
      <c r="ACX2">
        <v>1</v>
      </c>
      <c r="ACY2">
        <v>16.717198615780902</v>
      </c>
      <c r="ACZ2">
        <v>16.717198615780902</v>
      </c>
      <c r="ADA2">
        <v>0</v>
      </c>
      <c r="ADB2">
        <v>0</v>
      </c>
      <c r="ADC2">
        <v>1</v>
      </c>
      <c r="ADD2">
        <v>14.1608317356909</v>
      </c>
      <c r="ADE2">
        <v>14.1608317356909</v>
      </c>
      <c r="ADF2">
        <v>0</v>
      </c>
      <c r="ADG2">
        <v>0</v>
      </c>
      <c r="ADH2">
        <v>1</v>
      </c>
      <c r="ADI2">
        <v>13.681543066191001</v>
      </c>
      <c r="ADJ2">
        <v>13.681543066191001</v>
      </c>
      <c r="ADK2">
        <v>0</v>
      </c>
      <c r="ADL2">
        <v>0</v>
      </c>
      <c r="ADM2">
        <v>1</v>
      </c>
      <c r="ADN2">
        <v>13.6006915538032</v>
      </c>
      <c r="ADO2">
        <v>13.6006915538032</v>
      </c>
      <c r="ADP2">
        <v>0</v>
      </c>
      <c r="ADQ2">
        <v>0</v>
      </c>
      <c r="ADR2">
        <v>1</v>
      </c>
      <c r="ADS2">
        <v>13.8405571242261</v>
      </c>
      <c r="ADT2">
        <v>13.8405571242261</v>
      </c>
      <c r="ADU2">
        <v>0</v>
      </c>
      <c r="ADV2">
        <v>0</v>
      </c>
      <c r="ADW2">
        <v>1</v>
      </c>
      <c r="ADX2">
        <v>13.579957792051699</v>
      </c>
      <c r="ADY2">
        <v>13.579957792051699</v>
      </c>
      <c r="ADZ2">
        <v>0</v>
      </c>
      <c r="AEA2">
        <v>0</v>
      </c>
      <c r="AEB2">
        <v>1</v>
      </c>
      <c r="AEC2">
        <v>13.933971358385</v>
      </c>
      <c r="AED2">
        <v>13.933971358385</v>
      </c>
      <c r="AEE2">
        <v>0</v>
      </c>
      <c r="AEF2">
        <v>0</v>
      </c>
      <c r="AEG2">
        <v>1</v>
      </c>
      <c r="AEH2">
        <v>13.827121954383299</v>
      </c>
      <c r="AEI2">
        <v>13.827121954383299</v>
      </c>
      <c r="AEJ2">
        <v>0</v>
      </c>
      <c r="AEK2">
        <v>0</v>
      </c>
      <c r="AEL2">
        <v>1</v>
      </c>
      <c r="AEM2">
        <v>13.7283850958054</v>
      </c>
      <c r="AEN2">
        <v>13.7283850958054</v>
      </c>
      <c r="AEO2">
        <v>0</v>
      </c>
      <c r="AEP2">
        <v>0</v>
      </c>
      <c r="AEQ2">
        <v>1</v>
      </c>
      <c r="AER2">
        <v>13.8254565275499</v>
      </c>
      <c r="AES2">
        <v>13.8254565275499</v>
      </c>
      <c r="AET2">
        <v>0</v>
      </c>
      <c r="AEU2">
        <v>0</v>
      </c>
      <c r="AEV2">
        <v>1</v>
      </c>
      <c r="AEW2">
        <v>11.7219942994817</v>
      </c>
      <c r="AEX2">
        <v>11.7219942994817</v>
      </c>
      <c r="AEY2">
        <v>0</v>
      </c>
      <c r="AEZ2">
        <v>0</v>
      </c>
      <c r="AFA2">
        <v>1</v>
      </c>
      <c r="AFB2">
        <v>11.6547236080508</v>
      </c>
      <c r="AFC2">
        <v>11.6547236080508</v>
      </c>
      <c r="AFD2">
        <v>0</v>
      </c>
      <c r="AFE2">
        <v>0</v>
      </c>
      <c r="AFF2">
        <v>1</v>
      </c>
      <c r="AFG2">
        <v>11.456635477400001</v>
      </c>
      <c r="AFH2">
        <v>11.456635477400001</v>
      </c>
      <c r="AFI2">
        <v>0</v>
      </c>
      <c r="AFJ2">
        <v>0</v>
      </c>
      <c r="AFK2">
        <v>1</v>
      </c>
      <c r="AFL2">
        <v>11.6451977500602</v>
      </c>
      <c r="AFM2">
        <v>11.6451977500602</v>
      </c>
      <c r="AFN2">
        <v>0</v>
      </c>
      <c r="AFO2">
        <v>0</v>
      </c>
      <c r="AFP2">
        <v>1</v>
      </c>
      <c r="AFQ2">
        <v>-2.6200922561743898</v>
      </c>
      <c r="AFR2">
        <v>-2.6428740511826199</v>
      </c>
      <c r="AFS2">
        <v>-2.65726118784319</v>
      </c>
      <c r="AFT2">
        <v>-2.6550321485236501</v>
      </c>
      <c r="AFU2">
        <v>-2.63308523598019</v>
      </c>
      <c r="AFV2">
        <v>-2.60056969341385</v>
      </c>
      <c r="AFW2">
        <v>-2.6158873692458098</v>
      </c>
      <c r="AFX2">
        <v>-2.6170070598573898</v>
      </c>
      <c r="AFY2">
        <v>-2.9541582509622799</v>
      </c>
      <c r="AFZ2">
        <v>-2.9201332212438702</v>
      </c>
      <c r="AGA2">
        <v>-2.9290694197309901</v>
      </c>
      <c r="AGB2">
        <v>-2.9289735759566602</v>
      </c>
      <c r="AGC2">
        <v>-2.1805300532537801</v>
      </c>
      <c r="AGD2">
        <v>-2.2178823029867201</v>
      </c>
      <c r="AGE2">
        <v>-2.6257568573756802</v>
      </c>
      <c r="AGF2">
        <v>0</v>
      </c>
      <c r="AGG2">
        <v>0</v>
      </c>
      <c r="AGH2">
        <v>0</v>
      </c>
      <c r="AGI2">
        <v>0</v>
      </c>
      <c r="AGJ2">
        <v>0</v>
      </c>
      <c r="AGK2">
        <v>0</v>
      </c>
      <c r="AGL2">
        <v>0</v>
      </c>
      <c r="AGM2">
        <v>0</v>
      </c>
      <c r="AGN2">
        <v>0</v>
      </c>
      <c r="AGO2">
        <v>0</v>
      </c>
      <c r="AGP2">
        <v>0</v>
      </c>
      <c r="AGQ2">
        <v>0</v>
      </c>
      <c r="AGR2">
        <v>0</v>
      </c>
      <c r="AGS2">
        <v>0</v>
      </c>
      <c r="AGT2">
        <v>0</v>
      </c>
      <c r="AGU2">
        <v>0</v>
      </c>
      <c r="AGV2">
        <v>0</v>
      </c>
      <c r="AGW2">
        <v>0</v>
      </c>
      <c r="AGX2">
        <v>0</v>
      </c>
      <c r="AGY2">
        <v>0</v>
      </c>
      <c r="AGZ2">
        <v>0</v>
      </c>
      <c r="AHA2">
        <v>0</v>
      </c>
      <c r="AHB2">
        <v>0</v>
      </c>
      <c r="AHC2">
        <v>0</v>
      </c>
      <c r="AHD2">
        <v>0</v>
      </c>
      <c r="AHE2">
        <v>0</v>
      </c>
      <c r="AHF2">
        <v>0</v>
      </c>
      <c r="AHG2">
        <v>0</v>
      </c>
      <c r="AHH2">
        <v>0</v>
      </c>
      <c r="AHI2">
        <v>0</v>
      </c>
      <c r="AHJ2">
        <v>0</v>
      </c>
      <c r="AHK2">
        <v>0</v>
      </c>
      <c r="AHL2">
        <v>0</v>
      </c>
      <c r="AHM2">
        <v>0</v>
      </c>
      <c r="AHN2">
        <v>0</v>
      </c>
      <c r="AHO2">
        <v>0</v>
      </c>
      <c r="AHP2">
        <v>0</v>
      </c>
      <c r="AHQ2">
        <v>0</v>
      </c>
      <c r="AHR2">
        <v>0</v>
      </c>
      <c r="AHS2">
        <v>0</v>
      </c>
      <c r="AHT2">
        <v>0</v>
      </c>
      <c r="AHU2">
        <v>0</v>
      </c>
      <c r="AHV2">
        <v>0</v>
      </c>
      <c r="AHW2">
        <v>0</v>
      </c>
      <c r="AHX2">
        <v>0</v>
      </c>
      <c r="AHZ2">
        <v>0</v>
      </c>
      <c r="AIB2">
        <v>0</v>
      </c>
      <c r="AID2">
        <v>0</v>
      </c>
      <c r="AIF2">
        <v>0</v>
      </c>
      <c r="AIH2">
        <v>0</v>
      </c>
      <c r="AIJ2">
        <v>0</v>
      </c>
      <c r="AIL2">
        <v>0</v>
      </c>
      <c r="AIN2">
        <v>0</v>
      </c>
      <c r="AIP2">
        <v>0</v>
      </c>
      <c r="AIR2">
        <v>0</v>
      </c>
      <c r="AIT2">
        <v>0</v>
      </c>
      <c r="AIV2">
        <v>0</v>
      </c>
      <c r="AIX2">
        <v>0</v>
      </c>
      <c r="AIZ2">
        <v>0</v>
      </c>
      <c r="AJB2">
        <v>0</v>
      </c>
      <c r="AJC2">
        <v>0</v>
      </c>
      <c r="AJE2">
        <v>0</v>
      </c>
      <c r="AJH2">
        <v>0</v>
      </c>
      <c r="AJJ2">
        <v>0</v>
      </c>
      <c r="AJK2">
        <v>0</v>
      </c>
      <c r="AJL2">
        <v>0</v>
      </c>
      <c r="AJM2">
        <v>0</v>
      </c>
      <c r="AJN2">
        <v>0</v>
      </c>
      <c r="AJO2">
        <v>0</v>
      </c>
      <c r="AJP2">
        <v>0</v>
      </c>
      <c r="AJQ2">
        <v>0</v>
      </c>
      <c r="AJR2">
        <v>0</v>
      </c>
      <c r="AJS2">
        <v>0</v>
      </c>
      <c r="AJT2">
        <v>0</v>
      </c>
      <c r="AJU2">
        <v>0</v>
      </c>
      <c r="AJV2">
        <v>0</v>
      </c>
      <c r="AJW2">
        <v>0</v>
      </c>
      <c r="AJX2">
        <v>0</v>
      </c>
      <c r="AJY2">
        <v>0</v>
      </c>
      <c r="AJZ2">
        <v>0</v>
      </c>
      <c r="AKA2">
        <v>0</v>
      </c>
      <c r="AKB2">
        <v>0</v>
      </c>
      <c r="AKC2">
        <v>0</v>
      </c>
      <c r="AKD2">
        <v>0</v>
      </c>
      <c r="AKE2">
        <v>78.881990920975895</v>
      </c>
      <c r="AKF2">
        <v>78.881990920975895</v>
      </c>
      <c r="AKG2">
        <v>0</v>
      </c>
      <c r="AKH2">
        <v>0</v>
      </c>
      <c r="AKI2">
        <v>0</v>
      </c>
      <c r="AKJ2">
        <v>0</v>
      </c>
      <c r="AKK2">
        <v>0</v>
      </c>
      <c r="AKL2">
        <v>78.881990920975895</v>
      </c>
      <c r="AKM2">
        <v>78.881990920975895</v>
      </c>
      <c r="AKN2">
        <v>0</v>
      </c>
      <c r="AKO2">
        <v>0</v>
      </c>
      <c r="AKP2">
        <v>0</v>
      </c>
      <c r="AKT2">
        <v>0</v>
      </c>
      <c r="AKX2">
        <v>0</v>
      </c>
      <c r="ALB2">
        <v>20.973579277941599</v>
      </c>
      <c r="ALC2">
        <v>20.973579277941599</v>
      </c>
      <c r="ALD2">
        <v>0</v>
      </c>
      <c r="ALE2">
        <v>0</v>
      </c>
      <c r="ALF2">
        <v>0</v>
      </c>
      <c r="ALH2">
        <v>16.7696515929232</v>
      </c>
      <c r="ALI2">
        <v>2.8568269606532499E-3</v>
      </c>
      <c r="ALJ2">
        <v>0</v>
      </c>
      <c r="ALK2">
        <v>16.7696515929232</v>
      </c>
      <c r="ALL2">
        <v>0</v>
      </c>
      <c r="ALM2">
        <v>0</v>
      </c>
      <c r="ALN2">
        <v>16.7696515929232</v>
      </c>
      <c r="ALO2">
        <v>2.8568269606532499E-3</v>
      </c>
      <c r="ALP2">
        <v>24.242806619444998</v>
      </c>
      <c r="ALQ2">
        <v>0</v>
      </c>
      <c r="ALR2">
        <v>16.7696515929232</v>
      </c>
      <c r="ALS2">
        <v>0</v>
      </c>
      <c r="ALT2">
        <v>16.7696515929232</v>
      </c>
      <c r="ALU2">
        <v>0</v>
      </c>
      <c r="ALV2">
        <v>12.2200000000641</v>
      </c>
      <c r="ALW2">
        <v>9.9999999999999897E-12</v>
      </c>
      <c r="ALX2">
        <v>12.2200000000641</v>
      </c>
      <c r="ALY2">
        <v>9.9999999999999897E-12</v>
      </c>
      <c r="ALZ2">
        <v>0</v>
      </c>
      <c r="AMA2">
        <v>12.2200000000641</v>
      </c>
      <c r="AMB2">
        <v>0</v>
      </c>
      <c r="AMC2">
        <v>12.2200000000641</v>
      </c>
      <c r="AMD2">
        <v>0</v>
      </c>
      <c r="AME2">
        <v>12.2200000000641</v>
      </c>
      <c r="AMF2">
        <v>0</v>
      </c>
      <c r="AMG2">
        <v>0</v>
      </c>
      <c r="AMH2">
        <v>0</v>
      </c>
      <c r="AMI2">
        <v>16.257557478384001</v>
      </c>
      <c r="AMJ2">
        <v>0</v>
      </c>
      <c r="AMK2" s="580">
        <v>17.214089787208099</v>
      </c>
      <c r="AML2">
        <v>0</v>
      </c>
      <c r="AMM2">
        <v>16.252277498480598</v>
      </c>
      <c r="AMN2">
        <v>0</v>
      </c>
      <c r="AMO2">
        <v>16.281280885145499</v>
      </c>
      <c r="AMP2">
        <v>0</v>
      </c>
      <c r="AMQ2">
        <v>16.3054205376136</v>
      </c>
      <c r="AMR2">
        <v>0</v>
      </c>
      <c r="AMS2">
        <v>16.692751301858099</v>
      </c>
      <c r="AMT2">
        <v>0</v>
      </c>
      <c r="AMU2">
        <v>16.1926856626344</v>
      </c>
      <c r="AMV2">
        <v>0</v>
      </c>
      <c r="AMW2">
        <v>16.215111762025501</v>
      </c>
      <c r="AMX2">
        <v>0</v>
      </c>
      <c r="AMY2">
        <v>16.255466283634501</v>
      </c>
      <c r="AMZ2">
        <v>0</v>
      </c>
      <c r="ANA2">
        <v>16.3117563208944</v>
      </c>
      <c r="ANB2">
        <v>0</v>
      </c>
      <c r="ANC2">
        <v>15.779704844716999</v>
      </c>
      <c r="AND2">
        <v>0</v>
      </c>
      <c r="ANE2">
        <v>16.001961233541898</v>
      </c>
      <c r="ANF2">
        <v>0</v>
      </c>
      <c r="ANG2">
        <v>16.031441059283701</v>
      </c>
      <c r="ANH2">
        <v>0</v>
      </c>
      <c r="ANI2">
        <v>16.044583247342299</v>
      </c>
      <c r="ANJ2">
        <v>0</v>
      </c>
      <c r="ANK2">
        <v>15.5404274963799</v>
      </c>
      <c r="ANL2">
        <v>0</v>
      </c>
      <c r="ANM2">
        <v>0</v>
      </c>
      <c r="ANN2">
        <v>0</v>
      </c>
      <c r="ANO2">
        <v>0</v>
      </c>
      <c r="ANP2">
        <v>17.214089787208099</v>
      </c>
      <c r="ANQ2">
        <v>16.252277498480598</v>
      </c>
      <c r="ANR2">
        <v>16.257557478384001</v>
      </c>
      <c r="ANS2">
        <v>16.3054205376136</v>
      </c>
      <c r="ANT2">
        <v>16.281280885145499</v>
      </c>
      <c r="ANU2">
        <v>16.692751301858099</v>
      </c>
      <c r="ANV2">
        <v>16.1926856626344</v>
      </c>
      <c r="ANW2">
        <v>16.215111762025501</v>
      </c>
      <c r="ANX2">
        <v>16.3117563208944</v>
      </c>
      <c r="ANY2">
        <v>16.255466283634501</v>
      </c>
      <c r="ANZ2">
        <v>15.779704844716999</v>
      </c>
      <c r="AOA2">
        <v>16.001961233541898</v>
      </c>
      <c r="AOB2">
        <v>16.031441059283701</v>
      </c>
      <c r="AOC2">
        <v>15.5404274963799</v>
      </c>
      <c r="AOD2">
        <v>16.044583247342299</v>
      </c>
      <c r="AOE2">
        <v>16.7696515929232</v>
      </c>
      <c r="AOF2">
        <v>0</v>
      </c>
      <c r="AOG2">
        <v>16.7715413055775</v>
      </c>
      <c r="AOH2">
        <v>0</v>
      </c>
    </row>
    <row r="3" spans="1:1074">
      <c r="A3" t="s">
        <v>2573</v>
      </c>
      <c r="B3">
        <v>-3.33</v>
      </c>
      <c r="D3">
        <v>-3.33</v>
      </c>
      <c r="F3">
        <v>10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0</v>
      </c>
      <c r="CF3">
        <v>0</v>
      </c>
      <c r="CG3">
        <v>0</v>
      </c>
      <c r="CH3">
        <v>0</v>
      </c>
      <c r="CI3">
        <v>0</v>
      </c>
      <c r="CJ3">
        <v>0</v>
      </c>
      <c r="CK3">
        <v>0</v>
      </c>
      <c r="CL3">
        <v>0</v>
      </c>
      <c r="CM3">
        <v>0</v>
      </c>
      <c r="CN3">
        <v>0</v>
      </c>
      <c r="CO3">
        <v>0</v>
      </c>
      <c r="CP3">
        <v>0</v>
      </c>
      <c r="CQ3">
        <v>0</v>
      </c>
      <c r="CR3">
        <v>0</v>
      </c>
      <c r="CS3">
        <v>0</v>
      </c>
      <c r="CT3">
        <v>0</v>
      </c>
      <c r="CU3">
        <v>0</v>
      </c>
      <c r="CV3">
        <v>0</v>
      </c>
      <c r="CW3">
        <v>0</v>
      </c>
      <c r="CX3">
        <v>0</v>
      </c>
      <c r="CY3">
        <v>0</v>
      </c>
      <c r="CZ3">
        <v>0</v>
      </c>
      <c r="DA3">
        <v>0</v>
      </c>
      <c r="DB3">
        <v>0</v>
      </c>
      <c r="DC3">
        <v>0</v>
      </c>
      <c r="DD3">
        <v>0</v>
      </c>
      <c r="DE3">
        <v>0</v>
      </c>
      <c r="DF3">
        <v>0</v>
      </c>
      <c r="DG3">
        <v>0</v>
      </c>
      <c r="DH3">
        <v>0</v>
      </c>
      <c r="DI3">
        <v>0</v>
      </c>
      <c r="DJ3">
        <v>0</v>
      </c>
      <c r="DK3">
        <v>0</v>
      </c>
      <c r="DL3">
        <v>0</v>
      </c>
      <c r="DM3">
        <v>0</v>
      </c>
      <c r="DN3">
        <v>0</v>
      </c>
      <c r="DO3">
        <v>0</v>
      </c>
      <c r="DP3">
        <v>0</v>
      </c>
      <c r="DQ3">
        <v>0</v>
      </c>
      <c r="DR3">
        <v>0</v>
      </c>
      <c r="DS3">
        <v>0</v>
      </c>
      <c r="DT3">
        <v>0</v>
      </c>
      <c r="DU3">
        <v>0</v>
      </c>
      <c r="DV3">
        <v>0</v>
      </c>
      <c r="DW3">
        <v>0</v>
      </c>
      <c r="DX3">
        <v>0</v>
      </c>
      <c r="DY3">
        <v>0</v>
      </c>
      <c r="DZ3">
        <v>0</v>
      </c>
      <c r="EA3">
        <v>0</v>
      </c>
      <c r="EB3">
        <v>0</v>
      </c>
      <c r="EC3">
        <v>0</v>
      </c>
      <c r="ED3">
        <v>0</v>
      </c>
      <c r="EE3">
        <v>0</v>
      </c>
      <c r="EF3">
        <v>0</v>
      </c>
      <c r="EG3">
        <v>0</v>
      </c>
      <c r="EH3">
        <v>0</v>
      </c>
      <c r="EI3">
        <v>0</v>
      </c>
      <c r="EJ3">
        <v>0</v>
      </c>
      <c r="EK3">
        <v>0</v>
      </c>
      <c r="EL3">
        <v>0</v>
      </c>
      <c r="EM3">
        <v>0</v>
      </c>
      <c r="EN3">
        <v>0</v>
      </c>
      <c r="EO3">
        <v>0</v>
      </c>
      <c r="EP3">
        <v>0</v>
      </c>
      <c r="EQ3">
        <v>0</v>
      </c>
      <c r="ER3">
        <v>0</v>
      </c>
      <c r="ES3">
        <v>0</v>
      </c>
      <c r="ET3">
        <v>0</v>
      </c>
      <c r="EU3">
        <v>0</v>
      </c>
      <c r="EV3">
        <v>0</v>
      </c>
      <c r="EW3">
        <v>0</v>
      </c>
      <c r="EX3">
        <v>0</v>
      </c>
      <c r="EY3">
        <v>0</v>
      </c>
      <c r="EZ3">
        <v>0</v>
      </c>
      <c r="FA3">
        <v>0</v>
      </c>
      <c r="FB3">
        <v>0</v>
      </c>
      <c r="FC3">
        <v>0</v>
      </c>
      <c r="FD3">
        <v>0</v>
      </c>
      <c r="FE3">
        <v>0</v>
      </c>
      <c r="FF3">
        <v>0</v>
      </c>
      <c r="FG3">
        <v>0</v>
      </c>
      <c r="FH3">
        <v>0</v>
      </c>
      <c r="FI3">
        <v>0</v>
      </c>
      <c r="FJ3">
        <v>0</v>
      </c>
      <c r="FK3">
        <v>0</v>
      </c>
      <c r="FL3">
        <v>0</v>
      </c>
      <c r="FM3">
        <v>0</v>
      </c>
      <c r="FN3">
        <v>0</v>
      </c>
      <c r="FO3">
        <v>0</v>
      </c>
      <c r="FP3">
        <v>0</v>
      </c>
      <c r="FQ3">
        <v>0</v>
      </c>
      <c r="FR3">
        <v>0</v>
      </c>
      <c r="FS3">
        <v>0</v>
      </c>
      <c r="FT3">
        <v>0</v>
      </c>
      <c r="FU3">
        <v>0</v>
      </c>
      <c r="FV3">
        <v>0</v>
      </c>
      <c r="FW3">
        <v>0</v>
      </c>
      <c r="FX3">
        <v>0</v>
      </c>
      <c r="FY3">
        <v>0</v>
      </c>
      <c r="FZ3">
        <v>0</v>
      </c>
      <c r="GA3">
        <v>0</v>
      </c>
      <c r="GB3">
        <v>-31.039968659639399</v>
      </c>
      <c r="GC3">
        <v>504.86294167937302</v>
      </c>
      <c r="GD3">
        <v>246.866057985048</v>
      </c>
      <c r="GE3">
        <v>-20.6344270748932</v>
      </c>
      <c r="GF3">
        <v>328.61623524356497</v>
      </c>
      <c r="GG3">
        <v>159.62813104950001</v>
      </c>
      <c r="GH3">
        <v>-30.2656976663792</v>
      </c>
      <c r="GI3">
        <v>503.88164288888402</v>
      </c>
      <c r="GJ3">
        <v>256.75210448264897</v>
      </c>
      <c r="GK3">
        <v>-20.4466672289633</v>
      </c>
      <c r="GL3">
        <v>333.74399895627801</v>
      </c>
      <c r="GM3">
        <v>162.90332221456501</v>
      </c>
      <c r="GN3">
        <v>-72.924408163479498</v>
      </c>
      <c r="GO3">
        <v>15.363056295281099</v>
      </c>
      <c r="GP3">
        <v>14.808098166041701</v>
      </c>
      <c r="GQ3">
        <v>-1.879394421857</v>
      </c>
      <c r="GR3">
        <v>103.268635019317</v>
      </c>
      <c r="GS3">
        <v>902.06603138861601</v>
      </c>
      <c r="GT3">
        <v>-48.837586791401399</v>
      </c>
      <c r="GU3">
        <v>15.2959190600378</v>
      </c>
      <c r="GV3">
        <v>14.740739350206701</v>
      </c>
      <c r="GW3">
        <v>-0.89254557622790998</v>
      </c>
      <c r="GX3">
        <v>67.906008597189299</v>
      </c>
      <c r="GY3">
        <v>585.093360776243</v>
      </c>
      <c r="GZ3">
        <v>-74.181621005568303</v>
      </c>
      <c r="HA3">
        <v>15.554603993956199</v>
      </c>
      <c r="HB3">
        <v>14.992440529354701</v>
      </c>
      <c r="HC3">
        <v>-1.64381747066769</v>
      </c>
      <c r="HD3">
        <v>106.302439265423</v>
      </c>
      <c r="HE3">
        <v>928.70193882567605</v>
      </c>
      <c r="HF3">
        <v>-48.078383079934397</v>
      </c>
      <c r="HG3">
        <v>15.303607778009299</v>
      </c>
      <c r="HH3">
        <v>14.737872927632299</v>
      </c>
      <c r="HI3">
        <v>-1.3853329678381501</v>
      </c>
      <c r="HJ3">
        <v>67.823167628319098</v>
      </c>
      <c r="HK3">
        <v>589.02434048015596</v>
      </c>
      <c r="HL3">
        <v>-28.711980511694399</v>
      </c>
      <c r="HM3">
        <v>15.2071571284505</v>
      </c>
      <c r="HN3">
        <v>15.9739597604694</v>
      </c>
      <c r="HO3">
        <v>283.81145463259998</v>
      </c>
      <c r="HP3">
        <v>511.40437938460099</v>
      </c>
      <c r="HQ3">
        <v>15.145417067101601</v>
      </c>
      <c r="HR3">
        <v>287.67439983149001</v>
      </c>
      <c r="HS3">
        <v>-17.957544340999799</v>
      </c>
      <c r="HT3">
        <v>15.1473550132963</v>
      </c>
      <c r="HU3">
        <v>15.960191273612599</v>
      </c>
      <c r="HV3">
        <v>176.70095330740199</v>
      </c>
      <c r="HW3">
        <v>331.28642917156401</v>
      </c>
      <c r="HX3">
        <v>15.0555210911484</v>
      </c>
      <c r="HY3">
        <v>185.90362284901201</v>
      </c>
      <c r="HZ3">
        <v>15.039542101072399</v>
      </c>
      <c r="IA3">
        <v>15.9130326504516</v>
      </c>
      <c r="IB3">
        <v>288.753610621451</v>
      </c>
      <c r="IC3">
        <v>-27.211635563135498</v>
      </c>
      <c r="ID3">
        <v>543.20217398764805</v>
      </c>
      <c r="IE3">
        <v>14.9001986257616</v>
      </c>
      <c r="IF3">
        <v>272.74352180556201</v>
      </c>
      <c r="IG3">
        <v>23.292584449622701</v>
      </c>
      <c r="IH3">
        <v>15.1523356950128</v>
      </c>
      <c r="II3">
        <v>15.962501667513401</v>
      </c>
      <c r="IJ3">
        <v>179.40435050442699</v>
      </c>
      <c r="IK3">
        <v>21.537122075379699</v>
      </c>
      <c r="IL3">
        <v>-16.6821233391248</v>
      </c>
      <c r="IM3">
        <v>339.22389788870203</v>
      </c>
      <c r="IN3">
        <v>15.0714335360602</v>
      </c>
      <c r="IO3">
        <v>0.98785709033577196</v>
      </c>
      <c r="IP3">
        <v>190.76519134127301</v>
      </c>
      <c r="IQ3">
        <v>-99.113655819349503</v>
      </c>
      <c r="IR3">
        <v>-60.678914364938201</v>
      </c>
      <c r="IS3">
        <v>-110.646740744563</v>
      </c>
      <c r="IT3">
        <v>-60.417076733972799</v>
      </c>
      <c r="IU3">
        <v>-11.3596647742885</v>
      </c>
      <c r="IV3">
        <v>-71.644457184366303</v>
      </c>
      <c r="IW3">
        <v>15.8315060550008</v>
      </c>
      <c r="IX3">
        <v>15.145417067101601</v>
      </c>
      <c r="IY3">
        <v>-6.8998974829308697</v>
      </c>
      <c r="IZ3">
        <v>120.181999083713</v>
      </c>
      <c r="JA3">
        <v>1072.1538269488501</v>
      </c>
      <c r="JB3">
        <v>-47.956201319330802</v>
      </c>
      <c r="JC3">
        <v>15.7529381533154</v>
      </c>
      <c r="JD3">
        <v>15.0555210911484</v>
      </c>
      <c r="JE3">
        <v>-4.4480521731946396</v>
      </c>
      <c r="JF3">
        <v>79.859838562866599</v>
      </c>
      <c r="JG3">
        <v>704.10338906950699</v>
      </c>
      <c r="JH3">
        <v>-71.390673852010295</v>
      </c>
      <c r="JI3">
        <v>15.471290489000999</v>
      </c>
      <c r="JJ3">
        <v>14.9001986257616</v>
      </c>
      <c r="JK3">
        <v>-2.4802071572778801</v>
      </c>
      <c r="JL3">
        <v>108.20401784713501</v>
      </c>
      <c r="JM3">
        <v>924.23867779511704</v>
      </c>
      <c r="JN3">
        <v>-47.192329212197102</v>
      </c>
      <c r="JO3">
        <v>15.7776885231383</v>
      </c>
      <c r="JP3">
        <v>15.0714335360602</v>
      </c>
      <c r="JQ3">
        <v>0.30363383470410699</v>
      </c>
      <c r="JR3">
        <v>-4.9179910607122101</v>
      </c>
      <c r="JS3">
        <v>0.71978648099973996</v>
      </c>
      <c r="JT3">
        <v>79.849222096443199</v>
      </c>
      <c r="JU3">
        <v>707.76812474280496</v>
      </c>
      <c r="JV3">
        <v>-29.802701200311901</v>
      </c>
      <c r="JW3">
        <v>663.97067189691404</v>
      </c>
      <c r="JX3">
        <v>-43.082840115026698</v>
      </c>
      <c r="JY3">
        <v>-19.680487735646299</v>
      </c>
      <c r="JZ3">
        <v>422.89189825547402</v>
      </c>
      <c r="KA3">
        <v>-27.160575571403001</v>
      </c>
      <c r="KB3">
        <v>-27.9002761954285</v>
      </c>
      <c r="KC3">
        <v>639.85083335167997</v>
      </c>
      <c r="KD3">
        <v>-38.306317935235597</v>
      </c>
      <c r="KE3">
        <v>-19.4151743336921</v>
      </c>
      <c r="KF3">
        <v>9.4308850164709099</v>
      </c>
      <c r="KG3">
        <v>-142.93294392371399</v>
      </c>
      <c r="KH3">
        <v>1.9938527267917201</v>
      </c>
      <c r="KI3">
        <v>431.49838868075898</v>
      </c>
      <c r="KJ3">
        <v>-25.724708700097001</v>
      </c>
      <c r="KK3">
        <v>-33.5445102906735</v>
      </c>
      <c r="KL3">
        <v>9.6671889045018506</v>
      </c>
      <c r="KM3">
        <v>11.167440499252301</v>
      </c>
      <c r="KN3">
        <v>347.28690213014801</v>
      </c>
      <c r="KO3">
        <v>8.3365826336798996</v>
      </c>
      <c r="KP3">
        <v>-10.726748188432101</v>
      </c>
      <c r="KQ3">
        <v>-65.989986079888794</v>
      </c>
      <c r="KR3">
        <v>-1143.40243317819</v>
      </c>
      <c r="KS3">
        <v>-23.080315157892599</v>
      </c>
      <c r="KT3">
        <v>9.5923391540060692</v>
      </c>
      <c r="KU3">
        <v>11.0995632428533</v>
      </c>
      <c r="KV3">
        <v>221.78253513199201</v>
      </c>
      <c r="KW3">
        <v>8.2567488705812</v>
      </c>
      <c r="KX3">
        <v>-10.6445891589285</v>
      </c>
      <c r="KY3">
        <v>-42.033895965910297</v>
      </c>
      <c r="KZ3">
        <v>-719.21260054867605</v>
      </c>
      <c r="LA3">
        <v>-34.879018201039699</v>
      </c>
      <c r="LB3">
        <v>9.4756677957918907</v>
      </c>
      <c r="LC3">
        <v>10.9527430781473</v>
      </c>
      <c r="LD3">
        <v>341.296541417073</v>
      </c>
      <c r="LE3">
        <v>8.1586655195188094</v>
      </c>
      <c r="LF3">
        <v>-10.7332340658741</v>
      </c>
      <c r="LG3">
        <v>-65.947362335455495</v>
      </c>
      <c r="LH3">
        <v>-1134.51411174444</v>
      </c>
      <c r="LI3">
        <v>-22.079900776416199</v>
      </c>
      <c r="LJ3">
        <v>9.6324703006214296</v>
      </c>
      <c r="LK3">
        <v>11.122945490485501</v>
      </c>
      <c r="LL3">
        <v>220.23099541335</v>
      </c>
      <c r="LM3">
        <v>8.3143390449575296</v>
      </c>
      <c r="LN3">
        <v>-10.3059226087698</v>
      </c>
      <c r="LO3">
        <v>-39.772966584273199</v>
      </c>
      <c r="LP3">
        <v>-708.07113409329804</v>
      </c>
      <c r="LQ3">
        <v>-47.009129495775397</v>
      </c>
      <c r="LR3">
        <v>16.6802357700399</v>
      </c>
      <c r="LS3">
        <v>16.481000000000002</v>
      </c>
      <c r="LT3">
        <v>166.55955384500101</v>
      </c>
      <c r="LU3">
        <v>952.56970657699196</v>
      </c>
      <c r="LV3">
        <v>15.9261115671749</v>
      </c>
      <c r="LW3">
        <v>14.8380816248802</v>
      </c>
      <c r="LX3">
        <v>-116.202010225499</v>
      </c>
      <c r="LY3">
        <v>-31.706775229012401</v>
      </c>
      <c r="LZ3">
        <v>16.6639140164962</v>
      </c>
      <c r="MA3">
        <v>16.481000000000002</v>
      </c>
      <c r="MB3">
        <v>109.271717268015</v>
      </c>
      <c r="MC3">
        <v>622.62903489604503</v>
      </c>
      <c r="MD3">
        <v>15.889346328118201</v>
      </c>
      <c r="ME3">
        <v>14.777889470980799</v>
      </c>
      <c r="MF3">
        <v>-75.166693559923104</v>
      </c>
      <c r="MG3">
        <v>-47.651144546500298</v>
      </c>
      <c r="MH3">
        <v>16.653114513842901</v>
      </c>
      <c r="MI3">
        <v>16.481000000000002</v>
      </c>
      <c r="MJ3">
        <v>151.04070326483699</v>
      </c>
      <c r="MK3">
        <v>862.30548663466504</v>
      </c>
      <c r="ML3">
        <v>15.9785493710165</v>
      </c>
      <c r="MM3">
        <v>14.981294636265201</v>
      </c>
      <c r="MN3">
        <v>-101.889907009174</v>
      </c>
      <c r="MO3">
        <v>-31.207647871131702</v>
      </c>
      <c r="MP3">
        <v>16.6702796599841</v>
      </c>
      <c r="MQ3">
        <v>16.481000000000002</v>
      </c>
      <c r="MR3">
        <v>109.585655782578</v>
      </c>
      <c r="MS3">
        <v>625.21364657763604</v>
      </c>
      <c r="MT3">
        <v>15.8910001079279</v>
      </c>
      <c r="MU3">
        <v>14.7705601009551</v>
      </c>
      <c r="MV3">
        <v>-75.974734004556595</v>
      </c>
      <c r="MW3">
        <v>-44.049658578381496</v>
      </c>
      <c r="MX3">
        <v>16.383872796439999</v>
      </c>
      <c r="MY3">
        <v>16.0947076967289</v>
      </c>
      <c r="MZ3">
        <v>110.090187327226</v>
      </c>
      <c r="NA3">
        <v>634.23229124262105</v>
      </c>
      <c r="NB3">
        <v>15.9051689921227</v>
      </c>
      <c r="NC3">
        <v>15.028709811499301</v>
      </c>
      <c r="ND3">
        <v>-69.401514332811104</v>
      </c>
      <c r="NE3">
        <v>-29.705157337337901</v>
      </c>
      <c r="NF3">
        <v>16.3285168692714</v>
      </c>
      <c r="NG3">
        <v>16.040509110787401</v>
      </c>
      <c r="NH3">
        <v>72.584228400640399</v>
      </c>
      <c r="NI3">
        <v>415.45939365888103</v>
      </c>
      <c r="NJ3">
        <v>15.8352446881796</v>
      </c>
      <c r="NK3">
        <v>14.9397252645911</v>
      </c>
      <c r="NL3">
        <v>-44.8726944110063</v>
      </c>
      <c r="NM3">
        <v>-44.981906599579098</v>
      </c>
      <c r="NN3">
        <v>16.488328071890098</v>
      </c>
      <c r="NO3">
        <v>16.300137718770401</v>
      </c>
      <c r="NP3">
        <v>128.87196930794801</v>
      </c>
      <c r="NQ3">
        <v>748.62945444825698</v>
      </c>
      <c r="NR3">
        <v>15.911801130757899</v>
      </c>
      <c r="NS3">
        <v>14.9034219070069</v>
      </c>
      <c r="NT3">
        <v>-87.298866986634295</v>
      </c>
      <c r="NU3">
        <v>-29.173583305829801</v>
      </c>
      <c r="NV3">
        <v>16.350037947991101</v>
      </c>
      <c r="NW3">
        <v>16.056923764326601</v>
      </c>
      <c r="NX3">
        <v>1.7</v>
      </c>
      <c r="NY3" s="35">
        <v>72.536933540673303</v>
      </c>
      <c r="NZ3" s="35">
        <v>416.25023807219401</v>
      </c>
      <c r="OA3" s="35">
        <v>15.8547602648121</v>
      </c>
      <c r="OB3">
        <v>14.9512184813875</v>
      </c>
      <c r="OC3">
        <v>1.7</v>
      </c>
      <c r="OD3">
        <v>-45.397535163249898</v>
      </c>
      <c r="OE3">
        <v>1.7</v>
      </c>
      <c r="OF3">
        <v>1.7</v>
      </c>
      <c r="OG3">
        <v>-41.487725446668399</v>
      </c>
      <c r="OH3">
        <v>16.395230087320801</v>
      </c>
      <c r="OI3">
        <v>16.7040646262808</v>
      </c>
      <c r="OJ3">
        <v>237.15552686607001</v>
      </c>
      <c r="OK3">
        <v>1455.5323778233501</v>
      </c>
      <c r="OL3">
        <v>15.18714856395</v>
      </c>
      <c r="OM3">
        <v>13.048157299319399</v>
      </c>
      <c r="ON3">
        <v>-215.81895634937499</v>
      </c>
      <c r="OO3">
        <v>-28.004553399335901</v>
      </c>
      <c r="OP3">
        <v>16.359575273781399</v>
      </c>
      <c r="OQ3">
        <v>16.653483648452401</v>
      </c>
      <c r="OR3">
        <v>153.63297171143</v>
      </c>
      <c r="OS3">
        <v>938.17655555833301</v>
      </c>
      <c r="OT3">
        <v>15.1348732526581</v>
      </c>
      <c r="OU3">
        <v>12.9748967177706</v>
      </c>
      <c r="OV3">
        <v>-137.99046921305401</v>
      </c>
      <c r="OW3">
        <v>-41.515977765591302</v>
      </c>
      <c r="OX3">
        <v>15.871376389486301</v>
      </c>
      <c r="OY3">
        <v>16.214536955432699</v>
      </c>
      <c r="OZ3">
        <v>222.06505310817499</v>
      </c>
      <c r="PA3">
        <v>1348.1294191540701</v>
      </c>
      <c r="PB3">
        <v>14.745403897136599</v>
      </c>
      <c r="PC3">
        <v>12.7510655678176</v>
      </c>
      <c r="PD3">
        <v>-200.12235558076901</v>
      </c>
      <c r="PE3">
        <v>-27.481490920231899</v>
      </c>
      <c r="PF3">
        <v>16.389997429100301</v>
      </c>
      <c r="PG3">
        <v>16.685291621725899</v>
      </c>
      <c r="PH3">
        <v>1.7</v>
      </c>
      <c r="PI3">
        <v>154.14268965516899</v>
      </c>
      <c r="PJ3">
        <v>942.60010973553597</v>
      </c>
      <c r="PK3">
        <v>15.1585675378386</v>
      </c>
      <c r="PL3">
        <v>12.985443450432101</v>
      </c>
      <c r="PM3">
        <v>1.7</v>
      </c>
      <c r="PN3">
        <v>-139.08277739979201</v>
      </c>
      <c r="PO3">
        <v>14.5982585179982</v>
      </c>
      <c r="PP3">
        <v>14.5053501471352</v>
      </c>
      <c r="PQ3">
        <v>14.725340744358499</v>
      </c>
      <c r="PR3">
        <v>14.4986753348997</v>
      </c>
      <c r="PS3">
        <v>16.9490023736141</v>
      </c>
      <c r="PT3">
        <v>14.858747441264001</v>
      </c>
      <c r="PU3">
        <v>14.738887508445901</v>
      </c>
      <c r="PV3">
        <v>14.633773698983401</v>
      </c>
      <c r="PW3">
        <v>14.7536179966063</v>
      </c>
      <c r="PX3">
        <v>16.6946396097904</v>
      </c>
      <c r="PY3">
        <v>12.2265944422399</v>
      </c>
      <c r="PZ3">
        <v>12.1451212411326</v>
      </c>
      <c r="QA3">
        <v>11.954762271370599</v>
      </c>
      <c r="QB3">
        <v>12.1576444843252</v>
      </c>
      <c r="QC3">
        <v>14.046755178886601</v>
      </c>
      <c r="QD3">
        <v>15.673768335478799</v>
      </c>
      <c r="QE3">
        <v>13.7540933483678</v>
      </c>
      <c r="QF3">
        <v>13.662288267884</v>
      </c>
      <c r="QG3">
        <v>13.895315726576699</v>
      </c>
      <c r="QH3">
        <v>13.6415173091713</v>
      </c>
      <c r="QI3">
        <v>16.9313486252736</v>
      </c>
      <c r="QJ3">
        <v>13.940419170134099</v>
      </c>
      <c r="QK3">
        <v>13.8249074543508</v>
      </c>
      <c r="QL3">
        <v>13.750886306411701</v>
      </c>
      <c r="QM3">
        <v>13.823727804884101</v>
      </c>
      <c r="QN3">
        <v>984.53672391717498</v>
      </c>
      <c r="QO3">
        <v>16.6881589502369</v>
      </c>
      <c r="QP3">
        <v>-38.6409939112365</v>
      </c>
      <c r="QQ3">
        <v>11.5124226351905</v>
      </c>
      <c r="QR3">
        <v>11.4334967709824</v>
      </c>
      <c r="QS3">
        <v>11.265080072199</v>
      </c>
      <c r="QT3">
        <v>11.4226271668316</v>
      </c>
      <c r="QU3">
        <v>14.0373959799036</v>
      </c>
      <c r="QV3">
        <v>15.6774139883029</v>
      </c>
      <c r="QW3">
        <v>809608.16945055895</v>
      </c>
      <c r="QX3">
        <v>0</v>
      </c>
      <c r="QY3">
        <v>541166.83529665601</v>
      </c>
      <c r="QZ3">
        <v>0</v>
      </c>
      <c r="RA3">
        <v>133813.32634908499</v>
      </c>
      <c r="RB3">
        <v>0</v>
      </c>
      <c r="RC3">
        <v>88652.642188446494</v>
      </c>
      <c r="RD3">
        <v>0</v>
      </c>
      <c r="RE3">
        <v>295609.98718197399</v>
      </c>
      <c r="RF3">
        <v>0</v>
      </c>
      <c r="RG3">
        <v>200714.80612989201</v>
      </c>
      <c r="RH3" s="35">
        <v>0</v>
      </c>
      <c r="RI3">
        <v>0</v>
      </c>
      <c r="RJ3" s="35">
        <v>0</v>
      </c>
      <c r="RK3">
        <v>12.909928178737401</v>
      </c>
      <c r="RL3">
        <v>8375.9138762872408</v>
      </c>
      <c r="RM3">
        <v>8375.9138762872408</v>
      </c>
      <c r="RN3">
        <v>21202.9254415172</v>
      </c>
      <c r="RO3" s="35">
        <v>0</v>
      </c>
      <c r="RP3">
        <v>0</v>
      </c>
      <c r="RQ3">
        <v>12.8192263886327</v>
      </c>
      <c r="RR3">
        <v>5412.7334301619803</v>
      </c>
      <c r="RS3">
        <v>5412.7334301619803</v>
      </c>
      <c r="RT3">
        <v>13564.0090248572</v>
      </c>
      <c r="RU3">
        <v>0</v>
      </c>
      <c r="RV3">
        <v>0</v>
      </c>
      <c r="RW3">
        <v>13.0652907087948</v>
      </c>
      <c r="RX3">
        <v>8138.9976381909901</v>
      </c>
      <c r="RY3">
        <v>8138.9976381909901</v>
      </c>
      <c r="RZ3">
        <v>20958.881279992002</v>
      </c>
      <c r="SA3">
        <v>0</v>
      </c>
      <c r="SB3">
        <v>0</v>
      </c>
      <c r="SC3">
        <v>12.784359283443001</v>
      </c>
      <c r="SD3">
        <v>5447.6651421182896</v>
      </c>
      <c r="SE3">
        <v>5447.6651421182896</v>
      </c>
      <c r="SF3">
        <v>13599.9267967586</v>
      </c>
      <c r="SG3">
        <v>0</v>
      </c>
      <c r="SH3">
        <v>0</v>
      </c>
      <c r="SI3">
        <v>16.9136948769331</v>
      </c>
      <c r="SJ3">
        <v>32638.6850907115</v>
      </c>
      <c r="SK3">
        <v>32638.6850907115</v>
      </c>
      <c r="SL3">
        <v>75830.878514487704</v>
      </c>
      <c r="SM3">
        <v>21.1111</v>
      </c>
      <c r="SN3">
        <v>26.666699999999999</v>
      </c>
      <c r="SO3">
        <v>0</v>
      </c>
      <c r="SP3">
        <v>0</v>
      </c>
      <c r="SQ3">
        <v>15.3772228557971</v>
      </c>
      <c r="SR3">
        <v>0</v>
      </c>
      <c r="SS3">
        <v>0</v>
      </c>
      <c r="ST3">
        <v>0</v>
      </c>
      <c r="SU3">
        <v>0</v>
      </c>
      <c r="SV3">
        <v>0</v>
      </c>
      <c r="SW3">
        <v>15.3037810698171</v>
      </c>
      <c r="SX3">
        <v>0</v>
      </c>
      <c r="SY3">
        <v>0</v>
      </c>
      <c r="SZ3">
        <v>0</v>
      </c>
      <c r="TA3">
        <v>0</v>
      </c>
      <c r="TB3">
        <v>0</v>
      </c>
      <c r="TC3">
        <v>15.5639490185978</v>
      </c>
      <c r="TD3">
        <v>0</v>
      </c>
      <c r="TE3">
        <v>0</v>
      </c>
      <c r="TF3">
        <v>0</v>
      </c>
      <c r="TG3">
        <v>0</v>
      </c>
      <c r="TH3">
        <v>0</v>
      </c>
      <c r="TI3">
        <v>15.3208269978796</v>
      </c>
      <c r="TJ3">
        <v>0</v>
      </c>
      <c r="TK3">
        <v>0</v>
      </c>
      <c r="TL3">
        <v>0</v>
      </c>
      <c r="TM3">
        <v>0</v>
      </c>
      <c r="TN3">
        <v>0</v>
      </c>
      <c r="TO3">
        <v>16.760293471996899</v>
      </c>
      <c r="TP3">
        <v>0</v>
      </c>
      <c r="TQ3">
        <v>0</v>
      </c>
      <c r="TR3">
        <v>0</v>
      </c>
      <c r="TS3">
        <v>0</v>
      </c>
      <c r="TT3">
        <v>0</v>
      </c>
      <c r="TU3">
        <v>13.022090899004199</v>
      </c>
      <c r="TV3">
        <v>8245.7731388408101</v>
      </c>
      <c r="TW3">
        <v>8245.7731388408101</v>
      </c>
      <c r="TX3">
        <v>21093.2104561505</v>
      </c>
      <c r="TY3">
        <v>0</v>
      </c>
      <c r="TZ3">
        <v>0</v>
      </c>
      <c r="UA3">
        <v>12.910927400255799</v>
      </c>
      <c r="UB3">
        <v>5351.1517755710202</v>
      </c>
      <c r="UC3">
        <v>5351.1517755710202</v>
      </c>
      <c r="UD3">
        <v>13516.8151125408</v>
      </c>
      <c r="UE3">
        <v>0</v>
      </c>
      <c r="UF3">
        <v>0</v>
      </c>
      <c r="UG3">
        <v>12.8679989138399</v>
      </c>
      <c r="UH3">
        <v>8482.3140343836894</v>
      </c>
      <c r="UI3">
        <v>8482.3140343836894</v>
      </c>
      <c r="UJ3">
        <v>21336.752489067101</v>
      </c>
      <c r="UK3">
        <v>0</v>
      </c>
      <c r="UL3">
        <v>0</v>
      </c>
      <c r="UM3">
        <v>12.893837613161899</v>
      </c>
      <c r="UN3">
        <v>5362.9614891617102</v>
      </c>
      <c r="UO3">
        <v>5362.9614891617102</v>
      </c>
      <c r="UP3">
        <v>13529.447900220701</v>
      </c>
      <c r="UQ3">
        <v>0</v>
      </c>
      <c r="UR3">
        <v>0</v>
      </c>
      <c r="US3">
        <v>16.681678290683401</v>
      </c>
      <c r="UT3">
        <v>34483.764233029397</v>
      </c>
      <c r="UU3">
        <v>34483.764233029397</v>
      </c>
      <c r="UV3">
        <v>77709.540976243297</v>
      </c>
      <c r="UW3">
        <v>21.1111</v>
      </c>
      <c r="UX3">
        <v>26.666699999999999</v>
      </c>
      <c r="UY3">
        <v>0</v>
      </c>
      <c r="UZ3">
        <v>0</v>
      </c>
      <c r="VA3">
        <v>15.8869395490378</v>
      </c>
      <c r="VB3">
        <v>0</v>
      </c>
      <c r="VC3">
        <v>0</v>
      </c>
      <c r="VD3">
        <v>0</v>
      </c>
      <c r="VE3">
        <v>0</v>
      </c>
      <c r="VF3">
        <v>0</v>
      </c>
      <c r="VG3">
        <v>15.8086187770575</v>
      </c>
      <c r="VH3">
        <v>0</v>
      </c>
      <c r="VI3">
        <v>0</v>
      </c>
      <c r="VJ3">
        <v>0</v>
      </c>
      <c r="VK3">
        <v>0</v>
      </c>
      <c r="VL3">
        <v>0</v>
      </c>
      <c r="VM3">
        <v>15.4606871827466</v>
      </c>
      <c r="VN3">
        <v>0</v>
      </c>
      <c r="VO3">
        <v>0</v>
      </c>
      <c r="VP3">
        <v>0</v>
      </c>
      <c r="VQ3">
        <v>0</v>
      </c>
      <c r="VR3">
        <v>0</v>
      </c>
      <c r="VS3">
        <v>15.8400581211645</v>
      </c>
      <c r="VT3">
        <v>0</v>
      </c>
      <c r="VU3">
        <v>0</v>
      </c>
      <c r="VV3">
        <v>0</v>
      </c>
      <c r="VW3">
        <v>0</v>
      </c>
      <c r="VX3">
        <v>0</v>
      </c>
      <c r="VY3">
        <v>16.549519703145901</v>
      </c>
      <c r="VZ3">
        <v>0</v>
      </c>
      <c r="WA3">
        <v>0</v>
      </c>
      <c r="WB3">
        <v>0</v>
      </c>
      <c r="WC3">
        <v>0</v>
      </c>
      <c r="WD3">
        <v>0</v>
      </c>
      <c r="WE3">
        <v>10.7982508281411</v>
      </c>
      <c r="WF3">
        <v>11796.989183355399</v>
      </c>
      <c r="WG3">
        <v>11796.989183355399</v>
      </c>
      <c r="WH3">
        <v>24752.7755612937</v>
      </c>
      <c r="WI3">
        <v>0</v>
      </c>
      <c r="WJ3">
        <v>0</v>
      </c>
      <c r="WK3">
        <v>0</v>
      </c>
      <c r="WL3">
        <v>10.721872300832199</v>
      </c>
      <c r="WM3">
        <v>7577.7182921349304</v>
      </c>
      <c r="WN3">
        <v>7577.7182921349304</v>
      </c>
      <c r="WO3">
        <v>15811.8319077583</v>
      </c>
      <c r="WP3">
        <v>18.333300000000001</v>
      </c>
      <c r="WQ3">
        <v>26.666699999999999</v>
      </c>
      <c r="WR3">
        <v>0</v>
      </c>
      <c r="WS3">
        <v>0</v>
      </c>
      <c r="WT3">
        <v>10.5753978730275</v>
      </c>
      <c r="WU3">
        <v>12152.2076873971</v>
      </c>
      <c r="WV3">
        <v>12152.2076873971</v>
      </c>
      <c r="WW3">
        <v>25118.347538177899</v>
      </c>
      <c r="WX3">
        <v>0</v>
      </c>
      <c r="WY3">
        <v>0</v>
      </c>
      <c r="WZ3">
        <v>0</v>
      </c>
      <c r="XA3">
        <v>10.687609849337999</v>
      </c>
      <c r="XB3">
        <v>7613.0918203794499</v>
      </c>
      <c r="XC3">
        <v>7613.0918203794499</v>
      </c>
      <c r="XD3">
        <v>15848.1990744704</v>
      </c>
      <c r="XE3">
        <v>0</v>
      </c>
      <c r="XF3">
        <v>0</v>
      </c>
      <c r="XG3">
        <v>14.0280367809205</v>
      </c>
      <c r="XH3">
        <v>55739.278117375303</v>
      </c>
      <c r="XI3">
        <v>55739.278117375303</v>
      </c>
      <c r="XJ3">
        <v>99346.612393262098</v>
      </c>
      <c r="XK3">
        <v>21.1111</v>
      </c>
      <c r="XL3">
        <v>26.666699999999999</v>
      </c>
      <c r="XM3">
        <v>0</v>
      </c>
      <c r="XN3">
        <v>0</v>
      </c>
      <c r="XO3">
        <v>8.5897579106037298</v>
      </c>
      <c r="XP3">
        <v>0</v>
      </c>
      <c r="XQ3">
        <v>0</v>
      </c>
      <c r="XR3">
        <v>0</v>
      </c>
      <c r="XS3">
        <v>0</v>
      </c>
      <c r="XT3">
        <v>0</v>
      </c>
      <c r="XU3">
        <v>8.5098971903412206</v>
      </c>
      <c r="XV3">
        <v>0</v>
      </c>
      <c r="XW3">
        <v>0</v>
      </c>
      <c r="XX3">
        <v>0</v>
      </c>
      <c r="XY3">
        <v>0</v>
      </c>
      <c r="XZ3">
        <v>0</v>
      </c>
      <c r="YA3">
        <v>8.4133177163302708</v>
      </c>
      <c r="YB3">
        <v>0</v>
      </c>
      <c r="YC3">
        <v>0</v>
      </c>
      <c r="YD3">
        <v>0</v>
      </c>
      <c r="YE3">
        <v>0</v>
      </c>
      <c r="YF3">
        <v>0</v>
      </c>
      <c r="YG3">
        <v>8.5554469440390299</v>
      </c>
      <c r="YH3">
        <v>0</v>
      </c>
      <c r="YI3">
        <v>0</v>
      </c>
      <c r="YJ3">
        <v>0</v>
      </c>
      <c r="YK3">
        <v>0</v>
      </c>
      <c r="YL3">
        <v>0</v>
      </c>
      <c r="YM3">
        <v>11.2032762808548</v>
      </c>
      <c r="YN3">
        <v>0</v>
      </c>
      <c r="YO3">
        <v>0</v>
      </c>
      <c r="YP3">
        <v>0</v>
      </c>
      <c r="YQ3">
        <v>0</v>
      </c>
      <c r="YR3">
        <v>0</v>
      </c>
      <c r="YS3">
        <v>16.224996021813901</v>
      </c>
      <c r="YT3">
        <v>0</v>
      </c>
      <c r="YU3">
        <v>0</v>
      </c>
      <c r="YV3">
        <v>0</v>
      </c>
      <c r="YW3">
        <v>0</v>
      </c>
      <c r="YX3">
        <v>0</v>
      </c>
      <c r="YY3">
        <v>16.1935196500263</v>
      </c>
      <c r="YZ3">
        <v>0</v>
      </c>
      <c r="ZA3">
        <v>0</v>
      </c>
      <c r="ZB3">
        <v>0</v>
      </c>
      <c r="ZC3">
        <v>0</v>
      </c>
      <c r="ZD3">
        <v>0</v>
      </c>
      <c r="ZE3">
        <v>16.237091974367601</v>
      </c>
      <c r="ZF3">
        <v>0</v>
      </c>
      <c r="ZG3">
        <v>0</v>
      </c>
      <c r="ZH3">
        <v>0</v>
      </c>
      <c r="ZI3">
        <v>0</v>
      </c>
      <c r="ZJ3">
        <v>0</v>
      </c>
      <c r="ZK3">
        <v>16.1985125489906</v>
      </c>
      <c r="ZL3">
        <v>0</v>
      </c>
      <c r="ZM3">
        <v>0</v>
      </c>
      <c r="ZN3">
        <v>0</v>
      </c>
      <c r="ZO3">
        <v>0</v>
      </c>
      <c r="ZP3">
        <v>0</v>
      </c>
      <c r="ZQ3">
        <v>17.230191627682</v>
      </c>
      <c r="ZR3">
        <v>0</v>
      </c>
      <c r="ZS3">
        <v>0</v>
      </c>
      <c r="ZT3">
        <v>0</v>
      </c>
      <c r="ZU3">
        <v>0</v>
      </c>
      <c r="ZV3">
        <v>0</v>
      </c>
      <c r="ZW3">
        <v>16.049617278918401</v>
      </c>
      <c r="ZX3">
        <v>0</v>
      </c>
      <c r="ZY3">
        <v>0</v>
      </c>
      <c r="ZZ3">
        <v>0</v>
      </c>
      <c r="AAA3">
        <v>0</v>
      </c>
      <c r="AAB3">
        <v>0</v>
      </c>
      <c r="AAC3">
        <v>15.982118956431499</v>
      </c>
      <c r="AAD3">
        <v>0</v>
      </c>
      <c r="AAE3">
        <v>0</v>
      </c>
      <c r="AAF3">
        <v>0</v>
      </c>
      <c r="AAG3">
        <v>0</v>
      </c>
      <c r="AAH3">
        <v>0</v>
      </c>
      <c r="AAI3">
        <v>16.103401512010699</v>
      </c>
      <c r="AAJ3">
        <v>0</v>
      </c>
      <c r="AAK3">
        <v>0</v>
      </c>
      <c r="AAL3">
        <v>0</v>
      </c>
      <c r="AAM3">
        <v>0</v>
      </c>
      <c r="AAN3">
        <v>0</v>
      </c>
      <c r="AAO3">
        <v>16.0035145105998</v>
      </c>
      <c r="AAP3">
        <v>0</v>
      </c>
      <c r="AAQ3">
        <v>0</v>
      </c>
      <c r="AAR3">
        <v>0</v>
      </c>
      <c r="AAS3">
        <v>0</v>
      </c>
      <c r="AAT3">
        <v>0</v>
      </c>
      <c r="AAU3">
        <v>16.697854711331701</v>
      </c>
      <c r="AAV3">
        <v>0</v>
      </c>
      <c r="AAW3">
        <v>0</v>
      </c>
      <c r="AAX3">
        <v>0</v>
      </c>
      <c r="AAY3">
        <v>0</v>
      </c>
      <c r="AAZ3">
        <v>0</v>
      </c>
      <c r="ABA3">
        <v>15.6940170839431</v>
      </c>
      <c r="ABB3">
        <v>0</v>
      </c>
      <c r="ABC3">
        <v>0</v>
      </c>
      <c r="ABD3">
        <v>0</v>
      </c>
      <c r="ABE3">
        <v>0</v>
      </c>
      <c r="ABF3">
        <v>0</v>
      </c>
      <c r="ABG3">
        <v>15.6443841811941</v>
      </c>
      <c r="ABH3">
        <v>0</v>
      </c>
      <c r="ABI3">
        <v>0</v>
      </c>
      <c r="ABJ3">
        <v>0</v>
      </c>
      <c r="ABK3">
        <v>0</v>
      </c>
      <c r="ABL3">
        <v>0</v>
      </c>
      <c r="ABM3">
        <v>15.2156067096874</v>
      </c>
      <c r="ABN3">
        <v>0</v>
      </c>
      <c r="ABO3">
        <v>0</v>
      </c>
      <c r="ABP3">
        <v>0</v>
      </c>
      <c r="ABQ3">
        <v>0</v>
      </c>
      <c r="ABR3">
        <v>0</v>
      </c>
      <c r="ABS3">
        <v>15.6722928554929</v>
      </c>
      <c r="ABT3">
        <v>0</v>
      </c>
      <c r="ABU3">
        <v>0</v>
      </c>
      <c r="ABV3">
        <v>0</v>
      </c>
      <c r="ABW3">
        <v>0</v>
      </c>
      <c r="ABX3">
        <v>0</v>
      </c>
      <c r="ABY3">
        <v>15.6774139883029</v>
      </c>
      <c r="ABZ3">
        <v>0</v>
      </c>
      <c r="ACA3">
        <v>0</v>
      </c>
      <c r="ACB3">
        <v>0</v>
      </c>
      <c r="ACC3">
        <v>0</v>
      </c>
      <c r="ACD3">
        <v>0</v>
      </c>
      <c r="ACE3">
        <v>0</v>
      </c>
      <c r="ACF3">
        <v>12.2200000000641</v>
      </c>
      <c r="ACG3">
        <v>12.2200000000641</v>
      </c>
      <c r="ACH3">
        <v>0</v>
      </c>
      <c r="ACI3">
        <v>0</v>
      </c>
      <c r="ACJ3">
        <v>0</v>
      </c>
      <c r="ACK3">
        <v>20.973579277941599</v>
      </c>
      <c r="ACL3">
        <v>20.973579277941599</v>
      </c>
      <c r="ACM3">
        <v>0</v>
      </c>
      <c r="ACN3">
        <v>0</v>
      </c>
      <c r="ACP3">
        <v>0</v>
      </c>
      <c r="ACR3">
        <v>0</v>
      </c>
      <c r="ACT3">
        <v>16.913678556947101</v>
      </c>
      <c r="ACU3">
        <v>16.913678556947101</v>
      </c>
      <c r="ACV3">
        <v>0</v>
      </c>
      <c r="ACW3">
        <v>0</v>
      </c>
      <c r="ACX3">
        <v>1</v>
      </c>
      <c r="ACY3">
        <v>16.6816674646041</v>
      </c>
      <c r="ACZ3">
        <v>16.6816674646041</v>
      </c>
      <c r="ADA3">
        <v>0</v>
      </c>
      <c r="ADB3">
        <v>0</v>
      </c>
      <c r="ADC3">
        <v>1</v>
      </c>
      <c r="ADD3">
        <v>14.0280720377815</v>
      </c>
      <c r="ADE3">
        <v>14.0280720377815</v>
      </c>
      <c r="ADF3">
        <v>0</v>
      </c>
      <c r="ADG3">
        <v>0</v>
      </c>
      <c r="ADH3">
        <v>1</v>
      </c>
      <c r="ADI3">
        <v>13.5992221475839</v>
      </c>
      <c r="ADJ3">
        <v>13.5992221475839</v>
      </c>
      <c r="ADK3">
        <v>0</v>
      </c>
      <c r="ADL3">
        <v>0</v>
      </c>
      <c r="ADM3">
        <v>1</v>
      </c>
      <c r="ADN3">
        <v>13.5141222702636</v>
      </c>
      <c r="ADO3">
        <v>13.5141222702636</v>
      </c>
      <c r="ADP3">
        <v>0</v>
      </c>
      <c r="ADQ3">
        <v>0</v>
      </c>
      <c r="ADR3">
        <v>1</v>
      </c>
      <c r="ADS3">
        <v>13.737199952783399</v>
      </c>
      <c r="ADT3">
        <v>13.737199952783399</v>
      </c>
      <c r="ADU3">
        <v>0</v>
      </c>
      <c r="ADV3">
        <v>0</v>
      </c>
      <c r="ADW3">
        <v>1</v>
      </c>
      <c r="ADX3">
        <v>13.4932352310481</v>
      </c>
      <c r="ADY3">
        <v>13.4932352310481</v>
      </c>
      <c r="ADZ3">
        <v>0</v>
      </c>
      <c r="AEA3">
        <v>0</v>
      </c>
      <c r="AEB3">
        <v>1</v>
      </c>
      <c r="AEC3">
        <v>13.7712363342036</v>
      </c>
      <c r="AED3">
        <v>13.7712363342036</v>
      </c>
      <c r="AEE3">
        <v>0</v>
      </c>
      <c r="AEF3">
        <v>0</v>
      </c>
      <c r="AEG3">
        <v>1</v>
      </c>
      <c r="AEH3">
        <v>13.6617471881134</v>
      </c>
      <c r="AEI3">
        <v>13.6617471881134</v>
      </c>
      <c r="AEJ3">
        <v>0</v>
      </c>
      <c r="AEK3">
        <v>0</v>
      </c>
      <c r="AEL3">
        <v>1</v>
      </c>
      <c r="AEM3">
        <v>13.5798852241441</v>
      </c>
      <c r="AEN3">
        <v>13.5798852241441</v>
      </c>
      <c r="AEO3">
        <v>0</v>
      </c>
      <c r="AEP3">
        <v>0</v>
      </c>
      <c r="AEQ3">
        <v>1</v>
      </c>
      <c r="AER3">
        <v>13.6582396847173</v>
      </c>
      <c r="AES3">
        <v>13.6582396847173</v>
      </c>
      <c r="AET3">
        <v>0</v>
      </c>
      <c r="AEU3">
        <v>0</v>
      </c>
      <c r="AEV3">
        <v>1</v>
      </c>
      <c r="AEW3">
        <v>11.463863278706601</v>
      </c>
      <c r="AEX3">
        <v>11.463863278706601</v>
      </c>
      <c r="AEY3">
        <v>0</v>
      </c>
      <c r="AEZ3">
        <v>0</v>
      </c>
      <c r="AFA3">
        <v>1</v>
      </c>
      <c r="AFB3">
        <v>11.384770268555</v>
      </c>
      <c r="AFC3">
        <v>11.384770268555</v>
      </c>
      <c r="AFD3">
        <v>0</v>
      </c>
      <c r="AFE3">
        <v>0</v>
      </c>
      <c r="AFF3">
        <v>1</v>
      </c>
      <c r="AFG3">
        <v>11.2063453542929</v>
      </c>
      <c r="AFH3">
        <v>11.2063453542929</v>
      </c>
      <c r="AFI3">
        <v>0</v>
      </c>
      <c r="AFJ3">
        <v>0</v>
      </c>
      <c r="AFK3">
        <v>1</v>
      </c>
      <c r="AFL3">
        <v>11.3745788200691</v>
      </c>
      <c r="AFM3">
        <v>11.3745788200691</v>
      </c>
      <c r="AFN3">
        <v>0</v>
      </c>
      <c r="AFO3">
        <v>0</v>
      </c>
      <c r="AFP3">
        <v>1</v>
      </c>
      <c r="AFQ3">
        <v>-2.6356525940770501</v>
      </c>
      <c r="AFR3">
        <v>-2.6551686389423801</v>
      </c>
      <c r="AFS3">
        <v>-2.6701192873334501</v>
      </c>
      <c r="AFT3">
        <v>-2.66787873779111</v>
      </c>
      <c r="AFU3">
        <v>-2.6552739942439301</v>
      </c>
      <c r="AFV3">
        <v>-2.6252551508657702</v>
      </c>
      <c r="AFW3">
        <v>-2.6413343583707398</v>
      </c>
      <c r="AFX3">
        <v>-2.6418991270748799</v>
      </c>
      <c r="AFY3">
        <v>-2.9850208428383902</v>
      </c>
      <c r="AFZ3">
        <v>-2.95286342920783</v>
      </c>
      <c r="AGA3">
        <v>-2.96289838531714</v>
      </c>
      <c r="AGB3">
        <v>-2.9626581574325201</v>
      </c>
      <c r="AGC3">
        <v>-2.1819452001459698</v>
      </c>
      <c r="AGD3">
        <v>-2.2237629934006402</v>
      </c>
      <c r="AGE3">
        <v>-2.64499699350747</v>
      </c>
      <c r="AGF3">
        <v>0</v>
      </c>
      <c r="AGG3">
        <v>0</v>
      </c>
      <c r="AGH3">
        <v>0</v>
      </c>
      <c r="AGI3">
        <v>0</v>
      </c>
      <c r="AGJ3">
        <v>0</v>
      </c>
      <c r="AGK3">
        <v>0</v>
      </c>
      <c r="AGL3">
        <v>0</v>
      </c>
      <c r="AGM3">
        <v>0</v>
      </c>
      <c r="AGN3">
        <v>0</v>
      </c>
      <c r="AGO3">
        <v>0</v>
      </c>
      <c r="AGP3">
        <v>0</v>
      </c>
      <c r="AGQ3">
        <v>0</v>
      </c>
      <c r="AGR3">
        <v>0</v>
      </c>
      <c r="AGS3">
        <v>0</v>
      </c>
      <c r="AGT3">
        <v>0</v>
      </c>
      <c r="AGU3">
        <v>0</v>
      </c>
      <c r="AGV3">
        <v>0</v>
      </c>
      <c r="AGW3">
        <v>0</v>
      </c>
      <c r="AGX3">
        <v>0</v>
      </c>
      <c r="AGY3">
        <v>0</v>
      </c>
      <c r="AGZ3">
        <v>0</v>
      </c>
      <c r="AHA3">
        <v>0</v>
      </c>
      <c r="AHB3">
        <v>0</v>
      </c>
      <c r="AHC3">
        <v>0</v>
      </c>
      <c r="AHD3">
        <v>0</v>
      </c>
      <c r="AHE3">
        <v>0</v>
      </c>
      <c r="AHF3">
        <v>0</v>
      </c>
      <c r="AHG3">
        <v>0</v>
      </c>
      <c r="AHH3">
        <v>0</v>
      </c>
      <c r="AHI3">
        <v>0</v>
      </c>
      <c r="AHJ3">
        <v>0</v>
      </c>
      <c r="AHK3">
        <v>0</v>
      </c>
      <c r="AHL3">
        <v>0</v>
      </c>
      <c r="AHM3">
        <v>0</v>
      </c>
      <c r="AHN3">
        <v>0</v>
      </c>
      <c r="AHO3">
        <v>0</v>
      </c>
      <c r="AHP3">
        <v>0</v>
      </c>
      <c r="AHQ3">
        <v>0</v>
      </c>
      <c r="AHR3">
        <v>0</v>
      </c>
      <c r="AHS3">
        <v>0</v>
      </c>
      <c r="AHT3">
        <v>0</v>
      </c>
      <c r="AHU3">
        <v>0</v>
      </c>
      <c r="AHV3">
        <v>0</v>
      </c>
      <c r="AHW3">
        <v>0</v>
      </c>
      <c r="AHX3">
        <v>0</v>
      </c>
      <c r="AHZ3">
        <v>0</v>
      </c>
      <c r="AIB3">
        <v>0</v>
      </c>
      <c r="AID3">
        <v>0</v>
      </c>
      <c r="AIF3">
        <v>0</v>
      </c>
      <c r="AIH3">
        <v>0</v>
      </c>
      <c r="AIJ3">
        <v>0</v>
      </c>
      <c r="AIL3">
        <v>0</v>
      </c>
      <c r="AIN3">
        <v>0</v>
      </c>
      <c r="AIP3">
        <v>0</v>
      </c>
      <c r="AIR3">
        <v>0</v>
      </c>
      <c r="AIT3">
        <v>0</v>
      </c>
      <c r="AIV3">
        <v>0</v>
      </c>
      <c r="AIX3">
        <v>0</v>
      </c>
      <c r="AIZ3">
        <v>0</v>
      </c>
      <c r="AJB3">
        <v>0</v>
      </c>
      <c r="AJC3">
        <v>0</v>
      </c>
      <c r="AJE3">
        <v>0</v>
      </c>
      <c r="AJH3">
        <v>0</v>
      </c>
      <c r="AJJ3">
        <v>0</v>
      </c>
      <c r="AJK3">
        <v>0</v>
      </c>
      <c r="AJL3">
        <v>0</v>
      </c>
      <c r="AJM3">
        <v>0</v>
      </c>
      <c r="AJN3">
        <v>0</v>
      </c>
      <c r="AJO3">
        <v>0</v>
      </c>
      <c r="AJP3">
        <v>0</v>
      </c>
      <c r="AJQ3">
        <v>0</v>
      </c>
      <c r="AJR3">
        <v>0</v>
      </c>
      <c r="AJS3">
        <v>0</v>
      </c>
      <c r="AJT3">
        <v>0</v>
      </c>
      <c r="AJU3">
        <v>0</v>
      </c>
      <c r="AJV3">
        <v>0</v>
      </c>
      <c r="AJW3">
        <v>0</v>
      </c>
      <c r="AJX3">
        <v>0</v>
      </c>
      <c r="AJY3">
        <v>0</v>
      </c>
      <c r="AJZ3">
        <v>0</v>
      </c>
      <c r="AKA3">
        <v>0</v>
      </c>
      <c r="AKB3">
        <v>0</v>
      </c>
      <c r="AKC3">
        <v>0</v>
      </c>
      <c r="AKD3">
        <v>0</v>
      </c>
      <c r="AKE3">
        <v>78.881990920975895</v>
      </c>
      <c r="AKF3">
        <v>78.881990920975895</v>
      </c>
      <c r="AKG3">
        <v>0</v>
      </c>
      <c r="AKH3">
        <v>0</v>
      </c>
      <c r="AKI3">
        <v>0</v>
      </c>
      <c r="AKJ3">
        <v>0</v>
      </c>
      <c r="AKK3">
        <v>0</v>
      </c>
      <c r="AKL3">
        <v>78.881990920975895</v>
      </c>
      <c r="AKM3">
        <v>78.881990920975895</v>
      </c>
      <c r="AKN3">
        <v>0</v>
      </c>
      <c r="AKO3">
        <v>0</v>
      </c>
      <c r="AKP3">
        <v>0</v>
      </c>
      <c r="AKT3">
        <v>0</v>
      </c>
      <c r="AKX3">
        <v>0</v>
      </c>
      <c r="ALB3">
        <v>20.973579277941599</v>
      </c>
      <c r="ALC3">
        <v>20.973579277941599</v>
      </c>
      <c r="ALD3">
        <v>0</v>
      </c>
      <c r="ALE3">
        <v>0</v>
      </c>
      <c r="ALF3">
        <v>0</v>
      </c>
      <c r="ALH3">
        <v>16.7621998756896</v>
      </c>
      <c r="ALI3">
        <v>2.8568269606532499E-3</v>
      </c>
      <c r="ALJ3">
        <v>0</v>
      </c>
      <c r="ALK3">
        <v>16.7621998756896</v>
      </c>
      <c r="ALL3">
        <v>0</v>
      </c>
      <c r="ALM3">
        <v>0</v>
      </c>
      <c r="ALN3">
        <v>16.7621998756896</v>
      </c>
      <c r="ALO3">
        <v>2.8568269606532499E-3</v>
      </c>
      <c r="ALP3">
        <v>24.254284109005798</v>
      </c>
      <c r="ALQ3">
        <v>0</v>
      </c>
      <c r="ALR3">
        <v>16.7621998756896</v>
      </c>
      <c r="ALS3">
        <v>0</v>
      </c>
      <c r="ALT3">
        <v>16.7621998756896</v>
      </c>
      <c r="ALU3">
        <v>0</v>
      </c>
      <c r="ALV3">
        <v>12.2200000000641</v>
      </c>
      <c r="ALW3">
        <v>9.9999999999999897E-12</v>
      </c>
      <c r="ALX3">
        <v>12.2200000000641</v>
      </c>
      <c r="ALY3">
        <v>9.9999999999999897E-12</v>
      </c>
      <c r="ALZ3">
        <v>0</v>
      </c>
      <c r="AMA3">
        <v>12.2200000000641</v>
      </c>
      <c r="AMB3">
        <v>0</v>
      </c>
      <c r="AMC3">
        <v>12.2200000000641</v>
      </c>
      <c r="AMD3">
        <v>0</v>
      </c>
      <c r="AME3">
        <v>12.2200000000641</v>
      </c>
      <c r="AMF3">
        <v>0</v>
      </c>
      <c r="AMG3">
        <v>0</v>
      </c>
      <c r="AMH3">
        <v>0</v>
      </c>
      <c r="AMI3">
        <v>16.210063657808199</v>
      </c>
      <c r="AMJ3">
        <v>0</v>
      </c>
      <c r="AMK3" s="580">
        <v>17.227476552289001</v>
      </c>
      <c r="AML3">
        <v>0</v>
      </c>
      <c r="AMM3">
        <v>16.205016430741502</v>
      </c>
      <c r="AMN3">
        <v>0</v>
      </c>
      <c r="AMO3">
        <v>16.236021963309099</v>
      </c>
      <c r="AMP3">
        <v>0</v>
      </c>
      <c r="AMQ3">
        <v>16.250289432845101</v>
      </c>
      <c r="AMR3">
        <v>0</v>
      </c>
      <c r="AMS3">
        <v>16.697605871693401</v>
      </c>
      <c r="AMT3">
        <v>0</v>
      </c>
      <c r="AMU3">
        <v>16.023692089267001</v>
      </c>
      <c r="AMV3">
        <v>0</v>
      </c>
      <c r="AMW3">
        <v>16.045411787516102</v>
      </c>
      <c r="AMX3">
        <v>0</v>
      </c>
      <c r="AMY3">
        <v>16.090262612770498</v>
      </c>
      <c r="AMZ3">
        <v>0</v>
      </c>
      <c r="ANA3">
        <v>16.1446269346953</v>
      </c>
      <c r="ANB3">
        <v>0</v>
      </c>
      <c r="ANC3">
        <v>15.6978767983359</v>
      </c>
      <c r="AND3">
        <v>0</v>
      </c>
      <c r="ANE3">
        <v>15.714378130610401</v>
      </c>
      <c r="ANF3">
        <v>0</v>
      </c>
      <c r="ANG3">
        <v>15.742659674070699</v>
      </c>
      <c r="ANH3">
        <v>0</v>
      </c>
      <c r="ANI3">
        <v>15.762737042373899</v>
      </c>
      <c r="ANJ3">
        <v>0</v>
      </c>
      <c r="ANK3">
        <v>15.279129590633501</v>
      </c>
      <c r="ANL3">
        <v>0</v>
      </c>
      <c r="ANM3">
        <v>0</v>
      </c>
      <c r="ANN3">
        <v>0</v>
      </c>
      <c r="ANO3">
        <v>0</v>
      </c>
      <c r="ANP3">
        <v>17.227476552289001</v>
      </c>
      <c r="ANQ3">
        <v>16.205016430741502</v>
      </c>
      <c r="ANR3">
        <v>16.210063657808199</v>
      </c>
      <c r="ANS3">
        <v>16.250289432845101</v>
      </c>
      <c r="ANT3">
        <v>16.236021963309099</v>
      </c>
      <c r="ANU3">
        <v>16.697605871693401</v>
      </c>
      <c r="ANV3">
        <v>16.023692089267001</v>
      </c>
      <c r="ANW3">
        <v>16.045411787516102</v>
      </c>
      <c r="ANX3">
        <v>16.1446269346953</v>
      </c>
      <c r="ANY3">
        <v>16.090262612770498</v>
      </c>
      <c r="ANZ3">
        <v>15.6978767983359</v>
      </c>
      <c r="AOA3">
        <v>15.714378130610401</v>
      </c>
      <c r="AOB3">
        <v>15.742659674070699</v>
      </c>
      <c r="AOC3">
        <v>15.279129590633501</v>
      </c>
      <c r="AOD3">
        <v>15.762737042373899</v>
      </c>
      <c r="AOE3">
        <v>16.7621998756896</v>
      </c>
      <c r="AOF3">
        <v>0</v>
      </c>
      <c r="AOG3">
        <v>16.764076924562801</v>
      </c>
      <c r="AOH3">
        <v>0</v>
      </c>
    </row>
    <row r="4" spans="1:1074">
      <c r="A4" t="s">
        <v>2574</v>
      </c>
      <c r="B4">
        <v>-3.33</v>
      </c>
      <c r="D4">
        <v>-3.33</v>
      </c>
      <c r="F4">
        <v>10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0</v>
      </c>
      <c r="DA4">
        <v>0</v>
      </c>
      <c r="DB4">
        <v>0</v>
      </c>
      <c r="DC4">
        <v>0</v>
      </c>
      <c r="DD4">
        <v>0</v>
      </c>
      <c r="DE4">
        <v>0</v>
      </c>
      <c r="DF4">
        <v>0</v>
      </c>
      <c r="DG4">
        <v>0</v>
      </c>
      <c r="DH4">
        <v>0</v>
      </c>
      <c r="DI4">
        <v>0</v>
      </c>
      <c r="DJ4">
        <v>0</v>
      </c>
      <c r="DK4">
        <v>0</v>
      </c>
      <c r="DL4">
        <v>0</v>
      </c>
      <c r="DM4">
        <v>0</v>
      </c>
      <c r="DN4">
        <v>0</v>
      </c>
      <c r="DO4">
        <v>0</v>
      </c>
      <c r="DP4">
        <v>0</v>
      </c>
      <c r="DQ4">
        <v>0</v>
      </c>
      <c r="DR4">
        <v>0</v>
      </c>
      <c r="DS4">
        <v>0</v>
      </c>
      <c r="DT4">
        <v>0</v>
      </c>
      <c r="DU4">
        <v>0</v>
      </c>
      <c r="DV4">
        <v>0</v>
      </c>
      <c r="DW4">
        <v>0</v>
      </c>
      <c r="DX4">
        <v>0</v>
      </c>
      <c r="DY4">
        <v>0</v>
      </c>
      <c r="DZ4">
        <v>0</v>
      </c>
      <c r="EA4">
        <v>0</v>
      </c>
      <c r="EB4">
        <v>0</v>
      </c>
      <c r="EC4">
        <v>0</v>
      </c>
      <c r="ED4">
        <v>0</v>
      </c>
      <c r="EE4">
        <v>0</v>
      </c>
      <c r="EF4">
        <v>0</v>
      </c>
      <c r="EG4">
        <v>0</v>
      </c>
      <c r="EH4">
        <v>0</v>
      </c>
      <c r="EI4">
        <v>0</v>
      </c>
      <c r="EJ4">
        <v>0</v>
      </c>
      <c r="EK4">
        <v>0</v>
      </c>
      <c r="EL4">
        <v>0</v>
      </c>
      <c r="EM4">
        <v>0</v>
      </c>
      <c r="EN4">
        <v>0</v>
      </c>
      <c r="EO4">
        <v>0</v>
      </c>
      <c r="EP4">
        <v>0</v>
      </c>
      <c r="EQ4">
        <v>0</v>
      </c>
      <c r="ER4">
        <v>0</v>
      </c>
      <c r="ES4">
        <v>0</v>
      </c>
      <c r="ET4">
        <v>0</v>
      </c>
      <c r="EU4">
        <v>0</v>
      </c>
      <c r="EV4">
        <v>0</v>
      </c>
      <c r="EW4">
        <v>0</v>
      </c>
      <c r="EX4">
        <v>0</v>
      </c>
      <c r="EY4">
        <v>0</v>
      </c>
      <c r="EZ4">
        <v>0</v>
      </c>
      <c r="FA4">
        <v>0</v>
      </c>
      <c r="FB4">
        <v>0</v>
      </c>
      <c r="FC4">
        <v>0</v>
      </c>
      <c r="FD4">
        <v>0</v>
      </c>
      <c r="FE4">
        <v>0</v>
      </c>
      <c r="FF4">
        <v>0</v>
      </c>
      <c r="FG4">
        <v>0</v>
      </c>
      <c r="FH4">
        <v>0</v>
      </c>
      <c r="FI4">
        <v>0</v>
      </c>
      <c r="FJ4">
        <v>0</v>
      </c>
      <c r="FK4">
        <v>0</v>
      </c>
      <c r="FL4">
        <v>0</v>
      </c>
      <c r="FM4">
        <v>0</v>
      </c>
      <c r="FN4">
        <v>0</v>
      </c>
      <c r="FO4">
        <v>0</v>
      </c>
      <c r="FP4">
        <v>0</v>
      </c>
      <c r="FQ4">
        <v>0</v>
      </c>
      <c r="FR4">
        <v>0</v>
      </c>
      <c r="FS4">
        <v>0</v>
      </c>
      <c r="FT4">
        <v>0</v>
      </c>
      <c r="FU4">
        <v>0</v>
      </c>
      <c r="FV4">
        <v>0</v>
      </c>
      <c r="FW4">
        <v>0</v>
      </c>
      <c r="FX4">
        <v>0</v>
      </c>
      <c r="FY4">
        <v>0</v>
      </c>
      <c r="FZ4">
        <v>0</v>
      </c>
      <c r="GA4">
        <v>0</v>
      </c>
      <c r="GB4">
        <v>-30.782372252154801</v>
      </c>
      <c r="GC4">
        <v>507.10654601383402</v>
      </c>
      <c r="GD4">
        <v>243.13541518498999</v>
      </c>
      <c r="GE4">
        <v>-20.507137974405001</v>
      </c>
      <c r="GF4">
        <v>330.17525151674499</v>
      </c>
      <c r="GG4">
        <v>157.270611651385</v>
      </c>
      <c r="GH4">
        <v>-29.9634947392491</v>
      </c>
      <c r="GI4">
        <v>507.01204485867203</v>
      </c>
      <c r="GJ4">
        <v>253.12136040410999</v>
      </c>
      <c r="GK4">
        <v>-20.360303794561101</v>
      </c>
      <c r="GL4">
        <v>335.28933495567901</v>
      </c>
      <c r="GM4">
        <v>160.514389996224</v>
      </c>
      <c r="GN4">
        <v>-72.568221051205796</v>
      </c>
      <c r="GO4">
        <v>15.251489263624499</v>
      </c>
      <c r="GP4">
        <v>14.714814920176901</v>
      </c>
      <c r="GQ4">
        <v>-1.21754890921119</v>
      </c>
      <c r="GR4">
        <v>100.62023224008701</v>
      </c>
      <c r="GS4">
        <v>874.763408856463</v>
      </c>
      <c r="GT4">
        <v>-48.586695291079899</v>
      </c>
      <c r="GU4">
        <v>15.1804600565181</v>
      </c>
      <c r="GV4">
        <v>14.643691774440899</v>
      </c>
      <c r="GW4">
        <v>-0.53701958706407504</v>
      </c>
      <c r="GX4">
        <v>66.247563011914494</v>
      </c>
      <c r="GY4">
        <v>567.79501635830297</v>
      </c>
      <c r="GZ4">
        <v>-73.847883933008205</v>
      </c>
      <c r="HA4">
        <v>15.4253653608303</v>
      </c>
      <c r="HB4">
        <v>14.881042198370601</v>
      </c>
      <c r="HC4">
        <v>-0.97574733622959497</v>
      </c>
      <c r="HD4">
        <v>103.65892872448499</v>
      </c>
      <c r="HE4">
        <v>901.02630879171102</v>
      </c>
      <c r="HF4">
        <v>-47.832644098574399</v>
      </c>
      <c r="HG4">
        <v>15.1877362347137</v>
      </c>
      <c r="HH4">
        <v>14.640590802756901</v>
      </c>
      <c r="HI4">
        <v>-0.95193939784079895</v>
      </c>
      <c r="HJ4">
        <v>66.114972407246498</v>
      </c>
      <c r="HK4">
        <v>571.56152644588497</v>
      </c>
      <c r="HL4">
        <v>-28.483409537113001</v>
      </c>
      <c r="HM4">
        <v>15.0825455791151</v>
      </c>
      <c r="HN4">
        <v>15.8977062323242</v>
      </c>
      <c r="HO4">
        <v>291.66728073605202</v>
      </c>
      <c r="HP4">
        <v>507.72745032992498</v>
      </c>
      <c r="HQ4">
        <v>14.9696556029247</v>
      </c>
      <c r="HR4">
        <v>282.61718335216199</v>
      </c>
      <c r="HS4">
        <v>-17.892859697408099</v>
      </c>
      <c r="HT4">
        <v>15.0209694441289</v>
      </c>
      <c r="HU4">
        <v>15.883115533184601</v>
      </c>
      <c r="HV4">
        <v>181.55777428181801</v>
      </c>
      <c r="HW4">
        <v>328.837150776123</v>
      </c>
      <c r="HX4">
        <v>14.876742394436199</v>
      </c>
      <c r="HY4">
        <v>182.61004818692899</v>
      </c>
      <c r="HZ4">
        <v>14.924942256228199</v>
      </c>
      <c r="IA4">
        <v>15.841624058349201</v>
      </c>
      <c r="IB4">
        <v>295.89577600607498</v>
      </c>
      <c r="IC4">
        <v>-27.0498049751438</v>
      </c>
      <c r="ID4">
        <v>538.15895908154005</v>
      </c>
      <c r="IE4">
        <v>14.7406278017767</v>
      </c>
      <c r="IF4">
        <v>268.58531290478101</v>
      </c>
      <c r="IG4">
        <v>23.259209852603501</v>
      </c>
      <c r="IH4">
        <v>15.0261126676107</v>
      </c>
      <c r="II4">
        <v>15.885462987567101</v>
      </c>
      <c r="IJ4">
        <v>184.90328918863301</v>
      </c>
      <c r="IK4">
        <v>21.6406223262934</v>
      </c>
      <c r="IL4">
        <v>-16.705487717313598</v>
      </c>
      <c r="IM4">
        <v>338.05429527291199</v>
      </c>
      <c r="IN4">
        <v>14.893676416297501</v>
      </c>
      <c r="IO4">
        <v>0.98597308612162504</v>
      </c>
      <c r="IP4">
        <v>188.222552953232</v>
      </c>
      <c r="IQ4">
        <v>-106.501769707099</v>
      </c>
      <c r="IR4">
        <v>-65.209022504724999</v>
      </c>
      <c r="IS4">
        <v>-117.284651687807</v>
      </c>
      <c r="IT4">
        <v>-64.904906432701395</v>
      </c>
      <c r="IU4">
        <v>-11.185091218031401</v>
      </c>
      <c r="IV4">
        <v>-71.036681602186505</v>
      </c>
      <c r="IW4">
        <v>15.634221136704401</v>
      </c>
      <c r="IX4">
        <v>14.9696556029247</v>
      </c>
      <c r="IY4">
        <v>-6.1362204831043003</v>
      </c>
      <c r="IZ4">
        <v>116.391973364359</v>
      </c>
      <c r="JA4">
        <v>1036.68442943934</v>
      </c>
      <c r="JB4">
        <v>-47.556501081155297</v>
      </c>
      <c r="JC4">
        <v>15.551748275013299</v>
      </c>
      <c r="JD4">
        <v>14.876742394436199</v>
      </c>
      <c r="JE4">
        <v>-3.9268587890808102</v>
      </c>
      <c r="JF4">
        <v>77.346202907414295</v>
      </c>
      <c r="JG4">
        <v>680.76622166027596</v>
      </c>
      <c r="JH4">
        <v>-70.884941677503903</v>
      </c>
      <c r="JI4">
        <v>15.2941421155834</v>
      </c>
      <c r="JJ4">
        <v>14.7406278017767</v>
      </c>
      <c r="JK4">
        <v>-2.3880207210708901</v>
      </c>
      <c r="JL4">
        <v>104.779724174195</v>
      </c>
      <c r="JM4">
        <v>893.87415023026699</v>
      </c>
      <c r="JN4">
        <v>-46.779331095691099</v>
      </c>
      <c r="JO4">
        <v>15.5767788238775</v>
      </c>
      <c r="JP4">
        <v>14.893676416297501</v>
      </c>
      <c r="JQ4">
        <v>0.28971258713360198</v>
      </c>
      <c r="JR4">
        <v>-4.3085954974291498</v>
      </c>
      <c r="JS4">
        <v>0.71417459653288295</v>
      </c>
      <c r="JT4">
        <v>77.332474135841693</v>
      </c>
      <c r="JU4">
        <v>683.80969410141904</v>
      </c>
      <c r="JV4">
        <v>-29.167899822678901</v>
      </c>
      <c r="JW4">
        <v>657.99230212387101</v>
      </c>
      <c r="JX4">
        <v>-42.603688151394799</v>
      </c>
      <c r="JY4">
        <v>-19.1835692480477</v>
      </c>
      <c r="JZ4">
        <v>417.55702556289299</v>
      </c>
      <c r="KA4">
        <v>-26.660213806556101</v>
      </c>
      <c r="KB4">
        <v>-26.993911377756898</v>
      </c>
      <c r="KC4">
        <v>634.88610540388004</v>
      </c>
      <c r="KD4">
        <v>-37.313719982270101</v>
      </c>
      <c r="KE4">
        <v>-19.218659623334499</v>
      </c>
      <c r="KF4">
        <v>9.2102250184663195</v>
      </c>
      <c r="KG4">
        <v>-140.48839016223801</v>
      </c>
      <c r="KH4">
        <v>1.98547373705491</v>
      </c>
      <c r="KI4">
        <v>425.98336427204703</v>
      </c>
      <c r="KJ4">
        <v>-25.507391095911998</v>
      </c>
      <c r="KK4">
        <v>-33.904385653235998</v>
      </c>
      <c r="KL4">
        <v>9.4314967214701895</v>
      </c>
      <c r="KM4">
        <v>10.920707324611501</v>
      </c>
      <c r="KN4">
        <v>344.61891781991699</v>
      </c>
      <c r="KO4">
        <v>8.1093273613244197</v>
      </c>
      <c r="KP4">
        <v>-10.735531007115901</v>
      </c>
      <c r="KQ4">
        <v>-65.376840880234099</v>
      </c>
      <c r="KR4">
        <v>-1135.1840236839801</v>
      </c>
      <c r="KS4">
        <v>-23.3437135375369</v>
      </c>
      <c r="KT4">
        <v>9.3523066796341308</v>
      </c>
      <c r="KU4">
        <v>10.849109660069301</v>
      </c>
      <c r="KV4">
        <v>220.08120293535899</v>
      </c>
      <c r="KW4">
        <v>8.0252790215477692</v>
      </c>
      <c r="KX4">
        <v>-10.653419740258901</v>
      </c>
      <c r="KY4">
        <v>-41.605396824555797</v>
      </c>
      <c r="KZ4">
        <v>-713.88214551152305</v>
      </c>
      <c r="LA4">
        <v>-35.296415076099798</v>
      </c>
      <c r="LB4">
        <v>9.2503366462826495</v>
      </c>
      <c r="LC4">
        <v>10.7185075697423</v>
      </c>
      <c r="LD4">
        <v>339.13074327782903</v>
      </c>
      <c r="LE4">
        <v>7.9407250923128103</v>
      </c>
      <c r="LF4">
        <v>-10.7416799954577</v>
      </c>
      <c r="LG4">
        <v>-65.308693496198501</v>
      </c>
      <c r="LH4">
        <v>-1126.8336802158401</v>
      </c>
      <c r="LI4">
        <v>-22.3147423856493</v>
      </c>
      <c r="LJ4">
        <v>9.3930201170243208</v>
      </c>
      <c r="LK4">
        <v>10.8728669300665</v>
      </c>
      <c r="LL4">
        <v>218.57021730502601</v>
      </c>
      <c r="LM4">
        <v>8.0834163137234007</v>
      </c>
      <c r="LN4">
        <v>-10.3143133260293</v>
      </c>
      <c r="LO4">
        <v>-39.346485236720603</v>
      </c>
      <c r="LP4">
        <v>-702.80980188804006</v>
      </c>
      <c r="LQ4">
        <v>-46.938203404584002</v>
      </c>
      <c r="LR4">
        <v>16.645359787319101</v>
      </c>
      <c r="LS4">
        <v>16.481000000000002</v>
      </c>
      <c r="LT4">
        <v>169.81402610059601</v>
      </c>
      <c r="LU4">
        <v>971.56910446899701</v>
      </c>
      <c r="LV4">
        <v>15.873453493035299</v>
      </c>
      <c r="LW4">
        <v>14.7641641799193</v>
      </c>
      <c r="LX4">
        <v>-119.614996676186</v>
      </c>
      <c r="LY4">
        <v>-31.6593547949143</v>
      </c>
      <c r="LZ4">
        <v>16.627858134495099</v>
      </c>
      <c r="MA4">
        <v>16.481000000000002</v>
      </c>
      <c r="MB4">
        <v>111.49219453716</v>
      </c>
      <c r="MC4">
        <v>635.53921569528598</v>
      </c>
      <c r="MD4">
        <v>15.8343095099185</v>
      </c>
      <c r="ME4">
        <v>14.7004626682479</v>
      </c>
      <c r="MF4">
        <v>-77.465916455149994</v>
      </c>
      <c r="MG4">
        <v>-47.591230441080903</v>
      </c>
      <c r="MH4">
        <v>16.613908360335799</v>
      </c>
      <c r="MI4">
        <v>16.481000000000002</v>
      </c>
      <c r="MJ4">
        <v>155.71515426523899</v>
      </c>
      <c r="MK4">
        <v>889.12181504631303</v>
      </c>
      <c r="ML4">
        <v>15.9147007860989</v>
      </c>
      <c r="MM4">
        <v>14.890508987674</v>
      </c>
      <c r="MN4">
        <v>-106.45522370437099</v>
      </c>
      <c r="MO4">
        <v>-31.159338504780301</v>
      </c>
      <c r="MP4">
        <v>16.634018972064901</v>
      </c>
      <c r="MQ4">
        <v>16.481000000000002</v>
      </c>
      <c r="MR4">
        <v>111.80738140925899</v>
      </c>
      <c r="MS4">
        <v>638.12371297532502</v>
      </c>
      <c r="MT4">
        <v>15.8357513631709</v>
      </c>
      <c r="MU4">
        <v>14.692957294807201</v>
      </c>
      <c r="MV4">
        <v>-78.274404093725494</v>
      </c>
      <c r="MW4">
        <v>-43.749899360184799</v>
      </c>
      <c r="MX4">
        <v>16.2237919102323</v>
      </c>
      <c r="MY4">
        <v>15.9612686399292</v>
      </c>
      <c r="MZ4">
        <v>110.487329462484</v>
      </c>
      <c r="NA4">
        <v>634.98810605939002</v>
      </c>
      <c r="NB4">
        <v>15.740985647358199</v>
      </c>
      <c r="NC4">
        <v>14.865068330066901</v>
      </c>
      <c r="ND4">
        <v>-70.542603690012697</v>
      </c>
      <c r="NE4">
        <v>-29.505142370545201</v>
      </c>
      <c r="NF4">
        <v>16.1646988751992</v>
      </c>
      <c r="NG4">
        <v>15.9030159983673</v>
      </c>
      <c r="NH4">
        <v>72.817433300071997</v>
      </c>
      <c r="NI4">
        <v>415.815985279264</v>
      </c>
      <c r="NJ4">
        <v>15.667476650628799</v>
      </c>
      <c r="NK4">
        <v>14.7731639650791</v>
      </c>
      <c r="NL4">
        <v>-45.580065464851998</v>
      </c>
      <c r="NM4">
        <v>-44.671333270052301</v>
      </c>
      <c r="NN4">
        <v>16.321929503691798</v>
      </c>
      <c r="NO4">
        <v>16.149487239774199</v>
      </c>
      <c r="NP4">
        <v>127.82678261833099</v>
      </c>
      <c r="NQ4">
        <v>740.64749288971097</v>
      </c>
      <c r="NR4">
        <v>15.748725717649901</v>
      </c>
      <c r="NS4">
        <v>14.7501967341785</v>
      </c>
      <c r="NT4">
        <v>-87.098024802731103</v>
      </c>
      <c r="NU4">
        <v>-28.967379876610799</v>
      </c>
      <c r="NV4" s="35">
        <v>16.1854312097479</v>
      </c>
      <c r="NW4">
        <v>15.9188914924764</v>
      </c>
      <c r="NX4">
        <v>1.7</v>
      </c>
      <c r="NY4">
        <v>72.808970354889794</v>
      </c>
      <c r="NZ4" s="35">
        <v>416.530528088604</v>
      </c>
      <c r="OA4" s="35">
        <v>15.6863735998627</v>
      </c>
      <c r="OB4">
        <v>14.7849911757716</v>
      </c>
      <c r="OC4">
        <v>1.7</v>
      </c>
      <c r="OD4">
        <v>-46.025566458214399</v>
      </c>
      <c r="OE4">
        <v>1.7</v>
      </c>
      <c r="OF4">
        <v>1.7</v>
      </c>
      <c r="OG4">
        <v>-41.016394391703102</v>
      </c>
      <c r="OH4">
        <v>16.129689200591201</v>
      </c>
      <c r="OI4">
        <v>16.4805768556419</v>
      </c>
      <c r="OJ4">
        <v>239.05427525744301</v>
      </c>
      <c r="OK4">
        <v>1458.6914389604301</v>
      </c>
      <c r="OL4">
        <v>14.913236512867</v>
      </c>
      <c r="OM4">
        <v>12.7898177618963</v>
      </c>
      <c r="ON4">
        <v>-217.05900593935201</v>
      </c>
      <c r="OO4">
        <v>-27.693349910087999</v>
      </c>
      <c r="OP4">
        <v>16.088347652730601</v>
      </c>
      <c r="OQ4">
        <v>16.424967605167101</v>
      </c>
      <c r="OR4">
        <v>154.75713299531299</v>
      </c>
      <c r="OS4">
        <v>939.82851244639801</v>
      </c>
      <c r="OT4">
        <v>14.8555309010531</v>
      </c>
      <c r="OU4">
        <v>12.713751879435801</v>
      </c>
      <c r="OV4">
        <v>-138.798570312664</v>
      </c>
      <c r="OW4">
        <v>-41.117732741267901</v>
      </c>
      <c r="OX4">
        <v>15.6279867873286</v>
      </c>
      <c r="OY4">
        <v>16.0148568362583</v>
      </c>
      <c r="OZ4">
        <v>224.533925032421</v>
      </c>
      <c r="PA4">
        <v>1356.0196958266699</v>
      </c>
      <c r="PB4">
        <v>14.4902573488935</v>
      </c>
      <c r="PC4">
        <v>12.507836331736501</v>
      </c>
      <c r="PD4">
        <v>-202.06179259440799</v>
      </c>
      <c r="PE4">
        <v>-27.1621503937934</v>
      </c>
      <c r="PF4">
        <v>16.117638791788</v>
      </c>
      <c r="PG4">
        <v>16.455995967904101</v>
      </c>
      <c r="PH4">
        <v>1.7</v>
      </c>
      <c r="PI4">
        <v>155.28508592010101</v>
      </c>
      <c r="PJ4">
        <v>944.09920837840002</v>
      </c>
      <c r="PK4">
        <v>14.878303755120101</v>
      </c>
      <c r="PL4">
        <v>12.723930648438399</v>
      </c>
      <c r="PM4">
        <v>1.7</v>
      </c>
      <c r="PN4">
        <v>-139.82273754856899</v>
      </c>
      <c r="PO4">
        <v>14.516329595322899</v>
      </c>
      <c r="PP4">
        <v>14.419393261258101</v>
      </c>
      <c r="PQ4">
        <v>14.6250117872163</v>
      </c>
      <c r="PR4">
        <v>14.4125630112935</v>
      </c>
      <c r="PS4">
        <v>16.940114414710301</v>
      </c>
      <c r="PT4">
        <v>14.695872285667299</v>
      </c>
      <c r="PU4">
        <v>14.573270948574599</v>
      </c>
      <c r="PV4">
        <v>14.484231822694399</v>
      </c>
      <c r="PW4">
        <v>14.5899890478175</v>
      </c>
      <c r="PX4">
        <v>16.660073664480102</v>
      </c>
      <c r="PY4">
        <v>11.9784795583261</v>
      </c>
      <c r="PZ4">
        <v>11.894592114224199</v>
      </c>
      <c r="QA4">
        <v>11.7204855961324</v>
      </c>
      <c r="QB4">
        <v>11.906627504553001</v>
      </c>
      <c r="QC4">
        <v>13.924028780099199</v>
      </c>
      <c r="QD4">
        <v>15.5911491373706</v>
      </c>
      <c r="QE4">
        <v>13.676061557920599</v>
      </c>
      <c r="QF4">
        <v>13.5804117566943</v>
      </c>
      <c r="QG4">
        <v>13.7994788011145</v>
      </c>
      <c r="QH4">
        <v>13.559533517933399</v>
      </c>
      <c r="QI4">
        <v>16.921499847584499</v>
      </c>
      <c r="QJ4">
        <v>13.7849063650715</v>
      </c>
      <c r="QK4">
        <v>13.6667722921093</v>
      </c>
      <c r="QL4">
        <v>13.607918996276</v>
      </c>
      <c r="QM4">
        <v>13.654994984906599</v>
      </c>
      <c r="QN4">
        <v>989.20951536131304</v>
      </c>
      <c r="QO4">
        <v>16.6521549423009</v>
      </c>
      <c r="QP4">
        <v>-41.182896102698997</v>
      </c>
      <c r="QQ4">
        <v>11.273546509909201</v>
      </c>
      <c r="QR4">
        <v>11.190985741887699</v>
      </c>
      <c r="QS4">
        <v>11.0399612740914</v>
      </c>
      <c r="QT4">
        <v>11.1829690111038</v>
      </c>
      <c r="QU4">
        <v>13.9137644216335</v>
      </c>
      <c r="QV4">
        <v>15.5957711857339</v>
      </c>
      <c r="QW4">
        <v>802802.56818242604</v>
      </c>
      <c r="QX4">
        <v>0</v>
      </c>
      <c r="QY4">
        <v>536155.37833962403</v>
      </c>
      <c r="QZ4">
        <v>0</v>
      </c>
      <c r="RA4">
        <v>132693.800195369</v>
      </c>
      <c r="RB4">
        <v>0</v>
      </c>
      <c r="RC4">
        <v>87901.427126904106</v>
      </c>
      <c r="RD4">
        <v>0</v>
      </c>
      <c r="RE4">
        <v>292751.15346293501</v>
      </c>
      <c r="RF4">
        <v>0</v>
      </c>
      <c r="RG4">
        <v>198530.21516040701</v>
      </c>
      <c r="RH4" s="35">
        <v>0</v>
      </c>
      <c r="RI4">
        <v>0</v>
      </c>
      <c r="RJ4" s="35">
        <v>0</v>
      </c>
      <c r="RK4">
        <v>12.835793520518401</v>
      </c>
      <c r="RL4">
        <v>8490.06851709291</v>
      </c>
      <c r="RM4">
        <v>8490.06851709291</v>
      </c>
      <c r="RN4">
        <v>21320.448064475899</v>
      </c>
      <c r="RO4" s="35">
        <v>0</v>
      </c>
      <c r="RP4">
        <v>0</v>
      </c>
      <c r="RQ4">
        <v>12.741430252130501</v>
      </c>
      <c r="RR4">
        <v>5488.8272490864701</v>
      </c>
      <c r="RS4">
        <v>5488.8272490864701</v>
      </c>
      <c r="RT4">
        <v>13642.349560017101</v>
      </c>
      <c r="RU4">
        <v>0</v>
      </c>
      <c r="RV4">
        <v>0</v>
      </c>
      <c r="RW4">
        <v>12.9739458150126</v>
      </c>
      <c r="RX4">
        <v>8278.7571594085493</v>
      </c>
      <c r="RY4">
        <v>8278.7571594085493</v>
      </c>
      <c r="RZ4">
        <v>21102.810503356199</v>
      </c>
      <c r="SA4">
        <v>0</v>
      </c>
      <c r="SB4">
        <v>0</v>
      </c>
      <c r="SC4">
        <v>12.706504024573199</v>
      </c>
      <c r="SD4">
        <v>5523.8204270024598</v>
      </c>
      <c r="SE4">
        <v>5523.8204270024598</v>
      </c>
      <c r="SF4">
        <v>13678.331183754501</v>
      </c>
      <c r="SG4">
        <v>0</v>
      </c>
      <c r="SH4">
        <v>0</v>
      </c>
      <c r="SI4">
        <v>16.902885280458701</v>
      </c>
      <c r="SJ4">
        <v>32724.835867876802</v>
      </c>
      <c r="SK4">
        <v>32724.835867876802</v>
      </c>
      <c r="SL4">
        <v>75918.565080914006</v>
      </c>
      <c r="SM4">
        <v>21.1111</v>
      </c>
      <c r="SN4">
        <v>26.666699999999999</v>
      </c>
      <c r="SO4">
        <v>0</v>
      </c>
      <c r="SP4">
        <v>0</v>
      </c>
      <c r="SQ4">
        <v>15.2577555794697</v>
      </c>
      <c r="SR4">
        <v>0</v>
      </c>
      <c r="SS4">
        <v>0</v>
      </c>
      <c r="ST4">
        <v>0</v>
      </c>
      <c r="SU4">
        <v>0</v>
      </c>
      <c r="SV4">
        <v>0</v>
      </c>
      <c r="SW4">
        <v>15.179963138734299</v>
      </c>
      <c r="SX4">
        <v>0</v>
      </c>
      <c r="SY4">
        <v>0</v>
      </c>
      <c r="SZ4">
        <v>0</v>
      </c>
      <c r="TA4">
        <v>0</v>
      </c>
      <c r="TB4">
        <v>0</v>
      </c>
      <c r="TC4">
        <v>15.4275120541823</v>
      </c>
      <c r="TD4">
        <v>0</v>
      </c>
      <c r="TE4">
        <v>0</v>
      </c>
      <c r="TF4">
        <v>0</v>
      </c>
      <c r="TG4">
        <v>0</v>
      </c>
      <c r="TH4">
        <v>0</v>
      </c>
      <c r="TI4">
        <v>15.1969061920434</v>
      </c>
      <c r="TJ4">
        <v>0</v>
      </c>
      <c r="TK4">
        <v>0</v>
      </c>
      <c r="TL4">
        <v>0</v>
      </c>
      <c r="TM4">
        <v>0</v>
      </c>
      <c r="TN4">
        <v>0</v>
      </c>
      <c r="TO4">
        <v>16.752072082797799</v>
      </c>
      <c r="TP4">
        <v>0</v>
      </c>
      <c r="TQ4">
        <v>0</v>
      </c>
      <c r="TR4">
        <v>0</v>
      </c>
      <c r="TS4">
        <v>0</v>
      </c>
      <c r="TT4">
        <v>0</v>
      </c>
      <c r="TU4">
        <v>12.8739404444757</v>
      </c>
      <c r="TV4">
        <v>8474.8129054486399</v>
      </c>
      <c r="TW4">
        <v>8474.8129054486399</v>
      </c>
      <c r="TX4">
        <v>21328.951745869999</v>
      </c>
      <c r="TY4">
        <v>0</v>
      </c>
      <c r="TZ4">
        <v>0</v>
      </c>
      <c r="UA4">
        <v>12.760273635644101</v>
      </c>
      <c r="UB4">
        <v>5499.2080660843803</v>
      </c>
      <c r="UC4">
        <v>5499.2080660843803</v>
      </c>
      <c r="UD4">
        <v>13669.202475214899</v>
      </c>
      <c r="UE4">
        <v>0</v>
      </c>
      <c r="UF4">
        <v>0</v>
      </c>
      <c r="UG4">
        <v>12.731606169857701</v>
      </c>
      <c r="UH4">
        <v>8693.8797470786303</v>
      </c>
      <c r="UI4">
        <v>8693.8797470786303</v>
      </c>
      <c r="UJ4">
        <v>21554.481386849999</v>
      </c>
      <c r="UK4">
        <v>0</v>
      </c>
      <c r="UL4">
        <v>0</v>
      </c>
      <c r="UM4">
        <v>12.720000921995601</v>
      </c>
      <c r="UN4">
        <v>5540.2724644774098</v>
      </c>
      <c r="UO4">
        <v>5540.2724644774098</v>
      </c>
      <c r="UP4">
        <v>13711.449640772</v>
      </c>
      <c r="UQ4">
        <v>0</v>
      </c>
      <c r="UR4">
        <v>0</v>
      </c>
      <c r="US4">
        <v>16.644236220121702</v>
      </c>
      <c r="UT4">
        <v>34781.655677240102</v>
      </c>
      <c r="UU4">
        <v>34781.655677240102</v>
      </c>
      <c r="UV4">
        <v>78012.934090475304</v>
      </c>
      <c r="UW4">
        <v>21.1111</v>
      </c>
      <c r="UX4">
        <v>26.666699999999999</v>
      </c>
      <c r="UY4">
        <v>0</v>
      </c>
      <c r="UZ4">
        <v>0</v>
      </c>
      <c r="VA4">
        <v>15.682607298118301</v>
      </c>
      <c r="VB4">
        <v>0</v>
      </c>
      <c r="VC4">
        <v>0</v>
      </c>
      <c r="VD4">
        <v>0</v>
      </c>
      <c r="VE4">
        <v>0</v>
      </c>
      <c r="VF4">
        <v>0</v>
      </c>
      <c r="VG4">
        <v>15.599887237963401</v>
      </c>
      <c r="VH4">
        <v>0</v>
      </c>
      <c r="VI4">
        <v>0</v>
      </c>
      <c r="VJ4">
        <v>0</v>
      </c>
      <c r="VK4">
        <v>0</v>
      </c>
      <c r="VL4">
        <v>0</v>
      </c>
      <c r="VM4">
        <v>15.2785848043311</v>
      </c>
      <c r="VN4">
        <v>0</v>
      </c>
      <c r="VO4">
        <v>0</v>
      </c>
      <c r="VP4">
        <v>0</v>
      </c>
      <c r="VQ4">
        <v>0</v>
      </c>
      <c r="VR4">
        <v>0</v>
      </c>
      <c r="VS4">
        <v>15.630944266974801</v>
      </c>
      <c r="VT4">
        <v>0</v>
      </c>
      <c r="VU4">
        <v>0</v>
      </c>
      <c r="VV4">
        <v>0</v>
      </c>
      <c r="VW4">
        <v>0</v>
      </c>
      <c r="VX4">
        <v>0</v>
      </c>
      <c r="VY4">
        <v>16.5021765148627</v>
      </c>
      <c r="VZ4">
        <v>0</v>
      </c>
      <c r="WA4">
        <v>0</v>
      </c>
      <c r="WB4">
        <v>0</v>
      </c>
      <c r="WC4">
        <v>0</v>
      </c>
      <c r="WD4">
        <v>0</v>
      </c>
      <c r="WE4">
        <v>10.5686134614922</v>
      </c>
      <c r="WF4">
        <v>12161.2418694313</v>
      </c>
      <c r="WG4">
        <v>12161.2418694313</v>
      </c>
      <c r="WH4">
        <v>25128.1378846392</v>
      </c>
      <c r="WI4">
        <v>0</v>
      </c>
      <c r="WJ4">
        <v>0</v>
      </c>
      <c r="WK4">
        <v>0</v>
      </c>
      <c r="WL4">
        <v>10.487379369551199</v>
      </c>
      <c r="WM4">
        <v>7807.8068324413298</v>
      </c>
      <c r="WN4">
        <v>7807.8068324413298</v>
      </c>
      <c r="WO4">
        <v>16048.667334695299</v>
      </c>
      <c r="WP4">
        <v>18.333300000000001</v>
      </c>
      <c r="WQ4">
        <v>26.666699999999999</v>
      </c>
      <c r="WR4">
        <v>0</v>
      </c>
      <c r="WS4">
        <v>0</v>
      </c>
      <c r="WT4">
        <v>10.3594369520504</v>
      </c>
      <c r="WU4">
        <v>12481.0817619442</v>
      </c>
      <c r="WV4">
        <v>12481.0817619442</v>
      </c>
      <c r="WW4">
        <v>25457.305925018802</v>
      </c>
      <c r="WX4">
        <v>0</v>
      </c>
      <c r="WY4">
        <v>0</v>
      </c>
      <c r="WZ4">
        <v>0</v>
      </c>
      <c r="XA4">
        <v>10.4593105176547</v>
      </c>
      <c r="XB4">
        <v>7841.2487626810398</v>
      </c>
      <c r="XC4">
        <v>7841.2487626810398</v>
      </c>
      <c r="XD4">
        <v>16083.208998382001</v>
      </c>
      <c r="XE4">
        <v>0</v>
      </c>
      <c r="XF4">
        <v>0</v>
      </c>
      <c r="XG4">
        <v>13.903500063167799</v>
      </c>
      <c r="XH4">
        <v>56733.741150434398</v>
      </c>
      <c r="XI4">
        <v>56733.741150434398</v>
      </c>
      <c r="XJ4">
        <v>100360.295140956</v>
      </c>
      <c r="XK4">
        <v>21.1111</v>
      </c>
      <c r="XL4">
        <v>26.666699999999999</v>
      </c>
      <c r="XM4">
        <v>0</v>
      </c>
      <c r="XN4">
        <v>0</v>
      </c>
      <c r="XO4">
        <v>8.3652411675740801</v>
      </c>
      <c r="XP4">
        <v>0</v>
      </c>
      <c r="XQ4">
        <v>0</v>
      </c>
      <c r="XR4">
        <v>0</v>
      </c>
      <c r="XS4">
        <v>0</v>
      </c>
      <c r="XT4">
        <v>0</v>
      </c>
      <c r="XU4">
        <v>8.2810468154879402</v>
      </c>
      <c r="XV4">
        <v>0</v>
      </c>
      <c r="XW4">
        <v>0</v>
      </c>
      <c r="XX4">
        <v>0</v>
      </c>
      <c r="XY4">
        <v>0</v>
      </c>
      <c r="XZ4">
        <v>0</v>
      </c>
      <c r="YA4">
        <v>8.1980654801147601</v>
      </c>
      <c r="YB4">
        <v>0</v>
      </c>
      <c r="YC4">
        <v>0</v>
      </c>
      <c r="YD4">
        <v>0</v>
      </c>
      <c r="YE4">
        <v>0</v>
      </c>
      <c r="YF4">
        <v>0</v>
      </c>
      <c r="YG4">
        <v>8.3272456480743209</v>
      </c>
      <c r="YH4">
        <v>0</v>
      </c>
      <c r="YI4">
        <v>0</v>
      </c>
      <c r="YJ4">
        <v>0</v>
      </c>
      <c r="YK4">
        <v>0</v>
      </c>
      <c r="YL4">
        <v>0</v>
      </c>
      <c r="YM4">
        <v>11.0725087441159</v>
      </c>
      <c r="YN4">
        <v>0</v>
      </c>
      <c r="YO4">
        <v>0</v>
      </c>
      <c r="YP4">
        <v>0</v>
      </c>
      <c r="YQ4">
        <v>0</v>
      </c>
      <c r="YR4">
        <v>0</v>
      </c>
      <c r="YS4">
        <v>16.181798566409</v>
      </c>
      <c r="YT4">
        <v>0</v>
      </c>
      <c r="YU4">
        <v>0</v>
      </c>
      <c r="YV4">
        <v>0</v>
      </c>
      <c r="YW4">
        <v>0</v>
      </c>
      <c r="YX4">
        <v>0</v>
      </c>
      <c r="YY4">
        <v>16.148533038094001</v>
      </c>
      <c r="YZ4">
        <v>0</v>
      </c>
      <c r="ZA4">
        <v>0</v>
      </c>
      <c r="ZB4">
        <v>0</v>
      </c>
      <c r="ZC4">
        <v>0</v>
      </c>
      <c r="ZD4">
        <v>0</v>
      </c>
      <c r="ZE4">
        <v>16.186140223826602</v>
      </c>
      <c r="ZF4">
        <v>0</v>
      </c>
      <c r="ZG4">
        <v>0</v>
      </c>
      <c r="ZH4">
        <v>0</v>
      </c>
      <c r="ZI4">
        <v>0</v>
      </c>
      <c r="ZJ4">
        <v>0</v>
      </c>
      <c r="ZK4">
        <v>16.153320512127902</v>
      </c>
      <c r="ZL4">
        <v>0</v>
      </c>
      <c r="ZM4">
        <v>0</v>
      </c>
      <c r="ZN4">
        <v>0</v>
      </c>
      <c r="ZO4">
        <v>0</v>
      </c>
      <c r="ZP4">
        <v>0</v>
      </c>
      <c r="ZQ4">
        <v>17.239116349286899</v>
      </c>
      <c r="ZR4">
        <v>0</v>
      </c>
      <c r="ZS4">
        <v>0</v>
      </c>
      <c r="ZT4">
        <v>0</v>
      </c>
      <c r="ZU4">
        <v>0</v>
      </c>
      <c r="ZV4">
        <v>0</v>
      </c>
      <c r="ZW4">
        <v>15.8894521495428</v>
      </c>
      <c r="ZX4">
        <v>0</v>
      </c>
      <c r="ZY4">
        <v>0</v>
      </c>
      <c r="ZZ4">
        <v>0</v>
      </c>
      <c r="AAA4">
        <v>0</v>
      </c>
      <c r="AAB4">
        <v>0</v>
      </c>
      <c r="AAC4">
        <v>15.818327230555401</v>
      </c>
      <c r="AAD4">
        <v>0</v>
      </c>
      <c r="AAE4">
        <v>0</v>
      </c>
      <c r="AAF4">
        <v>0</v>
      </c>
      <c r="AAG4">
        <v>0</v>
      </c>
      <c r="AAH4">
        <v>0</v>
      </c>
      <c r="AAI4">
        <v>15.9406703596771</v>
      </c>
      <c r="AAJ4">
        <v>0</v>
      </c>
      <c r="AAK4">
        <v>0</v>
      </c>
      <c r="AAL4">
        <v>0</v>
      </c>
      <c r="AAM4">
        <v>0</v>
      </c>
      <c r="AAN4">
        <v>0</v>
      </c>
      <c r="AAO4">
        <v>15.8389916303053</v>
      </c>
      <c r="AAP4">
        <v>0</v>
      </c>
      <c r="AAQ4">
        <v>0</v>
      </c>
      <c r="AAR4">
        <v>0</v>
      </c>
      <c r="AAS4">
        <v>0</v>
      </c>
      <c r="AAT4">
        <v>0</v>
      </c>
      <c r="AAU4">
        <v>16.695745498896599</v>
      </c>
      <c r="AAV4">
        <v>0</v>
      </c>
      <c r="AAW4">
        <v>0</v>
      </c>
      <c r="AAX4">
        <v>0</v>
      </c>
      <c r="AAY4">
        <v>0</v>
      </c>
      <c r="AAZ4">
        <v>0</v>
      </c>
      <c r="ABA4">
        <v>15.4261538656677</v>
      </c>
      <c r="ABB4">
        <v>0</v>
      </c>
      <c r="ABC4">
        <v>0</v>
      </c>
      <c r="ABD4">
        <v>0</v>
      </c>
      <c r="ABE4">
        <v>0</v>
      </c>
      <c r="ABF4">
        <v>0</v>
      </c>
      <c r="ABG4">
        <v>15.3711509206705</v>
      </c>
      <c r="ABH4">
        <v>0</v>
      </c>
      <c r="ABI4">
        <v>0</v>
      </c>
      <c r="ABJ4">
        <v>0</v>
      </c>
      <c r="ABK4">
        <v>0</v>
      </c>
      <c r="ABL4">
        <v>0</v>
      </c>
      <c r="ABM4">
        <v>14.968326544415101</v>
      </c>
      <c r="ABN4">
        <v>0</v>
      </c>
      <c r="ABO4">
        <v>0</v>
      </c>
      <c r="ABP4">
        <v>0</v>
      </c>
      <c r="ABQ4">
        <v>0</v>
      </c>
      <c r="ABR4">
        <v>0</v>
      </c>
      <c r="ABS4">
        <v>15.3979974233307</v>
      </c>
      <c r="ABT4">
        <v>0</v>
      </c>
      <c r="ABU4">
        <v>0</v>
      </c>
      <c r="ABV4">
        <v>0</v>
      </c>
      <c r="ABW4">
        <v>0</v>
      </c>
      <c r="ABX4">
        <v>0</v>
      </c>
      <c r="ABY4">
        <v>15.5957711857339</v>
      </c>
      <c r="ABZ4">
        <v>0</v>
      </c>
      <c r="ACA4">
        <v>0</v>
      </c>
      <c r="ACB4">
        <v>0</v>
      </c>
      <c r="ACC4">
        <v>0</v>
      </c>
      <c r="ACD4">
        <v>0</v>
      </c>
      <c r="ACE4">
        <v>0</v>
      </c>
      <c r="ACF4">
        <v>12.2200000000641</v>
      </c>
      <c r="ACG4">
        <v>12.2200000000641</v>
      </c>
      <c r="ACH4">
        <v>0</v>
      </c>
      <c r="ACI4">
        <v>0</v>
      </c>
      <c r="ACJ4">
        <v>0</v>
      </c>
      <c r="ACK4">
        <v>20.973579277941599</v>
      </c>
      <c r="ACL4">
        <v>20.973579277941599</v>
      </c>
      <c r="ACM4">
        <v>0</v>
      </c>
      <c r="ACN4">
        <v>0</v>
      </c>
      <c r="ACP4">
        <v>0</v>
      </c>
      <c r="ACR4">
        <v>0</v>
      </c>
      <c r="ACT4">
        <v>16.9028683743058</v>
      </c>
      <c r="ACU4">
        <v>16.9028683743058</v>
      </c>
      <c r="ACV4">
        <v>0</v>
      </c>
      <c r="ACW4">
        <v>0</v>
      </c>
      <c r="ACX4">
        <v>1</v>
      </c>
      <c r="ACY4">
        <v>16.644214600598399</v>
      </c>
      <c r="ACZ4">
        <v>16.644214600598399</v>
      </c>
      <c r="ADA4">
        <v>0</v>
      </c>
      <c r="ADB4">
        <v>0</v>
      </c>
      <c r="ADC4">
        <v>1</v>
      </c>
      <c r="ADD4">
        <v>13.903537232979</v>
      </c>
      <c r="ADE4">
        <v>13.903537232979</v>
      </c>
      <c r="ADF4">
        <v>0</v>
      </c>
      <c r="ADG4">
        <v>0</v>
      </c>
      <c r="ADH4">
        <v>1</v>
      </c>
      <c r="ADI4">
        <v>13.5215121570397</v>
      </c>
      <c r="ADJ4">
        <v>13.5215121570397</v>
      </c>
      <c r="ADK4">
        <v>0</v>
      </c>
      <c r="ADL4">
        <v>0</v>
      </c>
      <c r="ADM4">
        <v>1</v>
      </c>
      <c r="ADN4">
        <v>13.4325624373209</v>
      </c>
      <c r="ADO4">
        <v>13.4325624373209</v>
      </c>
      <c r="ADP4">
        <v>0</v>
      </c>
      <c r="ADQ4">
        <v>0</v>
      </c>
      <c r="ADR4">
        <v>1</v>
      </c>
      <c r="ADS4">
        <v>13.641463561358499</v>
      </c>
      <c r="ADT4">
        <v>13.641463561358499</v>
      </c>
      <c r="ADU4">
        <v>0</v>
      </c>
      <c r="ADV4">
        <v>0</v>
      </c>
      <c r="ADW4">
        <v>1</v>
      </c>
      <c r="ADX4">
        <v>13.411560839176699</v>
      </c>
      <c r="ADY4">
        <v>13.411560839176699</v>
      </c>
      <c r="ADZ4">
        <v>0</v>
      </c>
      <c r="AEA4">
        <v>0</v>
      </c>
      <c r="AEB4">
        <v>1</v>
      </c>
      <c r="AEC4">
        <v>13.615806881872</v>
      </c>
      <c r="AED4">
        <v>13.615806881872</v>
      </c>
      <c r="AEE4">
        <v>0</v>
      </c>
      <c r="AEF4">
        <v>0</v>
      </c>
      <c r="AEG4">
        <v>1</v>
      </c>
      <c r="AEH4">
        <v>13.5037248246669</v>
      </c>
      <c r="AEI4">
        <v>13.5037248246669</v>
      </c>
      <c r="AEJ4">
        <v>0</v>
      </c>
      <c r="AEK4">
        <v>0</v>
      </c>
      <c r="AEL4">
        <v>1</v>
      </c>
      <c r="AEM4">
        <v>13.437139026901001</v>
      </c>
      <c r="AEN4">
        <v>13.437139026901001</v>
      </c>
      <c r="AEO4">
        <v>0</v>
      </c>
      <c r="AEP4">
        <v>0</v>
      </c>
      <c r="AEQ4">
        <v>1</v>
      </c>
      <c r="AER4">
        <v>13.492161920155599</v>
      </c>
      <c r="AES4">
        <v>13.492161920155599</v>
      </c>
      <c r="AET4">
        <v>0</v>
      </c>
      <c r="AEU4">
        <v>0</v>
      </c>
      <c r="AEV4">
        <v>1</v>
      </c>
      <c r="AEW4">
        <v>11.2175020733086</v>
      </c>
      <c r="AEX4">
        <v>11.2175020733086</v>
      </c>
      <c r="AEY4">
        <v>0</v>
      </c>
      <c r="AEZ4">
        <v>0</v>
      </c>
      <c r="AFA4">
        <v>1</v>
      </c>
      <c r="AFB4">
        <v>11.144125983304701</v>
      </c>
      <c r="AFC4">
        <v>11.144125983304701</v>
      </c>
      <c r="AFD4">
        <v>0</v>
      </c>
      <c r="AFE4">
        <v>0</v>
      </c>
      <c r="AFF4">
        <v>1</v>
      </c>
      <c r="AFG4">
        <v>10.9813961897887</v>
      </c>
      <c r="AFH4">
        <v>10.9813961897887</v>
      </c>
      <c r="AFI4">
        <v>0</v>
      </c>
      <c r="AFJ4">
        <v>0</v>
      </c>
      <c r="AFK4">
        <v>1</v>
      </c>
      <c r="AFL4">
        <v>11.130510021376301</v>
      </c>
      <c r="AFM4">
        <v>11.130510021376301</v>
      </c>
      <c r="AFN4">
        <v>0</v>
      </c>
      <c r="AFO4">
        <v>0</v>
      </c>
      <c r="AFP4">
        <v>1</v>
      </c>
      <c r="AFQ4">
        <v>-2.64993160161904</v>
      </c>
      <c r="AFR4">
        <v>-2.6666855485934402</v>
      </c>
      <c r="AFS4">
        <v>-2.68213459671371</v>
      </c>
      <c r="AFT4">
        <v>-2.6798869133901202</v>
      </c>
      <c r="AFU4">
        <v>-2.67635157896876</v>
      </c>
      <c r="AFV4">
        <v>-2.64853656389537</v>
      </c>
      <c r="AFW4">
        <v>-2.66546952319151</v>
      </c>
      <c r="AFX4">
        <v>-2.6653778706328302</v>
      </c>
      <c r="AFY4">
        <v>-3.0122832405824602</v>
      </c>
      <c r="AFZ4">
        <v>-2.9830210244457498</v>
      </c>
      <c r="AGA4">
        <v>-2.9928085548053298</v>
      </c>
      <c r="AGB4">
        <v>-2.9922622393868599</v>
      </c>
      <c r="AGC4">
        <v>-2.1837215275967301</v>
      </c>
      <c r="AGD4">
        <v>-2.2300496197708801</v>
      </c>
      <c r="AGE4">
        <v>-2.6628902469895399</v>
      </c>
      <c r="AGF4">
        <v>0</v>
      </c>
      <c r="AGG4">
        <v>0</v>
      </c>
      <c r="AGH4">
        <v>0</v>
      </c>
      <c r="AGI4">
        <v>0</v>
      </c>
      <c r="AGJ4">
        <v>0</v>
      </c>
      <c r="AGK4">
        <v>0</v>
      </c>
      <c r="AGL4">
        <v>0</v>
      </c>
      <c r="AGM4">
        <v>0</v>
      </c>
      <c r="AGN4">
        <v>0</v>
      </c>
      <c r="AGO4">
        <v>0</v>
      </c>
      <c r="AGP4">
        <v>0</v>
      </c>
      <c r="AGQ4">
        <v>0</v>
      </c>
      <c r="AGR4">
        <v>0</v>
      </c>
      <c r="AGS4">
        <v>0</v>
      </c>
      <c r="AGT4">
        <v>0</v>
      </c>
      <c r="AGU4">
        <v>0</v>
      </c>
      <c r="AGV4">
        <v>0</v>
      </c>
      <c r="AGW4">
        <v>0</v>
      </c>
      <c r="AGX4">
        <v>0</v>
      </c>
      <c r="AGY4">
        <v>0</v>
      </c>
      <c r="AGZ4">
        <v>0</v>
      </c>
      <c r="AHA4">
        <v>0</v>
      </c>
      <c r="AHB4">
        <v>0</v>
      </c>
      <c r="AHC4">
        <v>0</v>
      </c>
      <c r="AHD4">
        <v>0</v>
      </c>
      <c r="AHE4">
        <v>0</v>
      </c>
      <c r="AHF4">
        <v>0</v>
      </c>
      <c r="AHG4">
        <v>0</v>
      </c>
      <c r="AHH4">
        <v>0</v>
      </c>
      <c r="AHI4">
        <v>0</v>
      </c>
      <c r="AHJ4">
        <v>0</v>
      </c>
      <c r="AHK4">
        <v>0</v>
      </c>
      <c r="AHL4">
        <v>0</v>
      </c>
      <c r="AHM4">
        <v>0</v>
      </c>
      <c r="AHN4">
        <v>0</v>
      </c>
      <c r="AHO4">
        <v>0</v>
      </c>
      <c r="AHP4">
        <v>0</v>
      </c>
      <c r="AHQ4">
        <v>0</v>
      </c>
      <c r="AHR4">
        <v>0</v>
      </c>
      <c r="AHS4">
        <v>0</v>
      </c>
      <c r="AHT4">
        <v>0</v>
      </c>
      <c r="AHU4">
        <v>0</v>
      </c>
      <c r="AHV4">
        <v>0</v>
      </c>
      <c r="AHW4">
        <v>0</v>
      </c>
      <c r="AHX4">
        <v>0</v>
      </c>
      <c r="AHZ4">
        <v>0</v>
      </c>
      <c r="AIB4">
        <v>0</v>
      </c>
      <c r="AID4">
        <v>0</v>
      </c>
      <c r="AIF4">
        <v>0</v>
      </c>
      <c r="AIH4">
        <v>0</v>
      </c>
      <c r="AIJ4">
        <v>0</v>
      </c>
      <c r="AIL4">
        <v>0</v>
      </c>
      <c r="AIN4">
        <v>0</v>
      </c>
      <c r="AIP4">
        <v>0</v>
      </c>
      <c r="AIR4">
        <v>0</v>
      </c>
      <c r="AIT4">
        <v>0</v>
      </c>
      <c r="AIV4">
        <v>0</v>
      </c>
      <c r="AIX4">
        <v>0</v>
      </c>
      <c r="AIZ4">
        <v>0</v>
      </c>
      <c r="AJB4">
        <v>0</v>
      </c>
      <c r="AJC4">
        <v>0</v>
      </c>
      <c r="AJE4">
        <v>0</v>
      </c>
      <c r="AJH4">
        <v>0</v>
      </c>
      <c r="AJJ4">
        <v>0</v>
      </c>
      <c r="AJK4">
        <v>0</v>
      </c>
      <c r="AJL4">
        <v>0</v>
      </c>
      <c r="AJM4">
        <v>0</v>
      </c>
      <c r="AJN4">
        <v>0</v>
      </c>
      <c r="AJO4">
        <v>0</v>
      </c>
      <c r="AJP4">
        <v>0</v>
      </c>
      <c r="AJQ4">
        <v>0</v>
      </c>
      <c r="AJR4">
        <v>0</v>
      </c>
      <c r="AJS4">
        <v>0</v>
      </c>
      <c r="AJT4">
        <v>0</v>
      </c>
      <c r="AJU4">
        <v>0</v>
      </c>
      <c r="AJV4">
        <v>0</v>
      </c>
      <c r="AJW4">
        <v>0</v>
      </c>
      <c r="AJX4">
        <v>0</v>
      </c>
      <c r="AJY4">
        <v>0</v>
      </c>
      <c r="AJZ4">
        <v>0</v>
      </c>
      <c r="AKA4">
        <v>0</v>
      </c>
      <c r="AKB4">
        <v>0</v>
      </c>
      <c r="AKC4">
        <v>0</v>
      </c>
      <c r="AKD4">
        <v>0</v>
      </c>
      <c r="AKE4">
        <v>78.881990920975895</v>
      </c>
      <c r="AKF4">
        <v>78.881990920975895</v>
      </c>
      <c r="AKG4">
        <v>0</v>
      </c>
      <c r="AKH4">
        <v>0</v>
      </c>
      <c r="AKI4">
        <v>0</v>
      </c>
      <c r="AKJ4">
        <v>0</v>
      </c>
      <c r="AKK4">
        <v>0</v>
      </c>
      <c r="AKL4">
        <v>78.881990920975895</v>
      </c>
      <c r="AKM4">
        <v>78.881990920975895</v>
      </c>
      <c r="AKN4">
        <v>0</v>
      </c>
      <c r="AKO4">
        <v>0</v>
      </c>
      <c r="AKP4">
        <v>0</v>
      </c>
      <c r="AKT4">
        <v>0</v>
      </c>
      <c r="AKX4">
        <v>0</v>
      </c>
      <c r="ALB4">
        <v>20.973579277941599</v>
      </c>
      <c r="ALC4">
        <v>20.973579277941599</v>
      </c>
      <c r="ALD4">
        <v>0</v>
      </c>
      <c r="ALE4">
        <v>0</v>
      </c>
      <c r="ALF4">
        <v>0</v>
      </c>
      <c r="ALH4">
        <v>16.754257945679601</v>
      </c>
      <c r="ALI4">
        <v>2.8568269606532499E-3</v>
      </c>
      <c r="ALJ4">
        <v>0</v>
      </c>
      <c r="ALK4">
        <v>16.754257945679601</v>
      </c>
      <c r="ALL4">
        <v>0</v>
      </c>
      <c r="ALM4">
        <v>0</v>
      </c>
      <c r="ALN4">
        <v>16.754257945679601</v>
      </c>
      <c r="ALO4">
        <v>2.8568269606532499E-3</v>
      </c>
      <c r="ALP4">
        <v>24.266523423534299</v>
      </c>
      <c r="ALQ4">
        <v>0</v>
      </c>
      <c r="ALR4">
        <v>16.754257945679601</v>
      </c>
      <c r="ALS4">
        <v>0</v>
      </c>
      <c r="ALT4">
        <v>16.754257945679601</v>
      </c>
      <c r="ALU4">
        <v>0</v>
      </c>
      <c r="ALV4">
        <v>12.2200000000641</v>
      </c>
      <c r="ALW4">
        <v>9.9999999999999897E-12</v>
      </c>
      <c r="ALX4">
        <v>12.2200000000641</v>
      </c>
      <c r="ALY4">
        <v>9.9999999999999897E-12</v>
      </c>
      <c r="ALZ4">
        <v>0</v>
      </c>
      <c r="AMA4">
        <v>12.2200000000641</v>
      </c>
      <c r="AMB4">
        <v>0</v>
      </c>
      <c r="AMC4">
        <v>12.2200000000641</v>
      </c>
      <c r="AMD4">
        <v>0</v>
      </c>
      <c r="AME4">
        <v>12.2200000000641</v>
      </c>
      <c r="AMF4">
        <v>0</v>
      </c>
      <c r="AMG4">
        <v>0</v>
      </c>
      <c r="AMH4">
        <v>0</v>
      </c>
      <c r="AMI4">
        <v>16.164472609281699</v>
      </c>
      <c r="AMJ4">
        <v>0</v>
      </c>
      <c r="AMK4" s="580">
        <v>17.237145164243199</v>
      </c>
      <c r="AML4">
        <v>0</v>
      </c>
      <c r="AMM4">
        <v>16.159635430736198</v>
      </c>
      <c r="AMN4">
        <v>0</v>
      </c>
      <c r="AMO4">
        <v>16.192466313309001</v>
      </c>
      <c r="AMP4">
        <v>0</v>
      </c>
      <c r="AMQ4">
        <v>16.198616533208298</v>
      </c>
      <c r="AMR4">
        <v>0</v>
      </c>
      <c r="AMS4">
        <v>16.696698409741298</v>
      </c>
      <c r="AMT4">
        <v>0</v>
      </c>
      <c r="AMU4">
        <v>15.8588947277243</v>
      </c>
      <c r="AMV4">
        <v>0</v>
      </c>
      <c r="AMW4">
        <v>15.879662603263901</v>
      </c>
      <c r="AMX4">
        <v>0</v>
      </c>
      <c r="AMY4">
        <v>15.9291225497361</v>
      </c>
      <c r="AMZ4">
        <v>0</v>
      </c>
      <c r="ANA4">
        <v>15.981015876114</v>
      </c>
      <c r="ANB4">
        <v>0</v>
      </c>
      <c r="ANC4">
        <v>15.616153993551199</v>
      </c>
      <c r="AND4">
        <v>0</v>
      </c>
      <c r="ANE4">
        <v>15.4384294809891</v>
      </c>
      <c r="ANF4">
        <v>0</v>
      </c>
      <c r="ANG4">
        <v>15.4655034285478</v>
      </c>
      <c r="ANH4">
        <v>0</v>
      </c>
      <c r="ANI4">
        <v>15.4921321996509</v>
      </c>
      <c r="ANJ4">
        <v>0</v>
      </c>
      <c r="ANK4">
        <v>15.029155514811601</v>
      </c>
      <c r="ANL4">
        <v>0</v>
      </c>
      <c r="ANM4">
        <v>0</v>
      </c>
      <c r="ANN4">
        <v>0</v>
      </c>
      <c r="ANO4">
        <v>0</v>
      </c>
      <c r="ANP4">
        <v>17.237145164243199</v>
      </c>
      <c r="ANQ4">
        <v>16.159635430736198</v>
      </c>
      <c r="ANR4">
        <v>16.164472609281699</v>
      </c>
      <c r="ANS4">
        <v>16.198616533208298</v>
      </c>
      <c r="ANT4">
        <v>16.192466313309001</v>
      </c>
      <c r="ANU4">
        <v>16.696698409741298</v>
      </c>
      <c r="ANV4">
        <v>15.8588947277243</v>
      </c>
      <c r="ANW4">
        <v>15.879662603263901</v>
      </c>
      <c r="ANX4">
        <v>15.981015876114</v>
      </c>
      <c r="ANY4">
        <v>15.9291225497361</v>
      </c>
      <c r="ANZ4">
        <v>15.616153993551199</v>
      </c>
      <c r="AOA4">
        <v>15.4384294809891</v>
      </c>
      <c r="AOB4">
        <v>15.4655034285478</v>
      </c>
      <c r="AOC4">
        <v>15.029155514811601</v>
      </c>
      <c r="AOD4">
        <v>15.4921321996509</v>
      </c>
      <c r="AOE4">
        <v>16.754257945679601</v>
      </c>
      <c r="AOF4">
        <v>0</v>
      </c>
      <c r="AOG4">
        <v>16.756339268825901</v>
      </c>
      <c r="AOH4">
        <v>0</v>
      </c>
    </row>
    <row r="5" spans="1:1074">
      <c r="A5" t="s">
        <v>2575</v>
      </c>
      <c r="B5">
        <v>-3.33</v>
      </c>
      <c r="D5">
        <v>-3.33</v>
      </c>
      <c r="F5">
        <v>10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0</v>
      </c>
      <c r="DA5">
        <v>0</v>
      </c>
      <c r="DB5">
        <v>0</v>
      </c>
      <c r="DC5">
        <v>0</v>
      </c>
      <c r="DD5">
        <v>0</v>
      </c>
      <c r="DE5">
        <v>0</v>
      </c>
      <c r="DF5">
        <v>0</v>
      </c>
      <c r="DG5">
        <v>0</v>
      </c>
      <c r="DH5">
        <v>0</v>
      </c>
      <c r="DI5">
        <v>0</v>
      </c>
      <c r="DJ5">
        <v>0</v>
      </c>
      <c r="DK5">
        <v>0</v>
      </c>
      <c r="DL5">
        <v>0</v>
      </c>
      <c r="DM5">
        <v>0</v>
      </c>
      <c r="DN5">
        <v>0</v>
      </c>
      <c r="DO5">
        <v>0</v>
      </c>
      <c r="DP5">
        <v>0</v>
      </c>
      <c r="DQ5">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0</v>
      </c>
      <c r="FF5">
        <v>0</v>
      </c>
      <c r="FG5">
        <v>0</v>
      </c>
      <c r="FH5">
        <v>0</v>
      </c>
      <c r="FI5">
        <v>0</v>
      </c>
      <c r="FJ5">
        <v>0</v>
      </c>
      <c r="FK5">
        <v>0</v>
      </c>
      <c r="FL5">
        <v>0</v>
      </c>
      <c r="FM5">
        <v>0</v>
      </c>
      <c r="FN5">
        <v>0</v>
      </c>
      <c r="FO5">
        <v>0</v>
      </c>
      <c r="FP5">
        <v>0</v>
      </c>
      <c r="FQ5">
        <v>0</v>
      </c>
      <c r="FR5">
        <v>0</v>
      </c>
      <c r="FS5">
        <v>0</v>
      </c>
      <c r="FT5">
        <v>0</v>
      </c>
      <c r="FU5">
        <v>0</v>
      </c>
      <c r="FV5">
        <v>0</v>
      </c>
      <c r="FW5">
        <v>0</v>
      </c>
      <c r="FX5">
        <v>0</v>
      </c>
      <c r="FY5">
        <v>0</v>
      </c>
      <c r="FZ5">
        <v>0</v>
      </c>
      <c r="GA5">
        <v>0</v>
      </c>
      <c r="GB5">
        <v>-30.542414064482099</v>
      </c>
      <c r="GC5">
        <v>508.70799220156999</v>
      </c>
      <c r="GD5">
        <v>239.18184330416699</v>
      </c>
      <c r="GE5">
        <v>-20.391037206384802</v>
      </c>
      <c r="GF5">
        <v>331.302913924824</v>
      </c>
      <c r="GG5">
        <v>154.79085022663401</v>
      </c>
      <c r="GH5">
        <v>-29.6774441397435</v>
      </c>
      <c r="GI5">
        <v>509.21291364437297</v>
      </c>
      <c r="GJ5">
        <v>249.14925703608901</v>
      </c>
      <c r="GK5">
        <v>-20.291249574228999</v>
      </c>
      <c r="GL5">
        <v>336.39965408793</v>
      </c>
      <c r="GM5">
        <v>157.958811543792</v>
      </c>
      <c r="GN5">
        <v>-72.1836405650388</v>
      </c>
      <c r="GO5">
        <v>15.144199948702299</v>
      </c>
      <c r="GP5">
        <v>14.6265344487399</v>
      </c>
      <c r="GQ5">
        <v>-0.86688157055203297</v>
      </c>
      <c r="GR5">
        <v>98.020747690814403</v>
      </c>
      <c r="GS5">
        <v>846.64917630280195</v>
      </c>
      <c r="GT5">
        <v>-48.336510976433701</v>
      </c>
      <c r="GU5">
        <v>15.070087211593799</v>
      </c>
      <c r="GV5">
        <v>14.5522610993304</v>
      </c>
      <c r="GW5">
        <v>-0.79285857179146901</v>
      </c>
      <c r="GX5">
        <v>64.560138401267807</v>
      </c>
      <c r="GY5">
        <v>549.64237372248999</v>
      </c>
      <c r="GZ5">
        <v>-73.482075692627802</v>
      </c>
      <c r="HA5">
        <v>15.303240377569701</v>
      </c>
      <c r="HB5">
        <v>14.7777329280153</v>
      </c>
      <c r="HC5">
        <v>-1.2978854878352999</v>
      </c>
      <c r="HD5">
        <v>101.009549510262</v>
      </c>
      <c r="HE5">
        <v>871.73175102877804</v>
      </c>
      <c r="HF5">
        <v>-47.570196859100101</v>
      </c>
      <c r="HG5">
        <v>15.0762148218723</v>
      </c>
      <c r="HH5">
        <v>14.5485871289805</v>
      </c>
      <c r="HI5">
        <v>-0.53319712954085097</v>
      </c>
      <c r="HJ5">
        <v>64.423338966995303</v>
      </c>
      <c r="HK5">
        <v>553.55887293424496</v>
      </c>
      <c r="HL5">
        <v>-28.339500890472902</v>
      </c>
      <c r="HM5">
        <v>14.9637208338302</v>
      </c>
      <c r="HN5">
        <v>15.82294248272</v>
      </c>
      <c r="HO5">
        <v>298.58656131284999</v>
      </c>
      <c r="HP5">
        <v>503.09404325511002</v>
      </c>
      <c r="HQ5">
        <v>14.801512225873299</v>
      </c>
      <c r="HR5">
        <v>277.04196361404399</v>
      </c>
      <c r="HS5">
        <v>-17.8712564693787</v>
      </c>
      <c r="HT5">
        <v>14.900492572689901</v>
      </c>
      <c r="HU5">
        <v>15.807632820511399</v>
      </c>
      <c r="HV5">
        <v>185.835218604218</v>
      </c>
      <c r="HW5">
        <v>325.756054053014</v>
      </c>
      <c r="HX5">
        <v>14.705720905907899</v>
      </c>
      <c r="HY5">
        <v>178.972574727817</v>
      </c>
      <c r="HZ5">
        <v>14.814713770259999</v>
      </c>
      <c r="IA5">
        <v>15.7710549050515</v>
      </c>
      <c r="IB5">
        <v>302.21644645712701</v>
      </c>
      <c r="IC5">
        <v>-26.9284898075569</v>
      </c>
      <c r="ID5">
        <v>532.38781830325502</v>
      </c>
      <c r="IE5">
        <v>14.5869459275526</v>
      </c>
      <c r="IF5">
        <v>263.96336702926402</v>
      </c>
      <c r="IG5">
        <v>22.674815921409799</v>
      </c>
      <c r="IH5">
        <v>14.909174548404099</v>
      </c>
      <c r="II5">
        <v>15.8116753137923</v>
      </c>
      <c r="IJ5">
        <v>187.23948455986701</v>
      </c>
      <c r="IK5">
        <v>21.184214402963502</v>
      </c>
      <c r="IL5">
        <v>-17.045561176238198</v>
      </c>
      <c r="IM5">
        <v>330.36381182758703</v>
      </c>
      <c r="IN5">
        <v>14.723472837006801</v>
      </c>
      <c r="IO5">
        <v>0.97687015087390705</v>
      </c>
      <c r="IP5">
        <v>182.001011548066</v>
      </c>
      <c r="IQ5">
        <v>-113.30414354712499</v>
      </c>
      <c r="IR5">
        <v>-69.377883409793</v>
      </c>
      <c r="IS5">
        <v>-123.42176667281799</v>
      </c>
      <c r="IT5">
        <v>-68.940837495835297</v>
      </c>
      <c r="IU5">
        <v>-11.2572474107667</v>
      </c>
      <c r="IV5">
        <v>-70.420645797104498</v>
      </c>
      <c r="IW5">
        <v>15.4424376872535</v>
      </c>
      <c r="IX5">
        <v>14.801512225873299</v>
      </c>
      <c r="IY5">
        <v>-5.20608916798348</v>
      </c>
      <c r="IZ5">
        <v>112.54399976725</v>
      </c>
      <c r="JA5">
        <v>999.39361266102696</v>
      </c>
      <c r="JB5">
        <v>-47.148031746191997</v>
      </c>
      <c r="JC5">
        <v>15.3562247343768</v>
      </c>
      <c r="JD5">
        <v>14.705720905907899</v>
      </c>
      <c r="JE5">
        <v>-3.3004849807555101</v>
      </c>
      <c r="JF5">
        <v>74.799090286473103</v>
      </c>
      <c r="JG5">
        <v>656.29029703615004</v>
      </c>
      <c r="JH5">
        <v>-70.384036820811104</v>
      </c>
      <c r="JI5">
        <v>15.1208649140732</v>
      </c>
      <c r="JJ5">
        <v>14.5869459275526</v>
      </c>
      <c r="JK5">
        <v>-2.0622833552716</v>
      </c>
      <c r="JL5">
        <v>101.25958540550501</v>
      </c>
      <c r="JM5">
        <v>861.75539886427703</v>
      </c>
      <c r="JN5">
        <v>-46.343480975172497</v>
      </c>
      <c r="JO5">
        <v>15.380335149904001</v>
      </c>
      <c r="JP5">
        <v>14.723472837006801</v>
      </c>
      <c r="JQ5">
        <v>0.27513568597372101</v>
      </c>
      <c r="JR5">
        <v>-3.6786769726899902</v>
      </c>
      <c r="JS5">
        <v>0.70834807141200795</v>
      </c>
      <c r="JT5">
        <v>74.8184209786819</v>
      </c>
      <c r="JU5">
        <v>659.20507111885001</v>
      </c>
      <c r="JV5">
        <v>-27.2044115905802</v>
      </c>
      <c r="JW5">
        <v>648.34539091302099</v>
      </c>
      <c r="JX5">
        <v>-41.510629304087999</v>
      </c>
      <c r="JY5">
        <v>-19.004627224288502</v>
      </c>
      <c r="JZ5">
        <v>412.64878097592498</v>
      </c>
      <c r="KA5">
        <v>-26.393098865811002</v>
      </c>
      <c r="KB5">
        <v>-26.5660552487155</v>
      </c>
      <c r="KC5">
        <v>624.71686600025998</v>
      </c>
      <c r="KD5">
        <v>-37.434005657035797</v>
      </c>
      <c r="KE5">
        <v>-18.713156988475401</v>
      </c>
      <c r="KF5">
        <v>9.0159464325110594</v>
      </c>
      <c r="KG5">
        <v>-137.63737270547099</v>
      </c>
      <c r="KH5">
        <v>1.97397601940614</v>
      </c>
      <c r="KI5">
        <v>419.733441163235</v>
      </c>
      <c r="KJ5">
        <v>-24.894910214683801</v>
      </c>
      <c r="KK5">
        <v>-34.0681080148468</v>
      </c>
      <c r="KL5">
        <v>9.2207418427032106</v>
      </c>
      <c r="KM5">
        <v>10.698243979200599</v>
      </c>
      <c r="KN5">
        <v>341.725505554579</v>
      </c>
      <c r="KO5">
        <v>7.9070636254546702</v>
      </c>
      <c r="KP5">
        <v>-10.743249216582599</v>
      </c>
      <c r="KQ5">
        <v>-64.863124934753799</v>
      </c>
      <c r="KR5">
        <v>-1127.4644857554299</v>
      </c>
      <c r="KS5">
        <v>-23.485993311312601</v>
      </c>
      <c r="KT5">
        <v>9.13819531350007</v>
      </c>
      <c r="KU5">
        <v>10.622894016831101</v>
      </c>
      <c r="KV5">
        <v>218.24414560143799</v>
      </c>
      <c r="KW5">
        <v>7.8197809025382297</v>
      </c>
      <c r="KX5">
        <v>-10.6611745008033</v>
      </c>
      <c r="KY5">
        <v>-41.263901313737499</v>
      </c>
      <c r="KZ5">
        <v>-708.922002388284</v>
      </c>
      <c r="LA5">
        <v>-35.512262718747998</v>
      </c>
      <c r="LB5">
        <v>9.0500621466152396</v>
      </c>
      <c r="LC5">
        <v>10.5089321522204</v>
      </c>
      <c r="LD5">
        <v>336.80396712581199</v>
      </c>
      <c r="LE5">
        <v>7.7477823382133302</v>
      </c>
      <c r="LF5">
        <v>-10.7490683650223</v>
      </c>
      <c r="LG5">
        <v>-64.751605344098394</v>
      </c>
      <c r="LH5">
        <v>-1119.7173246500299</v>
      </c>
      <c r="LI5">
        <v>-22.433869646254699</v>
      </c>
      <c r="LJ5">
        <v>9.1793733406320293</v>
      </c>
      <c r="LK5">
        <v>10.6473539067328</v>
      </c>
      <c r="LL5">
        <v>216.69941611456301</v>
      </c>
      <c r="LM5">
        <v>7.8784599413703997</v>
      </c>
      <c r="LN5">
        <v>-10.3216801992548</v>
      </c>
      <c r="LO5">
        <v>-39.015319656045399</v>
      </c>
      <c r="LP5">
        <v>-697.85047072708505</v>
      </c>
      <c r="LQ5">
        <v>-46.866326845705302</v>
      </c>
      <c r="LR5">
        <v>16.6109980024107</v>
      </c>
      <c r="LS5">
        <v>16.481000000000002</v>
      </c>
      <c r="LT5">
        <v>172.729288315601</v>
      </c>
      <c r="LU5">
        <v>988.52024345104803</v>
      </c>
      <c r="LV5">
        <v>15.8231571885444</v>
      </c>
      <c r="LW5">
        <v>14.6949139657437</v>
      </c>
      <c r="LX5">
        <v>-122.674439506822</v>
      </c>
      <c r="LY5">
        <v>-31.6111107484897</v>
      </c>
      <c r="LZ5">
        <v>16.5923621964426</v>
      </c>
      <c r="MA5">
        <v>16.481000000000002</v>
      </c>
      <c r="MB5">
        <v>113.47628050356001</v>
      </c>
      <c r="MC5">
        <v>647.02975005931796</v>
      </c>
      <c r="MD5">
        <v>15.781841962282201</v>
      </c>
      <c r="ME5">
        <v>14.628121134682001</v>
      </c>
      <c r="MF5">
        <v>-79.523074072490104</v>
      </c>
      <c r="MG5">
        <v>-47.526928974768801</v>
      </c>
      <c r="MH5">
        <v>16.575938199563499</v>
      </c>
      <c r="MI5">
        <v>16.481000000000002</v>
      </c>
      <c r="MJ5">
        <v>159.8092382369</v>
      </c>
      <c r="MK5">
        <v>912.54665213408896</v>
      </c>
      <c r="ML5">
        <v>15.8551120949001</v>
      </c>
      <c r="MM5">
        <v>14.8073535137141</v>
      </c>
      <c r="MN5">
        <v>-110.467084951172</v>
      </c>
      <c r="MO5">
        <v>-31.110130824138899</v>
      </c>
      <c r="MP5">
        <v>16.5983268534251</v>
      </c>
      <c r="MQ5">
        <v>16.481000000000002</v>
      </c>
      <c r="MR5">
        <v>113.79118025874099</v>
      </c>
      <c r="MS5">
        <v>649.60990911884903</v>
      </c>
      <c r="MT5">
        <v>15.7830847693403</v>
      </c>
      <c r="MU5">
        <v>14.620375932503901</v>
      </c>
      <c r="MV5">
        <v>-80.332531180244899</v>
      </c>
      <c r="MW5">
        <v>-43.4611458737688</v>
      </c>
      <c r="MX5">
        <v>16.0671165066783</v>
      </c>
      <c r="MY5">
        <v>15.8309515411876</v>
      </c>
      <c r="MZ5">
        <v>110.640500946288</v>
      </c>
      <c r="NA5">
        <v>634.14700374480003</v>
      </c>
      <c r="NB5">
        <v>15.5817890644883</v>
      </c>
      <c r="NC5">
        <v>14.709231573577</v>
      </c>
      <c r="ND5">
        <v>-71.334757397924093</v>
      </c>
      <c r="NE5">
        <v>-29.312538439362601</v>
      </c>
      <c r="NF5">
        <v>16.004341549829501</v>
      </c>
      <c r="NG5">
        <v>15.768935358846599</v>
      </c>
      <c r="NH5">
        <v>72.884142762356404</v>
      </c>
      <c r="NI5">
        <v>415.09360268663102</v>
      </c>
      <c r="NJ5">
        <v>15.504839834522601</v>
      </c>
      <c r="NK5">
        <v>14.614560423583001</v>
      </c>
      <c r="NL5">
        <v>-46.056143489376801</v>
      </c>
      <c r="NM5">
        <v>-44.374791278256303</v>
      </c>
      <c r="NN5">
        <v>16.158906644102299</v>
      </c>
      <c r="NO5">
        <v>16.003832907430098</v>
      </c>
      <c r="NP5">
        <v>126.65998858146099</v>
      </c>
      <c r="NQ5">
        <v>731.80766051031003</v>
      </c>
      <c r="NR5">
        <v>15.589981012554899</v>
      </c>
      <c r="NS5">
        <v>14.603286386895499</v>
      </c>
      <c r="NT5">
        <v>-86.660709527655698</v>
      </c>
      <c r="NU5">
        <v>-28.768500695094598</v>
      </c>
      <c r="NV5" s="35">
        <v>16.0241803527001</v>
      </c>
      <c r="NW5">
        <v>15.784060937973701</v>
      </c>
      <c r="NX5">
        <v>1.7</v>
      </c>
      <c r="NY5">
        <v>72.884946254882493</v>
      </c>
      <c r="NZ5">
        <v>415.99867524874799</v>
      </c>
      <c r="OA5">
        <v>15.522487944800799</v>
      </c>
      <c r="OB5" s="35">
        <v>14.6283653307837</v>
      </c>
      <c r="OC5">
        <v>1.7</v>
      </c>
      <c r="OD5">
        <v>-46.576983058420602</v>
      </c>
      <c r="OE5">
        <v>1.7</v>
      </c>
      <c r="OF5">
        <v>1.7</v>
      </c>
      <c r="OG5">
        <v>-40.573928889015498</v>
      </c>
      <c r="OH5">
        <v>15.8717419511397</v>
      </c>
      <c r="OI5">
        <v>16.260335066012701</v>
      </c>
      <c r="OJ5">
        <v>239.752969166024</v>
      </c>
      <c r="OK5">
        <v>1455.2112590857801</v>
      </c>
      <c r="OL5">
        <v>14.652997232425999</v>
      </c>
      <c r="OM5">
        <v>12.553168394105301</v>
      </c>
      <c r="ON5">
        <v>-217.21971723885699</v>
      </c>
      <c r="OO5">
        <v>-27.401495159667601</v>
      </c>
      <c r="OP5">
        <v>15.8249673060826</v>
      </c>
      <c r="OQ5">
        <v>16.1998708449043</v>
      </c>
      <c r="OR5">
        <v>155.121341665996</v>
      </c>
      <c r="OS5">
        <v>937.17680691768805</v>
      </c>
      <c r="OT5">
        <v>14.590279048514599</v>
      </c>
      <c r="OU5">
        <v>12.471788081608301</v>
      </c>
      <c r="OV5">
        <v>-138.88000064484399</v>
      </c>
      <c r="OW5">
        <v>-40.737859831705698</v>
      </c>
      <c r="OX5">
        <v>15.391893119960701</v>
      </c>
      <c r="OY5">
        <v>15.817009233061899</v>
      </c>
      <c r="OZ5">
        <v>225.749892125732</v>
      </c>
      <c r="PA5">
        <v>1356.74903939265</v>
      </c>
      <c r="PB5">
        <v>14.2489471097836</v>
      </c>
      <c r="PC5">
        <v>12.2866615925648</v>
      </c>
      <c r="PD5">
        <v>-202.80179771265901</v>
      </c>
      <c r="PE5">
        <v>-26.865024021476799</v>
      </c>
      <c r="PF5">
        <v>15.853295229691501</v>
      </c>
      <c r="PG5">
        <v>16.229762434240399</v>
      </c>
      <c r="PH5">
        <v>1.7</v>
      </c>
      <c r="PI5">
        <v>155.625305674526</v>
      </c>
      <c r="PJ5">
        <v>941.15889822358895</v>
      </c>
      <c r="PK5">
        <v>14.612475492995999</v>
      </c>
      <c r="PL5">
        <v>12.483396147066401</v>
      </c>
      <c r="PM5">
        <v>1.7</v>
      </c>
      <c r="PN5">
        <v>-139.83605140747301</v>
      </c>
      <c r="PO5">
        <v>14.439601675622299</v>
      </c>
      <c r="PP5">
        <v>14.3391946476589</v>
      </c>
      <c r="PQ5">
        <v>14.533056757846699</v>
      </c>
      <c r="PR5">
        <v>14.332077183326801</v>
      </c>
      <c r="PS5">
        <v>16.930017284416699</v>
      </c>
      <c r="PT5">
        <v>14.541484552525199</v>
      </c>
      <c r="PU5">
        <v>14.416334910914999</v>
      </c>
      <c r="PV5">
        <v>14.341538514359099</v>
      </c>
      <c r="PW5">
        <v>14.433577606920499</v>
      </c>
      <c r="PX5">
        <v>16.623195800540099</v>
      </c>
      <c r="PY5">
        <v>11.753734822126599</v>
      </c>
      <c r="PZ5">
        <v>11.6649381886221</v>
      </c>
      <c r="QA5">
        <v>11.5090380220303</v>
      </c>
      <c r="QB5">
        <v>11.678624907797399</v>
      </c>
      <c r="QC5">
        <v>13.8085293748209</v>
      </c>
      <c r="QD5">
        <v>15.509174180021001</v>
      </c>
      <c r="QE5">
        <v>13.6032571254043</v>
      </c>
      <c r="QF5">
        <v>13.5042849407407</v>
      </c>
      <c r="QG5">
        <v>13.712046090437701</v>
      </c>
      <c r="QH5">
        <v>13.483177196843901</v>
      </c>
      <c r="QI5">
        <v>16.9102820387135</v>
      </c>
      <c r="QJ5">
        <v>13.6379133927535</v>
      </c>
      <c r="QK5">
        <v>13.5173496804612</v>
      </c>
      <c r="QL5">
        <v>13.471826986740499</v>
      </c>
      <c r="QM5">
        <v>13.518325072039801</v>
      </c>
      <c r="QN5">
        <v>963.14009066422204</v>
      </c>
      <c r="QO5">
        <v>16.613957342647399</v>
      </c>
      <c r="QP5">
        <v>-42.390531994248398</v>
      </c>
      <c r="QQ5">
        <v>11.0585633401927</v>
      </c>
      <c r="QR5">
        <v>10.9699152355546</v>
      </c>
      <c r="QS5">
        <v>10.836498948501299</v>
      </c>
      <c r="QT5">
        <v>10.9644694849022</v>
      </c>
      <c r="QU5">
        <v>13.797524342995199</v>
      </c>
      <c r="QV5">
        <v>15.514506848741901</v>
      </c>
      <c r="QW5">
        <v>796341.35830083699</v>
      </c>
      <c r="QX5">
        <v>0</v>
      </c>
      <c r="QY5">
        <v>531434.80745007703</v>
      </c>
      <c r="QZ5">
        <v>0</v>
      </c>
      <c r="RA5">
        <v>131600.50281881099</v>
      </c>
      <c r="RB5">
        <v>0</v>
      </c>
      <c r="RC5">
        <v>87169.692817716001</v>
      </c>
      <c r="RD5">
        <v>0</v>
      </c>
      <c r="RE5">
        <v>289933.52639479499</v>
      </c>
      <c r="RF5">
        <v>0</v>
      </c>
      <c r="RG5">
        <v>196386.93604709601</v>
      </c>
      <c r="RH5" s="35">
        <v>0</v>
      </c>
      <c r="RI5">
        <v>0</v>
      </c>
      <c r="RJ5" s="35">
        <v>0</v>
      </c>
      <c r="RK5">
        <v>12.7669125751862</v>
      </c>
      <c r="RL5">
        <v>8596.7968246744404</v>
      </c>
      <c r="RM5">
        <v>8596.7968246744404</v>
      </c>
      <c r="RN5">
        <v>21430.286413241</v>
      </c>
      <c r="RO5" s="35">
        <v>0</v>
      </c>
      <c r="RP5">
        <v>0</v>
      </c>
      <c r="RQ5">
        <v>12.6693752338224</v>
      </c>
      <c r="RR5">
        <v>5559.7089260968796</v>
      </c>
      <c r="RS5">
        <v>5559.7089260968796</v>
      </c>
      <c r="RT5">
        <v>13715.300866572299</v>
      </c>
      <c r="RU5">
        <v>0</v>
      </c>
      <c r="RV5">
        <v>0</v>
      </c>
      <c r="RW5">
        <v>12.891035423028701</v>
      </c>
      <c r="RX5">
        <v>8406.5293680008399</v>
      </c>
      <c r="RY5">
        <v>8406.5293680008399</v>
      </c>
      <c r="RZ5">
        <v>21234.340463606099</v>
      </c>
      <c r="SA5">
        <v>0</v>
      </c>
      <c r="SB5">
        <v>0</v>
      </c>
      <c r="SC5">
        <v>12.634277210361001</v>
      </c>
      <c r="SD5">
        <v>5594.9211170178896</v>
      </c>
      <c r="SE5">
        <v>5594.9211170178896</v>
      </c>
      <c r="SF5">
        <v>13751.505680787501</v>
      </c>
      <c r="SG5">
        <v>0</v>
      </c>
      <c r="SH5">
        <v>0</v>
      </c>
      <c r="SI5">
        <v>16.890546793010198</v>
      </c>
      <c r="SJ5">
        <v>32822.766429616298</v>
      </c>
      <c r="SK5">
        <v>32822.766429616298</v>
      </c>
      <c r="SL5">
        <v>76018.291159875502</v>
      </c>
      <c r="SM5">
        <v>21.1111</v>
      </c>
      <c r="SN5">
        <v>26.666699999999999</v>
      </c>
      <c r="SO5">
        <v>0</v>
      </c>
      <c r="SP5">
        <v>0</v>
      </c>
      <c r="SQ5">
        <v>15.1413010928019</v>
      </c>
      <c r="SR5">
        <v>0</v>
      </c>
      <c r="SS5">
        <v>0</v>
      </c>
      <c r="ST5">
        <v>0</v>
      </c>
      <c r="SU5">
        <v>0</v>
      </c>
      <c r="SV5">
        <v>0</v>
      </c>
      <c r="SW5">
        <v>15.06032996806</v>
      </c>
      <c r="SX5">
        <v>0</v>
      </c>
      <c r="SY5">
        <v>0</v>
      </c>
      <c r="SZ5">
        <v>0</v>
      </c>
      <c r="TA5">
        <v>0</v>
      </c>
      <c r="TB5">
        <v>0</v>
      </c>
      <c r="TC5">
        <v>15.296457941588001</v>
      </c>
      <c r="TD5">
        <v>0</v>
      </c>
      <c r="TE5">
        <v>0</v>
      </c>
      <c r="TF5">
        <v>0</v>
      </c>
      <c r="TG5">
        <v>0</v>
      </c>
      <c r="TH5">
        <v>0</v>
      </c>
      <c r="TI5">
        <v>15.076108743510099</v>
      </c>
      <c r="TJ5">
        <v>0</v>
      </c>
      <c r="TK5">
        <v>0</v>
      </c>
      <c r="TL5">
        <v>0</v>
      </c>
      <c r="TM5">
        <v>0</v>
      </c>
      <c r="TN5">
        <v>0</v>
      </c>
      <c r="TO5">
        <v>16.742171440918099</v>
      </c>
      <c r="TP5">
        <v>0</v>
      </c>
      <c r="TQ5">
        <v>0</v>
      </c>
      <c r="TR5">
        <v>0</v>
      </c>
      <c r="TS5">
        <v>0</v>
      </c>
      <c r="TT5">
        <v>0</v>
      </c>
      <c r="TU5">
        <v>12.734342232981801</v>
      </c>
      <c r="TV5">
        <v>8691.8946003207893</v>
      </c>
      <c r="TW5">
        <v>8691.8946003207893</v>
      </c>
      <c r="TX5">
        <v>21552.3213612379</v>
      </c>
      <c r="TY5">
        <v>0</v>
      </c>
      <c r="TZ5">
        <v>0</v>
      </c>
      <c r="UA5">
        <v>12.6183644500073</v>
      </c>
      <c r="UB5">
        <v>5639.5065673122299</v>
      </c>
      <c r="UC5">
        <v>5639.5065673122299</v>
      </c>
      <c r="UD5">
        <v>13813.5626163426</v>
      </c>
      <c r="UE5">
        <v>0</v>
      </c>
      <c r="UF5">
        <v>0</v>
      </c>
      <c r="UG5">
        <v>12.602115459121899</v>
      </c>
      <c r="UH5">
        <v>8895.7085700202697</v>
      </c>
      <c r="UI5">
        <v>8895.7085700202697</v>
      </c>
      <c r="UJ5">
        <v>21762.1415671621</v>
      </c>
      <c r="UK5">
        <v>0</v>
      </c>
      <c r="UL5">
        <v>0</v>
      </c>
      <c r="UM5">
        <v>12.6030725371592</v>
      </c>
      <c r="UN5">
        <v>5654.9201454046397</v>
      </c>
      <c r="UO5">
        <v>5654.9201454046397</v>
      </c>
      <c r="UP5">
        <v>13829.377652584701</v>
      </c>
      <c r="UQ5">
        <v>0</v>
      </c>
      <c r="UR5">
        <v>0</v>
      </c>
      <c r="US5">
        <v>16.604718884754799</v>
      </c>
      <c r="UT5">
        <v>35095.466779763803</v>
      </c>
      <c r="UU5">
        <v>35095.466779763803</v>
      </c>
      <c r="UV5">
        <v>78332.586045878299</v>
      </c>
      <c r="UW5">
        <v>21.1111</v>
      </c>
      <c r="UX5">
        <v>26.666699999999999</v>
      </c>
      <c r="UY5">
        <v>0</v>
      </c>
      <c r="UZ5">
        <v>0</v>
      </c>
      <c r="VA5">
        <v>15.4820707019325</v>
      </c>
      <c r="VB5">
        <v>0</v>
      </c>
      <c r="VC5">
        <v>0</v>
      </c>
      <c r="VD5">
        <v>0</v>
      </c>
      <c r="VE5">
        <v>0</v>
      </c>
      <c r="VF5">
        <v>0</v>
      </c>
      <c r="VG5">
        <v>15.3951029308421</v>
      </c>
      <c r="VH5">
        <v>0</v>
      </c>
      <c r="VI5">
        <v>0</v>
      </c>
      <c r="VJ5">
        <v>0</v>
      </c>
      <c r="VK5">
        <v>0</v>
      </c>
      <c r="VL5">
        <v>0</v>
      </c>
      <c r="VM5">
        <v>15.0991072127597</v>
      </c>
      <c r="VN5">
        <v>0</v>
      </c>
      <c r="VO5">
        <v>0</v>
      </c>
      <c r="VP5">
        <v>0</v>
      </c>
      <c r="VQ5">
        <v>0</v>
      </c>
      <c r="VR5">
        <v>0</v>
      </c>
      <c r="VS5">
        <v>15.424805633802499</v>
      </c>
      <c r="VT5">
        <v>0</v>
      </c>
      <c r="VU5">
        <v>0</v>
      </c>
      <c r="VV5">
        <v>0</v>
      </c>
      <c r="VW5">
        <v>0</v>
      </c>
      <c r="VX5">
        <v>0</v>
      </c>
      <c r="VY5">
        <v>16.452107861996499</v>
      </c>
      <c r="VZ5">
        <v>0</v>
      </c>
      <c r="WA5">
        <v>0</v>
      </c>
      <c r="WB5">
        <v>0</v>
      </c>
      <c r="WC5">
        <v>0</v>
      </c>
      <c r="WD5">
        <v>0</v>
      </c>
      <c r="WE5">
        <v>10.363391858258799</v>
      </c>
      <c r="WF5">
        <v>12472.254906471901</v>
      </c>
      <c r="WG5">
        <v>12472.254906471901</v>
      </c>
      <c r="WH5">
        <v>25448.3393208936</v>
      </c>
      <c r="WI5">
        <v>0</v>
      </c>
      <c r="WJ5">
        <v>0</v>
      </c>
      <c r="WK5">
        <v>0</v>
      </c>
      <c r="WL5">
        <v>10.274892282487</v>
      </c>
      <c r="WM5">
        <v>8023.4704460102503</v>
      </c>
      <c r="WN5">
        <v>8023.4704460102503</v>
      </c>
      <c r="WO5">
        <v>16270.850037737</v>
      </c>
      <c r="WP5">
        <v>18.333300000000001</v>
      </c>
      <c r="WQ5">
        <v>26.666699999999999</v>
      </c>
      <c r="WR5">
        <v>0</v>
      </c>
      <c r="WS5">
        <v>0</v>
      </c>
      <c r="WT5">
        <v>10.163959874972299</v>
      </c>
      <c r="WU5">
        <v>12797.9161512888</v>
      </c>
      <c r="WV5">
        <v>12797.9161512888</v>
      </c>
      <c r="WW5">
        <v>25783.1772464196</v>
      </c>
      <c r="WX5">
        <v>0</v>
      </c>
      <c r="WY5">
        <v>0</v>
      </c>
      <c r="WZ5">
        <v>0</v>
      </c>
      <c r="XA5">
        <v>10.250314062007</v>
      </c>
      <c r="XB5">
        <v>8042.0041427136002</v>
      </c>
      <c r="XC5">
        <v>8042.0041427136002</v>
      </c>
      <c r="XD5">
        <v>16289.9052936712</v>
      </c>
      <c r="XE5">
        <v>0</v>
      </c>
      <c r="XF5">
        <v>0</v>
      </c>
      <c r="XG5">
        <v>13.786519311169499</v>
      </c>
      <c r="XH5">
        <v>57669.010335409803</v>
      </c>
      <c r="XI5">
        <v>57669.010335409803</v>
      </c>
      <c r="XJ5">
        <v>101313.610234654</v>
      </c>
      <c r="XK5">
        <v>21.1111</v>
      </c>
      <c r="XL5">
        <v>26.666699999999999</v>
      </c>
      <c r="XM5">
        <v>0</v>
      </c>
      <c r="XN5">
        <v>0</v>
      </c>
      <c r="XO5">
        <v>8.1651917750159093</v>
      </c>
      <c r="XP5">
        <v>0</v>
      </c>
      <c r="XQ5">
        <v>0</v>
      </c>
      <c r="XR5">
        <v>0</v>
      </c>
      <c r="XS5">
        <v>0</v>
      </c>
      <c r="XT5">
        <v>0</v>
      </c>
      <c r="XU5">
        <v>8.0777610368211406</v>
      </c>
      <c r="XV5">
        <v>0</v>
      </c>
      <c r="XW5">
        <v>0</v>
      </c>
      <c r="XX5">
        <v>0</v>
      </c>
      <c r="XY5">
        <v>0</v>
      </c>
      <c r="XZ5">
        <v>0</v>
      </c>
      <c r="YA5">
        <v>8.0072322958405007</v>
      </c>
      <c r="YB5">
        <v>0</v>
      </c>
      <c r="YC5">
        <v>0</v>
      </c>
      <c r="YD5">
        <v>0</v>
      </c>
      <c r="YE5">
        <v>0</v>
      </c>
      <c r="YF5">
        <v>0</v>
      </c>
      <c r="YG5">
        <v>8.1244742690415599</v>
      </c>
      <c r="YH5">
        <v>0</v>
      </c>
      <c r="YI5">
        <v>0</v>
      </c>
      <c r="YJ5">
        <v>0</v>
      </c>
      <c r="YK5">
        <v>0</v>
      </c>
      <c r="YL5">
        <v>0</v>
      </c>
      <c r="YM5">
        <v>10.951931841904001</v>
      </c>
      <c r="YN5">
        <v>0</v>
      </c>
      <c r="YO5">
        <v>0</v>
      </c>
      <c r="YP5">
        <v>0</v>
      </c>
      <c r="YQ5">
        <v>0</v>
      </c>
      <c r="YR5">
        <v>0</v>
      </c>
      <c r="YS5">
        <v>16.140010228652201</v>
      </c>
      <c r="YT5">
        <v>0</v>
      </c>
      <c r="YU5">
        <v>0</v>
      </c>
      <c r="YV5">
        <v>0</v>
      </c>
      <c r="YW5">
        <v>0</v>
      </c>
      <c r="YX5">
        <v>0</v>
      </c>
      <c r="YY5">
        <v>16.105084910477402</v>
      </c>
      <c r="YZ5">
        <v>0</v>
      </c>
      <c r="ZA5">
        <v>0</v>
      </c>
      <c r="ZB5">
        <v>0</v>
      </c>
      <c r="ZC5">
        <v>0</v>
      </c>
      <c r="ZD5">
        <v>0</v>
      </c>
      <c r="ZE5">
        <v>16.137908766102999</v>
      </c>
      <c r="ZF5">
        <v>0</v>
      </c>
      <c r="ZG5">
        <v>0</v>
      </c>
      <c r="ZH5">
        <v>0</v>
      </c>
      <c r="ZI5">
        <v>0</v>
      </c>
      <c r="ZJ5">
        <v>0</v>
      </c>
      <c r="ZK5">
        <v>16.109678628530499</v>
      </c>
      <c r="ZL5">
        <v>0</v>
      </c>
      <c r="ZM5">
        <v>0</v>
      </c>
      <c r="ZN5">
        <v>0</v>
      </c>
      <c r="ZO5">
        <v>0</v>
      </c>
      <c r="ZP5">
        <v>0</v>
      </c>
      <c r="ZQ5">
        <v>17.245578832820101</v>
      </c>
      <c r="ZR5">
        <v>0</v>
      </c>
      <c r="ZS5">
        <v>0</v>
      </c>
      <c r="ZT5">
        <v>0</v>
      </c>
      <c r="ZU5">
        <v>0</v>
      </c>
      <c r="ZV5">
        <v>0</v>
      </c>
      <c r="ZW5">
        <v>15.7334390011195</v>
      </c>
      <c r="ZX5">
        <v>0</v>
      </c>
      <c r="ZY5">
        <v>0</v>
      </c>
      <c r="ZZ5">
        <v>0</v>
      </c>
      <c r="AAA5">
        <v>0</v>
      </c>
      <c r="AAB5">
        <v>0</v>
      </c>
      <c r="AAC5">
        <v>15.658783004779901</v>
      </c>
      <c r="AAD5">
        <v>0</v>
      </c>
      <c r="AAE5">
        <v>0</v>
      </c>
      <c r="AAF5">
        <v>0</v>
      </c>
      <c r="AAG5">
        <v>0</v>
      </c>
      <c r="AAH5">
        <v>0</v>
      </c>
      <c r="AAI5">
        <v>15.7817517481378</v>
      </c>
      <c r="AAJ5">
        <v>0</v>
      </c>
      <c r="AAK5">
        <v>0</v>
      </c>
      <c r="AAL5">
        <v>0</v>
      </c>
      <c r="AAM5">
        <v>0</v>
      </c>
      <c r="AAN5">
        <v>0</v>
      </c>
      <c r="AAO5">
        <v>15.678398684479101</v>
      </c>
      <c r="AAP5">
        <v>0</v>
      </c>
      <c r="AAQ5">
        <v>0</v>
      </c>
      <c r="AAR5">
        <v>0</v>
      </c>
      <c r="AAS5">
        <v>0</v>
      </c>
      <c r="AAT5">
        <v>0</v>
      </c>
      <c r="AAU5">
        <v>16.689516390744199</v>
      </c>
      <c r="AAV5">
        <v>0</v>
      </c>
      <c r="AAW5">
        <v>0</v>
      </c>
      <c r="AAX5">
        <v>0</v>
      </c>
      <c r="AAY5">
        <v>0</v>
      </c>
      <c r="AAZ5">
        <v>0</v>
      </c>
      <c r="ABA5">
        <v>15.169047881205501</v>
      </c>
      <c r="ABB5">
        <v>0</v>
      </c>
      <c r="ABC5">
        <v>0</v>
      </c>
      <c r="ABD5">
        <v>0</v>
      </c>
      <c r="ABE5">
        <v>0</v>
      </c>
      <c r="ABF5">
        <v>0</v>
      </c>
      <c r="ABG5">
        <v>15.108955808889601</v>
      </c>
      <c r="ABH5">
        <v>0</v>
      </c>
      <c r="ABI5">
        <v>0</v>
      </c>
      <c r="ABJ5">
        <v>0</v>
      </c>
      <c r="ABK5">
        <v>0</v>
      </c>
      <c r="ABL5">
        <v>0</v>
      </c>
      <c r="ABM5">
        <v>14.7315872560571</v>
      </c>
      <c r="ABN5">
        <v>0</v>
      </c>
      <c r="ABO5">
        <v>0</v>
      </c>
      <c r="ABP5">
        <v>0</v>
      </c>
      <c r="ABQ5">
        <v>0</v>
      </c>
      <c r="ABR5">
        <v>0</v>
      </c>
      <c r="ABS5">
        <v>15.1350181969201</v>
      </c>
      <c r="ABT5">
        <v>0</v>
      </c>
      <c r="ABU5">
        <v>0</v>
      </c>
      <c r="ABV5">
        <v>0</v>
      </c>
      <c r="ABW5">
        <v>0</v>
      </c>
      <c r="ABX5">
        <v>0</v>
      </c>
      <c r="ABY5">
        <v>15.514506848741901</v>
      </c>
      <c r="ABZ5">
        <v>0</v>
      </c>
      <c r="ACA5">
        <v>0</v>
      </c>
      <c r="ACB5">
        <v>0</v>
      </c>
      <c r="ACC5">
        <v>0</v>
      </c>
      <c r="ACD5">
        <v>0</v>
      </c>
      <c r="ACE5">
        <v>0</v>
      </c>
      <c r="ACF5">
        <v>12.2200000000641</v>
      </c>
      <c r="ACG5">
        <v>12.2200000000641</v>
      </c>
      <c r="ACH5">
        <v>0</v>
      </c>
      <c r="ACI5">
        <v>0</v>
      </c>
      <c r="ACJ5">
        <v>0</v>
      </c>
      <c r="ACK5">
        <v>20.973579277941599</v>
      </c>
      <c r="ACL5">
        <v>20.973579277941599</v>
      </c>
      <c r="ACM5">
        <v>0</v>
      </c>
      <c r="ACN5">
        <v>0</v>
      </c>
      <c r="ACP5">
        <v>0</v>
      </c>
      <c r="ACR5">
        <v>0</v>
      </c>
      <c r="ACT5">
        <v>16.890543015289001</v>
      </c>
      <c r="ACU5">
        <v>16.890543015289001</v>
      </c>
      <c r="ACV5">
        <v>0</v>
      </c>
      <c r="ACW5">
        <v>0</v>
      </c>
      <c r="ACX5">
        <v>1</v>
      </c>
      <c r="ACY5">
        <v>16.6047141348309</v>
      </c>
      <c r="ACZ5">
        <v>16.6047141348309</v>
      </c>
      <c r="ADA5">
        <v>0</v>
      </c>
      <c r="ADB5">
        <v>0</v>
      </c>
      <c r="ADC5">
        <v>1</v>
      </c>
      <c r="ADD5">
        <v>13.786553487170901</v>
      </c>
      <c r="ADE5">
        <v>13.786553487170901</v>
      </c>
      <c r="ADF5">
        <v>0</v>
      </c>
      <c r="ADG5">
        <v>0</v>
      </c>
      <c r="ADH5">
        <v>1</v>
      </c>
      <c r="ADI5">
        <v>13.4492924948227</v>
      </c>
      <c r="ADJ5">
        <v>13.4492924948227</v>
      </c>
      <c r="ADK5">
        <v>0</v>
      </c>
      <c r="ADL5">
        <v>0</v>
      </c>
      <c r="ADM5">
        <v>1</v>
      </c>
      <c r="ADN5">
        <v>13.356997707825199</v>
      </c>
      <c r="ADO5">
        <v>13.356997707825199</v>
      </c>
      <c r="ADP5">
        <v>0</v>
      </c>
      <c r="ADQ5">
        <v>0</v>
      </c>
      <c r="ADR5">
        <v>1</v>
      </c>
      <c r="ADS5">
        <v>13.554524550092699</v>
      </c>
      <c r="ADT5">
        <v>13.554524550092699</v>
      </c>
      <c r="ADU5">
        <v>0</v>
      </c>
      <c r="ADV5">
        <v>0</v>
      </c>
      <c r="ADW5">
        <v>1</v>
      </c>
      <c r="ADX5">
        <v>13.335782726424</v>
      </c>
      <c r="ADY5">
        <v>13.335782726424</v>
      </c>
      <c r="ADZ5">
        <v>0</v>
      </c>
      <c r="AEA5">
        <v>0</v>
      </c>
      <c r="AEB5">
        <v>1</v>
      </c>
      <c r="AEC5">
        <v>13.469365933870501</v>
      </c>
      <c r="AED5">
        <v>13.469365933870501</v>
      </c>
      <c r="AEE5">
        <v>0</v>
      </c>
      <c r="AEF5">
        <v>0</v>
      </c>
      <c r="AEG5">
        <v>1</v>
      </c>
      <c r="AEH5">
        <v>13.3548886503165</v>
      </c>
      <c r="AEI5">
        <v>13.3548886503165</v>
      </c>
      <c r="AEJ5">
        <v>0</v>
      </c>
      <c r="AEK5">
        <v>0</v>
      </c>
      <c r="AEL5">
        <v>1</v>
      </c>
      <c r="AEM5">
        <v>13.301617013415999</v>
      </c>
      <c r="AEN5">
        <v>13.301617013415999</v>
      </c>
      <c r="AEO5">
        <v>0</v>
      </c>
      <c r="AEP5">
        <v>0</v>
      </c>
      <c r="AEQ5">
        <v>1</v>
      </c>
      <c r="AER5">
        <v>13.356837053505901</v>
      </c>
      <c r="AES5">
        <v>13.356837053505901</v>
      </c>
      <c r="AET5">
        <v>0</v>
      </c>
      <c r="AEU5">
        <v>0</v>
      </c>
      <c r="AEV5">
        <v>1</v>
      </c>
      <c r="AEW5">
        <v>11.0068769556155</v>
      </c>
      <c r="AEX5">
        <v>11.0068769556155</v>
      </c>
      <c r="AEY5">
        <v>0</v>
      </c>
      <c r="AEZ5">
        <v>0</v>
      </c>
      <c r="AFA5">
        <v>1</v>
      </c>
      <c r="AFB5">
        <v>10.916394477009201</v>
      </c>
      <c r="AFC5">
        <v>10.916394477009201</v>
      </c>
      <c r="AFD5">
        <v>0</v>
      </c>
      <c r="AFE5">
        <v>0</v>
      </c>
      <c r="AFF5">
        <v>1</v>
      </c>
      <c r="AFG5">
        <v>10.774616105561201</v>
      </c>
      <c r="AFH5">
        <v>10.774616105561201</v>
      </c>
      <c r="AFI5">
        <v>0</v>
      </c>
      <c r="AFJ5">
        <v>0</v>
      </c>
      <c r="AFK5">
        <v>1</v>
      </c>
      <c r="AFL5">
        <v>10.916786171354399</v>
      </c>
      <c r="AFM5">
        <v>10.916786171354399</v>
      </c>
      <c r="AFN5">
        <v>0</v>
      </c>
      <c r="AFO5">
        <v>0</v>
      </c>
      <c r="AFP5">
        <v>1</v>
      </c>
      <c r="AFQ5">
        <v>-2.66285888650527</v>
      </c>
      <c r="AFR5">
        <v>-2.6773618793654199</v>
      </c>
      <c r="AFS5">
        <v>-2.6932496629198801</v>
      </c>
      <c r="AFT5">
        <v>-2.6909782890258702</v>
      </c>
      <c r="AFU5">
        <v>-2.6961988006304898</v>
      </c>
      <c r="AFV5">
        <v>-2.6702841516024201</v>
      </c>
      <c r="AFW5">
        <v>-2.6861733334643398</v>
      </c>
      <c r="AFX5">
        <v>-2.6872973769986399</v>
      </c>
      <c r="AFY5">
        <v>-3.03680287097065</v>
      </c>
      <c r="AFZ5">
        <v>-3.0088237878279802</v>
      </c>
      <c r="AGA5">
        <v>-3.0188126052363899</v>
      </c>
      <c r="AGB5">
        <v>-3.0194527373276498</v>
      </c>
      <c r="AGC5">
        <v>-2.1857412367903302</v>
      </c>
      <c r="AGD5">
        <v>-2.2366893734193001</v>
      </c>
      <c r="AGE5">
        <v>-2.6795682900776101</v>
      </c>
      <c r="AGF5">
        <v>0</v>
      </c>
      <c r="AGG5">
        <v>0</v>
      </c>
      <c r="AGH5">
        <v>0</v>
      </c>
      <c r="AGI5">
        <v>0</v>
      </c>
      <c r="AGJ5">
        <v>0</v>
      </c>
      <c r="AGK5">
        <v>0</v>
      </c>
      <c r="AGL5">
        <v>0</v>
      </c>
      <c r="AGM5">
        <v>0</v>
      </c>
      <c r="AGN5">
        <v>0</v>
      </c>
      <c r="AGO5">
        <v>0</v>
      </c>
      <c r="AGP5">
        <v>0</v>
      </c>
      <c r="AGQ5">
        <v>0</v>
      </c>
      <c r="AGR5">
        <v>0</v>
      </c>
      <c r="AGS5">
        <v>0</v>
      </c>
      <c r="AGT5">
        <v>0</v>
      </c>
      <c r="AGU5">
        <v>0</v>
      </c>
      <c r="AGV5">
        <v>0</v>
      </c>
      <c r="AGW5">
        <v>0</v>
      </c>
      <c r="AGX5">
        <v>0</v>
      </c>
      <c r="AGY5">
        <v>0</v>
      </c>
      <c r="AGZ5">
        <v>0</v>
      </c>
      <c r="AHA5">
        <v>0</v>
      </c>
      <c r="AHB5">
        <v>0</v>
      </c>
      <c r="AHC5">
        <v>0</v>
      </c>
      <c r="AHD5">
        <v>0</v>
      </c>
      <c r="AHE5">
        <v>0</v>
      </c>
      <c r="AHF5">
        <v>0</v>
      </c>
      <c r="AHG5">
        <v>0</v>
      </c>
      <c r="AHH5">
        <v>0</v>
      </c>
      <c r="AHI5">
        <v>0</v>
      </c>
      <c r="AHJ5">
        <v>0</v>
      </c>
      <c r="AHK5">
        <v>0</v>
      </c>
      <c r="AHL5">
        <v>0</v>
      </c>
      <c r="AHM5">
        <v>0</v>
      </c>
      <c r="AHN5">
        <v>0</v>
      </c>
      <c r="AHO5">
        <v>0</v>
      </c>
      <c r="AHP5">
        <v>0</v>
      </c>
      <c r="AHQ5">
        <v>0</v>
      </c>
      <c r="AHR5">
        <v>0</v>
      </c>
      <c r="AHS5">
        <v>0</v>
      </c>
      <c r="AHT5">
        <v>0</v>
      </c>
      <c r="AHU5">
        <v>0</v>
      </c>
      <c r="AHV5">
        <v>0</v>
      </c>
      <c r="AHW5">
        <v>0</v>
      </c>
      <c r="AHX5">
        <v>0</v>
      </c>
      <c r="AHZ5">
        <v>0</v>
      </c>
      <c r="AIB5">
        <v>0</v>
      </c>
      <c r="AID5">
        <v>0</v>
      </c>
      <c r="AIF5">
        <v>0</v>
      </c>
      <c r="AIH5">
        <v>0</v>
      </c>
      <c r="AIJ5">
        <v>0</v>
      </c>
      <c r="AIL5">
        <v>0</v>
      </c>
      <c r="AIN5">
        <v>0</v>
      </c>
      <c r="AIP5">
        <v>0</v>
      </c>
      <c r="AIR5">
        <v>0</v>
      </c>
      <c r="AIT5">
        <v>0</v>
      </c>
      <c r="AIV5">
        <v>0</v>
      </c>
      <c r="AIX5">
        <v>0</v>
      </c>
      <c r="AIZ5">
        <v>0</v>
      </c>
      <c r="AJB5">
        <v>0</v>
      </c>
      <c r="AJC5">
        <v>0</v>
      </c>
      <c r="AJE5">
        <v>0</v>
      </c>
      <c r="AJH5">
        <v>0</v>
      </c>
      <c r="AJJ5">
        <v>0</v>
      </c>
      <c r="AJK5">
        <v>0</v>
      </c>
      <c r="AJL5">
        <v>0</v>
      </c>
      <c r="AJM5">
        <v>0</v>
      </c>
      <c r="AJN5">
        <v>0</v>
      </c>
      <c r="AJO5">
        <v>0</v>
      </c>
      <c r="AJP5">
        <v>0</v>
      </c>
      <c r="AJQ5">
        <v>0</v>
      </c>
      <c r="AJR5">
        <v>0</v>
      </c>
      <c r="AJS5">
        <v>0</v>
      </c>
      <c r="AJT5">
        <v>0</v>
      </c>
      <c r="AJU5">
        <v>0</v>
      </c>
      <c r="AJV5">
        <v>0</v>
      </c>
      <c r="AJW5">
        <v>0</v>
      </c>
      <c r="AJX5">
        <v>0</v>
      </c>
      <c r="AJY5">
        <v>0</v>
      </c>
      <c r="AJZ5">
        <v>0</v>
      </c>
      <c r="AKA5">
        <v>0</v>
      </c>
      <c r="AKB5">
        <v>0</v>
      </c>
      <c r="AKC5">
        <v>0</v>
      </c>
      <c r="AKD5">
        <v>0</v>
      </c>
      <c r="AKE5">
        <v>78.881990920975895</v>
      </c>
      <c r="AKF5">
        <v>78.881990920975895</v>
      </c>
      <c r="AKG5">
        <v>0</v>
      </c>
      <c r="AKH5">
        <v>0</v>
      </c>
      <c r="AKI5">
        <v>0</v>
      </c>
      <c r="AKJ5">
        <v>0</v>
      </c>
      <c r="AKK5">
        <v>0</v>
      </c>
      <c r="AKL5">
        <v>78.881990920975895</v>
      </c>
      <c r="AKM5">
        <v>78.881990920975895</v>
      </c>
      <c r="AKN5">
        <v>0</v>
      </c>
      <c r="AKO5">
        <v>0</v>
      </c>
      <c r="AKP5">
        <v>0</v>
      </c>
      <c r="AKT5">
        <v>0</v>
      </c>
      <c r="AKX5">
        <v>0</v>
      </c>
      <c r="ALB5">
        <v>20.973579277941599</v>
      </c>
      <c r="ALC5">
        <v>20.973579277941599</v>
      </c>
      <c r="ALD5">
        <v>0</v>
      </c>
      <c r="ALE5">
        <v>0</v>
      </c>
      <c r="ALF5">
        <v>0</v>
      </c>
      <c r="ALH5">
        <v>16.744767521690701</v>
      </c>
      <c r="ALI5">
        <v>2.8568269606532499E-3</v>
      </c>
      <c r="ALJ5">
        <v>0</v>
      </c>
      <c r="ALK5">
        <v>16.744767521690701</v>
      </c>
      <c r="ALL5">
        <v>0</v>
      </c>
      <c r="ALM5">
        <v>0</v>
      </c>
      <c r="ALN5">
        <v>16.744767521690701</v>
      </c>
      <c r="ALO5">
        <v>2.8568269606532499E-3</v>
      </c>
      <c r="ALP5">
        <v>24.281158297842399</v>
      </c>
      <c r="ALQ5">
        <v>0</v>
      </c>
      <c r="ALR5">
        <v>16.744767521690701</v>
      </c>
      <c r="ALS5">
        <v>0</v>
      </c>
      <c r="ALT5">
        <v>16.744767521690701</v>
      </c>
      <c r="ALU5">
        <v>0</v>
      </c>
      <c r="ALV5">
        <v>12.2200000000641</v>
      </c>
      <c r="ALW5">
        <v>9.9999999999999897E-12</v>
      </c>
      <c r="ALX5">
        <v>12.2200000000641</v>
      </c>
      <c r="ALY5">
        <v>9.9999999999999897E-12</v>
      </c>
      <c r="ALZ5">
        <v>0</v>
      </c>
      <c r="AMA5">
        <v>12.2200000000641</v>
      </c>
      <c r="AMB5">
        <v>0</v>
      </c>
      <c r="AMC5">
        <v>12.2200000000641</v>
      </c>
      <c r="AMD5">
        <v>0</v>
      </c>
      <c r="AME5">
        <v>12.2200000000641</v>
      </c>
      <c r="AMF5">
        <v>0</v>
      </c>
      <c r="AMG5">
        <v>0</v>
      </c>
      <c r="AMH5">
        <v>0</v>
      </c>
      <c r="AMI5">
        <v>16.1204493275064</v>
      </c>
      <c r="AMJ5">
        <v>0</v>
      </c>
      <c r="AMK5" s="580">
        <v>17.244155627522101</v>
      </c>
      <c r="AML5">
        <v>0</v>
      </c>
      <c r="AMM5">
        <v>16.115807123771798</v>
      </c>
      <c r="AMN5">
        <v>0</v>
      </c>
      <c r="AMO5">
        <v>16.150329533233801</v>
      </c>
      <c r="AMP5">
        <v>0</v>
      </c>
      <c r="AMQ5">
        <v>16.149727463348299</v>
      </c>
      <c r="AMR5">
        <v>0</v>
      </c>
      <c r="AMS5">
        <v>16.691406178389901</v>
      </c>
      <c r="AMT5">
        <v>0</v>
      </c>
      <c r="AMU5">
        <v>15.698257249246801</v>
      </c>
      <c r="AMV5">
        <v>0</v>
      </c>
      <c r="AMW5">
        <v>15.7180926777695</v>
      </c>
      <c r="AMX5">
        <v>0</v>
      </c>
      <c r="AMY5">
        <v>15.772038638315999</v>
      </c>
      <c r="AMZ5">
        <v>0</v>
      </c>
      <c r="ANA5">
        <v>15.8211048525544</v>
      </c>
      <c r="ANB5">
        <v>0</v>
      </c>
      <c r="ANC5">
        <v>15.534769783454299</v>
      </c>
      <c r="AND5">
        <v>0</v>
      </c>
      <c r="ANE5">
        <v>15.1735196033347</v>
      </c>
      <c r="ANF5">
        <v>0</v>
      </c>
      <c r="ANG5">
        <v>15.199731079315599</v>
      </c>
      <c r="ANH5">
        <v>0</v>
      </c>
      <c r="ANI5">
        <v>15.232321535740599</v>
      </c>
      <c r="ANJ5">
        <v>0</v>
      </c>
      <c r="ANK5">
        <v>14.789818867026799</v>
      </c>
      <c r="ANL5">
        <v>0</v>
      </c>
      <c r="ANM5">
        <v>0</v>
      </c>
      <c r="ANN5">
        <v>0</v>
      </c>
      <c r="ANO5">
        <v>0</v>
      </c>
      <c r="ANP5">
        <v>17.244155627522101</v>
      </c>
      <c r="ANQ5">
        <v>16.115807123771798</v>
      </c>
      <c r="ANR5">
        <v>16.1204493275064</v>
      </c>
      <c r="ANS5">
        <v>16.149727463348299</v>
      </c>
      <c r="ANT5">
        <v>16.150329533233801</v>
      </c>
      <c r="ANU5">
        <v>16.691406178389901</v>
      </c>
      <c r="ANV5">
        <v>15.698257249246801</v>
      </c>
      <c r="ANW5">
        <v>15.7180926777695</v>
      </c>
      <c r="ANX5">
        <v>15.8211048525544</v>
      </c>
      <c r="ANY5">
        <v>15.772038638315999</v>
      </c>
      <c r="ANZ5">
        <v>15.534769783454299</v>
      </c>
      <c r="AOA5">
        <v>15.1735196033347</v>
      </c>
      <c r="AOB5">
        <v>15.199731079315599</v>
      </c>
      <c r="AOC5">
        <v>14.789818867026799</v>
      </c>
      <c r="AOD5">
        <v>15.232321535740599</v>
      </c>
      <c r="AOE5">
        <v>16.744767521690701</v>
      </c>
      <c r="AOF5">
        <v>0</v>
      </c>
      <c r="AOG5">
        <v>16.747310986101802</v>
      </c>
      <c r="AOH5">
        <v>0</v>
      </c>
    </row>
    <row r="6" spans="1:1074">
      <c r="A6" t="s">
        <v>2576</v>
      </c>
      <c r="B6">
        <v>-3.33</v>
      </c>
      <c r="D6">
        <v>-3.33</v>
      </c>
      <c r="F6">
        <v>10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0</v>
      </c>
      <c r="DA6">
        <v>0</v>
      </c>
      <c r="DB6">
        <v>0</v>
      </c>
      <c r="DC6">
        <v>0</v>
      </c>
      <c r="DD6">
        <v>0</v>
      </c>
      <c r="DE6">
        <v>0</v>
      </c>
      <c r="DF6">
        <v>0</v>
      </c>
      <c r="DG6">
        <v>0</v>
      </c>
      <c r="DH6">
        <v>0</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-30.3267660264409</v>
      </c>
      <c r="GC6">
        <v>510.25677196720898</v>
      </c>
      <c r="GD6">
        <v>235.30800242905801</v>
      </c>
      <c r="GE6">
        <v>-20.2829856435851</v>
      </c>
      <c r="GF6">
        <v>332.37098054819398</v>
      </c>
      <c r="GG6">
        <v>152.29944239234399</v>
      </c>
      <c r="GH6">
        <v>-29.420296475396501</v>
      </c>
      <c r="GI6">
        <v>511.33527665047899</v>
      </c>
      <c r="GJ6">
        <v>245.18242151995699</v>
      </c>
      <c r="GK6">
        <v>-20.219900838713901</v>
      </c>
      <c r="GL6">
        <v>337.47241554481701</v>
      </c>
      <c r="GM6">
        <v>155.45240769034999</v>
      </c>
      <c r="GN6">
        <v>-71.838556905407103</v>
      </c>
      <c r="GO6">
        <v>15.0404089289003</v>
      </c>
      <c r="GP6">
        <v>14.5413307484125</v>
      </c>
      <c r="GQ6">
        <v>-1.1239422080713599</v>
      </c>
      <c r="GR6">
        <v>95.303158308049106</v>
      </c>
      <c r="GS6">
        <v>818.21484215028397</v>
      </c>
      <c r="GT6">
        <v>-48.134722090108603</v>
      </c>
      <c r="GU6">
        <v>14.9625367028901</v>
      </c>
      <c r="GV6">
        <v>14.4637959576062</v>
      </c>
      <c r="GW6">
        <v>-0.56735424600916795</v>
      </c>
      <c r="GX6">
        <v>62.713909213372901</v>
      </c>
      <c r="GY6">
        <v>531.50647554319198</v>
      </c>
      <c r="GZ6">
        <v>-73.182900604807699</v>
      </c>
      <c r="HA6">
        <v>15.185668559584199</v>
      </c>
      <c r="HB6">
        <v>14.678937880823</v>
      </c>
      <c r="HC6">
        <v>-1.25717779465892</v>
      </c>
      <c r="HD6">
        <v>98.095875159475796</v>
      </c>
      <c r="HE6">
        <v>842.24796073085895</v>
      </c>
      <c r="HF6">
        <v>-47.312036650128</v>
      </c>
      <c r="HG6">
        <v>14.968545088566801</v>
      </c>
      <c r="HH6">
        <v>14.4599310884816</v>
      </c>
      <c r="HI6">
        <v>-0.76963057591595196</v>
      </c>
      <c r="HJ6">
        <v>62.710979556501201</v>
      </c>
      <c r="HK6">
        <v>535.277684785254</v>
      </c>
      <c r="HL6">
        <v>-28.175617893134699</v>
      </c>
      <c r="HM6">
        <v>14.8474745482962</v>
      </c>
      <c r="HN6">
        <v>15.748466429740001</v>
      </c>
      <c r="HO6">
        <v>305.02694658093299</v>
      </c>
      <c r="HP6">
        <v>498.50237343217299</v>
      </c>
      <c r="HQ6">
        <v>14.6375772975566</v>
      </c>
      <c r="HR6">
        <v>271.386687313479</v>
      </c>
      <c r="HS6">
        <v>-17.822264956288201</v>
      </c>
      <c r="HT6">
        <v>14.782710064886</v>
      </c>
      <c r="HU6">
        <v>15.732536134794101</v>
      </c>
      <c r="HV6">
        <v>189.83350026897699</v>
      </c>
      <c r="HW6">
        <v>322.72373928308002</v>
      </c>
      <c r="HX6">
        <v>14.5390505320232</v>
      </c>
      <c r="HY6">
        <v>175.29836475184999</v>
      </c>
      <c r="HZ6">
        <v>14.7065308856606</v>
      </c>
      <c r="IA6">
        <v>15.7005482077165</v>
      </c>
      <c r="IB6">
        <v>308.12493552205302</v>
      </c>
      <c r="IC6">
        <v>-26.791748366123699</v>
      </c>
      <c r="ID6">
        <v>526.66573387855897</v>
      </c>
      <c r="IE6">
        <v>14.436504054306999</v>
      </c>
      <c r="IF6">
        <v>259.21467779006298</v>
      </c>
      <c r="IG6">
        <v>22.507134192048198</v>
      </c>
      <c r="IH6">
        <v>14.791335944475099</v>
      </c>
      <c r="II6">
        <v>15.7365226956558</v>
      </c>
      <c r="IJ6">
        <v>191.33846942818499</v>
      </c>
      <c r="IK6">
        <v>21.1286130079807</v>
      </c>
      <c r="IL6">
        <v>-16.9721622032963</v>
      </c>
      <c r="IM6">
        <v>327.59684985455101</v>
      </c>
      <c r="IN6">
        <v>14.557254686186401</v>
      </c>
      <c r="IO6">
        <v>0.97286183810377502</v>
      </c>
      <c r="IP6">
        <v>178.48282250395599</v>
      </c>
      <c r="IQ6">
        <v>-119.902115371514</v>
      </c>
      <c r="IR6">
        <v>-73.413719393243298</v>
      </c>
      <c r="IS6">
        <v>-129.36813353058301</v>
      </c>
      <c r="IT6">
        <v>-72.950529385777898</v>
      </c>
      <c r="IU6">
        <v>-11.788153701684699</v>
      </c>
      <c r="IV6">
        <v>-69.805388102291602</v>
      </c>
      <c r="IW6">
        <v>15.2545832200248</v>
      </c>
      <c r="IX6">
        <v>14.6375772975566</v>
      </c>
      <c r="IY6">
        <v>-4.2616016512778199</v>
      </c>
      <c r="IZ6">
        <v>108.656037478313</v>
      </c>
      <c r="JA6">
        <v>961.80685812925606</v>
      </c>
      <c r="JB6">
        <v>-46.737814196627298</v>
      </c>
      <c r="JC6">
        <v>15.1647819470596</v>
      </c>
      <c r="JD6">
        <v>14.5390505320232</v>
      </c>
      <c r="JE6">
        <v>-2.66515995398106</v>
      </c>
      <c r="JF6">
        <v>72.231008713958403</v>
      </c>
      <c r="JG6">
        <v>631.65193424177096</v>
      </c>
      <c r="JH6">
        <v>-69.9013488472972</v>
      </c>
      <c r="JI6">
        <v>14.9503477386159</v>
      </c>
      <c r="JJ6">
        <v>14.436504054306999</v>
      </c>
      <c r="JK6">
        <v>-1.57441799023247</v>
      </c>
      <c r="JL6">
        <v>97.653127265929598</v>
      </c>
      <c r="JM6">
        <v>829.21034078683101</v>
      </c>
      <c r="JN6">
        <v>-45.939447790802603</v>
      </c>
      <c r="JO6">
        <v>15.1891416513831</v>
      </c>
      <c r="JP6">
        <v>14.557254686186401</v>
      </c>
      <c r="JQ6">
        <v>0.25296801121375401</v>
      </c>
      <c r="JR6">
        <v>-2.99863614791427</v>
      </c>
      <c r="JS6">
        <v>0.70217846024041497</v>
      </c>
      <c r="JT6">
        <v>72.179063968609299</v>
      </c>
      <c r="JU6">
        <v>633.98517833447795</v>
      </c>
      <c r="JV6">
        <v>-26.1055030947701</v>
      </c>
      <c r="JW6">
        <v>636.71807145012997</v>
      </c>
      <c r="JX6">
        <v>-41.469611050307002</v>
      </c>
      <c r="JY6">
        <v>-18.348359835772399</v>
      </c>
      <c r="JZ6">
        <v>406.58792748473599</v>
      </c>
      <c r="KA6">
        <v>-25.688113130317699</v>
      </c>
      <c r="KB6">
        <v>-25.831404151445401</v>
      </c>
      <c r="KC6">
        <v>617.04490189067701</v>
      </c>
      <c r="KD6">
        <v>-36.837152934873799</v>
      </c>
      <c r="KE6">
        <v>-18.645837295706599</v>
      </c>
      <c r="KF6">
        <v>8.8322664379985696</v>
      </c>
      <c r="KG6">
        <v>-135.81466302004199</v>
      </c>
      <c r="KH6">
        <v>1.96561544745729</v>
      </c>
      <c r="KI6">
        <v>412.32802842769399</v>
      </c>
      <c r="KJ6">
        <v>-24.916548567898602</v>
      </c>
      <c r="KK6">
        <v>-34.102724023407198</v>
      </c>
      <c r="KL6">
        <v>9.0286642176134695</v>
      </c>
      <c r="KM6">
        <v>10.493145679129301</v>
      </c>
      <c r="KN6">
        <v>338.38382188871498</v>
      </c>
      <c r="KO6">
        <v>7.7239411056159897</v>
      </c>
      <c r="KP6">
        <v>-10.750148271851</v>
      </c>
      <c r="KQ6">
        <v>-64.474630596790504</v>
      </c>
      <c r="KR6">
        <v>-1119.71675923265</v>
      </c>
      <c r="KS6">
        <v>-23.537444836716301</v>
      </c>
      <c r="KT6">
        <v>8.9427269052077207</v>
      </c>
      <c r="KU6">
        <v>10.413583693941501</v>
      </c>
      <c r="KV6">
        <v>216.005464288383</v>
      </c>
      <c r="KW6">
        <v>7.6336619711447504</v>
      </c>
      <c r="KX6">
        <v>-10.668102269514</v>
      </c>
      <c r="KY6">
        <v>-41.030990665167899</v>
      </c>
      <c r="KZ6">
        <v>-703.857497222951</v>
      </c>
      <c r="LA6">
        <v>-35.601000759429397</v>
      </c>
      <c r="LB6">
        <v>8.8672369714167907</v>
      </c>
      <c r="LC6">
        <v>10.3133303159535</v>
      </c>
      <c r="LD6">
        <v>333.70876465675298</v>
      </c>
      <c r="LE6">
        <v>7.5733567251883001</v>
      </c>
      <c r="LF6">
        <v>-10.755647029343899</v>
      </c>
      <c r="LG6">
        <v>-64.406841978806398</v>
      </c>
      <c r="LH6">
        <v>-1112.2502317921501</v>
      </c>
      <c r="LI6">
        <v>-22.461006915782299</v>
      </c>
      <c r="LJ6">
        <v>8.9848007295760794</v>
      </c>
      <c r="LK6">
        <v>10.4395303040196</v>
      </c>
      <c r="LL6">
        <v>214.54162996703499</v>
      </c>
      <c r="LM6">
        <v>7.6930683265207902</v>
      </c>
      <c r="LN6">
        <v>-10.3282608106494</v>
      </c>
      <c r="LO6">
        <v>-38.756766243338298</v>
      </c>
      <c r="LP6">
        <v>-692.87000020721996</v>
      </c>
      <c r="LQ6">
        <v>-46.795452084390199</v>
      </c>
      <c r="LR6">
        <v>16.577148394524901</v>
      </c>
      <c r="LS6">
        <v>16.481000000000002</v>
      </c>
      <c r="LT6">
        <v>175.347720377803</v>
      </c>
      <c r="LU6">
        <v>1003.81697711938</v>
      </c>
      <c r="LV6">
        <v>15.7748415730772</v>
      </c>
      <c r="LW6">
        <v>14.6283852136498</v>
      </c>
      <c r="LX6">
        <v>-125.480088668918</v>
      </c>
      <c r="LY6">
        <v>-31.563586184151799</v>
      </c>
      <c r="LZ6">
        <v>16.557422105188099</v>
      </c>
      <c r="MA6">
        <v>16.481000000000002</v>
      </c>
      <c r="MB6">
        <v>115.252972706899</v>
      </c>
      <c r="MC6">
        <v>657.365199823068</v>
      </c>
      <c r="MD6">
        <v>15.7315412504317</v>
      </c>
      <c r="ME6">
        <v>14.5587161182504</v>
      </c>
      <c r="MF6">
        <v>-81.4040201809173</v>
      </c>
      <c r="MG6">
        <v>-47.462210879884502</v>
      </c>
      <c r="MH6">
        <v>16.539086601462401</v>
      </c>
      <c r="MI6">
        <v>16.481000000000002</v>
      </c>
      <c r="MJ6">
        <v>163.408167181865</v>
      </c>
      <c r="MK6">
        <v>933.273685947746</v>
      </c>
      <c r="ML6">
        <v>15.799014345986301</v>
      </c>
      <c r="MM6">
        <v>14.7286244637077</v>
      </c>
      <c r="MN6">
        <v>-114.084569012754</v>
      </c>
      <c r="MO6">
        <v>-31.061487653560299</v>
      </c>
      <c r="MP6">
        <v>16.563195091067001</v>
      </c>
      <c r="MQ6">
        <v>16.481000000000002</v>
      </c>
      <c r="MR6">
        <v>115.56874295794699</v>
      </c>
      <c r="MS6">
        <v>659.94906427732997</v>
      </c>
      <c r="MT6">
        <v>15.732577697480901</v>
      </c>
      <c r="MU6">
        <v>14.5507728729362</v>
      </c>
      <c r="MV6">
        <v>-82.216104483675593</v>
      </c>
      <c r="MW6">
        <v>-43.185111147753098</v>
      </c>
      <c r="MX6">
        <v>15.9140234868216</v>
      </c>
      <c r="MY6">
        <v>15.703695901206</v>
      </c>
      <c r="MZ6">
        <v>110.551741785958</v>
      </c>
      <c r="NA6">
        <v>632.07948765377398</v>
      </c>
      <c r="NB6">
        <v>15.427362775394901</v>
      </c>
      <c r="NC6">
        <v>14.558100283377</v>
      </c>
      <c r="ND6">
        <v>-71.923430621839103</v>
      </c>
      <c r="NE6">
        <v>-29.128307622567899</v>
      </c>
      <c r="NF6">
        <v>15.847626296446</v>
      </c>
      <c r="NG6">
        <v>15.637895203137999</v>
      </c>
      <c r="NH6">
        <v>72.791649448350498</v>
      </c>
      <c r="NI6">
        <v>413.560912908224</v>
      </c>
      <c r="NJ6">
        <v>15.347080113207801</v>
      </c>
      <c r="NK6">
        <v>14.4607881845062</v>
      </c>
      <c r="NL6">
        <v>-46.397343286099002</v>
      </c>
      <c r="NM6">
        <v>-44.0925502399609</v>
      </c>
      <c r="NN6">
        <v>15.9995482453931</v>
      </c>
      <c r="NO6">
        <v>15.862615991097099</v>
      </c>
      <c r="NP6">
        <v>125.377296809939</v>
      </c>
      <c r="NQ6">
        <v>722.43935872225404</v>
      </c>
      <c r="NR6">
        <v>15.4355098241303</v>
      </c>
      <c r="NS6">
        <v>14.4602693893153</v>
      </c>
      <c r="NT6">
        <v>-86.110924342786703</v>
      </c>
      <c r="NU6">
        <v>-28.5844659519556</v>
      </c>
      <c r="NV6" s="35">
        <v>15.8669311368633</v>
      </c>
      <c r="NW6" s="35">
        <v>15.6523866404169</v>
      </c>
      <c r="NX6">
        <v>1.7</v>
      </c>
      <c r="NY6">
        <v>72.768300614272803</v>
      </c>
      <c r="NZ6">
        <v>414.10514952320602</v>
      </c>
      <c r="OA6">
        <v>15.3647542693889</v>
      </c>
      <c r="OB6" s="35">
        <v>14.474869921751401</v>
      </c>
      <c r="OC6">
        <v>1.7</v>
      </c>
      <c r="OD6">
        <v>-46.808987182853102</v>
      </c>
      <c r="OE6">
        <v>1.7</v>
      </c>
      <c r="OF6">
        <v>1.7</v>
      </c>
      <c r="OG6">
        <v>-40.1573209623878</v>
      </c>
      <c r="OH6">
        <v>15.6215949388436</v>
      </c>
      <c r="OI6">
        <v>16.0434046551681</v>
      </c>
      <c r="OJ6">
        <v>239.437061282028</v>
      </c>
      <c r="OK6">
        <v>1446.56340347628</v>
      </c>
      <c r="OL6">
        <v>14.4052986550816</v>
      </c>
      <c r="OM6">
        <v>12.3320085396991</v>
      </c>
      <c r="ON6">
        <v>-216.61757569035001</v>
      </c>
      <c r="OO6">
        <v>-27.1242003159945</v>
      </c>
      <c r="OP6">
        <v>15.5695091949319</v>
      </c>
      <c r="OQ6">
        <v>15.9782502636183</v>
      </c>
      <c r="OR6">
        <v>154.86944093221601</v>
      </c>
      <c r="OS6">
        <v>931.333126172535</v>
      </c>
      <c r="OT6">
        <v>14.3375994426776</v>
      </c>
      <c r="OU6">
        <v>12.245560904984799</v>
      </c>
      <c r="OV6">
        <v>-138.47028960187299</v>
      </c>
      <c r="OW6">
        <v>-40.373909586320103</v>
      </c>
      <c r="OX6">
        <v>15.1630622445696</v>
      </c>
      <c r="OY6">
        <v>15.621303916863299</v>
      </c>
      <c r="OZ6">
        <v>225.94188735563699</v>
      </c>
      <c r="PA6">
        <v>1352.10624499665</v>
      </c>
      <c r="PB6">
        <v>14.0198027664352</v>
      </c>
      <c r="PC6">
        <v>12.076846835823</v>
      </c>
      <c r="PD6">
        <v>-202.72733841324401</v>
      </c>
      <c r="PE6">
        <v>-26.583538656510001</v>
      </c>
      <c r="PF6">
        <v>15.597054243352799</v>
      </c>
      <c r="PG6">
        <v>16.007551767814</v>
      </c>
      <c r="PH6">
        <v>1.7</v>
      </c>
      <c r="PI6">
        <v>155.31788593536501</v>
      </c>
      <c r="PJ6">
        <v>934.93781969701797</v>
      </c>
      <c r="PK6">
        <v>14.3595050534444</v>
      </c>
      <c r="PL6">
        <v>12.258597473318099</v>
      </c>
      <c r="PM6">
        <v>1.7</v>
      </c>
      <c r="PN6">
        <v>-139.36469550055801</v>
      </c>
      <c r="PO6">
        <v>14.3655378937151</v>
      </c>
      <c r="PP6">
        <v>14.2618149227586</v>
      </c>
      <c r="PQ6">
        <v>14.4452883176796</v>
      </c>
      <c r="PR6">
        <v>14.254526728496099</v>
      </c>
      <c r="PS6">
        <v>16.9190790132273</v>
      </c>
      <c r="PT6">
        <v>14.3912087649706</v>
      </c>
      <c r="PU6">
        <v>14.2636838196883</v>
      </c>
      <c r="PV6">
        <v>14.2021804514237</v>
      </c>
      <c r="PW6">
        <v>14.281134678340701</v>
      </c>
      <c r="PX6">
        <v>16.5845539598219</v>
      </c>
      <c r="PY6">
        <v>11.5439071039733</v>
      </c>
      <c r="PZ6">
        <v>11.4507967122609</v>
      </c>
      <c r="QA6">
        <v>11.3077343272849</v>
      </c>
      <c r="QB6">
        <v>11.4657491352883</v>
      </c>
      <c r="QC6">
        <v>13.6983497796872</v>
      </c>
      <c r="QD6">
        <v>15.427972846306099</v>
      </c>
      <c r="QE6">
        <v>13.5329233376725</v>
      </c>
      <c r="QF6">
        <v>13.430796304775001</v>
      </c>
      <c r="QG6">
        <v>13.628530686422501</v>
      </c>
      <c r="QH6">
        <v>13.409551605942699</v>
      </c>
      <c r="QI6">
        <v>16.898302808174002</v>
      </c>
      <c r="QJ6">
        <v>13.494822125547699</v>
      </c>
      <c r="QK6">
        <v>13.3719697915341</v>
      </c>
      <c r="QL6">
        <v>13.338914556489501</v>
      </c>
      <c r="QM6">
        <v>13.3734103731296</v>
      </c>
      <c r="QN6">
        <v>955.72177689537295</v>
      </c>
      <c r="QO6">
        <v>16.574306157308701</v>
      </c>
      <c r="QP6">
        <v>-43.975088261373202</v>
      </c>
      <c r="QQ6">
        <v>10.8567785363621</v>
      </c>
      <c r="QR6">
        <v>10.7640205187692</v>
      </c>
      <c r="QS6">
        <v>10.6470583523803</v>
      </c>
      <c r="QT6">
        <v>10.759346933815101</v>
      </c>
      <c r="QU6">
        <v>13.686790078325799</v>
      </c>
      <c r="QV6">
        <v>15.433860313603001</v>
      </c>
      <c r="QW6">
        <v>790031.03289226198</v>
      </c>
      <c r="QX6">
        <v>0</v>
      </c>
      <c r="QY6">
        <v>526840.65913782304</v>
      </c>
      <c r="QZ6">
        <v>0</v>
      </c>
      <c r="RA6">
        <v>130534.35500765299</v>
      </c>
      <c r="RB6">
        <v>0</v>
      </c>
      <c r="RC6">
        <v>86457.390289888906</v>
      </c>
      <c r="RD6">
        <v>0</v>
      </c>
      <c r="RE6">
        <v>287157.26336994098</v>
      </c>
      <c r="RF6">
        <v>0</v>
      </c>
      <c r="RG6">
        <v>194281.84312835801</v>
      </c>
      <c r="RH6" s="35">
        <v>0</v>
      </c>
      <c r="RI6">
        <v>0</v>
      </c>
      <c r="RJ6" s="35">
        <v>0</v>
      </c>
      <c r="RK6">
        <v>12.700308781629801</v>
      </c>
      <c r="RL6">
        <v>8700.5933728090004</v>
      </c>
      <c r="RM6">
        <v>8700.5933728090004</v>
      </c>
      <c r="RN6">
        <v>21537.074760357598</v>
      </c>
      <c r="RO6" s="35">
        <v>0</v>
      </c>
      <c r="RP6">
        <v>0</v>
      </c>
      <c r="RQ6">
        <v>12.5997776867914</v>
      </c>
      <c r="RR6">
        <v>5628.6548842578504</v>
      </c>
      <c r="RS6">
        <v>5628.6548842578504</v>
      </c>
      <c r="RT6">
        <v>13786.2332364384</v>
      </c>
      <c r="RU6">
        <v>0</v>
      </c>
      <c r="RV6">
        <v>0</v>
      </c>
      <c r="RW6">
        <v>12.8117730551654</v>
      </c>
      <c r="RX6">
        <v>8529.6786993618207</v>
      </c>
      <c r="RY6">
        <v>8529.6786993618207</v>
      </c>
      <c r="RZ6">
        <v>21361.0551469573</v>
      </c>
      <c r="SA6">
        <v>0</v>
      </c>
      <c r="SB6">
        <v>0</v>
      </c>
      <c r="SC6">
        <v>12.5645764833894</v>
      </c>
      <c r="SD6">
        <v>5663.9399414215104</v>
      </c>
      <c r="SE6">
        <v>5663.9399414215104</v>
      </c>
      <c r="SF6">
        <v>13822.5158961795</v>
      </c>
      <c r="SG6">
        <v>0</v>
      </c>
      <c r="SH6">
        <v>0</v>
      </c>
      <c r="SI6">
        <v>16.8775266031207</v>
      </c>
      <c r="SJ6">
        <v>32926.015069777997</v>
      </c>
      <c r="SK6">
        <v>32926.015069777997</v>
      </c>
      <c r="SL6">
        <v>76123.457214431895</v>
      </c>
      <c r="SM6">
        <v>21.1111</v>
      </c>
      <c r="SN6">
        <v>26.666699999999999</v>
      </c>
      <c r="SO6">
        <v>0</v>
      </c>
      <c r="SP6">
        <v>0</v>
      </c>
      <c r="SQ6">
        <v>15.028864018473101</v>
      </c>
      <c r="SR6">
        <v>0</v>
      </c>
      <c r="SS6">
        <v>0</v>
      </c>
      <c r="ST6">
        <v>0</v>
      </c>
      <c r="SU6">
        <v>0</v>
      </c>
      <c r="SV6">
        <v>0</v>
      </c>
      <c r="SW6">
        <v>14.9447256267791</v>
      </c>
      <c r="SX6">
        <v>0</v>
      </c>
      <c r="SY6">
        <v>0</v>
      </c>
      <c r="SZ6">
        <v>0</v>
      </c>
      <c r="TA6">
        <v>0</v>
      </c>
      <c r="TB6">
        <v>0</v>
      </c>
      <c r="TC6">
        <v>15.171060256926699</v>
      </c>
      <c r="TD6">
        <v>0</v>
      </c>
      <c r="TE6">
        <v>0</v>
      </c>
      <c r="TF6">
        <v>0</v>
      </c>
      <c r="TG6">
        <v>0</v>
      </c>
      <c r="TH6">
        <v>0</v>
      </c>
      <c r="TI6">
        <v>14.9590524394513</v>
      </c>
      <c r="TJ6">
        <v>0</v>
      </c>
      <c r="TK6">
        <v>0</v>
      </c>
      <c r="TL6">
        <v>0</v>
      </c>
      <c r="TM6">
        <v>0</v>
      </c>
      <c r="TN6">
        <v>0</v>
      </c>
      <c r="TO6">
        <v>16.731737655453198</v>
      </c>
      <c r="TP6">
        <v>0</v>
      </c>
      <c r="TQ6">
        <v>0</v>
      </c>
      <c r="TR6">
        <v>0</v>
      </c>
      <c r="TS6">
        <v>0</v>
      </c>
      <c r="TT6">
        <v>0</v>
      </c>
      <c r="TU6">
        <v>12.5984354861247</v>
      </c>
      <c r="TV6">
        <v>8904.4892997307707</v>
      </c>
      <c r="TW6">
        <v>8904.4892997307707</v>
      </c>
      <c r="TX6">
        <v>21771.0120242128</v>
      </c>
      <c r="TY6">
        <v>0</v>
      </c>
      <c r="TZ6">
        <v>0</v>
      </c>
      <c r="UA6">
        <v>12.4802557633798</v>
      </c>
      <c r="UB6">
        <v>5776.8180690048903</v>
      </c>
      <c r="UC6">
        <v>5776.8180690048903</v>
      </c>
      <c r="UD6">
        <v>13954.812686466799</v>
      </c>
      <c r="UE6">
        <v>0</v>
      </c>
      <c r="UF6">
        <v>0</v>
      </c>
      <c r="UG6">
        <v>12.475648661555301</v>
      </c>
      <c r="UH6">
        <v>9093.8885440371996</v>
      </c>
      <c r="UI6">
        <v>9093.8885440371996</v>
      </c>
      <c r="UJ6">
        <v>21965.994693678698</v>
      </c>
      <c r="UK6">
        <v>0</v>
      </c>
      <c r="UL6">
        <v>0</v>
      </c>
      <c r="UM6">
        <v>12.465686067918501</v>
      </c>
      <c r="UN6">
        <v>5791.4395403994704</v>
      </c>
      <c r="UO6">
        <v>5791.4395403994704</v>
      </c>
      <c r="UP6">
        <v>13969.850459478301</v>
      </c>
      <c r="UQ6">
        <v>0</v>
      </c>
      <c r="UR6">
        <v>0</v>
      </c>
      <c r="US6">
        <v>16.564058354795499</v>
      </c>
      <c r="UT6">
        <v>35418.2990802395</v>
      </c>
      <c r="UU6">
        <v>35418.2990802395</v>
      </c>
      <c r="UV6">
        <v>78661.435901050194</v>
      </c>
      <c r="UW6">
        <v>21.1111</v>
      </c>
      <c r="UX6">
        <v>26.666699999999999</v>
      </c>
      <c r="UY6">
        <v>0</v>
      </c>
      <c r="UZ6">
        <v>0</v>
      </c>
      <c r="VA6">
        <v>15.285056058182301</v>
      </c>
      <c r="VB6">
        <v>0</v>
      </c>
      <c r="VC6">
        <v>0</v>
      </c>
      <c r="VD6">
        <v>0</v>
      </c>
      <c r="VE6">
        <v>0</v>
      </c>
      <c r="VF6">
        <v>0</v>
      </c>
      <c r="VG6">
        <v>15.1939672074953</v>
      </c>
      <c r="VH6">
        <v>0</v>
      </c>
      <c r="VI6">
        <v>0</v>
      </c>
      <c r="VJ6">
        <v>0</v>
      </c>
      <c r="VK6">
        <v>0</v>
      </c>
      <c r="VL6">
        <v>0</v>
      </c>
      <c r="VM6">
        <v>14.922264433634</v>
      </c>
      <c r="VN6">
        <v>0</v>
      </c>
      <c r="VO6">
        <v>0</v>
      </c>
      <c r="VP6">
        <v>0</v>
      </c>
      <c r="VQ6">
        <v>0</v>
      </c>
      <c r="VR6">
        <v>0</v>
      </c>
      <c r="VS6">
        <v>15.223600316728</v>
      </c>
      <c r="VT6">
        <v>0</v>
      </c>
      <c r="VU6">
        <v>0</v>
      </c>
      <c r="VV6">
        <v>0</v>
      </c>
      <c r="VW6">
        <v>0</v>
      </c>
      <c r="VX6">
        <v>0</v>
      </c>
      <c r="VY6">
        <v>16.399812485164599</v>
      </c>
      <c r="VZ6">
        <v>0</v>
      </c>
      <c r="WA6">
        <v>0</v>
      </c>
      <c r="WB6">
        <v>0</v>
      </c>
      <c r="WC6">
        <v>0</v>
      </c>
      <c r="WD6">
        <v>0</v>
      </c>
      <c r="WE6">
        <v>10.1696499687508</v>
      </c>
      <c r="WF6">
        <v>12788.7360078048</v>
      </c>
      <c r="WG6">
        <v>12788.7360078048</v>
      </c>
      <c r="WH6">
        <v>25773.735538867801</v>
      </c>
      <c r="WI6">
        <v>0</v>
      </c>
      <c r="WJ6">
        <v>0</v>
      </c>
      <c r="WK6">
        <v>0</v>
      </c>
      <c r="WL6">
        <v>10.077244325277499</v>
      </c>
      <c r="WM6">
        <v>8215.2165935082394</v>
      </c>
      <c r="WN6">
        <v>8215.2165935082394</v>
      </c>
      <c r="WO6">
        <v>16468.187847374302</v>
      </c>
      <c r="WP6">
        <v>18.333300000000001</v>
      </c>
      <c r="WQ6">
        <v>26.666699999999999</v>
      </c>
      <c r="WR6">
        <v>0</v>
      </c>
      <c r="WS6">
        <v>0</v>
      </c>
      <c r="WT6">
        <v>9.9863823774756497</v>
      </c>
      <c r="WU6">
        <v>13077.088415795601</v>
      </c>
      <c r="WV6">
        <v>13077.088415795601</v>
      </c>
      <c r="WW6">
        <v>26070.819306167999</v>
      </c>
      <c r="WX6">
        <v>0</v>
      </c>
      <c r="WY6">
        <v>0</v>
      </c>
      <c r="WZ6">
        <v>0</v>
      </c>
      <c r="XA6">
        <v>10.052944732341899</v>
      </c>
      <c r="XB6">
        <v>8247.0632561566599</v>
      </c>
      <c r="XC6">
        <v>8247.0632561566599</v>
      </c>
      <c r="XD6">
        <v>16500.747020559302</v>
      </c>
      <c r="XE6">
        <v>0</v>
      </c>
      <c r="XF6">
        <v>0</v>
      </c>
      <c r="XG6">
        <v>13.6752303769644</v>
      </c>
      <c r="XH6">
        <v>58561.1536764763</v>
      </c>
      <c r="XI6">
        <v>58561.1536764763</v>
      </c>
      <c r="XJ6">
        <v>102222.879561933</v>
      </c>
      <c r="XK6">
        <v>21.1111</v>
      </c>
      <c r="XL6">
        <v>26.666699999999999</v>
      </c>
      <c r="XM6">
        <v>0</v>
      </c>
      <c r="XN6">
        <v>0</v>
      </c>
      <c r="XO6">
        <v>7.9836926623242297</v>
      </c>
      <c r="XP6">
        <v>0</v>
      </c>
      <c r="XQ6">
        <v>0</v>
      </c>
      <c r="XR6">
        <v>0</v>
      </c>
      <c r="XS6">
        <v>0</v>
      </c>
      <c r="XT6">
        <v>0</v>
      </c>
      <c r="XU6">
        <v>7.8932955071491602</v>
      </c>
      <c r="XV6">
        <v>0</v>
      </c>
      <c r="XW6">
        <v>0</v>
      </c>
      <c r="XX6">
        <v>0</v>
      </c>
      <c r="XY6">
        <v>0</v>
      </c>
      <c r="XZ6">
        <v>0</v>
      </c>
      <c r="YA6">
        <v>7.8344354975768704</v>
      </c>
      <c r="YB6">
        <v>0</v>
      </c>
      <c r="YC6">
        <v>0</v>
      </c>
      <c r="YD6">
        <v>0</v>
      </c>
      <c r="YE6">
        <v>0</v>
      </c>
      <c r="YF6">
        <v>0</v>
      </c>
      <c r="YG6">
        <v>7.9406720496968903</v>
      </c>
      <c r="YH6">
        <v>0</v>
      </c>
      <c r="YI6">
        <v>0</v>
      </c>
      <c r="YJ6">
        <v>0</v>
      </c>
      <c r="YK6">
        <v>0</v>
      </c>
      <c r="YL6">
        <v>0</v>
      </c>
      <c r="YM6">
        <v>10.8395675889593</v>
      </c>
      <c r="YN6">
        <v>0</v>
      </c>
      <c r="YO6">
        <v>0</v>
      </c>
      <c r="YP6">
        <v>0</v>
      </c>
      <c r="YQ6">
        <v>0</v>
      </c>
      <c r="YR6">
        <v>0</v>
      </c>
      <c r="YS6">
        <v>16.099456318547901</v>
      </c>
      <c r="YT6">
        <v>0</v>
      </c>
      <c r="YU6">
        <v>0</v>
      </c>
      <c r="YV6">
        <v>0</v>
      </c>
      <c r="YW6">
        <v>0</v>
      </c>
      <c r="YX6">
        <v>0</v>
      </c>
      <c r="YY6">
        <v>16.0629885829049</v>
      </c>
      <c r="YZ6">
        <v>0</v>
      </c>
      <c r="ZA6">
        <v>0</v>
      </c>
      <c r="ZB6">
        <v>0</v>
      </c>
      <c r="ZC6">
        <v>0</v>
      </c>
      <c r="ZD6">
        <v>0</v>
      </c>
      <c r="ZE6">
        <v>16.0919753160379</v>
      </c>
      <c r="ZF6">
        <v>0</v>
      </c>
      <c r="ZG6">
        <v>0</v>
      </c>
      <c r="ZH6">
        <v>0</v>
      </c>
      <c r="ZI6">
        <v>0</v>
      </c>
      <c r="ZJ6">
        <v>0</v>
      </c>
      <c r="ZK6">
        <v>16.067387439857001</v>
      </c>
      <c r="ZL6">
        <v>0</v>
      </c>
      <c r="ZM6">
        <v>0</v>
      </c>
      <c r="ZN6">
        <v>0</v>
      </c>
      <c r="ZO6">
        <v>0</v>
      </c>
      <c r="ZP6">
        <v>0</v>
      </c>
      <c r="ZQ6">
        <v>17.250200559797001</v>
      </c>
      <c r="ZR6">
        <v>0</v>
      </c>
      <c r="ZS6">
        <v>0</v>
      </c>
      <c r="ZT6">
        <v>0</v>
      </c>
      <c r="ZU6">
        <v>0</v>
      </c>
      <c r="ZV6">
        <v>0</v>
      </c>
      <c r="ZW6">
        <v>15.5815829099953</v>
      </c>
      <c r="ZX6">
        <v>0</v>
      </c>
      <c r="ZY6">
        <v>0</v>
      </c>
      <c r="ZZ6">
        <v>0</v>
      </c>
      <c r="AAA6">
        <v>0</v>
      </c>
      <c r="AAB6">
        <v>0</v>
      </c>
      <c r="AAC6">
        <v>15.5034756016786</v>
      </c>
      <c r="AAD6">
        <v>0</v>
      </c>
      <c r="AAE6">
        <v>0</v>
      </c>
      <c r="AAF6">
        <v>0</v>
      </c>
      <c r="AAG6">
        <v>0</v>
      </c>
      <c r="AAH6">
        <v>0</v>
      </c>
      <c r="AAI6">
        <v>15.6267795205647</v>
      </c>
      <c r="AAJ6">
        <v>0</v>
      </c>
      <c r="AAK6">
        <v>0</v>
      </c>
      <c r="AAL6">
        <v>0</v>
      </c>
      <c r="AAM6">
        <v>0</v>
      </c>
      <c r="AAN6">
        <v>0</v>
      </c>
      <c r="AAO6">
        <v>15.5228154154492</v>
      </c>
      <c r="AAP6">
        <v>0</v>
      </c>
      <c r="AAQ6">
        <v>0</v>
      </c>
      <c r="AAR6">
        <v>0</v>
      </c>
      <c r="AAS6">
        <v>0</v>
      </c>
      <c r="AAT6">
        <v>0</v>
      </c>
      <c r="AAU6">
        <v>16.6800576305166</v>
      </c>
      <c r="AAV6">
        <v>0</v>
      </c>
      <c r="AAW6">
        <v>0</v>
      </c>
      <c r="AAX6">
        <v>0</v>
      </c>
      <c r="AAY6">
        <v>0</v>
      </c>
      <c r="AAZ6">
        <v>0</v>
      </c>
      <c r="ABA6">
        <v>14.922177946614401</v>
      </c>
      <c r="ABB6">
        <v>0</v>
      </c>
      <c r="ABC6">
        <v>0</v>
      </c>
      <c r="ABD6">
        <v>0</v>
      </c>
      <c r="ABE6">
        <v>0</v>
      </c>
      <c r="ABF6">
        <v>0</v>
      </c>
      <c r="ABG6">
        <v>14.8570545604945</v>
      </c>
      <c r="ABH6">
        <v>0</v>
      </c>
      <c r="ABI6">
        <v>0</v>
      </c>
      <c r="ABJ6">
        <v>0</v>
      </c>
      <c r="ABK6">
        <v>0</v>
      </c>
      <c r="ABL6">
        <v>0</v>
      </c>
      <c r="ABM6">
        <v>14.5045626681559</v>
      </c>
      <c r="ABN6">
        <v>0</v>
      </c>
      <c r="ABO6">
        <v>0</v>
      </c>
      <c r="ABP6">
        <v>0</v>
      </c>
      <c r="ABQ6">
        <v>0</v>
      </c>
      <c r="ABR6">
        <v>0</v>
      </c>
      <c r="ABS6">
        <v>14.8825736763013</v>
      </c>
      <c r="ABT6">
        <v>0</v>
      </c>
      <c r="ABU6">
        <v>0</v>
      </c>
      <c r="ABV6">
        <v>0</v>
      </c>
      <c r="ABW6">
        <v>0</v>
      </c>
      <c r="ABX6">
        <v>0</v>
      </c>
      <c r="ABY6">
        <v>15.433860313603001</v>
      </c>
      <c r="ABZ6">
        <v>0</v>
      </c>
      <c r="ACA6">
        <v>0</v>
      </c>
      <c r="ACB6">
        <v>0</v>
      </c>
      <c r="ACC6">
        <v>0</v>
      </c>
      <c r="ACD6">
        <v>0</v>
      </c>
      <c r="ACE6">
        <v>0</v>
      </c>
      <c r="ACF6">
        <v>12.2200000000641</v>
      </c>
      <c r="ACG6">
        <v>12.2200000000641</v>
      </c>
      <c r="ACH6">
        <v>0</v>
      </c>
      <c r="ACI6">
        <v>0</v>
      </c>
      <c r="ACJ6">
        <v>0</v>
      </c>
      <c r="ACK6">
        <v>20.973579277941599</v>
      </c>
      <c r="ACL6">
        <v>20.973579277941599</v>
      </c>
      <c r="ACM6">
        <v>0</v>
      </c>
      <c r="ACN6">
        <v>0</v>
      </c>
      <c r="ACP6">
        <v>0</v>
      </c>
      <c r="ACR6">
        <v>0</v>
      </c>
      <c r="ACT6">
        <v>16.877520201512201</v>
      </c>
      <c r="ACU6">
        <v>16.877520201512201</v>
      </c>
      <c r="ACV6">
        <v>0</v>
      </c>
      <c r="ACW6">
        <v>0</v>
      </c>
      <c r="ACX6">
        <v>1</v>
      </c>
      <c r="ACY6">
        <v>16.564044070072299</v>
      </c>
      <c r="ACZ6">
        <v>16.564044070072299</v>
      </c>
      <c r="ADA6">
        <v>0</v>
      </c>
      <c r="ADB6">
        <v>0</v>
      </c>
      <c r="ADC6">
        <v>1</v>
      </c>
      <c r="ADD6">
        <v>13.6752473205729</v>
      </c>
      <c r="ADE6">
        <v>13.6752473205729</v>
      </c>
      <c r="ADF6">
        <v>0</v>
      </c>
      <c r="ADG6">
        <v>0</v>
      </c>
      <c r="ADH6">
        <v>1</v>
      </c>
      <c r="ADI6">
        <v>13.3795735383032</v>
      </c>
      <c r="ADJ6">
        <v>13.3795735383032</v>
      </c>
      <c r="ADK6">
        <v>0</v>
      </c>
      <c r="ADL6">
        <v>0</v>
      </c>
      <c r="ADM6">
        <v>1</v>
      </c>
      <c r="ADN6">
        <v>13.284139296204399</v>
      </c>
      <c r="ADO6">
        <v>13.284139296204399</v>
      </c>
      <c r="ADP6">
        <v>0</v>
      </c>
      <c r="ADQ6">
        <v>0</v>
      </c>
      <c r="ADR6">
        <v>1</v>
      </c>
      <c r="ADS6">
        <v>13.4715944974543</v>
      </c>
      <c r="ADT6">
        <v>13.4715944974543</v>
      </c>
      <c r="ADU6">
        <v>0</v>
      </c>
      <c r="ADV6">
        <v>0</v>
      </c>
      <c r="ADW6">
        <v>1</v>
      </c>
      <c r="ADX6">
        <v>13.262761802269001</v>
      </c>
      <c r="ADY6">
        <v>13.262761802269001</v>
      </c>
      <c r="ADZ6">
        <v>0</v>
      </c>
      <c r="AEA6">
        <v>0</v>
      </c>
      <c r="AEB6">
        <v>1</v>
      </c>
      <c r="AEC6">
        <v>13.3269474952117</v>
      </c>
      <c r="AED6">
        <v>13.3269474952117</v>
      </c>
      <c r="AEE6">
        <v>0</v>
      </c>
      <c r="AEF6">
        <v>0</v>
      </c>
      <c r="AEG6">
        <v>1</v>
      </c>
      <c r="AEH6">
        <v>13.210183631145201</v>
      </c>
      <c r="AEI6">
        <v>13.210183631145201</v>
      </c>
      <c r="AEJ6">
        <v>0</v>
      </c>
      <c r="AEK6">
        <v>0</v>
      </c>
      <c r="AEL6">
        <v>1</v>
      </c>
      <c r="AEM6">
        <v>13.1693947713451</v>
      </c>
      <c r="AEN6">
        <v>13.1693947713451</v>
      </c>
      <c r="AEO6">
        <v>0</v>
      </c>
      <c r="AEP6">
        <v>0</v>
      </c>
      <c r="AEQ6">
        <v>1</v>
      </c>
      <c r="AER6">
        <v>13.211992480804399</v>
      </c>
      <c r="AES6">
        <v>13.211992480804399</v>
      </c>
      <c r="AET6">
        <v>0</v>
      </c>
      <c r="AEU6">
        <v>0</v>
      </c>
      <c r="AEV6">
        <v>1</v>
      </c>
      <c r="AEW6">
        <v>10.8011793685891</v>
      </c>
      <c r="AEX6">
        <v>10.8011793685891</v>
      </c>
      <c r="AEY6">
        <v>0</v>
      </c>
      <c r="AEZ6">
        <v>0</v>
      </c>
      <c r="AFA6">
        <v>1</v>
      </c>
      <c r="AFB6">
        <v>10.7147841297142</v>
      </c>
      <c r="AFC6">
        <v>10.7147841297142</v>
      </c>
      <c r="AFD6">
        <v>0</v>
      </c>
      <c r="AFE6">
        <v>0</v>
      </c>
      <c r="AFF6">
        <v>1</v>
      </c>
      <c r="AFG6">
        <v>10.5816620378903</v>
      </c>
      <c r="AFH6">
        <v>10.5816620378903</v>
      </c>
      <c r="AFI6">
        <v>0</v>
      </c>
      <c r="AFJ6">
        <v>0</v>
      </c>
      <c r="AFK6">
        <v>1</v>
      </c>
      <c r="AFL6">
        <v>10.7075841833362</v>
      </c>
      <c r="AFM6">
        <v>10.7075841833362</v>
      </c>
      <c r="AFN6">
        <v>0</v>
      </c>
      <c r="AFO6">
        <v>0</v>
      </c>
      <c r="AFP6">
        <v>1</v>
      </c>
      <c r="AFQ6">
        <v>-2.6751199363489802</v>
      </c>
      <c r="AFR6">
        <v>-2.68761653686252</v>
      </c>
      <c r="AFS6">
        <v>-2.7039033296867698</v>
      </c>
      <c r="AFT6">
        <v>-2.7016191090480599</v>
      </c>
      <c r="AFU6">
        <v>-2.71538317015442</v>
      </c>
      <c r="AFV6">
        <v>-2.69122320045228</v>
      </c>
      <c r="AFW6">
        <v>-2.70727934663537</v>
      </c>
      <c r="AFX6">
        <v>-2.70838742487885</v>
      </c>
      <c r="AFY6">
        <v>-3.0594291553442501</v>
      </c>
      <c r="AFZ6">
        <v>-3.0332694889424099</v>
      </c>
      <c r="AGA6">
        <v>-3.0434811702359701</v>
      </c>
      <c r="AGB6">
        <v>-3.0435123975117899</v>
      </c>
      <c r="AGC6">
        <v>-2.18788989323135</v>
      </c>
      <c r="AGD6">
        <v>-2.2435506593443799</v>
      </c>
      <c r="AGE6">
        <v>-2.6953256183528298</v>
      </c>
      <c r="AGF6">
        <v>0</v>
      </c>
      <c r="AGG6">
        <v>0</v>
      </c>
      <c r="AGH6">
        <v>0</v>
      </c>
      <c r="AGI6">
        <v>0</v>
      </c>
      <c r="AGJ6">
        <v>0</v>
      </c>
      <c r="AGK6">
        <v>0</v>
      </c>
      <c r="AGL6">
        <v>0</v>
      </c>
      <c r="AGM6">
        <v>0</v>
      </c>
      <c r="AGN6">
        <v>0</v>
      </c>
      <c r="AGO6">
        <v>0</v>
      </c>
      <c r="AGP6">
        <v>0</v>
      </c>
      <c r="AGQ6">
        <v>0</v>
      </c>
      <c r="AGR6">
        <v>0</v>
      </c>
      <c r="AGS6">
        <v>0</v>
      </c>
      <c r="AGT6">
        <v>0</v>
      </c>
      <c r="AGU6">
        <v>0</v>
      </c>
      <c r="AGV6">
        <v>0</v>
      </c>
      <c r="AGW6">
        <v>0</v>
      </c>
      <c r="AGX6">
        <v>0</v>
      </c>
      <c r="AGY6">
        <v>0</v>
      </c>
      <c r="AGZ6">
        <v>0</v>
      </c>
      <c r="AHA6">
        <v>0</v>
      </c>
      <c r="AHB6">
        <v>0</v>
      </c>
      <c r="AHC6">
        <v>0</v>
      </c>
      <c r="AHD6">
        <v>0</v>
      </c>
      <c r="AHE6">
        <v>0</v>
      </c>
      <c r="AHF6">
        <v>0</v>
      </c>
      <c r="AHG6">
        <v>0</v>
      </c>
      <c r="AHH6">
        <v>0</v>
      </c>
      <c r="AHI6">
        <v>0</v>
      </c>
      <c r="AHJ6">
        <v>0</v>
      </c>
      <c r="AHK6">
        <v>0</v>
      </c>
      <c r="AHL6">
        <v>0</v>
      </c>
      <c r="AHM6">
        <v>0</v>
      </c>
      <c r="AHN6">
        <v>0</v>
      </c>
      <c r="AHO6">
        <v>0</v>
      </c>
      <c r="AHP6">
        <v>0</v>
      </c>
      <c r="AHQ6">
        <v>0</v>
      </c>
      <c r="AHR6">
        <v>0</v>
      </c>
      <c r="AHS6">
        <v>0</v>
      </c>
      <c r="AHT6">
        <v>0</v>
      </c>
      <c r="AHU6">
        <v>0</v>
      </c>
      <c r="AHV6">
        <v>0</v>
      </c>
      <c r="AHW6">
        <v>0</v>
      </c>
      <c r="AHX6">
        <v>0</v>
      </c>
      <c r="AHZ6">
        <v>0</v>
      </c>
      <c r="AIB6">
        <v>0</v>
      </c>
      <c r="AID6">
        <v>0</v>
      </c>
      <c r="AIF6">
        <v>0</v>
      </c>
      <c r="AIH6">
        <v>0</v>
      </c>
      <c r="AIJ6">
        <v>0</v>
      </c>
      <c r="AIL6">
        <v>0</v>
      </c>
      <c r="AIN6">
        <v>0</v>
      </c>
      <c r="AIP6">
        <v>0</v>
      </c>
      <c r="AIR6">
        <v>0</v>
      </c>
      <c r="AIT6">
        <v>0</v>
      </c>
      <c r="AIV6">
        <v>0</v>
      </c>
      <c r="AIX6">
        <v>0</v>
      </c>
      <c r="AIZ6">
        <v>0</v>
      </c>
      <c r="AJB6">
        <v>0</v>
      </c>
      <c r="AJC6">
        <v>0</v>
      </c>
      <c r="AJE6">
        <v>0</v>
      </c>
      <c r="AJH6">
        <v>0</v>
      </c>
      <c r="AJJ6">
        <v>0</v>
      </c>
      <c r="AJK6">
        <v>0</v>
      </c>
      <c r="AJL6">
        <v>0</v>
      </c>
      <c r="AJM6">
        <v>0</v>
      </c>
      <c r="AJN6">
        <v>0</v>
      </c>
      <c r="AJO6">
        <v>0</v>
      </c>
      <c r="AJP6">
        <v>0</v>
      </c>
      <c r="AJQ6">
        <v>0</v>
      </c>
      <c r="AJR6">
        <v>0</v>
      </c>
      <c r="AJS6">
        <v>0</v>
      </c>
      <c r="AJT6">
        <v>0</v>
      </c>
      <c r="AJU6">
        <v>0</v>
      </c>
      <c r="AJV6">
        <v>0</v>
      </c>
      <c r="AJW6">
        <v>0</v>
      </c>
      <c r="AJX6">
        <v>0</v>
      </c>
      <c r="AJY6">
        <v>0</v>
      </c>
      <c r="AJZ6">
        <v>0</v>
      </c>
      <c r="AKA6">
        <v>0</v>
      </c>
      <c r="AKB6">
        <v>0</v>
      </c>
      <c r="AKC6">
        <v>0</v>
      </c>
      <c r="AKD6">
        <v>0</v>
      </c>
      <c r="AKE6">
        <v>78.881990920975895</v>
      </c>
      <c r="AKF6">
        <v>78.881990920975895</v>
      </c>
      <c r="AKG6">
        <v>0</v>
      </c>
      <c r="AKH6">
        <v>0</v>
      </c>
      <c r="AKI6">
        <v>0</v>
      </c>
      <c r="AKJ6">
        <v>0</v>
      </c>
      <c r="AKK6">
        <v>0</v>
      </c>
      <c r="AKL6">
        <v>78.881990920975895</v>
      </c>
      <c r="AKM6">
        <v>78.881990920975895</v>
      </c>
      <c r="AKN6">
        <v>0</v>
      </c>
      <c r="AKO6">
        <v>0</v>
      </c>
      <c r="AKP6">
        <v>0</v>
      </c>
      <c r="AKT6">
        <v>0</v>
      </c>
      <c r="AKX6">
        <v>0</v>
      </c>
      <c r="ALB6">
        <v>20.973579277941599</v>
      </c>
      <c r="ALC6">
        <v>20.973579277941599</v>
      </c>
      <c r="ALD6">
        <v>0</v>
      </c>
      <c r="ALE6">
        <v>0</v>
      </c>
      <c r="ALF6">
        <v>0</v>
      </c>
      <c r="ALH6">
        <v>16.734365430566399</v>
      </c>
      <c r="ALI6">
        <v>2.8568269606532499E-3</v>
      </c>
      <c r="ALJ6">
        <v>0</v>
      </c>
      <c r="ALK6">
        <v>16.734365430566399</v>
      </c>
      <c r="ALL6">
        <v>0</v>
      </c>
      <c r="ALM6">
        <v>0</v>
      </c>
      <c r="ALN6">
        <v>16.734365430566399</v>
      </c>
      <c r="ALO6">
        <v>2.8568269606532499E-3</v>
      </c>
      <c r="ALP6">
        <v>24.297210241597998</v>
      </c>
      <c r="ALQ6">
        <v>0</v>
      </c>
      <c r="ALR6">
        <v>16.734365430566399</v>
      </c>
      <c r="ALS6">
        <v>0</v>
      </c>
      <c r="ALT6">
        <v>16.734365430566399</v>
      </c>
      <c r="ALU6">
        <v>0</v>
      </c>
      <c r="ALV6">
        <v>12.2200000000641</v>
      </c>
      <c r="ALW6">
        <v>9.9999999999999897E-12</v>
      </c>
      <c r="ALX6">
        <v>12.2200000000641</v>
      </c>
      <c r="ALY6">
        <v>9.9999999999999897E-12</v>
      </c>
      <c r="ALZ6">
        <v>0</v>
      </c>
      <c r="AMA6">
        <v>12.2200000000641</v>
      </c>
      <c r="AMB6">
        <v>0</v>
      </c>
      <c r="AMC6">
        <v>12.2200000000641</v>
      </c>
      <c r="AMD6">
        <v>0</v>
      </c>
      <c r="AME6">
        <v>12.2200000000641</v>
      </c>
      <c r="AMF6">
        <v>0</v>
      </c>
      <c r="AMG6">
        <v>0</v>
      </c>
      <c r="AMH6">
        <v>0</v>
      </c>
      <c r="AMI6">
        <v>16.077852511504201</v>
      </c>
      <c r="AMJ6">
        <v>0</v>
      </c>
      <c r="AMK6" s="580">
        <v>17.249192405107198</v>
      </c>
      <c r="AML6">
        <v>0</v>
      </c>
      <c r="AMM6">
        <v>16.073405634608299</v>
      </c>
      <c r="AMN6">
        <v>0</v>
      </c>
      <c r="AMO6">
        <v>16.109496575265901</v>
      </c>
      <c r="AMP6">
        <v>0</v>
      </c>
      <c r="AMQ6">
        <v>16.1032775330597</v>
      </c>
      <c r="AMR6">
        <v>0</v>
      </c>
      <c r="AMS6">
        <v>16.682689696008602</v>
      </c>
      <c r="AMT6">
        <v>0</v>
      </c>
      <c r="AMU6">
        <v>15.5419304308541</v>
      </c>
      <c r="AMV6">
        <v>0</v>
      </c>
      <c r="AMW6">
        <v>15.5613333270525</v>
      </c>
      <c r="AMX6">
        <v>0</v>
      </c>
      <c r="AMY6">
        <v>15.619182338861</v>
      </c>
      <c r="AMZ6">
        <v>0</v>
      </c>
      <c r="ANA6">
        <v>15.665167388769399</v>
      </c>
      <c r="ANB6">
        <v>0</v>
      </c>
      <c r="ANC6">
        <v>15.453963040009199</v>
      </c>
      <c r="AND6">
        <v>0</v>
      </c>
      <c r="ANE6">
        <v>14.9191193746945</v>
      </c>
      <c r="ANF6">
        <v>0</v>
      </c>
      <c r="ANG6">
        <v>14.9447811331439</v>
      </c>
      <c r="ANH6">
        <v>0</v>
      </c>
      <c r="ANI6">
        <v>14.9830170487785</v>
      </c>
      <c r="ANJ6">
        <v>0</v>
      </c>
      <c r="ANK6">
        <v>14.560475940960901</v>
      </c>
      <c r="ANL6">
        <v>0</v>
      </c>
      <c r="ANM6">
        <v>0</v>
      </c>
      <c r="ANN6">
        <v>0</v>
      </c>
      <c r="ANO6">
        <v>0</v>
      </c>
      <c r="ANP6">
        <v>17.249192405107198</v>
      </c>
      <c r="ANQ6">
        <v>16.073405634608299</v>
      </c>
      <c r="ANR6">
        <v>16.077852511504201</v>
      </c>
      <c r="ANS6">
        <v>16.1032775330597</v>
      </c>
      <c r="ANT6">
        <v>16.109496575265901</v>
      </c>
      <c r="ANU6">
        <v>16.682689696008602</v>
      </c>
      <c r="ANV6">
        <v>15.5419304308541</v>
      </c>
      <c r="ANW6">
        <v>15.5613333270525</v>
      </c>
      <c r="ANX6">
        <v>15.665167388769399</v>
      </c>
      <c r="ANY6">
        <v>15.619182338861</v>
      </c>
      <c r="ANZ6">
        <v>15.453963040009199</v>
      </c>
      <c r="AOA6">
        <v>14.9191193746945</v>
      </c>
      <c r="AOB6">
        <v>14.9447811331439</v>
      </c>
      <c r="AOC6">
        <v>14.560475940960901</v>
      </c>
      <c r="AOD6">
        <v>14.9830170487785</v>
      </c>
      <c r="AOE6">
        <v>16.734365430566399</v>
      </c>
      <c r="AOF6">
        <v>0</v>
      </c>
      <c r="AOG6">
        <v>16.736969653532199</v>
      </c>
      <c r="AOH6">
        <v>0</v>
      </c>
    </row>
    <row r="7" spans="1:1074">
      <c r="A7" t="s">
        <v>2577</v>
      </c>
      <c r="B7">
        <v>-3.33</v>
      </c>
      <c r="D7">
        <v>-3.33</v>
      </c>
      <c r="F7">
        <v>10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0</v>
      </c>
      <c r="CF7">
        <v>0</v>
      </c>
      <c r="CG7">
        <v>0</v>
      </c>
      <c r="CH7">
        <v>0</v>
      </c>
      <c r="CI7">
        <v>0</v>
      </c>
      <c r="CJ7">
        <v>0</v>
      </c>
      <c r="CK7">
        <v>0</v>
      </c>
      <c r="CL7">
        <v>0</v>
      </c>
      <c r="CM7">
        <v>0</v>
      </c>
      <c r="CN7">
        <v>0</v>
      </c>
      <c r="CO7">
        <v>0</v>
      </c>
      <c r="CP7">
        <v>0</v>
      </c>
      <c r="CQ7">
        <v>0</v>
      </c>
      <c r="CR7">
        <v>0</v>
      </c>
      <c r="CS7">
        <v>0</v>
      </c>
      <c r="CT7">
        <v>0</v>
      </c>
      <c r="CU7">
        <v>0</v>
      </c>
      <c r="CV7">
        <v>0</v>
      </c>
      <c r="CW7">
        <v>0</v>
      </c>
      <c r="CX7">
        <v>0</v>
      </c>
      <c r="CY7">
        <v>0</v>
      </c>
      <c r="CZ7">
        <v>0</v>
      </c>
      <c r="DA7">
        <v>0</v>
      </c>
      <c r="DB7">
        <v>0</v>
      </c>
      <c r="DC7">
        <v>0</v>
      </c>
      <c r="DD7">
        <v>0</v>
      </c>
      <c r="DE7">
        <v>0</v>
      </c>
      <c r="DF7">
        <v>0</v>
      </c>
      <c r="DG7">
        <v>0</v>
      </c>
      <c r="DH7">
        <v>0</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0</v>
      </c>
      <c r="FF7">
        <v>0</v>
      </c>
      <c r="FG7">
        <v>0</v>
      </c>
      <c r="FH7">
        <v>0</v>
      </c>
      <c r="FI7">
        <v>0</v>
      </c>
      <c r="FJ7">
        <v>0</v>
      </c>
      <c r="FK7">
        <v>0</v>
      </c>
      <c r="FL7">
        <v>0</v>
      </c>
      <c r="FM7">
        <v>0</v>
      </c>
      <c r="FN7">
        <v>0</v>
      </c>
      <c r="FO7">
        <v>0</v>
      </c>
      <c r="FP7">
        <v>0</v>
      </c>
      <c r="FQ7">
        <v>0</v>
      </c>
      <c r="FR7">
        <v>0</v>
      </c>
      <c r="FS7">
        <v>0</v>
      </c>
      <c r="FT7">
        <v>0</v>
      </c>
      <c r="FU7">
        <v>0</v>
      </c>
      <c r="FV7">
        <v>0</v>
      </c>
      <c r="FW7">
        <v>0</v>
      </c>
      <c r="FX7">
        <v>0</v>
      </c>
      <c r="FY7">
        <v>0</v>
      </c>
      <c r="FZ7">
        <v>0</v>
      </c>
      <c r="GA7">
        <v>0</v>
      </c>
      <c r="GB7">
        <v>-30.111637394775599</v>
      </c>
      <c r="GC7">
        <v>511.80966709204301</v>
      </c>
      <c r="GD7">
        <v>231.48535532251299</v>
      </c>
      <c r="GE7">
        <v>-20.167593616054901</v>
      </c>
      <c r="GF7">
        <v>333.44614168238002</v>
      </c>
      <c r="GG7">
        <v>149.84255723014101</v>
      </c>
      <c r="GH7">
        <v>-29.150650229675399</v>
      </c>
      <c r="GI7">
        <v>513.51771242568395</v>
      </c>
      <c r="GJ7">
        <v>241.28994449347999</v>
      </c>
      <c r="GK7">
        <v>-20.140333355823199</v>
      </c>
      <c r="GL7">
        <v>338.528334501259</v>
      </c>
      <c r="GM7">
        <v>152.978046203914</v>
      </c>
      <c r="GN7">
        <v>-71.5468934721587</v>
      </c>
      <c r="GO7">
        <v>14.9390677899708</v>
      </c>
      <c r="GP7">
        <v>14.4591628415968</v>
      </c>
      <c r="GQ7">
        <v>-0.64876349331288397</v>
      </c>
      <c r="GR7">
        <v>92.453554141824895</v>
      </c>
      <c r="GS7">
        <v>790.13430895871204</v>
      </c>
      <c r="GT7">
        <v>-47.942781755524102</v>
      </c>
      <c r="GU7">
        <v>14.857690202933499</v>
      </c>
      <c r="GV7">
        <v>14.3785140521274</v>
      </c>
      <c r="GW7">
        <v>-0.133998491200608</v>
      </c>
      <c r="GX7">
        <v>60.852924246778699</v>
      </c>
      <c r="GY7">
        <v>513.56619710523501</v>
      </c>
      <c r="GZ7">
        <v>-72.899998280886393</v>
      </c>
      <c r="HA7">
        <v>15.071997231303101</v>
      </c>
      <c r="HB7">
        <v>14.584851153699301</v>
      </c>
      <c r="HC7">
        <v>-0.69378617919885199</v>
      </c>
      <c r="HD7">
        <v>95.130386273275704</v>
      </c>
      <c r="HE7">
        <v>813.05267471567902</v>
      </c>
      <c r="HF7">
        <v>-47.1029913916922</v>
      </c>
      <c r="HG7">
        <v>14.8635869454504</v>
      </c>
      <c r="HH7">
        <v>14.3745827741241</v>
      </c>
      <c r="HI7">
        <v>-0.5324615593448</v>
      </c>
      <c r="HJ7">
        <v>60.876955262855397</v>
      </c>
      <c r="HK7">
        <v>517.12778088799303</v>
      </c>
      <c r="HL7">
        <v>-27.999974566223699</v>
      </c>
      <c r="HM7">
        <v>14.734682549773</v>
      </c>
      <c r="HN7">
        <v>15.674491179873501</v>
      </c>
      <c r="HO7">
        <v>311.14691958638798</v>
      </c>
      <c r="HP7">
        <v>494.15213528093398</v>
      </c>
      <c r="HQ7">
        <v>14.478645350781299</v>
      </c>
      <c r="HR7">
        <v>265.80576410751399</v>
      </c>
      <c r="HS7">
        <v>-17.754100439321299</v>
      </c>
      <c r="HT7">
        <v>14.668354726714</v>
      </c>
      <c r="HU7">
        <v>15.6579270919066</v>
      </c>
      <c r="HV7">
        <v>193.61947401975601</v>
      </c>
      <c r="HW7">
        <v>319.820328335574</v>
      </c>
      <c r="HX7">
        <v>14.3774005832522</v>
      </c>
      <c r="HY7">
        <v>171.65809039940899</v>
      </c>
      <c r="HZ7">
        <v>14.600713585435001</v>
      </c>
      <c r="IA7">
        <v>15.6300192609496</v>
      </c>
      <c r="IB7">
        <v>313.688334422661</v>
      </c>
      <c r="IC7">
        <v>-26.631850380580602</v>
      </c>
      <c r="ID7">
        <v>521.20797906470398</v>
      </c>
      <c r="IE7">
        <v>14.2898906809137</v>
      </c>
      <c r="IF7">
        <v>254.487926780365</v>
      </c>
      <c r="IG7">
        <v>22.336940518848898</v>
      </c>
      <c r="IH7">
        <v>14.6769300971251</v>
      </c>
      <c r="II7">
        <v>15.6618823240689</v>
      </c>
      <c r="IJ7">
        <v>195.11018159261701</v>
      </c>
      <c r="IK7">
        <v>21.0589210369867</v>
      </c>
      <c r="IL7">
        <v>-16.9153309773085</v>
      </c>
      <c r="IM7">
        <v>324.65399569717403</v>
      </c>
      <c r="IN7">
        <v>14.395481919808301</v>
      </c>
      <c r="IO7">
        <v>0.96836516055878696</v>
      </c>
      <c r="IP7">
        <v>174.78646601518199</v>
      </c>
      <c r="IQ7">
        <v>-126.197960882724</v>
      </c>
      <c r="IR7">
        <v>-77.269827517215305</v>
      </c>
      <c r="IS7">
        <v>-135.08353286505701</v>
      </c>
      <c r="IT7">
        <v>-76.8013386915935</v>
      </c>
      <c r="IU7">
        <v>-12.698144198248</v>
      </c>
      <c r="IV7">
        <v>-69.180835614361399</v>
      </c>
      <c r="IW7">
        <v>15.070727853269</v>
      </c>
      <c r="IX7">
        <v>14.478645350781299</v>
      </c>
      <c r="IY7">
        <v>-3.28009338212834</v>
      </c>
      <c r="IZ7">
        <v>104.85797701158</v>
      </c>
      <c r="JA7">
        <v>924.36503133050098</v>
      </c>
      <c r="JB7">
        <v>-46.3200708371918</v>
      </c>
      <c r="JC7">
        <v>14.9774253431044</v>
      </c>
      <c r="JD7">
        <v>14.3774005832522</v>
      </c>
      <c r="JE7">
        <v>-2.0074554160717399</v>
      </c>
      <c r="JF7">
        <v>69.724618737654893</v>
      </c>
      <c r="JG7">
        <v>607.15430888279502</v>
      </c>
      <c r="JH7">
        <v>-69.427615243242599</v>
      </c>
      <c r="JI7">
        <v>14.7826876695626</v>
      </c>
      <c r="JJ7">
        <v>14.2898906809137</v>
      </c>
      <c r="JK7">
        <v>-0.90990251793591104</v>
      </c>
      <c r="JL7">
        <v>94.075080980091499</v>
      </c>
      <c r="JM7">
        <v>796.73334898118003</v>
      </c>
      <c r="JN7">
        <v>-45.511566021798899</v>
      </c>
      <c r="JO7">
        <v>15.001444094330999</v>
      </c>
      <c r="JP7">
        <v>14.395481919808301</v>
      </c>
      <c r="JQ7">
        <v>0.22677249121906401</v>
      </c>
      <c r="JR7">
        <v>-2.3283348201443999</v>
      </c>
      <c r="JS7">
        <v>0.69602997761794805</v>
      </c>
      <c r="JT7">
        <v>69.638550891073194</v>
      </c>
      <c r="JU7">
        <v>609.21539891144198</v>
      </c>
      <c r="JV7">
        <v>-24.727375570135301</v>
      </c>
      <c r="JW7">
        <v>627.82405757951801</v>
      </c>
      <c r="JX7">
        <v>-40.681827293109698</v>
      </c>
      <c r="JY7">
        <v>-18.1318072393622</v>
      </c>
      <c r="JZ7">
        <v>399.51187569845899</v>
      </c>
      <c r="KA7">
        <v>-25.579178246522901</v>
      </c>
      <c r="KB7">
        <v>-24.790086580519802</v>
      </c>
      <c r="KC7">
        <v>608.85444260883901</v>
      </c>
      <c r="KD7">
        <v>-35.898657037773098</v>
      </c>
      <c r="KE7">
        <v>-18.277877834359099</v>
      </c>
      <c r="KF7">
        <v>8.6426364708508494</v>
      </c>
      <c r="KG7">
        <v>-135.130390968261</v>
      </c>
      <c r="KH7">
        <v>1.95772129306014</v>
      </c>
      <c r="KI7">
        <v>406.65105934038502</v>
      </c>
      <c r="KJ7">
        <v>-24.416624099353101</v>
      </c>
      <c r="KK7">
        <v>-34.036434161516702</v>
      </c>
      <c r="KL7">
        <v>8.8503293564416996</v>
      </c>
      <c r="KM7">
        <v>10.300794923061501</v>
      </c>
      <c r="KN7">
        <v>334.82384819991501</v>
      </c>
      <c r="KO7">
        <v>7.5546849528414901</v>
      </c>
      <c r="KP7">
        <v>-10.7564422046242</v>
      </c>
      <c r="KQ7">
        <v>-64.203895483670706</v>
      </c>
      <c r="KR7">
        <v>-1112.00831389005</v>
      </c>
      <c r="KS7">
        <v>-23.505952467049099</v>
      </c>
      <c r="KT7">
        <v>8.7620989417472508</v>
      </c>
      <c r="KU7">
        <v>10.2202210614353</v>
      </c>
      <c r="KV7">
        <v>213.808175358113</v>
      </c>
      <c r="KW7">
        <v>7.4619606740254296</v>
      </c>
      <c r="KX7">
        <v>-10.674420696931699</v>
      </c>
      <c r="KY7">
        <v>-40.8193612510048</v>
      </c>
      <c r="KZ7">
        <v>-699.007098272436</v>
      </c>
      <c r="LA7">
        <v>-35.573565725753497</v>
      </c>
      <c r="LB7">
        <v>8.6982191923589305</v>
      </c>
      <c r="LC7">
        <v>10.132754918768001</v>
      </c>
      <c r="LD7">
        <v>330.50381117929902</v>
      </c>
      <c r="LE7">
        <v>7.4125096356545201</v>
      </c>
      <c r="LF7">
        <v>-10.7616364027343</v>
      </c>
      <c r="LG7">
        <v>-64.146207431706202</v>
      </c>
      <c r="LH7">
        <v>-1105.01751649124</v>
      </c>
      <c r="LI7">
        <v>-22.4184367632425</v>
      </c>
      <c r="LJ7">
        <v>8.8042040301551907</v>
      </c>
      <c r="LK7">
        <v>10.244626034391899</v>
      </c>
      <c r="LL7">
        <v>212.233289766658</v>
      </c>
      <c r="LM7">
        <v>7.5218015842301504</v>
      </c>
      <c r="LN7">
        <v>-10.334263157445401</v>
      </c>
      <c r="LO7">
        <v>-38.5744743720904</v>
      </c>
      <c r="LP7">
        <v>-687.90815834150499</v>
      </c>
      <c r="LQ7">
        <v>-46.723443001735802</v>
      </c>
      <c r="LR7">
        <v>16.543770193381601</v>
      </c>
      <c r="LS7">
        <v>16.481000000000002</v>
      </c>
      <c r="LT7">
        <v>177.75760475953101</v>
      </c>
      <c r="LU7">
        <v>1017.93123392526</v>
      </c>
      <c r="LV7">
        <v>15.728055336229501</v>
      </c>
      <c r="LW7">
        <v>14.5647529310957</v>
      </c>
      <c r="LX7">
        <v>-128.097595176526</v>
      </c>
      <c r="LY7">
        <v>-31.515144853218299</v>
      </c>
      <c r="LZ7">
        <v>16.522988792119602</v>
      </c>
      <c r="MA7">
        <v>16.481000000000002</v>
      </c>
      <c r="MB7">
        <v>116.884624045219</v>
      </c>
      <c r="MC7">
        <v>666.88735307935804</v>
      </c>
      <c r="MD7">
        <v>15.682887510942701</v>
      </c>
      <c r="ME7">
        <v>14.4923430758405</v>
      </c>
      <c r="MF7">
        <v>-83.158506541908295</v>
      </c>
      <c r="MG7">
        <v>-47.394207532376399</v>
      </c>
      <c r="MH7">
        <v>16.503202463506</v>
      </c>
      <c r="MI7">
        <v>16.481000000000002</v>
      </c>
      <c r="MJ7">
        <v>166.66299894812201</v>
      </c>
      <c r="MK7">
        <v>952.10372694720797</v>
      </c>
      <c r="ML7">
        <v>15.7455622877227</v>
      </c>
      <c r="MM7">
        <v>14.6544657356326</v>
      </c>
      <c r="MN7">
        <v>-117.416891729361</v>
      </c>
      <c r="MO7">
        <v>-31.012009639501699</v>
      </c>
      <c r="MP7">
        <v>16.5285771145697</v>
      </c>
      <c r="MQ7">
        <v>16.481000000000002</v>
      </c>
      <c r="MR7">
        <v>117.200367892587</v>
      </c>
      <c r="MS7">
        <v>669.46322894561604</v>
      </c>
      <c r="MT7">
        <v>15.683743444337001</v>
      </c>
      <c r="MU7">
        <v>14.4842927668576</v>
      </c>
      <c r="MV7">
        <v>-83.969629113027807</v>
      </c>
      <c r="MW7">
        <v>-42.914955382822598</v>
      </c>
      <c r="MX7">
        <v>15.764429443796301</v>
      </c>
      <c r="MY7">
        <v>15.579213753397999</v>
      </c>
      <c r="MZ7">
        <v>110.326370471868</v>
      </c>
      <c r="NA7">
        <v>629.37329218885498</v>
      </c>
      <c r="NB7">
        <v>15.277110705627001</v>
      </c>
      <c r="NC7">
        <v>14.412233451680001</v>
      </c>
      <c r="ND7">
        <v>-72.395531413945506</v>
      </c>
      <c r="NE7">
        <v>-28.9479574863613</v>
      </c>
      <c r="NF7">
        <v>15.6944750814166</v>
      </c>
      <c r="NG7">
        <v>15.5096765368231</v>
      </c>
      <c r="NH7">
        <v>72.609700337967595</v>
      </c>
      <c r="NI7">
        <v>411.60785337387102</v>
      </c>
      <c r="NJ7">
        <v>15.1935827540562</v>
      </c>
      <c r="NK7">
        <v>14.3123048911624</v>
      </c>
      <c r="NL7">
        <v>-46.661715498797903</v>
      </c>
      <c r="NM7">
        <v>-43.818442644565501</v>
      </c>
      <c r="NN7">
        <v>15.843877089983399</v>
      </c>
      <c r="NO7">
        <v>15.7253591789193</v>
      </c>
      <c r="NP7">
        <v>124.061228383108</v>
      </c>
      <c r="NQ7">
        <v>713.02856554774303</v>
      </c>
      <c r="NR7">
        <v>15.284906069171701</v>
      </c>
      <c r="NS7">
        <v>14.3215526870024</v>
      </c>
      <c r="NT7">
        <v>-85.526952866522706</v>
      </c>
      <c r="NU7">
        <v>-28.402116366005298</v>
      </c>
      <c r="NV7">
        <v>15.713333860954</v>
      </c>
      <c r="NW7" s="35">
        <v>15.523650545462401</v>
      </c>
      <c r="NX7" s="35">
        <v>1.7</v>
      </c>
      <c r="NY7">
        <v>72.540061067712799</v>
      </c>
      <c r="NZ7" s="35">
        <v>411.87593280206499</v>
      </c>
      <c r="OA7">
        <v>15.2111790732808</v>
      </c>
      <c r="OB7" s="35">
        <v>14.3264087126308</v>
      </c>
      <c r="OC7" s="35">
        <v>1.7</v>
      </c>
      <c r="OD7">
        <v>-47.031969134077499</v>
      </c>
      <c r="OE7">
        <v>1.7</v>
      </c>
      <c r="OF7">
        <v>1.7</v>
      </c>
      <c r="OG7">
        <v>-39.7516553389869</v>
      </c>
      <c r="OH7">
        <v>15.3789450740605</v>
      </c>
      <c r="OI7">
        <v>15.829974852882</v>
      </c>
      <c r="OJ7">
        <v>238.429266851064</v>
      </c>
      <c r="OK7">
        <v>1434.4425973537</v>
      </c>
      <c r="OL7">
        <v>14.1683838622553</v>
      </c>
      <c r="OM7">
        <v>12.121796027707701</v>
      </c>
      <c r="ON7">
        <v>-215.47498440185799</v>
      </c>
      <c r="OO7">
        <v>-26.856040642872099</v>
      </c>
      <c r="OP7">
        <v>15.3217585097688</v>
      </c>
      <c r="OQ7">
        <v>15.760271844595101</v>
      </c>
      <c r="OR7">
        <v>154.16434857445401</v>
      </c>
      <c r="OS7">
        <v>923.24123719922</v>
      </c>
      <c r="OT7">
        <v>14.0959857453869</v>
      </c>
      <c r="OU7">
        <v>12.0342954294458</v>
      </c>
      <c r="OV7">
        <v>-137.71405545783099</v>
      </c>
      <c r="OW7">
        <v>-40.016866442037298</v>
      </c>
      <c r="OX7">
        <v>14.941068004347001</v>
      </c>
      <c r="OY7">
        <v>15.428059216549601</v>
      </c>
      <c r="OZ7">
        <v>225.40881248422701</v>
      </c>
      <c r="PA7">
        <v>1343.8832904047099</v>
      </c>
      <c r="PB7">
        <v>13.8008087896396</v>
      </c>
      <c r="PC7">
        <v>11.881318506502099</v>
      </c>
      <c r="PD7">
        <v>-202.13545379384601</v>
      </c>
      <c r="PE7">
        <v>-26.308922564025899</v>
      </c>
      <c r="PF7">
        <v>15.348595945272899</v>
      </c>
      <c r="PG7">
        <v>15.7889025864879</v>
      </c>
      <c r="PH7">
        <v>1.7</v>
      </c>
      <c r="PI7">
        <v>154.57307000572999</v>
      </c>
      <c r="PJ7">
        <v>926.52951997826403</v>
      </c>
      <c r="PK7">
        <v>14.117601321082899</v>
      </c>
      <c r="PL7">
        <v>12.0449769813454</v>
      </c>
      <c r="PM7">
        <v>1.7</v>
      </c>
      <c r="PN7" s="35">
        <v>-138.54875217968501</v>
      </c>
      <c r="PO7">
        <v>14.2950560034629</v>
      </c>
      <c r="PP7">
        <v>14.1882163920781</v>
      </c>
      <c r="PQ7">
        <v>14.3630624093246</v>
      </c>
      <c r="PR7">
        <v>14.180859615673199</v>
      </c>
      <c r="PS7">
        <v>16.9071953099231</v>
      </c>
      <c r="PT7">
        <v>14.2469854143391</v>
      </c>
      <c r="PU7">
        <v>14.1171255385261</v>
      </c>
      <c r="PV7">
        <v>14.0676415444194</v>
      </c>
      <c r="PW7">
        <v>14.134486811988101</v>
      </c>
      <c r="PX7">
        <v>16.543901619804501</v>
      </c>
      <c r="PY7">
        <v>11.345558137298299</v>
      </c>
      <c r="PZ7">
        <v>11.2528481878606</v>
      </c>
      <c r="QA7">
        <v>11.123379585782001</v>
      </c>
      <c r="QB7">
        <v>11.264552256105</v>
      </c>
      <c r="QC7">
        <v>13.5928350677328</v>
      </c>
      <c r="QD7" s="35">
        <v>15.3474852374737</v>
      </c>
      <c r="QE7" s="35">
        <v>13.4659878662748</v>
      </c>
      <c r="QF7">
        <v>13.360889899101201</v>
      </c>
      <c r="QG7">
        <v>13.5502725878954</v>
      </c>
      <c r="QH7">
        <v>13.339617904575601</v>
      </c>
      <c r="QI7">
        <v>16.885488497026302</v>
      </c>
      <c r="QJ7">
        <v>13.3574804085947</v>
      </c>
      <c r="QK7">
        <v>13.232388499773799</v>
      </c>
      <c r="QL7">
        <v>13.2105817801861</v>
      </c>
      <c r="QM7">
        <v>13.2338539775937</v>
      </c>
      <c r="QN7">
        <v>948.33090041249602</v>
      </c>
      <c r="QO7">
        <v>16.5328109621999</v>
      </c>
      <c r="QP7">
        <v>-45.799864611106102</v>
      </c>
      <c r="QQ7">
        <v>10.6708160766301</v>
      </c>
      <c r="QR7">
        <v>10.572806019802099</v>
      </c>
      <c r="QS7">
        <v>10.4689490524569</v>
      </c>
      <c r="QT7">
        <v>10.570209500109099</v>
      </c>
      <c r="QU7">
        <v>13.5807455360261</v>
      </c>
      <c r="QV7">
        <v>15.353825564756701</v>
      </c>
      <c r="QW7">
        <v>783937.268444694</v>
      </c>
      <c r="QX7">
        <v>0</v>
      </c>
      <c r="QY7">
        <v>522429.61268771702</v>
      </c>
      <c r="QZ7">
        <v>0</v>
      </c>
      <c r="RA7">
        <v>129493.99157039401</v>
      </c>
      <c r="RB7">
        <v>0</v>
      </c>
      <c r="RC7">
        <v>85762.898555795604</v>
      </c>
      <c r="RD7">
        <v>0</v>
      </c>
      <c r="RE7">
        <v>284421.07477925299</v>
      </c>
      <c r="RF7">
        <v>0</v>
      </c>
      <c r="RG7">
        <v>192211.80192847899</v>
      </c>
      <c r="RH7" s="35">
        <v>0</v>
      </c>
      <c r="RI7">
        <v>0</v>
      </c>
      <c r="RJ7" s="35">
        <v>0</v>
      </c>
      <c r="RK7" s="35">
        <v>12.636919729086699</v>
      </c>
      <c r="RL7">
        <v>8798.7765386253195</v>
      </c>
      <c r="RM7">
        <v>8798.7765386253195</v>
      </c>
      <c r="RN7">
        <v>21638.129614493399</v>
      </c>
      <c r="RO7" s="35">
        <v>0</v>
      </c>
      <c r="RP7">
        <v>0</v>
      </c>
      <c r="RQ7">
        <v>12.5335634061243</v>
      </c>
      <c r="RR7">
        <v>5693.8173885854203</v>
      </c>
      <c r="RS7">
        <v>5693.8173885854203</v>
      </c>
      <c r="RT7">
        <v>13853.302587784399</v>
      </c>
      <c r="RU7">
        <v>0</v>
      </c>
      <c r="RV7">
        <v>0</v>
      </c>
      <c r="RW7" s="35">
        <v>12.7374827664663</v>
      </c>
      <c r="RX7">
        <v>8644.1621542331995</v>
      </c>
      <c r="RY7">
        <v>8644.1621542331995</v>
      </c>
      <c r="RZ7">
        <v>21478.918353804798</v>
      </c>
      <c r="SA7">
        <v>0</v>
      </c>
      <c r="SB7">
        <v>0</v>
      </c>
      <c r="SC7">
        <v>12.4983761934781</v>
      </c>
      <c r="SD7">
        <v>5729.0915451523497</v>
      </c>
      <c r="SE7">
        <v>5729.0915451523497</v>
      </c>
      <c r="SF7">
        <v>13889.5744873247</v>
      </c>
      <c r="SG7">
        <v>0</v>
      </c>
      <c r="SH7">
        <v>0</v>
      </c>
      <c r="SI7">
        <v>16.863781684129599</v>
      </c>
      <c r="SJ7">
        <v>33035.039593241498</v>
      </c>
      <c r="SK7">
        <v>33035.039593241498</v>
      </c>
      <c r="SL7">
        <v>76234.500138663701</v>
      </c>
      <c r="SM7">
        <v>21.1111</v>
      </c>
      <c r="SN7">
        <v>26.666699999999999</v>
      </c>
      <c r="SO7">
        <v>0</v>
      </c>
      <c r="SP7">
        <v>0</v>
      </c>
      <c r="SQ7">
        <v>14.9197007210094</v>
      </c>
      <c r="SR7">
        <v>0</v>
      </c>
      <c r="SS7">
        <v>0</v>
      </c>
      <c r="ST7">
        <v>0</v>
      </c>
      <c r="SU7">
        <v>0</v>
      </c>
      <c r="SV7">
        <v>0</v>
      </c>
      <c r="SW7">
        <v>14.832122236347599</v>
      </c>
      <c r="SX7">
        <v>0</v>
      </c>
      <c r="SY7">
        <v>0</v>
      </c>
      <c r="SZ7">
        <v>0</v>
      </c>
      <c r="TA7">
        <v>0</v>
      </c>
      <c r="TB7">
        <v>0</v>
      </c>
      <c r="TC7">
        <v>15.0498464603656</v>
      </c>
      <c r="TD7">
        <v>0</v>
      </c>
      <c r="TE7">
        <v>0</v>
      </c>
      <c r="TF7">
        <v>0</v>
      </c>
      <c r="TG7">
        <v>0</v>
      </c>
      <c r="TH7">
        <v>0</v>
      </c>
      <c r="TI7">
        <v>14.845768978838301</v>
      </c>
      <c r="TJ7">
        <v>0</v>
      </c>
      <c r="TK7">
        <v>0</v>
      </c>
      <c r="TL7">
        <v>0</v>
      </c>
      <c r="TM7">
        <v>0</v>
      </c>
      <c r="TN7">
        <v>0</v>
      </c>
      <c r="TO7">
        <v>16.7207894540316</v>
      </c>
      <c r="TP7">
        <v>0</v>
      </c>
      <c r="TQ7">
        <v>0</v>
      </c>
      <c r="TR7">
        <v>0</v>
      </c>
      <c r="TS7">
        <v>0</v>
      </c>
      <c r="TT7">
        <v>0</v>
      </c>
      <c r="TU7">
        <v>12.4679754028503</v>
      </c>
      <c r="TV7">
        <v>9107.4685243611293</v>
      </c>
      <c r="TW7">
        <v>9107.4685243611293</v>
      </c>
      <c r="TX7">
        <v>21979.891142812899</v>
      </c>
      <c r="TY7">
        <v>0</v>
      </c>
      <c r="TZ7">
        <v>0</v>
      </c>
      <c r="UA7">
        <v>12.3476514610216</v>
      </c>
      <c r="UB7">
        <v>5907.9997691157596</v>
      </c>
      <c r="UC7">
        <v>5907.9997691157596</v>
      </c>
      <c r="UD7">
        <v>14089.8051979094</v>
      </c>
      <c r="UE7">
        <v>0</v>
      </c>
      <c r="UF7">
        <v>0</v>
      </c>
      <c r="UG7">
        <v>12.3535220159528</v>
      </c>
      <c r="UH7">
        <v>9284.4294642619607</v>
      </c>
      <c r="UI7">
        <v>9284.4294642619607</v>
      </c>
      <c r="UJ7">
        <v>22162.053084570001</v>
      </c>
      <c r="UK7">
        <v>0</v>
      </c>
      <c r="UL7">
        <v>0</v>
      </c>
      <c r="UM7">
        <v>12.3332211431993</v>
      </c>
      <c r="UN7">
        <v>5922.6741884126805</v>
      </c>
      <c r="UO7">
        <v>5922.6741884126805</v>
      </c>
      <c r="UP7">
        <v>14104.8903455694</v>
      </c>
      <c r="UQ7">
        <v>0</v>
      </c>
      <c r="UR7">
        <v>0</v>
      </c>
      <c r="US7">
        <v>16.521720304595402</v>
      </c>
      <c r="UT7">
        <v>35754.675042428098</v>
      </c>
      <c r="UU7">
        <v>35754.675042428098</v>
      </c>
      <c r="UV7">
        <v>79004.067048309604</v>
      </c>
      <c r="UW7">
        <v>21.1111</v>
      </c>
      <c r="UX7">
        <v>26.666699999999999</v>
      </c>
      <c r="UY7">
        <v>0</v>
      </c>
      <c r="UZ7">
        <v>0</v>
      </c>
      <c r="VA7">
        <v>15.0912875819234</v>
      </c>
      <c r="VB7">
        <v>0</v>
      </c>
      <c r="VC7">
        <v>0</v>
      </c>
      <c r="VD7">
        <v>0</v>
      </c>
      <c r="VE7">
        <v>0</v>
      </c>
      <c r="VF7">
        <v>0</v>
      </c>
      <c r="VG7">
        <v>14.996180577561301</v>
      </c>
      <c r="VH7">
        <v>0</v>
      </c>
      <c r="VI7">
        <v>0</v>
      </c>
      <c r="VJ7">
        <v>0</v>
      </c>
      <c r="VK7">
        <v>0</v>
      </c>
      <c r="VL7">
        <v>0</v>
      </c>
      <c r="VM7">
        <v>14.7479743212572</v>
      </c>
      <c r="VN7">
        <v>0</v>
      </c>
      <c r="VO7">
        <v>0</v>
      </c>
      <c r="VP7">
        <v>0</v>
      </c>
      <c r="VQ7">
        <v>0</v>
      </c>
      <c r="VR7">
        <v>0</v>
      </c>
      <c r="VS7">
        <v>15.025426964755299</v>
      </c>
      <c r="VT7">
        <v>0</v>
      </c>
      <c r="VU7">
        <v>0</v>
      </c>
      <c r="VV7">
        <v>0</v>
      </c>
      <c r="VW7">
        <v>0</v>
      </c>
      <c r="VX7">
        <v>0</v>
      </c>
      <c r="VY7">
        <v>16.345306243551899</v>
      </c>
      <c r="VZ7">
        <v>0</v>
      </c>
      <c r="WA7">
        <v>0</v>
      </c>
      <c r="WB7">
        <v>0</v>
      </c>
      <c r="WC7">
        <v>0</v>
      </c>
      <c r="WD7">
        <v>0</v>
      </c>
      <c r="WE7">
        <v>9.9960740159619608</v>
      </c>
      <c r="WF7">
        <v>13060.551648692899</v>
      </c>
      <c r="WG7">
        <v>13060.551648692899</v>
      </c>
      <c r="WH7">
        <v>26053.925393029302</v>
      </c>
      <c r="WI7">
        <v>0</v>
      </c>
      <c r="WJ7">
        <v>0</v>
      </c>
      <c r="WK7">
        <v>0</v>
      </c>
      <c r="WL7">
        <v>9.8927638517435792</v>
      </c>
      <c r="WM7">
        <v>8406.3850116318608</v>
      </c>
      <c r="WN7">
        <v>8406.3850116318608</v>
      </c>
      <c r="WO7">
        <v>16664.797941361801</v>
      </c>
      <c r="WP7">
        <v>18.333300000000001</v>
      </c>
      <c r="WQ7">
        <v>26.666699999999999</v>
      </c>
      <c r="WR7">
        <v>0</v>
      </c>
      <c r="WS7">
        <v>0</v>
      </c>
      <c r="WT7">
        <v>9.8145185191317807</v>
      </c>
      <c r="WU7">
        <v>13340.3192901209</v>
      </c>
      <c r="WV7">
        <v>13340.3192901209</v>
      </c>
      <c r="WW7">
        <v>26341.723063217902</v>
      </c>
      <c r="WX7">
        <v>0</v>
      </c>
      <c r="WY7">
        <v>0</v>
      </c>
      <c r="WZ7">
        <v>0</v>
      </c>
      <c r="XA7">
        <v>9.8758667441132104</v>
      </c>
      <c r="XB7">
        <v>8423.1975998634898</v>
      </c>
      <c r="XC7">
        <v>8423.1975998634898</v>
      </c>
      <c r="XD7">
        <v>16682.3073711465</v>
      </c>
      <c r="XE7">
        <v>0</v>
      </c>
      <c r="XF7">
        <v>0</v>
      </c>
      <c r="XG7">
        <v>13.568656004319401</v>
      </c>
      <c r="XH7">
        <v>59416.122470275397</v>
      </c>
      <c r="XI7">
        <v>59416.122470275397</v>
      </c>
      <c r="XJ7">
        <v>103094.257705322</v>
      </c>
      <c r="XK7">
        <v>21.1111</v>
      </c>
      <c r="XL7">
        <v>26.666699999999999</v>
      </c>
      <c r="XM7">
        <v>0</v>
      </c>
      <c r="XN7">
        <v>0</v>
      </c>
      <c r="XO7">
        <v>7.8158770399377904</v>
      </c>
      <c r="XP7">
        <v>0</v>
      </c>
      <c r="XQ7">
        <v>0</v>
      </c>
      <c r="XR7">
        <v>0</v>
      </c>
      <c r="XS7">
        <v>0</v>
      </c>
      <c r="XT7">
        <v>0</v>
      </c>
      <c r="XU7">
        <v>7.7229390630160601</v>
      </c>
      <c r="XV7">
        <v>0</v>
      </c>
      <c r="XW7">
        <v>0</v>
      </c>
      <c r="XX7">
        <v>0</v>
      </c>
      <c r="XY7">
        <v>0</v>
      </c>
      <c r="XZ7">
        <v>0</v>
      </c>
      <c r="YA7">
        <v>7.6748972783027201</v>
      </c>
      <c r="YB7">
        <v>0</v>
      </c>
      <c r="YC7">
        <v>0</v>
      </c>
      <c r="YD7">
        <v>0</v>
      </c>
      <c r="YE7">
        <v>0</v>
      </c>
      <c r="YF7">
        <v>0</v>
      </c>
      <c r="YG7">
        <v>7.7708066371847604</v>
      </c>
      <c r="YH7">
        <v>0</v>
      </c>
      <c r="YI7">
        <v>0</v>
      </c>
      <c r="YJ7">
        <v>0</v>
      </c>
      <c r="YK7">
        <v>0</v>
      </c>
      <c r="YL7">
        <v>0</v>
      </c>
      <c r="YM7">
        <v>10.7331426200236</v>
      </c>
      <c r="YN7">
        <v>0</v>
      </c>
      <c r="YO7">
        <v>0</v>
      </c>
      <c r="YP7">
        <v>0</v>
      </c>
      <c r="YQ7">
        <v>0</v>
      </c>
      <c r="YR7">
        <v>0</v>
      </c>
      <c r="YS7">
        <v>16.0598898631909</v>
      </c>
      <c r="YT7">
        <v>0</v>
      </c>
      <c r="YU7">
        <v>0</v>
      </c>
      <c r="YV7">
        <v>0</v>
      </c>
      <c r="YW7">
        <v>0</v>
      </c>
      <c r="YX7">
        <v>0</v>
      </c>
      <c r="YY7">
        <v>16.021959089572501</v>
      </c>
      <c r="YZ7">
        <v>0</v>
      </c>
      <c r="ZA7">
        <v>0</v>
      </c>
      <c r="ZB7">
        <v>0</v>
      </c>
      <c r="ZC7">
        <v>0</v>
      </c>
      <c r="ZD7">
        <v>0</v>
      </c>
      <c r="ZE7">
        <v>16.0478379629842</v>
      </c>
      <c r="ZF7">
        <v>0</v>
      </c>
      <c r="ZG7">
        <v>0</v>
      </c>
      <c r="ZH7">
        <v>0</v>
      </c>
      <c r="ZI7">
        <v>0</v>
      </c>
      <c r="ZJ7">
        <v>0</v>
      </c>
      <c r="ZK7">
        <v>16.026178417102798</v>
      </c>
      <c r="ZL7">
        <v>0</v>
      </c>
      <c r="ZM7">
        <v>0</v>
      </c>
      <c r="ZN7">
        <v>0</v>
      </c>
      <c r="ZO7">
        <v>0</v>
      </c>
      <c r="ZP7">
        <v>0</v>
      </c>
      <c r="ZQ7">
        <v>17.253378002800499</v>
      </c>
      <c r="ZR7">
        <v>0</v>
      </c>
      <c r="ZS7">
        <v>0</v>
      </c>
      <c r="ZT7">
        <v>0</v>
      </c>
      <c r="ZU7">
        <v>0</v>
      </c>
      <c r="ZV7">
        <v>0</v>
      </c>
      <c r="ZW7">
        <v>15.433536146781799</v>
      </c>
      <c r="ZX7">
        <v>0</v>
      </c>
      <c r="ZY7">
        <v>0</v>
      </c>
      <c r="ZZ7">
        <v>0</v>
      </c>
      <c r="AAA7">
        <v>0</v>
      </c>
      <c r="AAB7">
        <v>0</v>
      </c>
      <c r="AAC7">
        <v>15.352051588027599</v>
      </c>
      <c r="AAD7">
        <v>0</v>
      </c>
      <c r="AAE7">
        <v>0</v>
      </c>
      <c r="AAF7">
        <v>0</v>
      </c>
      <c r="AAG7">
        <v>0</v>
      </c>
      <c r="AAH7">
        <v>0</v>
      </c>
      <c r="AAI7">
        <v>15.475555236586199</v>
      </c>
      <c r="AAJ7">
        <v>0</v>
      </c>
      <c r="AAK7">
        <v>0</v>
      </c>
      <c r="AAL7">
        <v>0</v>
      </c>
      <c r="AAM7">
        <v>0</v>
      </c>
      <c r="AAN7">
        <v>0</v>
      </c>
      <c r="AAO7">
        <v>15.371132632071401</v>
      </c>
      <c r="AAP7">
        <v>0</v>
      </c>
      <c r="AAQ7">
        <v>0</v>
      </c>
      <c r="AAR7">
        <v>0</v>
      </c>
      <c r="AAS7">
        <v>0</v>
      </c>
      <c r="AAT7">
        <v>0</v>
      </c>
      <c r="AAU7">
        <v>16.667913883412599</v>
      </c>
      <c r="AAV7">
        <v>0</v>
      </c>
      <c r="AAW7">
        <v>0</v>
      </c>
      <c r="AAX7">
        <v>0</v>
      </c>
      <c r="AAY7">
        <v>0</v>
      </c>
      <c r="AAZ7">
        <v>0</v>
      </c>
      <c r="ABA7">
        <v>14.6844678766626</v>
      </c>
      <c r="ABB7">
        <v>0</v>
      </c>
      <c r="ABC7">
        <v>0</v>
      </c>
      <c r="ABD7">
        <v>0</v>
      </c>
      <c r="ABE7">
        <v>0</v>
      </c>
      <c r="ABF7">
        <v>0</v>
      </c>
      <c r="ABG7">
        <v>14.614544692899599</v>
      </c>
      <c r="ABH7">
        <v>0</v>
      </c>
      <c r="ABI7">
        <v>0</v>
      </c>
      <c r="ABJ7">
        <v>0</v>
      </c>
      <c r="ABK7">
        <v>0</v>
      </c>
      <c r="ABL7">
        <v>0</v>
      </c>
      <c r="ABM7">
        <v>14.286037244844</v>
      </c>
      <c r="ABN7">
        <v>0</v>
      </c>
      <c r="ABO7">
        <v>0</v>
      </c>
      <c r="ABP7">
        <v>0</v>
      </c>
      <c r="ABQ7">
        <v>0</v>
      </c>
      <c r="ABR7">
        <v>0</v>
      </c>
      <c r="ABS7">
        <v>14.6395638448782</v>
      </c>
      <c r="ABT7">
        <v>0</v>
      </c>
      <c r="ABU7">
        <v>0</v>
      </c>
      <c r="ABV7">
        <v>0</v>
      </c>
      <c r="ABW7">
        <v>0</v>
      </c>
      <c r="ABX7">
        <v>0</v>
      </c>
      <c r="ABY7">
        <v>15.353825564756701</v>
      </c>
      <c r="ABZ7">
        <v>0</v>
      </c>
      <c r="ACA7">
        <v>0</v>
      </c>
      <c r="ACB7">
        <v>0</v>
      </c>
      <c r="ACC7">
        <v>0</v>
      </c>
      <c r="ACD7">
        <v>0</v>
      </c>
      <c r="ACE7">
        <v>0</v>
      </c>
      <c r="ACF7">
        <v>12.2200000000641</v>
      </c>
      <c r="ACG7">
        <v>12.2200000000641</v>
      </c>
      <c r="ACH7">
        <v>0</v>
      </c>
      <c r="ACI7">
        <v>0</v>
      </c>
      <c r="ACJ7">
        <v>0</v>
      </c>
      <c r="ACK7">
        <v>20.973579277941599</v>
      </c>
      <c r="ACL7">
        <v>20.973579277941599</v>
      </c>
      <c r="ACM7">
        <v>0</v>
      </c>
      <c r="ACN7">
        <v>0</v>
      </c>
      <c r="ACP7">
        <v>0</v>
      </c>
      <c r="ACR7">
        <v>0</v>
      </c>
      <c r="ACT7">
        <v>16.863777852757</v>
      </c>
      <c r="ACU7">
        <v>16.863777852757</v>
      </c>
      <c r="ACV7">
        <v>0</v>
      </c>
      <c r="ACW7">
        <v>0</v>
      </c>
      <c r="ACX7">
        <v>1</v>
      </c>
      <c r="ACY7">
        <v>16.521710431660001</v>
      </c>
      <c r="ACZ7">
        <v>16.521710431660001</v>
      </c>
      <c r="ADA7">
        <v>0</v>
      </c>
      <c r="ADB7">
        <v>0</v>
      </c>
      <c r="ADC7">
        <v>1</v>
      </c>
      <c r="ADD7">
        <v>13.5686622163716</v>
      </c>
      <c r="ADE7">
        <v>13.5686622163716</v>
      </c>
      <c r="ADF7">
        <v>0</v>
      </c>
      <c r="ADG7">
        <v>0</v>
      </c>
      <c r="ADH7">
        <v>1</v>
      </c>
      <c r="ADI7">
        <v>13.3131880517982</v>
      </c>
      <c r="ADJ7">
        <v>13.3131880517982</v>
      </c>
      <c r="ADK7">
        <v>0</v>
      </c>
      <c r="ADL7">
        <v>0</v>
      </c>
      <c r="ADM7">
        <v>1</v>
      </c>
      <c r="ADN7">
        <v>13.2147808731082</v>
      </c>
      <c r="ADO7">
        <v>13.2147808731082</v>
      </c>
      <c r="ADP7">
        <v>0</v>
      </c>
      <c r="ADQ7">
        <v>0</v>
      </c>
      <c r="ADR7">
        <v>1</v>
      </c>
      <c r="ADS7">
        <v>13.3938001256672</v>
      </c>
      <c r="ADT7">
        <v>13.3938001256672</v>
      </c>
      <c r="ADU7">
        <v>0</v>
      </c>
      <c r="ADV7">
        <v>0</v>
      </c>
      <c r="ADW7">
        <v>1</v>
      </c>
      <c r="ADX7">
        <v>13.193367481307799</v>
      </c>
      <c r="ADY7">
        <v>13.193367481307799</v>
      </c>
      <c r="ADZ7">
        <v>0</v>
      </c>
      <c r="AEA7">
        <v>0</v>
      </c>
      <c r="AEB7">
        <v>1</v>
      </c>
      <c r="AEC7">
        <v>13.190191286365801</v>
      </c>
      <c r="AED7">
        <v>13.190191286365801</v>
      </c>
      <c r="AEE7">
        <v>0</v>
      </c>
      <c r="AEF7">
        <v>0</v>
      </c>
      <c r="AEG7">
        <v>1</v>
      </c>
      <c r="AEH7">
        <v>13.071192477779</v>
      </c>
      <c r="AEI7">
        <v>13.071192477779</v>
      </c>
      <c r="AEJ7">
        <v>0</v>
      </c>
      <c r="AEK7">
        <v>0</v>
      </c>
      <c r="AEL7">
        <v>1</v>
      </c>
      <c r="AEM7">
        <v>13.0416598413</v>
      </c>
      <c r="AEN7">
        <v>13.0416598413</v>
      </c>
      <c r="AEO7">
        <v>0</v>
      </c>
      <c r="AEP7">
        <v>0</v>
      </c>
      <c r="AEQ7">
        <v>1</v>
      </c>
      <c r="AER7">
        <v>13.0729302461563</v>
      </c>
      <c r="AES7">
        <v>13.0729302461563</v>
      </c>
      <c r="AET7">
        <v>0</v>
      </c>
      <c r="AEU7">
        <v>0</v>
      </c>
      <c r="AEV7">
        <v>1</v>
      </c>
      <c r="AEW7">
        <v>10.6107575728958</v>
      </c>
      <c r="AEX7">
        <v>10.6107575728958</v>
      </c>
      <c r="AEY7">
        <v>0</v>
      </c>
      <c r="AEZ7">
        <v>0</v>
      </c>
      <c r="AFA7">
        <v>1</v>
      </c>
      <c r="AFB7">
        <v>10.5195483570443</v>
      </c>
      <c r="AFC7">
        <v>10.5195483570443</v>
      </c>
      <c r="AFD7">
        <v>0</v>
      </c>
      <c r="AFE7">
        <v>0</v>
      </c>
      <c r="AFF7">
        <v>1</v>
      </c>
      <c r="AFG7">
        <v>10.4076462693421</v>
      </c>
      <c r="AFH7">
        <v>10.4076462693421</v>
      </c>
      <c r="AFI7">
        <v>0</v>
      </c>
      <c r="AFJ7">
        <v>0</v>
      </c>
      <c r="AFK7">
        <v>1</v>
      </c>
      <c r="AFL7">
        <v>10.5139870550871</v>
      </c>
      <c r="AFM7">
        <v>10.5139870550871</v>
      </c>
      <c r="AFN7">
        <v>0</v>
      </c>
      <c r="AFO7">
        <v>0</v>
      </c>
      <c r="AFP7">
        <v>1</v>
      </c>
      <c r="AFQ7">
        <v>-2.68654388501198</v>
      </c>
      <c r="AFR7">
        <v>-2.6973266859390801</v>
      </c>
      <c r="AFS7">
        <v>-2.7139697054911398</v>
      </c>
      <c r="AFT7">
        <v>-2.7116888425367498</v>
      </c>
      <c r="AFU7">
        <v>-2.7337300737788</v>
      </c>
      <c r="AFV7">
        <v>-2.7111149634546998</v>
      </c>
      <c r="AFW7">
        <v>-2.7273437521296802</v>
      </c>
      <c r="AFX7">
        <v>-2.7284248342608901</v>
      </c>
      <c r="AFY7">
        <v>-3.0796029851704598</v>
      </c>
      <c r="AFZ7">
        <v>-3.0556459361128701</v>
      </c>
      <c r="AGA7">
        <v>-3.0660469257613001</v>
      </c>
      <c r="AGB7">
        <v>-3.06610992795654</v>
      </c>
      <c r="AGC7">
        <v>-2.1901773534535698</v>
      </c>
      <c r="AGD7">
        <v>-2.2507016035576202</v>
      </c>
      <c r="AGE7">
        <v>-2.7102990517169498</v>
      </c>
      <c r="AGF7">
        <v>0</v>
      </c>
      <c r="AGG7">
        <v>0</v>
      </c>
      <c r="AGH7">
        <v>0</v>
      </c>
      <c r="AGI7">
        <v>0</v>
      </c>
      <c r="AGJ7">
        <v>0</v>
      </c>
      <c r="AGK7">
        <v>0</v>
      </c>
      <c r="AGL7">
        <v>0</v>
      </c>
      <c r="AGM7">
        <v>0</v>
      </c>
      <c r="AGN7">
        <v>0</v>
      </c>
      <c r="AGO7">
        <v>0</v>
      </c>
      <c r="AGP7">
        <v>0</v>
      </c>
      <c r="AGQ7">
        <v>0</v>
      </c>
      <c r="AGR7">
        <v>0</v>
      </c>
      <c r="AGS7">
        <v>0</v>
      </c>
      <c r="AGT7">
        <v>0</v>
      </c>
      <c r="AGU7">
        <v>0</v>
      </c>
      <c r="AGV7">
        <v>0</v>
      </c>
      <c r="AGW7">
        <v>0</v>
      </c>
      <c r="AGX7">
        <v>0</v>
      </c>
      <c r="AGY7">
        <v>0</v>
      </c>
      <c r="AGZ7">
        <v>0</v>
      </c>
      <c r="AHA7">
        <v>0</v>
      </c>
      <c r="AHB7">
        <v>0</v>
      </c>
      <c r="AHC7">
        <v>0</v>
      </c>
      <c r="AHD7">
        <v>0</v>
      </c>
      <c r="AHE7">
        <v>0</v>
      </c>
      <c r="AHF7">
        <v>0</v>
      </c>
      <c r="AHG7">
        <v>0</v>
      </c>
      <c r="AHH7">
        <v>0</v>
      </c>
      <c r="AHI7">
        <v>0</v>
      </c>
      <c r="AHJ7">
        <v>0</v>
      </c>
      <c r="AHK7">
        <v>0</v>
      </c>
      <c r="AHL7">
        <v>0</v>
      </c>
      <c r="AHM7">
        <v>0</v>
      </c>
      <c r="AHN7">
        <v>0</v>
      </c>
      <c r="AHO7">
        <v>0</v>
      </c>
      <c r="AHP7">
        <v>0</v>
      </c>
      <c r="AHQ7">
        <v>0</v>
      </c>
      <c r="AHR7">
        <v>0</v>
      </c>
      <c r="AHS7">
        <v>0</v>
      </c>
      <c r="AHT7">
        <v>0</v>
      </c>
      <c r="AHU7">
        <v>0</v>
      </c>
      <c r="AHV7">
        <v>0</v>
      </c>
      <c r="AHW7">
        <v>0</v>
      </c>
      <c r="AHX7">
        <v>0</v>
      </c>
      <c r="AHZ7">
        <v>0</v>
      </c>
      <c r="AIB7">
        <v>0</v>
      </c>
      <c r="AID7">
        <v>0</v>
      </c>
      <c r="AIF7">
        <v>0</v>
      </c>
      <c r="AIH7">
        <v>0</v>
      </c>
      <c r="AIJ7">
        <v>0</v>
      </c>
      <c r="AIL7">
        <v>0</v>
      </c>
      <c r="AIN7">
        <v>0</v>
      </c>
      <c r="AIP7">
        <v>0</v>
      </c>
      <c r="AIR7">
        <v>0</v>
      </c>
      <c r="AIT7">
        <v>0</v>
      </c>
      <c r="AIV7">
        <v>0</v>
      </c>
      <c r="AIX7">
        <v>0</v>
      </c>
      <c r="AIZ7">
        <v>0</v>
      </c>
      <c r="AJB7">
        <v>0</v>
      </c>
      <c r="AJC7">
        <v>0</v>
      </c>
      <c r="AJE7">
        <v>0</v>
      </c>
      <c r="AJH7">
        <v>0</v>
      </c>
      <c r="AJJ7">
        <v>0</v>
      </c>
      <c r="AJK7">
        <v>0</v>
      </c>
      <c r="AJL7">
        <v>0</v>
      </c>
      <c r="AJM7">
        <v>0</v>
      </c>
      <c r="AJN7">
        <v>0</v>
      </c>
      <c r="AJO7">
        <v>0</v>
      </c>
      <c r="AJP7">
        <v>0</v>
      </c>
      <c r="AJQ7">
        <v>0</v>
      </c>
      <c r="AJR7">
        <v>0</v>
      </c>
      <c r="AJS7">
        <v>0</v>
      </c>
      <c r="AJT7">
        <v>0</v>
      </c>
      <c r="AJU7">
        <v>0</v>
      </c>
      <c r="AJV7">
        <v>0</v>
      </c>
      <c r="AJW7">
        <v>0</v>
      </c>
      <c r="AJX7">
        <v>0</v>
      </c>
      <c r="AJY7">
        <v>0</v>
      </c>
      <c r="AJZ7">
        <v>0</v>
      </c>
      <c r="AKA7">
        <v>0</v>
      </c>
      <c r="AKB7">
        <v>0</v>
      </c>
      <c r="AKC7">
        <v>0</v>
      </c>
      <c r="AKD7">
        <v>0</v>
      </c>
      <c r="AKE7">
        <v>78.881990920975895</v>
      </c>
      <c r="AKF7">
        <v>78.881990920975895</v>
      </c>
      <c r="AKG7">
        <v>0</v>
      </c>
      <c r="AKH7">
        <v>0</v>
      </c>
      <c r="AKI7">
        <v>0</v>
      </c>
      <c r="AKJ7">
        <v>0</v>
      </c>
      <c r="AKK7">
        <v>0</v>
      </c>
      <c r="AKL7">
        <v>78.881990920975895</v>
      </c>
      <c r="AKM7">
        <v>78.881990920975895</v>
      </c>
      <c r="AKN7">
        <v>0</v>
      </c>
      <c r="AKO7">
        <v>0</v>
      </c>
      <c r="AKP7">
        <v>0</v>
      </c>
      <c r="AKT7">
        <v>0</v>
      </c>
      <c r="AKX7">
        <v>0</v>
      </c>
      <c r="ALB7">
        <v>20.973579277941599</v>
      </c>
      <c r="ALC7">
        <v>20.973579277941599</v>
      </c>
      <c r="ALD7">
        <v>0</v>
      </c>
      <c r="ALE7">
        <v>0</v>
      </c>
      <c r="ALF7">
        <v>0</v>
      </c>
      <c r="ALH7">
        <v>16.723598412228501</v>
      </c>
      <c r="ALI7">
        <v>2.8568269606532499E-3</v>
      </c>
      <c r="ALJ7">
        <v>0</v>
      </c>
      <c r="ALK7">
        <v>16.723598412228501</v>
      </c>
      <c r="ALL7">
        <v>0</v>
      </c>
      <c r="ALM7">
        <v>0</v>
      </c>
      <c r="ALN7">
        <v>16.723598412228501</v>
      </c>
      <c r="ALO7">
        <v>2.8568269606532499E-3</v>
      </c>
      <c r="ALP7">
        <v>24.3138379346025</v>
      </c>
      <c r="ALQ7">
        <v>0</v>
      </c>
      <c r="ALR7">
        <v>16.723598412228501</v>
      </c>
      <c r="ALS7">
        <v>0</v>
      </c>
      <c r="ALT7">
        <v>16.723598412228501</v>
      </c>
      <c r="ALU7">
        <v>0</v>
      </c>
      <c r="ALV7">
        <v>12.2200000000641</v>
      </c>
      <c r="ALW7">
        <v>9.9999999999999897E-12</v>
      </c>
      <c r="ALX7">
        <v>12.2200000000641</v>
      </c>
      <c r="ALY7">
        <v>9.9999999999999897E-12</v>
      </c>
      <c r="ALZ7">
        <v>0</v>
      </c>
      <c r="AMA7">
        <v>12.2200000000641</v>
      </c>
      <c r="AMB7">
        <v>0</v>
      </c>
      <c r="AMC7">
        <v>12.2200000000641</v>
      </c>
      <c r="AMD7">
        <v>0</v>
      </c>
      <c r="AME7">
        <v>12.2200000000641</v>
      </c>
      <c r="AMF7">
        <v>0</v>
      </c>
      <c r="AMG7">
        <v>0</v>
      </c>
      <c r="AMH7">
        <v>0</v>
      </c>
      <c r="AMI7">
        <v>16.036382361708299</v>
      </c>
      <c r="AMJ7">
        <v>0</v>
      </c>
      <c r="AMK7" s="580">
        <v>17.252703728574001</v>
      </c>
      <c r="AML7">
        <v>0</v>
      </c>
      <c r="AMM7">
        <v>16.032120037356201</v>
      </c>
      <c r="AMN7">
        <v>0</v>
      </c>
      <c r="AMO7">
        <v>16.069691220048998</v>
      </c>
      <c r="AMP7">
        <v>0</v>
      </c>
      <c r="AMQ7">
        <v>16.058712769010199</v>
      </c>
      <c r="AMR7">
        <v>0</v>
      </c>
      <c r="AMS7">
        <v>16.671182186598799</v>
      </c>
      <c r="AMT7">
        <v>0</v>
      </c>
      <c r="AMU7">
        <v>15.3895433294451</v>
      </c>
      <c r="AMV7">
        <v>0</v>
      </c>
      <c r="AMW7">
        <v>15.408694566114001</v>
      </c>
      <c r="AMX7">
        <v>0</v>
      </c>
      <c r="AMY7">
        <v>15.4701893604222</v>
      </c>
      <c r="AMZ7">
        <v>0</v>
      </c>
      <c r="ANA7">
        <v>15.5130061837186</v>
      </c>
      <c r="ANB7">
        <v>0</v>
      </c>
      <c r="ANC7">
        <v>15.373776686166099</v>
      </c>
      <c r="AND7">
        <v>0</v>
      </c>
      <c r="ANE7">
        <v>14.6743297959255</v>
      </c>
      <c r="ANF7">
        <v>0</v>
      </c>
      <c r="ANG7">
        <v>14.6994507646004</v>
      </c>
      <c r="ANH7">
        <v>0</v>
      </c>
      <c r="ANI7">
        <v>14.7430549685761</v>
      </c>
      <c r="ANJ7">
        <v>0</v>
      </c>
      <c r="ANK7">
        <v>14.339903409745199</v>
      </c>
      <c r="ANL7">
        <v>0</v>
      </c>
      <c r="ANM7">
        <v>0</v>
      </c>
      <c r="ANN7">
        <v>0</v>
      </c>
      <c r="ANO7">
        <v>0</v>
      </c>
      <c r="ANP7">
        <v>17.252703728574001</v>
      </c>
      <c r="ANQ7">
        <v>16.032120037356201</v>
      </c>
      <c r="ANR7">
        <v>16.036382361708299</v>
      </c>
      <c r="ANS7">
        <v>16.058712769010199</v>
      </c>
      <c r="ANT7">
        <v>16.069691220048998</v>
      </c>
      <c r="ANU7">
        <v>16.671182186598799</v>
      </c>
      <c r="ANV7">
        <v>15.3895433294451</v>
      </c>
      <c r="ANW7">
        <v>15.408694566114001</v>
      </c>
      <c r="ANX7">
        <v>15.5130061837186</v>
      </c>
      <c r="ANY7">
        <v>15.4701893604222</v>
      </c>
      <c r="ANZ7">
        <v>15.373776686166099</v>
      </c>
      <c r="AOA7">
        <v>14.6743297959255</v>
      </c>
      <c r="AOB7">
        <v>14.6994507646004</v>
      </c>
      <c r="AOC7">
        <v>14.339903409745199</v>
      </c>
      <c r="AOD7">
        <v>14.7430549685761</v>
      </c>
      <c r="AOE7">
        <v>16.723598412228501</v>
      </c>
      <c r="AOF7">
        <v>0</v>
      </c>
      <c r="AOG7">
        <v>16.7263589411771</v>
      </c>
      <c r="AOH7">
        <v>0</v>
      </c>
    </row>
    <row r="8" spans="1:1074">
      <c r="A8" t="s">
        <v>2578</v>
      </c>
      <c r="B8">
        <v>-3.33</v>
      </c>
      <c r="D8">
        <v>-3.33</v>
      </c>
      <c r="F8">
        <v>10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D8">
        <v>0</v>
      </c>
      <c r="DE8">
        <v>0</v>
      </c>
      <c r="DF8">
        <v>0</v>
      </c>
      <c r="DG8">
        <v>0</v>
      </c>
      <c r="DH8">
        <v>0</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0</v>
      </c>
      <c r="EP8">
        <v>0</v>
      </c>
      <c r="EQ8">
        <v>0</v>
      </c>
      <c r="ER8">
        <v>0</v>
      </c>
      <c r="ES8">
        <v>0</v>
      </c>
      <c r="ET8">
        <v>0</v>
      </c>
      <c r="EU8">
        <v>0</v>
      </c>
      <c r="EV8">
        <v>0</v>
      </c>
      <c r="EW8">
        <v>0</v>
      </c>
      <c r="EX8">
        <v>0</v>
      </c>
      <c r="EY8">
        <v>0</v>
      </c>
      <c r="EZ8">
        <v>0</v>
      </c>
      <c r="FA8">
        <v>0</v>
      </c>
      <c r="FB8">
        <v>0</v>
      </c>
      <c r="FC8" s="35">
        <v>0</v>
      </c>
      <c r="FD8">
        <v>0</v>
      </c>
      <c r="FE8">
        <v>0</v>
      </c>
      <c r="FF8">
        <v>0</v>
      </c>
      <c r="FG8">
        <v>0</v>
      </c>
      <c r="FH8">
        <v>0</v>
      </c>
      <c r="FI8">
        <v>0</v>
      </c>
      <c r="FJ8">
        <v>0</v>
      </c>
      <c r="FK8">
        <v>0</v>
      </c>
      <c r="FL8">
        <v>0</v>
      </c>
      <c r="FM8">
        <v>0</v>
      </c>
      <c r="FN8">
        <v>0</v>
      </c>
      <c r="FO8">
        <v>0</v>
      </c>
      <c r="FP8">
        <v>0</v>
      </c>
      <c r="FQ8">
        <v>0</v>
      </c>
      <c r="FR8">
        <v>0</v>
      </c>
      <c r="FS8">
        <v>0</v>
      </c>
      <c r="FT8">
        <v>0</v>
      </c>
      <c r="FU8">
        <v>0</v>
      </c>
      <c r="FV8">
        <v>0</v>
      </c>
      <c r="FW8">
        <v>0</v>
      </c>
      <c r="FX8">
        <v>0</v>
      </c>
      <c r="FY8">
        <v>0</v>
      </c>
      <c r="FZ8">
        <v>0</v>
      </c>
      <c r="GA8">
        <v>0</v>
      </c>
      <c r="GB8">
        <v>-295.224871073413</v>
      </c>
      <c r="GC8">
        <v>12.310823627532701</v>
      </c>
      <c r="GD8">
        <v>-206.54678924466401</v>
      </c>
      <c r="GE8">
        <v>-197.12049823115601</v>
      </c>
      <c r="GF8">
        <v>9.8506769299810699</v>
      </c>
      <c r="GG8">
        <v>-131.93277908491299</v>
      </c>
      <c r="GH8">
        <v>-359.89478398482999</v>
      </c>
      <c r="GI8">
        <v>-61.113506379032202</v>
      </c>
      <c r="GJ8">
        <v>-325.46467276786802</v>
      </c>
      <c r="GK8">
        <v>-195.08710945593299</v>
      </c>
      <c r="GL8">
        <v>11.9576551170423</v>
      </c>
      <c r="GM8">
        <v>-129.708179110298</v>
      </c>
      <c r="GN8">
        <v>-61.181037145429798</v>
      </c>
      <c r="GO8">
        <v>14.949865768247401</v>
      </c>
      <c r="GP8">
        <v>14.9076948316214</v>
      </c>
      <c r="GQ8">
        <v>158.583437440247</v>
      </c>
      <c r="GR8">
        <v>176.01154488840999</v>
      </c>
      <c r="GS8">
        <v>762.86736378924604</v>
      </c>
      <c r="GT8">
        <v>-41.459187892399299</v>
      </c>
      <c r="GU8">
        <v>14.872851567569199</v>
      </c>
      <c r="GV8">
        <v>14.8414251030646</v>
      </c>
      <c r="GW8">
        <v>101.34608624361</v>
      </c>
      <c r="GX8">
        <v>113.174763151516</v>
      </c>
      <c r="GY8">
        <v>492.87481343276801</v>
      </c>
      <c r="GZ8">
        <v>-69.858380512269306</v>
      </c>
      <c r="HA8">
        <v>15.1903935763108</v>
      </c>
      <c r="HB8">
        <v>15.1993357098138</v>
      </c>
      <c r="HC8">
        <v>115.45133165515</v>
      </c>
      <c r="HD8">
        <v>138.21124345996901</v>
      </c>
      <c r="HE8">
        <v>682.26242528218404</v>
      </c>
      <c r="HF8">
        <v>-39.672419020262701</v>
      </c>
      <c r="HG8">
        <v>14.872925579065299</v>
      </c>
      <c r="HH8">
        <v>14.8363357505146</v>
      </c>
      <c r="HI8">
        <v>104.99456081224299</v>
      </c>
      <c r="HJ8">
        <v>116.991408412967</v>
      </c>
      <c r="HK8">
        <v>501.34680011485898</v>
      </c>
      <c r="HL8">
        <v>-275.44406463438298</v>
      </c>
      <c r="HM8">
        <v>15.259016032676101</v>
      </c>
      <c r="HN8">
        <v>15.7809812675717</v>
      </c>
      <c r="HO8">
        <v>11.9228000388458</v>
      </c>
      <c r="HP8">
        <v>-15.314338913892501</v>
      </c>
      <c r="HQ8">
        <v>14.865196649199</v>
      </c>
      <c r="HR8">
        <v>-192.621692352868</v>
      </c>
      <c r="HS8">
        <v>-183.487777982902</v>
      </c>
      <c r="HT8">
        <v>15.2124512241702</v>
      </c>
      <c r="HU8">
        <v>15.773635488181201</v>
      </c>
      <c r="HV8">
        <v>11.2057822676682</v>
      </c>
      <c r="HW8">
        <v>-9.60586950627345</v>
      </c>
      <c r="HX8">
        <v>14.7800482397357</v>
      </c>
      <c r="HY8">
        <v>-124.594223617967</v>
      </c>
      <c r="HZ8">
        <v>15.283685675314301</v>
      </c>
      <c r="IA8">
        <v>15.809868130243499</v>
      </c>
      <c r="IB8">
        <v>-43.843296842026298</v>
      </c>
      <c r="IC8">
        <v>-335.88851509136998</v>
      </c>
      <c r="ID8">
        <v>-78.392713761743593</v>
      </c>
      <c r="IE8">
        <v>14.8809583210654</v>
      </c>
      <c r="IF8">
        <v>-338.60127584541902</v>
      </c>
      <c r="IG8">
        <v>-9.4050130491938209</v>
      </c>
      <c r="IH8">
        <v>15.221973965959</v>
      </c>
      <c r="II8">
        <v>15.778105722698299</v>
      </c>
      <c r="IJ8">
        <v>12.078166938127501</v>
      </c>
      <c r="IK8">
        <v>-8.3518188652206806</v>
      </c>
      <c r="IL8">
        <v>-180.97612764204101</v>
      </c>
      <c r="IM8">
        <v>-7.4489912191692396</v>
      </c>
      <c r="IN8">
        <v>14.795667898468</v>
      </c>
      <c r="IO8">
        <v>1.1743213782517901</v>
      </c>
      <c r="IP8">
        <v>-121.14326968650001</v>
      </c>
      <c r="IQ8">
        <v>-19.901322110317299</v>
      </c>
      <c r="IR8">
        <v>-12.756574751575799</v>
      </c>
      <c r="IS8">
        <v>-16.296506649857498</v>
      </c>
      <c r="IT8">
        <v>-12.2976391369594</v>
      </c>
      <c r="IU8">
        <v>283.21157522468701</v>
      </c>
      <c r="IV8">
        <v>-50.808437779181403</v>
      </c>
      <c r="IW8">
        <v>14.977525440271201</v>
      </c>
      <c r="IX8">
        <v>14.865196649199</v>
      </c>
      <c r="IY8">
        <v>191.905868975657</v>
      </c>
      <c r="IZ8">
        <v>221.19325359326601</v>
      </c>
      <c r="JA8">
        <v>926.94638032229795</v>
      </c>
      <c r="JB8">
        <v>-34.296398863001599</v>
      </c>
      <c r="JC8">
        <v>14.8880312615506</v>
      </c>
      <c r="JD8">
        <v>14.7800482397357</v>
      </c>
      <c r="JE8">
        <v>122.99534889376</v>
      </c>
      <c r="JF8">
        <v>143.76112252655801</v>
      </c>
      <c r="JG8">
        <v>605.800613801596</v>
      </c>
      <c r="JH8">
        <v>-68.993917547799299</v>
      </c>
      <c r="JI8">
        <v>14.852079765606399</v>
      </c>
      <c r="JJ8">
        <v>14.8809583210654</v>
      </c>
      <c r="JK8">
        <v>125.11853929849801</v>
      </c>
      <c r="JL8">
        <v>135.516113653438</v>
      </c>
      <c r="JM8">
        <v>657.46944358864505</v>
      </c>
      <c r="JN8">
        <v>-32.802054905792403</v>
      </c>
      <c r="JO8">
        <v>14.9066289592147</v>
      </c>
      <c r="JP8">
        <v>14.795667898468</v>
      </c>
      <c r="JQ8">
        <v>0.97708640359250098</v>
      </c>
      <c r="JR8">
        <v>125.82782424013701</v>
      </c>
      <c r="JS8">
        <v>0.77866316203528296</v>
      </c>
      <c r="JT8">
        <v>146.151311407511</v>
      </c>
      <c r="JU8">
        <v>611.48476699002799</v>
      </c>
      <c r="JV8">
        <v>-1461.6552286086601</v>
      </c>
      <c r="JW8">
        <v>-1686.2868115445699</v>
      </c>
      <c r="JX8">
        <v>-3633.1370043066599</v>
      </c>
      <c r="JY8">
        <v>-953.61991490876198</v>
      </c>
      <c r="JZ8">
        <v>-1049.0639577239299</v>
      </c>
      <c r="KA8">
        <v>-2275.9025259025002</v>
      </c>
      <c r="KB8">
        <v>-1054.8061550063401</v>
      </c>
      <c r="KC8">
        <v>-1068.32080567352</v>
      </c>
      <c r="KD8">
        <v>-2641.5526481092702</v>
      </c>
      <c r="KE8">
        <v>-949.49879702344299</v>
      </c>
      <c r="KF8">
        <v>14.116516325304801</v>
      </c>
      <c r="KG8">
        <v>-572.78872834963795</v>
      </c>
      <c r="KH8">
        <v>1.63827750060152</v>
      </c>
      <c r="KI8">
        <v>-1044.36662135864</v>
      </c>
      <c r="KJ8">
        <v>-2268.5289497324002</v>
      </c>
      <c r="KK8">
        <v>-274.11804780447699</v>
      </c>
      <c r="KL8">
        <v>11.816007496007099</v>
      </c>
      <c r="KM8">
        <v>14.9499723977563</v>
      </c>
      <c r="KN8">
        <v>94.644308265340101</v>
      </c>
      <c r="KO8">
        <v>9.7901913417514503</v>
      </c>
      <c r="KP8">
        <v>-10.737430589071399</v>
      </c>
      <c r="KQ8">
        <v>-778.75949025027796</v>
      </c>
      <c r="KR8">
        <v>-2317.8248385280599</v>
      </c>
      <c r="KS8">
        <v>-180.87452187096301</v>
      </c>
      <c r="KT8">
        <v>11.6928419089113</v>
      </c>
      <c r="KU8">
        <v>14.8259004744245</v>
      </c>
      <c r="KV8">
        <v>63.434226209010603</v>
      </c>
      <c r="KW8">
        <v>9.6604461027259205</v>
      </c>
      <c r="KX8">
        <v>-10.655894807883399</v>
      </c>
      <c r="KY8">
        <v>-485.62934224695601</v>
      </c>
      <c r="KZ8">
        <v>-1452.74684827956</v>
      </c>
      <c r="LA8">
        <v>-211.25120425922799</v>
      </c>
      <c r="LB8">
        <v>10.8918653463427</v>
      </c>
      <c r="LC8">
        <v>13.525929152750299</v>
      </c>
      <c r="LD8">
        <v>107.38737176238401</v>
      </c>
      <c r="LE8">
        <v>9.0635284334831301</v>
      </c>
      <c r="LF8">
        <v>-10.7483519724787</v>
      </c>
      <c r="LG8">
        <v>-591.093571686686</v>
      </c>
      <c r="LH8">
        <v>-1999.3443875924099</v>
      </c>
      <c r="LI8">
        <v>-177.954813613574</v>
      </c>
      <c r="LJ8">
        <v>11.723098965257901</v>
      </c>
      <c r="LK8">
        <v>14.838789087461199</v>
      </c>
      <c r="LL8">
        <v>63.439703311740701</v>
      </c>
      <c r="LM8">
        <v>9.7064602367708908</v>
      </c>
      <c r="LN8">
        <v>-10.3160925411864</v>
      </c>
      <c r="LO8">
        <v>-477.66424231242303</v>
      </c>
      <c r="LP8">
        <v>-1437.1757651671701</v>
      </c>
      <c r="LQ8">
        <v>-30.633169222856399</v>
      </c>
      <c r="LR8">
        <v>16.439103623550999</v>
      </c>
      <c r="LS8">
        <v>16.481000000000002</v>
      </c>
      <c r="LT8">
        <v>691.02234276358899</v>
      </c>
      <c r="LU8">
        <v>1567.0394880281401</v>
      </c>
      <c r="LV8">
        <v>15.604343491445899</v>
      </c>
      <c r="LW8">
        <v>15.037810258070801</v>
      </c>
      <c r="LX8">
        <v>243.28419351815401</v>
      </c>
      <c r="LY8">
        <v>-20.916706547932701</v>
      </c>
      <c r="LZ8">
        <v>16.418946352798201</v>
      </c>
      <c r="MA8">
        <v>16.481000000000002</v>
      </c>
      <c r="MB8">
        <v>437.29598677813101</v>
      </c>
      <c r="MC8">
        <v>1008.15764570649</v>
      </c>
      <c r="MD8">
        <v>15.562458933265299</v>
      </c>
      <c r="ME8">
        <v>14.980294767401601</v>
      </c>
      <c r="MF8">
        <v>146.07496923490999</v>
      </c>
      <c r="MG8">
        <v>-34.478118588175398</v>
      </c>
      <c r="MH8">
        <v>16.420267372863201</v>
      </c>
      <c r="MI8">
        <v>16.481000000000002</v>
      </c>
      <c r="MJ8">
        <v>525.21983917614205</v>
      </c>
      <c r="MK8">
        <v>1326.64412006821</v>
      </c>
      <c r="ML8">
        <v>15.6642712404319</v>
      </c>
      <c r="MM8">
        <v>15.234989384479499</v>
      </c>
      <c r="MN8">
        <v>125.29977889959601</v>
      </c>
      <c r="MO8">
        <v>-20.5089030579799</v>
      </c>
      <c r="MP8">
        <v>16.424194356643099</v>
      </c>
      <c r="MQ8">
        <v>16.481000000000002</v>
      </c>
      <c r="MR8">
        <v>438.45379878768301</v>
      </c>
      <c r="MS8">
        <v>1011.49897125954</v>
      </c>
      <c r="MT8">
        <v>15.563078323398599</v>
      </c>
      <c r="MU8">
        <v>14.9744717225286</v>
      </c>
      <c r="MV8">
        <v>145.70819553589001</v>
      </c>
      <c r="MW8">
        <v>-31.523187868395201</v>
      </c>
      <c r="MX8">
        <v>15.5040473338117</v>
      </c>
      <c r="MY8">
        <v>15.441844258968301</v>
      </c>
      <c r="MZ8">
        <v>449.01576179211099</v>
      </c>
      <c r="NA8">
        <v>931.932723403105</v>
      </c>
      <c r="NB8">
        <v>15.068477606779201</v>
      </c>
      <c r="NC8">
        <v>14.8248175551579</v>
      </c>
      <c r="ND8">
        <v>223.46742721805799</v>
      </c>
      <c r="NE8">
        <v>-22.044941253939999</v>
      </c>
      <c r="NF8">
        <v>15.4395603192976</v>
      </c>
      <c r="NG8">
        <v>15.3705606182778</v>
      </c>
      <c r="NH8">
        <v>275.55665148527498</v>
      </c>
      <c r="NI8">
        <v>590.29145885865796</v>
      </c>
      <c r="NJ8">
        <v>14.9920933738582</v>
      </c>
      <c r="NK8">
        <v>14.7406490226155</v>
      </c>
      <c r="NL8">
        <v>128.60311051993199</v>
      </c>
      <c r="NM8">
        <v>-33.388774107558397</v>
      </c>
      <c r="NN8">
        <v>15.6047159659845</v>
      </c>
      <c r="NO8">
        <v>15.6224080170921</v>
      </c>
      <c r="NP8">
        <v>393.97783947400501</v>
      </c>
      <c r="NQ8">
        <v>936.48966394329</v>
      </c>
      <c r="NR8" s="35">
        <v>15.109113192384401</v>
      </c>
      <c r="NS8" s="35">
        <v>14.8651909037052</v>
      </c>
      <c r="NT8">
        <v>138.59145470123099</v>
      </c>
      <c r="NU8" s="35">
        <v>-21.4322528334746</v>
      </c>
      <c r="NV8" s="35">
        <v>15.4561044258522</v>
      </c>
      <c r="NW8" s="35">
        <v>15.3804213237037</v>
      </c>
      <c r="NX8" s="35">
        <v>2.3980355890724199</v>
      </c>
      <c r="NY8" s="35">
        <v>278.25722241375098</v>
      </c>
      <c r="NZ8">
        <v>593.13672829130405</v>
      </c>
      <c r="OA8" s="35">
        <v>15.007683756138899</v>
      </c>
      <c r="OB8" s="35">
        <v>14.7559932448873</v>
      </c>
      <c r="OC8">
        <v>2.3816264027970702</v>
      </c>
      <c r="OD8">
        <v>130.96759823913499</v>
      </c>
      <c r="OE8">
        <v>2.3980355890724199</v>
      </c>
      <c r="OF8">
        <v>2.3816264027970702</v>
      </c>
      <c r="OG8">
        <v>-35.454872934470302</v>
      </c>
      <c r="OH8">
        <v>15.179925259759599</v>
      </c>
      <c r="OI8">
        <v>15.586141328675</v>
      </c>
      <c r="OJ8">
        <v>349.02613457611102</v>
      </c>
      <c r="OK8">
        <v>1340.93615424209</v>
      </c>
      <c r="OL8">
        <v>14.203298908729201</v>
      </c>
      <c r="OM8">
        <v>15.224422170273099</v>
      </c>
      <c r="ON8">
        <v>-99.714039799702604</v>
      </c>
      <c r="OO8">
        <v>-24.613697005754901</v>
      </c>
      <c r="OP8">
        <v>15.122726716306</v>
      </c>
      <c r="OQ8">
        <v>15.513203828156501</v>
      </c>
      <c r="OR8">
        <v>217.21150119040999</v>
      </c>
      <c r="OS8">
        <v>856.48597741229003</v>
      </c>
      <c r="OT8">
        <v>14.131374875058</v>
      </c>
      <c r="OU8">
        <v>15.120741562573</v>
      </c>
      <c r="OV8">
        <v>-71.852332549753797</v>
      </c>
      <c r="OW8">
        <v>-40.580705093365502</v>
      </c>
      <c r="OX8">
        <v>14.7690733142586</v>
      </c>
      <c r="OY8">
        <v>15.268547738101701</v>
      </c>
      <c r="OZ8">
        <v>270.61443106085102</v>
      </c>
      <c r="PA8">
        <v>1238.3985396646401</v>
      </c>
      <c r="PB8">
        <v>13.8031856156377</v>
      </c>
      <c r="PC8">
        <v>14.1177773499794</v>
      </c>
      <c r="PD8">
        <v>-171.715979788819</v>
      </c>
      <c r="PE8">
        <v>-23.882901166890701</v>
      </c>
      <c r="PF8">
        <v>15.1470994799996</v>
      </c>
      <c r="PG8">
        <v>15.538381622036599</v>
      </c>
      <c r="PH8">
        <v>2.10181508084252</v>
      </c>
      <c r="PI8">
        <v>220.09109952996701</v>
      </c>
      <c r="PJ8">
        <v>862.14056759266305</v>
      </c>
      <c r="PK8">
        <v>14.1506422560168</v>
      </c>
      <c r="PL8">
        <v>15.129213611860999</v>
      </c>
      <c r="PM8">
        <v>2.0683501088097298</v>
      </c>
      <c r="PN8" s="35">
        <v>-70.498431331581898</v>
      </c>
      <c r="PO8">
        <v>14.842200178208801</v>
      </c>
      <c r="PP8">
        <v>14.761374863394201</v>
      </c>
      <c r="PQ8">
        <v>15.0545907792261</v>
      </c>
      <c r="PR8">
        <v>14.7549585606817</v>
      </c>
      <c r="PS8">
        <v>16.7484581110715</v>
      </c>
      <c r="PT8">
        <v>14.7506832663376</v>
      </c>
      <c r="PU8">
        <v>14.649692383840501</v>
      </c>
      <c r="PV8">
        <v>14.7431560779302</v>
      </c>
      <c r="PW8">
        <v>14.6668376027981</v>
      </c>
      <c r="PX8">
        <v>16.363587424405299</v>
      </c>
      <c r="PY8">
        <v>15.398479550763801</v>
      </c>
      <c r="PZ8">
        <v>15.2982616281943</v>
      </c>
      <c r="QA8">
        <v>14.0888009394978</v>
      </c>
      <c r="QB8">
        <v>15.304684621132401</v>
      </c>
      <c r="QC8">
        <v>13.943160413268201</v>
      </c>
      <c r="QD8" s="35">
        <v>14.945689855946201</v>
      </c>
      <c r="QE8" s="35">
        <v>15.470840779894299</v>
      </c>
      <c r="QF8">
        <v>15.4034952436925</v>
      </c>
      <c r="QG8">
        <v>15.8556897717277</v>
      </c>
      <c r="QH8">
        <v>15.391187403277099</v>
      </c>
      <c r="QI8">
        <v>16.257011941195302</v>
      </c>
      <c r="QJ8">
        <v>15.387939145554601</v>
      </c>
      <c r="QK8">
        <v>15.3048621190379</v>
      </c>
      <c r="QL8">
        <v>15.5796524949942</v>
      </c>
      <c r="QM8">
        <v>15.3140659456768</v>
      </c>
      <c r="QN8">
        <v>-1414.0908223838701</v>
      </c>
      <c r="QO8">
        <v>15.8808428786504</v>
      </c>
      <c r="QP8">
        <v>3986.3702860584899</v>
      </c>
      <c r="QQ8">
        <v>19.4575753700896</v>
      </c>
      <c r="QR8">
        <v>19.312924795905001</v>
      </c>
      <c r="QS8">
        <v>17.148691051234799</v>
      </c>
      <c r="QT8">
        <v>19.3058821731187</v>
      </c>
      <c r="QU8">
        <v>13.817695522347</v>
      </c>
      <c r="QV8">
        <v>12.742381735659899</v>
      </c>
      <c r="QW8">
        <v>246662.63391314799</v>
      </c>
      <c r="QX8">
        <v>0</v>
      </c>
      <c r="QY8">
        <v>160648.618702915</v>
      </c>
      <c r="QZ8">
        <v>0</v>
      </c>
      <c r="RA8">
        <v>31102.415810930401</v>
      </c>
      <c r="RB8">
        <v>0</v>
      </c>
      <c r="RC8">
        <v>20442.817224860399</v>
      </c>
      <c r="RD8">
        <v>0</v>
      </c>
      <c r="RE8">
        <v>71805.189625317202</v>
      </c>
      <c r="RF8">
        <v>0</v>
      </c>
      <c r="RG8">
        <v>47376.810139881403</v>
      </c>
      <c r="RH8" s="35">
        <v>0</v>
      </c>
      <c r="RI8">
        <v>4631.5823649101903</v>
      </c>
      <c r="RJ8" s="35">
        <v>0</v>
      </c>
      <c r="RK8" s="35">
        <v>16.0994813815798</v>
      </c>
      <c r="RL8">
        <v>6782.43073106254</v>
      </c>
      <c r="RM8">
        <v>6782.43073106254</v>
      </c>
      <c r="RN8">
        <v>19453.555514076801</v>
      </c>
      <c r="RO8" s="35">
        <v>3026.2796118187998</v>
      </c>
      <c r="RP8">
        <v>0</v>
      </c>
      <c r="RQ8">
        <v>16.045615623990901</v>
      </c>
      <c r="RR8">
        <v>4411.9644025964799</v>
      </c>
      <c r="RS8">
        <v>4411.9644025964799</v>
      </c>
      <c r="RT8">
        <v>12461.569029591899</v>
      </c>
      <c r="RU8">
        <v>5507.0263887635901</v>
      </c>
      <c r="RV8">
        <v>0</v>
      </c>
      <c r="RW8">
        <v>16.656788764229301</v>
      </c>
      <c r="RX8">
        <v>6525.6019158812796</v>
      </c>
      <c r="RY8">
        <v>6525.6019158812796</v>
      </c>
      <c r="RZ8">
        <v>19176.2570230364</v>
      </c>
      <c r="SA8">
        <v>3050.3060906085302</v>
      </c>
      <c r="SB8">
        <v>0</v>
      </c>
      <c r="SC8">
        <v>16.027416245872601</v>
      </c>
      <c r="SD8">
        <v>4443.8786026907401</v>
      </c>
      <c r="SE8">
        <v>4443.8786026907401</v>
      </c>
      <c r="SF8">
        <v>12494.1760657174</v>
      </c>
      <c r="SG8">
        <v>289.67673025198002</v>
      </c>
      <c r="SH8">
        <v>6841.5106728297596</v>
      </c>
      <c r="SI8">
        <v>15.7655657713191</v>
      </c>
      <c r="SJ8">
        <v>39824.038241156202</v>
      </c>
      <c r="SK8">
        <v>39824.038241156202</v>
      </c>
      <c r="SL8">
        <v>85108.589305146394</v>
      </c>
      <c r="SM8">
        <v>21.1111</v>
      </c>
      <c r="SN8">
        <v>26.666699999999999</v>
      </c>
      <c r="SO8">
        <v>418.96162609006598</v>
      </c>
      <c r="SP8">
        <v>323.53712201971598</v>
      </c>
      <c r="SQ8">
        <v>14.899245234452501</v>
      </c>
      <c r="SR8">
        <v>0</v>
      </c>
      <c r="SS8">
        <v>0</v>
      </c>
      <c r="ST8">
        <v>0</v>
      </c>
      <c r="SU8">
        <v>273.12654441138199</v>
      </c>
      <c r="SV8">
        <v>209.92545714262801</v>
      </c>
      <c r="SW8">
        <v>14.8263502652133</v>
      </c>
      <c r="SX8">
        <v>0</v>
      </c>
      <c r="SY8">
        <v>0</v>
      </c>
      <c r="SZ8">
        <v>0</v>
      </c>
      <c r="TA8">
        <v>398.186967815998</v>
      </c>
      <c r="TB8">
        <v>241.01467961986501</v>
      </c>
      <c r="TC8">
        <v>15.234843842637799</v>
      </c>
      <c r="TD8">
        <v>0</v>
      </c>
      <c r="TE8">
        <v>0</v>
      </c>
      <c r="TF8">
        <v>0</v>
      </c>
      <c r="TG8">
        <v>268.26627894726403</v>
      </c>
      <c r="TH8">
        <v>212.47016682802399</v>
      </c>
      <c r="TI8">
        <v>14.807761225703601</v>
      </c>
      <c r="TJ8">
        <v>0</v>
      </c>
      <c r="TK8">
        <v>0</v>
      </c>
      <c r="TL8">
        <v>0</v>
      </c>
      <c r="TM8">
        <v>0</v>
      </c>
      <c r="TN8">
        <v>2485.2539614698499</v>
      </c>
      <c r="TO8">
        <v>15.6055591007497</v>
      </c>
      <c r="TP8">
        <v>0</v>
      </c>
      <c r="TQ8">
        <v>0</v>
      </c>
      <c r="TR8">
        <v>0</v>
      </c>
      <c r="TS8">
        <v>4839.6451933307699</v>
      </c>
      <c r="TT8">
        <v>0</v>
      </c>
      <c r="TU8">
        <v>16.025195024771701</v>
      </c>
      <c r="TV8">
        <v>7060.7648585542001</v>
      </c>
      <c r="TW8">
        <v>7060.7648585542001</v>
      </c>
      <c r="TX8">
        <v>19743.456236488899</v>
      </c>
      <c r="TY8">
        <v>3171.5768046349999</v>
      </c>
      <c r="TZ8">
        <v>0</v>
      </c>
      <c r="UA8">
        <v>15.9600318542354</v>
      </c>
      <c r="UB8">
        <v>4604.0598123317004</v>
      </c>
      <c r="UC8">
        <v>4604.0598123317004</v>
      </c>
      <c r="UD8">
        <v>12661.5980404002</v>
      </c>
      <c r="UE8">
        <v>5775.1417118747704</v>
      </c>
      <c r="UF8">
        <v>0</v>
      </c>
      <c r="UG8">
        <v>16.416148912058102</v>
      </c>
      <c r="UH8">
        <v>7089.2699497351996</v>
      </c>
      <c r="UI8">
        <v>7089.2699497351996</v>
      </c>
      <c r="UJ8">
        <v>19759.889122971999</v>
      </c>
      <c r="UK8">
        <v>3177.5350974601702</v>
      </c>
      <c r="UL8">
        <v>0</v>
      </c>
      <c r="UM8">
        <v>15.9612942885555</v>
      </c>
      <c r="UN8">
        <v>4615.3299448735397</v>
      </c>
      <c r="UO8">
        <v>4615.3299448735397</v>
      </c>
      <c r="UP8">
        <v>12672.954835406899</v>
      </c>
      <c r="UQ8">
        <v>122.413844443716</v>
      </c>
      <c r="UR8">
        <v>6573.0325730737304</v>
      </c>
      <c r="US8">
        <v>15.398098332895501</v>
      </c>
      <c r="UT8">
        <v>42850.395543244696</v>
      </c>
      <c r="UU8">
        <v>42850.395543244696</v>
      </c>
      <c r="UV8">
        <v>88136.757102790099</v>
      </c>
      <c r="UW8">
        <v>21.1111</v>
      </c>
      <c r="UX8">
        <v>26.666699999999999</v>
      </c>
      <c r="UY8">
        <v>376.63142628661399</v>
      </c>
      <c r="UZ8">
        <v>353.50356055130197</v>
      </c>
      <c r="VA8">
        <v>14.8242172285858</v>
      </c>
      <c r="VB8">
        <v>0</v>
      </c>
      <c r="VC8">
        <v>0</v>
      </c>
      <c r="VD8">
        <v>0</v>
      </c>
      <c r="VE8">
        <v>245.412721848047</v>
      </c>
      <c r="VF8">
        <v>228.11541603188601</v>
      </c>
      <c r="VG8">
        <v>14.737767325377501</v>
      </c>
      <c r="VH8">
        <v>0</v>
      </c>
      <c r="VI8">
        <v>0</v>
      </c>
      <c r="VJ8">
        <v>0</v>
      </c>
      <c r="VK8">
        <v>469.05286295793798</v>
      </c>
      <c r="VL8">
        <v>274.73645577202598</v>
      </c>
      <c r="VM8">
        <v>14.9263089551308</v>
      </c>
      <c r="VN8">
        <v>0</v>
      </c>
      <c r="VO8">
        <v>0</v>
      </c>
      <c r="VP8">
        <v>0</v>
      </c>
      <c r="VQ8">
        <v>240.61795998629799</v>
      </c>
      <c r="VR8">
        <v>232.60725269160901</v>
      </c>
      <c r="VS8">
        <v>14.742491957352801</v>
      </c>
      <c r="VT8">
        <v>0</v>
      </c>
      <c r="VU8">
        <v>0</v>
      </c>
      <c r="VV8">
        <v>0</v>
      </c>
      <c r="VW8">
        <v>0</v>
      </c>
      <c r="VX8">
        <v>2055.5431721130399</v>
      </c>
      <c r="VY8">
        <v>15.325623350144101</v>
      </c>
      <c r="VZ8">
        <v>0</v>
      </c>
      <c r="WA8">
        <v>0</v>
      </c>
      <c r="WB8">
        <v>0</v>
      </c>
      <c r="WC8">
        <v>21063.476562652198</v>
      </c>
      <c r="WD8">
        <v>213.43905689841199</v>
      </c>
      <c r="WE8">
        <v>23.516671189415401</v>
      </c>
      <c r="WF8">
        <v>9445.6109995686202</v>
      </c>
      <c r="WG8">
        <v>8093.3251742798002</v>
      </c>
      <c r="WH8">
        <v>20548.827718161701</v>
      </c>
      <c r="WI8">
        <v>458401.15047928598</v>
      </c>
      <c r="WJ8">
        <v>13491.1738248974</v>
      </c>
      <c r="WK8">
        <v>127.333652910913</v>
      </c>
      <c r="WL8">
        <v>23.327587963615802</v>
      </c>
      <c r="WM8">
        <v>6115.0564176780499</v>
      </c>
      <c r="WN8">
        <v>5336.2571258219496</v>
      </c>
      <c r="WO8">
        <v>13252.216416048301</v>
      </c>
      <c r="WP8">
        <v>18.333300000000001</v>
      </c>
      <c r="WQ8">
        <v>26.666699999999999</v>
      </c>
      <c r="WR8">
        <v>15706.999938790699</v>
      </c>
      <c r="WS8">
        <v>124.744701393507</v>
      </c>
      <c r="WT8">
        <v>20.2085811629719</v>
      </c>
      <c r="WU8">
        <v>9168.8955395603498</v>
      </c>
      <c r="WV8">
        <v>8715.8567534140802</v>
      </c>
      <c r="WW8">
        <v>21280.0717497486</v>
      </c>
      <c r="WX8">
        <v>453008.46939869801</v>
      </c>
      <c r="WY8">
        <v>13513.788673540999</v>
      </c>
      <c r="WZ8">
        <v>125.835685944083</v>
      </c>
      <c r="XA8">
        <v>23.307079725105101</v>
      </c>
      <c r="XB8">
        <v>6126.7662452231098</v>
      </c>
      <c r="XC8">
        <v>5369.2597301055403</v>
      </c>
      <c r="XD8">
        <v>13285.700205351701</v>
      </c>
      <c r="XE8">
        <v>1383.2860689055899</v>
      </c>
      <c r="XF8">
        <v>2706.27204747818</v>
      </c>
      <c r="XG8">
        <v>13.692230631425801</v>
      </c>
      <c r="XH8">
        <v>62474.641191358904</v>
      </c>
      <c r="XI8">
        <v>62474.641191358904</v>
      </c>
      <c r="XJ8">
        <v>109585.67634479501</v>
      </c>
      <c r="XK8">
        <v>21.1111</v>
      </c>
      <c r="XL8">
        <v>26.666699999999999</v>
      </c>
      <c r="XM8">
        <v>4984.4660441015803</v>
      </c>
      <c r="XN8">
        <v>0</v>
      </c>
      <c r="XO8">
        <v>14.572752292606699</v>
      </c>
      <c r="XP8">
        <v>0</v>
      </c>
      <c r="XQ8">
        <v>0</v>
      </c>
      <c r="XR8">
        <v>0</v>
      </c>
      <c r="XS8">
        <v>3164.7530288164498</v>
      </c>
      <c r="XT8">
        <v>0</v>
      </c>
      <c r="XU8">
        <v>14.402328006693001</v>
      </c>
      <c r="XV8">
        <v>0</v>
      </c>
      <c r="XW8">
        <v>0</v>
      </c>
      <c r="XX8">
        <v>0</v>
      </c>
      <c r="XY8">
        <v>3336.7268668848401</v>
      </c>
      <c r="XZ8">
        <v>0</v>
      </c>
      <c r="YA8">
        <v>12.645380066465201</v>
      </c>
      <c r="YB8">
        <v>0</v>
      </c>
      <c r="YC8">
        <v>0</v>
      </c>
      <c r="YD8">
        <v>0</v>
      </c>
      <c r="YE8">
        <v>3141.69692153188</v>
      </c>
      <c r="YF8">
        <v>0</v>
      </c>
      <c r="YG8">
        <v>14.416698527380699</v>
      </c>
      <c r="YH8">
        <v>0</v>
      </c>
      <c r="YI8">
        <v>0</v>
      </c>
      <c r="YJ8">
        <v>0</v>
      </c>
      <c r="YK8">
        <v>5130.91769740572</v>
      </c>
      <c r="YL8">
        <v>455.705726360884</v>
      </c>
      <c r="YM8">
        <v>12.026979464320499</v>
      </c>
      <c r="YN8">
        <v>0</v>
      </c>
      <c r="YO8">
        <v>0</v>
      </c>
      <c r="YP8">
        <v>0</v>
      </c>
      <c r="YQ8">
        <v>200.259979533322</v>
      </c>
      <c r="YR8">
        <v>1481.4764238886701</v>
      </c>
      <c r="YS8">
        <v>15.0011212464943</v>
      </c>
      <c r="YT8">
        <v>0</v>
      </c>
      <c r="YU8">
        <v>0</v>
      </c>
      <c r="YV8">
        <v>0</v>
      </c>
      <c r="YW8">
        <v>131.43973669888101</v>
      </c>
      <c r="YX8">
        <v>931.86463223546104</v>
      </c>
      <c r="YY8">
        <v>14.9901237622773</v>
      </c>
      <c r="YZ8">
        <v>0</v>
      </c>
      <c r="ZA8">
        <v>0</v>
      </c>
      <c r="ZB8">
        <v>0</v>
      </c>
      <c r="ZC8">
        <v>142.051093345395</v>
      </c>
      <c r="ZD8">
        <v>1008.79486138125</v>
      </c>
      <c r="ZE8">
        <v>15.338720764037401</v>
      </c>
      <c r="ZF8">
        <v>0</v>
      </c>
      <c r="ZG8">
        <v>0</v>
      </c>
      <c r="ZH8">
        <v>0</v>
      </c>
      <c r="ZI8">
        <v>130.98725273729801</v>
      </c>
      <c r="ZJ8">
        <v>932.92865627185597</v>
      </c>
      <c r="ZK8">
        <v>14.991385849508999</v>
      </c>
      <c r="ZL8">
        <v>0</v>
      </c>
      <c r="ZM8">
        <v>0</v>
      </c>
      <c r="ZN8">
        <v>0</v>
      </c>
      <c r="ZO8">
        <v>0</v>
      </c>
      <c r="ZP8">
        <v>18665.1644286675</v>
      </c>
      <c r="ZQ8">
        <v>13.437927462389601</v>
      </c>
      <c r="ZR8">
        <v>0</v>
      </c>
      <c r="ZS8">
        <v>0</v>
      </c>
      <c r="ZT8">
        <v>0</v>
      </c>
      <c r="ZU8">
        <v>215.13154303813701</v>
      </c>
      <c r="ZV8">
        <v>1228.5192391982</v>
      </c>
      <c r="ZW8">
        <v>14.5072694326758</v>
      </c>
      <c r="ZX8">
        <v>0</v>
      </c>
      <c r="ZY8">
        <v>0</v>
      </c>
      <c r="ZZ8">
        <v>0</v>
      </c>
      <c r="AAA8">
        <v>145.66876466952601</v>
      </c>
      <c r="AAB8">
        <v>758.53943980899601</v>
      </c>
      <c r="AAC8">
        <v>14.481733693801599</v>
      </c>
      <c r="AAD8">
        <v>0</v>
      </c>
      <c r="AAE8">
        <v>0</v>
      </c>
      <c r="AAF8">
        <v>0</v>
      </c>
      <c r="AAG8">
        <v>161.44918951253001</v>
      </c>
      <c r="AAH8">
        <v>953.18773421262097</v>
      </c>
      <c r="AAI8">
        <v>14.7365116647187</v>
      </c>
      <c r="AAJ8">
        <v>0</v>
      </c>
      <c r="AAK8">
        <v>0</v>
      </c>
      <c r="AAL8">
        <v>0</v>
      </c>
      <c r="AAM8">
        <v>143.632629108034</v>
      </c>
      <c r="AAN8">
        <v>763.76896459538705</v>
      </c>
      <c r="AAO8">
        <v>14.4877804124242</v>
      </c>
      <c r="AAP8">
        <v>0</v>
      </c>
      <c r="AAQ8">
        <v>0</v>
      </c>
      <c r="AAR8">
        <v>0</v>
      </c>
      <c r="AAS8">
        <v>0</v>
      </c>
      <c r="AAT8">
        <v>16171.045813013199</v>
      </c>
      <c r="AAU8">
        <v>13.1339347397974</v>
      </c>
      <c r="AAV8">
        <v>0</v>
      </c>
      <c r="AAW8">
        <v>0</v>
      </c>
      <c r="AAX8">
        <v>0</v>
      </c>
      <c r="AAY8">
        <v>126.64593735686699</v>
      </c>
      <c r="AAZ8">
        <v>763.64500930599604</v>
      </c>
      <c r="ABA8">
        <v>14.1152380302113</v>
      </c>
      <c r="ABB8">
        <v>0</v>
      </c>
      <c r="ABC8">
        <v>0</v>
      </c>
      <c r="ABD8">
        <v>0</v>
      </c>
      <c r="ABE8">
        <v>88.2261336970369</v>
      </c>
      <c r="ABF8">
        <v>468.89185241633197</v>
      </c>
      <c r="ABG8">
        <v>14.0864983862469</v>
      </c>
      <c r="ABH8">
        <v>0</v>
      </c>
      <c r="ABI8">
        <v>0</v>
      </c>
      <c r="ABJ8">
        <v>0</v>
      </c>
      <c r="ABK8">
        <v>157.717889891607</v>
      </c>
      <c r="ABL8">
        <v>494.44418136321701</v>
      </c>
      <c r="ABM8">
        <v>13.987452076487299</v>
      </c>
      <c r="ABN8">
        <v>0</v>
      </c>
      <c r="ABO8">
        <v>0</v>
      </c>
      <c r="ABP8">
        <v>0</v>
      </c>
      <c r="ABQ8">
        <v>85.569737237699002</v>
      </c>
      <c r="ABR8">
        <v>474.37481599276703</v>
      </c>
      <c r="ABS8">
        <v>14.0963322556414</v>
      </c>
      <c r="ABT8">
        <v>0</v>
      </c>
      <c r="ABU8">
        <v>0</v>
      </c>
      <c r="ABV8">
        <v>0</v>
      </c>
      <c r="ABW8">
        <v>0</v>
      </c>
      <c r="ABX8">
        <v>10898.975905752601</v>
      </c>
      <c r="ABY8">
        <v>12.742381735659899</v>
      </c>
      <c r="ABZ8">
        <v>0</v>
      </c>
      <c r="ACA8">
        <v>0</v>
      </c>
      <c r="ACB8">
        <v>0</v>
      </c>
      <c r="ACC8">
        <v>0</v>
      </c>
      <c r="ACD8">
        <v>0</v>
      </c>
      <c r="ACE8">
        <v>0</v>
      </c>
      <c r="ACF8">
        <v>10.9750263622755</v>
      </c>
      <c r="ACG8">
        <v>10.9750263622755</v>
      </c>
      <c r="ACH8">
        <v>0</v>
      </c>
      <c r="ACI8">
        <v>0</v>
      </c>
      <c r="ACJ8">
        <v>0</v>
      </c>
      <c r="ACK8">
        <v>20.973579277941599</v>
      </c>
      <c r="ACL8">
        <v>20.973579277941599</v>
      </c>
      <c r="ACM8">
        <v>0</v>
      </c>
      <c r="ACN8">
        <v>0</v>
      </c>
      <c r="ACP8">
        <v>15084.3261465375</v>
      </c>
      <c r="ACR8">
        <v>15084.3261465375</v>
      </c>
      <c r="ACT8">
        <v>15.9586168125371</v>
      </c>
      <c r="ACU8">
        <v>15.728924164653799</v>
      </c>
      <c r="ACV8">
        <v>0.85</v>
      </c>
      <c r="ACW8">
        <v>1.8467275268704499</v>
      </c>
      <c r="ACX8">
        <v>0.88912622048213596</v>
      </c>
      <c r="ACY8">
        <v>15.580912374738899</v>
      </c>
      <c r="ACZ8">
        <v>15.357118130599099</v>
      </c>
      <c r="ADA8">
        <v>0.85</v>
      </c>
      <c r="ADB8">
        <v>1.86119238899461</v>
      </c>
      <c r="ADC8">
        <v>0.88992997147470398</v>
      </c>
      <c r="ADD8">
        <v>13.766891531900299</v>
      </c>
      <c r="ADE8">
        <v>13.598750010984499</v>
      </c>
      <c r="ADF8">
        <v>1.2749999999999999</v>
      </c>
      <c r="ADG8">
        <v>3.8178766051956701</v>
      </c>
      <c r="ADH8">
        <v>0.81230341125880401</v>
      </c>
      <c r="ADI8">
        <v>16.443296642477598</v>
      </c>
      <c r="ADJ8">
        <v>16.443296642477598</v>
      </c>
      <c r="ADK8">
        <v>0</v>
      </c>
      <c r="ADL8">
        <v>0</v>
      </c>
      <c r="ADM8">
        <v>1</v>
      </c>
      <c r="ADN8">
        <v>16.3939595223775</v>
      </c>
      <c r="ADO8">
        <v>16.3939595223775</v>
      </c>
      <c r="ADP8">
        <v>0</v>
      </c>
      <c r="ADQ8">
        <v>0</v>
      </c>
      <c r="ADR8">
        <v>1</v>
      </c>
      <c r="ADS8">
        <v>17.147322165940899</v>
      </c>
      <c r="ADT8">
        <v>17.147322165940899</v>
      </c>
      <c r="ADU8">
        <v>0</v>
      </c>
      <c r="ADV8">
        <v>0</v>
      </c>
      <c r="ADW8">
        <v>1</v>
      </c>
      <c r="ADX8">
        <v>16.385337788156502</v>
      </c>
      <c r="ADY8">
        <v>16.385337788156502</v>
      </c>
      <c r="ADZ8">
        <v>0</v>
      </c>
      <c r="AEA8">
        <v>0</v>
      </c>
      <c r="AEB8">
        <v>1</v>
      </c>
      <c r="AEC8">
        <v>16.394515199698699</v>
      </c>
      <c r="AED8">
        <v>16.394515199698699</v>
      </c>
      <c r="AEE8">
        <v>0</v>
      </c>
      <c r="AEF8">
        <v>0</v>
      </c>
      <c r="AEG8">
        <v>1</v>
      </c>
      <c r="AEH8">
        <v>16.334508630908299</v>
      </c>
      <c r="AEI8">
        <v>16.334508630908299</v>
      </c>
      <c r="AEJ8">
        <v>0</v>
      </c>
      <c r="AEK8">
        <v>0</v>
      </c>
      <c r="AEL8">
        <v>1</v>
      </c>
      <c r="AEM8">
        <v>16.8986228861875</v>
      </c>
      <c r="AEN8">
        <v>16.8986228861875</v>
      </c>
      <c r="AEO8">
        <v>0</v>
      </c>
      <c r="AEP8">
        <v>0</v>
      </c>
      <c r="AEQ8">
        <v>1</v>
      </c>
      <c r="AER8">
        <v>16.341065972159999</v>
      </c>
      <c r="AES8">
        <v>16.341065972159999</v>
      </c>
      <c r="AET8">
        <v>0</v>
      </c>
      <c r="AEU8">
        <v>0</v>
      </c>
      <c r="AEV8">
        <v>1</v>
      </c>
      <c r="AEW8">
        <v>23.792720457759799</v>
      </c>
      <c r="AEX8">
        <v>23.792720457759799</v>
      </c>
      <c r="AEY8">
        <v>0</v>
      </c>
      <c r="AEZ8">
        <v>0</v>
      </c>
      <c r="AFA8">
        <v>1</v>
      </c>
      <c r="AFB8">
        <v>23.6114512230501</v>
      </c>
      <c r="AFC8">
        <v>23.6114512230501</v>
      </c>
      <c r="AFD8">
        <v>0</v>
      </c>
      <c r="AFE8">
        <v>0</v>
      </c>
      <c r="AFF8">
        <v>1</v>
      </c>
      <c r="AFG8">
        <v>20.514014228308401</v>
      </c>
      <c r="AFH8">
        <v>20.514014228308401</v>
      </c>
      <c r="AFI8">
        <v>0</v>
      </c>
      <c r="AFJ8">
        <v>0</v>
      </c>
      <c r="AFK8">
        <v>1</v>
      </c>
      <c r="AFL8">
        <v>23.613119200933198</v>
      </c>
      <c r="AFM8">
        <v>23.613119200933198</v>
      </c>
      <c r="AFN8">
        <v>0</v>
      </c>
      <c r="AFO8">
        <v>0</v>
      </c>
      <c r="AFP8">
        <v>1</v>
      </c>
      <c r="AFQ8">
        <v>-1.7914198663660801</v>
      </c>
      <c r="AFR8">
        <v>-1.86891295072166</v>
      </c>
      <c r="AFS8">
        <v>-1.87780741954624</v>
      </c>
      <c r="AFT8">
        <v>-1.87687082350589</v>
      </c>
      <c r="AFU8">
        <v>-1.82876267255319</v>
      </c>
      <c r="AFV8">
        <v>-1.8769630576415799</v>
      </c>
      <c r="AFW8">
        <v>-1.8852466905994301</v>
      </c>
      <c r="AFX8">
        <v>-1.88673043642767</v>
      </c>
      <c r="AFY8">
        <v>-1.48769488755693</v>
      </c>
      <c r="AFZ8">
        <v>-1.04413258035316</v>
      </c>
      <c r="AGA8">
        <v>-1.07024249627738</v>
      </c>
      <c r="AGB8">
        <v>-1.07089908099088</v>
      </c>
      <c r="AGC8">
        <v>-1.85821811460458</v>
      </c>
      <c r="AGD8">
        <v>-1.91198738103929</v>
      </c>
      <c r="AGE8">
        <v>-2.1684519152188502</v>
      </c>
      <c r="AGF8">
        <v>0</v>
      </c>
      <c r="AGG8">
        <v>0</v>
      </c>
      <c r="AGH8">
        <v>0</v>
      </c>
      <c r="AGI8">
        <v>0</v>
      </c>
      <c r="AGJ8">
        <v>0</v>
      </c>
      <c r="AGK8">
        <v>0</v>
      </c>
      <c r="AGL8">
        <v>0</v>
      </c>
      <c r="AGM8">
        <v>0</v>
      </c>
      <c r="AGN8">
        <v>0</v>
      </c>
      <c r="AGO8">
        <v>0</v>
      </c>
      <c r="AGP8">
        <v>0</v>
      </c>
      <c r="AGQ8">
        <v>0</v>
      </c>
      <c r="AGR8">
        <v>0</v>
      </c>
      <c r="AGS8">
        <v>0</v>
      </c>
      <c r="AGT8">
        <v>0</v>
      </c>
      <c r="AGU8">
        <v>0</v>
      </c>
      <c r="AGV8">
        <v>0</v>
      </c>
      <c r="AGW8">
        <v>0</v>
      </c>
      <c r="AGX8">
        <v>0</v>
      </c>
      <c r="AGY8">
        <v>0</v>
      </c>
      <c r="AGZ8">
        <v>0</v>
      </c>
      <c r="AHA8">
        <v>0</v>
      </c>
      <c r="AHB8">
        <v>0</v>
      </c>
      <c r="AHC8">
        <v>0</v>
      </c>
      <c r="AHD8">
        <v>0</v>
      </c>
      <c r="AHE8">
        <v>0</v>
      </c>
      <c r="AHF8">
        <v>0</v>
      </c>
      <c r="AHG8">
        <v>0</v>
      </c>
      <c r="AHH8">
        <v>0</v>
      </c>
      <c r="AHI8">
        <v>0</v>
      </c>
      <c r="AHJ8">
        <v>0</v>
      </c>
      <c r="AHK8">
        <v>0</v>
      </c>
      <c r="AHL8">
        <v>0</v>
      </c>
      <c r="AHM8">
        <v>0</v>
      </c>
      <c r="AHN8">
        <v>0</v>
      </c>
      <c r="AHO8">
        <v>0</v>
      </c>
      <c r="AHP8">
        <v>0</v>
      </c>
      <c r="AHQ8">
        <v>0</v>
      </c>
      <c r="AHR8">
        <v>0</v>
      </c>
      <c r="AHS8">
        <v>0</v>
      </c>
      <c r="AHT8">
        <v>0</v>
      </c>
      <c r="AHU8">
        <v>0</v>
      </c>
      <c r="AHV8">
        <v>0</v>
      </c>
      <c r="AHW8">
        <v>0</v>
      </c>
      <c r="AHX8">
        <v>0</v>
      </c>
      <c r="AHZ8">
        <v>3616.04153986343</v>
      </c>
      <c r="AIB8">
        <v>0</v>
      </c>
      <c r="AID8">
        <v>3616.2496610285398</v>
      </c>
      <c r="AIF8">
        <v>5628.9174103594096</v>
      </c>
      <c r="AIH8">
        <v>6253.7364059563897</v>
      </c>
      <c r="AIJ8">
        <v>0</v>
      </c>
      <c r="AIL8">
        <v>4312.2429287404902</v>
      </c>
      <c r="AIN8">
        <v>4308.6571672910404</v>
      </c>
      <c r="AIP8">
        <v>6684.3776574746498</v>
      </c>
      <c r="AIR8">
        <v>7031.0740357186896</v>
      </c>
      <c r="AIT8">
        <v>0</v>
      </c>
      <c r="AIV8">
        <v>23185.780964040801</v>
      </c>
      <c r="AIX8">
        <v>23179.3221754773</v>
      </c>
      <c r="AIZ8">
        <v>36493.366800256903</v>
      </c>
      <c r="AJB8">
        <v>22003.639931865899</v>
      </c>
      <c r="AJC8">
        <v>0</v>
      </c>
      <c r="AJE8">
        <v>-5.2039906559183402E-5</v>
      </c>
      <c r="AJH8">
        <v>12030.5867417175</v>
      </c>
      <c r="AJJ8">
        <v>183.80401834048999</v>
      </c>
      <c r="AJK8">
        <v>220.596795833333</v>
      </c>
      <c r="AJL8">
        <v>220.596795833333</v>
      </c>
      <c r="AJM8">
        <v>190.047162098179</v>
      </c>
      <c r="AJN8">
        <v>347.36796874999999</v>
      </c>
      <c r="AJO8">
        <v>170.58696875000001</v>
      </c>
      <c r="AJP8">
        <v>170.58696875000001</v>
      </c>
      <c r="AJQ8">
        <v>164.522565664696</v>
      </c>
      <c r="AJR8">
        <v>268.62843906249998</v>
      </c>
      <c r="AJS8">
        <v>220.596795833333</v>
      </c>
      <c r="AJT8">
        <v>220.596795833333</v>
      </c>
      <c r="AJU8">
        <v>156.81271254174601</v>
      </c>
      <c r="AJV8">
        <v>347.36796874999999</v>
      </c>
      <c r="AJW8">
        <v>0</v>
      </c>
      <c r="AJX8">
        <v>0</v>
      </c>
      <c r="AJY8">
        <v>146313.508145545</v>
      </c>
      <c r="AJZ8">
        <v>0</v>
      </c>
      <c r="AKA8">
        <v>0</v>
      </c>
      <c r="AKB8">
        <v>132658.02497031499</v>
      </c>
      <c r="AKC8">
        <v>166657.00974220899</v>
      </c>
      <c r="AKD8">
        <v>599965235.07195401</v>
      </c>
      <c r="AKE8">
        <v>50.8824952959095</v>
      </c>
      <c r="AKF8">
        <v>78.882003599280097</v>
      </c>
      <c r="AKG8">
        <v>1.8824397974542399</v>
      </c>
      <c r="AKH8">
        <v>0.63898381934741799</v>
      </c>
      <c r="AKI8">
        <v>13501.0184713294</v>
      </c>
      <c r="AKJ8">
        <v>18137.873156387599</v>
      </c>
      <c r="AKK8">
        <v>65296343.362995297</v>
      </c>
      <c r="AKL8">
        <v>50.8824952959095</v>
      </c>
      <c r="AKM8">
        <v>57.7296641498789</v>
      </c>
      <c r="AKN8">
        <v>0.229289117092949</v>
      </c>
      <c r="AKO8">
        <v>6.5031364290404195E-2</v>
      </c>
      <c r="AKP8">
        <v>617858.81560460897</v>
      </c>
      <c r="AKT8">
        <v>0</v>
      </c>
      <c r="AKX8">
        <v>0</v>
      </c>
      <c r="ALB8">
        <v>20.973579277941599</v>
      </c>
      <c r="ALC8">
        <v>20.973579277941599</v>
      </c>
      <c r="ALD8">
        <v>0</v>
      </c>
      <c r="ALE8">
        <v>0</v>
      </c>
      <c r="ALF8">
        <v>0</v>
      </c>
      <c r="ALH8">
        <v>10.975026364224901</v>
      </c>
      <c r="ALI8">
        <v>2.8568269606532499E-3</v>
      </c>
      <c r="ALJ8">
        <v>22.289894682646999</v>
      </c>
      <c r="ALK8">
        <v>10.9750263622755</v>
      </c>
      <c r="ALL8">
        <v>22.289894682646999</v>
      </c>
      <c r="ALM8">
        <v>2.3092182954303801E-5</v>
      </c>
      <c r="ALN8">
        <v>14.376365985334999</v>
      </c>
      <c r="ALO8">
        <v>2.8568269606532499E-3</v>
      </c>
      <c r="ALP8">
        <v>28.2690066771498</v>
      </c>
      <c r="ALQ8">
        <v>22.289894682646999</v>
      </c>
      <c r="ALR8">
        <v>10.975026364224901</v>
      </c>
      <c r="ALS8">
        <v>22.289894682646999</v>
      </c>
      <c r="ALT8">
        <v>11.415261819213701</v>
      </c>
      <c r="ALU8">
        <v>22.289894682646999</v>
      </c>
      <c r="ALV8">
        <v>12.2200000000641</v>
      </c>
      <c r="ALW8">
        <v>9.9999999999999897E-12</v>
      </c>
      <c r="ALX8">
        <v>10.9750263622755</v>
      </c>
      <c r="ALY8">
        <v>9.9999999999999897E-12</v>
      </c>
      <c r="ALZ8">
        <v>2.11172834923125E-3</v>
      </c>
      <c r="AMA8">
        <v>10.9750263622755</v>
      </c>
      <c r="AMB8">
        <v>0</v>
      </c>
      <c r="AMC8">
        <v>10.9750263622755</v>
      </c>
      <c r="AMD8">
        <v>0</v>
      </c>
      <c r="AME8">
        <v>10.9750263622755</v>
      </c>
      <c r="AMF8">
        <v>0</v>
      </c>
      <c r="AMG8">
        <v>0</v>
      </c>
      <c r="AMH8">
        <v>4.2474999999999996</v>
      </c>
      <c r="AMI8">
        <v>18.565980087308098</v>
      </c>
      <c r="AMJ8">
        <v>0.98829999999999996</v>
      </c>
      <c r="AMK8" s="580">
        <v>14.323984156206</v>
      </c>
      <c r="AML8">
        <v>3.3546</v>
      </c>
      <c r="AMM8">
        <v>18.5641838490914</v>
      </c>
      <c r="AMN8">
        <v>0.98829999999999996</v>
      </c>
      <c r="AMO8">
        <v>18.5473239922663</v>
      </c>
      <c r="AMP8">
        <v>1.5562499999999999</v>
      </c>
      <c r="AMQ8">
        <v>23.104116663263401</v>
      </c>
      <c r="AMR8">
        <v>0.70253968657866395</v>
      </c>
      <c r="AMS8">
        <v>13.971682804097</v>
      </c>
      <c r="AMT8">
        <v>3.3546</v>
      </c>
      <c r="AMU8">
        <v>18.5995211243028</v>
      </c>
      <c r="AMV8">
        <v>0.98829999999999996</v>
      </c>
      <c r="AMW8">
        <v>18.605742243512999</v>
      </c>
      <c r="AMX8">
        <v>0.98829999999999996</v>
      </c>
      <c r="AMY8">
        <v>18.583001146194</v>
      </c>
      <c r="AMZ8">
        <v>1.5562499999999999</v>
      </c>
      <c r="ANA8">
        <v>21.995004564583599</v>
      </c>
      <c r="ANB8">
        <v>0.85143399110627305</v>
      </c>
      <c r="ANC8">
        <v>13.453055303869499</v>
      </c>
      <c r="AND8">
        <v>3.3546</v>
      </c>
      <c r="ANE8">
        <v>33.236403657021697</v>
      </c>
      <c r="ANF8">
        <v>0.79094779999999998</v>
      </c>
      <c r="ANG8">
        <v>33.245686399927003</v>
      </c>
      <c r="ANH8">
        <v>0.79094779999999998</v>
      </c>
      <c r="ANI8">
        <v>33.269259869071703</v>
      </c>
      <c r="ANJ8">
        <v>1.2455293300000001</v>
      </c>
      <c r="ANK8">
        <v>32.741994160799699</v>
      </c>
      <c r="ANL8">
        <v>0.77899607496208101</v>
      </c>
      <c r="ANM8">
        <v>7.5899896865786598</v>
      </c>
      <c r="ANN8">
        <v>7.7388839911062703</v>
      </c>
      <c r="ANO8">
        <v>6.9610210049620802</v>
      </c>
      <c r="ANP8">
        <v>14.323984156206</v>
      </c>
      <c r="ANQ8">
        <v>15.371035558000401</v>
      </c>
      <c r="ANR8">
        <v>15.373005001413301</v>
      </c>
      <c r="ANS8">
        <v>15.598993342236</v>
      </c>
      <c r="ANT8">
        <v>15.3887909355206</v>
      </c>
      <c r="ANU8">
        <v>13.971682804097</v>
      </c>
      <c r="ANV8">
        <v>14.827144621086999</v>
      </c>
      <c r="ANW8">
        <v>14.836349927486699</v>
      </c>
      <c r="ANX8">
        <v>15.0193155128025</v>
      </c>
      <c r="ANY8">
        <v>14.866645651409099</v>
      </c>
      <c r="ANZ8">
        <v>13.453055303869499</v>
      </c>
      <c r="AOA8">
        <v>14.3840930141405</v>
      </c>
      <c r="AOB8">
        <v>14.398589028592999</v>
      </c>
      <c r="AOC8">
        <v>14.189198811157601</v>
      </c>
      <c r="AOD8">
        <v>14.426165754276999</v>
      </c>
      <c r="AOE8">
        <v>14.376365985334999</v>
      </c>
      <c r="AOF8">
        <v>4.2474999999999996</v>
      </c>
      <c r="AOG8">
        <v>15.044776120386199</v>
      </c>
      <c r="AOH8">
        <v>4.2474999999999996</v>
      </c>
    </row>
    <row r="9" spans="1:1074">
      <c r="A9" t="s">
        <v>2579</v>
      </c>
      <c r="B9">
        <v>-3.33</v>
      </c>
      <c r="D9">
        <v>-3.33</v>
      </c>
      <c r="F9">
        <v>10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c r="BY9">
        <v>0</v>
      </c>
      <c r="BZ9">
        <v>0</v>
      </c>
      <c r="CA9">
        <v>0</v>
      </c>
      <c r="CB9">
        <v>0</v>
      </c>
      <c r="CC9">
        <v>0</v>
      </c>
      <c r="CD9">
        <v>0</v>
      </c>
      <c r="CE9">
        <v>0</v>
      </c>
      <c r="CF9">
        <v>0</v>
      </c>
      <c r="CG9">
        <v>0</v>
      </c>
      <c r="CH9">
        <v>0</v>
      </c>
      <c r="CI9">
        <v>0</v>
      </c>
      <c r="CJ9">
        <v>0</v>
      </c>
      <c r="CK9">
        <v>0</v>
      </c>
      <c r="CL9">
        <v>0</v>
      </c>
      <c r="CM9">
        <v>0</v>
      </c>
      <c r="CN9">
        <v>0</v>
      </c>
      <c r="CO9">
        <v>0</v>
      </c>
      <c r="CP9">
        <v>0</v>
      </c>
      <c r="CQ9">
        <v>0</v>
      </c>
      <c r="CR9">
        <v>0</v>
      </c>
      <c r="CS9">
        <v>0</v>
      </c>
      <c r="CT9">
        <v>0</v>
      </c>
      <c r="CU9">
        <v>0</v>
      </c>
      <c r="CV9">
        <v>0</v>
      </c>
      <c r="CW9">
        <v>0</v>
      </c>
      <c r="CX9">
        <v>0</v>
      </c>
      <c r="CY9">
        <v>0</v>
      </c>
      <c r="CZ9">
        <v>0</v>
      </c>
      <c r="DA9">
        <v>0</v>
      </c>
      <c r="DB9">
        <v>0</v>
      </c>
      <c r="DC9">
        <v>0</v>
      </c>
      <c r="DD9">
        <v>0</v>
      </c>
      <c r="DE9">
        <v>0</v>
      </c>
      <c r="DF9">
        <v>0</v>
      </c>
      <c r="DG9">
        <v>0</v>
      </c>
      <c r="DH9">
        <v>0</v>
      </c>
      <c r="DI9">
        <v>0</v>
      </c>
      <c r="DJ9">
        <v>0</v>
      </c>
      <c r="DK9">
        <v>0</v>
      </c>
      <c r="DL9">
        <v>0</v>
      </c>
      <c r="DM9">
        <v>0</v>
      </c>
      <c r="DN9">
        <v>0</v>
      </c>
      <c r="DO9">
        <v>0</v>
      </c>
      <c r="DP9">
        <v>0</v>
      </c>
      <c r="DQ9">
        <v>0</v>
      </c>
      <c r="DR9">
        <v>0</v>
      </c>
      <c r="DS9">
        <v>0</v>
      </c>
      <c r="DT9">
        <v>0</v>
      </c>
      <c r="DU9">
        <v>0</v>
      </c>
      <c r="DV9">
        <v>0</v>
      </c>
      <c r="DW9">
        <v>0</v>
      </c>
      <c r="DX9">
        <v>0</v>
      </c>
      <c r="DY9">
        <v>0</v>
      </c>
      <c r="DZ9">
        <v>0</v>
      </c>
      <c r="EA9">
        <v>0</v>
      </c>
      <c r="EB9">
        <v>0</v>
      </c>
      <c r="EC9">
        <v>0</v>
      </c>
      <c r="ED9">
        <v>0</v>
      </c>
      <c r="EE9">
        <v>0</v>
      </c>
      <c r="EF9">
        <v>0</v>
      </c>
      <c r="EG9">
        <v>0</v>
      </c>
      <c r="EH9">
        <v>0</v>
      </c>
      <c r="EI9">
        <v>0</v>
      </c>
      <c r="EJ9">
        <v>0</v>
      </c>
      <c r="EK9">
        <v>0</v>
      </c>
      <c r="EL9">
        <v>0</v>
      </c>
      <c r="EM9">
        <v>0</v>
      </c>
      <c r="EN9">
        <v>0</v>
      </c>
      <c r="EO9">
        <v>0</v>
      </c>
      <c r="EP9">
        <v>0</v>
      </c>
      <c r="EQ9">
        <v>0</v>
      </c>
      <c r="ER9">
        <v>0</v>
      </c>
      <c r="ES9">
        <v>0</v>
      </c>
      <c r="ET9">
        <v>0</v>
      </c>
      <c r="EU9">
        <v>0</v>
      </c>
      <c r="EV9">
        <v>0</v>
      </c>
      <c r="EW9">
        <v>0</v>
      </c>
      <c r="EX9">
        <v>0</v>
      </c>
      <c r="EY9">
        <v>0</v>
      </c>
      <c r="EZ9">
        <v>0</v>
      </c>
      <c r="FA9">
        <v>0</v>
      </c>
      <c r="FB9">
        <v>0</v>
      </c>
      <c r="FC9">
        <v>0</v>
      </c>
      <c r="FD9">
        <v>0</v>
      </c>
      <c r="FE9">
        <v>0</v>
      </c>
      <c r="FF9">
        <v>0</v>
      </c>
      <c r="FG9">
        <v>0</v>
      </c>
      <c r="FH9">
        <v>0</v>
      </c>
      <c r="FI9">
        <v>0</v>
      </c>
      <c r="FJ9">
        <v>0</v>
      </c>
      <c r="FK9">
        <v>0</v>
      </c>
      <c r="FL9">
        <v>0</v>
      </c>
      <c r="FM9">
        <v>0</v>
      </c>
      <c r="FN9">
        <v>0</v>
      </c>
      <c r="FO9">
        <v>0</v>
      </c>
      <c r="FP9">
        <v>0</v>
      </c>
      <c r="FQ9">
        <v>0</v>
      </c>
      <c r="FR9">
        <v>0</v>
      </c>
      <c r="FS9">
        <v>0</v>
      </c>
      <c r="FT9">
        <v>0</v>
      </c>
      <c r="FU9">
        <v>0</v>
      </c>
      <c r="FV9">
        <v>0</v>
      </c>
      <c r="FW9">
        <v>0</v>
      </c>
      <c r="FX9">
        <v>0</v>
      </c>
      <c r="FY9">
        <v>0</v>
      </c>
      <c r="FZ9">
        <v>0</v>
      </c>
      <c r="GA9">
        <v>0</v>
      </c>
      <c r="GB9">
        <v>-1525.93175046229</v>
      </c>
      <c r="GC9">
        <v>-1929.1480197145299</v>
      </c>
      <c r="GD9">
        <v>-3027.4126242316902</v>
      </c>
      <c r="GE9">
        <v>-1003.65268322471</v>
      </c>
      <c r="GF9">
        <v>-1204.32213284464</v>
      </c>
      <c r="GG9">
        <v>-1893.75777694559</v>
      </c>
      <c r="GH9">
        <v>-1103.3684862544701</v>
      </c>
      <c r="GI9">
        <v>-1303.0601474995699</v>
      </c>
      <c r="GJ9">
        <v>-2057.6308944807702</v>
      </c>
      <c r="GK9">
        <v>-1000.5860389030699</v>
      </c>
      <c r="GL9">
        <v>-1202.4668668265799</v>
      </c>
      <c r="GM9">
        <v>-1889.9382861725001</v>
      </c>
      <c r="GN9">
        <v>-275.40304821047403</v>
      </c>
      <c r="GO9">
        <v>17.303101141515999</v>
      </c>
      <c r="GP9">
        <v>18.982359258690199</v>
      </c>
      <c r="GQ9">
        <v>-109.812983714181</v>
      </c>
      <c r="GR9">
        <v>-698.55260921483705</v>
      </c>
      <c r="GS9">
        <v>-1434.5228541045301</v>
      </c>
      <c r="GT9">
        <v>-182.834299564329</v>
      </c>
      <c r="GU9">
        <v>17.226501605642799</v>
      </c>
      <c r="GV9">
        <v>18.904065338012199</v>
      </c>
      <c r="GW9">
        <v>-66.383816856707597</v>
      </c>
      <c r="GX9">
        <v>-434.48308722534699</v>
      </c>
      <c r="GY9">
        <v>-894.670426509202</v>
      </c>
      <c r="GZ9">
        <v>-287.30124657926501</v>
      </c>
      <c r="HA9">
        <v>17.0629532841706</v>
      </c>
      <c r="HB9">
        <v>18.108083080186201</v>
      </c>
      <c r="HC9">
        <v>-213.02776173696</v>
      </c>
      <c r="HD9">
        <v>-766.30776138269698</v>
      </c>
      <c r="HE9">
        <v>-1233.2877707278101</v>
      </c>
      <c r="HF9">
        <v>-180.90484610354201</v>
      </c>
      <c r="HG9">
        <v>17.226763701703401</v>
      </c>
      <c r="HH9">
        <v>18.8966893275303</v>
      </c>
      <c r="HI9">
        <v>-65.431400288993302</v>
      </c>
      <c r="HJ9">
        <v>-429.73731883029899</v>
      </c>
      <c r="HK9">
        <v>-886.36719980462203</v>
      </c>
      <c r="HL9">
        <v>-1407.2726811309899</v>
      </c>
      <c r="HM9">
        <v>18.778711673162</v>
      </c>
      <c r="HN9">
        <v>17.150081596594099</v>
      </c>
      <c r="HO9">
        <v>-1372.2894927992299</v>
      </c>
      <c r="HP9">
        <v>-1960.3697778435601</v>
      </c>
      <c r="HQ9">
        <v>18.872313561059801</v>
      </c>
      <c r="HR9">
        <v>-2959.8707559560098</v>
      </c>
      <c r="HS9">
        <v>-1025.9461480622899</v>
      </c>
      <c r="HT9">
        <v>19.253568270222001</v>
      </c>
      <c r="HU9">
        <v>17.3746366571492</v>
      </c>
      <c r="HV9">
        <v>-932.50238775934599</v>
      </c>
      <c r="HW9">
        <v>-1392.5116415924399</v>
      </c>
      <c r="HX9">
        <v>19.4386927162078</v>
      </c>
      <c r="HY9">
        <v>-2060.8852375800202</v>
      </c>
      <c r="HZ9">
        <v>18.080457092343298</v>
      </c>
      <c r="IA9">
        <v>16.848869348790998</v>
      </c>
      <c r="IB9">
        <v>-1119.3276083097801</v>
      </c>
      <c r="IC9">
        <v>-1141.7587668229401</v>
      </c>
      <c r="ID9">
        <v>-1530.57737517849</v>
      </c>
      <c r="IE9">
        <v>18.1861435220735</v>
      </c>
      <c r="IF9">
        <v>-2345.11112368061</v>
      </c>
      <c r="IG9">
        <v>-170.18352232924201</v>
      </c>
      <c r="IH9">
        <v>19.262521964548601</v>
      </c>
      <c r="II9">
        <v>17.378463106380501</v>
      </c>
      <c r="IJ9">
        <v>-932.38078386716597</v>
      </c>
      <c r="IK9">
        <v>-184.47108362879001</v>
      </c>
      <c r="IL9">
        <v>-1022.8530428888</v>
      </c>
      <c r="IM9">
        <v>-1391.09868178784</v>
      </c>
      <c r="IN9">
        <v>19.453207038201899</v>
      </c>
      <c r="IO9">
        <v>2.7116078723324599</v>
      </c>
      <c r="IP9">
        <v>-2058.0509520600599</v>
      </c>
      <c r="IQ9">
        <v>446.97410346280299</v>
      </c>
      <c r="IR9">
        <v>304.31130675805201</v>
      </c>
      <c r="IS9">
        <v>385.62826735516899</v>
      </c>
      <c r="IT9">
        <v>305.01103186468202</v>
      </c>
      <c r="IU9">
        <v>957.59243641417697</v>
      </c>
      <c r="IV9">
        <v>-265.930200372895</v>
      </c>
      <c r="IW9">
        <v>17.281640975011101</v>
      </c>
      <c r="IX9">
        <v>18.872313561059801</v>
      </c>
      <c r="IY9">
        <v>-102.802767979658</v>
      </c>
      <c r="IZ9">
        <v>-637.84219748957798</v>
      </c>
      <c r="JA9">
        <v>-1296.8146623417199</v>
      </c>
      <c r="JB9">
        <v>-318.44323453806902</v>
      </c>
      <c r="JC9">
        <v>17.9463593434917</v>
      </c>
      <c r="JD9">
        <v>19.4386927162078</v>
      </c>
      <c r="JE9">
        <v>-354.15757468435402</v>
      </c>
      <c r="JF9">
        <v>-1139.03756354345</v>
      </c>
      <c r="JG9">
        <v>-1666.0323970721599</v>
      </c>
      <c r="JH9">
        <v>-326.76612110180298</v>
      </c>
      <c r="JI9">
        <v>16.993005804846199</v>
      </c>
      <c r="JJ9">
        <v>18.1861435220735</v>
      </c>
      <c r="JK9">
        <v>-280.10651517268099</v>
      </c>
      <c r="JL9">
        <v>-1011.34573984539</v>
      </c>
      <c r="JM9">
        <v>-1646.9374633300199</v>
      </c>
      <c r="JN9">
        <v>-316.56621161180999</v>
      </c>
      <c r="JO9">
        <v>17.964785864682799</v>
      </c>
      <c r="JP9">
        <v>19.453207038201899</v>
      </c>
      <c r="JQ9">
        <v>1.03406238036946</v>
      </c>
      <c r="JR9">
        <v>-353.26574759066102</v>
      </c>
      <c r="JS9">
        <v>2.1005458934218901</v>
      </c>
      <c r="JT9">
        <v>-1135.29372775305</v>
      </c>
      <c r="JU9">
        <v>-1660.1672875591</v>
      </c>
      <c r="JV9">
        <v>-1661.8070054612499</v>
      </c>
      <c r="JW9">
        <v>-2759.0021645787901</v>
      </c>
      <c r="JX9">
        <v>-3836.2457049851701</v>
      </c>
      <c r="JY9">
        <v>-1098.41946994726</v>
      </c>
      <c r="JZ9">
        <v>-1735.32398126559</v>
      </c>
      <c r="KA9">
        <v>-2426.4903936545902</v>
      </c>
      <c r="KB9">
        <v>-1329.59562425229</v>
      </c>
      <c r="KC9">
        <v>-2033.9603238612699</v>
      </c>
      <c r="KD9">
        <v>-3131.5248845357901</v>
      </c>
      <c r="KE9">
        <v>-1095.1989074896001</v>
      </c>
      <c r="KF9">
        <v>19.655656557683301</v>
      </c>
      <c r="KG9">
        <v>-732.09568653268002</v>
      </c>
      <c r="KH9">
        <v>1.5161232627368699</v>
      </c>
      <c r="KI9">
        <v>-1733.0867867587201</v>
      </c>
      <c r="KJ9">
        <v>-2423.30735062145</v>
      </c>
      <c r="KK9">
        <v>-818.08276297721704</v>
      </c>
      <c r="KL9">
        <v>19.460880975348701</v>
      </c>
      <c r="KM9">
        <v>21.1050208820227</v>
      </c>
      <c r="KN9">
        <v>-783.53807801030803</v>
      </c>
      <c r="KO9">
        <v>18.232435778096601</v>
      </c>
      <c r="KP9">
        <v>-10.539163299677099</v>
      </c>
      <c r="KQ9">
        <v>-2442.1533858152002</v>
      </c>
      <c r="KR9">
        <v>-3187.5573468290099</v>
      </c>
      <c r="KS9">
        <v>-544.98436856881403</v>
      </c>
      <c r="KT9">
        <v>19.3170158422372</v>
      </c>
      <c r="KU9">
        <v>21.0023258435169</v>
      </c>
      <c r="KV9">
        <v>-491.226456962128</v>
      </c>
      <c r="KW9">
        <v>18.068204137620899</v>
      </c>
      <c r="KX9">
        <v>-10.4606224018142</v>
      </c>
      <c r="KY9">
        <v>-1546.3054551548</v>
      </c>
      <c r="KZ9">
        <v>-2018.09062336076</v>
      </c>
      <c r="LA9">
        <v>-589.73447780378604</v>
      </c>
      <c r="LB9">
        <v>16.612379232228101</v>
      </c>
      <c r="LC9">
        <v>18.426820193373398</v>
      </c>
      <c r="LD9">
        <v>-421.88256309725</v>
      </c>
      <c r="LE9">
        <v>15.237332904088801</v>
      </c>
      <c r="LF9">
        <v>-10.604485622433399</v>
      </c>
      <c r="LG9">
        <v>-1713.6977100068</v>
      </c>
      <c r="LH9">
        <v>-2681.9318884234899</v>
      </c>
      <c r="LI9">
        <v>-541.38383501432997</v>
      </c>
      <c r="LJ9">
        <v>19.327894672631199</v>
      </c>
      <c r="LK9">
        <v>21.004546264542402</v>
      </c>
      <c r="LL9">
        <v>-489.38205998918397</v>
      </c>
      <c r="LM9">
        <v>18.089125449937001</v>
      </c>
      <c r="LN9">
        <v>-10.1269997131394</v>
      </c>
      <c r="LO9">
        <v>-1537.43162199875</v>
      </c>
      <c r="LP9">
        <v>-2004.2711418323599</v>
      </c>
      <c r="LQ9">
        <v>-18.862985396722699</v>
      </c>
      <c r="LR9">
        <v>16.3453130422327</v>
      </c>
      <c r="LS9">
        <v>16.481000000000002</v>
      </c>
      <c r="LT9">
        <v>866.00166421208405</v>
      </c>
      <c r="LU9">
        <v>1530.9724082463299</v>
      </c>
      <c r="LV9">
        <v>15.754451056133201</v>
      </c>
      <c r="LW9">
        <v>17.985844644998402</v>
      </c>
      <c r="LX9">
        <v>459.83223314193401</v>
      </c>
      <c r="LY9">
        <v>-13.234282692258001</v>
      </c>
      <c r="LZ9">
        <v>16.326333132503599</v>
      </c>
      <c r="MA9">
        <v>16.481000000000002</v>
      </c>
      <c r="MB9">
        <v>548.10853051493802</v>
      </c>
      <c r="MC9">
        <v>981.45419209433896</v>
      </c>
      <c r="MD9">
        <v>15.721306064322301</v>
      </c>
      <c r="ME9">
        <v>17.933568560468899</v>
      </c>
      <c r="MF9">
        <v>284.979997153716</v>
      </c>
      <c r="MG9">
        <v>-23.729513570693602</v>
      </c>
      <c r="MH9">
        <v>16.341999559858099</v>
      </c>
      <c r="MI9">
        <v>16.481000000000002</v>
      </c>
      <c r="MJ9">
        <v>728.41989297245902</v>
      </c>
      <c r="MK9">
        <v>1327.7488915041799</v>
      </c>
      <c r="ML9">
        <v>15.818287210086501</v>
      </c>
      <c r="MM9">
        <v>17.339731560989801</v>
      </c>
      <c r="MN9">
        <v>375.74274536658402</v>
      </c>
      <c r="MO9">
        <v>-12.7816007946896</v>
      </c>
      <c r="MP9">
        <v>16.3313674321425</v>
      </c>
      <c r="MQ9">
        <v>16.481000000000002</v>
      </c>
      <c r="MR9">
        <v>549.32995000215999</v>
      </c>
      <c r="MS9">
        <v>984.41940391421804</v>
      </c>
      <c r="MT9">
        <v>15.7224192779459</v>
      </c>
      <c r="MU9">
        <v>17.9268839590166</v>
      </c>
      <c r="MV9">
        <v>284.68943565556702</v>
      </c>
      <c r="MW9">
        <v>-18.814730144543599</v>
      </c>
      <c r="MX9">
        <v>15.251398502724699</v>
      </c>
      <c r="MY9">
        <v>16.286291339519899</v>
      </c>
      <c r="MZ9">
        <v>651.10093488326299</v>
      </c>
      <c r="NA9">
        <v>889.54403237726501</v>
      </c>
      <c r="NB9">
        <v>15.0965855048502</v>
      </c>
      <c r="NC9">
        <v>17.7152774535639</v>
      </c>
      <c r="ND9">
        <v>525.72152442519803</v>
      </c>
      <c r="NE9">
        <v>-10.369963379779101</v>
      </c>
      <c r="NF9">
        <v>15.1620731782898</v>
      </c>
      <c r="NG9">
        <v>16.2097675865881</v>
      </c>
      <c r="NH9">
        <v>455.697319358225</v>
      </c>
      <c r="NI9">
        <v>602.47943449020102</v>
      </c>
      <c r="NJ9">
        <v>15.019598745596401</v>
      </c>
      <c r="NK9">
        <v>18.030377530914301</v>
      </c>
      <c r="NL9">
        <v>379.828711266531</v>
      </c>
      <c r="NM9" s="35">
        <v>-20.952723246631098</v>
      </c>
      <c r="NN9">
        <v>15.3665021935028</v>
      </c>
      <c r="NO9" s="35">
        <v>16.364863074223098</v>
      </c>
      <c r="NP9" s="35">
        <v>626.04961892868505</v>
      </c>
      <c r="NQ9" s="35">
        <v>916.66482250312504</v>
      </c>
      <c r="NR9" s="35">
        <v>15.158473819309499</v>
      </c>
      <c r="NS9">
        <v>17.218008135983698</v>
      </c>
      <c r="NT9">
        <v>469.91009013871798</v>
      </c>
      <c r="NU9" s="35">
        <v>-9.7448145285791394</v>
      </c>
      <c r="NV9">
        <v>15.1763725632318</v>
      </c>
      <c r="NW9">
        <v>16.2175694186129</v>
      </c>
      <c r="NX9">
        <v>2.9816481126133101</v>
      </c>
      <c r="NY9">
        <v>459.07487871432102</v>
      </c>
      <c r="NZ9">
        <v>605.885997792372</v>
      </c>
      <c r="OA9">
        <v>15.0330095036652</v>
      </c>
      <c r="OB9">
        <v>18.044246399003502</v>
      </c>
      <c r="OC9">
        <v>2.9047308172640101</v>
      </c>
      <c r="OD9">
        <v>382.75926597338503</v>
      </c>
      <c r="OE9">
        <v>2.9816481126133101</v>
      </c>
      <c r="OF9">
        <v>2.9047308172640101</v>
      </c>
      <c r="OG9">
        <v>-10.2380558978947</v>
      </c>
      <c r="OH9">
        <v>15.0345445806492</v>
      </c>
      <c r="OI9">
        <v>16.3493288593396</v>
      </c>
      <c r="OJ9">
        <v>987.52526728232897</v>
      </c>
      <c r="OK9">
        <v>1132.65172961484</v>
      </c>
      <c r="OL9">
        <v>15.0049400207223</v>
      </c>
      <c r="OM9">
        <v>19.101831009087601</v>
      </c>
      <c r="ON9">
        <v>966.12732885086996</v>
      </c>
      <c r="OO9">
        <v>-7.8232919826501002</v>
      </c>
      <c r="OP9">
        <v>14.981820768915</v>
      </c>
      <c r="OQ9">
        <v>16.840007796179801</v>
      </c>
      <c r="OR9">
        <v>613.95866144723402</v>
      </c>
      <c r="OS9">
        <v>715.29107799934002</v>
      </c>
      <c r="OT9">
        <v>14.9429000871786</v>
      </c>
      <c r="OU9">
        <v>19.039132867266101</v>
      </c>
      <c r="OV9">
        <v>596.23774806010704</v>
      </c>
      <c r="OW9">
        <v>-21.826761664039999</v>
      </c>
      <c r="OX9">
        <v>14.655751528642901</v>
      </c>
      <c r="OY9">
        <v>16.126879124209601</v>
      </c>
      <c r="OZ9">
        <v>716.92066655209203</v>
      </c>
      <c r="PA9">
        <v>1027.6863054872899</v>
      </c>
      <c r="PB9">
        <v>14.428645329968999</v>
      </c>
      <c r="PC9">
        <v>17.224899311979499</v>
      </c>
      <c r="PD9">
        <v>557.47125334637894</v>
      </c>
      <c r="PE9">
        <v>-7.1868489984539803</v>
      </c>
      <c r="PF9">
        <v>15.0018914486469</v>
      </c>
      <c r="PG9">
        <v>16.862982568454399</v>
      </c>
      <c r="PH9">
        <v>3.17557705349848</v>
      </c>
      <c r="PI9">
        <v>619.66113656394202</v>
      </c>
      <c r="PJ9">
        <v>724.14128967129795</v>
      </c>
      <c r="PK9">
        <v>14.956852832749499</v>
      </c>
      <c r="PL9">
        <v>19.042925868205099</v>
      </c>
      <c r="PM9" s="35">
        <v>3.1734004352389098</v>
      </c>
      <c r="PN9">
        <v>599.21691670997495</v>
      </c>
      <c r="PO9">
        <v>18.549554687127198</v>
      </c>
      <c r="PP9">
        <v>18.491489968465999</v>
      </c>
      <c r="PQ9">
        <v>17.704928094654001</v>
      </c>
      <c r="PR9">
        <v>18.482402218955901</v>
      </c>
      <c r="PS9">
        <v>16.524765361041499</v>
      </c>
      <c r="PT9">
        <v>18.411243372157099</v>
      </c>
      <c r="PU9">
        <v>18.848505748667101</v>
      </c>
      <c r="PV9">
        <v>17.742987493585101</v>
      </c>
      <c r="PW9">
        <v>18.863033608641299</v>
      </c>
      <c r="PX9">
        <v>16.139738242716898</v>
      </c>
      <c r="PY9">
        <v>20.1480848444969</v>
      </c>
      <c r="PZ9">
        <v>20.096202769892901</v>
      </c>
      <c r="QA9">
        <v>17.940735567857701</v>
      </c>
      <c r="QB9">
        <v>20.095558196639999</v>
      </c>
      <c r="QC9">
        <v>14.622815253796499</v>
      </c>
      <c r="QD9">
        <v>14.5002762574385</v>
      </c>
      <c r="QE9">
        <v>22.196729330599599</v>
      </c>
      <c r="QF9">
        <v>22.0971249692657</v>
      </c>
      <c r="QG9">
        <v>20.177404063666799</v>
      </c>
      <c r="QH9">
        <v>22.081393307390499</v>
      </c>
      <c r="QI9">
        <v>15.972058147420301</v>
      </c>
      <c r="QJ9">
        <v>21.993037028356401</v>
      </c>
      <c r="QK9">
        <v>22.749656342825599</v>
      </c>
      <c r="QL9">
        <v>20.513086351269699</v>
      </c>
      <c r="QM9">
        <v>22.755002187757199</v>
      </c>
      <c r="QN9">
        <v>-10296.337475688801</v>
      </c>
      <c r="QO9">
        <v>15.5625940933637</v>
      </c>
      <c r="QP9">
        <v>6188.23581073882</v>
      </c>
      <c r="QQ9">
        <v>23.8138556604897</v>
      </c>
      <c r="QR9">
        <v>23.7258171114925</v>
      </c>
      <c r="QS9">
        <v>20.908072322669799</v>
      </c>
      <c r="QT9">
        <v>23.716465549174199</v>
      </c>
      <c r="QU9">
        <v>14.226572492239301</v>
      </c>
      <c r="QV9">
        <v>13.4372065083392</v>
      </c>
      <c r="QW9">
        <v>332323.91904823598</v>
      </c>
      <c r="QX9">
        <v>0</v>
      </c>
      <c r="QY9">
        <v>249555.05808495899</v>
      </c>
      <c r="QZ9">
        <v>0</v>
      </c>
      <c r="RA9">
        <v>30722.332531148</v>
      </c>
      <c r="RB9">
        <v>0</v>
      </c>
      <c r="RC9">
        <v>20122.4748898006</v>
      </c>
      <c r="RD9">
        <v>0</v>
      </c>
      <c r="RE9">
        <v>88901.394714602298</v>
      </c>
      <c r="RF9">
        <v>0</v>
      </c>
      <c r="RG9">
        <v>66010.039743584799</v>
      </c>
      <c r="RH9" s="35">
        <v>0</v>
      </c>
      <c r="RI9">
        <v>18103.249450568401</v>
      </c>
      <c r="RJ9" s="35">
        <v>352.32122080087697</v>
      </c>
      <c r="RK9">
        <v>25.843903974071999</v>
      </c>
      <c r="RL9">
        <v>8010.3674039278603</v>
      </c>
      <c r="RM9" s="35">
        <v>7819.6720550524296</v>
      </c>
      <c r="RN9">
        <v>16016.6656427325</v>
      </c>
      <c r="RO9" s="35">
        <v>11584.651613432299</v>
      </c>
      <c r="RP9">
        <v>216.71766841933501</v>
      </c>
      <c r="RQ9" s="35">
        <v>25.702759970065301</v>
      </c>
      <c r="RR9" s="35">
        <v>5196.4521016407498</v>
      </c>
      <c r="RS9">
        <v>5155.6556228239497</v>
      </c>
      <c r="RT9">
        <v>10363.821680430599</v>
      </c>
      <c r="RU9">
        <v>12873.707980584801</v>
      </c>
      <c r="RV9">
        <v>0</v>
      </c>
      <c r="RW9">
        <v>22.6498800326797</v>
      </c>
      <c r="RX9">
        <v>8571.1980908119695</v>
      </c>
      <c r="RY9">
        <v>8571.1980908119695</v>
      </c>
      <c r="RZ9">
        <v>16831.674630581401</v>
      </c>
      <c r="SA9">
        <v>11600.0419770061</v>
      </c>
      <c r="SB9">
        <v>215.37654158146401</v>
      </c>
      <c r="SC9">
        <v>25.680384395825101</v>
      </c>
      <c r="SD9">
        <v>5225.0529538246101</v>
      </c>
      <c r="SE9">
        <v>5196.3215140134998</v>
      </c>
      <c r="SF9">
        <v>10404.8293523993</v>
      </c>
      <c r="SG9">
        <v>0</v>
      </c>
      <c r="SH9">
        <v>5403.6048900791602</v>
      </c>
      <c r="SI9">
        <v>15.419350933799</v>
      </c>
      <c r="SJ9">
        <v>42235.762678554602</v>
      </c>
      <c r="SK9">
        <v>42235.762678554602</v>
      </c>
      <c r="SL9">
        <v>87939.100801900699</v>
      </c>
      <c r="SM9">
        <v>21.1111</v>
      </c>
      <c r="SN9">
        <v>26.666699999999999</v>
      </c>
      <c r="SO9">
        <v>3375.1360251057599</v>
      </c>
      <c r="SP9">
        <v>0</v>
      </c>
      <c r="SQ9">
        <v>19.777155898690499</v>
      </c>
      <c r="SR9">
        <v>0</v>
      </c>
      <c r="SS9">
        <v>0</v>
      </c>
      <c r="ST9">
        <v>0</v>
      </c>
      <c r="SU9">
        <v>2139.29705984061</v>
      </c>
      <c r="SV9">
        <v>0</v>
      </c>
      <c r="SW9">
        <v>19.6645996538494</v>
      </c>
      <c r="SX9">
        <v>0</v>
      </c>
      <c r="SY9">
        <v>0</v>
      </c>
      <c r="SZ9">
        <v>0</v>
      </c>
      <c r="TA9">
        <v>2183.81391345567</v>
      </c>
      <c r="TB9">
        <v>0</v>
      </c>
      <c r="TC9">
        <v>18.935191795340501</v>
      </c>
      <c r="TD9">
        <v>0</v>
      </c>
      <c r="TE9">
        <v>0</v>
      </c>
      <c r="TF9">
        <v>0</v>
      </c>
      <c r="TG9">
        <v>2128.5142078425101</v>
      </c>
      <c r="TH9">
        <v>0</v>
      </c>
      <c r="TI9">
        <v>19.657625676457499</v>
      </c>
      <c r="TJ9">
        <v>0</v>
      </c>
      <c r="TK9">
        <v>0</v>
      </c>
      <c r="TL9">
        <v>0</v>
      </c>
      <c r="TM9">
        <v>1391.56722388355</v>
      </c>
      <c r="TN9">
        <v>650.53118164401496</v>
      </c>
      <c r="TO9">
        <v>16.5542572763833</v>
      </c>
      <c r="TP9">
        <v>0</v>
      </c>
      <c r="TQ9">
        <v>0</v>
      </c>
      <c r="TR9">
        <v>0</v>
      </c>
      <c r="TS9">
        <v>18038.594367743699</v>
      </c>
      <c r="TT9">
        <v>366.906914574913</v>
      </c>
      <c r="TU9">
        <v>25.5748306845557</v>
      </c>
      <c r="TV9">
        <v>8259.4693091342597</v>
      </c>
      <c r="TW9">
        <v>8215.8898617190098</v>
      </c>
      <c r="TX9">
        <v>16423.266171900799</v>
      </c>
      <c r="TY9">
        <v>13117.6395818361</v>
      </c>
      <c r="TZ9">
        <v>0</v>
      </c>
      <c r="UA9">
        <v>26.650806936984001</v>
      </c>
      <c r="UB9">
        <v>5568.0420744161202</v>
      </c>
      <c r="UC9">
        <v>5568.0420744161202</v>
      </c>
      <c r="UD9">
        <v>10765.580936018099</v>
      </c>
      <c r="UE9">
        <v>14606.435327294101</v>
      </c>
      <c r="UF9">
        <v>0</v>
      </c>
      <c r="UG9">
        <v>23.283185208954201</v>
      </c>
      <c r="UH9">
        <v>9037.27392628288</v>
      </c>
      <c r="UI9">
        <v>9037.27392628288</v>
      </c>
      <c r="UJ9">
        <v>17289.2781954007</v>
      </c>
      <c r="UK9">
        <v>13141.497080310801</v>
      </c>
      <c r="UL9">
        <v>0</v>
      </c>
      <c r="UM9">
        <v>26.6469707668731</v>
      </c>
      <c r="UN9">
        <v>5602.6351533023999</v>
      </c>
      <c r="UO9">
        <v>5602.6351533023999</v>
      </c>
      <c r="UP9">
        <v>10800.187649728699</v>
      </c>
      <c r="UQ9">
        <v>0</v>
      </c>
      <c r="UR9">
        <v>5821.6846933225897</v>
      </c>
      <c r="US9">
        <v>14.9854499440104</v>
      </c>
      <c r="UT9">
        <v>45992.534529541699</v>
      </c>
      <c r="UU9">
        <v>45992.534529541699</v>
      </c>
      <c r="UV9">
        <v>92012.740902487305</v>
      </c>
      <c r="UW9">
        <v>21.1111</v>
      </c>
      <c r="UX9">
        <v>26.666699999999999</v>
      </c>
      <c r="UY9">
        <v>3222.8444262325502</v>
      </c>
      <c r="UZ9">
        <v>0</v>
      </c>
      <c r="VA9">
        <v>19.687022156003401</v>
      </c>
      <c r="VB9">
        <v>0</v>
      </c>
      <c r="VC9">
        <v>0</v>
      </c>
      <c r="VD9">
        <v>0</v>
      </c>
      <c r="VE9">
        <v>3151.6450793939198</v>
      </c>
      <c r="VF9">
        <v>0</v>
      </c>
      <c r="VG9">
        <v>21.859178606118402</v>
      </c>
      <c r="VH9">
        <v>0</v>
      </c>
      <c r="VI9">
        <v>0</v>
      </c>
      <c r="VJ9">
        <v>0</v>
      </c>
      <c r="VK9">
        <v>2770.2091952999899</v>
      </c>
      <c r="VL9">
        <v>0</v>
      </c>
      <c r="VM9">
        <v>19.282294527716601</v>
      </c>
      <c r="VN9">
        <v>0</v>
      </c>
      <c r="VO9">
        <v>0</v>
      </c>
      <c r="VP9">
        <v>0</v>
      </c>
      <c r="VQ9">
        <v>3139.0406753764701</v>
      </c>
      <c r="VR9">
        <v>0</v>
      </c>
      <c r="VS9">
        <v>21.868821259765301</v>
      </c>
      <c r="VT9">
        <v>0</v>
      </c>
      <c r="VU9">
        <v>0</v>
      </c>
      <c r="VV9">
        <v>0</v>
      </c>
      <c r="VW9">
        <v>2778.9473801591398</v>
      </c>
      <c r="VX9">
        <v>265.75675221653398</v>
      </c>
      <c r="VY9">
        <v>16.824789740570299</v>
      </c>
      <c r="VZ9">
        <v>0</v>
      </c>
      <c r="WA9">
        <v>0</v>
      </c>
      <c r="WB9">
        <v>0</v>
      </c>
      <c r="WC9">
        <v>21258.699745723101</v>
      </c>
      <c r="WD9">
        <v>0</v>
      </c>
      <c r="WE9">
        <v>27.479626476482501</v>
      </c>
      <c r="WF9">
        <v>10373.3917295459</v>
      </c>
      <c r="WG9">
        <v>10373.3917295459</v>
      </c>
      <c r="WH9">
        <v>18497.971771625002</v>
      </c>
      <c r="WI9">
        <v>0</v>
      </c>
      <c r="WJ9">
        <v>13701.8815066717</v>
      </c>
      <c r="WK9">
        <v>0</v>
      </c>
      <c r="WL9">
        <v>27.355431453092201</v>
      </c>
      <c r="WM9">
        <v>6860.93109151116</v>
      </c>
      <c r="WN9">
        <v>6860.93109151116</v>
      </c>
      <c r="WO9">
        <v>12023.526277601301</v>
      </c>
      <c r="WP9">
        <v>21.1111</v>
      </c>
      <c r="WQ9">
        <v>26.666699999999999</v>
      </c>
      <c r="WR9">
        <v>16931.6804898058</v>
      </c>
      <c r="WS9">
        <v>0</v>
      </c>
      <c r="WT9">
        <v>23.875409077481802</v>
      </c>
      <c r="WU9">
        <v>11320.76620645</v>
      </c>
      <c r="WV9">
        <v>11320.76620645</v>
      </c>
      <c r="WW9">
        <v>19542.306648799</v>
      </c>
      <c r="WX9">
        <v>0</v>
      </c>
      <c r="WY9">
        <v>13746.2067223551</v>
      </c>
      <c r="WZ9">
        <v>0</v>
      </c>
      <c r="XA9">
        <v>27.337372901708498</v>
      </c>
      <c r="XB9">
        <v>6922.7672142013498</v>
      </c>
      <c r="XC9">
        <v>6922.7672142013498</v>
      </c>
      <c r="XD9">
        <v>12085.6552208754</v>
      </c>
      <c r="XE9">
        <v>0</v>
      </c>
      <c r="XF9">
        <v>3525.1455438641201</v>
      </c>
      <c r="XG9">
        <v>13.8303297306822</v>
      </c>
      <c r="XH9">
        <v>58009.030720643299</v>
      </c>
      <c r="XI9">
        <v>58009.030720643299</v>
      </c>
      <c r="XJ9">
        <v>104996.789122876</v>
      </c>
      <c r="XK9">
        <v>21.1111</v>
      </c>
      <c r="XL9">
        <v>26.666699999999999</v>
      </c>
      <c r="XM9">
        <v>6065.8737053512496</v>
      </c>
      <c r="XN9">
        <v>0</v>
      </c>
      <c r="XO9">
        <v>23.470902088932601</v>
      </c>
      <c r="XP9">
        <v>0</v>
      </c>
      <c r="XQ9">
        <v>0</v>
      </c>
      <c r="XR9">
        <v>0</v>
      </c>
      <c r="XS9">
        <v>3894.1555705726</v>
      </c>
      <c r="XT9">
        <v>0</v>
      </c>
      <c r="XU9">
        <v>23.3018103153663</v>
      </c>
      <c r="XV9">
        <v>0</v>
      </c>
      <c r="XW9">
        <v>0</v>
      </c>
      <c r="XX9">
        <v>0</v>
      </c>
      <c r="XY9">
        <v>4326.5319584210602</v>
      </c>
      <c r="XZ9">
        <v>0</v>
      </c>
      <c r="YA9">
        <v>19.408526209000001</v>
      </c>
      <c r="YB9">
        <v>0</v>
      </c>
      <c r="YC9">
        <v>0</v>
      </c>
      <c r="YD9">
        <v>0</v>
      </c>
      <c r="YE9">
        <v>3874.3907620806099</v>
      </c>
      <c r="YF9">
        <v>0</v>
      </c>
      <c r="YG9">
        <v>23.3006745668742</v>
      </c>
      <c r="YH9">
        <v>0</v>
      </c>
      <c r="YI9">
        <v>0</v>
      </c>
      <c r="YJ9">
        <v>0</v>
      </c>
      <c r="YK9">
        <v>14265.371228198001</v>
      </c>
      <c r="YL9">
        <v>0</v>
      </c>
      <c r="YM9">
        <v>16.675869724702299</v>
      </c>
      <c r="YN9">
        <v>0</v>
      </c>
      <c r="YO9">
        <v>0</v>
      </c>
      <c r="YP9">
        <v>0</v>
      </c>
      <c r="YQ9">
        <v>0</v>
      </c>
      <c r="YR9">
        <v>1140.99930917079</v>
      </c>
      <c r="YS9">
        <v>15.0705152492843</v>
      </c>
      <c r="YT9">
        <v>0</v>
      </c>
      <c r="YU9">
        <v>0</v>
      </c>
      <c r="YV9">
        <v>0</v>
      </c>
      <c r="YW9">
        <v>0</v>
      </c>
      <c r="YX9">
        <v>714.67854945754402</v>
      </c>
      <c r="YY9">
        <v>15.0574303067621</v>
      </c>
      <c r="YZ9">
        <v>0</v>
      </c>
      <c r="ZA9">
        <v>0</v>
      </c>
      <c r="ZB9">
        <v>0</v>
      </c>
      <c r="ZC9">
        <v>0</v>
      </c>
      <c r="ZD9">
        <v>972.01566249687596</v>
      </c>
      <c r="ZE9">
        <v>15.2597957944295</v>
      </c>
      <c r="ZF9">
        <v>0</v>
      </c>
      <c r="ZG9">
        <v>0</v>
      </c>
      <c r="ZH9">
        <v>0</v>
      </c>
      <c r="ZI9">
        <v>0</v>
      </c>
      <c r="ZJ9">
        <v>716.09927522761302</v>
      </c>
      <c r="ZK9">
        <v>15.059293542264999</v>
      </c>
      <c r="ZL9">
        <v>0</v>
      </c>
      <c r="ZM9">
        <v>0</v>
      </c>
      <c r="ZN9">
        <v>0</v>
      </c>
      <c r="ZO9">
        <v>0</v>
      </c>
      <c r="ZP9">
        <v>13254.9864088512</v>
      </c>
      <c r="ZQ9">
        <v>14.3796731624968</v>
      </c>
      <c r="ZR9">
        <v>0</v>
      </c>
      <c r="ZS9">
        <v>0</v>
      </c>
      <c r="ZT9">
        <v>0</v>
      </c>
      <c r="ZU9">
        <v>0</v>
      </c>
      <c r="ZV9">
        <v>993.93342369612697</v>
      </c>
      <c r="ZW9">
        <v>14.3844859146547</v>
      </c>
      <c r="ZX9">
        <v>0</v>
      </c>
      <c r="ZY9">
        <v>0</v>
      </c>
      <c r="ZZ9">
        <v>0</v>
      </c>
      <c r="AAA9">
        <v>0</v>
      </c>
      <c r="AAB9">
        <v>724.44437278139003</v>
      </c>
      <c r="AAC9">
        <v>14.202349391666299</v>
      </c>
      <c r="AAD9">
        <v>0</v>
      </c>
      <c r="AAE9">
        <v>0</v>
      </c>
      <c r="AAF9">
        <v>0</v>
      </c>
      <c r="AAG9">
        <v>0</v>
      </c>
      <c r="AAH9">
        <v>948.30829250996499</v>
      </c>
      <c r="AAI9">
        <v>14.515520346574201</v>
      </c>
      <c r="AAJ9">
        <v>0</v>
      </c>
      <c r="AAK9">
        <v>0</v>
      </c>
      <c r="AAL9">
        <v>0</v>
      </c>
      <c r="AAM9">
        <v>0</v>
      </c>
      <c r="AAN9">
        <v>731.65379048427405</v>
      </c>
      <c r="AAO9">
        <v>14.2083493033322</v>
      </c>
      <c r="AAP9">
        <v>0</v>
      </c>
      <c r="AAQ9">
        <v>0</v>
      </c>
      <c r="AAR9">
        <v>0</v>
      </c>
      <c r="AAS9">
        <v>0</v>
      </c>
      <c r="AAT9">
        <v>10784.7460712797</v>
      </c>
      <c r="AAU9">
        <v>13.900072238905</v>
      </c>
      <c r="AAV9">
        <v>0</v>
      </c>
      <c r="AAW9">
        <v>0</v>
      </c>
      <c r="AAX9">
        <v>0</v>
      </c>
      <c r="AAY9">
        <v>0</v>
      </c>
      <c r="AAZ9">
        <v>1615.1577678533699</v>
      </c>
      <c r="ABA9">
        <v>13.8412520956895</v>
      </c>
      <c r="ABB9">
        <v>0</v>
      </c>
      <c r="ABC9">
        <v>0</v>
      </c>
      <c r="ABD9">
        <v>0</v>
      </c>
      <c r="ABE9">
        <v>0</v>
      </c>
      <c r="ABF9">
        <v>995.49551434365003</v>
      </c>
      <c r="ABG9">
        <v>13.816894264383301</v>
      </c>
      <c r="ABH9">
        <v>0</v>
      </c>
      <c r="ABI9">
        <v>0</v>
      </c>
      <c r="ABJ9">
        <v>0</v>
      </c>
      <c r="ABK9">
        <v>0</v>
      </c>
      <c r="ABL9">
        <v>962.27094750714298</v>
      </c>
      <c r="ABM9">
        <v>13.818706605789099</v>
      </c>
      <c r="ABN9">
        <v>0</v>
      </c>
      <c r="ABO9">
        <v>0</v>
      </c>
      <c r="ABP9">
        <v>0</v>
      </c>
      <c r="ABQ9">
        <v>0</v>
      </c>
      <c r="ABR9">
        <v>1004.73126239074</v>
      </c>
      <c r="ABS9">
        <v>13.8243489847282</v>
      </c>
      <c r="ABT9">
        <v>0</v>
      </c>
      <c r="ABU9">
        <v>0</v>
      </c>
      <c r="ABV9">
        <v>0</v>
      </c>
      <c r="ABW9">
        <v>0</v>
      </c>
      <c r="ABX9">
        <v>7406.5621257346402</v>
      </c>
      <c r="ABY9">
        <v>13.4372065083392</v>
      </c>
      <c r="ABZ9">
        <v>0</v>
      </c>
      <c r="ACA9">
        <v>0</v>
      </c>
      <c r="ACB9">
        <v>0</v>
      </c>
      <c r="ACC9">
        <v>0</v>
      </c>
      <c r="ACD9">
        <v>0</v>
      </c>
      <c r="ACE9">
        <v>0</v>
      </c>
      <c r="ACF9">
        <v>12.236303591085001</v>
      </c>
      <c r="ACG9">
        <v>12.236303591085001</v>
      </c>
      <c r="ACH9">
        <v>0</v>
      </c>
      <c r="ACI9">
        <v>0</v>
      </c>
      <c r="ACJ9">
        <v>0</v>
      </c>
      <c r="ACK9">
        <v>20.973579277941599</v>
      </c>
      <c r="ACL9">
        <v>20.973579277941599</v>
      </c>
      <c r="ACM9">
        <v>0</v>
      </c>
      <c r="ACN9">
        <v>0</v>
      </c>
      <c r="ACP9">
        <v>15337.3268224689</v>
      </c>
      <c r="ACR9">
        <v>15337.3268224689</v>
      </c>
      <c r="ACT9">
        <v>15.4466918359515</v>
      </c>
      <c r="ACU9">
        <v>15.216501331898</v>
      </c>
      <c r="ACV9">
        <v>1.7</v>
      </c>
      <c r="ACW9">
        <v>3.9885166811811601</v>
      </c>
      <c r="ACX9">
        <v>0.826098160098788</v>
      </c>
      <c r="ACY9">
        <v>15.026829139713801</v>
      </c>
      <c r="ACZ9">
        <v>14.7684958787525</v>
      </c>
      <c r="ADA9">
        <v>1.7</v>
      </c>
      <c r="ADB9">
        <v>3.9145505363576998</v>
      </c>
      <c r="ADC9">
        <v>0.81907693121422498</v>
      </c>
      <c r="ADD9">
        <v>13.8776812255122</v>
      </c>
      <c r="ADE9">
        <v>13.7477815187101</v>
      </c>
      <c r="ADF9">
        <v>1.7</v>
      </c>
      <c r="ADG9">
        <v>4.2990177517564598</v>
      </c>
      <c r="ADH9">
        <v>0.85130516460804595</v>
      </c>
      <c r="ADI9">
        <v>26.2383223977664</v>
      </c>
      <c r="ADJ9">
        <v>26.2383223977664</v>
      </c>
      <c r="ADK9">
        <v>0</v>
      </c>
      <c r="ADL9">
        <v>0</v>
      </c>
      <c r="ADM9">
        <v>1</v>
      </c>
      <c r="ADN9">
        <v>26.1051718960742</v>
      </c>
      <c r="ADO9">
        <v>26.1051718960742</v>
      </c>
      <c r="ADP9">
        <v>0</v>
      </c>
      <c r="ADQ9">
        <v>0</v>
      </c>
      <c r="ADR9">
        <v>1</v>
      </c>
      <c r="ADS9">
        <v>23.210174548450301</v>
      </c>
      <c r="ADT9">
        <v>23.210174548450301</v>
      </c>
      <c r="ADU9">
        <v>0</v>
      </c>
      <c r="ADV9">
        <v>0</v>
      </c>
      <c r="ADW9">
        <v>1</v>
      </c>
      <c r="ADX9">
        <v>26.0957207997415</v>
      </c>
      <c r="ADY9">
        <v>26.0957207997415</v>
      </c>
      <c r="ADZ9">
        <v>0</v>
      </c>
      <c r="AEA9">
        <v>0</v>
      </c>
      <c r="AEB9">
        <v>1</v>
      </c>
      <c r="AEC9">
        <v>26.031715731417101</v>
      </c>
      <c r="AED9">
        <v>26.031715731417101</v>
      </c>
      <c r="AEE9">
        <v>0</v>
      </c>
      <c r="AEF9">
        <v>0</v>
      </c>
      <c r="AEG9">
        <v>1</v>
      </c>
      <c r="AEH9">
        <v>26.905920843114199</v>
      </c>
      <c r="AEI9">
        <v>26.905920843114199</v>
      </c>
      <c r="AEJ9">
        <v>0</v>
      </c>
      <c r="AEK9">
        <v>0</v>
      </c>
      <c r="AEL9">
        <v>1</v>
      </c>
      <c r="AEM9">
        <v>23.837179464424</v>
      </c>
      <c r="AEN9">
        <v>23.837179464424</v>
      </c>
      <c r="AEO9">
        <v>0</v>
      </c>
      <c r="AEP9">
        <v>0</v>
      </c>
      <c r="AEQ9">
        <v>1</v>
      </c>
      <c r="AER9">
        <v>26.9168366049898</v>
      </c>
      <c r="AES9">
        <v>26.9168366049898</v>
      </c>
      <c r="AET9">
        <v>0</v>
      </c>
      <c r="AEU9">
        <v>0</v>
      </c>
      <c r="AEV9">
        <v>1</v>
      </c>
      <c r="AEW9">
        <v>28.1712507861549</v>
      </c>
      <c r="AEX9">
        <v>28.1712507861549</v>
      </c>
      <c r="AEY9">
        <v>0</v>
      </c>
      <c r="AEZ9">
        <v>0</v>
      </c>
      <c r="AFA9">
        <v>1</v>
      </c>
      <c r="AFB9">
        <v>28.060941854961101</v>
      </c>
      <c r="AFC9">
        <v>28.060941854961101</v>
      </c>
      <c r="AFD9">
        <v>0</v>
      </c>
      <c r="AFE9">
        <v>0</v>
      </c>
      <c r="AFF9">
        <v>1</v>
      </c>
      <c r="AFG9">
        <v>24.619062481152199</v>
      </c>
      <c r="AFH9">
        <v>24.619062481152199</v>
      </c>
      <c r="AFI9">
        <v>0</v>
      </c>
      <c r="AFJ9">
        <v>0</v>
      </c>
      <c r="AFK9">
        <v>1</v>
      </c>
      <c r="AFL9">
        <v>28.0610822302963</v>
      </c>
      <c r="AFM9">
        <v>28.0610822302963</v>
      </c>
      <c r="AFN9">
        <v>0</v>
      </c>
      <c r="AFO9">
        <v>0</v>
      </c>
      <c r="AFP9">
        <v>1</v>
      </c>
      <c r="AFQ9">
        <v>-0.99254430847247899</v>
      </c>
      <c r="AFR9">
        <v>-0.54836982674700696</v>
      </c>
      <c r="AFS9">
        <v>-0.57198484754752099</v>
      </c>
      <c r="AFT9">
        <v>-0.57010534580732797</v>
      </c>
      <c r="AFU9">
        <v>-0.91390544969795595</v>
      </c>
      <c r="AFV9">
        <v>-0.58606382047399896</v>
      </c>
      <c r="AFW9">
        <v>-0.43133630633506698</v>
      </c>
      <c r="AFX9">
        <v>-0.434014191414546</v>
      </c>
      <c r="AFY9">
        <v>-0.81078087070331695</v>
      </c>
      <c r="AFZ9">
        <v>-0.16988253401675699</v>
      </c>
      <c r="AGA9">
        <v>-0.189263133190371</v>
      </c>
      <c r="AGB9">
        <v>-0.18933563409020601</v>
      </c>
      <c r="AGC9">
        <v>-1.9150616638801701</v>
      </c>
      <c r="AGD9">
        <v>-1.9745934006238599</v>
      </c>
      <c r="AGE9">
        <v>-2.12778453207545</v>
      </c>
      <c r="AGF9">
        <v>0</v>
      </c>
      <c r="AGG9">
        <v>0</v>
      </c>
      <c r="AGH9">
        <v>0</v>
      </c>
      <c r="AGI9">
        <v>0</v>
      </c>
      <c r="AGJ9">
        <v>0</v>
      </c>
      <c r="AGK9">
        <v>0</v>
      </c>
      <c r="AGL9">
        <v>0</v>
      </c>
      <c r="AGM9">
        <v>0</v>
      </c>
      <c r="AGN9">
        <v>0</v>
      </c>
      <c r="AGO9">
        <v>0</v>
      </c>
      <c r="AGP9">
        <v>0</v>
      </c>
      <c r="AGQ9">
        <v>0</v>
      </c>
      <c r="AGR9">
        <v>0</v>
      </c>
      <c r="AGS9">
        <v>0</v>
      </c>
      <c r="AGT9">
        <v>0</v>
      </c>
      <c r="AGU9">
        <v>0</v>
      </c>
      <c r="AGV9">
        <v>0</v>
      </c>
      <c r="AGW9">
        <v>0</v>
      </c>
      <c r="AGX9">
        <v>0</v>
      </c>
      <c r="AGY9">
        <v>0</v>
      </c>
      <c r="AGZ9">
        <v>0</v>
      </c>
      <c r="AHA9">
        <v>0</v>
      </c>
      <c r="AHB9">
        <v>0</v>
      </c>
      <c r="AHC9">
        <v>0</v>
      </c>
      <c r="AHD9">
        <v>0</v>
      </c>
      <c r="AHE9">
        <v>0</v>
      </c>
      <c r="AHF9">
        <v>0</v>
      </c>
      <c r="AHG9">
        <v>0</v>
      </c>
      <c r="AHH9">
        <v>0</v>
      </c>
      <c r="AHI9">
        <v>0</v>
      </c>
      <c r="AHJ9">
        <v>0</v>
      </c>
      <c r="AHK9">
        <v>0</v>
      </c>
      <c r="AHL9">
        <v>0</v>
      </c>
      <c r="AHM9">
        <v>0</v>
      </c>
      <c r="AHN9">
        <v>0</v>
      </c>
      <c r="AHO9">
        <v>0</v>
      </c>
      <c r="AHP9">
        <v>0</v>
      </c>
      <c r="AHQ9">
        <v>0</v>
      </c>
      <c r="AHR9">
        <v>0</v>
      </c>
      <c r="AHS9">
        <v>0</v>
      </c>
      <c r="AHT9">
        <v>0</v>
      </c>
      <c r="AHU9">
        <v>0</v>
      </c>
      <c r="AHV9">
        <v>0</v>
      </c>
      <c r="AHW9">
        <v>0</v>
      </c>
      <c r="AHX9">
        <v>0</v>
      </c>
      <c r="AHZ9">
        <v>22346.696153331399</v>
      </c>
      <c r="AIB9">
        <v>0</v>
      </c>
      <c r="AID9">
        <v>22348.052891818199</v>
      </c>
      <c r="AIF9">
        <v>35190.136306221902</v>
      </c>
      <c r="AIH9">
        <v>19101.775432510301</v>
      </c>
      <c r="AIJ9">
        <v>0</v>
      </c>
      <c r="AIL9">
        <v>28009.4521292397</v>
      </c>
      <c r="AIN9">
        <v>28021.226026944001</v>
      </c>
      <c r="AIP9">
        <v>35786.299950504603</v>
      </c>
      <c r="AIR9">
        <v>23594.223669329102</v>
      </c>
      <c r="AIT9">
        <v>0</v>
      </c>
      <c r="AIV9">
        <v>30514.3271177512</v>
      </c>
      <c r="AIX9">
        <v>30527.2967571517</v>
      </c>
      <c r="AIZ9">
        <v>47931.005063291603</v>
      </c>
      <c r="AJB9">
        <v>28951.640029133101</v>
      </c>
      <c r="AJC9">
        <v>0</v>
      </c>
      <c r="AJE9">
        <v>6.81482787139389E-7</v>
      </c>
      <c r="AJH9">
        <v>11917.8411621986</v>
      </c>
      <c r="AJJ9">
        <v>183.80401834048999</v>
      </c>
      <c r="AJK9">
        <v>220.596795833333</v>
      </c>
      <c r="AJL9">
        <v>220.596795833333</v>
      </c>
      <c r="AJM9">
        <v>190.047162098179</v>
      </c>
      <c r="AJN9">
        <v>260.52597656249998</v>
      </c>
      <c r="AJO9">
        <v>227.44929166666699</v>
      </c>
      <c r="AJP9">
        <v>227.44929166666699</v>
      </c>
      <c r="AJQ9">
        <v>219.363420886261</v>
      </c>
      <c r="AJR9">
        <v>358.171252083333</v>
      </c>
      <c r="AJS9">
        <v>165.44759687499999</v>
      </c>
      <c r="AJT9">
        <v>165.44759687499999</v>
      </c>
      <c r="AJU9">
        <v>156.81271254174601</v>
      </c>
      <c r="AJV9">
        <v>260.52597656249998</v>
      </c>
      <c r="AJW9">
        <v>0</v>
      </c>
      <c r="AJX9">
        <v>0</v>
      </c>
      <c r="AJY9">
        <v>362403.19268664002</v>
      </c>
      <c r="AJZ9">
        <v>0</v>
      </c>
      <c r="AKA9">
        <v>0</v>
      </c>
      <c r="AKB9">
        <v>190484.90141445701</v>
      </c>
      <c r="AKC9">
        <v>238086.28676160399</v>
      </c>
      <c r="AKD9">
        <v>857110632.34177494</v>
      </c>
      <c r="AKE9">
        <v>58.4609706791476</v>
      </c>
      <c r="AKF9">
        <v>78.882003599280097</v>
      </c>
      <c r="AKG9">
        <v>2.7654314512550799</v>
      </c>
      <c r="AKH9">
        <v>0.91752285518394305</v>
      </c>
      <c r="AKI9">
        <v>122836.035678835</v>
      </c>
      <c r="AKJ9">
        <v>153576.23376082399</v>
      </c>
      <c r="AKK9">
        <v>552874441.53896701</v>
      </c>
      <c r="AKL9">
        <v>58.4609706791476</v>
      </c>
      <c r="AKM9">
        <v>71.666280889442803</v>
      </c>
      <c r="AKN9">
        <v>2.2017193158919901</v>
      </c>
      <c r="AKO9">
        <v>0.59167350975654398</v>
      </c>
      <c r="AKP9">
        <v>2027691.98080333</v>
      </c>
      <c r="AKT9">
        <v>0</v>
      </c>
      <c r="AKX9">
        <v>0</v>
      </c>
      <c r="ALB9">
        <v>20.973579277941599</v>
      </c>
      <c r="ALC9">
        <v>20.973579277941599</v>
      </c>
      <c r="ALD9">
        <v>0</v>
      </c>
      <c r="ALE9">
        <v>0</v>
      </c>
      <c r="ALF9">
        <v>0</v>
      </c>
      <c r="ALH9">
        <v>12.2363035911296</v>
      </c>
      <c r="ALI9">
        <v>2.8568269606532499E-3</v>
      </c>
      <c r="ALJ9">
        <v>22.174028710570902</v>
      </c>
      <c r="ALK9">
        <v>12.236303591085001</v>
      </c>
      <c r="ALL9">
        <v>22.174028710570902</v>
      </c>
      <c r="ALM9">
        <v>4.5463471532557702E-4</v>
      </c>
      <c r="ALN9">
        <v>15.9623662665488</v>
      </c>
      <c r="ALO9">
        <v>2.8568269606532499E-3</v>
      </c>
      <c r="ALP9">
        <v>25.561443121943899</v>
      </c>
      <c r="ALQ9">
        <v>22.174028710570902</v>
      </c>
      <c r="ALR9">
        <v>12.2363035911296</v>
      </c>
      <c r="ALS9">
        <v>22.174028710570902</v>
      </c>
      <c r="ALT9">
        <v>12.673817473287301</v>
      </c>
      <c r="ALU9">
        <v>22.174028710570902</v>
      </c>
      <c r="ALV9">
        <v>12.2200000000641</v>
      </c>
      <c r="ALW9">
        <v>9.9999999999999897E-12</v>
      </c>
      <c r="ALX9">
        <v>12.236303591085001</v>
      </c>
      <c r="ALY9">
        <v>9.9999999999999897E-12</v>
      </c>
      <c r="ALZ9">
        <v>5.9213370763304598E-3</v>
      </c>
      <c r="AMA9">
        <v>12.236303591085001</v>
      </c>
      <c r="AMB9">
        <v>0</v>
      </c>
      <c r="AMC9">
        <v>12.236303591085001</v>
      </c>
      <c r="AMD9">
        <v>0</v>
      </c>
      <c r="AME9">
        <v>12.236303591085001</v>
      </c>
      <c r="AMF9">
        <v>0</v>
      </c>
      <c r="AMG9">
        <v>0</v>
      </c>
      <c r="AMH9">
        <v>4.2474999999999996</v>
      </c>
      <c r="AMI9">
        <v>33.674655541902801</v>
      </c>
      <c r="AMJ9">
        <v>0.76790910000000001</v>
      </c>
      <c r="AMK9" s="580">
        <v>14.121812560519601</v>
      </c>
      <c r="AML9">
        <v>3.3546</v>
      </c>
      <c r="AMM9">
        <v>33.673888224654398</v>
      </c>
      <c r="AMN9">
        <v>0.76790910000000001</v>
      </c>
      <c r="AMO9">
        <v>33.687545370031003</v>
      </c>
      <c r="AMP9">
        <v>1.20920625</v>
      </c>
      <c r="AMQ9">
        <v>37.721719309970403</v>
      </c>
      <c r="AMR9">
        <v>0.70253968657866395</v>
      </c>
      <c r="AMS9">
        <v>13.599443245448199</v>
      </c>
      <c r="AMT9">
        <v>3.3546</v>
      </c>
      <c r="AMU9">
        <v>37.567732825164498</v>
      </c>
      <c r="AMV9">
        <v>0.98829999999999996</v>
      </c>
      <c r="AMW9">
        <v>37.5837516404792</v>
      </c>
      <c r="AMX9">
        <v>0.98829999999999996</v>
      </c>
      <c r="AMY9">
        <v>33.312924293335598</v>
      </c>
      <c r="AMZ9">
        <v>1.20920625</v>
      </c>
      <c r="ANA9">
        <v>37.393175639381901</v>
      </c>
      <c r="ANB9">
        <v>0.85143399110627305</v>
      </c>
      <c r="ANC9">
        <v>13.0133707570468</v>
      </c>
      <c r="AND9">
        <v>3.3546</v>
      </c>
      <c r="ANE9">
        <v>38.415033155678103</v>
      </c>
      <c r="ANF9">
        <v>1.0189999999999999</v>
      </c>
      <c r="ANG9">
        <v>38.432752116353903</v>
      </c>
      <c r="ANH9">
        <v>1.0189999999999999</v>
      </c>
      <c r="ANI9">
        <v>38.376197172906799</v>
      </c>
      <c r="ANJ9">
        <v>1.6046499999999999</v>
      </c>
      <c r="ANK9">
        <v>38.045731181891497</v>
      </c>
      <c r="ANL9">
        <v>0.98277433288599203</v>
      </c>
      <c r="ANM9">
        <v>6.8021641365786598</v>
      </c>
      <c r="ANN9">
        <v>7.3918402411062702</v>
      </c>
      <c r="ANO9">
        <v>7.9800243328859901</v>
      </c>
      <c r="ANP9">
        <v>14.121812560519601</v>
      </c>
      <c r="ANQ9">
        <v>14.9374215924338</v>
      </c>
      <c r="ANR9">
        <v>14.939318031535599</v>
      </c>
      <c r="ANS9">
        <v>15.1748085312332</v>
      </c>
      <c r="ANT9">
        <v>14.951477461509199</v>
      </c>
      <c r="ANU9">
        <v>13.599443245448199</v>
      </c>
      <c r="ANV9">
        <v>14.073768837812199</v>
      </c>
      <c r="ANW9">
        <v>14.079989032891699</v>
      </c>
      <c r="ANX9">
        <v>14.4172868406246</v>
      </c>
      <c r="ANY9">
        <v>14.2617772916568</v>
      </c>
      <c r="ANZ9">
        <v>13.0133707570468</v>
      </c>
      <c r="AOA9">
        <v>13.601521044034699</v>
      </c>
      <c r="AOB9">
        <v>13.6087714390651</v>
      </c>
      <c r="AOC9">
        <v>13.632176056959899</v>
      </c>
      <c r="AOD9">
        <v>13.624616413675399</v>
      </c>
      <c r="AOE9">
        <v>15.9623662665488</v>
      </c>
      <c r="AOF9">
        <v>4.2474999999999996</v>
      </c>
      <c r="AOG9">
        <v>15.2368038013143</v>
      </c>
      <c r="AOH9">
        <v>4.2474999999999996</v>
      </c>
    </row>
    <row r="10" spans="1:1074">
      <c r="A10" t="s">
        <v>2580</v>
      </c>
      <c r="B10">
        <v>-3.33</v>
      </c>
      <c r="D10">
        <v>-3.33</v>
      </c>
      <c r="F10">
        <v>10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0</v>
      </c>
      <c r="BW10">
        <v>0</v>
      </c>
      <c r="BX10">
        <v>0</v>
      </c>
      <c r="BY10">
        <v>0</v>
      </c>
      <c r="BZ10">
        <v>0</v>
      </c>
      <c r="CA10">
        <v>0</v>
      </c>
      <c r="CB10">
        <v>0</v>
      </c>
      <c r="CC10">
        <v>0</v>
      </c>
      <c r="CD10">
        <v>0</v>
      </c>
      <c r="CE10">
        <v>0</v>
      </c>
      <c r="CF10">
        <v>0</v>
      </c>
      <c r="CG10">
        <v>0</v>
      </c>
      <c r="CH10">
        <v>0</v>
      </c>
      <c r="CI10">
        <v>0</v>
      </c>
      <c r="CJ10">
        <v>0</v>
      </c>
      <c r="CK10">
        <v>0</v>
      </c>
      <c r="CL10">
        <v>0</v>
      </c>
      <c r="CM10">
        <v>0</v>
      </c>
      <c r="CN10">
        <v>0</v>
      </c>
      <c r="CO10">
        <v>0</v>
      </c>
      <c r="CP10">
        <v>0</v>
      </c>
      <c r="CQ10">
        <v>0</v>
      </c>
      <c r="CR10">
        <v>0</v>
      </c>
      <c r="CS10">
        <v>0</v>
      </c>
      <c r="CT10">
        <v>0</v>
      </c>
      <c r="CU10">
        <v>0</v>
      </c>
      <c r="CV10">
        <v>0</v>
      </c>
      <c r="CW10">
        <v>0</v>
      </c>
      <c r="CX10">
        <v>0</v>
      </c>
      <c r="CY10">
        <v>0</v>
      </c>
      <c r="CZ10">
        <v>0</v>
      </c>
      <c r="DA10">
        <v>0</v>
      </c>
      <c r="DB10">
        <v>0</v>
      </c>
      <c r="DC10">
        <v>0</v>
      </c>
      <c r="DD10">
        <v>0</v>
      </c>
      <c r="DE10">
        <v>0</v>
      </c>
      <c r="DF10">
        <v>0</v>
      </c>
      <c r="DG10">
        <v>0</v>
      </c>
      <c r="DH10">
        <v>0</v>
      </c>
      <c r="DI10">
        <v>0</v>
      </c>
      <c r="DJ10">
        <v>0</v>
      </c>
      <c r="DK10">
        <v>0</v>
      </c>
      <c r="DL10">
        <v>0</v>
      </c>
      <c r="DM10">
        <v>0</v>
      </c>
      <c r="DN10">
        <v>0</v>
      </c>
      <c r="DO10">
        <v>0</v>
      </c>
      <c r="DP10">
        <v>0</v>
      </c>
      <c r="DQ10">
        <v>0</v>
      </c>
      <c r="DR10">
        <v>0</v>
      </c>
      <c r="DS10">
        <v>0</v>
      </c>
      <c r="DT10">
        <v>0</v>
      </c>
      <c r="DU10">
        <v>0</v>
      </c>
      <c r="DV10">
        <v>0</v>
      </c>
      <c r="DW10">
        <v>0</v>
      </c>
      <c r="DX10">
        <v>0</v>
      </c>
      <c r="DY10">
        <v>0</v>
      </c>
      <c r="DZ10">
        <v>0</v>
      </c>
      <c r="EA10">
        <v>0</v>
      </c>
      <c r="EB10">
        <v>0</v>
      </c>
      <c r="EC10">
        <v>0</v>
      </c>
      <c r="ED10">
        <v>0</v>
      </c>
      <c r="EE10">
        <v>0</v>
      </c>
      <c r="EF10">
        <v>0</v>
      </c>
      <c r="EG10">
        <v>0</v>
      </c>
      <c r="EH10">
        <v>0</v>
      </c>
      <c r="EI10">
        <v>0</v>
      </c>
      <c r="EJ10">
        <v>0</v>
      </c>
      <c r="EK10">
        <v>0</v>
      </c>
      <c r="EL10">
        <v>0</v>
      </c>
      <c r="EM10">
        <v>0</v>
      </c>
      <c r="EN10">
        <v>0</v>
      </c>
      <c r="EO10">
        <v>0</v>
      </c>
      <c r="EP10">
        <v>0</v>
      </c>
      <c r="EQ10">
        <v>0</v>
      </c>
      <c r="ER10">
        <v>0</v>
      </c>
      <c r="ES10">
        <v>0</v>
      </c>
      <c r="ET10">
        <v>0</v>
      </c>
      <c r="EU10">
        <v>0</v>
      </c>
      <c r="EV10">
        <v>0</v>
      </c>
      <c r="EW10">
        <v>0</v>
      </c>
      <c r="EX10">
        <v>0</v>
      </c>
      <c r="EY10">
        <v>0</v>
      </c>
      <c r="EZ10">
        <v>0</v>
      </c>
      <c r="FA10">
        <v>0</v>
      </c>
      <c r="FB10">
        <v>0</v>
      </c>
      <c r="FC10">
        <v>0</v>
      </c>
      <c r="FD10">
        <v>0</v>
      </c>
      <c r="FE10">
        <v>0</v>
      </c>
      <c r="FF10">
        <v>0</v>
      </c>
      <c r="FG10">
        <v>0</v>
      </c>
      <c r="FH10">
        <v>0</v>
      </c>
      <c r="FI10">
        <v>0</v>
      </c>
      <c r="FJ10">
        <v>0</v>
      </c>
      <c r="FK10">
        <v>0</v>
      </c>
      <c r="FL10">
        <v>0</v>
      </c>
      <c r="FM10">
        <v>0</v>
      </c>
      <c r="FN10">
        <v>0</v>
      </c>
      <c r="FO10">
        <v>0</v>
      </c>
      <c r="FP10">
        <v>0</v>
      </c>
      <c r="FQ10">
        <v>0</v>
      </c>
      <c r="FR10">
        <v>0</v>
      </c>
      <c r="FS10">
        <v>0</v>
      </c>
      <c r="FT10">
        <v>0</v>
      </c>
      <c r="FU10">
        <v>0</v>
      </c>
      <c r="FV10">
        <v>0</v>
      </c>
      <c r="FW10">
        <v>0</v>
      </c>
      <c r="FX10">
        <v>0</v>
      </c>
      <c r="FY10">
        <v>0</v>
      </c>
      <c r="FZ10">
        <v>0</v>
      </c>
      <c r="GA10">
        <v>0</v>
      </c>
      <c r="GB10">
        <v>-1608.30739742936</v>
      </c>
      <c r="GC10">
        <v>-2608.0658167348802</v>
      </c>
      <c r="GD10">
        <v>-3595.2034960364199</v>
      </c>
      <c r="GE10">
        <v>-1064.49056603382</v>
      </c>
      <c r="GF10">
        <v>-1638.7230753116801</v>
      </c>
      <c r="GG10">
        <v>-2268.5561270870298</v>
      </c>
      <c r="GH10">
        <v>-1082.16471402201</v>
      </c>
      <c r="GI10">
        <v>-1601.03187369887</v>
      </c>
      <c r="GJ10">
        <v>-2307.9227342464101</v>
      </c>
      <c r="GK10">
        <v>-1062.2288896477901</v>
      </c>
      <c r="GL10">
        <v>-1637.73110501469</v>
      </c>
      <c r="GM10">
        <v>-2267.2743726727999</v>
      </c>
      <c r="GN10">
        <v>-664.56709282902705</v>
      </c>
      <c r="GO10">
        <v>20.876419328006801</v>
      </c>
      <c r="GP10">
        <v>22.693028378181499</v>
      </c>
      <c r="GQ10">
        <v>-908.36453792287398</v>
      </c>
      <c r="GR10">
        <v>-3440.0810778187501</v>
      </c>
      <c r="GS10">
        <v>-5467.9865926494003</v>
      </c>
      <c r="GT10">
        <v>-441.65702416596298</v>
      </c>
      <c r="GU10">
        <v>20.789700324174198</v>
      </c>
      <c r="GV10">
        <v>22.618980801458999</v>
      </c>
      <c r="GW10">
        <v>-568.84567181549596</v>
      </c>
      <c r="GX10">
        <v>-2167.9982938460198</v>
      </c>
      <c r="GY10">
        <v>-3447.5047942649599</v>
      </c>
      <c r="GZ10">
        <v>-348.82206555161798</v>
      </c>
      <c r="HA10">
        <v>18.806526348166098</v>
      </c>
      <c r="HB10">
        <v>20.1258429782668</v>
      </c>
      <c r="HC10">
        <v>-318.18187065125397</v>
      </c>
      <c r="HD10">
        <v>-1453.4963592885699</v>
      </c>
      <c r="HE10">
        <v>-2664.2229640095902</v>
      </c>
      <c r="HF10">
        <v>-439.39985245165502</v>
      </c>
      <c r="HG10">
        <v>20.7863862202889</v>
      </c>
      <c r="HH10">
        <v>22.6107271864411</v>
      </c>
      <c r="HI10">
        <v>-567.29750613274996</v>
      </c>
      <c r="HJ10">
        <v>-2160.7948373313998</v>
      </c>
      <c r="HK10">
        <v>-3436.8698676451299</v>
      </c>
      <c r="HL10">
        <v>-1495.0160977441501</v>
      </c>
      <c r="HM10">
        <v>21.594716747769102</v>
      </c>
      <c r="HN10">
        <v>18.680788115113501</v>
      </c>
      <c r="HO10">
        <v>-2001.9825142900199</v>
      </c>
      <c r="HP10">
        <v>-2660.0685386341102</v>
      </c>
      <c r="HQ10">
        <v>22.516188697864902</v>
      </c>
      <c r="HR10">
        <v>-3564.5243228793101</v>
      </c>
      <c r="HS10">
        <v>-988.85782455809294</v>
      </c>
      <c r="HT10">
        <v>21.901128603683102</v>
      </c>
      <c r="HU10">
        <v>18.826438437566299</v>
      </c>
      <c r="HV10">
        <v>-1227.9773533704299</v>
      </c>
      <c r="HW10">
        <v>-1728.19200356844</v>
      </c>
      <c r="HX10">
        <v>22.968444547011501</v>
      </c>
      <c r="HY10">
        <v>-2251.4367109405498</v>
      </c>
      <c r="HZ10">
        <v>19.902919814519599</v>
      </c>
      <c r="IA10">
        <v>17.963445277859901</v>
      </c>
      <c r="IB10">
        <v>-1417.0414540049701</v>
      </c>
      <c r="IC10">
        <v>-1112.6681936765101</v>
      </c>
      <c r="ID10">
        <v>-1879.5174965625199</v>
      </c>
      <c r="IE10">
        <v>20.472526511153202</v>
      </c>
      <c r="IF10">
        <v>-2608.5678489496599</v>
      </c>
      <c r="IG10">
        <v>-196.27020341385199</v>
      </c>
      <c r="IH10">
        <v>21.904929639788101</v>
      </c>
      <c r="II10">
        <v>18.828029916183802</v>
      </c>
      <c r="IJ10">
        <v>-1227.2913380622199</v>
      </c>
      <c r="IK10">
        <v>-230.339743899486</v>
      </c>
      <c r="IL10">
        <v>-985.56698245552104</v>
      </c>
      <c r="IM10">
        <v>-1726.0944643837699</v>
      </c>
      <c r="IN10">
        <v>22.975543701972001</v>
      </c>
      <c r="IO10">
        <v>2.6584498802572898</v>
      </c>
      <c r="IP10">
        <v>-2248.17698905616</v>
      </c>
      <c r="IQ10">
        <v>694.35950828693797</v>
      </c>
      <c r="IR10">
        <v>444.05357672965198</v>
      </c>
      <c r="IS10">
        <v>494.21847891915797</v>
      </c>
      <c r="IT10">
        <v>444.36688725495202</v>
      </c>
      <c r="IU10">
        <v>805.93282332996</v>
      </c>
      <c r="IV10">
        <v>-650.35266632511696</v>
      </c>
      <c r="IW10">
        <v>20.760149583121098</v>
      </c>
      <c r="IX10">
        <v>22.516188697864902</v>
      </c>
      <c r="IY10">
        <v>-889.41007915473199</v>
      </c>
      <c r="IZ10">
        <v>-3332.70778472754</v>
      </c>
      <c r="JA10">
        <v>-5280.7260186147896</v>
      </c>
      <c r="JB10">
        <v>-409.84863708872399</v>
      </c>
      <c r="JC10">
        <v>21.2176680010515</v>
      </c>
      <c r="JD10">
        <v>22.968444547011501</v>
      </c>
      <c r="JE10">
        <v>-547.07805460658403</v>
      </c>
      <c r="JF10">
        <v>-2150.37012881177</v>
      </c>
      <c r="JG10">
        <v>-3465.71849162334</v>
      </c>
      <c r="JH10">
        <v>-401.363477389325</v>
      </c>
      <c r="JI10">
        <v>19.009954179211899</v>
      </c>
      <c r="JJ10">
        <v>20.472526511153202</v>
      </c>
      <c r="JK10">
        <v>-421.30228005164702</v>
      </c>
      <c r="JL10">
        <v>-1873.6338851753301</v>
      </c>
      <c r="JM10">
        <v>-3337.4095068312899</v>
      </c>
      <c r="JN10">
        <v>-407.38421330726499</v>
      </c>
      <c r="JO10">
        <v>21.228411723373899</v>
      </c>
      <c r="JP10">
        <v>22.975543701972001</v>
      </c>
      <c r="JQ10">
        <v>1.1738245578473501</v>
      </c>
      <c r="JR10">
        <v>-544.90779446892202</v>
      </c>
      <c r="JS10">
        <v>2.7277178939058202</v>
      </c>
      <c r="JT10">
        <v>-2142.2265203852398</v>
      </c>
      <c r="JU10">
        <v>-3454.5450598728899</v>
      </c>
      <c r="JV10">
        <v>-1430.4493614072101</v>
      </c>
      <c r="JW10">
        <v>-2810.3739791345001</v>
      </c>
      <c r="JX10">
        <v>-3298.7939061513998</v>
      </c>
      <c r="JY10">
        <v>-949.56381705951196</v>
      </c>
      <c r="JZ10">
        <v>-1769.02890782494</v>
      </c>
      <c r="KA10">
        <v>-2087.4058176532199</v>
      </c>
      <c r="KB10">
        <v>-1191.97765087638</v>
      </c>
      <c r="KC10">
        <v>-2156.1492049847102</v>
      </c>
      <c r="KD10">
        <v>-2792.7331942670398</v>
      </c>
      <c r="KE10">
        <v>-946.794800746634</v>
      </c>
      <c r="KF10">
        <v>21.850949799632701</v>
      </c>
      <c r="KG10">
        <v>-746.63196275293899</v>
      </c>
      <c r="KH10">
        <v>1.5056613198962501</v>
      </c>
      <c r="KI10">
        <v>-1767.3301716941201</v>
      </c>
      <c r="KJ10">
        <v>-2085.3693834055898</v>
      </c>
      <c r="KK10">
        <v>-615.58389009824498</v>
      </c>
      <c r="KL10">
        <v>23.0728171766822</v>
      </c>
      <c r="KM10">
        <v>23.865509392516799</v>
      </c>
      <c r="KN10">
        <v>-739.39600163588</v>
      </c>
      <c r="KO10">
        <v>22.2086896966184</v>
      </c>
      <c r="KP10">
        <v>-10.3394703541566</v>
      </c>
      <c r="KQ10">
        <v>-2052.4691713704201</v>
      </c>
      <c r="KR10">
        <v>-2551.2654309187601</v>
      </c>
      <c r="KS10">
        <v>-411.84441202988501</v>
      </c>
      <c r="KT10">
        <v>22.962239078761002</v>
      </c>
      <c r="KU10">
        <v>23.795330536414099</v>
      </c>
      <c r="KV10">
        <v>-464.08401195595599</v>
      </c>
      <c r="KW10">
        <v>22.079052658590602</v>
      </c>
      <c r="KX10">
        <v>-10.2628956448449</v>
      </c>
      <c r="KY10">
        <v>-1300.26207177674</v>
      </c>
      <c r="KZ10">
        <v>-1616.83613935978</v>
      </c>
      <c r="LA10">
        <v>-491.86204843157401</v>
      </c>
      <c r="LB10">
        <v>19.796074292058499</v>
      </c>
      <c r="LC10">
        <v>20.921653654948301</v>
      </c>
      <c r="LD10">
        <v>-447.70342695780897</v>
      </c>
      <c r="LE10">
        <v>18.7307274830723</v>
      </c>
      <c r="LF10">
        <v>-10.4469683663658</v>
      </c>
      <c r="LG10">
        <v>-1547.96187065651</v>
      </c>
      <c r="LH10">
        <v>-2309.8428454117502</v>
      </c>
      <c r="LI10">
        <v>-408.89099069530499</v>
      </c>
      <c r="LJ10">
        <v>22.967059707714601</v>
      </c>
      <c r="LK10">
        <v>23.793682415299799</v>
      </c>
      <c r="LL10">
        <v>-461.90432851616401</v>
      </c>
      <c r="LM10">
        <v>22.092353225665502</v>
      </c>
      <c r="LN10">
        <v>-9.9383878772436294</v>
      </c>
      <c r="LO10">
        <v>-1291.77016926179</v>
      </c>
      <c r="LP10">
        <v>-1603.9124485320799</v>
      </c>
      <c r="LQ10">
        <v>-29.870775755608399</v>
      </c>
      <c r="LR10">
        <v>16.457041700990199</v>
      </c>
      <c r="LS10">
        <v>16.481000000000002</v>
      </c>
      <c r="LT10">
        <v>601.19825365117197</v>
      </c>
      <c r="LU10">
        <v>428.31419746493401</v>
      </c>
      <c r="LV10">
        <v>16.761918497185199</v>
      </c>
      <c r="LW10">
        <v>20.791590352744699</v>
      </c>
      <c r="LX10">
        <v>792.40149174575504</v>
      </c>
      <c r="LY10">
        <v>-20.696155773511101</v>
      </c>
      <c r="LZ10">
        <v>16.4385048992057</v>
      </c>
      <c r="MA10">
        <v>16.481000000000002</v>
      </c>
      <c r="MB10">
        <v>378.19423053244998</v>
      </c>
      <c r="MC10">
        <v>280.26141453674001</v>
      </c>
      <c r="MD10">
        <v>16.731416364139701</v>
      </c>
      <c r="ME10">
        <v>20.750890618953601</v>
      </c>
      <c r="MF10">
        <v>494.66090532779799</v>
      </c>
      <c r="MG10">
        <v>-38.440704803227398</v>
      </c>
      <c r="MH10">
        <v>16.419059571794602</v>
      </c>
      <c r="MI10">
        <v>16.481000000000002</v>
      </c>
      <c r="MJ10">
        <v>432.07944446734899</v>
      </c>
      <c r="MK10">
        <v>442.74063346413902</v>
      </c>
      <c r="ML10">
        <v>16.5198802939118</v>
      </c>
      <c r="MM10">
        <v>18.968056150703202</v>
      </c>
      <c r="MN10">
        <v>491.34814962421302</v>
      </c>
      <c r="MO10">
        <v>-20.176700452760901</v>
      </c>
      <c r="MP10">
        <v>16.443239618702201</v>
      </c>
      <c r="MQ10">
        <v>16.481000000000002</v>
      </c>
      <c r="MR10">
        <v>379.65619736324902</v>
      </c>
      <c r="MS10">
        <v>283.74185700315599</v>
      </c>
      <c r="MT10">
        <v>16.731779024975999</v>
      </c>
      <c r="MU10">
        <v>20.7435820054712</v>
      </c>
      <c r="MV10">
        <v>494.26378783314101</v>
      </c>
      <c r="MW10">
        <v>-36.462459389555697</v>
      </c>
      <c r="MX10">
        <v>15.5589236772347</v>
      </c>
      <c r="MY10">
        <v>18.607327563353898</v>
      </c>
      <c r="MZ10">
        <v>359.35480150048198</v>
      </c>
      <c r="NA10">
        <v>-63.699329690003502</v>
      </c>
      <c r="NB10">
        <v>16.122569282063601</v>
      </c>
      <c r="NC10">
        <v>20.459753333655499</v>
      </c>
      <c r="ND10">
        <v>736.36370124093798</v>
      </c>
      <c r="NE10">
        <v>-25.945533372526899</v>
      </c>
      <c r="NF10">
        <v>15.528485834654401</v>
      </c>
      <c r="NG10">
        <v>18.515658427066299</v>
      </c>
      <c r="NH10">
        <v>214.57948052384901</v>
      </c>
      <c r="NI10">
        <v>-104.445803800628</v>
      </c>
      <c r="NJ10">
        <v>16.1879910074097</v>
      </c>
      <c r="NK10">
        <v>20.781737133791999</v>
      </c>
      <c r="NL10">
        <v>495.27736414170499</v>
      </c>
      <c r="NM10" s="35">
        <v>-40.898794399136598</v>
      </c>
      <c r="NN10">
        <v>15.613164443213799</v>
      </c>
      <c r="NO10">
        <v>17.3807464254559</v>
      </c>
      <c r="NP10">
        <v>304.48822247069199</v>
      </c>
      <c r="NQ10" s="35">
        <v>76.537277295783895</v>
      </c>
      <c r="NR10" s="35">
        <v>15.965234411608099</v>
      </c>
      <c r="NS10">
        <v>19.032954340494999</v>
      </c>
      <c r="NT10">
        <v>539.13104168878101</v>
      </c>
      <c r="NU10">
        <v>-25.204512312383201</v>
      </c>
      <c r="NV10">
        <v>15.541146894529501</v>
      </c>
      <c r="NW10">
        <v>18.5193117948679</v>
      </c>
      <c r="NX10">
        <v>3.09607117814484</v>
      </c>
      <c r="NY10">
        <v>217.685162310843</v>
      </c>
      <c r="NZ10">
        <v>-101.095554517496</v>
      </c>
      <c r="OA10">
        <v>16.199293927804</v>
      </c>
      <c r="OB10">
        <v>20.790093343390801</v>
      </c>
      <c r="OC10">
        <v>3.0632528055941401</v>
      </c>
      <c r="OD10">
        <v>497.76739177724602</v>
      </c>
      <c r="OE10">
        <v>3.09607117814484</v>
      </c>
      <c r="OF10">
        <v>3.0632528055941401</v>
      </c>
      <c r="OG10">
        <v>-34.533934450982699</v>
      </c>
      <c r="OH10">
        <v>15.494312574719901</v>
      </c>
      <c r="OI10">
        <v>18.570202347272499</v>
      </c>
      <c r="OJ10">
        <v>459.85030391888802</v>
      </c>
      <c r="OK10">
        <v>-139.07890490593101</v>
      </c>
      <c r="OL10">
        <v>16.265562204012699</v>
      </c>
      <c r="OM10">
        <v>21.161277846849199</v>
      </c>
      <c r="ON10">
        <v>999.35442640086296</v>
      </c>
      <c r="OO10">
        <v>-24.193670028487801</v>
      </c>
      <c r="OP10">
        <v>15.452679644046601</v>
      </c>
      <c r="OQ10">
        <v>18.901605490943901</v>
      </c>
      <c r="OR10">
        <v>283.06235088372398</v>
      </c>
      <c r="OS10">
        <v>-88.778655534683693</v>
      </c>
      <c r="OT10">
        <v>16.219722318284699</v>
      </c>
      <c r="OU10">
        <v>21.130664035775801</v>
      </c>
      <c r="OV10">
        <v>623.81580725476499</v>
      </c>
      <c r="OW10">
        <v>-45.246280814926997</v>
      </c>
      <c r="OX10">
        <v>15.0487721407411</v>
      </c>
      <c r="OY10">
        <v>17.327575798960101</v>
      </c>
      <c r="OZ10">
        <v>260.155809310449</v>
      </c>
      <c r="PA10">
        <v>-44.825198824869197</v>
      </c>
      <c r="PB10">
        <v>15.487622940436699</v>
      </c>
      <c r="PC10">
        <v>19.047541015486502</v>
      </c>
      <c r="PD10">
        <v>567.14151420146095</v>
      </c>
      <c r="PE10">
        <v>-23.407099130432101</v>
      </c>
      <c r="PF10">
        <v>15.470363495836001</v>
      </c>
      <c r="PG10">
        <v>18.918414946867301</v>
      </c>
      <c r="PH10">
        <v>3.17557705349848</v>
      </c>
      <c r="PI10">
        <v>287.96838154452303</v>
      </c>
      <c r="PJ10">
        <v>-80.385940973371206</v>
      </c>
      <c r="PK10">
        <v>16.2306179867373</v>
      </c>
      <c r="PL10">
        <v>21.131107489347201</v>
      </c>
      <c r="PM10" s="35">
        <v>3.1734004352389098</v>
      </c>
      <c r="PN10">
        <v>625.70115420924606</v>
      </c>
      <c r="PO10">
        <v>21.7904559288001</v>
      </c>
      <c r="PP10">
        <v>21.7485204911872</v>
      </c>
      <c r="PQ10">
        <v>19.563127785577301</v>
      </c>
      <c r="PR10">
        <v>21.738731734052202</v>
      </c>
      <c r="PS10">
        <v>17.064124013956601</v>
      </c>
      <c r="PT10">
        <v>21.587319885262598</v>
      </c>
      <c r="PU10">
        <v>21.969016385378001</v>
      </c>
      <c r="PV10">
        <v>19.815790564080299</v>
      </c>
      <c r="PW10">
        <v>21.976733150702799</v>
      </c>
      <c r="PX10">
        <v>16.6710902540974</v>
      </c>
      <c r="PY10">
        <v>22.406443985699301</v>
      </c>
      <c r="PZ10">
        <v>22.384438610601201</v>
      </c>
      <c r="QA10">
        <v>19.9822762605822</v>
      </c>
      <c r="QB10">
        <v>22.380420446604099</v>
      </c>
      <c r="QC10">
        <v>15.653868140933801</v>
      </c>
      <c r="QD10">
        <v>14.8632665592267</v>
      </c>
      <c r="QE10">
        <v>25.166682748192699</v>
      </c>
      <c r="QF10">
        <v>25.092904710784701</v>
      </c>
      <c r="QG10">
        <v>21.759409331163901</v>
      </c>
      <c r="QH10">
        <v>25.077434445995198</v>
      </c>
      <c r="QI10">
        <v>16.636333065383202</v>
      </c>
      <c r="QJ10">
        <v>24.9400021899873</v>
      </c>
      <c r="QK10">
        <v>25.2777531990087</v>
      </c>
      <c r="QL10">
        <v>22.267108494094799</v>
      </c>
      <c r="QM10">
        <v>25.2751936603376</v>
      </c>
      <c r="QN10">
        <v>-9685.7860816156499</v>
      </c>
      <c r="QO10">
        <v>16.256227538620902</v>
      </c>
      <c r="QP10">
        <v>4231.1124116786996</v>
      </c>
      <c r="QQ10">
        <v>25.7216944473513</v>
      </c>
      <c r="QR10">
        <v>25.664095170588599</v>
      </c>
      <c r="QS10">
        <v>22.6687891649023</v>
      </c>
      <c r="QT10">
        <v>25.651930520420098</v>
      </c>
      <c r="QU10">
        <v>15.3743813361799</v>
      </c>
      <c r="QV10">
        <v>15.0123196249389</v>
      </c>
      <c r="QW10">
        <v>350227.50971726998</v>
      </c>
      <c r="QX10">
        <v>0</v>
      </c>
      <c r="QY10">
        <v>265652.55229810602</v>
      </c>
      <c r="QZ10">
        <v>0</v>
      </c>
      <c r="RA10">
        <v>32315.808695622101</v>
      </c>
      <c r="RB10">
        <v>0</v>
      </c>
      <c r="RC10">
        <v>21462.358522541901</v>
      </c>
      <c r="RD10">
        <v>0</v>
      </c>
      <c r="RE10">
        <v>96719.318431484906</v>
      </c>
      <c r="RF10">
        <v>0</v>
      </c>
      <c r="RG10">
        <v>74307.703630729404</v>
      </c>
      <c r="RH10" s="35">
        <v>0</v>
      </c>
      <c r="RI10">
        <v>19064.2427797044</v>
      </c>
      <c r="RJ10" s="35">
        <v>0</v>
      </c>
      <c r="RK10">
        <v>28.542909567585301</v>
      </c>
      <c r="RL10">
        <v>7445.9010452748398</v>
      </c>
      <c r="RM10" s="35">
        <v>7445.9010452748398</v>
      </c>
      <c r="RN10">
        <v>15528.179263288799</v>
      </c>
      <c r="RO10" s="35">
        <v>12300.8637320082</v>
      </c>
      <c r="RP10">
        <v>0</v>
      </c>
      <c r="RQ10" s="35">
        <v>28.437288930382302</v>
      </c>
      <c r="RR10" s="35">
        <v>4988.2867426468301</v>
      </c>
      <c r="RS10">
        <v>4988.2867426468301</v>
      </c>
      <c r="RT10">
        <v>10123.4367700323</v>
      </c>
      <c r="RU10">
        <v>12236.535986745699</v>
      </c>
      <c r="RV10">
        <v>0</v>
      </c>
      <c r="RW10">
        <v>23.955690876750499</v>
      </c>
      <c r="RX10">
        <v>7702.0102569113697</v>
      </c>
      <c r="RY10">
        <v>7702.0102569113697</v>
      </c>
      <c r="RZ10">
        <v>15899.731424003699</v>
      </c>
      <c r="SA10">
        <v>12343.181401686101</v>
      </c>
      <c r="SB10">
        <v>0</v>
      </c>
      <c r="SC10">
        <v>28.416137157938198</v>
      </c>
      <c r="SD10">
        <v>5047.6504070062501</v>
      </c>
      <c r="SE10">
        <v>5047.6504070062501</v>
      </c>
      <c r="SF10">
        <v>10183.1725933833</v>
      </c>
      <c r="SG10">
        <v>0</v>
      </c>
      <c r="SH10">
        <v>3273.8761374168398</v>
      </c>
      <c r="SI10">
        <v>16.208542116809799</v>
      </c>
      <c r="SJ10">
        <v>35629.514742379099</v>
      </c>
      <c r="SK10">
        <v>35629.514742379099</v>
      </c>
      <c r="SL10">
        <v>79664.371191557395</v>
      </c>
      <c r="SM10">
        <v>21.1111</v>
      </c>
      <c r="SN10">
        <v>26.666699999999999</v>
      </c>
      <c r="SO10">
        <v>6041.01684700848</v>
      </c>
      <c r="SP10">
        <v>0</v>
      </c>
      <c r="SQ10">
        <v>24.802880977493199</v>
      </c>
      <c r="SR10">
        <v>0</v>
      </c>
      <c r="SS10">
        <v>0</v>
      </c>
      <c r="ST10">
        <v>0</v>
      </c>
      <c r="SU10">
        <v>3849.3268202417498</v>
      </c>
      <c r="SV10">
        <v>0</v>
      </c>
      <c r="SW10">
        <v>24.6773690179485</v>
      </c>
      <c r="SX10">
        <v>0</v>
      </c>
      <c r="SY10">
        <v>0</v>
      </c>
      <c r="SZ10">
        <v>0</v>
      </c>
      <c r="TA10">
        <v>2625.1483384907601</v>
      </c>
      <c r="TB10">
        <v>0</v>
      </c>
      <c r="TC10">
        <v>20.663421894938399</v>
      </c>
      <c r="TD10">
        <v>0</v>
      </c>
      <c r="TE10">
        <v>0</v>
      </c>
      <c r="TF10">
        <v>0</v>
      </c>
      <c r="TG10">
        <v>3836.2601775389999</v>
      </c>
      <c r="TH10">
        <v>0</v>
      </c>
      <c r="TI10">
        <v>24.666367808154899</v>
      </c>
      <c r="TJ10">
        <v>0</v>
      </c>
      <c r="TK10">
        <v>0</v>
      </c>
      <c r="TL10">
        <v>0</v>
      </c>
      <c r="TM10">
        <v>7901.0352116928498</v>
      </c>
      <c r="TN10">
        <v>0</v>
      </c>
      <c r="TO10">
        <v>19.3445933635426</v>
      </c>
      <c r="TP10">
        <v>0</v>
      </c>
      <c r="TQ10">
        <v>0</v>
      </c>
      <c r="TR10">
        <v>0</v>
      </c>
      <c r="TS10">
        <v>19283.164314564601</v>
      </c>
      <c r="TT10">
        <v>0</v>
      </c>
      <c r="TU10">
        <v>28.292684494711999</v>
      </c>
      <c r="TV10">
        <v>7986.4859628471504</v>
      </c>
      <c r="TW10">
        <v>7986.4859628471504</v>
      </c>
      <c r="TX10">
        <v>16079.969836030201</v>
      </c>
      <c r="TY10">
        <v>12207.8869630154</v>
      </c>
      <c r="TZ10">
        <v>0</v>
      </c>
      <c r="UA10">
        <v>28.586490012639398</v>
      </c>
      <c r="UB10">
        <v>4975.7289380350603</v>
      </c>
      <c r="UC10">
        <v>4975.7289380350603</v>
      </c>
      <c r="UD10">
        <v>10108.265721444701</v>
      </c>
      <c r="UE10">
        <v>13844.3100282097</v>
      </c>
      <c r="UF10">
        <v>0</v>
      </c>
      <c r="UG10">
        <v>24.7184264241093</v>
      </c>
      <c r="UH10">
        <v>8174.2946654249599</v>
      </c>
      <c r="UI10">
        <v>8174.2946654249599</v>
      </c>
      <c r="UJ10">
        <v>16356.3660537821</v>
      </c>
      <c r="UK10">
        <v>12243.144490021001</v>
      </c>
      <c r="UL10">
        <v>0</v>
      </c>
      <c r="UM10">
        <v>28.573654169972301</v>
      </c>
      <c r="UN10">
        <v>5023.4251184390696</v>
      </c>
      <c r="UO10">
        <v>5023.4251184390696</v>
      </c>
      <c r="UP10">
        <v>10156.163907144701</v>
      </c>
      <c r="UQ10">
        <v>0</v>
      </c>
      <c r="UR10">
        <v>3153.29100448194</v>
      </c>
      <c r="US10">
        <v>15.841364823144501</v>
      </c>
      <c r="UT10">
        <v>38292.049679766402</v>
      </c>
      <c r="UU10">
        <v>38292.049679766402</v>
      </c>
      <c r="UV10">
        <v>82026.684934704695</v>
      </c>
      <c r="UW10">
        <v>21.1111</v>
      </c>
      <c r="UX10">
        <v>26.666699999999999</v>
      </c>
      <c r="UY10">
        <v>5885.2768158113104</v>
      </c>
      <c r="UZ10">
        <v>0</v>
      </c>
      <c r="VA10">
        <v>24.6301146752782</v>
      </c>
      <c r="VB10">
        <v>0</v>
      </c>
      <c r="VC10">
        <v>0</v>
      </c>
      <c r="VD10">
        <v>0</v>
      </c>
      <c r="VE10">
        <v>3812.5277337467001</v>
      </c>
      <c r="VF10">
        <v>0</v>
      </c>
      <c r="VG10">
        <v>25.030452640006999</v>
      </c>
      <c r="VH10">
        <v>0</v>
      </c>
      <c r="VI10">
        <v>0</v>
      </c>
      <c r="VJ10">
        <v>0</v>
      </c>
      <c r="VK10">
        <v>3304.6787413126099</v>
      </c>
      <c r="VL10">
        <v>0</v>
      </c>
      <c r="VM10">
        <v>21.274243193544301</v>
      </c>
      <c r="VN10">
        <v>0</v>
      </c>
      <c r="VO10">
        <v>0</v>
      </c>
      <c r="VP10">
        <v>0</v>
      </c>
      <c r="VQ10">
        <v>3798.1804486538799</v>
      </c>
      <c r="VR10">
        <v>0</v>
      </c>
      <c r="VS10">
        <v>25.030478052417699</v>
      </c>
      <c r="VT10">
        <v>0</v>
      </c>
      <c r="VU10">
        <v>0</v>
      </c>
      <c r="VV10">
        <v>0</v>
      </c>
      <c r="VW10">
        <v>9123.8093619613592</v>
      </c>
      <c r="VX10">
        <v>0</v>
      </c>
      <c r="VY10">
        <v>19.192029570523999</v>
      </c>
      <c r="VZ10">
        <v>0</v>
      </c>
      <c r="WA10">
        <v>0</v>
      </c>
      <c r="WB10">
        <v>0</v>
      </c>
      <c r="WC10">
        <v>18874.451025766401</v>
      </c>
      <c r="WD10">
        <v>0</v>
      </c>
      <c r="WE10">
        <v>29.036944909003299</v>
      </c>
      <c r="WF10">
        <v>7164.4705075405</v>
      </c>
      <c r="WG10">
        <v>7164.4705075405</v>
      </c>
      <c r="WH10">
        <v>15229.758789445699</v>
      </c>
      <c r="WI10">
        <v>0</v>
      </c>
      <c r="WJ10">
        <v>12163.5966064734</v>
      </c>
      <c r="WK10">
        <v>0</v>
      </c>
      <c r="WL10">
        <v>28.9437517305761</v>
      </c>
      <c r="WM10">
        <v>4793.6830201994298</v>
      </c>
      <c r="WN10">
        <v>4793.6830201994298</v>
      </c>
      <c r="WO10">
        <v>9917.9693181089297</v>
      </c>
      <c r="WP10">
        <v>21.1111</v>
      </c>
      <c r="WQ10">
        <v>26.666699999999999</v>
      </c>
      <c r="WR10">
        <v>15221.0819889335</v>
      </c>
      <c r="WS10">
        <v>0</v>
      </c>
      <c r="WT10">
        <v>25.3553020692224</v>
      </c>
      <c r="WU10">
        <v>8696.1551187292698</v>
      </c>
      <c r="WV10">
        <v>8696.1551187292698</v>
      </c>
      <c r="WW10">
        <v>16859.894562339101</v>
      </c>
      <c r="WX10">
        <v>0</v>
      </c>
      <c r="WY10">
        <v>12214.1833406651</v>
      </c>
      <c r="WZ10">
        <v>0</v>
      </c>
      <c r="XA10">
        <v>28.923440594235998</v>
      </c>
      <c r="XB10">
        <v>4862.5843176703302</v>
      </c>
      <c r="XC10">
        <v>4862.5843176703302</v>
      </c>
      <c r="XD10">
        <v>9987.2024341463293</v>
      </c>
      <c r="XE10">
        <v>0</v>
      </c>
      <c r="XF10">
        <v>1505.63548086488</v>
      </c>
      <c r="XG10">
        <v>15.094894531426</v>
      </c>
      <c r="XH10">
        <v>44741.552418411302</v>
      </c>
      <c r="XI10">
        <v>44741.552418411302</v>
      </c>
      <c r="XJ10">
        <v>88317.7642036209</v>
      </c>
      <c r="XK10">
        <v>21.1111</v>
      </c>
      <c r="XL10">
        <v>26.666699999999999</v>
      </c>
      <c r="XM10">
        <v>4545.0717475989904</v>
      </c>
      <c r="XN10">
        <v>0</v>
      </c>
      <c r="XO10">
        <v>26.450530694318001</v>
      </c>
      <c r="XP10">
        <v>0</v>
      </c>
      <c r="XQ10">
        <v>0</v>
      </c>
      <c r="XR10">
        <v>0</v>
      </c>
      <c r="XS10">
        <v>2925.3152577913602</v>
      </c>
      <c r="XT10">
        <v>0</v>
      </c>
      <c r="XU10">
        <v>26.320534555395501</v>
      </c>
      <c r="XV10">
        <v>0</v>
      </c>
      <c r="XW10">
        <v>0</v>
      </c>
      <c r="XX10">
        <v>0</v>
      </c>
      <c r="XY10">
        <v>3437.3593477700301</v>
      </c>
      <c r="XZ10">
        <v>0</v>
      </c>
      <c r="YA10">
        <v>22.248348041299099</v>
      </c>
      <c r="YB10">
        <v>0</v>
      </c>
      <c r="YC10">
        <v>0</v>
      </c>
      <c r="YD10">
        <v>0</v>
      </c>
      <c r="YE10">
        <v>2909.4240505974799</v>
      </c>
      <c r="YF10">
        <v>0</v>
      </c>
      <c r="YG10">
        <v>26.313728443405701</v>
      </c>
      <c r="YH10">
        <v>0</v>
      </c>
      <c r="YI10">
        <v>0</v>
      </c>
      <c r="YJ10">
        <v>0</v>
      </c>
      <c r="YK10">
        <v>14664.3120118305</v>
      </c>
      <c r="YL10">
        <v>0</v>
      </c>
      <c r="YM10">
        <v>19.1767052501575</v>
      </c>
      <c r="YN10">
        <v>0</v>
      </c>
      <c r="YO10">
        <v>0</v>
      </c>
      <c r="YP10">
        <v>0</v>
      </c>
      <c r="YQ10">
        <v>0</v>
      </c>
      <c r="YR10">
        <v>887.78940756719498</v>
      </c>
      <c r="YS10">
        <v>15.887638347820699</v>
      </c>
      <c r="YT10">
        <v>0</v>
      </c>
      <c r="YU10">
        <v>0</v>
      </c>
      <c r="YV10">
        <v>0</v>
      </c>
      <c r="YW10">
        <v>0</v>
      </c>
      <c r="YX10">
        <v>550.70784556131696</v>
      </c>
      <c r="YY10">
        <v>15.8767487698307</v>
      </c>
      <c r="YZ10">
        <v>0</v>
      </c>
      <c r="ZA10">
        <v>0</v>
      </c>
      <c r="ZB10">
        <v>0</v>
      </c>
      <c r="ZC10">
        <v>0</v>
      </c>
      <c r="ZD10">
        <v>516.28661270717805</v>
      </c>
      <c r="ZE10">
        <v>16.022872179280998</v>
      </c>
      <c r="ZF10">
        <v>0</v>
      </c>
      <c r="ZG10">
        <v>0</v>
      </c>
      <c r="ZH10">
        <v>0</v>
      </c>
      <c r="ZI10">
        <v>0</v>
      </c>
      <c r="ZJ10">
        <v>552.316446905004</v>
      </c>
      <c r="ZK10">
        <v>15.8780875001368</v>
      </c>
      <c r="ZL10">
        <v>0</v>
      </c>
      <c r="ZM10">
        <v>0</v>
      </c>
      <c r="ZN10">
        <v>0</v>
      </c>
      <c r="ZO10">
        <v>0</v>
      </c>
      <c r="ZP10">
        <v>5483.99954791256</v>
      </c>
      <c r="ZQ10">
        <v>15.7349423529741</v>
      </c>
      <c r="ZR10">
        <v>0</v>
      </c>
      <c r="ZS10">
        <v>0</v>
      </c>
      <c r="ZT10">
        <v>0</v>
      </c>
      <c r="ZU10">
        <v>0</v>
      </c>
      <c r="ZV10">
        <v>558.38308753931005</v>
      </c>
      <c r="ZW10">
        <v>15.366012345059101</v>
      </c>
      <c r="ZX10">
        <v>0</v>
      </c>
      <c r="ZY10">
        <v>0</v>
      </c>
      <c r="ZZ10">
        <v>0</v>
      </c>
      <c r="AAA10">
        <v>0</v>
      </c>
      <c r="AAB10">
        <v>360.49870002927798</v>
      </c>
      <c r="AAC10">
        <v>15.370919426613399</v>
      </c>
      <c r="AAD10">
        <v>0</v>
      </c>
      <c r="AAE10">
        <v>0</v>
      </c>
      <c r="AAF10">
        <v>0</v>
      </c>
      <c r="AAG10">
        <v>0</v>
      </c>
      <c r="AAH10">
        <v>384.16958011173301</v>
      </c>
      <c r="AAI10">
        <v>15.4420130831672</v>
      </c>
      <c r="AAJ10">
        <v>0</v>
      </c>
      <c r="AAK10">
        <v>0</v>
      </c>
      <c r="AAL10">
        <v>0</v>
      </c>
      <c r="AAM10">
        <v>0</v>
      </c>
      <c r="AAN10">
        <v>367.00085522440401</v>
      </c>
      <c r="AAO10">
        <v>15.3763307314395</v>
      </c>
      <c r="AAP10">
        <v>0</v>
      </c>
      <c r="AAQ10">
        <v>0</v>
      </c>
      <c r="AAR10">
        <v>0</v>
      </c>
      <c r="AAS10">
        <v>0</v>
      </c>
      <c r="AAT10">
        <v>2001.82369557535</v>
      </c>
      <c r="AAU10">
        <v>15.353419882157899</v>
      </c>
      <c r="AAV10">
        <v>0</v>
      </c>
      <c r="AAW10">
        <v>0</v>
      </c>
      <c r="AAX10">
        <v>0</v>
      </c>
      <c r="AAY10">
        <v>0</v>
      </c>
      <c r="AAZ10">
        <v>893.06413212101597</v>
      </c>
      <c r="ABA10">
        <v>15.1815652486118</v>
      </c>
      <c r="ABB10">
        <v>0</v>
      </c>
      <c r="ABC10">
        <v>0</v>
      </c>
      <c r="ABD10">
        <v>0</v>
      </c>
      <c r="ABE10">
        <v>0</v>
      </c>
      <c r="ABF10">
        <v>542.73003596093304</v>
      </c>
      <c r="ABG10">
        <v>15.161877030128201</v>
      </c>
      <c r="ABH10">
        <v>0</v>
      </c>
      <c r="ABI10">
        <v>0</v>
      </c>
      <c r="ABJ10">
        <v>0</v>
      </c>
      <c r="ABK10">
        <v>0</v>
      </c>
      <c r="ABL10">
        <v>307.143883114478</v>
      </c>
      <c r="ABM10">
        <v>14.9808597300537</v>
      </c>
      <c r="ABN10">
        <v>0</v>
      </c>
      <c r="ABO10">
        <v>0</v>
      </c>
      <c r="ABP10">
        <v>0</v>
      </c>
      <c r="ABQ10">
        <v>0</v>
      </c>
      <c r="ABR10">
        <v>550.65916833617302</v>
      </c>
      <c r="ABS10">
        <v>15.1682771034226</v>
      </c>
      <c r="ABT10">
        <v>0</v>
      </c>
      <c r="ABU10">
        <v>0</v>
      </c>
      <c r="ABV10">
        <v>0</v>
      </c>
      <c r="ABW10">
        <v>1488.6727968781599</v>
      </c>
      <c r="ABX10">
        <v>243.44551914944199</v>
      </c>
      <c r="ABY10">
        <v>15.0123196249389</v>
      </c>
      <c r="ABZ10">
        <v>0</v>
      </c>
      <c r="ACA10">
        <v>0</v>
      </c>
      <c r="ACB10">
        <v>0</v>
      </c>
      <c r="ACC10">
        <v>0</v>
      </c>
      <c r="ACD10">
        <v>0</v>
      </c>
      <c r="ACE10">
        <v>0</v>
      </c>
      <c r="ACF10">
        <v>14.673507124154501</v>
      </c>
      <c r="ACG10">
        <v>14.673507124154501</v>
      </c>
      <c r="ACH10">
        <v>0</v>
      </c>
      <c r="ACI10">
        <v>0</v>
      </c>
      <c r="ACJ10">
        <v>0</v>
      </c>
      <c r="ACK10">
        <v>20.973579277941599</v>
      </c>
      <c r="ACL10">
        <v>20.973579277941599</v>
      </c>
      <c r="ACM10">
        <v>0</v>
      </c>
      <c r="ACN10">
        <v>0</v>
      </c>
      <c r="ACP10">
        <v>16968.110876292099</v>
      </c>
      <c r="ACR10">
        <v>16968.110876292099</v>
      </c>
      <c r="ACT10">
        <v>16.2211349527024</v>
      </c>
      <c r="ACU10">
        <v>16.106306293597498</v>
      </c>
      <c r="ACV10">
        <v>1.7</v>
      </c>
      <c r="ACW10">
        <v>4.3834827843435704</v>
      </c>
      <c r="ACX10">
        <v>0.86498208282538203</v>
      </c>
      <c r="ACY10">
        <v>15.844038255099701</v>
      </c>
      <c r="ACZ10">
        <v>15.7393274780729</v>
      </c>
      <c r="ADA10">
        <v>1.7</v>
      </c>
      <c r="ADB10">
        <v>4.3913111350849503</v>
      </c>
      <c r="ADC10">
        <v>0.86661353230111504</v>
      </c>
      <c r="ADD10">
        <v>15.091505660189901</v>
      </c>
      <c r="ADE10">
        <v>15.0828884835034</v>
      </c>
      <c r="ADF10">
        <v>0.85</v>
      </c>
      <c r="ADG10">
        <v>3.5413538165606102</v>
      </c>
      <c r="ADH10">
        <v>0.97862546947448803</v>
      </c>
      <c r="ADI10">
        <v>29.224428824334701</v>
      </c>
      <c r="ADJ10">
        <v>29.224428824334701</v>
      </c>
      <c r="ADK10">
        <v>0</v>
      </c>
      <c r="ADL10">
        <v>0</v>
      </c>
      <c r="ADM10">
        <v>1</v>
      </c>
      <c r="ADN10">
        <v>29.132880915338902</v>
      </c>
      <c r="ADO10">
        <v>29.132880915338902</v>
      </c>
      <c r="ADP10">
        <v>0</v>
      </c>
      <c r="ADQ10">
        <v>0</v>
      </c>
      <c r="ADR10">
        <v>1</v>
      </c>
      <c r="ADS10">
        <v>24.801661819971201</v>
      </c>
      <c r="ADT10">
        <v>24.801661819971201</v>
      </c>
      <c r="ADU10">
        <v>0</v>
      </c>
      <c r="ADV10">
        <v>0</v>
      </c>
      <c r="ADW10">
        <v>1</v>
      </c>
      <c r="ADX10">
        <v>29.126960028756098</v>
      </c>
      <c r="ADY10">
        <v>29.126960028756098</v>
      </c>
      <c r="ADZ10">
        <v>0</v>
      </c>
      <c r="AEA10">
        <v>0</v>
      </c>
      <c r="AEB10">
        <v>1</v>
      </c>
      <c r="AEC10">
        <v>29.033457097707998</v>
      </c>
      <c r="AED10">
        <v>29.033457097707998</v>
      </c>
      <c r="AEE10">
        <v>0</v>
      </c>
      <c r="AEF10">
        <v>0</v>
      </c>
      <c r="AEG10">
        <v>1</v>
      </c>
      <c r="AEH10">
        <v>29.363510417052598</v>
      </c>
      <c r="AEI10">
        <v>29.363510417052598</v>
      </c>
      <c r="AEJ10">
        <v>0</v>
      </c>
      <c r="AEK10">
        <v>0</v>
      </c>
      <c r="AEL10">
        <v>1</v>
      </c>
      <c r="AEM10">
        <v>25.585942557064499</v>
      </c>
      <c r="AEN10">
        <v>25.585942557064499</v>
      </c>
      <c r="AEO10">
        <v>0</v>
      </c>
      <c r="AEP10">
        <v>0</v>
      </c>
      <c r="AEQ10">
        <v>1</v>
      </c>
      <c r="AER10">
        <v>29.369198173504198</v>
      </c>
      <c r="AES10">
        <v>29.369198173504198</v>
      </c>
      <c r="AET10">
        <v>0</v>
      </c>
      <c r="AEU10">
        <v>0</v>
      </c>
      <c r="AEV10">
        <v>1</v>
      </c>
      <c r="AEW10">
        <v>29.818918902137899</v>
      </c>
      <c r="AEX10">
        <v>29.818918902137899</v>
      </c>
      <c r="AEY10">
        <v>0</v>
      </c>
      <c r="AEZ10">
        <v>0</v>
      </c>
      <c r="AFA10">
        <v>1</v>
      </c>
      <c r="AFB10">
        <v>29.742349579373201</v>
      </c>
      <c r="AFC10">
        <v>29.742349579373201</v>
      </c>
      <c r="AFD10">
        <v>0</v>
      </c>
      <c r="AFE10">
        <v>0</v>
      </c>
      <c r="AFF10">
        <v>1</v>
      </c>
      <c r="AFG10">
        <v>26.2209959961701</v>
      </c>
      <c r="AFH10">
        <v>26.2209959961701</v>
      </c>
      <c r="AFI10">
        <v>0</v>
      </c>
      <c r="AFJ10">
        <v>0</v>
      </c>
      <c r="AFK10">
        <v>1</v>
      </c>
      <c r="AFL10">
        <v>29.741932703444199</v>
      </c>
      <c r="AFM10">
        <v>29.741932703444199</v>
      </c>
      <c r="AFN10">
        <v>0</v>
      </c>
      <c r="AFO10">
        <v>0</v>
      </c>
      <c r="AFP10">
        <v>1</v>
      </c>
      <c r="AFQ10">
        <v>-0.669207601804371</v>
      </c>
      <c r="AFR10">
        <v>0.12765200367945301</v>
      </c>
      <c r="AFS10">
        <v>0.108851179789568</v>
      </c>
      <c r="AFT10">
        <v>0.110551833870671</v>
      </c>
      <c r="AFU10">
        <v>-0.54899752074494601</v>
      </c>
      <c r="AFV10">
        <v>8.0772600677287698E-2</v>
      </c>
      <c r="AFW10">
        <v>0.165712608910596</v>
      </c>
      <c r="AFX10">
        <v>0.16401188355118501</v>
      </c>
      <c r="AFY10">
        <v>-0.45273674301878403</v>
      </c>
      <c r="AFZ10">
        <v>0.27306488360395698</v>
      </c>
      <c r="AGA10">
        <v>0.259350455783732</v>
      </c>
      <c r="AGB10">
        <v>0.25970145553537599</v>
      </c>
      <c r="AGC10">
        <v>-1.8029318872636899</v>
      </c>
      <c r="AGD10">
        <v>-1.85771260560046</v>
      </c>
      <c r="AGE10">
        <v>-1.9652694552544701</v>
      </c>
      <c r="AGF10">
        <v>0</v>
      </c>
      <c r="AGG10">
        <v>0</v>
      </c>
      <c r="AGH10">
        <v>0</v>
      </c>
      <c r="AGI10">
        <v>0</v>
      </c>
      <c r="AGJ10">
        <v>0</v>
      </c>
      <c r="AGK10">
        <v>0</v>
      </c>
      <c r="AGL10">
        <v>0</v>
      </c>
      <c r="AGM10">
        <v>0</v>
      </c>
      <c r="AGN10">
        <v>0</v>
      </c>
      <c r="AGO10">
        <v>0</v>
      </c>
      <c r="AGP10">
        <v>0</v>
      </c>
      <c r="AGQ10">
        <v>0</v>
      </c>
      <c r="AGR10">
        <v>0</v>
      </c>
      <c r="AGS10">
        <v>0</v>
      </c>
      <c r="AGT10">
        <v>0</v>
      </c>
      <c r="AGU10">
        <v>0</v>
      </c>
      <c r="AGV10">
        <v>0</v>
      </c>
      <c r="AGW10">
        <v>0</v>
      </c>
      <c r="AGX10">
        <v>0</v>
      </c>
      <c r="AGY10">
        <v>0</v>
      </c>
      <c r="AGZ10">
        <v>0</v>
      </c>
      <c r="AHA10">
        <v>0</v>
      </c>
      <c r="AHB10">
        <v>0</v>
      </c>
      <c r="AHC10">
        <v>0</v>
      </c>
      <c r="AHD10">
        <v>0</v>
      </c>
      <c r="AHE10">
        <v>0</v>
      </c>
      <c r="AHF10">
        <v>0</v>
      </c>
      <c r="AHG10">
        <v>0</v>
      </c>
      <c r="AHH10">
        <v>0</v>
      </c>
      <c r="AHI10">
        <v>0</v>
      </c>
      <c r="AHJ10">
        <v>0</v>
      </c>
      <c r="AHK10">
        <v>0</v>
      </c>
      <c r="AHL10">
        <v>0</v>
      </c>
      <c r="AHM10">
        <v>0</v>
      </c>
      <c r="AHN10">
        <v>0</v>
      </c>
      <c r="AHO10">
        <v>0</v>
      </c>
      <c r="AHP10">
        <v>0</v>
      </c>
      <c r="AHQ10">
        <v>0</v>
      </c>
      <c r="AHR10">
        <v>0</v>
      </c>
      <c r="AHS10">
        <v>0</v>
      </c>
      <c r="AHT10">
        <v>0</v>
      </c>
      <c r="AHU10">
        <v>0</v>
      </c>
      <c r="AHV10">
        <v>0</v>
      </c>
      <c r="AHW10">
        <v>0</v>
      </c>
      <c r="AHX10">
        <v>0</v>
      </c>
      <c r="AHZ10">
        <v>27577.9568080672</v>
      </c>
      <c r="AIB10">
        <v>0</v>
      </c>
      <c r="AID10">
        <v>27562.627972357499</v>
      </c>
      <c r="AIF10">
        <v>43277.284493507403</v>
      </c>
      <c r="AIH10">
        <v>19066.350190329402</v>
      </c>
      <c r="AIJ10">
        <v>0</v>
      </c>
      <c r="AIL10">
        <v>28272.173789782901</v>
      </c>
      <c r="AIN10">
        <v>28285.399708983899</v>
      </c>
      <c r="AIP10">
        <v>44025.148967046996</v>
      </c>
      <c r="AIR10">
        <v>23541.465356834098</v>
      </c>
      <c r="AIT10">
        <v>0</v>
      </c>
      <c r="AIV10">
        <v>29438.827504515601</v>
      </c>
      <c r="AIX10">
        <v>29456.006625640701</v>
      </c>
      <c r="AIZ10">
        <v>46218.212803329203</v>
      </c>
      <c r="AJB10">
        <v>27760.488728699602</v>
      </c>
      <c r="AJC10">
        <v>0</v>
      </c>
      <c r="AJE10">
        <v>1.0255663827254E-4</v>
      </c>
      <c r="AJH10">
        <v>13238.8819947469</v>
      </c>
      <c r="AJJ10">
        <v>188.53761980821901</v>
      </c>
      <c r="AJK10">
        <v>220.596795833333</v>
      </c>
      <c r="AJL10">
        <v>220.596795833333</v>
      </c>
      <c r="AJM10">
        <v>190.047162098179</v>
      </c>
      <c r="AJN10">
        <v>347.36796874999999</v>
      </c>
      <c r="AJO10">
        <v>227.44929166666699</v>
      </c>
      <c r="AJP10">
        <v>227.44929166666699</v>
      </c>
      <c r="AJQ10">
        <v>219.363420886261</v>
      </c>
      <c r="AJR10">
        <v>358.171252083333</v>
      </c>
      <c r="AJS10">
        <v>220.596795833333</v>
      </c>
      <c r="AJT10">
        <v>220.596795833333</v>
      </c>
      <c r="AJU10">
        <v>156.81271254174601</v>
      </c>
      <c r="AJV10">
        <v>347.36796874999999</v>
      </c>
      <c r="AJW10">
        <v>0</v>
      </c>
      <c r="AJX10">
        <v>0</v>
      </c>
      <c r="AJY10">
        <v>410573.40689947398</v>
      </c>
      <c r="AJZ10">
        <v>0</v>
      </c>
      <c r="AKA10">
        <v>0</v>
      </c>
      <c r="AKB10">
        <v>197227.41</v>
      </c>
      <c r="AKC10">
        <v>246572.42851954399</v>
      </c>
      <c r="AKD10">
        <v>887660742.67035699</v>
      </c>
      <c r="AKE10">
        <v>58.645226175200101</v>
      </c>
      <c r="AKF10">
        <v>78.882003599280097</v>
      </c>
      <c r="AKG10">
        <v>2.7439632568893302</v>
      </c>
      <c r="AKH10">
        <v>0.95</v>
      </c>
      <c r="AKI10">
        <v>150200.82277352401</v>
      </c>
      <c r="AKJ10">
        <v>187758.69043772601</v>
      </c>
      <c r="AKK10">
        <v>675931285.57581401</v>
      </c>
      <c r="AKL10">
        <v>58.645226175200101</v>
      </c>
      <c r="AKM10">
        <v>78.882003599280097</v>
      </c>
      <c r="AKN10">
        <v>2.3369935526730901</v>
      </c>
      <c r="AKO10">
        <v>0.72348352409458705</v>
      </c>
      <c r="AKP10">
        <v>2103390.0358589701</v>
      </c>
      <c r="AKT10">
        <v>0</v>
      </c>
      <c r="AKX10">
        <v>0</v>
      </c>
      <c r="ALB10">
        <v>20.973579277941599</v>
      </c>
      <c r="ALC10">
        <v>20.973579277941599</v>
      </c>
      <c r="ALD10">
        <v>0</v>
      </c>
      <c r="ALE10">
        <v>0</v>
      </c>
      <c r="ALF10">
        <v>0</v>
      </c>
      <c r="ALH10">
        <v>14.6735071205356</v>
      </c>
      <c r="ALI10">
        <v>2.8568269606532499E-3</v>
      </c>
      <c r="ALJ10">
        <v>23.3088980105709</v>
      </c>
      <c r="ALK10">
        <v>14.673507124154501</v>
      </c>
      <c r="ALL10">
        <v>23.3088980105709</v>
      </c>
      <c r="ALM10">
        <v>4.71212878316922E-4</v>
      </c>
      <c r="ALN10">
        <v>18.7872196543576</v>
      </c>
      <c r="ALO10">
        <v>2.8568269606532499E-3</v>
      </c>
      <c r="ALP10">
        <v>21.3675206960068</v>
      </c>
      <c r="ALQ10">
        <v>23.3088980105709</v>
      </c>
      <c r="ALR10">
        <v>14.6735071205356</v>
      </c>
      <c r="ALS10">
        <v>23.3088980105709</v>
      </c>
      <c r="ALT10">
        <v>15.140664305484</v>
      </c>
      <c r="ALU10">
        <v>23.3088980105709</v>
      </c>
      <c r="ALV10">
        <v>12.2200000000641</v>
      </c>
      <c r="ALW10">
        <v>9.9999999999999897E-12</v>
      </c>
      <c r="ALX10">
        <v>14.673507124154501</v>
      </c>
      <c r="ALY10">
        <v>9.9999999999999897E-12</v>
      </c>
      <c r="ALZ10">
        <v>6.2481990714876598E-3</v>
      </c>
      <c r="AMA10">
        <v>14.673507124154501</v>
      </c>
      <c r="AMB10">
        <v>0</v>
      </c>
      <c r="AMC10">
        <v>14.673507124154501</v>
      </c>
      <c r="AMD10">
        <v>0</v>
      </c>
      <c r="AME10">
        <v>14.673507124154501</v>
      </c>
      <c r="AMF10">
        <v>0</v>
      </c>
      <c r="AMG10">
        <v>0</v>
      </c>
      <c r="AMH10">
        <v>4.3322239949976904</v>
      </c>
      <c r="AMI10">
        <v>38.688533784322402</v>
      </c>
      <c r="AMJ10">
        <v>0.98829999999999996</v>
      </c>
      <c r="AMK10" s="580">
        <v>15.418431806742401</v>
      </c>
      <c r="AML10">
        <v>3.3546</v>
      </c>
      <c r="AMM10">
        <v>38.674467417040901</v>
      </c>
      <c r="AMN10">
        <v>0.98829999999999996</v>
      </c>
      <c r="AMO10">
        <v>38.618573161564598</v>
      </c>
      <c r="AMP10">
        <v>1.5562499999999999</v>
      </c>
      <c r="AMQ10">
        <v>38.281563731810401</v>
      </c>
      <c r="AMR10">
        <v>0.70253968657866395</v>
      </c>
      <c r="AMS10">
        <v>15.070900694854901</v>
      </c>
      <c r="AMT10">
        <v>3.3546</v>
      </c>
      <c r="AMU10">
        <v>38.746290211071901</v>
      </c>
      <c r="AMV10">
        <v>0.98829999999999996</v>
      </c>
      <c r="AMW10">
        <v>38.762796827993</v>
      </c>
      <c r="AMX10">
        <v>0.98829999999999996</v>
      </c>
      <c r="AMY10">
        <v>38.484050546122702</v>
      </c>
      <c r="AMZ10">
        <v>1.5562499999999999</v>
      </c>
      <c r="ANA10">
        <v>38.092194741753801</v>
      </c>
      <c r="ANB10">
        <v>0.85143399110627305</v>
      </c>
      <c r="ANC10">
        <v>14.7238074097745</v>
      </c>
      <c r="AND10">
        <v>3.3546</v>
      </c>
      <c r="ANE10">
        <v>38.761712400651199</v>
      </c>
      <c r="ANF10">
        <v>1.0189999999999999</v>
      </c>
      <c r="ANG10">
        <v>38.782232819547197</v>
      </c>
      <c r="ANH10">
        <v>1.0189999999999999</v>
      </c>
      <c r="ANI10">
        <v>38.711421354808898</v>
      </c>
      <c r="ANJ10">
        <v>1.6046499999999999</v>
      </c>
      <c r="ANK10">
        <v>38.094004213447299</v>
      </c>
      <c r="ANL10">
        <v>0.98277433288599203</v>
      </c>
      <c r="ANM10">
        <v>7.5899896865786598</v>
      </c>
      <c r="ANN10">
        <v>7.7388839911062703</v>
      </c>
      <c r="ANO10">
        <v>7.9800243328859901</v>
      </c>
      <c r="ANP10">
        <v>15.418431806742401</v>
      </c>
      <c r="ANQ10">
        <v>15.5523650115913</v>
      </c>
      <c r="ANR10">
        <v>15.55367422372</v>
      </c>
      <c r="ANS10">
        <v>15.7761269058233</v>
      </c>
      <c r="ANT10">
        <v>15.5624608526148</v>
      </c>
      <c r="ANU10">
        <v>15.070900694854901</v>
      </c>
      <c r="ANV10">
        <v>15.0336807212674</v>
      </c>
      <c r="ANW10">
        <v>15.0391802984834</v>
      </c>
      <c r="ANX10">
        <v>15.167271101007801</v>
      </c>
      <c r="ANY10">
        <v>15.0326835744858</v>
      </c>
      <c r="ANZ10">
        <v>14.7238074097745</v>
      </c>
      <c r="AOA10">
        <v>14.816299852404301</v>
      </c>
      <c r="AOB10">
        <v>14.822953983144799</v>
      </c>
      <c r="AOC10">
        <v>14.677337590658</v>
      </c>
      <c r="AOD10">
        <v>14.837766441099401</v>
      </c>
      <c r="AOE10">
        <v>18.7872196543576</v>
      </c>
      <c r="AOF10">
        <v>4.3322239949976904</v>
      </c>
      <c r="AOG10">
        <v>18.4227809253873</v>
      </c>
      <c r="AOH10">
        <v>4.3322239949976904</v>
      </c>
    </row>
    <row r="11" spans="1:1074">
      <c r="A11" t="s">
        <v>2581</v>
      </c>
      <c r="B11">
        <v>-3.33</v>
      </c>
      <c r="D11">
        <v>-3.33</v>
      </c>
      <c r="F11">
        <v>10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c r="CX11">
        <v>0</v>
      </c>
      <c r="CY11">
        <v>0</v>
      </c>
      <c r="CZ11">
        <v>0</v>
      </c>
      <c r="DA11">
        <v>0</v>
      </c>
      <c r="DB11">
        <v>0</v>
      </c>
      <c r="DC11">
        <v>0</v>
      </c>
      <c r="DD11">
        <v>0</v>
      </c>
      <c r="DE11">
        <v>0</v>
      </c>
      <c r="DF11">
        <v>0</v>
      </c>
      <c r="DG11">
        <v>0</v>
      </c>
      <c r="DH11">
        <v>0</v>
      </c>
      <c r="DI11">
        <v>0</v>
      </c>
      <c r="DJ11">
        <v>0</v>
      </c>
      <c r="DK11">
        <v>0</v>
      </c>
      <c r="DL11">
        <v>0</v>
      </c>
      <c r="DM11">
        <v>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0</v>
      </c>
      <c r="EP11">
        <v>0</v>
      </c>
      <c r="EQ11">
        <v>0</v>
      </c>
      <c r="ER11">
        <v>0</v>
      </c>
      <c r="ES11">
        <v>0</v>
      </c>
      <c r="ET11">
        <v>0</v>
      </c>
      <c r="EU11">
        <v>0</v>
      </c>
      <c r="EV11">
        <v>0</v>
      </c>
      <c r="EW11">
        <v>0</v>
      </c>
      <c r="EX11">
        <v>0</v>
      </c>
      <c r="EY11">
        <v>0</v>
      </c>
      <c r="EZ11">
        <v>0</v>
      </c>
      <c r="FA11">
        <v>0</v>
      </c>
      <c r="FB11">
        <v>0</v>
      </c>
      <c r="FC11">
        <v>0</v>
      </c>
      <c r="FD11">
        <v>0</v>
      </c>
      <c r="FE11">
        <v>0</v>
      </c>
      <c r="FF11">
        <v>0</v>
      </c>
      <c r="FG11">
        <v>0</v>
      </c>
      <c r="FH11">
        <v>0</v>
      </c>
      <c r="FI11">
        <v>0</v>
      </c>
      <c r="FJ11">
        <v>0</v>
      </c>
      <c r="FK11">
        <v>0</v>
      </c>
      <c r="FL11">
        <v>0</v>
      </c>
      <c r="FM11">
        <v>0</v>
      </c>
      <c r="FN11">
        <v>0</v>
      </c>
      <c r="FO11">
        <v>0</v>
      </c>
      <c r="FP11">
        <v>0</v>
      </c>
      <c r="FQ11">
        <v>0</v>
      </c>
      <c r="FR11">
        <v>0</v>
      </c>
      <c r="FS11">
        <v>0</v>
      </c>
      <c r="FT11">
        <v>0</v>
      </c>
      <c r="FU11">
        <v>0</v>
      </c>
      <c r="FV11">
        <v>0</v>
      </c>
      <c r="FW11">
        <v>0</v>
      </c>
      <c r="FX11">
        <v>0</v>
      </c>
      <c r="FY11">
        <v>0</v>
      </c>
      <c r="FZ11">
        <v>0</v>
      </c>
      <c r="GA11">
        <v>0</v>
      </c>
      <c r="GB11">
        <v>-1421.29873123995</v>
      </c>
      <c r="GC11">
        <v>-2589.6854464570802</v>
      </c>
      <c r="GD11">
        <v>-3438.4596850197699</v>
      </c>
      <c r="GE11">
        <v>-943.37448221608599</v>
      </c>
      <c r="GF11">
        <v>-1630.3033571644301</v>
      </c>
      <c r="GG11">
        <v>-2174.0805138912201</v>
      </c>
      <c r="GH11">
        <v>-958.25257059943397</v>
      </c>
      <c r="GI11">
        <v>-1537.62076496859</v>
      </c>
      <c r="GJ11">
        <v>-2199.89519697369</v>
      </c>
      <c r="GK11">
        <v>-941.35543331328904</v>
      </c>
      <c r="GL11">
        <v>-1629.72953893819</v>
      </c>
      <c r="GM11">
        <v>-2173.3281053251399</v>
      </c>
      <c r="GN11">
        <v>-596.93833954463696</v>
      </c>
      <c r="GO11">
        <v>22.5055286960926</v>
      </c>
      <c r="GP11">
        <v>24.2457675292464</v>
      </c>
      <c r="GQ11">
        <v>-934.08490049931504</v>
      </c>
      <c r="GR11">
        <v>-3733.9859109357899</v>
      </c>
      <c r="GS11">
        <v>-6090.7860799996397</v>
      </c>
      <c r="GT11">
        <v>-397.34352692673201</v>
      </c>
      <c r="GU11">
        <v>22.427925512094799</v>
      </c>
      <c r="GV11">
        <v>24.185557992101401</v>
      </c>
      <c r="GW11">
        <v>-585.05762230427695</v>
      </c>
      <c r="GX11">
        <v>-2359.04958663247</v>
      </c>
      <c r="GY11">
        <v>-3851.9770638177802</v>
      </c>
      <c r="GZ11">
        <v>-330.96283788924399</v>
      </c>
      <c r="HA11">
        <v>19.575120016143</v>
      </c>
      <c r="HB11">
        <v>20.874407022911701</v>
      </c>
      <c r="HC11">
        <v>-338.50055995802398</v>
      </c>
      <c r="HD11">
        <v>-1600.2764636265899</v>
      </c>
      <c r="HE11">
        <v>-2987.3859610164</v>
      </c>
      <c r="HF11">
        <v>-395.31617848077099</v>
      </c>
      <c r="HG11">
        <v>22.424504823611699</v>
      </c>
      <c r="HH11">
        <v>24.178230014033101</v>
      </c>
      <c r="HI11">
        <v>-583.46333708543204</v>
      </c>
      <c r="HJ11">
        <v>-2352.42796012077</v>
      </c>
      <c r="HK11">
        <v>-3842.7309531153801</v>
      </c>
      <c r="HL11">
        <v>-1326.3038645633201</v>
      </c>
      <c r="HM11">
        <v>22.802875161173201</v>
      </c>
      <c r="HN11">
        <v>19.545748551014601</v>
      </c>
      <c r="HO11">
        <v>-2075.92567270671</v>
      </c>
      <c r="HP11">
        <v>-2639.8331703036902</v>
      </c>
      <c r="HQ11">
        <v>24.0585736382913</v>
      </c>
      <c r="HR11">
        <v>-3425.8141374551001</v>
      </c>
      <c r="HS11">
        <v>-860.00287062868404</v>
      </c>
      <c r="HT11">
        <v>22.8755335878596</v>
      </c>
      <c r="HU11">
        <v>19.5894184634342</v>
      </c>
      <c r="HV11">
        <v>-1232.4182959074899</v>
      </c>
      <c r="HW11">
        <v>-1656.1018259600601</v>
      </c>
      <c r="HX11">
        <v>24.1685860012586</v>
      </c>
      <c r="HY11">
        <v>-2139.68249330443</v>
      </c>
      <c r="HZ11">
        <v>20.6380152331643</v>
      </c>
      <c r="IA11">
        <v>18.6257398649674</v>
      </c>
      <c r="IB11">
        <v>-1396.3688694749401</v>
      </c>
      <c r="IC11">
        <v>-983.54273371515399</v>
      </c>
      <c r="ID11">
        <v>-1803.64903935241</v>
      </c>
      <c r="IE11">
        <v>21.299537339980599</v>
      </c>
      <c r="IF11">
        <v>-2493.23685821149</v>
      </c>
      <c r="IG11">
        <v>-184.49331014615299</v>
      </c>
      <c r="IH11">
        <v>22.877014531935199</v>
      </c>
      <c r="II11">
        <v>19.590030632796999</v>
      </c>
      <c r="IJ11">
        <v>-1231.6029991865501</v>
      </c>
      <c r="IK11">
        <v>-229.386358162492</v>
      </c>
      <c r="IL11">
        <v>-857.00556000200595</v>
      </c>
      <c r="IM11">
        <v>-1654.12167476941</v>
      </c>
      <c r="IN11">
        <v>24.172186719781699</v>
      </c>
      <c r="IO11">
        <v>2.5802918018724501</v>
      </c>
      <c r="IP11">
        <v>-2136.7559908992598</v>
      </c>
      <c r="IQ11">
        <v>723.57951258154696</v>
      </c>
      <c r="IR11">
        <v>440.50758843678801</v>
      </c>
      <c r="IS11">
        <v>459.14769991866302</v>
      </c>
      <c r="IT11">
        <v>440.63446350145898</v>
      </c>
      <c r="IU11">
        <v>587.30378655121001</v>
      </c>
      <c r="IV11">
        <v>-587.32831996585605</v>
      </c>
      <c r="IW11">
        <v>22.360026652718101</v>
      </c>
      <c r="IX11">
        <v>24.0585736382913</v>
      </c>
      <c r="IY11">
        <v>-918.324885717798</v>
      </c>
      <c r="IZ11">
        <v>-3647.2073196145302</v>
      </c>
      <c r="JA11">
        <v>-5936.7168800448699</v>
      </c>
      <c r="JB11">
        <v>-377.653980756816</v>
      </c>
      <c r="JC11">
        <v>22.507892426681298</v>
      </c>
      <c r="JD11">
        <v>24.1685860012586</v>
      </c>
      <c r="JE11">
        <v>-572.14497426770595</v>
      </c>
      <c r="JF11">
        <v>-2283.48105833825</v>
      </c>
      <c r="JG11">
        <v>-3721.7876631108202</v>
      </c>
      <c r="JH11">
        <v>-378.27058080973899</v>
      </c>
      <c r="JI11">
        <v>19.868767414724299</v>
      </c>
      <c r="JJ11">
        <v>21.299537339980599</v>
      </c>
      <c r="JK11">
        <v>-446.48709229113098</v>
      </c>
      <c r="JL11">
        <v>-2034.92070207042</v>
      </c>
      <c r="JM11">
        <v>-3670.7339245592998</v>
      </c>
      <c r="JN11">
        <v>-375.37828869926</v>
      </c>
      <c r="JO11">
        <v>22.514750374981801</v>
      </c>
      <c r="JP11">
        <v>24.172186719781699</v>
      </c>
      <c r="JQ11">
        <v>1.1666671677582201</v>
      </c>
      <c r="JR11">
        <v>-569.96914403985897</v>
      </c>
      <c r="JS11">
        <v>2.7528536178149401</v>
      </c>
      <c r="JT11">
        <v>-2275.26014923197</v>
      </c>
      <c r="JU11">
        <v>-3710.4977443845401</v>
      </c>
      <c r="JV11">
        <v>-1272.7471171864099</v>
      </c>
      <c r="JW11">
        <v>-2652.6163872508901</v>
      </c>
      <c r="JX11">
        <v>-2976.8779216328899</v>
      </c>
      <c r="JY11">
        <v>-846.22009082086197</v>
      </c>
      <c r="JZ11">
        <v>-1668.75637899868</v>
      </c>
      <c r="KA11">
        <v>-1881.78454761583</v>
      </c>
      <c r="KB11">
        <v>-1057.6334470700299</v>
      </c>
      <c r="KC11">
        <v>-2030.7408530258599</v>
      </c>
      <c r="KD11">
        <v>-2489.3572728264198</v>
      </c>
      <c r="KE11">
        <v>-843.62713360460998</v>
      </c>
      <c r="KF11">
        <v>22.7672799107164</v>
      </c>
      <c r="KG11">
        <v>-739.61117754512702</v>
      </c>
      <c r="KH11">
        <v>1.4738914989429199</v>
      </c>
      <c r="KI11">
        <v>-1667.19020102428</v>
      </c>
      <c r="KJ11">
        <v>-1879.9100890294301</v>
      </c>
      <c r="KK11">
        <v>-490.54431016205098</v>
      </c>
      <c r="KL11">
        <v>24.586208574138102</v>
      </c>
      <c r="KM11">
        <v>25.0558198394295</v>
      </c>
      <c r="KN11">
        <v>-706.75809165451801</v>
      </c>
      <c r="KO11">
        <v>23.8400583956007</v>
      </c>
      <c r="KP11">
        <v>-10.232836851427299</v>
      </c>
      <c r="KQ11">
        <v>-1891.22545445679</v>
      </c>
      <c r="KR11">
        <v>-2354.5690893020101</v>
      </c>
      <c r="KS11">
        <v>-328.36114220507898</v>
      </c>
      <c r="KT11">
        <v>24.500820440482698</v>
      </c>
      <c r="KU11">
        <v>25.0034479374449</v>
      </c>
      <c r="KV11">
        <v>-443.84277666615901</v>
      </c>
      <c r="KW11">
        <v>23.739173765415298</v>
      </c>
      <c r="KX11">
        <v>-10.1568686315896</v>
      </c>
      <c r="KY11">
        <v>-1197.2222213017101</v>
      </c>
      <c r="KZ11">
        <v>-1490.9943739108301</v>
      </c>
      <c r="LA11">
        <v>-400.39855641853302</v>
      </c>
      <c r="LB11">
        <v>21.251548356592</v>
      </c>
      <c r="LC11">
        <v>22.0359321645007</v>
      </c>
      <c r="LD11">
        <v>-443.615867717252</v>
      </c>
      <c r="LE11">
        <v>20.326627063175</v>
      </c>
      <c r="LF11">
        <v>-10.353015489650099</v>
      </c>
      <c r="LG11">
        <v>-1439.46889939311</v>
      </c>
      <c r="LH11">
        <v>-2140.6545205284201</v>
      </c>
      <c r="LI11">
        <v>-325.73130837398298</v>
      </c>
      <c r="LJ11">
        <v>24.502500641352899</v>
      </c>
      <c r="LK11">
        <v>24.999400197797499</v>
      </c>
      <c r="LL11">
        <v>-441.58853330139698</v>
      </c>
      <c r="LM11">
        <v>23.748859851375499</v>
      </c>
      <c r="LN11">
        <v>-9.8387986763229698</v>
      </c>
      <c r="LO11">
        <v>-1188.9015986522099</v>
      </c>
      <c r="LP11">
        <v>-1478.3891970903001</v>
      </c>
      <c r="LQ11">
        <v>-40.971420369968698</v>
      </c>
      <c r="LR11">
        <v>16.674370650958402</v>
      </c>
      <c r="LS11">
        <v>16.481000000000002</v>
      </c>
      <c r="LT11">
        <v>162.79515796862401</v>
      </c>
      <c r="LU11">
        <v>-777.14446818123395</v>
      </c>
      <c r="LV11">
        <v>17.780369757511401</v>
      </c>
      <c r="LW11">
        <v>22.233443123202299</v>
      </c>
      <c r="LX11">
        <v>890.69054191227997</v>
      </c>
      <c r="LY11">
        <v>-28.087586069787299</v>
      </c>
      <c r="LZ11">
        <v>16.656366992549302</v>
      </c>
      <c r="MA11">
        <v>16.481000000000002</v>
      </c>
      <c r="MB11">
        <v>100.031994278075</v>
      </c>
      <c r="MC11">
        <v>-486.53043455617501</v>
      </c>
      <c r="MD11">
        <v>17.755650220610001</v>
      </c>
      <c r="ME11">
        <v>22.205156117478399</v>
      </c>
      <c r="MF11">
        <v>559.52829965107105</v>
      </c>
      <c r="MG11">
        <v>-48.608975193958301</v>
      </c>
      <c r="MH11">
        <v>16.571088068005899</v>
      </c>
      <c r="MI11">
        <v>16.481000000000002</v>
      </c>
      <c r="MJ11">
        <v>82.1124011297766</v>
      </c>
      <c r="MK11">
        <v>-390.32621803070703</v>
      </c>
      <c r="ML11">
        <v>17.173581591116999</v>
      </c>
      <c r="MM11">
        <v>19.7443170761515</v>
      </c>
      <c r="MN11">
        <v>478.745312858521</v>
      </c>
      <c r="MO11">
        <v>-27.541936805859098</v>
      </c>
      <c r="MP11">
        <v>16.6608846566143</v>
      </c>
      <c r="MQ11">
        <v>16.481000000000002</v>
      </c>
      <c r="MR11">
        <v>101.407630465007</v>
      </c>
      <c r="MS11">
        <v>-483.224151863386</v>
      </c>
      <c r="MT11">
        <v>17.755976769550799</v>
      </c>
      <c r="MU11">
        <v>22.198596761694699</v>
      </c>
      <c r="MV11">
        <v>559.12223073850203</v>
      </c>
      <c r="MW11">
        <v>-45.430564016032001</v>
      </c>
      <c r="MX11">
        <v>16.140971981918799</v>
      </c>
      <c r="MY11">
        <v>19.9890835085363</v>
      </c>
      <c r="MZ11">
        <v>111.060541353243</v>
      </c>
      <c r="NA11">
        <v>-844.09361029634704</v>
      </c>
      <c r="NB11">
        <v>17.271261636616799</v>
      </c>
      <c r="NC11">
        <v>21.920440531110899</v>
      </c>
      <c r="ND11">
        <v>873.545275466818</v>
      </c>
      <c r="NE11">
        <v>-31.001452054882702</v>
      </c>
      <c r="NF11">
        <v>16.126579920479099</v>
      </c>
      <c r="NG11">
        <v>19.897701594727799</v>
      </c>
      <c r="NH11">
        <v>59.499701311161097</v>
      </c>
      <c r="NI11">
        <v>-588.282012524425</v>
      </c>
      <c r="NJ11">
        <v>17.337091821949699</v>
      </c>
      <c r="NK11">
        <v>22.036804667907401</v>
      </c>
      <c r="NL11">
        <v>578.26067118886704</v>
      </c>
      <c r="NM11">
        <v>-50.417702251273397</v>
      </c>
      <c r="NN11">
        <v>16.0433886177501</v>
      </c>
      <c r="NO11">
        <v>18.015368953203701</v>
      </c>
      <c r="NP11">
        <v>51.514424153033602</v>
      </c>
      <c r="NQ11" s="35">
        <v>-550.95924522537496</v>
      </c>
      <c r="NR11" s="35">
        <v>16.791317113275401</v>
      </c>
      <c r="NS11">
        <v>19.908657706833999</v>
      </c>
      <c r="NT11">
        <v>556.29419677408202</v>
      </c>
      <c r="NU11">
        <v>-30.266519820058001</v>
      </c>
      <c r="NV11">
        <v>16.137528788356601</v>
      </c>
      <c r="NW11">
        <v>19.8997454023953</v>
      </c>
      <c r="NX11">
        <v>3.09607117814484</v>
      </c>
      <c r="NY11">
        <v>62.176285677006298</v>
      </c>
      <c r="NZ11">
        <v>-585.07375440504597</v>
      </c>
      <c r="OA11">
        <v>17.346129809527199</v>
      </c>
      <c r="OB11">
        <v>22.042005790373899</v>
      </c>
      <c r="OC11">
        <v>3.0632528055941401</v>
      </c>
      <c r="OD11">
        <v>580.08898655640598</v>
      </c>
      <c r="OE11">
        <v>3.09607117814484</v>
      </c>
      <c r="OF11">
        <v>3.0632528055941401</v>
      </c>
      <c r="OG11">
        <v>-40.851863960192901</v>
      </c>
      <c r="OH11">
        <v>16.106122688005701</v>
      </c>
      <c r="OI11">
        <v>19.904120205186398</v>
      </c>
      <c r="OJ11">
        <v>200.48118341652599</v>
      </c>
      <c r="OK11">
        <v>-875.41685715334302</v>
      </c>
      <c r="OL11">
        <v>17.377276548770102</v>
      </c>
      <c r="OM11">
        <v>22.320240880023299</v>
      </c>
      <c r="ON11">
        <v>1090.0601205728201</v>
      </c>
      <c r="OO11">
        <v>-28.272844586621101</v>
      </c>
      <c r="OP11">
        <v>16.092371628871</v>
      </c>
      <c r="OQ11">
        <v>20.0686966820941</v>
      </c>
      <c r="OR11">
        <v>126.631231016464</v>
      </c>
      <c r="OS11">
        <v>-541.83267631998399</v>
      </c>
      <c r="OT11">
        <v>17.3514762266887</v>
      </c>
      <c r="OU11">
        <v>22.306119902024498</v>
      </c>
      <c r="OV11">
        <v>686.21151317474403</v>
      </c>
      <c r="OW11">
        <v>-52.848039156621901</v>
      </c>
      <c r="OX11">
        <v>15.5852872455908</v>
      </c>
      <c r="OY11">
        <v>18.0582692469251</v>
      </c>
      <c r="OZ11">
        <v>2.4356303097483201</v>
      </c>
      <c r="PA11">
        <v>-720.26668980630097</v>
      </c>
      <c r="PB11">
        <v>16.465812866682601</v>
      </c>
      <c r="PC11">
        <v>20.084462182249698</v>
      </c>
      <c r="PD11">
        <v>618.73861721713899</v>
      </c>
      <c r="PE11">
        <v>-27.503246144035</v>
      </c>
      <c r="PF11">
        <v>16.107876871667202</v>
      </c>
      <c r="PG11">
        <v>20.081540655203401</v>
      </c>
      <c r="PH11">
        <v>3.17557705349848</v>
      </c>
      <c r="PI11">
        <v>131.00925956488501</v>
      </c>
      <c r="PJ11">
        <v>-533.89736273313804</v>
      </c>
      <c r="PK11">
        <v>17.360060416819</v>
      </c>
      <c r="PL11">
        <v>22.304299047917699</v>
      </c>
      <c r="PM11" s="35">
        <v>3.1734004352389098</v>
      </c>
      <c r="PN11">
        <v>687.51016002434994</v>
      </c>
      <c r="PO11">
        <v>23.230994158328802</v>
      </c>
      <c r="PP11">
        <v>23.200074626096299</v>
      </c>
      <c r="PQ11">
        <v>20.3138621441644</v>
      </c>
      <c r="PR11">
        <v>23.191037865896</v>
      </c>
      <c r="PS11">
        <v>17.606864891146699</v>
      </c>
      <c r="PT11">
        <v>23.019572021974401</v>
      </c>
      <c r="PU11">
        <v>23.135083735405001</v>
      </c>
      <c r="PV11">
        <v>20.637992766353499</v>
      </c>
      <c r="PW11">
        <v>23.139460642350802</v>
      </c>
      <c r="PX11">
        <v>17.207248091871602</v>
      </c>
      <c r="PY11">
        <v>23.5049936388282</v>
      </c>
      <c r="PZ11">
        <v>23.493219016429801</v>
      </c>
      <c r="QA11">
        <v>20.9828782782098</v>
      </c>
      <c r="QB11">
        <v>23.487291230790198</v>
      </c>
      <c r="QC11">
        <v>16.532431298637</v>
      </c>
      <c r="QD11">
        <v>15.313065905774099</v>
      </c>
      <c r="QE11">
        <v>26.4176907788618</v>
      </c>
      <c r="QF11">
        <v>26.357069553605498</v>
      </c>
      <c r="QG11">
        <v>22.3791403725882</v>
      </c>
      <c r="QH11">
        <v>26.3423536488861</v>
      </c>
      <c r="QI11">
        <v>17.230237793538699</v>
      </c>
      <c r="QJ11">
        <v>26.187469216129401</v>
      </c>
      <c r="QK11">
        <v>26.2518760306335</v>
      </c>
      <c r="QL11">
        <v>22.954483517922501</v>
      </c>
      <c r="QM11">
        <v>26.246045270722099</v>
      </c>
      <c r="QN11">
        <v>-8996.1745342506802</v>
      </c>
      <c r="QO11">
        <v>16.844117369137201</v>
      </c>
      <c r="QP11">
        <v>3542.8794519494199</v>
      </c>
      <c r="QQ11">
        <v>26.6330240534067</v>
      </c>
      <c r="QR11">
        <v>26.587718756983801</v>
      </c>
      <c r="QS11">
        <v>23.5018784786831</v>
      </c>
      <c r="QT11">
        <v>26.5729310065995</v>
      </c>
      <c r="QU11">
        <v>16.2543832347855</v>
      </c>
      <c r="QV11">
        <v>15.450519655514</v>
      </c>
      <c r="QW11">
        <v>357120.14235931198</v>
      </c>
      <c r="QX11">
        <v>0</v>
      </c>
      <c r="QY11">
        <v>272157.290097958</v>
      </c>
      <c r="QZ11">
        <v>0</v>
      </c>
      <c r="RA11">
        <v>33402.814484851297</v>
      </c>
      <c r="RB11">
        <v>0</v>
      </c>
      <c r="RC11">
        <v>22305.706833102999</v>
      </c>
      <c r="RD11">
        <v>0</v>
      </c>
      <c r="RE11">
        <v>99795.939625297906</v>
      </c>
      <c r="RF11">
        <v>0</v>
      </c>
      <c r="RG11">
        <v>77293.483528026205</v>
      </c>
      <c r="RH11" s="35">
        <v>0</v>
      </c>
      <c r="RI11">
        <v>17655.969893248301</v>
      </c>
      <c r="RJ11" s="35">
        <v>0</v>
      </c>
      <c r="RK11">
        <v>29.6043873993947</v>
      </c>
      <c r="RL11">
        <v>5427.1562218661402</v>
      </c>
      <c r="RM11" s="35">
        <v>5427.1562218661402</v>
      </c>
      <c r="RN11">
        <v>13470.6852902829</v>
      </c>
      <c r="RO11" s="35">
        <v>11404.0473570508</v>
      </c>
      <c r="RP11">
        <v>0</v>
      </c>
      <c r="RQ11" s="35">
        <v>29.514064481114701</v>
      </c>
      <c r="RR11" s="35">
        <v>3707.9463978796498</v>
      </c>
      <c r="RS11">
        <v>3707.9463978796498</v>
      </c>
      <c r="RT11">
        <v>8818.0976387016308</v>
      </c>
      <c r="RU11">
        <v>11509.117197064101</v>
      </c>
      <c r="RV11">
        <v>0</v>
      </c>
      <c r="RW11">
        <v>24.444418601012</v>
      </c>
      <c r="RX11">
        <v>6621.9188098234299</v>
      </c>
      <c r="RY11">
        <v>6621.9188098234299</v>
      </c>
      <c r="RZ11">
        <v>14802.1065997067</v>
      </c>
      <c r="SA11">
        <v>11447.958036301001</v>
      </c>
      <c r="SB11">
        <v>0</v>
      </c>
      <c r="SC11">
        <v>29.493669431876199</v>
      </c>
      <c r="SD11">
        <v>3769.3384981321401</v>
      </c>
      <c r="SE11">
        <v>3769.3384981321401</v>
      </c>
      <c r="SF11">
        <v>8879.8322509040408</v>
      </c>
      <c r="SG11">
        <v>0</v>
      </c>
      <c r="SH11">
        <v>3465.35181967176</v>
      </c>
      <c r="SI11">
        <v>16.853610695930598</v>
      </c>
      <c r="SJ11">
        <v>31661.678816374799</v>
      </c>
      <c r="SK11">
        <v>31661.678816374799</v>
      </c>
      <c r="SL11">
        <v>76818.954038138298</v>
      </c>
      <c r="SM11">
        <v>21.1111</v>
      </c>
      <c r="SN11">
        <v>26.666699999999999</v>
      </c>
      <c r="SO11">
        <v>5970.8607891971396</v>
      </c>
      <c r="SP11">
        <v>0</v>
      </c>
      <c r="SQ11">
        <v>26.289076247361098</v>
      </c>
      <c r="SR11">
        <v>0</v>
      </c>
      <c r="SS11">
        <v>0</v>
      </c>
      <c r="ST11">
        <v>0</v>
      </c>
      <c r="SU11">
        <v>3815.8768190720498</v>
      </c>
      <c r="SV11">
        <v>0</v>
      </c>
      <c r="SW11">
        <v>26.1762856872794</v>
      </c>
      <c r="SX11">
        <v>0</v>
      </c>
      <c r="SY11">
        <v>0</v>
      </c>
      <c r="SZ11">
        <v>0</v>
      </c>
      <c r="TA11">
        <v>2571.67730409658</v>
      </c>
      <c r="TB11">
        <v>0</v>
      </c>
      <c r="TC11">
        <v>21.363134469376998</v>
      </c>
      <c r="TD11">
        <v>0</v>
      </c>
      <c r="TE11">
        <v>0</v>
      </c>
      <c r="TF11">
        <v>0</v>
      </c>
      <c r="TG11">
        <v>3804.6101680974998</v>
      </c>
      <c r="TH11">
        <v>0</v>
      </c>
      <c r="TI11">
        <v>26.165320303419499</v>
      </c>
      <c r="TJ11">
        <v>0</v>
      </c>
      <c r="TK11">
        <v>0</v>
      </c>
      <c r="TL11">
        <v>0</v>
      </c>
      <c r="TM11">
        <v>10274.142853617401</v>
      </c>
      <c r="TN11">
        <v>0</v>
      </c>
      <c r="TO11">
        <v>20.3643773930166</v>
      </c>
      <c r="TP11">
        <v>0</v>
      </c>
      <c r="TQ11">
        <v>0</v>
      </c>
      <c r="TR11">
        <v>0</v>
      </c>
      <c r="TS11">
        <v>17958.494643288199</v>
      </c>
      <c r="TT11">
        <v>0</v>
      </c>
      <c r="TU11">
        <v>29.3553664102844</v>
      </c>
      <c r="TV11">
        <v>6044.7177706115099</v>
      </c>
      <c r="TW11">
        <v>6044.7177706115099</v>
      </c>
      <c r="TX11">
        <v>14099.252963268</v>
      </c>
      <c r="TY11">
        <v>11478.664430798501</v>
      </c>
      <c r="TZ11">
        <v>0</v>
      </c>
      <c r="UA11">
        <v>29.368668325861901</v>
      </c>
      <c r="UB11">
        <v>3936.0240778933298</v>
      </c>
      <c r="UC11">
        <v>3936.0240778933298</v>
      </c>
      <c r="UD11">
        <v>9051.0301208564106</v>
      </c>
      <c r="UE11">
        <v>13060.262517634401</v>
      </c>
      <c r="UF11">
        <v>0</v>
      </c>
      <c r="UG11">
        <v>25.2709742694916</v>
      </c>
      <c r="UH11">
        <v>6976.7037608944202</v>
      </c>
      <c r="UI11">
        <v>6976.7037608944202</v>
      </c>
      <c r="UJ11">
        <v>15139.058402724801</v>
      </c>
      <c r="UK11">
        <v>11517.8324976392</v>
      </c>
      <c r="UL11">
        <v>0</v>
      </c>
      <c r="UM11">
        <v>29.3526298990935</v>
      </c>
      <c r="UN11">
        <v>3989.9582223601401</v>
      </c>
      <c r="UO11">
        <v>3989.9582223601401</v>
      </c>
      <c r="UP11">
        <v>9105.2260527500603</v>
      </c>
      <c r="UQ11">
        <v>0</v>
      </c>
      <c r="UR11">
        <v>3353.4182880578001</v>
      </c>
      <c r="US11">
        <v>16.480986646402801</v>
      </c>
      <c r="UT11">
        <v>34750.229388127998</v>
      </c>
      <c r="UU11">
        <v>34750.229388127998</v>
      </c>
      <c r="UV11">
        <v>79875.724453811097</v>
      </c>
      <c r="UW11">
        <v>21.1111</v>
      </c>
      <c r="UX11">
        <v>26.666699999999999</v>
      </c>
      <c r="UY11">
        <v>5860.1220016356501</v>
      </c>
      <c r="UZ11">
        <v>0</v>
      </c>
      <c r="VA11">
        <v>26.0975741622266</v>
      </c>
      <c r="VB11">
        <v>0</v>
      </c>
      <c r="VC11">
        <v>0</v>
      </c>
      <c r="VD11">
        <v>0</v>
      </c>
      <c r="VE11">
        <v>3682.8102493696301</v>
      </c>
      <c r="VF11">
        <v>0</v>
      </c>
      <c r="VG11">
        <v>26.171584214867899</v>
      </c>
      <c r="VH11">
        <v>0</v>
      </c>
      <c r="VI11">
        <v>0</v>
      </c>
      <c r="VJ11">
        <v>0</v>
      </c>
      <c r="VK11">
        <v>3238.4713732569799</v>
      </c>
      <c r="VL11">
        <v>0</v>
      </c>
      <c r="VM11">
        <v>22.0581433317662</v>
      </c>
      <c r="VN11">
        <v>0</v>
      </c>
      <c r="VO11">
        <v>0</v>
      </c>
      <c r="VP11">
        <v>0</v>
      </c>
      <c r="VQ11">
        <v>3668.7117325147401</v>
      </c>
      <c r="VR11">
        <v>0</v>
      </c>
      <c r="VS11">
        <v>26.1677812571914</v>
      </c>
      <c r="VT11">
        <v>0</v>
      </c>
      <c r="VU11">
        <v>0</v>
      </c>
      <c r="VV11">
        <v>0</v>
      </c>
      <c r="VW11">
        <v>11246.489416808899</v>
      </c>
      <c r="VX11">
        <v>0</v>
      </c>
      <c r="VY11">
        <v>20.159279193985899</v>
      </c>
      <c r="VZ11">
        <v>0</v>
      </c>
      <c r="WA11">
        <v>0</v>
      </c>
      <c r="WB11">
        <v>0</v>
      </c>
      <c r="WC11">
        <v>17653.686124208099</v>
      </c>
      <c r="WD11">
        <v>0</v>
      </c>
      <c r="WE11">
        <v>29.7610544679853</v>
      </c>
      <c r="WF11">
        <v>5272.7475245082896</v>
      </c>
      <c r="WG11">
        <v>5272.7475245082896</v>
      </c>
      <c r="WH11">
        <v>13315.2226542435</v>
      </c>
      <c r="WI11">
        <v>0</v>
      </c>
      <c r="WJ11">
        <v>11371.5137443024</v>
      </c>
      <c r="WK11">
        <v>0</v>
      </c>
      <c r="WL11">
        <v>29.6822184975379</v>
      </c>
      <c r="WM11">
        <v>3572.3784299982099</v>
      </c>
      <c r="WN11">
        <v>3572.3784299982099</v>
      </c>
      <c r="WO11">
        <v>8681.8959140532497</v>
      </c>
      <c r="WP11">
        <v>21.1111</v>
      </c>
      <c r="WQ11">
        <v>26.666699999999999</v>
      </c>
      <c r="WR11">
        <v>14131.1414459638</v>
      </c>
      <c r="WS11">
        <v>0</v>
      </c>
      <c r="WT11">
        <v>26.0208786791564</v>
      </c>
      <c r="WU11">
        <v>6957.2298810739903</v>
      </c>
      <c r="WV11">
        <v>6957.2298810739903</v>
      </c>
      <c r="WW11">
        <v>15099.421993924099</v>
      </c>
      <c r="WX11">
        <v>0</v>
      </c>
      <c r="WY11">
        <v>11431.645276847999</v>
      </c>
      <c r="WZ11">
        <v>0</v>
      </c>
      <c r="XA11">
        <v>29.658570782408901</v>
      </c>
      <c r="XB11">
        <v>3650.8849113224201</v>
      </c>
      <c r="XC11">
        <v>3650.8849113224201</v>
      </c>
      <c r="XD11">
        <v>8760.7733285575396</v>
      </c>
      <c r="XE11">
        <v>0</v>
      </c>
      <c r="XF11">
        <v>2457.8383115819502</v>
      </c>
      <c r="XG11">
        <v>15.976335170934</v>
      </c>
      <c r="XH11">
        <v>39470.760960573803</v>
      </c>
      <c r="XI11">
        <v>39470.760960573803</v>
      </c>
      <c r="XJ11">
        <v>84833.805695201401</v>
      </c>
      <c r="XK11">
        <v>21.1111</v>
      </c>
      <c r="XL11">
        <v>26.666699999999999</v>
      </c>
      <c r="XM11">
        <v>3857.7412797737102</v>
      </c>
      <c r="XN11">
        <v>0</v>
      </c>
      <c r="XO11">
        <v>27.661158882121601</v>
      </c>
      <c r="XP11">
        <v>0</v>
      </c>
      <c r="XQ11">
        <v>0</v>
      </c>
      <c r="XR11">
        <v>0</v>
      </c>
      <c r="XS11">
        <v>2479.09378472141</v>
      </c>
      <c r="XT11">
        <v>0</v>
      </c>
      <c r="XU11">
        <v>27.5551454140499</v>
      </c>
      <c r="XV11">
        <v>0</v>
      </c>
      <c r="XW11">
        <v>0</v>
      </c>
      <c r="XX11">
        <v>0</v>
      </c>
      <c r="XY11">
        <v>2906.32770030867</v>
      </c>
      <c r="XZ11">
        <v>0</v>
      </c>
      <c r="YA11">
        <v>23.484229300388101</v>
      </c>
      <c r="YB11">
        <v>0</v>
      </c>
      <c r="YC11">
        <v>0</v>
      </c>
      <c r="YD11">
        <v>0</v>
      </c>
      <c r="YE11">
        <v>2464.1864738642798</v>
      </c>
      <c r="YF11">
        <v>0</v>
      </c>
      <c r="YG11">
        <v>27.545109517686399</v>
      </c>
      <c r="YH11">
        <v>0</v>
      </c>
      <c r="YI11">
        <v>0</v>
      </c>
      <c r="YJ11">
        <v>0</v>
      </c>
      <c r="YK11">
        <v>13972.9630040557</v>
      </c>
      <c r="YL11">
        <v>0</v>
      </c>
      <c r="YM11">
        <v>20.5827813276948</v>
      </c>
      <c r="YN11">
        <v>0</v>
      </c>
      <c r="YO11">
        <v>0</v>
      </c>
      <c r="YP11">
        <v>0</v>
      </c>
      <c r="YQ11">
        <v>0</v>
      </c>
      <c r="YR11">
        <v>890.88027887924204</v>
      </c>
      <c r="YS11">
        <v>16.516385215935301</v>
      </c>
      <c r="YT11">
        <v>0</v>
      </c>
      <c r="YU11">
        <v>0</v>
      </c>
      <c r="YV11">
        <v>0</v>
      </c>
      <c r="YW11">
        <v>0</v>
      </c>
      <c r="YX11">
        <v>554.031250631886</v>
      </c>
      <c r="YY11">
        <v>16.506627923887301</v>
      </c>
      <c r="YZ11">
        <v>0</v>
      </c>
      <c r="ZA11">
        <v>0</v>
      </c>
      <c r="ZB11">
        <v>0</v>
      </c>
      <c r="ZC11">
        <v>0</v>
      </c>
      <c r="ZD11">
        <v>405.35950825950999</v>
      </c>
      <c r="ZE11">
        <v>16.520118048352501</v>
      </c>
      <c r="ZF11">
        <v>0</v>
      </c>
      <c r="ZG11">
        <v>0</v>
      </c>
      <c r="ZH11">
        <v>0</v>
      </c>
      <c r="ZI11">
        <v>0</v>
      </c>
      <c r="ZJ11">
        <v>555.57360709659997</v>
      </c>
      <c r="ZK11">
        <v>16.507911523052901</v>
      </c>
      <c r="ZL11">
        <v>0</v>
      </c>
      <c r="ZM11">
        <v>0</v>
      </c>
      <c r="ZN11">
        <v>0</v>
      </c>
      <c r="ZO11">
        <v>0</v>
      </c>
      <c r="ZP11">
        <v>4662.4432333700997</v>
      </c>
      <c r="ZQ11">
        <v>16.0652494285996</v>
      </c>
      <c r="ZR11">
        <v>0</v>
      </c>
      <c r="ZS11">
        <v>0</v>
      </c>
      <c r="ZT11">
        <v>0</v>
      </c>
      <c r="ZU11">
        <v>0</v>
      </c>
      <c r="ZV11">
        <v>756.12380001335202</v>
      </c>
      <c r="ZW11">
        <v>16.096728299096199</v>
      </c>
      <c r="ZX11">
        <v>0</v>
      </c>
      <c r="ZY11">
        <v>0</v>
      </c>
      <c r="ZZ11">
        <v>0</v>
      </c>
      <c r="AAA11">
        <v>0</v>
      </c>
      <c r="AAB11">
        <v>491.84717544483198</v>
      </c>
      <c r="AAC11">
        <v>16.106439691704399</v>
      </c>
      <c r="AAD11">
        <v>0</v>
      </c>
      <c r="AAE11">
        <v>0</v>
      </c>
      <c r="AAF11">
        <v>0</v>
      </c>
      <c r="AAG11">
        <v>0</v>
      </c>
      <c r="AAH11">
        <v>390.18248828982001</v>
      </c>
      <c r="AAI11">
        <v>16.074029420033899</v>
      </c>
      <c r="AAJ11">
        <v>0</v>
      </c>
      <c r="AAK11">
        <v>0</v>
      </c>
      <c r="AAL11">
        <v>0</v>
      </c>
      <c r="AAM11">
        <v>0</v>
      </c>
      <c r="AAN11">
        <v>497.33382905894598</v>
      </c>
      <c r="AAO11">
        <v>16.111005863118201</v>
      </c>
      <c r="AAP11">
        <v>0</v>
      </c>
      <c r="AAQ11">
        <v>0</v>
      </c>
      <c r="AAR11">
        <v>0</v>
      </c>
      <c r="AAS11">
        <v>0</v>
      </c>
      <c r="AAT11">
        <v>1561.8226166116599</v>
      </c>
      <c r="AAU11">
        <v>15.725991872167199</v>
      </c>
      <c r="AAV11">
        <v>0</v>
      </c>
      <c r="AAW11">
        <v>0</v>
      </c>
      <c r="AAX11">
        <v>0</v>
      </c>
      <c r="AAY11">
        <v>0</v>
      </c>
      <c r="AAZ11">
        <v>1050.20092919546</v>
      </c>
      <c r="ABA11">
        <v>15.945069017647899</v>
      </c>
      <c r="ABB11">
        <v>0</v>
      </c>
      <c r="ABC11">
        <v>0</v>
      </c>
      <c r="ABD11">
        <v>0</v>
      </c>
      <c r="ABE11">
        <v>0</v>
      </c>
      <c r="ABF11">
        <v>655.09238699548996</v>
      </c>
      <c r="ABG11">
        <v>15.9355315203851</v>
      </c>
      <c r="ABH11">
        <v>0</v>
      </c>
      <c r="ABI11">
        <v>0</v>
      </c>
      <c r="ABJ11">
        <v>0</v>
      </c>
      <c r="ABK11">
        <v>0</v>
      </c>
      <c r="ABL11">
        <v>361.53113481589099</v>
      </c>
      <c r="ABM11">
        <v>15.709337227856601</v>
      </c>
      <c r="ABN11">
        <v>0</v>
      </c>
      <c r="ABO11">
        <v>0</v>
      </c>
      <c r="ABP11">
        <v>0</v>
      </c>
      <c r="ABQ11">
        <v>0</v>
      </c>
      <c r="ABR11">
        <v>661.82027285416495</v>
      </c>
      <c r="ABS11">
        <v>15.9409619963279</v>
      </c>
      <c r="ABT11">
        <v>0</v>
      </c>
      <c r="ABU11">
        <v>0</v>
      </c>
      <c r="ABV11">
        <v>0</v>
      </c>
      <c r="ABW11">
        <v>1062.2014521634501</v>
      </c>
      <c r="ABX11">
        <v>0</v>
      </c>
      <c r="ABY11">
        <v>15.450519655514</v>
      </c>
      <c r="ABZ11">
        <v>0</v>
      </c>
      <c r="ACA11">
        <v>0</v>
      </c>
      <c r="ACB11">
        <v>0</v>
      </c>
      <c r="ACC11">
        <v>0</v>
      </c>
      <c r="ACD11">
        <v>0</v>
      </c>
      <c r="ACE11">
        <v>0</v>
      </c>
      <c r="ACF11">
        <v>15.092842815051601</v>
      </c>
      <c r="ACG11">
        <v>15.092842815051601</v>
      </c>
      <c r="ACH11">
        <v>0</v>
      </c>
      <c r="ACI11">
        <v>0</v>
      </c>
      <c r="ACJ11">
        <v>0</v>
      </c>
      <c r="ACK11">
        <v>20.973579277941599</v>
      </c>
      <c r="ACL11">
        <v>20.973579277941599</v>
      </c>
      <c r="ACM11">
        <v>0</v>
      </c>
      <c r="ACN11">
        <v>0</v>
      </c>
      <c r="ACP11">
        <v>17003.3341156241</v>
      </c>
      <c r="ACR11">
        <v>17003.3341156241</v>
      </c>
      <c r="ACT11">
        <v>16.895195099032598</v>
      </c>
      <c r="ACU11">
        <v>16.740720719771499</v>
      </c>
      <c r="ACV11">
        <v>1.7</v>
      </c>
      <c r="ACW11">
        <v>4.5379391934457001</v>
      </c>
      <c r="ACX11">
        <v>0.81825907599881398</v>
      </c>
      <c r="ACY11">
        <v>16.519314126158601</v>
      </c>
      <c r="ACZ11">
        <v>16.372309226589699</v>
      </c>
      <c r="ADA11">
        <v>1.7</v>
      </c>
      <c r="ADB11">
        <v>4.5543803362555098</v>
      </c>
      <c r="ADC11">
        <v>0.82138794107993596</v>
      </c>
      <c r="ADD11">
        <v>16.009391032080298</v>
      </c>
      <c r="ADE11">
        <v>15.916639235262</v>
      </c>
      <c r="ADF11">
        <v>1.7</v>
      </c>
      <c r="ADG11">
        <v>4.8231776315771304</v>
      </c>
      <c r="ADH11">
        <v>0.848551569427338</v>
      </c>
      <c r="ADI11">
        <v>30.311149139353098</v>
      </c>
      <c r="ADJ11">
        <v>30.311149139353098</v>
      </c>
      <c r="ADK11">
        <v>0</v>
      </c>
      <c r="ADL11">
        <v>0</v>
      </c>
      <c r="ADM11">
        <v>1</v>
      </c>
      <c r="ADN11">
        <v>30.239450280162401</v>
      </c>
      <c r="ADO11">
        <v>30.239450280162401</v>
      </c>
      <c r="ADP11">
        <v>0</v>
      </c>
      <c r="ADQ11">
        <v>0</v>
      </c>
      <c r="ADR11">
        <v>1</v>
      </c>
      <c r="ADS11">
        <v>25.288110494555301</v>
      </c>
      <c r="ADT11">
        <v>25.288110494555301</v>
      </c>
      <c r="ADU11">
        <v>0</v>
      </c>
      <c r="ADV11">
        <v>0</v>
      </c>
      <c r="ADW11">
        <v>1</v>
      </c>
      <c r="ADX11">
        <v>30.235243349244101</v>
      </c>
      <c r="ADY11">
        <v>30.235243349244101</v>
      </c>
      <c r="ADZ11">
        <v>0</v>
      </c>
      <c r="AEA11">
        <v>0</v>
      </c>
      <c r="AEB11">
        <v>1</v>
      </c>
      <c r="AEC11">
        <v>30.131029745584598</v>
      </c>
      <c r="AED11">
        <v>30.131029745584598</v>
      </c>
      <c r="AEE11">
        <v>0</v>
      </c>
      <c r="AEF11">
        <v>0</v>
      </c>
      <c r="AEG11">
        <v>1</v>
      </c>
      <c r="AEH11">
        <v>30.159527242600898</v>
      </c>
      <c r="AEI11">
        <v>30.159527242600898</v>
      </c>
      <c r="AEJ11">
        <v>0</v>
      </c>
      <c r="AEK11">
        <v>0</v>
      </c>
      <c r="AEL11">
        <v>1</v>
      </c>
      <c r="AEM11">
        <v>26.135194956117299</v>
      </c>
      <c r="AEN11">
        <v>26.135194956117299</v>
      </c>
      <c r="AEO11">
        <v>0</v>
      </c>
      <c r="AEP11">
        <v>0</v>
      </c>
      <c r="AEQ11">
        <v>1</v>
      </c>
      <c r="AER11">
        <v>30.162755820631499</v>
      </c>
      <c r="AES11">
        <v>30.162755820631499</v>
      </c>
      <c r="AET11">
        <v>0</v>
      </c>
      <c r="AEU11">
        <v>0</v>
      </c>
      <c r="AEV11">
        <v>1</v>
      </c>
      <c r="AEW11">
        <v>30.530336941640499</v>
      </c>
      <c r="AEX11">
        <v>30.530336941640499</v>
      </c>
      <c r="AEY11">
        <v>0</v>
      </c>
      <c r="AEZ11">
        <v>0</v>
      </c>
      <c r="AFA11">
        <v>1</v>
      </c>
      <c r="AFB11">
        <v>30.4657113791699</v>
      </c>
      <c r="AFC11">
        <v>30.4657113791699</v>
      </c>
      <c r="AFD11">
        <v>0</v>
      </c>
      <c r="AFE11">
        <v>0</v>
      </c>
      <c r="AFF11">
        <v>1</v>
      </c>
      <c r="AFG11">
        <v>26.865837131007702</v>
      </c>
      <c r="AFH11">
        <v>26.865837131007702</v>
      </c>
      <c r="AFI11">
        <v>0</v>
      </c>
      <c r="AFJ11">
        <v>0</v>
      </c>
      <c r="AFK11">
        <v>1</v>
      </c>
      <c r="AFL11">
        <v>30.465378283240199</v>
      </c>
      <c r="AFM11">
        <v>30.465378283240199</v>
      </c>
      <c r="AFN11">
        <v>0</v>
      </c>
      <c r="AFO11">
        <v>0</v>
      </c>
      <c r="AFP11">
        <v>1</v>
      </c>
      <c r="AFQ11">
        <v>-0.54706990561096203</v>
      </c>
      <c r="AFR11">
        <v>0.43082503386433502</v>
      </c>
      <c r="AFS11">
        <v>0.41536412068025802</v>
      </c>
      <c r="AFT11">
        <v>0.416854030806382</v>
      </c>
      <c r="AFU11">
        <v>-0.40909731609960498</v>
      </c>
      <c r="AFV11">
        <v>0.381866363008942</v>
      </c>
      <c r="AFW11">
        <v>0.39917170413283998</v>
      </c>
      <c r="AFX11">
        <v>0.39810872721861701</v>
      </c>
      <c r="AFY11">
        <v>-0.28085030484534201</v>
      </c>
      <c r="AFZ11">
        <v>0.49338452450869502</v>
      </c>
      <c r="AGA11">
        <v>0.48183079660226602</v>
      </c>
      <c r="AGB11">
        <v>0.48238562359598203</v>
      </c>
      <c r="AGC11">
        <v>-1.7135302089211499</v>
      </c>
      <c r="AGD11">
        <v>-1.77109357969613</v>
      </c>
      <c r="AGE11">
        <v>-1.8486526431113299</v>
      </c>
      <c r="AGF11">
        <v>0</v>
      </c>
      <c r="AGG11">
        <v>0</v>
      </c>
      <c r="AGH11">
        <v>0</v>
      </c>
      <c r="AGI11">
        <v>0</v>
      </c>
      <c r="AGJ11">
        <v>0</v>
      </c>
      <c r="AGK11">
        <v>0</v>
      </c>
      <c r="AGL11">
        <v>0</v>
      </c>
      <c r="AGM11">
        <v>0</v>
      </c>
      <c r="AGN11">
        <v>0</v>
      </c>
      <c r="AGO11">
        <v>0</v>
      </c>
      <c r="AGP11">
        <v>0</v>
      </c>
      <c r="AGQ11">
        <v>0</v>
      </c>
      <c r="AGR11">
        <v>0</v>
      </c>
      <c r="AGS11">
        <v>0</v>
      </c>
      <c r="AGT11">
        <v>0</v>
      </c>
      <c r="AGU11">
        <v>0</v>
      </c>
      <c r="AGV11">
        <v>0</v>
      </c>
      <c r="AGW11">
        <v>0</v>
      </c>
      <c r="AGX11">
        <v>0</v>
      </c>
      <c r="AGY11">
        <v>0</v>
      </c>
      <c r="AGZ11">
        <v>0</v>
      </c>
      <c r="AHA11">
        <v>0</v>
      </c>
      <c r="AHB11">
        <v>0</v>
      </c>
      <c r="AHC11">
        <v>0</v>
      </c>
      <c r="AHD11">
        <v>0</v>
      </c>
      <c r="AHE11">
        <v>0</v>
      </c>
      <c r="AHF11">
        <v>0</v>
      </c>
      <c r="AHG11">
        <v>0</v>
      </c>
      <c r="AHH11">
        <v>0</v>
      </c>
      <c r="AHI11">
        <v>0</v>
      </c>
      <c r="AHJ11">
        <v>0</v>
      </c>
      <c r="AHK11">
        <v>0</v>
      </c>
      <c r="AHL11">
        <v>0</v>
      </c>
      <c r="AHM11">
        <v>0</v>
      </c>
      <c r="AHN11">
        <v>0</v>
      </c>
      <c r="AHO11">
        <v>0</v>
      </c>
      <c r="AHP11">
        <v>0</v>
      </c>
      <c r="AHQ11">
        <v>0</v>
      </c>
      <c r="AHR11">
        <v>0</v>
      </c>
      <c r="AHS11">
        <v>0</v>
      </c>
      <c r="AHT11">
        <v>0</v>
      </c>
      <c r="AHU11">
        <v>0</v>
      </c>
      <c r="AHV11">
        <v>0</v>
      </c>
      <c r="AHW11">
        <v>0</v>
      </c>
      <c r="AHX11">
        <v>0</v>
      </c>
      <c r="AHZ11">
        <v>26932.5773037457</v>
      </c>
      <c r="AIB11">
        <v>0</v>
      </c>
      <c r="AID11">
        <v>26914.728435175799</v>
      </c>
      <c r="AIF11">
        <v>42231.930478114598</v>
      </c>
      <c r="AIH11">
        <v>18181.723505969701</v>
      </c>
      <c r="AIJ11">
        <v>0</v>
      </c>
      <c r="AIL11">
        <v>27334.453292955401</v>
      </c>
      <c r="AIN11">
        <v>27348.609983183102</v>
      </c>
      <c r="AIP11">
        <v>42921.914297941898</v>
      </c>
      <c r="AIR11">
        <v>22500.555779069698</v>
      </c>
      <c r="AIT11">
        <v>0</v>
      </c>
      <c r="AIV11">
        <v>28333.407358425</v>
      </c>
      <c r="AIX11">
        <v>28357.225999883802</v>
      </c>
      <c r="AIZ11">
        <v>44494.078717716002</v>
      </c>
      <c r="AJB11">
        <v>26385.099205995099</v>
      </c>
      <c r="AJC11">
        <v>0</v>
      </c>
      <c r="AJE11">
        <v>1.2008486180657001E-4</v>
      </c>
      <c r="AJH11">
        <v>13238.8819947469</v>
      </c>
      <c r="AJJ11">
        <v>227.58751303591299</v>
      </c>
      <c r="AJK11">
        <v>220.596795833333</v>
      </c>
      <c r="AJL11">
        <v>220.596795833333</v>
      </c>
      <c r="AJM11">
        <v>190.047162098179</v>
      </c>
      <c r="AJN11">
        <v>347.36796874999999</v>
      </c>
      <c r="AJO11">
        <v>227.44929166666699</v>
      </c>
      <c r="AJP11">
        <v>227.44929166666699</v>
      </c>
      <c r="AJQ11">
        <v>219.363420886261</v>
      </c>
      <c r="AJR11">
        <v>358.171252083333</v>
      </c>
      <c r="AJS11">
        <v>220.596795833333</v>
      </c>
      <c r="AJT11">
        <v>220.596795833333</v>
      </c>
      <c r="AJU11">
        <v>156.81271254174601</v>
      </c>
      <c r="AJV11">
        <v>347.36796874999999</v>
      </c>
      <c r="AJW11">
        <v>0</v>
      </c>
      <c r="AJX11">
        <v>0</v>
      </c>
      <c r="AJY11">
        <v>413073.41016225202</v>
      </c>
      <c r="AJZ11">
        <v>0</v>
      </c>
      <c r="AKA11">
        <v>0</v>
      </c>
      <c r="AKB11">
        <v>197227.41</v>
      </c>
      <c r="AKC11">
        <v>246572.42851954399</v>
      </c>
      <c r="AKD11">
        <v>887660742.67035699</v>
      </c>
      <c r="AKE11">
        <v>58.231664354368398</v>
      </c>
      <c r="AKF11">
        <v>78.882003599280097</v>
      </c>
      <c r="AKG11">
        <v>2.68215991941035</v>
      </c>
      <c r="AKH11">
        <v>0.95</v>
      </c>
      <c r="AKI11">
        <v>145945.39085987001</v>
      </c>
      <c r="AKJ11">
        <v>182464.470253818</v>
      </c>
      <c r="AKK11">
        <v>656872092.91374695</v>
      </c>
      <c r="AKL11">
        <v>58.231664354368398</v>
      </c>
      <c r="AKM11">
        <v>78.882003599280097</v>
      </c>
      <c r="AKN11">
        <v>2.2463281423890602</v>
      </c>
      <c r="AKO11">
        <v>0.70298606728586299</v>
      </c>
      <c r="AKP11">
        <v>2089614.08183454</v>
      </c>
      <c r="AKT11">
        <v>0</v>
      </c>
      <c r="AKX11">
        <v>0</v>
      </c>
      <c r="ALB11">
        <v>20.973579277941599</v>
      </c>
      <c r="ALC11">
        <v>20.973579277941599</v>
      </c>
      <c r="ALD11">
        <v>0</v>
      </c>
      <c r="ALE11">
        <v>0</v>
      </c>
      <c r="ALF11">
        <v>0</v>
      </c>
      <c r="ALH11">
        <v>15.092842810814201</v>
      </c>
      <c r="ALI11">
        <v>2.8568269606532499E-3</v>
      </c>
      <c r="ALJ11">
        <v>23.3088980105709</v>
      </c>
      <c r="ALK11">
        <v>15.092842815051601</v>
      </c>
      <c r="ALL11">
        <v>23.3088980105709</v>
      </c>
      <c r="ALM11">
        <v>4.66986610857635E-4</v>
      </c>
      <c r="ALN11">
        <v>20.160508205280902</v>
      </c>
      <c r="ALO11">
        <v>2.8568269606532499E-3</v>
      </c>
      <c r="ALP11">
        <v>19.606418782502299</v>
      </c>
      <c r="ALQ11">
        <v>23.3088980105709</v>
      </c>
      <c r="ALR11">
        <v>15.092842810814201</v>
      </c>
      <c r="ALS11">
        <v>23.3088980105709</v>
      </c>
      <c r="ALT11">
        <v>15.559999995762601</v>
      </c>
      <c r="ALU11">
        <v>23.3088980105709</v>
      </c>
      <c r="ALV11">
        <v>12.2200000000641</v>
      </c>
      <c r="ALW11">
        <v>9.9999999999999897E-12</v>
      </c>
      <c r="ALX11">
        <v>15.092842815051601</v>
      </c>
      <c r="ALY11">
        <v>9.9999999999999897E-12</v>
      </c>
      <c r="ALZ11">
        <v>6.1902694272271399E-3</v>
      </c>
      <c r="AMA11">
        <v>15.092842815051601</v>
      </c>
      <c r="AMB11">
        <v>0</v>
      </c>
      <c r="AMC11">
        <v>15.092842815051601</v>
      </c>
      <c r="AMD11">
        <v>0</v>
      </c>
      <c r="AME11">
        <v>15.092842815051601</v>
      </c>
      <c r="AMF11">
        <v>0</v>
      </c>
      <c r="AMG11">
        <v>0</v>
      </c>
      <c r="AMH11">
        <v>5.0238469798715801</v>
      </c>
      <c r="AMI11">
        <v>39.021032085318097</v>
      </c>
      <c r="AMJ11">
        <v>0.98829999999999996</v>
      </c>
      <c r="AMK11" s="580">
        <v>16.045545115113001</v>
      </c>
      <c r="AML11">
        <v>3.3546</v>
      </c>
      <c r="AMM11">
        <v>39.004883240506302</v>
      </c>
      <c r="AMN11">
        <v>0.98829999999999996</v>
      </c>
      <c r="AMO11">
        <v>38.935763165295903</v>
      </c>
      <c r="AMP11">
        <v>1.5562499999999999</v>
      </c>
      <c r="AMQ11">
        <v>37.918668978546897</v>
      </c>
      <c r="AMR11">
        <v>0.70253968657866395</v>
      </c>
      <c r="AMS11">
        <v>15.697108490832001</v>
      </c>
      <c r="AMT11">
        <v>3.3546</v>
      </c>
      <c r="AMU11">
        <v>38.9215858385394</v>
      </c>
      <c r="AMV11">
        <v>0.98829999999999996</v>
      </c>
      <c r="AMW11">
        <v>38.9381443496749</v>
      </c>
      <c r="AMX11">
        <v>0.98829999999999996</v>
      </c>
      <c r="AMY11">
        <v>38.846629859398398</v>
      </c>
      <c r="AMZ11">
        <v>1.5562499999999999</v>
      </c>
      <c r="ANA11">
        <v>37.88734335705</v>
      </c>
      <c r="ANB11">
        <v>0.85143399110627305</v>
      </c>
      <c r="ANC11">
        <v>15.4067675783644</v>
      </c>
      <c r="AND11">
        <v>3.3546</v>
      </c>
      <c r="ANE11">
        <v>38.860842083372702</v>
      </c>
      <c r="ANF11">
        <v>1.0189999999999999</v>
      </c>
      <c r="ANG11">
        <v>38.885730096669398</v>
      </c>
      <c r="ANH11">
        <v>1.0189999999999999</v>
      </c>
      <c r="ANI11">
        <v>38.809803507475202</v>
      </c>
      <c r="ANJ11">
        <v>1.6046499999999999</v>
      </c>
      <c r="ANK11">
        <v>37.847396791921803</v>
      </c>
      <c r="ANL11">
        <v>0.98277433288599203</v>
      </c>
      <c r="ANM11">
        <v>7.5899896865786598</v>
      </c>
      <c r="ANN11">
        <v>7.7388839911062703</v>
      </c>
      <c r="ANO11">
        <v>7.9800243328859901</v>
      </c>
      <c r="ANP11">
        <v>16.045545115113001</v>
      </c>
      <c r="ANQ11">
        <v>16.4219838819381</v>
      </c>
      <c r="ANR11">
        <v>16.423278318365799</v>
      </c>
      <c r="ANS11">
        <v>16.448905109192101</v>
      </c>
      <c r="ANT11">
        <v>16.432132038915601</v>
      </c>
      <c r="ANU11">
        <v>15.697108490832001</v>
      </c>
      <c r="ANV11">
        <v>15.989377815310901</v>
      </c>
      <c r="ANW11">
        <v>15.9941546688495</v>
      </c>
      <c r="ANX11">
        <v>15.9679507614974</v>
      </c>
      <c r="ANY11">
        <v>15.978334637297101</v>
      </c>
      <c r="ANZ11">
        <v>15.4067675783644</v>
      </c>
      <c r="AOA11">
        <v>15.8076797362259</v>
      </c>
      <c r="AOB11">
        <v>15.8133423104837</v>
      </c>
      <c r="AOC11">
        <v>15.5818098016288</v>
      </c>
      <c r="AOD11">
        <v>15.8198879183121</v>
      </c>
      <c r="AOE11">
        <v>20.160508205280902</v>
      </c>
      <c r="AOF11">
        <v>5.0238469798715801</v>
      </c>
      <c r="AOG11">
        <v>20.1977352154301</v>
      </c>
      <c r="AOH11">
        <v>5.0238469798715801</v>
      </c>
    </row>
    <row r="12" spans="1:1074">
      <c r="A12" t="s">
        <v>2582</v>
      </c>
      <c r="B12">
        <v>-3.33</v>
      </c>
      <c r="D12">
        <v>-3.33</v>
      </c>
      <c r="F12">
        <v>10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c r="BZ12">
        <v>0</v>
      </c>
      <c r="CA12">
        <v>0</v>
      </c>
      <c r="CB12">
        <v>0</v>
      </c>
      <c r="CC12">
        <v>0</v>
      </c>
      <c r="CD12">
        <v>0</v>
      </c>
      <c r="CE12">
        <v>0</v>
      </c>
      <c r="CF12">
        <v>0</v>
      </c>
      <c r="CG12">
        <v>0</v>
      </c>
      <c r="CH12">
        <v>0</v>
      </c>
      <c r="CI12">
        <v>0</v>
      </c>
      <c r="CJ12">
        <v>0</v>
      </c>
      <c r="CK12">
        <v>0</v>
      </c>
      <c r="CL12">
        <v>0</v>
      </c>
      <c r="CM12">
        <v>0</v>
      </c>
      <c r="CN12">
        <v>0</v>
      </c>
      <c r="CO12">
        <v>0</v>
      </c>
      <c r="CP12">
        <v>0</v>
      </c>
      <c r="CQ12">
        <v>0</v>
      </c>
      <c r="CR12">
        <v>0</v>
      </c>
      <c r="CS12">
        <v>0</v>
      </c>
      <c r="CT12">
        <v>0</v>
      </c>
      <c r="CU12">
        <v>0</v>
      </c>
      <c r="CV12">
        <v>0</v>
      </c>
      <c r="CW12">
        <v>0</v>
      </c>
      <c r="CX12">
        <v>0</v>
      </c>
      <c r="CY12">
        <v>0</v>
      </c>
      <c r="CZ12">
        <v>0</v>
      </c>
      <c r="DA12">
        <v>0</v>
      </c>
      <c r="DB12">
        <v>0</v>
      </c>
      <c r="DC12">
        <v>0</v>
      </c>
      <c r="DD12">
        <v>0</v>
      </c>
      <c r="DE12">
        <v>0</v>
      </c>
      <c r="DF12">
        <v>0</v>
      </c>
      <c r="DG12">
        <v>0</v>
      </c>
      <c r="DH12">
        <v>0</v>
      </c>
      <c r="DI12">
        <v>0</v>
      </c>
      <c r="DJ12">
        <v>0</v>
      </c>
      <c r="DK12">
        <v>0</v>
      </c>
      <c r="DL12">
        <v>0</v>
      </c>
      <c r="DM12">
        <v>0</v>
      </c>
      <c r="DN12">
        <v>0</v>
      </c>
      <c r="DO12">
        <v>0</v>
      </c>
      <c r="DP12">
        <v>0</v>
      </c>
      <c r="DQ12">
        <v>0</v>
      </c>
      <c r="DR12">
        <v>0</v>
      </c>
      <c r="DS12">
        <v>0</v>
      </c>
      <c r="DT12">
        <v>0</v>
      </c>
      <c r="DU12">
        <v>0</v>
      </c>
      <c r="DV12">
        <v>0</v>
      </c>
      <c r="DW12">
        <v>0</v>
      </c>
      <c r="DX12">
        <v>0</v>
      </c>
      <c r="DY12">
        <v>0</v>
      </c>
      <c r="DZ12">
        <v>0</v>
      </c>
      <c r="EA12">
        <v>0</v>
      </c>
      <c r="EB12">
        <v>0</v>
      </c>
      <c r="EC12">
        <v>0</v>
      </c>
      <c r="ED12">
        <v>0</v>
      </c>
      <c r="EE12">
        <v>0</v>
      </c>
      <c r="EF12">
        <v>0</v>
      </c>
      <c r="EG12">
        <v>0</v>
      </c>
      <c r="EH12">
        <v>0</v>
      </c>
      <c r="EI12">
        <v>0</v>
      </c>
      <c r="EJ12">
        <v>0</v>
      </c>
      <c r="EK12">
        <v>0</v>
      </c>
      <c r="EL12">
        <v>0</v>
      </c>
      <c r="EM12">
        <v>0</v>
      </c>
      <c r="EN12">
        <v>0</v>
      </c>
      <c r="EO12">
        <v>0</v>
      </c>
      <c r="EP12">
        <v>0</v>
      </c>
      <c r="EQ12">
        <v>0</v>
      </c>
      <c r="ER12">
        <v>0</v>
      </c>
      <c r="ES12">
        <v>0</v>
      </c>
      <c r="ET12">
        <v>0</v>
      </c>
      <c r="EU12">
        <v>0</v>
      </c>
      <c r="EV12">
        <v>0</v>
      </c>
      <c r="EW12">
        <v>0</v>
      </c>
      <c r="EX12">
        <v>0</v>
      </c>
      <c r="EY12">
        <v>0</v>
      </c>
      <c r="EZ12">
        <v>0</v>
      </c>
      <c r="FA12">
        <v>0</v>
      </c>
      <c r="FB12">
        <v>0</v>
      </c>
      <c r="FC12">
        <v>0</v>
      </c>
      <c r="FD12">
        <v>0</v>
      </c>
      <c r="FE12">
        <v>0</v>
      </c>
      <c r="FF12">
        <v>0</v>
      </c>
      <c r="FG12">
        <v>0</v>
      </c>
      <c r="FH12">
        <v>0</v>
      </c>
      <c r="FI12">
        <v>0</v>
      </c>
      <c r="FJ12">
        <v>0</v>
      </c>
      <c r="FK12">
        <v>0</v>
      </c>
      <c r="FL12">
        <v>0</v>
      </c>
      <c r="FM12">
        <v>0</v>
      </c>
      <c r="FN12">
        <v>0</v>
      </c>
      <c r="FO12">
        <v>0</v>
      </c>
      <c r="FP12">
        <v>0</v>
      </c>
      <c r="FQ12">
        <v>0</v>
      </c>
      <c r="FR12">
        <v>0</v>
      </c>
      <c r="FS12">
        <v>0</v>
      </c>
      <c r="FT12">
        <v>0</v>
      </c>
      <c r="FU12">
        <v>0</v>
      </c>
      <c r="FV12">
        <v>0</v>
      </c>
      <c r="FW12">
        <v>0</v>
      </c>
      <c r="FX12">
        <v>0</v>
      </c>
      <c r="FY12">
        <v>0</v>
      </c>
      <c r="FZ12">
        <v>0</v>
      </c>
      <c r="GA12">
        <v>0</v>
      </c>
      <c r="GB12">
        <v>-1296.9115190638299</v>
      </c>
      <c r="GC12">
        <v>-2463.04893247574</v>
      </c>
      <c r="GD12">
        <v>-3248.2674289829502</v>
      </c>
      <c r="GE12">
        <v>-861.44451963870495</v>
      </c>
      <c r="GF12">
        <v>-1550.6463913002999</v>
      </c>
      <c r="GG12">
        <v>-2054.42534287738</v>
      </c>
      <c r="GH12">
        <v>-893.23394708969295</v>
      </c>
      <c r="GI12">
        <v>-1460.9408183554201</v>
      </c>
      <c r="GJ12">
        <v>-2097.50900069006</v>
      </c>
      <c r="GK12">
        <v>-859.44693682838601</v>
      </c>
      <c r="GL12">
        <v>-1550.0685473537201</v>
      </c>
      <c r="GM12">
        <v>-2053.75988248769</v>
      </c>
      <c r="GN12">
        <v>-544.93614781605299</v>
      </c>
      <c r="GO12">
        <v>23.303673936709899</v>
      </c>
      <c r="GP12">
        <v>24.897227300114299</v>
      </c>
      <c r="GQ12">
        <v>-914.15869739056495</v>
      </c>
      <c r="GR12">
        <v>-3622.6777010329201</v>
      </c>
      <c r="GS12">
        <v>-5927.7374780169703</v>
      </c>
      <c r="GT12">
        <v>-362.86038578260201</v>
      </c>
      <c r="GU12">
        <v>23.229849791937099</v>
      </c>
      <c r="GV12">
        <v>24.840639000727698</v>
      </c>
      <c r="GW12">
        <v>-573.08446502947095</v>
      </c>
      <c r="GX12">
        <v>-2290.57165844479</v>
      </c>
      <c r="GY12">
        <v>-3751.3561294435499</v>
      </c>
      <c r="GZ12">
        <v>-314.03581986435802</v>
      </c>
      <c r="HA12">
        <v>19.994627671130601</v>
      </c>
      <c r="HB12">
        <v>21.2301496198839</v>
      </c>
      <c r="HC12">
        <v>-337.31206050754002</v>
      </c>
      <c r="HD12">
        <v>-1586.78731143497</v>
      </c>
      <c r="HE12">
        <v>-2975.28090501117</v>
      </c>
      <c r="HF12">
        <v>-360.91860969043103</v>
      </c>
      <c r="HG12">
        <v>23.225588022968701</v>
      </c>
      <c r="HH12">
        <v>24.832818955086299</v>
      </c>
      <c r="HI12">
        <v>-571.50068065496305</v>
      </c>
      <c r="HJ12">
        <v>-2284.3187952347798</v>
      </c>
      <c r="HK12">
        <v>-3742.8227279541802</v>
      </c>
      <c r="HL12">
        <v>-1212.84854446497</v>
      </c>
      <c r="HM12">
        <v>23.302047553487299</v>
      </c>
      <c r="HN12">
        <v>19.9140406099744</v>
      </c>
      <c r="HO12">
        <v>-2054.8629885506102</v>
      </c>
      <c r="HP12">
        <v>-2499.35707634152</v>
      </c>
      <c r="HQ12">
        <v>24.722935759656298</v>
      </c>
      <c r="HR12">
        <v>-3245.8403841443401</v>
      </c>
      <c r="HS12">
        <v>-796.42133025669602</v>
      </c>
      <c r="HT12">
        <v>23.3207346830877</v>
      </c>
      <c r="HU12">
        <v>19.9304890467467</v>
      </c>
      <c r="HV12">
        <v>-1216.1739487172499</v>
      </c>
      <c r="HW12">
        <v>-1566.6207723842001</v>
      </c>
      <c r="HX12">
        <v>24.750180691312799</v>
      </c>
      <c r="HY12">
        <v>-2034.4443659882099</v>
      </c>
      <c r="HZ12">
        <v>20.984439039251299</v>
      </c>
      <c r="IA12">
        <v>18.927941801309601</v>
      </c>
      <c r="IB12">
        <v>-1366.4036494874099</v>
      </c>
      <c r="IC12">
        <v>-917.86258440139102</v>
      </c>
      <c r="ID12">
        <v>-1707.1495157306699</v>
      </c>
      <c r="IE12">
        <v>21.715542644904801</v>
      </c>
      <c r="IF12">
        <v>-2380.4321881255</v>
      </c>
      <c r="IG12">
        <v>-176.100323909829</v>
      </c>
      <c r="IH12">
        <v>23.320762348109302</v>
      </c>
      <c r="II12">
        <v>19.930490373104799</v>
      </c>
      <c r="IJ12">
        <v>-1215.3162994843101</v>
      </c>
      <c r="IK12">
        <v>-224.48907866325101</v>
      </c>
      <c r="IL12">
        <v>-793.64078617474797</v>
      </c>
      <c r="IM12">
        <v>-1564.80659841543</v>
      </c>
      <c r="IN12">
        <v>24.751558100782301</v>
      </c>
      <c r="IO12">
        <v>2.5279907098081198</v>
      </c>
      <c r="IP12">
        <v>-2031.80987604034</v>
      </c>
      <c r="IQ12">
        <v>763.99824677618903</v>
      </c>
      <c r="IR12">
        <v>459.25061764265803</v>
      </c>
      <c r="IS12">
        <v>475.74020075533502</v>
      </c>
      <c r="IT12">
        <v>459.26157092608298</v>
      </c>
      <c r="IU12">
        <v>654.52545420556703</v>
      </c>
      <c r="IV12">
        <v>-538.06860341208198</v>
      </c>
      <c r="IW12">
        <v>23.1526071590845</v>
      </c>
      <c r="IX12">
        <v>24.722935759656298</v>
      </c>
      <c r="IY12">
        <v>-900.28176590968599</v>
      </c>
      <c r="IZ12">
        <v>-3554.1273415339701</v>
      </c>
      <c r="JA12">
        <v>-5806.64788809519</v>
      </c>
      <c r="JB12">
        <v>-351.94545812047897</v>
      </c>
      <c r="JC12">
        <v>23.205012702776301</v>
      </c>
      <c r="JD12">
        <v>24.750180691312799</v>
      </c>
      <c r="JE12">
        <v>-560.63209390262205</v>
      </c>
      <c r="JF12">
        <v>-2215.5104317280002</v>
      </c>
      <c r="JG12">
        <v>-3617.0558103931899</v>
      </c>
      <c r="JH12">
        <v>-358.06204345775802</v>
      </c>
      <c r="JI12">
        <v>20.3516643253007</v>
      </c>
      <c r="JJ12">
        <v>21.715542644904801</v>
      </c>
      <c r="JK12">
        <v>-442.39728754628101</v>
      </c>
      <c r="JL12">
        <v>-2006.7417313755</v>
      </c>
      <c r="JM12">
        <v>-3633.5991679158401</v>
      </c>
      <c r="JN12">
        <v>-349.802440948899</v>
      </c>
      <c r="JO12">
        <v>23.209234428776401</v>
      </c>
      <c r="JP12">
        <v>24.751558100782301</v>
      </c>
      <c r="JQ12">
        <v>1.1523003994607599</v>
      </c>
      <c r="JR12">
        <v>-558.48831287049404</v>
      </c>
      <c r="JS12">
        <v>2.7238341391245702</v>
      </c>
      <c r="JT12">
        <v>-2207.6286031836198</v>
      </c>
      <c r="JU12">
        <v>-3606.34017902703</v>
      </c>
      <c r="JV12">
        <v>-1188.0408425165599</v>
      </c>
      <c r="JW12">
        <v>-2510.0202313117802</v>
      </c>
      <c r="JX12">
        <v>-2794.0501821411699</v>
      </c>
      <c r="JY12">
        <v>-790.31453905609703</v>
      </c>
      <c r="JZ12">
        <v>-1577.6893801245999</v>
      </c>
      <c r="KA12">
        <v>-1764.96752265532</v>
      </c>
      <c r="KB12">
        <v>-984.44751484106303</v>
      </c>
      <c r="KC12">
        <v>-1911.8554400722301</v>
      </c>
      <c r="KD12">
        <v>-2315.7134589828702</v>
      </c>
      <c r="KE12">
        <v>-787.92276174673805</v>
      </c>
      <c r="KF12">
        <v>23.232295027988499</v>
      </c>
      <c r="KG12">
        <v>-732.19450205949397</v>
      </c>
      <c r="KH12">
        <v>1.44610539102902</v>
      </c>
      <c r="KI12">
        <v>-1576.35978540316</v>
      </c>
      <c r="KJ12">
        <v>-1763.38113522089</v>
      </c>
      <c r="KK12">
        <v>-434.97730487119799</v>
      </c>
      <c r="KL12">
        <v>25.311220069890702</v>
      </c>
      <c r="KM12">
        <v>25.659756622361801</v>
      </c>
      <c r="KN12">
        <v>-684.71644377696202</v>
      </c>
      <c r="KO12">
        <v>24.601749462699001</v>
      </c>
      <c r="KP12">
        <v>-10.1816489736223</v>
      </c>
      <c r="KQ12">
        <v>-1816.00474018198</v>
      </c>
      <c r="KR12">
        <v>-2280.7630441852398</v>
      </c>
      <c r="KS12">
        <v>-290.95607519709398</v>
      </c>
      <c r="KT12">
        <v>25.239945481019301</v>
      </c>
      <c r="KU12">
        <v>25.617320669394498</v>
      </c>
      <c r="KV12">
        <v>-430.25108046150001</v>
      </c>
      <c r="KW12">
        <v>24.517016444955502</v>
      </c>
      <c r="KX12">
        <v>-10.105802187254501</v>
      </c>
      <c r="KY12">
        <v>-1149.35178451052</v>
      </c>
      <c r="KZ12">
        <v>-1443.7555968561101</v>
      </c>
      <c r="LA12">
        <v>-353.239664613846</v>
      </c>
      <c r="LB12">
        <v>21.967358751142299</v>
      </c>
      <c r="LC12">
        <v>22.609363030762701</v>
      </c>
      <c r="LD12">
        <v>-435.36664332448299</v>
      </c>
      <c r="LE12">
        <v>21.095615985325999</v>
      </c>
      <c r="LF12">
        <v>-10.304695974009601</v>
      </c>
      <c r="LG12">
        <v>-1383.7624151638499</v>
      </c>
      <c r="LH12">
        <v>-2072.0403710708702</v>
      </c>
      <c r="LI12">
        <v>-288.49982195955101</v>
      </c>
      <c r="LJ12">
        <v>25.239146989725398</v>
      </c>
      <c r="LK12">
        <v>25.611071402457402</v>
      </c>
      <c r="LL12">
        <v>-427.903064274006</v>
      </c>
      <c r="LM12">
        <v>24.523922974938699</v>
      </c>
      <c r="LN12">
        <v>-9.7912942614773897</v>
      </c>
      <c r="LO12">
        <v>-1141.02091182304</v>
      </c>
      <c r="LP12">
        <v>-1431.23457792052</v>
      </c>
      <c r="LQ12">
        <v>-33.237439243822799</v>
      </c>
      <c r="LR12">
        <v>16.851187458152001</v>
      </c>
      <c r="LS12">
        <v>16.481000000000002</v>
      </c>
      <c r="LT12">
        <v>116.52103651057401</v>
      </c>
      <c r="LU12">
        <v>-1249.0934505181499</v>
      </c>
      <c r="LV12">
        <v>18.398569006832599</v>
      </c>
      <c r="LW12">
        <v>22.9380283412439</v>
      </c>
      <c r="LX12">
        <v>1136.7940421994499</v>
      </c>
      <c r="LY12">
        <v>-22.871987280526199</v>
      </c>
      <c r="LZ12">
        <v>16.833829802051401</v>
      </c>
      <c r="MA12">
        <v>16.481000000000002</v>
      </c>
      <c r="MB12">
        <v>70.320124748552701</v>
      </c>
      <c r="MC12">
        <v>-787.73024029996805</v>
      </c>
      <c r="MD12">
        <v>18.378044695655198</v>
      </c>
      <c r="ME12">
        <v>22.913359294086501</v>
      </c>
      <c r="MF12">
        <v>716.98821721320701</v>
      </c>
      <c r="MG12">
        <v>-44.746526954101</v>
      </c>
      <c r="MH12">
        <v>16.691410314483999</v>
      </c>
      <c r="MI12">
        <v>16.481000000000002</v>
      </c>
      <c r="MJ12">
        <v>17.990064724129901</v>
      </c>
      <c r="MK12">
        <v>-714.72512507884403</v>
      </c>
      <c r="ML12">
        <v>17.5635683786087</v>
      </c>
      <c r="MM12">
        <v>20.155792844712298</v>
      </c>
      <c r="MN12">
        <v>593.86112561713901</v>
      </c>
      <c r="MO12">
        <v>-22.356512468001601</v>
      </c>
      <c r="MP12">
        <v>16.8381707706322</v>
      </c>
      <c r="MQ12">
        <v>16.481000000000002</v>
      </c>
      <c r="MR12">
        <v>71.641586374863493</v>
      </c>
      <c r="MS12">
        <v>-784.57910330106904</v>
      </c>
      <c r="MT12">
        <v>18.378361712633101</v>
      </c>
      <c r="MU12">
        <v>22.9065854892816</v>
      </c>
      <c r="MV12">
        <v>716.59902566122798</v>
      </c>
      <c r="MW12">
        <v>-35.015325386145498</v>
      </c>
      <c r="MX12">
        <v>16.686319122365699</v>
      </c>
      <c r="MY12">
        <v>20.876932095280999</v>
      </c>
      <c r="MZ12">
        <v>222.659803481051</v>
      </c>
      <c r="NA12">
        <v>-966.40638902986097</v>
      </c>
      <c r="NB12">
        <v>18.065076339000399</v>
      </c>
      <c r="NC12">
        <v>22.681663318667901</v>
      </c>
      <c r="ND12">
        <v>1151.8346858377799</v>
      </c>
      <c r="NE12">
        <v>-23.811499650552101</v>
      </c>
      <c r="NF12">
        <v>16.667797096626899</v>
      </c>
      <c r="NG12">
        <v>20.788449562144201</v>
      </c>
      <c r="NH12">
        <v>131.696347021398</v>
      </c>
      <c r="NI12">
        <v>-645.91510008346199</v>
      </c>
      <c r="NJ12">
        <v>18.095420587792901</v>
      </c>
      <c r="NK12">
        <v>22.729926936032999</v>
      </c>
      <c r="NL12">
        <v>742.84762213757995</v>
      </c>
      <c r="NM12">
        <v>-44.735799843130501</v>
      </c>
      <c r="NN12">
        <v>16.4180082014866</v>
      </c>
      <c r="NO12">
        <v>18.455920795145001</v>
      </c>
      <c r="NP12">
        <v>70.607127727361402</v>
      </c>
      <c r="NQ12" s="35">
        <v>-706.01782089211099</v>
      </c>
      <c r="NR12" s="35">
        <v>17.349258495348199</v>
      </c>
      <c r="NS12">
        <v>20.413061879107801</v>
      </c>
      <c r="NT12">
        <v>699.04293411081005</v>
      </c>
      <c r="NU12">
        <v>-23.139946221339098</v>
      </c>
      <c r="NV12">
        <v>16.677074415451202</v>
      </c>
      <c r="NW12">
        <v>20.789065951876299</v>
      </c>
      <c r="NX12">
        <v>3.09607117814484</v>
      </c>
      <c r="NY12">
        <v>133.99644932794999</v>
      </c>
      <c r="NZ12">
        <v>-642.99714320896305</v>
      </c>
      <c r="OA12">
        <v>18.102587339894399</v>
      </c>
      <c r="OB12">
        <v>22.732972263701701</v>
      </c>
      <c r="OC12">
        <v>3.0632528055941401</v>
      </c>
      <c r="OD12">
        <v>744.21776714563896</v>
      </c>
      <c r="OE12">
        <v>3.09607117814484</v>
      </c>
      <c r="OF12">
        <v>3.0632528055941401</v>
      </c>
      <c r="OG12">
        <v>-30.971042632762099</v>
      </c>
      <c r="OH12">
        <v>16.651575070427601</v>
      </c>
      <c r="OI12">
        <v>20.769582693222699</v>
      </c>
      <c r="OJ12">
        <v>298.75427616725602</v>
      </c>
      <c r="OK12">
        <v>-970.07260348678597</v>
      </c>
      <c r="OL12">
        <v>18.123439469496599</v>
      </c>
      <c r="OM12">
        <v>23.015885532989198</v>
      </c>
      <c r="ON12">
        <v>1328.74880741725</v>
      </c>
      <c r="OO12">
        <v>-21.435812967924001</v>
      </c>
      <c r="OP12">
        <v>16.6604102631891</v>
      </c>
      <c r="OQ12">
        <v>20.8523540880946</v>
      </c>
      <c r="OR12">
        <v>194.79156975597999</v>
      </c>
      <c r="OS12">
        <v>-592.01822300202002</v>
      </c>
      <c r="OT12">
        <v>18.114769870823501</v>
      </c>
      <c r="OU12">
        <v>23.012420604419301</v>
      </c>
      <c r="OV12">
        <v>841.11522275568302</v>
      </c>
      <c r="OW12">
        <v>-45.705618860131899</v>
      </c>
      <c r="OX12">
        <v>16.053729921911401</v>
      </c>
      <c r="OY12">
        <v>18.5721342590166</v>
      </c>
      <c r="OZ12">
        <v>33.859185054653103</v>
      </c>
      <c r="PA12">
        <v>-885.68053412075005</v>
      </c>
      <c r="PB12">
        <v>17.140782927602199</v>
      </c>
      <c r="PC12">
        <v>20.717493584934601</v>
      </c>
      <c r="PD12">
        <v>794.69496074786696</v>
      </c>
      <c r="PE12">
        <v>-20.738565656302701</v>
      </c>
      <c r="PF12">
        <v>16.673888444132</v>
      </c>
      <c r="PG12">
        <v>20.8620973403271</v>
      </c>
      <c r="PH12">
        <v>3.17557705349848</v>
      </c>
      <c r="PI12">
        <v>198.65098699713701</v>
      </c>
      <c r="PJ12">
        <v>-584.777008314716</v>
      </c>
      <c r="PK12">
        <v>18.121594335388799</v>
      </c>
      <c r="PL12">
        <v>23.0084900138358</v>
      </c>
      <c r="PM12" s="35">
        <v>3.1734004352389098</v>
      </c>
      <c r="PN12">
        <v>842.014443703398</v>
      </c>
      <c r="PO12">
        <v>23.861137032558599</v>
      </c>
      <c r="PP12">
        <v>23.8311896695093</v>
      </c>
      <c r="PQ12">
        <v>20.6743698403187</v>
      </c>
      <c r="PR12">
        <v>23.821746198139699</v>
      </c>
      <c r="PS12">
        <v>17.873754252746501</v>
      </c>
      <c r="PT12">
        <v>23.671152424065799</v>
      </c>
      <c r="PU12">
        <v>23.714683069895099</v>
      </c>
      <c r="PV12">
        <v>21.0632259200802</v>
      </c>
      <c r="PW12">
        <v>23.716893299749</v>
      </c>
      <c r="PX12">
        <v>17.491557785883799</v>
      </c>
      <c r="PY12">
        <v>24.1106240485319</v>
      </c>
      <c r="PZ12">
        <v>24.104649099756902</v>
      </c>
      <c r="QA12">
        <v>21.539357101796998</v>
      </c>
      <c r="QB12">
        <v>24.096240241657799</v>
      </c>
      <c r="QC12">
        <v>17.035256097743002</v>
      </c>
      <c r="QD12">
        <v>15.6235448660335</v>
      </c>
      <c r="QE12">
        <v>26.9138925247406</v>
      </c>
      <c r="QF12">
        <v>26.856118685113302</v>
      </c>
      <c r="QG12">
        <v>22.662597908776199</v>
      </c>
      <c r="QH12">
        <v>26.8410266824582</v>
      </c>
      <c r="QI12">
        <v>17.463048747349699</v>
      </c>
      <c r="QJ12">
        <v>26.708210592698801</v>
      </c>
      <c r="QK12">
        <v>26.709972411374</v>
      </c>
      <c r="QL12">
        <v>23.287071489511501</v>
      </c>
      <c r="QM12">
        <v>26.7022654047841</v>
      </c>
      <c r="QN12">
        <v>-8533.2950127251697</v>
      </c>
      <c r="QO12">
        <v>17.096744271788001</v>
      </c>
      <c r="QP12">
        <v>3907.31056098713</v>
      </c>
      <c r="QQ12">
        <v>26.681943717583401</v>
      </c>
      <c r="QR12">
        <v>27.072249042980001</v>
      </c>
      <c r="QS12">
        <v>23.946094256739599</v>
      </c>
      <c r="QT12">
        <v>27.055941216810499</v>
      </c>
      <c r="QU12">
        <v>16.681481744397001</v>
      </c>
      <c r="QV12">
        <v>15.579960238565601</v>
      </c>
      <c r="QW12">
        <v>360113.25420766202</v>
      </c>
      <c r="QX12">
        <v>0</v>
      </c>
      <c r="QY12">
        <v>274956.46255098801</v>
      </c>
      <c r="QZ12">
        <v>0</v>
      </c>
      <c r="RA12">
        <v>33935.552185608198</v>
      </c>
      <c r="RB12">
        <v>0</v>
      </c>
      <c r="RC12">
        <v>22686.521746495899</v>
      </c>
      <c r="RD12">
        <v>0</v>
      </c>
      <c r="RE12">
        <v>101436.37160996</v>
      </c>
      <c r="RF12">
        <v>0</v>
      </c>
      <c r="RG12">
        <v>78782.320647143802</v>
      </c>
      <c r="RH12" s="35">
        <v>0</v>
      </c>
      <c r="RI12">
        <v>16774.458184457199</v>
      </c>
      <c r="RJ12" s="35">
        <v>0</v>
      </c>
      <c r="RK12">
        <v>29.966648016922701</v>
      </c>
      <c r="RL12">
        <v>4272.4561842938001</v>
      </c>
      <c r="RM12" s="35">
        <v>4272.4561842938001</v>
      </c>
      <c r="RN12">
        <v>12303.690154083801</v>
      </c>
      <c r="RO12" s="35">
        <v>10839.182730938101</v>
      </c>
      <c r="RP12">
        <v>0</v>
      </c>
      <c r="RQ12" s="35">
        <v>29.8810477007172</v>
      </c>
      <c r="RR12" s="35">
        <v>2969.6852766566199</v>
      </c>
      <c r="RS12">
        <v>2969.6852766566199</v>
      </c>
      <c r="RT12">
        <v>8071.9150767888304</v>
      </c>
      <c r="RU12">
        <v>11027.212031462001</v>
      </c>
      <c r="RV12">
        <v>0</v>
      </c>
      <c r="RW12">
        <v>24.650825977233701</v>
      </c>
      <c r="RX12">
        <v>5945.21733113352</v>
      </c>
      <c r="RY12">
        <v>5945.21733113352</v>
      </c>
      <c r="RZ12">
        <v>14118.602285019901</v>
      </c>
      <c r="SA12">
        <v>10883.820392703001</v>
      </c>
      <c r="SB12">
        <v>0</v>
      </c>
      <c r="SC12">
        <v>29.8603071667767</v>
      </c>
      <c r="SD12">
        <v>3032.0081004886401</v>
      </c>
      <c r="SE12">
        <v>3032.0081004886401</v>
      </c>
      <c r="SF12">
        <v>8134.5842241682703</v>
      </c>
      <c r="SG12">
        <v>0</v>
      </c>
      <c r="SH12">
        <v>4057.5746358441802</v>
      </c>
      <c r="SI12">
        <v>17.052343241953</v>
      </c>
      <c r="SJ12">
        <v>30017.033448058701</v>
      </c>
      <c r="SK12">
        <v>30017.033448058701</v>
      </c>
      <c r="SL12">
        <v>75296.123169463797</v>
      </c>
      <c r="SM12">
        <v>21.1111</v>
      </c>
      <c r="SN12">
        <v>26.666699999999999</v>
      </c>
      <c r="SO12">
        <v>5624.6286234428098</v>
      </c>
      <c r="SP12">
        <v>0</v>
      </c>
      <c r="SQ12">
        <v>26.935525519488099</v>
      </c>
      <c r="SR12">
        <v>0</v>
      </c>
      <c r="SS12">
        <v>0</v>
      </c>
      <c r="ST12">
        <v>0</v>
      </c>
      <c r="SU12">
        <v>3596.7209480543502</v>
      </c>
      <c r="SV12">
        <v>0</v>
      </c>
      <c r="SW12">
        <v>26.8285798769124</v>
      </c>
      <c r="SX12">
        <v>0</v>
      </c>
      <c r="SY12">
        <v>0</v>
      </c>
      <c r="SZ12">
        <v>0</v>
      </c>
      <c r="TA12">
        <v>2468.25294393494</v>
      </c>
      <c r="TB12">
        <v>0</v>
      </c>
      <c r="TC12">
        <v>21.7324369558828</v>
      </c>
      <c r="TD12">
        <v>0</v>
      </c>
      <c r="TE12">
        <v>0</v>
      </c>
      <c r="TF12">
        <v>0</v>
      </c>
      <c r="TG12">
        <v>3586.0364558715501</v>
      </c>
      <c r="TH12">
        <v>0</v>
      </c>
      <c r="TI12">
        <v>26.816839956762401</v>
      </c>
      <c r="TJ12">
        <v>0</v>
      </c>
      <c r="TK12">
        <v>0</v>
      </c>
      <c r="TL12">
        <v>0</v>
      </c>
      <c r="TM12">
        <v>10803.831857732101</v>
      </c>
      <c r="TN12">
        <v>0</v>
      </c>
      <c r="TO12">
        <v>20.821882778638798</v>
      </c>
      <c r="TP12">
        <v>0</v>
      </c>
      <c r="TQ12">
        <v>0</v>
      </c>
      <c r="TR12">
        <v>0</v>
      </c>
      <c r="TS12">
        <v>17104.876599770399</v>
      </c>
      <c r="TT12">
        <v>0</v>
      </c>
      <c r="TU12">
        <v>29.745268761331801</v>
      </c>
      <c r="TV12">
        <v>4877.7041095971699</v>
      </c>
      <c r="TW12">
        <v>4877.7041095971699</v>
      </c>
      <c r="TX12">
        <v>12919.3542854111</v>
      </c>
      <c r="TY12">
        <v>10987.1198741401</v>
      </c>
      <c r="TZ12">
        <v>0</v>
      </c>
      <c r="UA12">
        <v>29.705261752853001</v>
      </c>
      <c r="UB12">
        <v>3262.3256973461798</v>
      </c>
      <c r="UC12">
        <v>3262.3256973461798</v>
      </c>
      <c r="UD12">
        <v>8370.3940809441992</v>
      </c>
      <c r="UE12">
        <v>12582.6817278337</v>
      </c>
      <c r="UF12">
        <v>0</v>
      </c>
      <c r="UG12">
        <v>25.510917058942798</v>
      </c>
      <c r="UH12">
        <v>6261.8177176670397</v>
      </c>
      <c r="UI12">
        <v>6261.8177176670397</v>
      </c>
      <c r="UJ12">
        <v>14416.263825068399</v>
      </c>
      <c r="UK12">
        <v>11028.317664849999</v>
      </c>
      <c r="UL12">
        <v>0</v>
      </c>
      <c r="UM12">
        <v>29.687637509819201</v>
      </c>
      <c r="UN12">
        <v>3319.2465555225499</v>
      </c>
      <c r="UO12">
        <v>3319.2465555225499</v>
      </c>
      <c r="UP12">
        <v>8427.6058875124108</v>
      </c>
      <c r="UQ12">
        <v>0</v>
      </c>
      <c r="UR12">
        <v>3898.4414957539402</v>
      </c>
      <c r="US12">
        <v>16.7019307576922</v>
      </c>
      <c r="UT12">
        <v>32992.035425292503</v>
      </c>
      <c r="UU12">
        <v>32992.035425292503</v>
      </c>
      <c r="UV12">
        <v>78305.673927918193</v>
      </c>
      <c r="UW12">
        <v>21.1111</v>
      </c>
      <c r="UX12">
        <v>26.666699999999999</v>
      </c>
      <c r="UY12">
        <v>5547.0806953700903</v>
      </c>
      <c r="UZ12">
        <v>0</v>
      </c>
      <c r="VA12">
        <v>26.7481189779228</v>
      </c>
      <c r="VB12">
        <v>0</v>
      </c>
      <c r="VC12">
        <v>0</v>
      </c>
      <c r="VD12">
        <v>0</v>
      </c>
      <c r="VE12">
        <v>3493.4399274724101</v>
      </c>
      <c r="VF12">
        <v>0</v>
      </c>
      <c r="VG12">
        <v>26.740601056326302</v>
      </c>
      <c r="VH12">
        <v>0</v>
      </c>
      <c r="VI12">
        <v>0</v>
      </c>
      <c r="VJ12">
        <v>0</v>
      </c>
      <c r="VK12">
        <v>3106.1676985600502</v>
      </c>
      <c r="VL12">
        <v>0</v>
      </c>
      <c r="VM12">
        <v>22.476113168971501</v>
      </c>
      <c r="VN12">
        <v>0</v>
      </c>
      <c r="VO12">
        <v>0</v>
      </c>
      <c r="VP12">
        <v>0</v>
      </c>
      <c r="VQ12">
        <v>3480.0505765920698</v>
      </c>
      <c r="VR12">
        <v>0</v>
      </c>
      <c r="VS12">
        <v>26.734433324667201</v>
      </c>
      <c r="VT12">
        <v>0</v>
      </c>
      <c r="VU12">
        <v>0</v>
      </c>
      <c r="VV12">
        <v>0</v>
      </c>
      <c r="VW12">
        <v>11734.5808586164</v>
      </c>
      <c r="VX12">
        <v>0</v>
      </c>
      <c r="VY12">
        <v>20.606334395145499</v>
      </c>
      <c r="VZ12">
        <v>0</v>
      </c>
      <c r="WA12">
        <v>0</v>
      </c>
      <c r="WB12">
        <v>0</v>
      </c>
      <c r="WC12">
        <v>15175.156699246099</v>
      </c>
      <c r="WD12">
        <v>443.87654566116998</v>
      </c>
      <c r="WE12">
        <v>29.253263386634899</v>
      </c>
      <c r="WF12">
        <v>4152.7479629256804</v>
      </c>
      <c r="WG12">
        <v>4137.0215332614998</v>
      </c>
      <c r="WH12">
        <v>12168.6456080434</v>
      </c>
      <c r="WI12">
        <v>0</v>
      </c>
      <c r="WJ12">
        <v>10844.608852384201</v>
      </c>
      <c r="WK12">
        <v>0</v>
      </c>
      <c r="WL12">
        <v>30.039848986203001</v>
      </c>
      <c r="WM12">
        <v>2836.3562150011398</v>
      </c>
      <c r="WN12">
        <v>2836.3562150011398</v>
      </c>
      <c r="WO12">
        <v>7938.7815819910002</v>
      </c>
      <c r="WP12">
        <v>21.1111</v>
      </c>
      <c r="WQ12">
        <v>26.666699999999999</v>
      </c>
      <c r="WR12">
        <v>13445.564444383201</v>
      </c>
      <c r="WS12">
        <v>0</v>
      </c>
      <c r="WT12">
        <v>26.3528314116821</v>
      </c>
      <c r="WU12">
        <v>5935.8836191524097</v>
      </c>
      <c r="WV12">
        <v>5935.8836191524097</v>
      </c>
      <c r="WW12">
        <v>14067.6900567761</v>
      </c>
      <c r="WX12">
        <v>0</v>
      </c>
      <c r="WY12">
        <v>10898.755134376401</v>
      </c>
      <c r="WZ12">
        <v>0</v>
      </c>
      <c r="XA12">
        <v>30.015642191963298</v>
      </c>
      <c r="XB12">
        <v>2913.6157197100201</v>
      </c>
      <c r="XC12">
        <v>2913.6157197100201</v>
      </c>
      <c r="XD12">
        <v>8016.4603497246999</v>
      </c>
      <c r="XE12">
        <v>0</v>
      </c>
      <c r="XF12">
        <v>3328.9740951397298</v>
      </c>
      <c r="XG12">
        <v>16.327707391051</v>
      </c>
      <c r="XH12">
        <v>36571.393799884798</v>
      </c>
      <c r="XI12">
        <v>36571.393799884798</v>
      </c>
      <c r="XJ12">
        <v>82235.445688719206</v>
      </c>
      <c r="XK12">
        <v>21.1111</v>
      </c>
      <c r="XL12">
        <v>26.666699999999999</v>
      </c>
      <c r="XM12">
        <v>2519.72662901494</v>
      </c>
      <c r="XN12">
        <v>0</v>
      </c>
      <c r="XO12">
        <v>27.4295444716454</v>
      </c>
      <c r="XP12">
        <v>0</v>
      </c>
      <c r="XQ12">
        <v>0</v>
      </c>
      <c r="XR12">
        <v>0</v>
      </c>
      <c r="XS12">
        <v>2277.3597782740699</v>
      </c>
      <c r="XT12">
        <v>0</v>
      </c>
      <c r="XU12">
        <v>28.1397900383357</v>
      </c>
      <c r="XV12">
        <v>0</v>
      </c>
      <c r="XW12">
        <v>0</v>
      </c>
      <c r="XX12">
        <v>0</v>
      </c>
      <c r="XY12">
        <v>2650.28338796342</v>
      </c>
      <c r="XZ12">
        <v>0</v>
      </c>
      <c r="YA12">
        <v>24.081699707058799</v>
      </c>
      <c r="YB12">
        <v>0</v>
      </c>
      <c r="YC12">
        <v>0</v>
      </c>
      <c r="YD12">
        <v>0</v>
      </c>
      <c r="YE12">
        <v>2262.46684482409</v>
      </c>
      <c r="YF12">
        <v>0</v>
      </c>
      <c r="YG12">
        <v>28.126815447964201</v>
      </c>
      <c r="YH12">
        <v>0</v>
      </c>
      <c r="YI12">
        <v>0</v>
      </c>
      <c r="YJ12">
        <v>0</v>
      </c>
      <c r="YK12">
        <v>11969.386684089101</v>
      </c>
      <c r="YL12">
        <v>0</v>
      </c>
      <c r="YM12">
        <v>21.060939824224199</v>
      </c>
      <c r="YN12">
        <v>0</v>
      </c>
      <c r="YO12">
        <v>0</v>
      </c>
      <c r="YP12">
        <v>0</v>
      </c>
      <c r="YQ12">
        <v>0</v>
      </c>
      <c r="YR12">
        <v>1166.3689322589</v>
      </c>
      <c r="YS12">
        <v>16.7191920700567</v>
      </c>
      <c r="YT12">
        <v>0</v>
      </c>
      <c r="YU12">
        <v>0</v>
      </c>
      <c r="YV12">
        <v>0</v>
      </c>
      <c r="YW12">
        <v>0</v>
      </c>
      <c r="YX12">
        <v>730.51318327439799</v>
      </c>
      <c r="YY12">
        <v>16.710709970244899</v>
      </c>
      <c r="YZ12">
        <v>0</v>
      </c>
      <c r="ZA12">
        <v>0</v>
      </c>
      <c r="ZB12">
        <v>0</v>
      </c>
      <c r="ZC12">
        <v>0</v>
      </c>
      <c r="ZD12">
        <v>511.95227286649498</v>
      </c>
      <c r="ZE12">
        <v>16.702119125207901</v>
      </c>
      <c r="ZF12">
        <v>0</v>
      </c>
      <c r="ZG12">
        <v>0</v>
      </c>
      <c r="ZH12">
        <v>0</v>
      </c>
      <c r="ZI12">
        <v>0</v>
      </c>
      <c r="ZJ12">
        <v>731.98969401131103</v>
      </c>
      <c r="ZK12">
        <v>16.7119387704556</v>
      </c>
      <c r="ZL12">
        <v>0</v>
      </c>
      <c r="ZM12">
        <v>0</v>
      </c>
      <c r="ZN12">
        <v>0</v>
      </c>
      <c r="ZO12">
        <v>0</v>
      </c>
      <c r="ZP12">
        <v>5142.7782546727403</v>
      </c>
      <c r="ZQ12">
        <v>16.107288319655598</v>
      </c>
      <c r="ZR12">
        <v>0</v>
      </c>
      <c r="ZS12">
        <v>0</v>
      </c>
      <c r="ZT12">
        <v>0</v>
      </c>
      <c r="ZU12">
        <v>0</v>
      </c>
      <c r="ZV12">
        <v>1225.16590835339</v>
      </c>
      <c r="ZW12">
        <v>16.436614092731599</v>
      </c>
      <c r="ZX12">
        <v>0</v>
      </c>
      <c r="ZY12">
        <v>0</v>
      </c>
      <c r="ZZ12">
        <v>0</v>
      </c>
      <c r="AAA12">
        <v>0</v>
      </c>
      <c r="AAB12">
        <v>780.38817172617701</v>
      </c>
      <c r="AAC12">
        <v>16.438564725384602</v>
      </c>
      <c r="AAD12">
        <v>0</v>
      </c>
      <c r="AAE12">
        <v>0</v>
      </c>
      <c r="AAF12">
        <v>0</v>
      </c>
      <c r="AAG12">
        <v>0</v>
      </c>
      <c r="AAH12">
        <v>615.60117473040202</v>
      </c>
      <c r="AAI12">
        <v>16.383778396055298</v>
      </c>
      <c r="AAJ12">
        <v>0</v>
      </c>
      <c r="AAK12">
        <v>0</v>
      </c>
      <c r="AAL12">
        <v>0</v>
      </c>
      <c r="AAM12">
        <v>0</v>
      </c>
      <c r="AAN12">
        <v>784.94365222352201</v>
      </c>
      <c r="AAO12">
        <v>16.442355944273999</v>
      </c>
      <c r="AAP12">
        <v>0</v>
      </c>
      <c r="AAQ12">
        <v>0</v>
      </c>
      <c r="AAR12">
        <v>0</v>
      </c>
      <c r="AAS12">
        <v>0</v>
      </c>
      <c r="AAT12">
        <v>2373.3490841512598</v>
      </c>
      <c r="AAU12">
        <v>15.8022286142109</v>
      </c>
      <c r="AAV12">
        <v>0</v>
      </c>
      <c r="AAW12">
        <v>0</v>
      </c>
      <c r="AAX12">
        <v>0</v>
      </c>
      <c r="AAY12">
        <v>0</v>
      </c>
      <c r="AAZ12">
        <v>1149.4359818575199</v>
      </c>
      <c r="ABA12">
        <v>16.497696624382002</v>
      </c>
      <c r="ABB12">
        <v>0</v>
      </c>
      <c r="ABC12">
        <v>0</v>
      </c>
      <c r="ABD12">
        <v>0</v>
      </c>
      <c r="ABE12">
        <v>0</v>
      </c>
      <c r="ABF12">
        <v>932.54698997485002</v>
      </c>
      <c r="ABG12">
        <v>16.3058115662711</v>
      </c>
      <c r="ABH12">
        <v>0</v>
      </c>
      <c r="ABI12">
        <v>0</v>
      </c>
      <c r="ABJ12">
        <v>0</v>
      </c>
      <c r="ABK12">
        <v>0</v>
      </c>
      <c r="ABL12">
        <v>643.07159748359004</v>
      </c>
      <c r="ABM12">
        <v>16.091291715363901</v>
      </c>
      <c r="ABN12">
        <v>0</v>
      </c>
      <c r="ABO12">
        <v>0</v>
      </c>
      <c r="ABP12">
        <v>0</v>
      </c>
      <c r="ABQ12">
        <v>0</v>
      </c>
      <c r="ABR12">
        <v>938.24791495966099</v>
      </c>
      <c r="ABS12">
        <v>16.3104131211478</v>
      </c>
      <c r="ABT12">
        <v>0</v>
      </c>
      <c r="ABU12">
        <v>0</v>
      </c>
      <c r="ABV12">
        <v>0</v>
      </c>
      <c r="ABW12">
        <v>51.4705647904266</v>
      </c>
      <c r="ABX12">
        <v>301.60291581755899</v>
      </c>
      <c r="ABY12">
        <v>15.579960238565601</v>
      </c>
      <c r="ABZ12">
        <v>0</v>
      </c>
      <c r="ACA12">
        <v>0</v>
      </c>
      <c r="ACB12">
        <v>0</v>
      </c>
      <c r="ACC12">
        <v>0</v>
      </c>
      <c r="ACD12">
        <v>0</v>
      </c>
      <c r="ACE12">
        <v>0</v>
      </c>
      <c r="ACF12">
        <v>15.092842815051601</v>
      </c>
      <c r="ACG12">
        <v>15.092842815051601</v>
      </c>
      <c r="ACH12">
        <v>0</v>
      </c>
      <c r="ACI12">
        <v>0</v>
      </c>
      <c r="ACJ12">
        <v>0</v>
      </c>
      <c r="ACK12">
        <v>20.973579277941599</v>
      </c>
      <c r="ACL12">
        <v>20.973579277941599</v>
      </c>
      <c r="ACM12">
        <v>0</v>
      </c>
      <c r="ACN12">
        <v>0</v>
      </c>
      <c r="ACP12">
        <v>16458.458934636601</v>
      </c>
      <c r="ACR12">
        <v>16458.458934636601</v>
      </c>
      <c r="ACT12">
        <v>17.097606904438798</v>
      </c>
      <c r="ACU12">
        <v>16.906917148098401</v>
      </c>
      <c r="ACV12">
        <v>1.7</v>
      </c>
      <c r="ACW12">
        <v>4.4098367629231401</v>
      </c>
      <c r="ACX12">
        <v>0.80824154085100097</v>
      </c>
      <c r="ACY12">
        <v>16.744937120370398</v>
      </c>
      <c r="ACZ12">
        <v>16.563276384628701</v>
      </c>
      <c r="ADA12">
        <v>1.7</v>
      </c>
      <c r="ADB12">
        <v>4.4384624173279601</v>
      </c>
      <c r="ADC12">
        <v>0.80985064283903696</v>
      </c>
      <c r="ADD12">
        <v>16.369309850758398</v>
      </c>
      <c r="ADE12">
        <v>16.221838613162799</v>
      </c>
      <c r="ADF12">
        <v>1.7</v>
      </c>
      <c r="ADG12">
        <v>4.5746069753963301</v>
      </c>
      <c r="ADH12">
        <v>0.81923853827055704</v>
      </c>
      <c r="ADI12">
        <v>30.662614405967499</v>
      </c>
      <c r="ADJ12">
        <v>30.662614405967499</v>
      </c>
      <c r="ADK12">
        <v>0</v>
      </c>
      <c r="ADL12">
        <v>0</v>
      </c>
      <c r="ADM12">
        <v>1</v>
      </c>
      <c r="ADN12">
        <v>30.595633449432</v>
      </c>
      <c r="ADO12">
        <v>30.595633449432</v>
      </c>
      <c r="ADP12">
        <v>0</v>
      </c>
      <c r="ADQ12">
        <v>0</v>
      </c>
      <c r="ADR12">
        <v>1</v>
      </c>
      <c r="ADS12">
        <v>25.474225081003901</v>
      </c>
      <c r="ADT12">
        <v>25.474225081003901</v>
      </c>
      <c r="ADU12">
        <v>0</v>
      </c>
      <c r="ADV12">
        <v>0</v>
      </c>
      <c r="ADW12">
        <v>1</v>
      </c>
      <c r="ADX12">
        <v>30.5912928638386</v>
      </c>
      <c r="ADY12">
        <v>30.5912928638386</v>
      </c>
      <c r="ADZ12">
        <v>0</v>
      </c>
      <c r="AEA12">
        <v>0</v>
      </c>
      <c r="AEB12">
        <v>1</v>
      </c>
      <c r="AEC12">
        <v>30.508960123200598</v>
      </c>
      <c r="AED12">
        <v>30.508960123200598</v>
      </c>
      <c r="AEE12">
        <v>0</v>
      </c>
      <c r="AEF12">
        <v>0</v>
      </c>
      <c r="AEG12">
        <v>1</v>
      </c>
      <c r="AEH12">
        <v>30.485495764467899</v>
      </c>
      <c r="AEI12">
        <v>30.485495764467899</v>
      </c>
      <c r="AEJ12">
        <v>0</v>
      </c>
      <c r="AEK12">
        <v>0</v>
      </c>
      <c r="AEL12">
        <v>1</v>
      </c>
      <c r="AEM12">
        <v>26.375688675004401</v>
      </c>
      <c r="AEN12">
        <v>26.375688675004401</v>
      </c>
      <c r="AEO12">
        <v>0</v>
      </c>
      <c r="AEP12">
        <v>0</v>
      </c>
      <c r="AEQ12">
        <v>1</v>
      </c>
      <c r="AER12">
        <v>30.487349324625999</v>
      </c>
      <c r="AES12">
        <v>30.487349324625999</v>
      </c>
      <c r="AET12">
        <v>0</v>
      </c>
      <c r="AEU12">
        <v>0</v>
      </c>
      <c r="AEV12">
        <v>1</v>
      </c>
      <c r="AEW12">
        <v>30.4766327360006</v>
      </c>
      <c r="AEX12">
        <v>30.4766327360006</v>
      </c>
      <c r="AEY12">
        <v>0</v>
      </c>
      <c r="AEZ12">
        <v>0</v>
      </c>
      <c r="AFA12">
        <v>1</v>
      </c>
      <c r="AFB12">
        <v>30.8074461949595</v>
      </c>
      <c r="AFC12">
        <v>30.8074461949595</v>
      </c>
      <c r="AFD12">
        <v>0</v>
      </c>
      <c r="AFE12">
        <v>0</v>
      </c>
      <c r="AFF12">
        <v>1</v>
      </c>
      <c r="AFG12">
        <v>27.1792929638091</v>
      </c>
      <c r="AFH12">
        <v>27.1792929638091</v>
      </c>
      <c r="AFI12">
        <v>0</v>
      </c>
      <c r="AFJ12">
        <v>0</v>
      </c>
      <c r="AFK12">
        <v>1</v>
      </c>
      <c r="AFL12">
        <v>30.803599707121201</v>
      </c>
      <c r="AFM12">
        <v>30.803599707121201</v>
      </c>
      <c r="AFN12">
        <v>0</v>
      </c>
      <c r="AFO12">
        <v>0</v>
      </c>
      <c r="AFP12">
        <v>1</v>
      </c>
      <c r="AFQ12">
        <v>-0.49290531618066102</v>
      </c>
      <c r="AFR12">
        <v>0.55129042308781795</v>
      </c>
      <c r="AFS12">
        <v>0.53624642634335495</v>
      </c>
      <c r="AFT12">
        <v>0.53784105656494996</v>
      </c>
      <c r="AFU12">
        <v>-0.340088949145543</v>
      </c>
      <c r="AFV12">
        <v>0.50758667453558204</v>
      </c>
      <c r="AFW12">
        <v>0.50937302499410897</v>
      </c>
      <c r="AFX12">
        <v>0.50873231401108998</v>
      </c>
      <c r="AFY12">
        <v>-0.187903773454625</v>
      </c>
      <c r="AFZ12">
        <v>0.54935859971295897</v>
      </c>
      <c r="AGA12">
        <v>0.59938151495964898</v>
      </c>
      <c r="AGB12">
        <v>0.60077395914913001</v>
      </c>
      <c r="AGC12">
        <v>-1.6827839258714301</v>
      </c>
      <c r="AGD12">
        <v>-1.73780459270734</v>
      </c>
      <c r="AGE12">
        <v>-1.7947857038800199</v>
      </c>
      <c r="AGF12">
        <v>0</v>
      </c>
      <c r="AGG12">
        <v>0</v>
      </c>
      <c r="AGH12">
        <v>0</v>
      </c>
      <c r="AGI12">
        <v>0</v>
      </c>
      <c r="AGJ12">
        <v>0</v>
      </c>
      <c r="AGK12">
        <v>0</v>
      </c>
      <c r="AGL12">
        <v>0</v>
      </c>
      <c r="AGM12">
        <v>0</v>
      </c>
      <c r="AGN12">
        <v>0</v>
      </c>
      <c r="AGO12">
        <v>0</v>
      </c>
      <c r="AGP12">
        <v>0</v>
      </c>
      <c r="AGQ12">
        <v>0</v>
      </c>
      <c r="AGR12">
        <v>0</v>
      </c>
      <c r="AGS12">
        <v>0</v>
      </c>
      <c r="AGT12">
        <v>0</v>
      </c>
      <c r="AGU12">
        <v>0</v>
      </c>
      <c r="AGV12">
        <v>0</v>
      </c>
      <c r="AGW12">
        <v>0</v>
      </c>
      <c r="AGX12">
        <v>0</v>
      </c>
      <c r="AGY12">
        <v>0</v>
      </c>
      <c r="AGZ12">
        <v>0</v>
      </c>
      <c r="AHA12">
        <v>0</v>
      </c>
      <c r="AHB12">
        <v>0</v>
      </c>
      <c r="AHC12">
        <v>0</v>
      </c>
      <c r="AHD12">
        <v>0</v>
      </c>
      <c r="AHE12">
        <v>0</v>
      </c>
      <c r="AHF12">
        <v>0</v>
      </c>
      <c r="AHG12">
        <v>0</v>
      </c>
      <c r="AHH12">
        <v>0</v>
      </c>
      <c r="AHI12">
        <v>0</v>
      </c>
      <c r="AHJ12">
        <v>0</v>
      </c>
      <c r="AHK12">
        <v>0</v>
      </c>
      <c r="AHL12">
        <v>0</v>
      </c>
      <c r="AHM12">
        <v>0</v>
      </c>
      <c r="AHN12">
        <v>0</v>
      </c>
      <c r="AHO12">
        <v>0</v>
      </c>
      <c r="AHP12">
        <v>0</v>
      </c>
      <c r="AHQ12">
        <v>0</v>
      </c>
      <c r="AHR12">
        <v>0</v>
      </c>
      <c r="AHS12">
        <v>0</v>
      </c>
      <c r="AHT12">
        <v>0</v>
      </c>
      <c r="AHU12">
        <v>0</v>
      </c>
      <c r="AHV12">
        <v>0</v>
      </c>
      <c r="AHW12">
        <v>0</v>
      </c>
      <c r="AHX12">
        <v>0</v>
      </c>
      <c r="AHZ12">
        <v>26512.158339789701</v>
      </c>
      <c r="AIB12">
        <v>0</v>
      </c>
      <c r="AID12">
        <v>26493.937827659902</v>
      </c>
      <c r="AIF12">
        <v>41571.016003935998</v>
      </c>
      <c r="AIH12">
        <v>17691.8501910415</v>
      </c>
      <c r="AIJ12">
        <v>0</v>
      </c>
      <c r="AIL12">
        <v>26797.0761257124</v>
      </c>
      <c r="AIN12">
        <v>26812.322408012598</v>
      </c>
      <c r="AIP12">
        <v>42083.398036733197</v>
      </c>
      <c r="AIR12">
        <v>21912.502862557802</v>
      </c>
      <c r="AIT12">
        <v>0</v>
      </c>
      <c r="AIV12">
        <v>27735.673441505802</v>
      </c>
      <c r="AIX12">
        <v>27753.881036845902</v>
      </c>
      <c r="AIZ12">
        <v>36088.5351013775</v>
      </c>
      <c r="AJB12">
        <v>25590.041944189001</v>
      </c>
      <c r="AJC12">
        <v>0</v>
      </c>
      <c r="AJE12">
        <v>1.2008486748695699E-4</v>
      </c>
      <c r="AJH12">
        <v>12768.6369897103</v>
      </c>
      <c r="AJJ12">
        <v>250.17662324959699</v>
      </c>
      <c r="AJK12">
        <v>220.596795833333</v>
      </c>
      <c r="AJL12">
        <v>220.596795833333</v>
      </c>
      <c r="AJM12">
        <v>190.047162098179</v>
      </c>
      <c r="AJN12">
        <v>347.36796874999999</v>
      </c>
      <c r="AJO12">
        <v>227.44929166666699</v>
      </c>
      <c r="AJP12">
        <v>227.44929166666699</v>
      </c>
      <c r="AJQ12">
        <v>219.363420886261</v>
      </c>
      <c r="AJR12">
        <v>268.62843906249998</v>
      </c>
      <c r="AJS12">
        <v>220.596795833333</v>
      </c>
      <c r="AJT12">
        <v>220.596795833333</v>
      </c>
      <c r="AJU12">
        <v>156.81271254174601</v>
      </c>
      <c r="AJV12">
        <v>347.36796874999999</v>
      </c>
      <c r="AJW12">
        <v>0</v>
      </c>
      <c r="AJX12">
        <v>0</v>
      </c>
      <c r="AJY12">
        <v>406804.58622442099</v>
      </c>
      <c r="AJZ12">
        <v>0</v>
      </c>
      <c r="AKA12">
        <v>0</v>
      </c>
      <c r="AKB12">
        <v>197227.41</v>
      </c>
      <c r="AKC12">
        <v>246572.42851954399</v>
      </c>
      <c r="AKD12">
        <v>887660742.67035699</v>
      </c>
      <c r="AKE12">
        <v>57.834382292161898</v>
      </c>
      <c r="AKF12">
        <v>78.882003599280097</v>
      </c>
      <c r="AKG12">
        <v>2.6314778902507201</v>
      </c>
      <c r="AKH12">
        <v>0.95</v>
      </c>
      <c r="AKI12">
        <v>134348.68457992899</v>
      </c>
      <c r="AKJ12">
        <v>168374.131929269</v>
      </c>
      <c r="AKK12">
        <v>606146874.94536698</v>
      </c>
      <c r="AKL12">
        <v>57.834382292161898</v>
      </c>
      <c r="AKM12">
        <v>78.882003599280097</v>
      </c>
      <c r="AKN12">
        <v>2.1075238008853998</v>
      </c>
      <c r="AKO12">
        <v>0.647127345793024</v>
      </c>
      <c r="AKP12">
        <v>2061978.77851672</v>
      </c>
      <c r="AKT12">
        <v>0</v>
      </c>
      <c r="AKX12">
        <v>0</v>
      </c>
      <c r="ALB12">
        <v>20.973579277941599</v>
      </c>
      <c r="ALC12">
        <v>20.973579277941599</v>
      </c>
      <c r="ALD12">
        <v>0</v>
      </c>
      <c r="ALE12">
        <v>0</v>
      </c>
      <c r="ALF12">
        <v>0</v>
      </c>
      <c r="ALH12">
        <v>15.0928428107446</v>
      </c>
      <c r="ALI12">
        <v>2.8568269606532499E-3</v>
      </c>
      <c r="ALJ12">
        <v>22.9497773405709</v>
      </c>
      <c r="ALK12">
        <v>15.092842815051601</v>
      </c>
      <c r="ALL12">
        <v>22.9497773405709</v>
      </c>
      <c r="ALM12">
        <v>4.6366947961908403E-4</v>
      </c>
      <c r="ALN12">
        <v>20.791915629226601</v>
      </c>
      <c r="ALO12">
        <v>2.8568269606532499E-3</v>
      </c>
      <c r="ALP12">
        <v>18.853864058645801</v>
      </c>
      <c r="ALQ12">
        <v>22.9497773405709</v>
      </c>
      <c r="ALR12">
        <v>15.0928428107446</v>
      </c>
      <c r="ALS12">
        <v>22.9497773405709</v>
      </c>
      <c r="ALT12">
        <v>15.549986993651</v>
      </c>
      <c r="ALU12">
        <v>22.9497773405709</v>
      </c>
      <c r="ALV12">
        <v>12.2200000000641</v>
      </c>
      <c r="ALW12">
        <v>9.9999999999999897E-12</v>
      </c>
      <c r="ALX12">
        <v>15.092842815051601</v>
      </c>
      <c r="ALY12">
        <v>9.9999999999999897E-12</v>
      </c>
      <c r="ALZ12">
        <v>6.07219343310868E-3</v>
      </c>
      <c r="AMA12">
        <v>15.092842815051601</v>
      </c>
      <c r="AMB12">
        <v>0</v>
      </c>
      <c r="AMC12">
        <v>15.092842815051601</v>
      </c>
      <c r="AMD12">
        <v>0</v>
      </c>
      <c r="AME12">
        <v>15.092842815051601</v>
      </c>
      <c r="AMF12">
        <v>0</v>
      </c>
      <c r="AMG12">
        <v>0</v>
      </c>
      <c r="AMH12">
        <v>5.4167601782111197</v>
      </c>
      <c r="AMI12">
        <v>38.918176142833303</v>
      </c>
      <c r="AMJ12">
        <v>0.98829999999999996</v>
      </c>
      <c r="AMK12" s="580">
        <v>16.102753162741699</v>
      </c>
      <c r="AML12">
        <v>3.3546</v>
      </c>
      <c r="AMM12">
        <v>38.901767764252497</v>
      </c>
      <c r="AMN12">
        <v>0.98829999999999996</v>
      </c>
      <c r="AMO12">
        <v>38.832135075122999</v>
      </c>
      <c r="AMP12">
        <v>1.5562499999999999</v>
      </c>
      <c r="AMQ12">
        <v>37.560887916299997</v>
      </c>
      <c r="AMR12">
        <v>0.70253968657866395</v>
      </c>
      <c r="AMS12">
        <v>15.7891003319166</v>
      </c>
      <c r="AMT12">
        <v>3.3546</v>
      </c>
      <c r="AMU12">
        <v>38.849099913844299</v>
      </c>
      <c r="AMV12">
        <v>0.98829999999999996</v>
      </c>
      <c r="AMW12">
        <v>38.865761810869103</v>
      </c>
      <c r="AMX12">
        <v>0.98829999999999996</v>
      </c>
      <c r="AMY12">
        <v>38.785385613981099</v>
      </c>
      <c r="AMZ12">
        <v>1.5562499999999999</v>
      </c>
      <c r="ANA12">
        <v>37.665937417475099</v>
      </c>
      <c r="ANB12">
        <v>0.85143399110627305</v>
      </c>
      <c r="ANC12">
        <v>15.553097548634501</v>
      </c>
      <c r="AND12">
        <v>3.3546</v>
      </c>
      <c r="ANE12">
        <v>38.793176364587197</v>
      </c>
      <c r="ANF12">
        <v>1.0189999999999999</v>
      </c>
      <c r="ANG12">
        <v>38.812674247855703</v>
      </c>
      <c r="ANH12">
        <v>1.0189999999999999</v>
      </c>
      <c r="ANI12">
        <v>34.860621541097402</v>
      </c>
      <c r="ANJ12">
        <v>1.2455293300000001</v>
      </c>
      <c r="ANK12">
        <v>37.605582086207903</v>
      </c>
      <c r="ANL12">
        <v>0.98277433288599203</v>
      </c>
      <c r="ANM12">
        <v>7.5899896865786598</v>
      </c>
      <c r="ANN12">
        <v>7.7388839911062703</v>
      </c>
      <c r="ANO12">
        <v>7.6209036628859899</v>
      </c>
      <c r="ANP12">
        <v>16.102753162741699</v>
      </c>
      <c r="ANQ12">
        <v>16.6690640219019</v>
      </c>
      <c r="ANR12">
        <v>16.670308698253798</v>
      </c>
      <c r="ANS12">
        <v>16.6646411626019</v>
      </c>
      <c r="ANT12">
        <v>16.677804573118401</v>
      </c>
      <c r="ANU12">
        <v>15.7891003319166</v>
      </c>
      <c r="ANV12">
        <v>16.364114630057902</v>
      </c>
      <c r="ANW12">
        <v>16.368088075558301</v>
      </c>
      <c r="ANX12">
        <v>16.3146109406321</v>
      </c>
      <c r="ANY12">
        <v>16.3602555290237</v>
      </c>
      <c r="ANZ12">
        <v>15.553097548634501</v>
      </c>
      <c r="AOA12">
        <v>16.222480534321999</v>
      </c>
      <c r="AOB12">
        <v>16.227281986861701</v>
      </c>
      <c r="AOC12">
        <v>16.005387848750399</v>
      </c>
      <c r="AOD12">
        <v>16.2250319905413</v>
      </c>
      <c r="AOE12">
        <v>20.791915629226601</v>
      </c>
      <c r="AOF12">
        <v>5.4167601782111197</v>
      </c>
      <c r="AOG12">
        <v>20.829897551954801</v>
      </c>
      <c r="AOH12">
        <v>5.4167601782111197</v>
      </c>
    </row>
    <row r="13" spans="1:1074">
      <c r="A13" t="s">
        <v>2583</v>
      </c>
      <c r="B13">
        <v>-3.33</v>
      </c>
      <c r="D13">
        <v>-3.33</v>
      </c>
      <c r="F13">
        <v>10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c r="BY13">
        <v>0</v>
      </c>
      <c r="BZ13">
        <v>0</v>
      </c>
      <c r="CA13">
        <v>0</v>
      </c>
      <c r="CB13">
        <v>0</v>
      </c>
      <c r="CC13">
        <v>0</v>
      </c>
      <c r="CD13">
        <v>0</v>
      </c>
      <c r="CE13">
        <v>0</v>
      </c>
      <c r="CF13">
        <v>0</v>
      </c>
      <c r="CG13">
        <v>0</v>
      </c>
      <c r="CH13">
        <v>0</v>
      </c>
      <c r="CI13">
        <v>0</v>
      </c>
      <c r="CJ13">
        <v>0</v>
      </c>
      <c r="CK13">
        <v>0</v>
      </c>
      <c r="CL13">
        <v>0</v>
      </c>
      <c r="CM13">
        <v>0</v>
      </c>
      <c r="CN13">
        <v>0</v>
      </c>
      <c r="CO13">
        <v>0</v>
      </c>
      <c r="CP13">
        <v>0</v>
      </c>
      <c r="CQ13">
        <v>0</v>
      </c>
      <c r="CR13">
        <v>0</v>
      </c>
      <c r="CS13">
        <v>0</v>
      </c>
      <c r="CT13">
        <v>0</v>
      </c>
      <c r="CU13">
        <v>0</v>
      </c>
      <c r="CV13">
        <v>0</v>
      </c>
      <c r="CW13">
        <v>0</v>
      </c>
      <c r="CX13">
        <v>0</v>
      </c>
      <c r="CY13">
        <v>0</v>
      </c>
      <c r="CZ13">
        <v>0</v>
      </c>
      <c r="DA13">
        <v>0</v>
      </c>
      <c r="DB13">
        <v>0</v>
      </c>
      <c r="DC13">
        <v>0</v>
      </c>
      <c r="DD13">
        <v>0</v>
      </c>
      <c r="DE13">
        <v>0</v>
      </c>
      <c r="DF13">
        <v>0</v>
      </c>
      <c r="DG13">
        <v>0</v>
      </c>
      <c r="DH13">
        <v>0</v>
      </c>
      <c r="DI13">
        <v>0</v>
      </c>
      <c r="DJ13">
        <v>0</v>
      </c>
      <c r="DK13">
        <v>0</v>
      </c>
      <c r="DL13">
        <v>0</v>
      </c>
      <c r="DM13">
        <v>0</v>
      </c>
      <c r="DN13">
        <v>0</v>
      </c>
      <c r="DO13">
        <v>0</v>
      </c>
      <c r="DP13">
        <v>0</v>
      </c>
      <c r="DQ13">
        <v>0</v>
      </c>
      <c r="DR13">
        <v>0</v>
      </c>
      <c r="DS13">
        <v>0</v>
      </c>
      <c r="DT13">
        <v>0</v>
      </c>
      <c r="DU13">
        <v>0</v>
      </c>
      <c r="DV13">
        <v>0</v>
      </c>
      <c r="DW13">
        <v>0</v>
      </c>
      <c r="DX13">
        <v>0</v>
      </c>
      <c r="DY13">
        <v>0</v>
      </c>
      <c r="DZ13">
        <v>0</v>
      </c>
      <c r="EA13">
        <v>0</v>
      </c>
      <c r="EB13">
        <v>0</v>
      </c>
      <c r="EC13">
        <v>0</v>
      </c>
      <c r="ED13">
        <v>0</v>
      </c>
      <c r="EE13">
        <v>0</v>
      </c>
      <c r="EF13">
        <v>0</v>
      </c>
      <c r="EG13">
        <v>0</v>
      </c>
      <c r="EH13">
        <v>0</v>
      </c>
      <c r="EI13">
        <v>0</v>
      </c>
      <c r="EJ13">
        <v>0</v>
      </c>
      <c r="EK13">
        <v>0</v>
      </c>
      <c r="EL13">
        <v>0</v>
      </c>
      <c r="EM13">
        <v>0</v>
      </c>
      <c r="EN13">
        <v>0</v>
      </c>
      <c r="EO13">
        <v>0</v>
      </c>
      <c r="EP13">
        <v>0</v>
      </c>
      <c r="EQ13">
        <v>0</v>
      </c>
      <c r="ER13">
        <v>0</v>
      </c>
      <c r="ES13">
        <v>0</v>
      </c>
      <c r="ET13">
        <v>0</v>
      </c>
      <c r="EU13">
        <v>0</v>
      </c>
      <c r="EV13">
        <v>0</v>
      </c>
      <c r="EW13">
        <v>0</v>
      </c>
      <c r="EX13">
        <v>0</v>
      </c>
      <c r="EY13">
        <v>0</v>
      </c>
      <c r="EZ13">
        <v>0</v>
      </c>
      <c r="FA13">
        <v>0</v>
      </c>
      <c r="FB13">
        <v>0</v>
      </c>
      <c r="FC13">
        <v>0</v>
      </c>
      <c r="FD13">
        <v>0</v>
      </c>
      <c r="FE13">
        <v>0</v>
      </c>
      <c r="FF13">
        <v>0</v>
      </c>
      <c r="FG13">
        <v>0</v>
      </c>
      <c r="FH13">
        <v>0</v>
      </c>
      <c r="FI13">
        <v>0</v>
      </c>
      <c r="FJ13">
        <v>0</v>
      </c>
      <c r="FK13">
        <v>0</v>
      </c>
      <c r="FL13">
        <v>0</v>
      </c>
      <c r="FM13">
        <v>0</v>
      </c>
      <c r="FN13">
        <v>0</v>
      </c>
      <c r="FO13">
        <v>0</v>
      </c>
      <c r="FP13">
        <v>0</v>
      </c>
      <c r="FQ13">
        <v>0</v>
      </c>
      <c r="FR13">
        <v>0</v>
      </c>
      <c r="FS13">
        <v>0</v>
      </c>
      <c r="FT13">
        <v>0</v>
      </c>
      <c r="FU13">
        <v>0</v>
      </c>
      <c r="FV13">
        <v>0</v>
      </c>
      <c r="FW13">
        <v>0</v>
      </c>
      <c r="FX13">
        <v>0</v>
      </c>
      <c r="FY13">
        <v>0</v>
      </c>
      <c r="FZ13">
        <v>0</v>
      </c>
      <c r="GA13">
        <v>0</v>
      </c>
      <c r="GB13">
        <v>-1075.4251577636701</v>
      </c>
      <c r="GC13">
        <v>-2117.6382596421099</v>
      </c>
      <c r="GD13">
        <v>-2650.962324958</v>
      </c>
      <c r="GE13">
        <v>-821.17905203769806</v>
      </c>
      <c r="GF13">
        <v>-1493.9276880698301</v>
      </c>
      <c r="GG13">
        <v>-1965.7833908615901</v>
      </c>
      <c r="GH13">
        <v>-859.30622590995597</v>
      </c>
      <c r="GI13">
        <v>-1407.3512888252701</v>
      </c>
      <c r="GJ13">
        <v>-2016.65852795553</v>
      </c>
      <c r="GK13">
        <v>-819.27743569095605</v>
      </c>
      <c r="GL13">
        <v>-1493.3529015985</v>
      </c>
      <c r="GM13">
        <v>-1965.21625699059</v>
      </c>
      <c r="GN13">
        <v>-366.21241474988102</v>
      </c>
      <c r="GO13">
        <v>23.139886413964401</v>
      </c>
      <c r="GP13">
        <v>24.562118394301901</v>
      </c>
      <c r="GQ13">
        <v>-550.84643305765496</v>
      </c>
      <c r="GR13">
        <v>-2513.0889015050302</v>
      </c>
      <c r="GS13">
        <v>-4470.2843152571304</v>
      </c>
      <c r="GT13">
        <v>-342.59240006515398</v>
      </c>
      <c r="GU13">
        <v>23.7121620129126</v>
      </c>
      <c r="GV13">
        <v>25.187152795970601</v>
      </c>
      <c r="GW13">
        <v>-555.86649994232801</v>
      </c>
      <c r="GX13">
        <v>-2169.3260587394402</v>
      </c>
      <c r="GY13">
        <v>-3530.0411403172402</v>
      </c>
      <c r="GZ13">
        <v>-303.07246517128198</v>
      </c>
      <c r="HA13">
        <v>20.273218793125601</v>
      </c>
      <c r="HB13">
        <v>21.442747137351802</v>
      </c>
      <c r="HC13">
        <v>-331.16091799679498</v>
      </c>
      <c r="HD13">
        <v>-1529.62278342847</v>
      </c>
      <c r="HE13">
        <v>-2858.6938110812398</v>
      </c>
      <c r="HF13">
        <v>-340.73377547996699</v>
      </c>
      <c r="HG13">
        <v>23.7070050963321</v>
      </c>
      <c r="HH13">
        <v>25.178739877897598</v>
      </c>
      <c r="HI13">
        <v>-554.30934693578899</v>
      </c>
      <c r="HJ13">
        <v>-2163.4041828108202</v>
      </c>
      <c r="HK13">
        <v>-3522.0693595958001</v>
      </c>
      <c r="HL13">
        <v>-1156.9144401839401</v>
      </c>
      <c r="HM13">
        <v>23.584957646931802</v>
      </c>
      <c r="HN13">
        <v>20.133449499464</v>
      </c>
      <c r="HO13">
        <v>-2026.31113062091</v>
      </c>
      <c r="HP13">
        <v>-2389.9903073928999</v>
      </c>
      <c r="HQ13">
        <v>25.1064303934326</v>
      </c>
      <c r="HR13">
        <v>-3107.7317024904501</v>
      </c>
      <c r="HS13">
        <v>-763.84093551549802</v>
      </c>
      <c r="HT13">
        <v>23.585737273060399</v>
      </c>
      <c r="HU13">
        <v>20.140193635602699</v>
      </c>
      <c r="HV13">
        <v>-1198.9577898789801</v>
      </c>
      <c r="HW13">
        <v>-1500.17391882007</v>
      </c>
      <c r="HX13">
        <v>25.105358547200399</v>
      </c>
      <c r="HY13">
        <v>-1952.0836048865999</v>
      </c>
      <c r="HZ13">
        <v>21.195680700641301</v>
      </c>
      <c r="IA13">
        <v>19.117014068703</v>
      </c>
      <c r="IB13">
        <v>-1340.44246133302</v>
      </c>
      <c r="IC13">
        <v>-883.10604348350705</v>
      </c>
      <c r="ID13">
        <v>-1634.2405394449099</v>
      </c>
      <c r="IE13">
        <v>21.9787263327811</v>
      </c>
      <c r="IF13">
        <v>-2289.0562892901899</v>
      </c>
      <c r="IG13">
        <v>-169.91062513001799</v>
      </c>
      <c r="IH13">
        <v>23.584732919027999</v>
      </c>
      <c r="II13">
        <v>20.139762265654301</v>
      </c>
      <c r="IJ13">
        <v>-1198.08972993256</v>
      </c>
      <c r="IK13">
        <v>-220.044193351378</v>
      </c>
      <c r="IL13">
        <v>-761.24570791209703</v>
      </c>
      <c r="IM13">
        <v>-1498.51059213085</v>
      </c>
      <c r="IN13">
        <v>25.105130863880198</v>
      </c>
      <c r="IO13">
        <v>2.4901786443244198</v>
      </c>
      <c r="IP13">
        <v>-1949.70106990676</v>
      </c>
      <c r="IQ13">
        <v>789.40808906647999</v>
      </c>
      <c r="IR13">
        <v>472.52360703041802</v>
      </c>
      <c r="IS13">
        <v>489.52650156990302</v>
      </c>
      <c r="IT13">
        <v>472.45233166952897</v>
      </c>
      <c r="IU13">
        <v>722.22886698839</v>
      </c>
      <c r="IV13">
        <v>-509.93076361212002</v>
      </c>
      <c r="IW13">
        <v>23.654496633387001</v>
      </c>
      <c r="IX13">
        <v>25.1064303934326</v>
      </c>
      <c r="IY13">
        <v>-873.14772562957296</v>
      </c>
      <c r="IZ13">
        <v>-3380.5730696348</v>
      </c>
      <c r="JA13">
        <v>-5504.70085587629</v>
      </c>
      <c r="JB13">
        <v>-336.05135067750302</v>
      </c>
      <c r="JC13">
        <v>23.669047042911998</v>
      </c>
      <c r="JD13">
        <v>25.105358547200399</v>
      </c>
      <c r="JE13">
        <v>-544.03527008773494</v>
      </c>
      <c r="JF13">
        <v>-2109.1394686417998</v>
      </c>
      <c r="JG13">
        <v>-3430.4631935569801</v>
      </c>
      <c r="JH13">
        <v>-345.44941656156402</v>
      </c>
      <c r="JI13">
        <v>20.686639836826899</v>
      </c>
      <c r="JJ13">
        <v>21.9787263327811</v>
      </c>
      <c r="JK13">
        <v>-432.80418196600601</v>
      </c>
      <c r="JL13">
        <v>-1931.4472763210199</v>
      </c>
      <c r="JM13">
        <v>-3491.8360929886499</v>
      </c>
      <c r="JN13">
        <v>-334.02133320701103</v>
      </c>
      <c r="JO13">
        <v>23.671263797761402</v>
      </c>
      <c r="JP13">
        <v>25.105130863880198</v>
      </c>
      <c r="JQ13">
        <v>1.1396455260370899</v>
      </c>
      <c r="JR13">
        <v>-541.94057689667397</v>
      </c>
      <c r="JS13">
        <v>2.6859783660663199</v>
      </c>
      <c r="JT13">
        <v>-2101.70219096131</v>
      </c>
      <c r="JU13">
        <v>-3420.4893363932101</v>
      </c>
      <c r="JV13">
        <v>-893.29699784013701</v>
      </c>
      <c r="JW13">
        <v>-1945.05855814552</v>
      </c>
      <c r="JX13">
        <v>-2182.84832577013</v>
      </c>
      <c r="JY13">
        <v>-758.90595475875796</v>
      </c>
      <c r="JZ13">
        <v>-1511.4772519379501</v>
      </c>
      <c r="KA13">
        <v>-1701.3809161146701</v>
      </c>
      <c r="KB13">
        <v>-943.07499455603102</v>
      </c>
      <c r="KC13">
        <v>-1823.77715665611</v>
      </c>
      <c r="KD13">
        <v>-2217.1057342252102</v>
      </c>
      <c r="KE13">
        <v>-756.71901965630002</v>
      </c>
      <c r="KF13">
        <v>23.486629086966499</v>
      </c>
      <c r="KG13">
        <v>-725.48077791865796</v>
      </c>
      <c r="KH13">
        <v>1.4260507268028</v>
      </c>
      <c r="KI13">
        <v>-1510.29250989518</v>
      </c>
      <c r="KJ13">
        <v>-1700.03814506547</v>
      </c>
      <c r="KK13">
        <v>-176.41525356913601</v>
      </c>
      <c r="KL13">
        <v>23.7941354646183</v>
      </c>
      <c r="KM13">
        <v>24.474423006852501</v>
      </c>
      <c r="KN13">
        <v>-182.959884549187</v>
      </c>
      <c r="KO13">
        <v>22.8303426567951</v>
      </c>
      <c r="KP13">
        <v>-10.192793796124301</v>
      </c>
      <c r="KQ13">
        <v>-853.69232603898001</v>
      </c>
      <c r="KR13">
        <v>-1641.8270481664399</v>
      </c>
      <c r="KS13">
        <v>-274.26694246528501</v>
      </c>
      <c r="KT13">
        <v>25.589896345821501</v>
      </c>
      <c r="KU13">
        <v>25.933716492218402</v>
      </c>
      <c r="KV13">
        <v>-424.80704885996499</v>
      </c>
      <c r="KW13">
        <v>24.876819100912702</v>
      </c>
      <c r="KX13">
        <v>-10.0814178230282</v>
      </c>
      <c r="KY13">
        <v>-1132.57186695885</v>
      </c>
      <c r="KZ13">
        <v>-1417.62583132495</v>
      </c>
      <c r="LA13">
        <v>-330.67816758581802</v>
      </c>
      <c r="LB13">
        <v>22.331514733794201</v>
      </c>
      <c r="LC13">
        <v>22.9270479905949</v>
      </c>
      <c r="LD13">
        <v>-429.96258915317298</v>
      </c>
      <c r="LE13">
        <v>21.476053657643</v>
      </c>
      <c r="LF13">
        <v>-10.2804280423109</v>
      </c>
      <c r="LG13">
        <v>-1359.7795382444201</v>
      </c>
      <c r="LH13">
        <v>-2037.94190016789</v>
      </c>
      <c r="LI13">
        <v>-272.03477071933202</v>
      </c>
      <c r="LJ13">
        <v>25.587395965382498</v>
      </c>
      <c r="LK13">
        <v>25.925793742840501</v>
      </c>
      <c r="LL13">
        <v>-422.60543180812601</v>
      </c>
      <c r="LM13">
        <v>24.8820960670643</v>
      </c>
      <c r="LN13">
        <v>-9.7687293773476398</v>
      </c>
      <c r="LO13">
        <v>-1124.53975331884</v>
      </c>
      <c r="LP13">
        <v>-1405.2620509471301</v>
      </c>
      <c r="LQ13">
        <v>-34.026115768920903</v>
      </c>
      <c r="LR13">
        <v>17.0096361837555</v>
      </c>
      <c r="LS13">
        <v>16.481000000000002</v>
      </c>
      <c r="LT13">
        <v>2.2380655168610701</v>
      </c>
      <c r="LU13">
        <v>-1584.67430392954</v>
      </c>
      <c r="LV13">
        <v>18.782782975930299</v>
      </c>
      <c r="LW13">
        <v>22.914251736345999</v>
      </c>
      <c r="LX13">
        <v>1108.9338584985701</v>
      </c>
      <c r="LY13">
        <v>-19.2041224397822</v>
      </c>
      <c r="LZ13">
        <v>16.976395769223998</v>
      </c>
      <c r="MA13">
        <v>16.481000000000002</v>
      </c>
      <c r="MB13">
        <v>68.643470050077696</v>
      </c>
      <c r="MC13">
        <v>-929.88410047829097</v>
      </c>
      <c r="MD13">
        <v>18.749076090977098</v>
      </c>
      <c r="ME13">
        <v>23.287083967018301</v>
      </c>
      <c r="MF13">
        <v>768.89890304850201</v>
      </c>
      <c r="MG13">
        <v>-41.923439050843797</v>
      </c>
      <c r="MH13">
        <v>16.787735539771699</v>
      </c>
      <c r="MI13">
        <v>16.481000000000002</v>
      </c>
      <c r="MJ13">
        <v>-2.5761694181607</v>
      </c>
      <c r="MK13">
        <v>-873.33982606433904</v>
      </c>
      <c r="ML13">
        <v>17.802466413797202</v>
      </c>
      <c r="MM13">
        <v>20.393271952562401</v>
      </c>
      <c r="MN13">
        <v>630.72509698265901</v>
      </c>
      <c r="MO13">
        <v>-18.709594104581001</v>
      </c>
      <c r="MP13">
        <v>16.9805720402817</v>
      </c>
      <c r="MQ13">
        <v>16.481000000000002</v>
      </c>
      <c r="MR13">
        <v>69.876662378994993</v>
      </c>
      <c r="MS13">
        <v>-926.84049058246205</v>
      </c>
      <c r="MT13">
        <v>18.7492533065004</v>
      </c>
      <c r="MU13">
        <v>23.2799508724422</v>
      </c>
      <c r="MV13">
        <v>768.50356226899498</v>
      </c>
      <c r="MW13">
        <v>-26.2546078554467</v>
      </c>
      <c r="MX13">
        <v>17.201677663546501</v>
      </c>
      <c r="MY13">
        <v>21.0574602215437</v>
      </c>
      <c r="MZ13">
        <v>388.44338682756501</v>
      </c>
      <c r="NA13">
        <v>-831.57096881531402</v>
      </c>
      <c r="NB13">
        <v>18.6161634828632</v>
      </c>
      <c r="NC13">
        <v>23.139112739746601</v>
      </c>
      <c r="ND13">
        <v>1340.00041642424</v>
      </c>
      <c r="NE13">
        <v>-18.030321273747699</v>
      </c>
      <c r="NF13">
        <v>17.177098757741899</v>
      </c>
      <c r="NG13">
        <v>21.431524074775499</v>
      </c>
      <c r="NH13">
        <v>237.226152323382</v>
      </c>
      <c r="NI13">
        <v>-549.33929001589297</v>
      </c>
      <c r="NJ13">
        <v>18.622922560223401</v>
      </c>
      <c r="NK13">
        <v>23.158841527541199</v>
      </c>
      <c r="NL13">
        <v>855.06797825208605</v>
      </c>
      <c r="NM13">
        <v>-39.834560948223199</v>
      </c>
      <c r="NN13">
        <v>16.757102524917599</v>
      </c>
      <c r="NO13">
        <v>18.800376756783098</v>
      </c>
      <c r="NP13">
        <v>133.27044417618799</v>
      </c>
      <c r="NQ13" s="35">
        <v>-691.74215155300203</v>
      </c>
      <c r="NR13" s="35">
        <v>17.739954811860901</v>
      </c>
      <c r="NS13">
        <v>20.734011455403</v>
      </c>
      <c r="NT13">
        <v>795.90607345642297</v>
      </c>
      <c r="NU13">
        <v>-17.413661936133501</v>
      </c>
      <c r="NV13">
        <v>17.184859524569301</v>
      </c>
      <c r="NW13">
        <v>21.430830188525501</v>
      </c>
      <c r="NX13">
        <v>3.09607117814484</v>
      </c>
      <c r="NY13">
        <v>239.16593924421301</v>
      </c>
      <c r="NZ13">
        <v>-546.82056852732296</v>
      </c>
      <c r="OA13">
        <v>18.628598699737701</v>
      </c>
      <c r="OB13">
        <v>23.1603094318939</v>
      </c>
      <c r="OC13">
        <v>3.0632528055941401</v>
      </c>
      <c r="OD13">
        <v>856.09275698479701</v>
      </c>
      <c r="OE13">
        <v>3.09607117814484</v>
      </c>
      <c r="OF13">
        <v>3.0632528055941401</v>
      </c>
      <c r="OG13">
        <v>-36.295125403915002</v>
      </c>
      <c r="OH13">
        <v>17.276733866828401</v>
      </c>
      <c r="OI13">
        <v>21.410317833243699</v>
      </c>
      <c r="OJ13">
        <v>188.75046975496599</v>
      </c>
      <c r="OK13">
        <v>-1057.7416933996601</v>
      </c>
      <c r="OL13">
        <v>18.723131830917101</v>
      </c>
      <c r="OM13">
        <v>22.586590658155501</v>
      </c>
      <c r="ON13">
        <v>1083.59954813884</v>
      </c>
      <c r="OO13">
        <v>-15.344123574699299</v>
      </c>
      <c r="OP13">
        <v>17.1985474875442</v>
      </c>
      <c r="OQ13">
        <v>21.450766539385398</v>
      </c>
      <c r="OR13">
        <v>287.11987633190103</v>
      </c>
      <c r="OS13">
        <v>-524.54208646402606</v>
      </c>
      <c r="OT13">
        <v>18.696097402434301</v>
      </c>
      <c r="OU13">
        <v>23.439815191423001</v>
      </c>
      <c r="OV13">
        <v>874.06767636603104</v>
      </c>
      <c r="OW13">
        <v>-39.036937583139903</v>
      </c>
      <c r="OX13">
        <v>16.4821093364476</v>
      </c>
      <c r="OY13">
        <v>18.983263491614</v>
      </c>
      <c r="OZ13">
        <v>117.895579668938</v>
      </c>
      <c r="PA13">
        <v>-874.38077363830098</v>
      </c>
      <c r="PB13">
        <v>17.6463321563973</v>
      </c>
      <c r="PC13">
        <v>21.1189075382567</v>
      </c>
      <c r="PD13">
        <v>843.69519321061603</v>
      </c>
      <c r="PE13">
        <v>-14.7131535960922</v>
      </c>
      <c r="PF13">
        <v>17.210149443357601</v>
      </c>
      <c r="PG13">
        <v>21.457963477640899</v>
      </c>
      <c r="PH13">
        <v>2.9387672106061098</v>
      </c>
      <c r="PI13">
        <v>290.28472679381298</v>
      </c>
      <c r="PJ13">
        <v>-518.12887031672904</v>
      </c>
      <c r="PK13">
        <v>18.701244899275</v>
      </c>
      <c r="PL13">
        <v>23.434102647018701</v>
      </c>
      <c r="PM13" s="35">
        <v>2.8453235131859902</v>
      </c>
      <c r="PN13">
        <v>874.56131029540404</v>
      </c>
      <c r="PO13">
        <v>23.6671724574325</v>
      </c>
      <c r="PP13">
        <v>24.159851032250302</v>
      </c>
      <c r="PQ13">
        <v>20.888487973354898</v>
      </c>
      <c r="PR13">
        <v>24.149901347511499</v>
      </c>
      <c r="PS13">
        <v>18.004538441179001</v>
      </c>
      <c r="PT13">
        <v>24.052517439656299</v>
      </c>
      <c r="PU13">
        <v>24.070062381947899</v>
      </c>
      <c r="PV13">
        <v>21.331136647314199</v>
      </c>
      <c r="PW13">
        <v>24.0706930087884</v>
      </c>
      <c r="PX13">
        <v>17.681295742686601</v>
      </c>
      <c r="PY13">
        <v>23.335521140317599</v>
      </c>
      <c r="PZ13">
        <v>24.4403053503225</v>
      </c>
      <c r="QA13">
        <v>21.872953846098198</v>
      </c>
      <c r="QB13">
        <v>24.4301688325599</v>
      </c>
      <c r="QC13">
        <v>17.2264354497376</v>
      </c>
      <c r="QD13">
        <v>15.861502491055701</v>
      </c>
      <c r="QE13">
        <v>26.130072356579401</v>
      </c>
      <c r="QF13">
        <v>26.6921770081189</v>
      </c>
      <c r="QG13">
        <v>22.816974687670701</v>
      </c>
      <c r="QH13">
        <v>27.085621167783501</v>
      </c>
      <c r="QI13">
        <v>17.580491029149002</v>
      </c>
      <c r="QJ13">
        <v>26.9998237238309</v>
      </c>
      <c r="QK13">
        <v>26.980623769167</v>
      </c>
      <c r="QL13">
        <v>23.492308543700499</v>
      </c>
      <c r="QM13">
        <v>26.971633591557101</v>
      </c>
      <c r="QN13">
        <v>-8206.4658723769408</v>
      </c>
      <c r="QO13">
        <v>17.2608127711854</v>
      </c>
      <c r="QP13">
        <v>4211.46207261362</v>
      </c>
      <c r="QQ13">
        <v>25.8665622988173</v>
      </c>
      <c r="QR13">
        <v>26.908043623709201</v>
      </c>
      <c r="QS13">
        <v>24.206095696572099</v>
      </c>
      <c r="QT13">
        <v>26.884749236531999</v>
      </c>
      <c r="QU13">
        <v>16.864071282454901</v>
      </c>
      <c r="QV13">
        <v>15.665323851412699</v>
      </c>
      <c r="QW13">
        <v>361891.62873693497</v>
      </c>
      <c r="QX13">
        <v>0</v>
      </c>
      <c r="QY13">
        <v>276502.63555322401</v>
      </c>
      <c r="QZ13">
        <v>0</v>
      </c>
      <c r="RA13">
        <v>34334.807487679602</v>
      </c>
      <c r="RB13">
        <v>0</v>
      </c>
      <c r="RC13">
        <v>22973.713660065499</v>
      </c>
      <c r="RD13">
        <v>0</v>
      </c>
      <c r="RE13">
        <v>102544.57568113301</v>
      </c>
      <c r="RF13">
        <v>0</v>
      </c>
      <c r="RG13">
        <v>79718.7317490641</v>
      </c>
      <c r="RH13" s="35">
        <v>0</v>
      </c>
      <c r="RI13">
        <v>13343.6512969962</v>
      </c>
      <c r="RJ13" s="35">
        <v>865.78820535749696</v>
      </c>
      <c r="RK13">
        <v>28.592972255726298</v>
      </c>
      <c r="RL13">
        <v>4370.52932763632</v>
      </c>
      <c r="RM13" s="35">
        <v>2891.3998468284399</v>
      </c>
      <c r="RN13">
        <v>10939.6218868713</v>
      </c>
      <c r="RO13" s="35">
        <v>9463.8631467102095</v>
      </c>
      <c r="RP13">
        <v>266.50000166476502</v>
      </c>
      <c r="RQ13" s="35">
        <v>29.224502983987598</v>
      </c>
      <c r="RR13" s="35">
        <v>2539.3574289820199</v>
      </c>
      <c r="RS13">
        <v>2532.6030544950499</v>
      </c>
      <c r="RT13">
        <v>7631.5628814379097</v>
      </c>
      <c r="RU13">
        <v>10731.0625732138</v>
      </c>
      <c r="RV13">
        <v>0</v>
      </c>
      <c r="RW13">
        <v>24.745461401986599</v>
      </c>
      <c r="RX13">
        <v>5549.3656606062304</v>
      </c>
      <c r="RY13">
        <v>5549.3656606062304</v>
      </c>
      <c r="RZ13">
        <v>13719.787729281999</v>
      </c>
      <c r="SA13">
        <v>10533.6212965004</v>
      </c>
      <c r="SB13">
        <v>0</v>
      </c>
      <c r="SC13">
        <v>30.021340988055599</v>
      </c>
      <c r="SD13">
        <v>2595.7993432498001</v>
      </c>
      <c r="SE13">
        <v>2595.7993432498001</v>
      </c>
      <c r="SF13">
        <v>7695.1119002421501</v>
      </c>
      <c r="SG13">
        <v>0</v>
      </c>
      <c r="SH13">
        <v>4337.3835468806901</v>
      </c>
      <c r="SI13">
        <v>17.156443617118999</v>
      </c>
      <c r="SJ13">
        <v>29008.976963688299</v>
      </c>
      <c r="SK13">
        <v>29008.976963688299</v>
      </c>
      <c r="SL13">
        <v>74091.7802871311</v>
      </c>
      <c r="SM13">
        <v>21.1111</v>
      </c>
      <c r="SN13">
        <v>26.666699999999999</v>
      </c>
      <c r="SO13">
        <v>2322.9486950955902</v>
      </c>
      <c r="SP13">
        <v>0</v>
      </c>
      <c r="SQ13">
        <v>24.484402608566999</v>
      </c>
      <c r="SR13">
        <v>0</v>
      </c>
      <c r="SS13">
        <v>0</v>
      </c>
      <c r="ST13">
        <v>0</v>
      </c>
      <c r="SU13">
        <v>2518.85711879363</v>
      </c>
      <c r="SV13">
        <v>0</v>
      </c>
      <c r="SW13">
        <v>26.223887138680801</v>
      </c>
      <c r="SX13">
        <v>0</v>
      </c>
      <c r="SY13">
        <v>0</v>
      </c>
      <c r="SZ13">
        <v>0</v>
      </c>
      <c r="TA13">
        <v>2360.9124144971702</v>
      </c>
      <c r="TB13">
        <v>0</v>
      </c>
      <c r="TC13">
        <v>21.966357804851299</v>
      </c>
      <c r="TD13">
        <v>0</v>
      </c>
      <c r="TE13">
        <v>0</v>
      </c>
      <c r="TF13">
        <v>0</v>
      </c>
      <c r="TG13">
        <v>3383.4825589269199</v>
      </c>
      <c r="TH13">
        <v>0</v>
      </c>
      <c r="TI13">
        <v>27.179606781885699</v>
      </c>
      <c r="TJ13">
        <v>0</v>
      </c>
      <c r="TK13">
        <v>0</v>
      </c>
      <c r="TL13">
        <v>0</v>
      </c>
      <c r="TM13">
        <v>7693.2560395759601</v>
      </c>
      <c r="TN13">
        <v>0</v>
      </c>
      <c r="TO13">
        <v>20.4129994773429</v>
      </c>
      <c r="TP13">
        <v>0</v>
      </c>
      <c r="TQ13">
        <v>0</v>
      </c>
      <c r="TR13">
        <v>0</v>
      </c>
      <c r="TS13">
        <v>16554.0654681294</v>
      </c>
      <c r="TT13">
        <v>0</v>
      </c>
      <c r="TU13">
        <v>29.947130008005601</v>
      </c>
      <c r="TV13">
        <v>4124.8471928445197</v>
      </c>
      <c r="TW13">
        <v>4124.8471928445197</v>
      </c>
      <c r="TX13">
        <v>12160.3621594132</v>
      </c>
      <c r="TY13">
        <v>10650.8153890292</v>
      </c>
      <c r="TZ13">
        <v>0</v>
      </c>
      <c r="UA13">
        <v>29.891185156386101</v>
      </c>
      <c r="UB13">
        <v>2807.94135715333</v>
      </c>
      <c r="UC13">
        <v>2807.94135715333</v>
      </c>
      <c r="UD13">
        <v>7912.4769844765797</v>
      </c>
      <c r="UE13">
        <v>12208.6309807956</v>
      </c>
      <c r="UF13">
        <v>0</v>
      </c>
      <c r="UG13">
        <v>25.653480440086799</v>
      </c>
      <c r="UH13">
        <v>5738.4292215599598</v>
      </c>
      <c r="UI13">
        <v>5738.4292215599598</v>
      </c>
      <c r="UJ13">
        <v>13888.685125739899</v>
      </c>
      <c r="UK13">
        <v>10693.790137625399</v>
      </c>
      <c r="UL13">
        <v>0</v>
      </c>
      <c r="UM13">
        <v>29.872574174325798</v>
      </c>
      <c r="UN13">
        <v>2867.1762535113598</v>
      </c>
      <c r="UO13">
        <v>2867.1762535113598</v>
      </c>
      <c r="UP13">
        <v>7972.0224648052399</v>
      </c>
      <c r="UQ13">
        <v>0</v>
      </c>
      <c r="UR13">
        <v>4270.1516502507302</v>
      </c>
      <c r="US13">
        <v>16.840329799684302</v>
      </c>
      <c r="UT13">
        <v>31620.849766440599</v>
      </c>
      <c r="UU13">
        <v>31620.849766440599</v>
      </c>
      <c r="UV13">
        <v>76824.202353470493</v>
      </c>
      <c r="UW13">
        <v>21.1111</v>
      </c>
      <c r="UX13">
        <v>26.666699999999999</v>
      </c>
      <c r="UY13">
        <v>5250.9331848080501</v>
      </c>
      <c r="UZ13">
        <v>0</v>
      </c>
      <c r="VA13">
        <v>27.136453467700701</v>
      </c>
      <c r="VB13">
        <v>0</v>
      </c>
      <c r="VC13">
        <v>0</v>
      </c>
      <c r="VD13">
        <v>0</v>
      </c>
      <c r="VE13">
        <v>3315.9587550071801</v>
      </c>
      <c r="VF13">
        <v>0</v>
      </c>
      <c r="VG13">
        <v>27.098486872497499</v>
      </c>
      <c r="VH13">
        <v>0</v>
      </c>
      <c r="VI13">
        <v>0</v>
      </c>
      <c r="VJ13">
        <v>0</v>
      </c>
      <c r="VK13">
        <v>2973.4295353837701</v>
      </c>
      <c r="VL13">
        <v>0</v>
      </c>
      <c r="VM13">
        <v>22.7584753025737</v>
      </c>
      <c r="VN13">
        <v>0</v>
      </c>
      <c r="VO13">
        <v>0</v>
      </c>
      <c r="VP13">
        <v>0</v>
      </c>
      <c r="VQ13">
        <v>3303.2659858279399</v>
      </c>
      <c r="VR13">
        <v>0</v>
      </c>
      <c r="VS13">
        <v>27.090546705777498</v>
      </c>
      <c r="VT13">
        <v>0</v>
      </c>
      <c r="VU13">
        <v>0</v>
      </c>
      <c r="VV13">
        <v>0</v>
      </c>
      <c r="VW13">
        <v>11829.6662522683</v>
      </c>
      <c r="VX13">
        <v>0</v>
      </c>
      <c r="VY13">
        <v>20.885004458040601</v>
      </c>
      <c r="VZ13">
        <v>0</v>
      </c>
      <c r="WA13">
        <v>0</v>
      </c>
      <c r="WB13">
        <v>0</v>
      </c>
      <c r="WC13">
        <v>14150.507251616</v>
      </c>
      <c r="WD13">
        <v>881.31316546033997</v>
      </c>
      <c r="WE13">
        <v>28.397603457316901</v>
      </c>
      <c r="WF13">
        <v>5747.6573334020404</v>
      </c>
      <c r="WG13">
        <v>3511.1687975653499</v>
      </c>
      <c r="WH13">
        <v>11587.731321937799</v>
      </c>
      <c r="WI13">
        <v>997925.42762309697</v>
      </c>
      <c r="WJ13">
        <v>9498.8127705879906</v>
      </c>
      <c r="WK13">
        <v>277.20150767308297</v>
      </c>
      <c r="WL13">
        <v>29.375781897095798</v>
      </c>
      <c r="WM13">
        <v>2458.2411496534601</v>
      </c>
      <c r="WN13">
        <v>2419.7603099698699</v>
      </c>
      <c r="WO13">
        <v>7518.6180605296004</v>
      </c>
      <c r="WP13">
        <v>21.1111</v>
      </c>
      <c r="WQ13">
        <v>26.666699999999999</v>
      </c>
      <c r="WR13">
        <v>13005.498673256499</v>
      </c>
      <c r="WS13">
        <v>0</v>
      </c>
      <c r="WT13">
        <v>26.5392375470459</v>
      </c>
      <c r="WU13">
        <v>5300.5391737899799</v>
      </c>
      <c r="WV13">
        <v>5300.5391737899799</v>
      </c>
      <c r="WW13">
        <v>13426.6736671171</v>
      </c>
      <c r="WX13">
        <v>989522.63847786398</v>
      </c>
      <c r="WY13">
        <v>9536.4567143984405</v>
      </c>
      <c r="WZ13">
        <v>274.86739957718402</v>
      </c>
      <c r="XA13">
        <v>29.339329640504101</v>
      </c>
      <c r="XB13">
        <v>2515.5042654235599</v>
      </c>
      <c r="XC13">
        <v>2497.921136768</v>
      </c>
      <c r="XD13">
        <v>7597.1948976762696</v>
      </c>
      <c r="XE13">
        <v>0</v>
      </c>
      <c r="XF13">
        <v>3633.98603057642</v>
      </c>
      <c r="XG13">
        <v>16.501707115172199</v>
      </c>
      <c r="XH13">
        <v>34854.436408259797</v>
      </c>
      <c r="XI13">
        <v>34854.436408259797</v>
      </c>
      <c r="XJ13">
        <v>80044.638539246604</v>
      </c>
      <c r="XK13">
        <v>21.1111</v>
      </c>
      <c r="XL13">
        <v>26.666699999999999</v>
      </c>
      <c r="XM13">
        <v>1265.4063421322301</v>
      </c>
      <c r="XN13">
        <v>0</v>
      </c>
      <c r="XO13">
        <v>24.609753696966301</v>
      </c>
      <c r="XP13">
        <v>0</v>
      </c>
      <c r="XQ13">
        <v>0</v>
      </c>
      <c r="XR13">
        <v>0</v>
      </c>
      <c r="XS13">
        <v>1553.3533440036399</v>
      </c>
      <c r="XT13">
        <v>0</v>
      </c>
      <c r="XU13">
        <v>27.621908869922901</v>
      </c>
      <c r="XV13">
        <v>0</v>
      </c>
      <c r="XW13">
        <v>0</v>
      </c>
      <c r="XX13">
        <v>0</v>
      </c>
      <c r="XY13">
        <v>2540.4077082045701</v>
      </c>
      <c r="XZ13">
        <v>0</v>
      </c>
      <c r="YA13">
        <v>24.3834242036558</v>
      </c>
      <c r="YB13">
        <v>0</v>
      </c>
      <c r="YC13">
        <v>0</v>
      </c>
      <c r="YD13">
        <v>0</v>
      </c>
      <c r="YE13">
        <v>1542.7770545747601</v>
      </c>
      <c r="YF13">
        <v>0</v>
      </c>
      <c r="YG13">
        <v>27.611073851033801</v>
      </c>
      <c r="YH13">
        <v>0</v>
      </c>
      <c r="YI13">
        <v>0</v>
      </c>
      <c r="YJ13">
        <v>0</v>
      </c>
      <c r="YK13">
        <v>8734.3093860420904</v>
      </c>
      <c r="YL13">
        <v>292.59001110160199</v>
      </c>
      <c r="YM13">
        <v>20.4043418275924</v>
      </c>
      <c r="YN13">
        <v>0</v>
      </c>
      <c r="YO13">
        <v>0</v>
      </c>
      <c r="YP13">
        <v>0</v>
      </c>
      <c r="YQ13">
        <v>0</v>
      </c>
      <c r="YR13">
        <v>839.78654725604895</v>
      </c>
      <c r="YS13">
        <v>17.171855799107799</v>
      </c>
      <c r="YT13">
        <v>0</v>
      </c>
      <c r="YU13">
        <v>0</v>
      </c>
      <c r="YV13">
        <v>0</v>
      </c>
      <c r="YW13">
        <v>0</v>
      </c>
      <c r="YX13">
        <v>665.94817474010404</v>
      </c>
      <c r="YY13">
        <v>16.990669709529801</v>
      </c>
      <c r="YZ13">
        <v>0</v>
      </c>
      <c r="ZA13">
        <v>0</v>
      </c>
      <c r="ZB13">
        <v>0</v>
      </c>
      <c r="ZC13">
        <v>0</v>
      </c>
      <c r="ZD13">
        <v>569.483110454854</v>
      </c>
      <c r="ZE13">
        <v>16.803894057209099</v>
      </c>
      <c r="ZF13">
        <v>0</v>
      </c>
      <c r="ZG13">
        <v>0</v>
      </c>
      <c r="ZH13">
        <v>0</v>
      </c>
      <c r="ZI13">
        <v>0</v>
      </c>
      <c r="ZJ13">
        <v>818.46953569190896</v>
      </c>
      <c r="ZK13">
        <v>16.818331051407402</v>
      </c>
      <c r="ZL13">
        <v>0</v>
      </c>
      <c r="ZM13">
        <v>0</v>
      </c>
      <c r="ZN13">
        <v>0</v>
      </c>
      <c r="ZO13">
        <v>0</v>
      </c>
      <c r="ZP13">
        <v>5120.5164755073101</v>
      </c>
      <c r="ZQ13">
        <v>16.145430266197799</v>
      </c>
      <c r="ZR13">
        <v>0</v>
      </c>
      <c r="ZS13">
        <v>0</v>
      </c>
      <c r="ZT13">
        <v>0</v>
      </c>
      <c r="ZU13">
        <v>0</v>
      </c>
      <c r="ZV13">
        <v>1615.8945442357499</v>
      </c>
      <c r="ZW13">
        <v>16.693033158830598</v>
      </c>
      <c r="ZX13">
        <v>0</v>
      </c>
      <c r="ZY13">
        <v>0</v>
      </c>
      <c r="ZZ13">
        <v>0</v>
      </c>
      <c r="AAA13">
        <v>0</v>
      </c>
      <c r="AAB13">
        <v>1021.37581224592</v>
      </c>
      <c r="AAC13">
        <v>16.689037121849399</v>
      </c>
      <c r="AAD13">
        <v>0</v>
      </c>
      <c r="AAE13">
        <v>0</v>
      </c>
      <c r="AAF13">
        <v>0</v>
      </c>
      <c r="AAG13">
        <v>0</v>
      </c>
      <c r="AAH13">
        <v>804.23635497444798</v>
      </c>
      <c r="AAI13">
        <v>16.615916877736002</v>
      </c>
      <c r="AAJ13">
        <v>0</v>
      </c>
      <c r="AAK13">
        <v>0</v>
      </c>
      <c r="AAL13">
        <v>0</v>
      </c>
      <c r="AAM13">
        <v>0</v>
      </c>
      <c r="AAN13">
        <v>1025.1404051992699</v>
      </c>
      <c r="AAO13">
        <v>16.692170138426999</v>
      </c>
      <c r="AAP13">
        <v>0</v>
      </c>
      <c r="AAQ13">
        <v>0</v>
      </c>
      <c r="AAR13">
        <v>0</v>
      </c>
      <c r="AAS13">
        <v>0</v>
      </c>
      <c r="AAT13">
        <v>3152.6226192968702</v>
      </c>
      <c r="AAU13">
        <v>15.840725574502301</v>
      </c>
      <c r="AAV13">
        <v>0</v>
      </c>
      <c r="AAW13">
        <v>0</v>
      </c>
      <c r="AAX13">
        <v>0</v>
      </c>
      <c r="AAY13">
        <v>0</v>
      </c>
      <c r="AAZ13">
        <v>1199.6498107960299</v>
      </c>
      <c r="ABA13">
        <v>17.0361030508572</v>
      </c>
      <c r="ABB13">
        <v>0</v>
      </c>
      <c r="ABC13">
        <v>0</v>
      </c>
      <c r="ABD13">
        <v>0</v>
      </c>
      <c r="ABE13">
        <v>0</v>
      </c>
      <c r="ABF13">
        <v>888.43614152540704</v>
      </c>
      <c r="ABG13">
        <v>16.7839223857296</v>
      </c>
      <c r="ABH13">
        <v>0</v>
      </c>
      <c r="ABI13">
        <v>0</v>
      </c>
      <c r="ABJ13">
        <v>0</v>
      </c>
      <c r="ABK13">
        <v>0</v>
      </c>
      <c r="ABL13">
        <v>841.36249746116096</v>
      </c>
      <c r="ABM13">
        <v>16.3514244189771</v>
      </c>
      <c r="ABN13">
        <v>0</v>
      </c>
      <c r="ABO13">
        <v>0</v>
      </c>
      <c r="ABP13">
        <v>0</v>
      </c>
      <c r="ABQ13">
        <v>0</v>
      </c>
      <c r="ABR13">
        <v>892.189825774734</v>
      </c>
      <c r="ABS13">
        <v>16.7885164625919</v>
      </c>
      <c r="ABT13">
        <v>0</v>
      </c>
      <c r="ABU13">
        <v>0</v>
      </c>
      <c r="ABV13">
        <v>0</v>
      </c>
      <c r="ABW13">
        <v>0</v>
      </c>
      <c r="ABX13">
        <v>1218.6087256752801</v>
      </c>
      <c r="ABY13">
        <v>15.665323851412699</v>
      </c>
      <c r="ABZ13">
        <v>0</v>
      </c>
      <c r="ACA13">
        <v>0</v>
      </c>
      <c r="ACB13">
        <v>0</v>
      </c>
      <c r="ACC13">
        <v>0.15</v>
      </c>
      <c r="ACD13">
        <v>1114843.59650121</v>
      </c>
      <c r="ACE13">
        <v>1669.13907035946</v>
      </c>
      <c r="ACF13">
        <v>13.686000330501599</v>
      </c>
      <c r="ACG13">
        <v>13.6564214075258</v>
      </c>
      <c r="ACH13">
        <v>6.7500018069949999</v>
      </c>
      <c r="ACI13">
        <v>1978.81784716535</v>
      </c>
      <c r="ACJ13">
        <v>2.6951612893344601</v>
      </c>
      <c r="ACK13">
        <v>21.008431087486599</v>
      </c>
      <c r="ACL13">
        <v>21.0384501916155</v>
      </c>
      <c r="ACM13">
        <v>7.8850021108378598</v>
      </c>
      <c r="ACN13">
        <v>0</v>
      </c>
      <c r="ACP13">
        <v>16112.2047937181</v>
      </c>
      <c r="ACR13">
        <v>16112.2047937181</v>
      </c>
      <c r="ACT13">
        <v>17.200632613155001</v>
      </c>
      <c r="ACU13">
        <v>16.990828106759398</v>
      </c>
      <c r="ACV13">
        <v>1.7</v>
      </c>
      <c r="ACW13">
        <v>4.3609530070615197</v>
      </c>
      <c r="ACX13">
        <v>0.80261160833015299</v>
      </c>
      <c r="ACY13">
        <v>16.885989279352</v>
      </c>
      <c r="ACZ13">
        <v>16.682799586622099</v>
      </c>
      <c r="ADA13">
        <v>1.7</v>
      </c>
      <c r="ADB13">
        <v>4.3543293653037303</v>
      </c>
      <c r="ADC13">
        <v>0.80592216073990797</v>
      </c>
      <c r="ADD13">
        <v>16.538274721903498</v>
      </c>
      <c r="ADE13">
        <v>16.364612620752801</v>
      </c>
      <c r="ADF13">
        <v>1.7</v>
      </c>
      <c r="ADG13">
        <v>4.5343299062468603</v>
      </c>
      <c r="ADH13">
        <v>0.805088668000564</v>
      </c>
      <c r="ADI13">
        <v>29.7505556791949</v>
      </c>
      <c r="ADJ13">
        <v>29.7505556791949</v>
      </c>
      <c r="ADK13">
        <v>0</v>
      </c>
      <c r="ADL13">
        <v>0</v>
      </c>
      <c r="ADM13">
        <v>1</v>
      </c>
      <c r="ADN13">
        <v>30.3746450168133</v>
      </c>
      <c r="ADO13">
        <v>30.3746450168133</v>
      </c>
      <c r="ADP13">
        <v>0</v>
      </c>
      <c r="ADQ13">
        <v>0</v>
      </c>
      <c r="ADR13">
        <v>1</v>
      </c>
      <c r="ADS13">
        <v>25.566593438157501</v>
      </c>
      <c r="ADT13">
        <v>25.566593438157501</v>
      </c>
      <c r="ADU13">
        <v>0</v>
      </c>
      <c r="ADV13">
        <v>0</v>
      </c>
      <c r="ADW13">
        <v>1</v>
      </c>
      <c r="ADX13">
        <v>30.741559434368</v>
      </c>
      <c r="ADY13">
        <v>30.741559434368</v>
      </c>
      <c r="ADZ13">
        <v>0</v>
      </c>
      <c r="AEA13">
        <v>0</v>
      </c>
      <c r="AEB13">
        <v>1</v>
      </c>
      <c r="AEC13">
        <v>30.701430822878802</v>
      </c>
      <c r="AED13">
        <v>30.701430822878802</v>
      </c>
      <c r="AEE13">
        <v>0</v>
      </c>
      <c r="AEF13">
        <v>0</v>
      </c>
      <c r="AEG13">
        <v>1</v>
      </c>
      <c r="AEH13">
        <v>30.661767881701099</v>
      </c>
      <c r="AEI13">
        <v>30.661767881701099</v>
      </c>
      <c r="AEJ13">
        <v>0</v>
      </c>
      <c r="AEK13">
        <v>0</v>
      </c>
      <c r="AEL13">
        <v>1</v>
      </c>
      <c r="AEM13">
        <v>26.5042026894982</v>
      </c>
      <c r="AEN13">
        <v>26.5042026894982</v>
      </c>
      <c r="AEO13">
        <v>0</v>
      </c>
      <c r="AEP13">
        <v>0</v>
      </c>
      <c r="AEQ13">
        <v>1</v>
      </c>
      <c r="AER13">
        <v>30.662776601328702</v>
      </c>
      <c r="AES13">
        <v>30.662776601328702</v>
      </c>
      <c r="AET13">
        <v>0</v>
      </c>
      <c r="AEU13">
        <v>0</v>
      </c>
      <c r="AEV13">
        <v>1</v>
      </c>
      <c r="AEW13">
        <v>29.448518628762901</v>
      </c>
      <c r="AEX13">
        <v>29.448518628762901</v>
      </c>
      <c r="AEY13">
        <v>0</v>
      </c>
      <c r="AEZ13">
        <v>0</v>
      </c>
      <c r="AFA13">
        <v>1</v>
      </c>
      <c r="AFB13">
        <v>30.605854421515801</v>
      </c>
      <c r="AFC13">
        <v>30.605854421515801</v>
      </c>
      <c r="AFD13">
        <v>0</v>
      </c>
      <c r="AFE13">
        <v>0</v>
      </c>
      <c r="AFF13">
        <v>1</v>
      </c>
      <c r="AFG13">
        <v>27.352093688703899</v>
      </c>
      <c r="AFH13">
        <v>27.352093688703899</v>
      </c>
      <c r="AFI13">
        <v>0</v>
      </c>
      <c r="AFJ13">
        <v>0</v>
      </c>
      <c r="AFK13">
        <v>1</v>
      </c>
      <c r="AFL13">
        <v>30.597058331304599</v>
      </c>
      <c r="AFM13">
        <v>30.597058331304599</v>
      </c>
      <c r="AFN13">
        <v>0</v>
      </c>
      <c r="AFO13">
        <v>0</v>
      </c>
      <c r="AFP13">
        <v>1</v>
      </c>
      <c r="AFQ13">
        <v>-0.46255639552987599</v>
      </c>
      <c r="AFR13">
        <v>0.39357740276048397</v>
      </c>
      <c r="AFS13">
        <v>0.59506415300878002</v>
      </c>
      <c r="AFT13">
        <v>0.53865949533842294</v>
      </c>
      <c r="AFU13">
        <v>-0.298985429522235</v>
      </c>
      <c r="AFV13">
        <v>0.57845001062347701</v>
      </c>
      <c r="AFW13">
        <v>0.57466886445696996</v>
      </c>
      <c r="AFX13">
        <v>0.57432422697396801</v>
      </c>
      <c r="AFY13">
        <v>-0.133162512818085</v>
      </c>
      <c r="AFZ13">
        <v>0.31656371068005301</v>
      </c>
      <c r="AGA13">
        <v>0.60318544878401104</v>
      </c>
      <c r="AGB13">
        <v>0.605556391166577</v>
      </c>
      <c r="AGC13">
        <v>-1.66729696811618</v>
      </c>
      <c r="AGD13">
        <v>-1.7159030145909699</v>
      </c>
      <c r="AGE13">
        <v>-1.7715132950326899</v>
      </c>
      <c r="AGF13">
        <v>0</v>
      </c>
      <c r="AGG13">
        <v>0</v>
      </c>
      <c r="AGH13">
        <v>0</v>
      </c>
      <c r="AGI13">
        <v>0</v>
      </c>
      <c r="AGJ13">
        <v>0</v>
      </c>
      <c r="AGK13">
        <v>0</v>
      </c>
      <c r="AGL13">
        <v>0</v>
      </c>
      <c r="AGM13">
        <v>0</v>
      </c>
      <c r="AGN13">
        <v>0</v>
      </c>
      <c r="AGO13">
        <v>0</v>
      </c>
      <c r="AGP13">
        <v>0</v>
      </c>
      <c r="AGQ13">
        <v>0</v>
      </c>
      <c r="AGR13">
        <v>0</v>
      </c>
      <c r="AGS13">
        <v>0</v>
      </c>
      <c r="AGT13">
        <v>0</v>
      </c>
      <c r="AGU13">
        <v>0</v>
      </c>
      <c r="AGV13">
        <v>0</v>
      </c>
      <c r="AGW13">
        <v>0</v>
      </c>
      <c r="AGX13">
        <v>0</v>
      </c>
      <c r="AGY13">
        <v>0</v>
      </c>
      <c r="AGZ13">
        <v>0</v>
      </c>
      <c r="AHA13">
        <v>0</v>
      </c>
      <c r="AHB13">
        <v>0</v>
      </c>
      <c r="AHC13">
        <v>0</v>
      </c>
      <c r="AHD13">
        <v>0</v>
      </c>
      <c r="AHE13">
        <v>0</v>
      </c>
      <c r="AHF13">
        <v>0</v>
      </c>
      <c r="AHG13">
        <v>0</v>
      </c>
      <c r="AHH13">
        <v>0</v>
      </c>
      <c r="AHI13">
        <v>0</v>
      </c>
      <c r="AHJ13">
        <v>0</v>
      </c>
      <c r="AHK13">
        <v>0</v>
      </c>
      <c r="AHL13">
        <v>0</v>
      </c>
      <c r="AHM13">
        <v>0</v>
      </c>
      <c r="AHN13">
        <v>0</v>
      </c>
      <c r="AHO13">
        <v>0</v>
      </c>
      <c r="AHP13">
        <v>0</v>
      </c>
      <c r="AHQ13">
        <v>0</v>
      </c>
      <c r="AHR13">
        <v>0</v>
      </c>
      <c r="AHS13">
        <v>0</v>
      </c>
      <c r="AHT13">
        <v>0</v>
      </c>
      <c r="AHU13">
        <v>0</v>
      </c>
      <c r="AHV13">
        <v>0</v>
      </c>
      <c r="AHW13">
        <v>0</v>
      </c>
      <c r="AHX13">
        <v>0</v>
      </c>
      <c r="AHZ13">
        <v>26186.909612023199</v>
      </c>
      <c r="AIB13">
        <v>0</v>
      </c>
      <c r="AID13">
        <v>21748.648904688001</v>
      </c>
      <c r="AIF13">
        <v>27083.243394577399</v>
      </c>
      <c r="AIH13">
        <v>17367.557168037001</v>
      </c>
      <c r="AIJ13">
        <v>0</v>
      </c>
      <c r="AIL13">
        <v>26364.603818279</v>
      </c>
      <c r="AIN13">
        <v>26381.2653220018</v>
      </c>
      <c r="AIP13">
        <v>41398.770628283499</v>
      </c>
      <c r="AIR13">
        <v>21429.999395003098</v>
      </c>
      <c r="AIT13">
        <v>0</v>
      </c>
      <c r="AIV13">
        <v>22636.867869074998</v>
      </c>
      <c r="AIX13">
        <v>22646.765384039802</v>
      </c>
      <c r="AIZ13">
        <v>27874.458737449499</v>
      </c>
      <c r="AJB13">
        <v>25021.697270520799</v>
      </c>
      <c r="AJC13">
        <v>0</v>
      </c>
      <c r="AJE13">
        <v>827.28972291756895</v>
      </c>
      <c r="AJH13">
        <v>10814.8661818867</v>
      </c>
      <c r="AJJ13">
        <v>223.322380385082</v>
      </c>
      <c r="AJK13">
        <v>220.596795833333</v>
      </c>
      <c r="AJL13">
        <v>220.596795833333</v>
      </c>
      <c r="AJM13">
        <v>190.047162098179</v>
      </c>
      <c r="AJN13">
        <v>347.36796874999999</v>
      </c>
      <c r="AJO13">
        <v>170.58696875000001</v>
      </c>
      <c r="AJP13">
        <v>170.58696875000001</v>
      </c>
      <c r="AJQ13">
        <v>219.363420886261</v>
      </c>
      <c r="AJR13">
        <v>179.08562604166701</v>
      </c>
      <c r="AJS13">
        <v>165.44759687499999</v>
      </c>
      <c r="AJT13">
        <v>220.596795833333</v>
      </c>
      <c r="AJU13">
        <v>156.81271254174601</v>
      </c>
      <c r="AJV13">
        <v>173.68398437499999</v>
      </c>
      <c r="AJW13">
        <v>0</v>
      </c>
      <c r="AJX13">
        <v>0</v>
      </c>
      <c r="AJY13">
        <v>369584.96375479002</v>
      </c>
      <c r="AJZ13">
        <v>827.28966431620995</v>
      </c>
      <c r="AKA13">
        <v>0</v>
      </c>
      <c r="AKB13">
        <v>183853.75553006699</v>
      </c>
      <c r="AKC13">
        <v>229821.21522913201</v>
      </c>
      <c r="AKD13">
        <v>827356374.82487404</v>
      </c>
      <c r="AKE13">
        <v>57.402726978384798</v>
      </c>
      <c r="AKF13">
        <v>78.882003599280097</v>
      </c>
      <c r="AKG13">
        <v>2.4784900501433</v>
      </c>
      <c r="AKH13">
        <v>0.88558211941009202</v>
      </c>
      <c r="AKI13">
        <v>106275.42423488801</v>
      </c>
      <c r="AKJ13">
        <v>133686.09916014099</v>
      </c>
      <c r="AKK13">
        <v>481269956.97650802</v>
      </c>
      <c r="AKL13">
        <v>57.402726978384798</v>
      </c>
      <c r="AKM13">
        <v>71.476593367252207</v>
      </c>
      <c r="AKN13">
        <v>1.8452799400045099</v>
      </c>
      <c r="AKO13">
        <v>0.51190477542215795</v>
      </c>
      <c r="AKP13">
        <v>1979856.2480114</v>
      </c>
      <c r="AKT13">
        <v>3367397.6241730801</v>
      </c>
      <c r="AKX13">
        <v>3039178.89687692</v>
      </c>
      <c r="ALB13">
        <v>21.049976445522901</v>
      </c>
      <c r="ALC13">
        <v>21.049976445522901</v>
      </c>
      <c r="ALD13">
        <v>0</v>
      </c>
      <c r="ALE13">
        <v>0</v>
      </c>
      <c r="ALF13">
        <v>0</v>
      </c>
      <c r="ALH13">
        <v>15.092842812452901</v>
      </c>
      <c r="ALI13">
        <v>2.8568269606532499E-3</v>
      </c>
      <c r="ALJ13">
        <v>21.2200738705709</v>
      </c>
      <c r="ALK13">
        <v>15.122035182665501</v>
      </c>
      <c r="ALL13">
        <v>21.2200738705709</v>
      </c>
      <c r="ALM13">
        <v>4.60867581557228E-4</v>
      </c>
      <c r="ALN13">
        <v>20.761738054291602</v>
      </c>
      <c r="ALO13">
        <v>2.8568269606532499E-3</v>
      </c>
      <c r="ALP13">
        <v>18.889144139040202</v>
      </c>
      <c r="ALQ13">
        <v>21.2200738705709</v>
      </c>
      <c r="ALR13">
        <v>15.092842812452901</v>
      </c>
      <c r="ALS13">
        <v>21.2200738705709</v>
      </c>
      <c r="ALT13">
        <v>15.5056620797068</v>
      </c>
      <c r="ALU13">
        <v>21.2200738705709</v>
      </c>
      <c r="ALV13">
        <v>12.220000000040701</v>
      </c>
      <c r="ALW13">
        <v>6.73899236671362E-5</v>
      </c>
      <c r="ALX13">
        <v>15.122035182665501</v>
      </c>
      <c r="ALY13">
        <v>6.73899236671362E-5</v>
      </c>
      <c r="ALZ13">
        <v>5.7118820046431797E-3</v>
      </c>
      <c r="AMA13">
        <v>13.686000330501599</v>
      </c>
      <c r="AMB13">
        <v>6.7499999999999999E-3</v>
      </c>
      <c r="AMC13">
        <v>13.671081861944501</v>
      </c>
      <c r="AMD13">
        <v>6.7499999999999999E-3</v>
      </c>
      <c r="AME13">
        <v>13.6564214075258</v>
      </c>
      <c r="AMF13">
        <v>6.7499999999999999E-3</v>
      </c>
      <c r="AMG13">
        <v>7.8849999999999996E-3</v>
      </c>
      <c r="AMH13">
        <v>4.9478693687046098</v>
      </c>
      <c r="AMI13">
        <v>38.787762897319503</v>
      </c>
      <c r="AMJ13">
        <v>0.98829999999999996</v>
      </c>
      <c r="AMK13" s="580">
        <v>16.1371741094793</v>
      </c>
      <c r="AML13">
        <v>3.3546</v>
      </c>
      <c r="AMM13">
        <v>35.047026654362</v>
      </c>
      <c r="AMN13">
        <v>0.76790910000000001</v>
      </c>
      <c r="AMO13">
        <v>31.408400389192899</v>
      </c>
      <c r="AMP13">
        <v>0.86216250000000005</v>
      </c>
      <c r="AMQ13">
        <v>37.308807612880003</v>
      </c>
      <c r="AMR13">
        <v>0.70253968657866395</v>
      </c>
      <c r="AMS13">
        <v>15.839014983590101</v>
      </c>
      <c r="AMT13">
        <v>3.3546</v>
      </c>
      <c r="AMU13">
        <v>38.755139797412198</v>
      </c>
      <c r="AMV13">
        <v>0.98829999999999996</v>
      </c>
      <c r="AMW13">
        <v>38.772293797501398</v>
      </c>
      <c r="AMX13">
        <v>0.98829999999999996</v>
      </c>
      <c r="AMY13">
        <v>38.696137073061301</v>
      </c>
      <c r="AMZ13">
        <v>1.5562499999999999</v>
      </c>
      <c r="ANA13">
        <v>37.4471633235325</v>
      </c>
      <c r="ANB13">
        <v>0.85143399110627305</v>
      </c>
      <c r="ANC13">
        <v>15.647278271004801</v>
      </c>
      <c r="AND13">
        <v>3.3546</v>
      </c>
      <c r="ANE13">
        <v>34.907858504393403</v>
      </c>
      <c r="ANF13">
        <v>0.79094779999999998</v>
      </c>
      <c r="ANG13">
        <v>34.919767980986599</v>
      </c>
      <c r="ANH13">
        <v>0.79094779999999998</v>
      </c>
      <c r="ANI13">
        <v>31.340283172691301</v>
      </c>
      <c r="ANJ13">
        <v>0.88640865999999996</v>
      </c>
      <c r="ANK13">
        <v>37.423692013305001</v>
      </c>
      <c r="ANL13">
        <v>0.98277433288599203</v>
      </c>
      <c r="ANM13">
        <v>6.6755112865786597</v>
      </c>
      <c r="ANN13">
        <v>7.7388839911062703</v>
      </c>
      <c r="ANO13">
        <v>6.8056785928859904</v>
      </c>
      <c r="ANP13">
        <v>16.1371741094793</v>
      </c>
      <c r="ANQ13">
        <v>16.809403496514602</v>
      </c>
      <c r="ANR13">
        <v>16.8105780122129</v>
      </c>
      <c r="ANS13">
        <v>16.792225546996999</v>
      </c>
      <c r="ANT13">
        <v>17.002812186749299</v>
      </c>
      <c r="ANU13">
        <v>15.839014983590101</v>
      </c>
      <c r="ANV13">
        <v>16.630072020086502</v>
      </c>
      <c r="ANW13">
        <v>16.633359775398802</v>
      </c>
      <c r="ANX13">
        <v>16.561940941035001</v>
      </c>
      <c r="ANY13">
        <v>16.6328401610483</v>
      </c>
      <c r="ANZ13">
        <v>15.647278271004801</v>
      </c>
      <c r="AOA13">
        <v>16.498608195722198</v>
      </c>
      <c r="AOB13">
        <v>16.502528800618801</v>
      </c>
      <c r="AOC13">
        <v>16.2991521030741</v>
      </c>
      <c r="AOD13">
        <v>16.960879300471699</v>
      </c>
      <c r="AOE13">
        <v>20.761738054291602</v>
      </c>
      <c r="AOF13">
        <v>4.9478693687046098</v>
      </c>
      <c r="AOG13">
        <v>20.7987952693057</v>
      </c>
      <c r="AOH13">
        <v>4.9478693687046098</v>
      </c>
    </row>
    <row r="14" spans="1:1074">
      <c r="A14" t="s">
        <v>2584</v>
      </c>
      <c r="B14">
        <v>-3.33</v>
      </c>
      <c r="D14">
        <v>-3.33</v>
      </c>
      <c r="F14">
        <v>10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c r="BY14">
        <v>0</v>
      </c>
      <c r="BZ14">
        <v>0</v>
      </c>
      <c r="CA14">
        <v>0</v>
      </c>
      <c r="CB14">
        <v>0</v>
      </c>
      <c r="CC14">
        <v>0</v>
      </c>
      <c r="CD14">
        <v>0</v>
      </c>
      <c r="CE14">
        <v>0</v>
      </c>
      <c r="CF14">
        <v>0</v>
      </c>
      <c r="CG14">
        <v>0</v>
      </c>
      <c r="CH14">
        <v>0</v>
      </c>
      <c r="CI14">
        <v>0</v>
      </c>
      <c r="CJ14">
        <v>0</v>
      </c>
      <c r="CK14">
        <v>0</v>
      </c>
      <c r="CL14">
        <v>0</v>
      </c>
      <c r="CM14">
        <v>0</v>
      </c>
      <c r="CN14">
        <v>0</v>
      </c>
      <c r="CO14">
        <v>0</v>
      </c>
      <c r="CP14">
        <v>0</v>
      </c>
      <c r="CQ14">
        <v>0</v>
      </c>
      <c r="CR14">
        <v>0</v>
      </c>
      <c r="CS14">
        <v>0</v>
      </c>
      <c r="CT14">
        <v>0</v>
      </c>
      <c r="CU14">
        <v>0</v>
      </c>
      <c r="CV14">
        <v>0</v>
      </c>
      <c r="CW14">
        <v>0</v>
      </c>
      <c r="CX14">
        <v>0</v>
      </c>
      <c r="CY14">
        <v>0</v>
      </c>
      <c r="CZ14">
        <v>0</v>
      </c>
      <c r="DA14">
        <v>0</v>
      </c>
      <c r="DB14">
        <v>0</v>
      </c>
      <c r="DC14">
        <v>0</v>
      </c>
      <c r="DD14">
        <v>0</v>
      </c>
      <c r="DE14">
        <v>0</v>
      </c>
      <c r="DF14">
        <v>0</v>
      </c>
      <c r="DG14">
        <v>0</v>
      </c>
      <c r="DH14">
        <v>0</v>
      </c>
      <c r="DI14">
        <v>0</v>
      </c>
      <c r="DJ14">
        <v>0</v>
      </c>
      <c r="DK14">
        <v>0</v>
      </c>
      <c r="DL14">
        <v>0</v>
      </c>
      <c r="DM14">
        <v>0</v>
      </c>
      <c r="DN14">
        <v>0</v>
      </c>
      <c r="DO14">
        <v>0</v>
      </c>
      <c r="DP14">
        <v>0</v>
      </c>
      <c r="DQ14">
        <v>0</v>
      </c>
      <c r="DR14">
        <v>0</v>
      </c>
      <c r="DS14">
        <v>0</v>
      </c>
      <c r="DT14">
        <v>0</v>
      </c>
      <c r="DU14">
        <v>0</v>
      </c>
      <c r="DV14">
        <v>0</v>
      </c>
      <c r="DW14">
        <v>0</v>
      </c>
      <c r="DX14">
        <v>0</v>
      </c>
      <c r="DY14">
        <v>0</v>
      </c>
      <c r="DZ14">
        <v>0</v>
      </c>
      <c r="EA14">
        <v>0</v>
      </c>
      <c r="EB14">
        <v>0</v>
      </c>
      <c r="EC14">
        <v>0</v>
      </c>
      <c r="ED14">
        <v>0</v>
      </c>
      <c r="EE14">
        <v>0</v>
      </c>
      <c r="EF14">
        <v>0</v>
      </c>
      <c r="EG14">
        <v>0</v>
      </c>
      <c r="EH14">
        <v>0</v>
      </c>
      <c r="EI14">
        <v>0</v>
      </c>
      <c r="EJ14">
        <v>0</v>
      </c>
      <c r="EK14">
        <v>0</v>
      </c>
      <c r="EL14">
        <v>0</v>
      </c>
      <c r="EM14">
        <v>0</v>
      </c>
      <c r="EN14">
        <v>0</v>
      </c>
      <c r="EO14">
        <v>0</v>
      </c>
      <c r="EP14">
        <v>0</v>
      </c>
      <c r="EQ14">
        <v>0</v>
      </c>
      <c r="ER14">
        <v>0</v>
      </c>
      <c r="ES14">
        <v>0</v>
      </c>
      <c r="ET14">
        <v>0</v>
      </c>
      <c r="EU14">
        <v>0</v>
      </c>
      <c r="EV14">
        <v>0</v>
      </c>
      <c r="EW14">
        <v>0</v>
      </c>
      <c r="EX14">
        <v>0</v>
      </c>
      <c r="EY14">
        <v>0</v>
      </c>
      <c r="EZ14">
        <v>0</v>
      </c>
      <c r="FA14">
        <v>0</v>
      </c>
      <c r="FB14">
        <v>0</v>
      </c>
      <c r="FC14">
        <v>0</v>
      </c>
      <c r="FD14">
        <v>0</v>
      </c>
      <c r="FE14">
        <v>0</v>
      </c>
      <c r="FF14">
        <v>0</v>
      </c>
      <c r="FG14">
        <v>0</v>
      </c>
      <c r="FH14">
        <v>0</v>
      </c>
      <c r="FI14">
        <v>0</v>
      </c>
      <c r="FJ14">
        <v>0</v>
      </c>
      <c r="FK14">
        <v>0</v>
      </c>
      <c r="FL14">
        <v>0</v>
      </c>
      <c r="FM14">
        <v>0</v>
      </c>
      <c r="FN14">
        <v>0</v>
      </c>
      <c r="FO14">
        <v>0</v>
      </c>
      <c r="FP14">
        <v>0</v>
      </c>
      <c r="FQ14">
        <v>0</v>
      </c>
      <c r="FR14">
        <v>0</v>
      </c>
      <c r="FS14">
        <v>0</v>
      </c>
      <c r="FT14">
        <v>0</v>
      </c>
      <c r="FU14">
        <v>0</v>
      </c>
      <c r="FV14">
        <v>0</v>
      </c>
      <c r="FW14">
        <v>0</v>
      </c>
      <c r="FX14">
        <v>0</v>
      </c>
      <c r="FY14">
        <v>0</v>
      </c>
      <c r="FZ14">
        <v>0</v>
      </c>
      <c r="GA14">
        <v>0</v>
      </c>
      <c r="GB14">
        <v>-1018.87806837987</v>
      </c>
      <c r="GC14">
        <v>-1912.45103824328</v>
      </c>
      <c r="GD14">
        <v>-2586.2044997811599</v>
      </c>
      <c r="GE14">
        <v>-627.30745254489398</v>
      </c>
      <c r="GF14">
        <v>-1168.6032715644701</v>
      </c>
      <c r="GG14">
        <v>-1497.194052417</v>
      </c>
      <c r="GH14">
        <v>-837.95961016610204</v>
      </c>
      <c r="GI14">
        <v>-1369.09604541421</v>
      </c>
      <c r="GJ14">
        <v>-1956.14444451542</v>
      </c>
      <c r="GK14">
        <v>-684.91021027754505</v>
      </c>
      <c r="GL14">
        <v>-1285.6874154974901</v>
      </c>
      <c r="GM14">
        <v>-1626.8595390619701</v>
      </c>
      <c r="GN14">
        <v>-253.16915695529599</v>
      </c>
      <c r="GO14">
        <v>22.404034581748601</v>
      </c>
      <c r="GP14">
        <v>23.947346998119201</v>
      </c>
      <c r="GQ14">
        <v>-241.857272610471</v>
      </c>
      <c r="GR14">
        <v>-1468.8388156747999</v>
      </c>
      <c r="GS14">
        <v>-2986.9496380949699</v>
      </c>
      <c r="GT14">
        <v>-149.62819209956399</v>
      </c>
      <c r="GU14">
        <v>22.601326069516499</v>
      </c>
      <c r="GV14">
        <v>24.015901852452799</v>
      </c>
      <c r="GW14">
        <v>-139.09213282636</v>
      </c>
      <c r="GX14">
        <v>-921.86975571207404</v>
      </c>
      <c r="GY14">
        <v>-1894.81594315966</v>
      </c>
      <c r="GZ14">
        <v>-295.214247012253</v>
      </c>
      <c r="HA14">
        <v>20.455241260957099</v>
      </c>
      <c r="HB14">
        <v>21.559533089856998</v>
      </c>
      <c r="HC14">
        <v>-326.46940849264098</v>
      </c>
      <c r="HD14">
        <v>-1459.8872504092001</v>
      </c>
      <c r="HE14">
        <v>-2676.8986091161</v>
      </c>
      <c r="HF14">
        <v>-231.154381851061</v>
      </c>
      <c r="HG14">
        <v>23.396279041803499</v>
      </c>
      <c r="HH14">
        <v>24.710616126276701</v>
      </c>
      <c r="HI14">
        <v>-331.37603950195103</v>
      </c>
      <c r="HJ14">
        <v>-1475.38354923253</v>
      </c>
      <c r="HK14">
        <v>-2587.3196469685199</v>
      </c>
      <c r="HL14">
        <v>-970.06611213856797</v>
      </c>
      <c r="HM14">
        <v>23.197681577405302</v>
      </c>
      <c r="HN14">
        <v>20.017038991318302</v>
      </c>
      <c r="HO14">
        <v>-1768.4394173184901</v>
      </c>
      <c r="HP14">
        <v>-2049.5490801741598</v>
      </c>
      <c r="HQ14">
        <v>24.702125421311599</v>
      </c>
      <c r="HR14">
        <v>-2581.8269180760199</v>
      </c>
      <c r="HS14">
        <v>-742.625319801827</v>
      </c>
      <c r="HT14">
        <v>23.7493443605089</v>
      </c>
      <c r="HU14">
        <v>20.254731180643901</v>
      </c>
      <c r="HV14">
        <v>-1185.0868519926801</v>
      </c>
      <c r="HW14">
        <v>-1448.63854895086</v>
      </c>
      <c r="HX14">
        <v>25.3502973193796</v>
      </c>
      <c r="HY14">
        <v>-1883.1369079634101</v>
      </c>
      <c r="HZ14">
        <v>21.330496894057099</v>
      </c>
      <c r="IA14">
        <v>19.221125168276298</v>
      </c>
      <c r="IB14">
        <v>-1321.71211891796</v>
      </c>
      <c r="IC14">
        <v>-860.51112176393497</v>
      </c>
      <c r="ID14">
        <v>-1578.03901895125</v>
      </c>
      <c r="IE14">
        <v>22.171131571812801</v>
      </c>
      <c r="IF14">
        <v>-2210.7011245113999</v>
      </c>
      <c r="IG14">
        <v>-171.61095347802799</v>
      </c>
      <c r="IH14">
        <v>23.747656909366398</v>
      </c>
      <c r="II14">
        <v>20.254015058857998</v>
      </c>
      <c r="IJ14">
        <v>-1184.2550830319699</v>
      </c>
      <c r="IK14">
        <v>-216.31623942415899</v>
      </c>
      <c r="IL14">
        <v>-740.22142534562897</v>
      </c>
      <c r="IM14">
        <v>-1447.1480511078</v>
      </c>
      <c r="IN14">
        <v>25.348921922170799</v>
      </c>
      <c r="IO14">
        <v>2.45870805347317</v>
      </c>
      <c r="IP14">
        <v>-1881.0493156033399</v>
      </c>
      <c r="IQ14">
        <v>739.22868519992596</v>
      </c>
      <c r="IR14">
        <v>484.46543356740699</v>
      </c>
      <c r="IS14">
        <v>504.15822864290402</v>
      </c>
      <c r="IT14">
        <v>484.33880021050601</v>
      </c>
      <c r="IU14">
        <v>766.23703281489702</v>
      </c>
      <c r="IV14">
        <v>-347.16400054449599</v>
      </c>
      <c r="IW14">
        <v>23.396539678663601</v>
      </c>
      <c r="IX14">
        <v>24.702125421311599</v>
      </c>
      <c r="IY14">
        <v>-521.03121281897904</v>
      </c>
      <c r="IZ14">
        <v>-2315.1168197648499</v>
      </c>
      <c r="JA14">
        <v>-4094.4625042845701</v>
      </c>
      <c r="JB14">
        <v>-325.01070322855702</v>
      </c>
      <c r="JC14">
        <v>24.0161203281959</v>
      </c>
      <c r="JD14">
        <v>25.3502973193796</v>
      </c>
      <c r="JE14">
        <v>-528.32604805681297</v>
      </c>
      <c r="JF14">
        <v>-2001.0854110055</v>
      </c>
      <c r="JG14">
        <v>-3226.3914319577798</v>
      </c>
      <c r="JH14">
        <v>-336.95187970078598</v>
      </c>
      <c r="JI14">
        <v>20.950973875193899</v>
      </c>
      <c r="JJ14">
        <v>22.171131571812801</v>
      </c>
      <c r="JK14">
        <v>-423.45131653644398</v>
      </c>
      <c r="JL14">
        <v>-1847.75636352998</v>
      </c>
      <c r="JM14">
        <v>-3319.48477152853</v>
      </c>
      <c r="JN14">
        <v>-323.09122031879502</v>
      </c>
      <c r="JO14">
        <v>24.016758524118099</v>
      </c>
      <c r="JP14">
        <v>25.348921922170799</v>
      </c>
      <c r="JQ14">
        <v>1.1284998395964501</v>
      </c>
      <c r="JR14">
        <v>-526.292944954782</v>
      </c>
      <c r="JS14">
        <v>2.6475423563874201</v>
      </c>
      <c r="JT14">
        <v>-1994.1305153519399</v>
      </c>
      <c r="JU14">
        <v>-3217.2135581328498</v>
      </c>
      <c r="JV14">
        <v>-957.13666744576994</v>
      </c>
      <c r="JW14">
        <v>-1911.2057113841199</v>
      </c>
      <c r="JX14">
        <v>-2309.63600504636</v>
      </c>
      <c r="JY14">
        <v>-577.45089338252103</v>
      </c>
      <c r="JZ14">
        <v>-1172.6186016292399</v>
      </c>
      <c r="KA14">
        <v>-1350.4471285422901</v>
      </c>
      <c r="KB14">
        <v>-915.72865724020403</v>
      </c>
      <c r="KC14">
        <v>-1753.9835851481901</v>
      </c>
      <c r="KD14">
        <v>-2163.0683411683999</v>
      </c>
      <c r="KE14">
        <v>-572.42849480398695</v>
      </c>
      <c r="KF14">
        <v>22.573292628228</v>
      </c>
      <c r="KG14">
        <v>-665.77773342036699</v>
      </c>
      <c r="KH14">
        <v>1.2424325518658701</v>
      </c>
      <c r="KI14">
        <v>-1168.0772479852999</v>
      </c>
      <c r="KJ14">
        <v>-1346.1262633921499</v>
      </c>
      <c r="KK14">
        <v>-211.689987865647</v>
      </c>
      <c r="KL14">
        <v>23.0089101156012</v>
      </c>
      <c r="KM14">
        <v>24.055201308331601</v>
      </c>
      <c r="KN14">
        <v>-196.49353533186499</v>
      </c>
      <c r="KO14">
        <v>21.879883147449299</v>
      </c>
      <c r="KP14">
        <v>-10.234992494877901</v>
      </c>
      <c r="KQ14">
        <v>-986.67993465851202</v>
      </c>
      <c r="KR14">
        <v>-1893.67190255745</v>
      </c>
      <c r="KS14">
        <v>-113.356660133425</v>
      </c>
      <c r="KT14">
        <v>23.903834642924199</v>
      </c>
      <c r="KU14">
        <v>24.626709161920999</v>
      </c>
      <c r="KV14">
        <v>-113.36746717324201</v>
      </c>
      <c r="KW14">
        <v>22.9211311014713</v>
      </c>
      <c r="KX14">
        <v>-10.105365371819</v>
      </c>
      <c r="KY14">
        <v>-542.92022175571697</v>
      </c>
      <c r="KZ14">
        <v>-1027.5175875023101</v>
      </c>
      <c r="LA14">
        <v>-319.93364538272698</v>
      </c>
      <c r="LB14">
        <v>22.477319647542998</v>
      </c>
      <c r="LC14">
        <v>23.076079650451302</v>
      </c>
      <c r="LD14">
        <v>-431.34552935309603</v>
      </c>
      <c r="LE14">
        <v>21.623364080710498</v>
      </c>
      <c r="LF14">
        <v>-10.268874246674899</v>
      </c>
      <c r="LG14">
        <v>-1361.2874794684201</v>
      </c>
      <c r="LH14">
        <v>-2006.6556370098799</v>
      </c>
      <c r="LI14">
        <v>-111.39326860755</v>
      </c>
      <c r="LJ14">
        <v>23.889703949081099</v>
      </c>
      <c r="LK14">
        <v>24.598003460018301</v>
      </c>
      <c r="LL14">
        <v>-112.179690876013</v>
      </c>
      <c r="LM14">
        <v>22.919266021433501</v>
      </c>
      <c r="LN14">
        <v>-9.7928050264277502</v>
      </c>
      <c r="LO14">
        <v>-535.57259567327503</v>
      </c>
      <c r="LP14">
        <v>-1013.6179199048599</v>
      </c>
      <c r="LQ14">
        <v>-30.9676078816181</v>
      </c>
      <c r="LR14">
        <v>17.1448992907826</v>
      </c>
      <c r="LS14">
        <v>16.481000000000002</v>
      </c>
      <c r="LT14">
        <v>-30.690897003655699</v>
      </c>
      <c r="LU14">
        <v>-1653.27156710807</v>
      </c>
      <c r="LV14">
        <v>18.9510409685744</v>
      </c>
      <c r="LW14">
        <v>22.620752346616801</v>
      </c>
      <c r="LX14">
        <v>919.79193777485602</v>
      </c>
      <c r="LY14">
        <v>-22.032009982204599</v>
      </c>
      <c r="LZ14">
        <v>17.125020787629101</v>
      </c>
      <c r="MA14">
        <v>16.481000000000002</v>
      </c>
      <c r="MB14">
        <v>-32.401840258288601</v>
      </c>
      <c r="MC14">
        <v>-1098.5687711063099</v>
      </c>
      <c r="MD14">
        <v>19.0042234198297</v>
      </c>
      <c r="ME14">
        <v>22.679893192518499</v>
      </c>
      <c r="MF14">
        <v>596.93289952771602</v>
      </c>
      <c r="MG14">
        <v>-36.838369675758798</v>
      </c>
      <c r="MH14">
        <v>16.860992041652899</v>
      </c>
      <c r="MI14">
        <v>16.481000000000002</v>
      </c>
      <c r="MJ14">
        <v>37.947778148379697</v>
      </c>
      <c r="MK14">
        <v>-921.99624604643805</v>
      </c>
      <c r="ML14">
        <v>17.9697619944377</v>
      </c>
      <c r="MM14">
        <v>20.5256892660706</v>
      </c>
      <c r="MN14">
        <v>621.06453384347697</v>
      </c>
      <c r="MO14">
        <v>-17.9750179972526</v>
      </c>
      <c r="MP14">
        <v>17.1089544854179</v>
      </c>
      <c r="MQ14">
        <v>16.481000000000002</v>
      </c>
      <c r="MR14">
        <v>34.042205208051399</v>
      </c>
      <c r="MS14">
        <v>-1056.1973861650399</v>
      </c>
      <c r="MT14">
        <v>19.030213191894799</v>
      </c>
      <c r="MU14">
        <v>23.088898157909099</v>
      </c>
      <c r="MV14">
        <v>674.25200547712996</v>
      </c>
      <c r="MW14">
        <v>-25.9033496028188</v>
      </c>
      <c r="MX14">
        <v>17.721490970865101</v>
      </c>
      <c r="MY14">
        <v>20.691262811061399</v>
      </c>
      <c r="MZ14">
        <v>431.20779355019903</v>
      </c>
      <c r="NA14">
        <v>-726.32180340587797</v>
      </c>
      <c r="NB14">
        <v>19.0754833850933</v>
      </c>
      <c r="NC14">
        <v>23.045312961256201</v>
      </c>
      <c r="ND14">
        <v>1284.2748369634101</v>
      </c>
      <c r="NE14">
        <v>-12.2985489631993</v>
      </c>
      <c r="NF14">
        <v>17.643263368231999</v>
      </c>
      <c r="NG14">
        <v>20.875930630025</v>
      </c>
      <c r="NH14">
        <v>356.54108592061402</v>
      </c>
      <c r="NI14">
        <v>-391.267341697647</v>
      </c>
      <c r="NJ14">
        <v>19.031720876764801</v>
      </c>
      <c r="NK14">
        <v>23.452245628063</v>
      </c>
      <c r="NL14">
        <v>910.52612634870798</v>
      </c>
      <c r="NM14">
        <v>-34.358176161028702</v>
      </c>
      <c r="NN14">
        <v>17.059052014891702</v>
      </c>
      <c r="NO14">
        <v>19.074131484233501</v>
      </c>
      <c r="NP14">
        <v>224.57314814508601</v>
      </c>
      <c r="NQ14" s="35">
        <v>-593.91350389614502</v>
      </c>
      <c r="NR14" s="35">
        <v>18.038211259516402</v>
      </c>
      <c r="NS14">
        <v>20.960824918462801</v>
      </c>
      <c r="NT14">
        <v>844.04369918621501</v>
      </c>
      <c r="NU14">
        <v>-11.7472311027256</v>
      </c>
      <c r="NV14">
        <v>17.651135401588299</v>
      </c>
      <c r="NW14">
        <v>21.478444299148599</v>
      </c>
      <c r="NX14">
        <v>2.9816481126133101</v>
      </c>
      <c r="NY14">
        <v>358.62514887350397</v>
      </c>
      <c r="NZ14">
        <v>-387.982061587104</v>
      </c>
      <c r="OA14">
        <v>19.0365194711135</v>
      </c>
      <c r="OB14">
        <v>23.452583478444399</v>
      </c>
      <c r="OC14">
        <v>2.9047308172640101</v>
      </c>
      <c r="OD14">
        <v>911.33619816735302</v>
      </c>
      <c r="OE14">
        <v>2.9816481126133101</v>
      </c>
      <c r="OF14">
        <v>2.9047308172640101</v>
      </c>
      <c r="OG14">
        <v>-25.938308679194702</v>
      </c>
      <c r="OH14">
        <v>17.769898343756999</v>
      </c>
      <c r="OI14">
        <v>21.483537262298501</v>
      </c>
      <c r="OJ14">
        <v>331.455477996735</v>
      </c>
      <c r="OK14">
        <v>-773.85744778603805</v>
      </c>
      <c r="OL14">
        <v>19.071242117003202</v>
      </c>
      <c r="OM14">
        <v>22.577602576948401</v>
      </c>
      <c r="ON14">
        <v>981.58108878849202</v>
      </c>
      <c r="OO14">
        <v>-19.158598851855601</v>
      </c>
      <c r="OP14">
        <v>17.818525862997799</v>
      </c>
      <c r="OQ14">
        <v>21.941357386476401</v>
      </c>
      <c r="OR14">
        <v>206.809249400748</v>
      </c>
      <c r="OS14">
        <v>-551.02824748697606</v>
      </c>
      <c r="OT14">
        <v>19.230048685832699</v>
      </c>
      <c r="OU14">
        <v>22.889970227109401</v>
      </c>
      <c r="OV14">
        <v>657.01176343232999</v>
      </c>
      <c r="OW14">
        <v>-30.4589738172422</v>
      </c>
      <c r="OX14">
        <v>16.864422808145999</v>
      </c>
      <c r="OY14">
        <v>19.336993363688102</v>
      </c>
      <c r="OZ14">
        <v>242.082644101586</v>
      </c>
      <c r="PA14">
        <v>-763.37075815172</v>
      </c>
      <c r="PB14">
        <v>18.045807547588598</v>
      </c>
      <c r="PC14">
        <v>21.3691630936124</v>
      </c>
      <c r="PD14">
        <v>853.00141481017897</v>
      </c>
      <c r="PE14">
        <v>-18.584470717610099</v>
      </c>
      <c r="PF14">
        <v>17.828197525837702</v>
      </c>
      <c r="PG14">
        <v>21.946417186653001</v>
      </c>
      <c r="PH14">
        <v>2.63800476408217</v>
      </c>
      <c r="PI14">
        <v>208.58241264834501</v>
      </c>
      <c r="PJ14">
        <v>-545.048604996829</v>
      </c>
      <c r="PK14">
        <v>19.231650704261899</v>
      </c>
      <c r="PL14">
        <v>22.865410600184099</v>
      </c>
      <c r="PM14" s="35">
        <v>2.4367002176194501</v>
      </c>
      <c r="PN14">
        <v>655.91440166437701</v>
      </c>
      <c r="PO14">
        <v>23.240472003931799</v>
      </c>
      <c r="PP14">
        <v>23.281225984911501</v>
      </c>
      <c r="PQ14">
        <v>20.990409416031401</v>
      </c>
      <c r="PR14">
        <v>23.796196348296199</v>
      </c>
      <c r="PS14">
        <v>17.951544201949801</v>
      </c>
      <c r="PT14">
        <v>23.771182192541101</v>
      </c>
      <c r="PU14">
        <v>24.309321734355599</v>
      </c>
      <c r="PV14">
        <v>21.522405580169401</v>
      </c>
      <c r="PW14">
        <v>24.308806299457299</v>
      </c>
      <c r="PX14">
        <v>17.7755289131056</v>
      </c>
      <c r="PY14">
        <v>23.183072635131499</v>
      </c>
      <c r="PZ14">
        <v>23.543567054162398</v>
      </c>
      <c r="QA14">
        <v>22.040123331946599</v>
      </c>
      <c r="QB14">
        <v>23.5076462313782</v>
      </c>
      <c r="QC14">
        <v>17.149629654978199</v>
      </c>
      <c r="QD14">
        <v>16.006142944757201</v>
      </c>
      <c r="QE14">
        <v>25.672974741571899</v>
      </c>
      <c r="QF14">
        <v>25.7838416004174</v>
      </c>
      <c r="QG14">
        <v>22.884915779812601</v>
      </c>
      <c r="QH14">
        <v>26.165384116932199</v>
      </c>
      <c r="QI14">
        <v>17.5199679359567</v>
      </c>
      <c r="QJ14">
        <v>26.166446894624698</v>
      </c>
      <c r="QK14">
        <v>26.738617891755101</v>
      </c>
      <c r="QL14">
        <v>23.633909160985301</v>
      </c>
      <c r="QM14">
        <v>27.142605068256199</v>
      </c>
      <c r="QN14">
        <v>-7944.48032394027</v>
      </c>
      <c r="QO14">
        <v>17.320154911404199</v>
      </c>
      <c r="QP14">
        <v>4604.7684962670801</v>
      </c>
      <c r="QQ14">
        <v>25.682209414689101</v>
      </c>
      <c r="QR14">
        <v>26.018285449057501</v>
      </c>
      <c r="QS14">
        <v>24.3272615543104</v>
      </c>
      <c r="QT14">
        <v>25.984355308348398</v>
      </c>
      <c r="QU14">
        <v>16.798694610446798</v>
      </c>
      <c r="QV14">
        <v>15.3349041387012</v>
      </c>
      <c r="QW14">
        <v>363038.41736157599</v>
      </c>
      <c r="QX14">
        <v>0</v>
      </c>
      <c r="QY14">
        <v>270487.78084398602</v>
      </c>
      <c r="QZ14">
        <v>0</v>
      </c>
      <c r="RA14">
        <v>34512.017631076298</v>
      </c>
      <c r="RB14">
        <v>0</v>
      </c>
      <c r="RC14">
        <v>23367.626320400399</v>
      </c>
      <c r="RD14">
        <v>0</v>
      </c>
      <c r="RE14">
        <v>103403.90828663101</v>
      </c>
      <c r="RF14">
        <v>0</v>
      </c>
      <c r="RG14">
        <v>77945.725528309398</v>
      </c>
      <c r="RH14" s="35">
        <v>0</v>
      </c>
      <c r="RI14">
        <v>14052.5743890917</v>
      </c>
      <c r="RJ14" s="35">
        <v>849.01420593774696</v>
      </c>
      <c r="RK14">
        <v>28.105477479211999</v>
      </c>
      <c r="RL14">
        <v>5868.4564138630203</v>
      </c>
      <c r="RM14" s="35">
        <v>3998.2235544038399</v>
      </c>
      <c r="RN14">
        <v>12075.3159418286</v>
      </c>
      <c r="RO14" s="35">
        <v>8759.4854302598305</v>
      </c>
      <c r="RP14">
        <v>543.63087286135499</v>
      </c>
      <c r="RQ14" s="35">
        <v>28.286457215923399</v>
      </c>
      <c r="RR14" s="35">
        <v>3554.53626859211</v>
      </c>
      <c r="RS14">
        <v>2145.3616023290101</v>
      </c>
      <c r="RT14">
        <v>7273.6138258897499</v>
      </c>
      <c r="RU14">
        <v>10510.821018402101</v>
      </c>
      <c r="RV14">
        <v>0</v>
      </c>
      <c r="RW14">
        <v>24.779422143593699</v>
      </c>
      <c r="RX14">
        <v>5309.0048014023496</v>
      </c>
      <c r="RY14">
        <v>5309.0048014023496</v>
      </c>
      <c r="RZ14">
        <v>13478.13761743</v>
      </c>
      <c r="SA14">
        <v>8379.3016744489196</v>
      </c>
      <c r="SB14">
        <v>548.82011825007805</v>
      </c>
      <c r="SC14">
        <v>28.534571885568202</v>
      </c>
      <c r="SD14">
        <v>2741.49596063433</v>
      </c>
      <c r="SE14">
        <v>1818.7946154911699</v>
      </c>
      <c r="SF14">
        <v>6930.83583389865</v>
      </c>
      <c r="SG14">
        <v>0</v>
      </c>
      <c r="SH14">
        <v>4620.7405808666999</v>
      </c>
      <c r="SI14">
        <v>17.088391669963599</v>
      </c>
      <c r="SJ14">
        <v>29784.6053068373</v>
      </c>
      <c r="SK14">
        <v>29784.6053068373</v>
      </c>
      <c r="SL14">
        <v>75018.508214904403</v>
      </c>
      <c r="SM14">
        <v>21.1111</v>
      </c>
      <c r="SN14">
        <v>26.666699999999999</v>
      </c>
      <c r="SO14">
        <v>2106.3910595743</v>
      </c>
      <c r="SP14">
        <v>0</v>
      </c>
      <c r="SQ14">
        <v>23.685862053076001</v>
      </c>
      <c r="SR14">
        <v>0</v>
      </c>
      <c r="SS14">
        <v>0</v>
      </c>
      <c r="ST14">
        <v>0</v>
      </c>
      <c r="SU14">
        <v>1282.50454616664</v>
      </c>
      <c r="SV14">
        <v>0</v>
      </c>
      <c r="SW14">
        <v>23.761698133752901</v>
      </c>
      <c r="SX14">
        <v>0</v>
      </c>
      <c r="SY14">
        <v>0</v>
      </c>
      <c r="SZ14">
        <v>0</v>
      </c>
      <c r="TA14">
        <v>2274.1830932632101</v>
      </c>
      <c r="TB14">
        <v>0</v>
      </c>
      <c r="TC14">
        <v>22.114990093851201</v>
      </c>
      <c r="TD14">
        <v>0</v>
      </c>
      <c r="TE14">
        <v>0</v>
      </c>
      <c r="TF14">
        <v>0</v>
      </c>
      <c r="TG14">
        <v>1374.9186935898199</v>
      </c>
      <c r="TH14">
        <v>0</v>
      </c>
      <c r="TI14">
        <v>24.650970101750399</v>
      </c>
      <c r="TJ14">
        <v>0</v>
      </c>
      <c r="TK14">
        <v>0</v>
      </c>
      <c r="TL14">
        <v>0</v>
      </c>
      <c r="TM14">
        <v>4756.4222352319402</v>
      </c>
      <c r="TN14">
        <v>822.86395906383802</v>
      </c>
      <c r="TO14">
        <v>19.397644961908799</v>
      </c>
      <c r="TP14">
        <v>0</v>
      </c>
      <c r="TQ14">
        <v>0</v>
      </c>
      <c r="TR14">
        <v>0</v>
      </c>
      <c r="TS14">
        <v>13232.7715583197</v>
      </c>
      <c r="TT14">
        <v>866.07889523788504</v>
      </c>
      <c r="TU14">
        <v>28.5617115967082</v>
      </c>
      <c r="TV14">
        <v>4323.4205967997596</v>
      </c>
      <c r="TW14">
        <v>2770.5999687620401</v>
      </c>
      <c r="TX14">
        <v>10824.089241313401</v>
      </c>
      <c r="TY14">
        <v>9364.6422864005708</v>
      </c>
      <c r="TZ14">
        <v>270.36478493539198</v>
      </c>
      <c r="UA14">
        <v>29.167914049154501</v>
      </c>
      <c r="UB14">
        <v>2492.8261742663899</v>
      </c>
      <c r="UC14">
        <v>2477.5309574786802</v>
      </c>
      <c r="UD14">
        <v>7580.03934643908</v>
      </c>
      <c r="UE14">
        <v>11897.2625589077</v>
      </c>
      <c r="UF14">
        <v>0</v>
      </c>
      <c r="UG14">
        <v>25.745412741801101</v>
      </c>
      <c r="UH14">
        <v>5329.3475073437903</v>
      </c>
      <c r="UI14">
        <v>5329.3475073437903</v>
      </c>
      <c r="UJ14">
        <v>13476.8673869168</v>
      </c>
      <c r="UK14">
        <v>10424.4747521599</v>
      </c>
      <c r="UL14">
        <v>0</v>
      </c>
      <c r="UM14">
        <v>29.976403837055202</v>
      </c>
      <c r="UN14">
        <v>2538.6638468768401</v>
      </c>
      <c r="UO14">
        <v>2538.6638468768401</v>
      </c>
      <c r="UP14">
        <v>7641.4934129571302</v>
      </c>
      <c r="UQ14">
        <v>0</v>
      </c>
      <c r="UR14">
        <v>4866.0643715983697</v>
      </c>
      <c r="US14">
        <v>16.864780909702901</v>
      </c>
      <c r="UT14">
        <v>31362.773220970699</v>
      </c>
      <c r="UU14">
        <v>31362.773220970699</v>
      </c>
      <c r="UV14">
        <v>76715.061806731406</v>
      </c>
      <c r="UW14">
        <v>21.1111</v>
      </c>
      <c r="UX14">
        <v>26.666699999999999</v>
      </c>
      <c r="UY14">
        <v>2130.8325467807199</v>
      </c>
      <c r="UZ14">
        <v>0</v>
      </c>
      <c r="VA14">
        <v>24.658646062837001</v>
      </c>
      <c r="VB14">
        <v>0</v>
      </c>
      <c r="VC14">
        <v>0</v>
      </c>
      <c r="VD14">
        <v>0</v>
      </c>
      <c r="VE14">
        <v>2328.4446415310899</v>
      </c>
      <c r="VF14">
        <v>0</v>
      </c>
      <c r="VG14">
        <v>26.420863788907301</v>
      </c>
      <c r="VH14">
        <v>0</v>
      </c>
      <c r="VI14">
        <v>0</v>
      </c>
      <c r="VJ14">
        <v>0</v>
      </c>
      <c r="VK14">
        <v>2851.0550787525099</v>
      </c>
      <c r="VL14">
        <v>0</v>
      </c>
      <c r="VM14">
        <v>22.977426842523801</v>
      </c>
      <c r="VN14">
        <v>0</v>
      </c>
      <c r="VO14">
        <v>0</v>
      </c>
      <c r="VP14">
        <v>0</v>
      </c>
      <c r="VQ14">
        <v>3145.1348786908002</v>
      </c>
      <c r="VR14">
        <v>0</v>
      </c>
      <c r="VS14">
        <v>27.3422261472457</v>
      </c>
      <c r="VT14">
        <v>0</v>
      </c>
      <c r="VU14">
        <v>0</v>
      </c>
      <c r="VV14">
        <v>0</v>
      </c>
      <c r="VW14">
        <v>8510.8178091702903</v>
      </c>
      <c r="VX14">
        <v>0</v>
      </c>
      <c r="VY14">
        <v>20.421332578527</v>
      </c>
      <c r="VZ14">
        <v>0</v>
      </c>
      <c r="WA14">
        <v>0</v>
      </c>
      <c r="WB14">
        <v>0</v>
      </c>
      <c r="WC14">
        <v>14308.317067025901</v>
      </c>
      <c r="WD14">
        <v>853.52370105000603</v>
      </c>
      <c r="WE14">
        <v>28.1813461942468</v>
      </c>
      <c r="WF14">
        <v>5973.78218733222</v>
      </c>
      <c r="WG14">
        <v>4006.9468925322799</v>
      </c>
      <c r="WH14">
        <v>12088.3512039704</v>
      </c>
      <c r="WI14">
        <v>2002712.7967000699</v>
      </c>
      <c r="WJ14">
        <v>8887.2036118586002</v>
      </c>
      <c r="WK14">
        <v>556.30911019446296</v>
      </c>
      <c r="WL14">
        <v>28.4930038439526</v>
      </c>
      <c r="WM14">
        <v>3547.6024753193801</v>
      </c>
      <c r="WN14">
        <v>2063.7140692977</v>
      </c>
      <c r="WO14">
        <v>7191.5388476853996</v>
      </c>
      <c r="WP14">
        <v>21.1111</v>
      </c>
      <c r="WQ14">
        <v>26.666699999999999</v>
      </c>
      <c r="WR14">
        <v>12717.1679858722</v>
      </c>
      <c r="WS14">
        <v>0</v>
      </c>
      <c r="WT14">
        <v>26.614399776674201</v>
      </c>
      <c r="WU14">
        <v>4959.4671151014099</v>
      </c>
      <c r="WV14">
        <v>4959.4671151014099</v>
      </c>
      <c r="WW14">
        <v>13082.9683349351</v>
      </c>
      <c r="WX14">
        <v>1988342.6762083999</v>
      </c>
      <c r="WY14">
        <v>8892.8478809742992</v>
      </c>
      <c r="WZ14">
        <v>552.31741005788797</v>
      </c>
      <c r="XA14">
        <v>28.461064385318601</v>
      </c>
      <c r="XB14">
        <v>3581.2736753901499</v>
      </c>
      <c r="XC14">
        <v>2098.3391847706598</v>
      </c>
      <c r="XD14">
        <v>7226.7214168865703</v>
      </c>
      <c r="XE14">
        <v>0</v>
      </c>
      <c r="XF14">
        <v>3814.6478185291598</v>
      </c>
      <c r="XG14">
        <v>16.447759565915302</v>
      </c>
      <c r="XH14">
        <v>35564.875756326197</v>
      </c>
      <c r="XI14">
        <v>35564.875756326197</v>
      </c>
      <c r="XJ14">
        <v>80773.855679020999</v>
      </c>
      <c r="XK14">
        <v>21.1111</v>
      </c>
      <c r="XL14">
        <v>26.666699999999999</v>
      </c>
      <c r="XM14">
        <v>1670.8031362776701</v>
      </c>
      <c r="XN14">
        <v>0</v>
      </c>
      <c r="XO14">
        <v>24.054526494627002</v>
      </c>
      <c r="XP14">
        <v>0</v>
      </c>
      <c r="XQ14">
        <v>0</v>
      </c>
      <c r="XR14">
        <v>0</v>
      </c>
      <c r="XS14">
        <v>813.53827583594398</v>
      </c>
      <c r="XT14">
        <v>0</v>
      </c>
      <c r="XU14">
        <v>24.6862270674972</v>
      </c>
      <c r="XV14">
        <v>0</v>
      </c>
      <c r="XW14">
        <v>0</v>
      </c>
      <c r="XX14">
        <v>0</v>
      </c>
      <c r="XY14">
        <v>2519.8317269293002</v>
      </c>
      <c r="XZ14">
        <v>0</v>
      </c>
      <c r="YA14">
        <v>24.498023355318601</v>
      </c>
      <c r="YB14">
        <v>0</v>
      </c>
      <c r="YC14">
        <v>0</v>
      </c>
      <c r="YD14">
        <v>0</v>
      </c>
      <c r="YE14">
        <v>799.89317719322503</v>
      </c>
      <c r="YF14">
        <v>0</v>
      </c>
      <c r="YG14">
        <v>24.660500354642501</v>
      </c>
      <c r="YH14">
        <v>0</v>
      </c>
      <c r="YI14">
        <v>0</v>
      </c>
      <c r="YJ14">
        <v>0</v>
      </c>
      <c r="YK14">
        <v>6865.7067868989698</v>
      </c>
      <c r="YL14">
        <v>95.252633964995795</v>
      </c>
      <c r="YM14">
        <v>19.3546232378845</v>
      </c>
      <c r="YN14">
        <v>0</v>
      </c>
      <c r="YO14">
        <v>0</v>
      </c>
      <c r="YP14">
        <v>0</v>
      </c>
      <c r="YQ14">
        <v>0</v>
      </c>
      <c r="YR14">
        <v>1025.1097137714301</v>
      </c>
      <c r="YS14">
        <v>17.1142326541624</v>
      </c>
      <c r="YT14">
        <v>0</v>
      </c>
      <c r="YU14">
        <v>0</v>
      </c>
      <c r="YV14">
        <v>0</v>
      </c>
      <c r="YW14">
        <v>0</v>
      </c>
      <c r="YX14">
        <v>655.57159357368403</v>
      </c>
      <c r="YY14">
        <v>17.119998232417799</v>
      </c>
      <c r="YZ14">
        <v>0</v>
      </c>
      <c r="ZA14">
        <v>0</v>
      </c>
      <c r="ZB14">
        <v>0</v>
      </c>
      <c r="ZC14">
        <v>0</v>
      </c>
      <c r="ZD14">
        <v>649.079102878296</v>
      </c>
      <c r="ZE14">
        <v>16.768777396423001</v>
      </c>
      <c r="ZF14">
        <v>0</v>
      </c>
      <c r="ZG14">
        <v>0</v>
      </c>
      <c r="ZH14">
        <v>0</v>
      </c>
      <c r="ZI14">
        <v>0</v>
      </c>
      <c r="ZJ14">
        <v>635.31166503907798</v>
      </c>
      <c r="ZK14">
        <v>17.122013129476102</v>
      </c>
      <c r="ZL14">
        <v>0</v>
      </c>
      <c r="ZM14">
        <v>0</v>
      </c>
      <c r="ZN14">
        <v>0</v>
      </c>
      <c r="ZO14">
        <v>0</v>
      </c>
      <c r="ZP14">
        <v>6580.48574542202</v>
      </c>
      <c r="ZQ14">
        <v>15.7829784126509</v>
      </c>
      <c r="ZR14">
        <v>0</v>
      </c>
      <c r="ZS14">
        <v>0</v>
      </c>
      <c r="ZT14">
        <v>0</v>
      </c>
      <c r="ZU14">
        <v>0</v>
      </c>
      <c r="ZV14">
        <v>1346.00726141563</v>
      </c>
      <c r="ZW14">
        <v>17.294948701961999</v>
      </c>
      <c r="ZX14">
        <v>0</v>
      </c>
      <c r="ZY14">
        <v>0</v>
      </c>
      <c r="ZZ14">
        <v>0</v>
      </c>
      <c r="AAA14">
        <v>0</v>
      </c>
      <c r="AAB14">
        <v>1040.49953413956</v>
      </c>
      <c r="AAC14">
        <v>17.032585262900898</v>
      </c>
      <c r="AAD14">
        <v>0</v>
      </c>
      <c r="AAE14">
        <v>0</v>
      </c>
      <c r="AAF14">
        <v>0</v>
      </c>
      <c r="AAG14">
        <v>0</v>
      </c>
      <c r="AAH14">
        <v>1024.7384742331601</v>
      </c>
      <c r="AAI14">
        <v>16.7189519367899</v>
      </c>
      <c r="AAJ14">
        <v>0</v>
      </c>
      <c r="AAK14">
        <v>0</v>
      </c>
      <c r="AAL14">
        <v>0</v>
      </c>
      <c r="AAM14">
        <v>0</v>
      </c>
      <c r="AAN14">
        <v>1267.26350496232</v>
      </c>
      <c r="AAO14">
        <v>16.783700235846698</v>
      </c>
      <c r="AAP14">
        <v>0</v>
      </c>
      <c r="AAQ14">
        <v>0</v>
      </c>
      <c r="AAR14">
        <v>0</v>
      </c>
      <c r="AAS14">
        <v>0</v>
      </c>
      <c r="AAT14">
        <v>5800.6988088871303</v>
      </c>
      <c r="AAU14">
        <v>15.530334752969599</v>
      </c>
      <c r="AAV14">
        <v>0</v>
      </c>
      <c r="AAW14">
        <v>0</v>
      </c>
      <c r="AAX14">
        <v>0</v>
      </c>
      <c r="AAY14">
        <v>0</v>
      </c>
      <c r="AAZ14">
        <v>1480.7906204502899</v>
      </c>
      <c r="ABA14">
        <v>17.1313325684043</v>
      </c>
      <c r="ABB14">
        <v>0</v>
      </c>
      <c r="ABC14">
        <v>0</v>
      </c>
      <c r="ABD14">
        <v>0</v>
      </c>
      <c r="ABE14">
        <v>0</v>
      </c>
      <c r="ABF14">
        <v>971.36353202111002</v>
      </c>
      <c r="ABG14">
        <v>17.185422595054</v>
      </c>
      <c r="ABH14">
        <v>0</v>
      </c>
      <c r="ABI14">
        <v>0</v>
      </c>
      <c r="ABJ14">
        <v>0</v>
      </c>
      <c r="ABK14">
        <v>0</v>
      </c>
      <c r="ABL14">
        <v>1055.5468305023801</v>
      </c>
      <c r="ABM14">
        <v>16.438569445879299</v>
      </c>
      <c r="ABN14">
        <v>0</v>
      </c>
      <c r="ABO14">
        <v>0</v>
      </c>
      <c r="ABP14">
        <v>0</v>
      </c>
      <c r="ABQ14">
        <v>0</v>
      </c>
      <c r="ABR14">
        <v>973.67561392914297</v>
      </c>
      <c r="ABS14">
        <v>17.1893464407115</v>
      </c>
      <c r="ABT14">
        <v>0</v>
      </c>
      <c r="ABU14">
        <v>0</v>
      </c>
      <c r="ABV14">
        <v>0</v>
      </c>
      <c r="ABW14">
        <v>0</v>
      </c>
      <c r="ABX14">
        <v>3554.6049252603002</v>
      </c>
      <c r="ABY14">
        <v>15.3349041387012</v>
      </c>
      <c r="ABZ14">
        <v>0</v>
      </c>
      <c r="ACA14">
        <v>0</v>
      </c>
      <c r="ACB14">
        <v>0</v>
      </c>
      <c r="ACC14">
        <v>0.15</v>
      </c>
      <c r="ACD14">
        <v>1600593.88060532</v>
      </c>
      <c r="ACE14">
        <v>2402.17447635282</v>
      </c>
      <c r="ACF14">
        <v>12.9962655763655</v>
      </c>
      <c r="ACG14">
        <v>12.953696484866599</v>
      </c>
      <c r="ACH14">
        <v>6.7500018069949999</v>
      </c>
      <c r="ACI14">
        <v>2846.7838876320802</v>
      </c>
      <c r="ACJ14">
        <v>2.70393148559375</v>
      </c>
      <c r="ACK14">
        <v>20.811498439402101</v>
      </c>
      <c r="ACL14">
        <v>20.8546847802155</v>
      </c>
      <c r="ACM14">
        <v>7.8850021108378598</v>
      </c>
      <c r="ACN14">
        <v>0</v>
      </c>
      <c r="ACP14">
        <v>14027.2849467615</v>
      </c>
      <c r="ACR14">
        <v>14027.2849467615</v>
      </c>
      <c r="ACT14">
        <v>17.141803986368799</v>
      </c>
      <c r="ACU14">
        <v>16.904266501706001</v>
      </c>
      <c r="ACV14">
        <v>1.7</v>
      </c>
      <c r="ACW14">
        <v>4.3269602165893897</v>
      </c>
      <c r="ACX14">
        <v>0.79056814340410997</v>
      </c>
      <c r="ACY14">
        <v>16.922125130631098</v>
      </c>
      <c r="ACZ14">
        <v>16.6771515799499</v>
      </c>
      <c r="ADA14">
        <v>1.7</v>
      </c>
      <c r="ADB14">
        <v>4.2470252221191798</v>
      </c>
      <c r="ADC14">
        <v>0.79501238914679695</v>
      </c>
      <c r="ADD14">
        <v>16.4904618073822</v>
      </c>
      <c r="ADE14">
        <v>16.290514746863501</v>
      </c>
      <c r="ADF14">
        <v>1.7</v>
      </c>
      <c r="ADG14">
        <v>4.5471572399447604</v>
      </c>
      <c r="ADH14">
        <v>0.78610313006022003</v>
      </c>
      <c r="ADI14">
        <v>29.187319200417399</v>
      </c>
      <c r="ADJ14">
        <v>29.187319200417399</v>
      </c>
      <c r="ADK14">
        <v>0</v>
      </c>
      <c r="ADL14">
        <v>0</v>
      </c>
      <c r="ADM14">
        <v>1</v>
      </c>
      <c r="ADN14">
        <v>29.235790830611698</v>
      </c>
      <c r="ADO14">
        <v>29.235790830611698</v>
      </c>
      <c r="ADP14">
        <v>0</v>
      </c>
      <c r="ADQ14">
        <v>0</v>
      </c>
      <c r="ADR14">
        <v>1</v>
      </c>
      <c r="ADS14">
        <v>25.590567825229002</v>
      </c>
      <c r="ADT14">
        <v>25.590567825229002</v>
      </c>
      <c r="ADU14">
        <v>0</v>
      </c>
      <c r="ADV14">
        <v>0</v>
      </c>
      <c r="ADW14">
        <v>1</v>
      </c>
      <c r="ADX14">
        <v>29.722073365701601</v>
      </c>
      <c r="ADY14">
        <v>29.722073365701601</v>
      </c>
      <c r="ADZ14">
        <v>0</v>
      </c>
      <c r="AEA14">
        <v>0</v>
      </c>
      <c r="AEB14">
        <v>1</v>
      </c>
      <c r="AEC14">
        <v>29.779542228029499</v>
      </c>
      <c r="AED14">
        <v>29.779542228029499</v>
      </c>
      <c r="AEE14">
        <v>0</v>
      </c>
      <c r="AEF14">
        <v>0</v>
      </c>
      <c r="AEG14">
        <v>1</v>
      </c>
      <c r="AEH14">
        <v>30.391695829388901</v>
      </c>
      <c r="AEI14">
        <v>30.391695829388901</v>
      </c>
      <c r="AEJ14">
        <v>0</v>
      </c>
      <c r="AEK14">
        <v>0</v>
      </c>
      <c r="AEL14">
        <v>1</v>
      </c>
      <c r="AEM14">
        <v>26.5825860667745</v>
      </c>
      <c r="AEN14">
        <v>26.5825860667745</v>
      </c>
      <c r="AEO14">
        <v>0</v>
      </c>
      <c r="AEP14">
        <v>0</v>
      </c>
      <c r="AEQ14">
        <v>1</v>
      </c>
      <c r="AER14">
        <v>30.757594272238499</v>
      </c>
      <c r="AES14">
        <v>30.757594272238499</v>
      </c>
      <c r="AET14">
        <v>0</v>
      </c>
      <c r="AEU14">
        <v>0</v>
      </c>
      <c r="AEV14">
        <v>1</v>
      </c>
      <c r="AEW14">
        <v>29.283476530222501</v>
      </c>
      <c r="AEX14">
        <v>29.283476530222501</v>
      </c>
      <c r="AEY14">
        <v>0</v>
      </c>
      <c r="AEZ14">
        <v>0</v>
      </c>
      <c r="AFA14">
        <v>1</v>
      </c>
      <c r="AFB14">
        <v>29.5330131443799</v>
      </c>
      <c r="AFC14">
        <v>29.5330131443799</v>
      </c>
      <c r="AFD14">
        <v>0</v>
      </c>
      <c r="AFE14">
        <v>0</v>
      </c>
      <c r="AFF14">
        <v>1</v>
      </c>
      <c r="AFG14">
        <v>27.414727423745699</v>
      </c>
      <c r="AFH14">
        <v>27.414727423745699</v>
      </c>
      <c r="AFI14">
        <v>0</v>
      </c>
      <c r="AFJ14">
        <v>0</v>
      </c>
      <c r="AFK14">
        <v>1</v>
      </c>
      <c r="AFL14">
        <v>29.508379992695701</v>
      </c>
      <c r="AFM14">
        <v>29.508379992695701</v>
      </c>
      <c r="AFN14">
        <v>0</v>
      </c>
      <c r="AFO14">
        <v>0</v>
      </c>
      <c r="AFP14">
        <v>1</v>
      </c>
      <c r="AFQ14">
        <v>-0.45076128059773601</v>
      </c>
      <c r="AFR14">
        <v>0.26728367405285203</v>
      </c>
      <c r="AFS14">
        <v>0.403121687938648</v>
      </c>
      <c r="AFT14">
        <v>0.278362083818327</v>
      </c>
      <c r="AFU14">
        <v>-0.27119996693952603</v>
      </c>
      <c r="AFV14">
        <v>0.40945114818850498</v>
      </c>
      <c r="AFW14">
        <v>0.61547906490851201</v>
      </c>
      <c r="AFX14">
        <v>0.55802787542075805</v>
      </c>
      <c r="AFY14">
        <v>-0.108907127256194</v>
      </c>
      <c r="AFZ14">
        <v>0.27639147602139902</v>
      </c>
      <c r="AGA14">
        <v>0.34332063406625801</v>
      </c>
      <c r="AGB14">
        <v>0.35069422829067298</v>
      </c>
      <c r="AGC14">
        <v>-1.67945081218454</v>
      </c>
      <c r="AGD14">
        <v>-1.7117711925008601</v>
      </c>
      <c r="AGE14">
        <v>-1.78333732491217</v>
      </c>
      <c r="AGF14">
        <v>0</v>
      </c>
      <c r="AGG14">
        <v>0</v>
      </c>
      <c r="AGH14">
        <v>0</v>
      </c>
      <c r="AGI14">
        <v>0</v>
      </c>
      <c r="AGJ14">
        <v>0</v>
      </c>
      <c r="AGK14">
        <v>0</v>
      </c>
      <c r="AGL14">
        <v>0</v>
      </c>
      <c r="AGM14">
        <v>0</v>
      </c>
      <c r="AGN14">
        <v>0</v>
      </c>
      <c r="AGO14">
        <v>0</v>
      </c>
      <c r="AGP14">
        <v>0</v>
      </c>
      <c r="AGQ14">
        <v>0</v>
      </c>
      <c r="AGR14">
        <v>0</v>
      </c>
      <c r="AGS14">
        <v>0</v>
      </c>
      <c r="AGT14">
        <v>0</v>
      </c>
      <c r="AGU14">
        <v>0</v>
      </c>
      <c r="AGV14">
        <v>0</v>
      </c>
      <c r="AGW14">
        <v>0</v>
      </c>
      <c r="AGX14">
        <v>0</v>
      </c>
      <c r="AGY14">
        <v>0</v>
      </c>
      <c r="AGZ14">
        <v>0</v>
      </c>
      <c r="AHA14">
        <v>0</v>
      </c>
      <c r="AHB14">
        <v>0</v>
      </c>
      <c r="AHC14">
        <v>0</v>
      </c>
      <c r="AHD14">
        <v>0</v>
      </c>
      <c r="AHE14">
        <v>0</v>
      </c>
      <c r="AHF14">
        <v>0</v>
      </c>
      <c r="AHG14">
        <v>0</v>
      </c>
      <c r="AHH14">
        <v>0</v>
      </c>
      <c r="AHI14">
        <v>0</v>
      </c>
      <c r="AHJ14">
        <v>0</v>
      </c>
      <c r="AHK14">
        <v>0</v>
      </c>
      <c r="AHL14">
        <v>0</v>
      </c>
      <c r="AHM14">
        <v>0</v>
      </c>
      <c r="AHN14">
        <v>0</v>
      </c>
      <c r="AHO14">
        <v>0</v>
      </c>
      <c r="AHP14">
        <v>0</v>
      </c>
      <c r="AHQ14">
        <v>0</v>
      </c>
      <c r="AHR14">
        <v>0</v>
      </c>
      <c r="AHS14">
        <v>0</v>
      </c>
      <c r="AHT14">
        <v>0</v>
      </c>
      <c r="AHU14">
        <v>0</v>
      </c>
      <c r="AHV14">
        <v>0</v>
      </c>
      <c r="AHW14">
        <v>0</v>
      </c>
      <c r="AHX14">
        <v>0</v>
      </c>
      <c r="AHZ14">
        <v>17067.8328110088</v>
      </c>
      <c r="AIB14">
        <v>0</v>
      </c>
      <c r="AID14">
        <v>16987.246067283198</v>
      </c>
      <c r="AIF14">
        <v>26757.955253397198</v>
      </c>
      <c r="AIH14">
        <v>17178.177342576098</v>
      </c>
      <c r="AIJ14">
        <v>0</v>
      </c>
      <c r="AIL14">
        <v>21582.592907367602</v>
      </c>
      <c r="AIN14">
        <v>26058.768666252799</v>
      </c>
      <c r="AIP14">
        <v>26819.202509906801</v>
      </c>
      <c r="AIR14">
        <v>21059.614790906999</v>
      </c>
      <c r="AIT14">
        <v>0</v>
      </c>
      <c r="AIV14">
        <v>17488.354339187099</v>
      </c>
      <c r="AIX14">
        <v>17486.730065910899</v>
      </c>
      <c r="AIZ14">
        <v>27567.8697857632</v>
      </c>
      <c r="AJB14">
        <v>24656.057181207801</v>
      </c>
      <c r="AJC14">
        <v>0</v>
      </c>
      <c r="AJE14">
        <v>1560.3251004710701</v>
      </c>
      <c r="AJH14">
        <v>9161.5549313895299</v>
      </c>
      <c r="AJJ14">
        <v>188.98342006827301</v>
      </c>
      <c r="AJK14">
        <v>165.44759687499999</v>
      </c>
      <c r="AJL14">
        <v>220.596795833333</v>
      </c>
      <c r="AJM14">
        <v>190.047162098179</v>
      </c>
      <c r="AJN14">
        <v>173.68398437499999</v>
      </c>
      <c r="AJO14">
        <v>113.724645833333</v>
      </c>
      <c r="AJP14">
        <v>113.724645833333</v>
      </c>
      <c r="AJQ14">
        <v>219.363420886261</v>
      </c>
      <c r="AJR14">
        <v>179.08562604166701</v>
      </c>
      <c r="AJS14">
        <v>110.298397916667</v>
      </c>
      <c r="AJT14">
        <v>110.298397916667</v>
      </c>
      <c r="AJU14">
        <v>156.81271254174601</v>
      </c>
      <c r="AJV14">
        <v>173.68398437499999</v>
      </c>
      <c r="AJW14">
        <v>0</v>
      </c>
      <c r="AJX14">
        <v>0</v>
      </c>
      <c r="AJY14">
        <v>328010.474711444</v>
      </c>
      <c r="AJZ14">
        <v>1560.32507030957</v>
      </c>
      <c r="AKA14">
        <v>0</v>
      </c>
      <c r="AKB14">
        <v>139712.65048370001</v>
      </c>
      <c r="AKC14">
        <v>174810.348714705</v>
      </c>
      <c r="AKD14">
        <v>629317255.37293696</v>
      </c>
      <c r="AKE14">
        <v>56.5905109915605</v>
      </c>
      <c r="AKF14">
        <v>78.882003599280097</v>
      </c>
      <c r="AKG14">
        <v>2.0732379205021401</v>
      </c>
      <c r="AKH14">
        <v>0.672964361087108</v>
      </c>
      <c r="AKI14">
        <v>103803.9</v>
      </c>
      <c r="AKJ14">
        <v>129728.948102296</v>
      </c>
      <c r="AKK14">
        <v>467024213.168266</v>
      </c>
      <c r="AKL14">
        <v>56.5905109915605</v>
      </c>
      <c r="AKM14">
        <v>63.514636580526002</v>
      </c>
      <c r="AKN14">
        <v>1.7933075661817699</v>
      </c>
      <c r="AKO14">
        <v>0.5</v>
      </c>
      <c r="AKP14">
        <v>1892754.8075438701</v>
      </c>
      <c r="AKT14">
        <v>3367397.6241730801</v>
      </c>
      <c r="AKX14">
        <v>3039178.89687692</v>
      </c>
      <c r="ALB14">
        <v>20.866211034122902</v>
      </c>
      <c r="ALC14">
        <v>20.650179375126701</v>
      </c>
      <c r="ALD14">
        <v>3.9425010554189299</v>
      </c>
      <c r="ALE14">
        <v>14240.508328927899</v>
      </c>
      <c r="ALF14">
        <v>0</v>
      </c>
      <c r="ALH14">
        <v>14.3901177358546</v>
      </c>
      <c r="ALI14">
        <v>2.8568269606532499E-3</v>
      </c>
      <c r="ALJ14">
        <v>19.188318370570901</v>
      </c>
      <c r="ALK14">
        <v>14.445176545920299</v>
      </c>
      <c r="ALL14">
        <v>19.188318370570901</v>
      </c>
      <c r="ALM14">
        <v>4.5973830204385603E-4</v>
      </c>
      <c r="ALN14">
        <v>19.965276623476601</v>
      </c>
      <c r="ALO14">
        <v>2.8568269606532499E-3</v>
      </c>
      <c r="ALP14">
        <v>19.848756910960802</v>
      </c>
      <c r="ALQ14">
        <v>19.188318370570901</v>
      </c>
      <c r="ALR14">
        <v>14.3901177358546</v>
      </c>
      <c r="ALS14">
        <v>19.188318370570901</v>
      </c>
      <c r="ALT14">
        <v>14.762367409611301</v>
      </c>
      <c r="ALU14">
        <v>19.188318370570901</v>
      </c>
      <c r="ALV14">
        <v>12.2200000000143</v>
      </c>
      <c r="ALW14">
        <v>1.2479686093350999E-4</v>
      </c>
      <c r="ALX14">
        <v>14.445176545920299</v>
      </c>
      <c r="ALY14">
        <v>1.2479686093350999E-4</v>
      </c>
      <c r="ALZ14">
        <v>5.3179363537712004E-3</v>
      </c>
      <c r="AMA14">
        <v>12.9962655763655</v>
      </c>
      <c r="AMB14">
        <v>6.7499999999999999E-3</v>
      </c>
      <c r="AMC14">
        <v>12.9813471078084</v>
      </c>
      <c r="AMD14">
        <v>6.7499999999999999E-3</v>
      </c>
      <c r="AME14">
        <v>12.953696484866599</v>
      </c>
      <c r="AMF14">
        <v>6.7499999999999999E-3</v>
      </c>
      <c r="AMG14">
        <v>7.8849999999999996E-3</v>
      </c>
      <c r="AMH14">
        <v>4.3401689315965202</v>
      </c>
      <c r="AMI14">
        <v>31.278969977054899</v>
      </c>
      <c r="AMJ14">
        <v>0.54751819999999995</v>
      </c>
      <c r="AMK14" s="580">
        <v>16.008870776544601</v>
      </c>
      <c r="AML14">
        <v>3.3546</v>
      </c>
      <c r="AMM14">
        <v>31.387244162075401</v>
      </c>
      <c r="AMN14">
        <v>0.54751819999999995</v>
      </c>
      <c r="AMO14">
        <v>31.377664921803699</v>
      </c>
      <c r="AMP14">
        <v>0.86216250000000005</v>
      </c>
      <c r="AMQ14">
        <v>37.084921483848099</v>
      </c>
      <c r="AMR14">
        <v>0.70253968657866395</v>
      </c>
      <c r="AMS14">
        <v>15.729042370142</v>
      </c>
      <c r="AMT14">
        <v>3.3546</v>
      </c>
      <c r="AMU14">
        <v>34.878081430664899</v>
      </c>
      <c r="AMV14">
        <v>0.76790910000000001</v>
      </c>
      <c r="AMW14">
        <v>38.651990445648998</v>
      </c>
      <c r="AMX14">
        <v>0.98829999999999996</v>
      </c>
      <c r="AMY14">
        <v>31.3171160332851</v>
      </c>
      <c r="AMZ14">
        <v>0.86216250000000005</v>
      </c>
      <c r="ANA14">
        <v>37.238310022548497</v>
      </c>
      <c r="ANB14">
        <v>0.85143399110627305</v>
      </c>
      <c r="ANC14">
        <v>15.5551699160157</v>
      </c>
      <c r="AND14">
        <v>3.3546</v>
      </c>
      <c r="ANE14">
        <v>31.3817549601115</v>
      </c>
      <c r="ANF14">
        <v>0.56289560000000005</v>
      </c>
      <c r="ANG14">
        <v>31.385115009893099</v>
      </c>
      <c r="ANH14">
        <v>0.56289560000000005</v>
      </c>
      <c r="ANI14">
        <v>31.3408309334649</v>
      </c>
      <c r="ANJ14">
        <v>0.88640865999999996</v>
      </c>
      <c r="ANK14">
        <v>37.257546906942103</v>
      </c>
      <c r="ANL14">
        <v>0.98277433288599203</v>
      </c>
      <c r="ANM14">
        <v>6.0143385865786598</v>
      </c>
      <c r="ANN14">
        <v>6.8244055911062702</v>
      </c>
      <c r="ANO14">
        <v>6.3495741928859903</v>
      </c>
      <c r="ANP14">
        <v>16.008870776544601</v>
      </c>
      <c r="ANQ14">
        <v>17.158112111908299</v>
      </c>
      <c r="ANR14">
        <v>16.982771020274601</v>
      </c>
      <c r="ANS14">
        <v>16.790055049235001</v>
      </c>
      <c r="ANT14">
        <v>17.1439951070723</v>
      </c>
      <c r="ANU14">
        <v>15.729042370142</v>
      </c>
      <c r="ANV14">
        <v>16.778655469403599</v>
      </c>
      <c r="ANW14">
        <v>16.781448619264101</v>
      </c>
      <c r="ANX14">
        <v>16.710883577407401</v>
      </c>
      <c r="ANY14">
        <v>17.051076364698201</v>
      </c>
      <c r="ANZ14">
        <v>15.5551699160157</v>
      </c>
      <c r="AOA14">
        <v>17.174072415418099</v>
      </c>
      <c r="AOB14">
        <v>17.178743512554501</v>
      </c>
      <c r="AOC14">
        <v>16.4390154784423</v>
      </c>
      <c r="AOD14">
        <v>17.118575345323801</v>
      </c>
      <c r="AOE14">
        <v>19.965276623476601</v>
      </c>
      <c r="AOF14">
        <v>4.3401689315965202</v>
      </c>
      <c r="AOG14">
        <v>20.001077094767599</v>
      </c>
      <c r="AOH14">
        <v>4.3401689315965202</v>
      </c>
    </row>
    <row r="15" spans="1:1074">
      <c r="A15" t="s">
        <v>2585</v>
      </c>
      <c r="B15">
        <v>-3.33</v>
      </c>
      <c r="D15">
        <v>-3.33</v>
      </c>
      <c r="F15">
        <v>10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c r="BY15">
        <v>0</v>
      </c>
      <c r="BZ15">
        <v>0</v>
      </c>
      <c r="CA15">
        <v>0</v>
      </c>
      <c r="CB15">
        <v>0</v>
      </c>
      <c r="CC15">
        <v>0</v>
      </c>
      <c r="CD15">
        <v>0</v>
      </c>
      <c r="CE15">
        <v>0</v>
      </c>
      <c r="CF15">
        <v>0</v>
      </c>
      <c r="CG15">
        <v>0</v>
      </c>
      <c r="CH15">
        <v>0</v>
      </c>
      <c r="CI15">
        <v>0</v>
      </c>
      <c r="CJ15">
        <v>0</v>
      </c>
      <c r="CK15">
        <v>0</v>
      </c>
      <c r="CL15">
        <v>0</v>
      </c>
      <c r="CM15">
        <v>0</v>
      </c>
      <c r="CN15">
        <v>0</v>
      </c>
      <c r="CO15">
        <v>0</v>
      </c>
      <c r="CP15">
        <v>0</v>
      </c>
      <c r="CQ15">
        <v>0</v>
      </c>
      <c r="CR15">
        <v>0</v>
      </c>
      <c r="CS15">
        <v>0</v>
      </c>
      <c r="CT15">
        <v>0</v>
      </c>
      <c r="CU15">
        <v>0</v>
      </c>
      <c r="CV15">
        <v>0</v>
      </c>
      <c r="CW15">
        <v>0</v>
      </c>
      <c r="CX15">
        <v>0</v>
      </c>
      <c r="CY15">
        <v>0</v>
      </c>
      <c r="CZ15">
        <v>0</v>
      </c>
      <c r="DA15">
        <v>0</v>
      </c>
      <c r="DB15">
        <v>0</v>
      </c>
      <c r="DC15">
        <v>0</v>
      </c>
      <c r="DD15">
        <v>0</v>
      </c>
      <c r="DE15">
        <v>0</v>
      </c>
      <c r="DF15">
        <v>0</v>
      </c>
      <c r="DG15">
        <v>0</v>
      </c>
      <c r="DH15">
        <v>0</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0</v>
      </c>
      <c r="EP15">
        <v>0</v>
      </c>
      <c r="EQ15">
        <v>0</v>
      </c>
      <c r="ER15">
        <v>0</v>
      </c>
      <c r="ES15">
        <v>0</v>
      </c>
      <c r="ET15">
        <v>0</v>
      </c>
      <c r="EU15">
        <v>0</v>
      </c>
      <c r="EV15">
        <v>0</v>
      </c>
      <c r="EW15">
        <v>0</v>
      </c>
      <c r="EX15">
        <v>0</v>
      </c>
      <c r="EY15">
        <v>0</v>
      </c>
      <c r="EZ15">
        <v>0</v>
      </c>
      <c r="FA15">
        <v>0</v>
      </c>
      <c r="FB15">
        <v>0</v>
      </c>
      <c r="FC15">
        <v>0</v>
      </c>
      <c r="FD15">
        <v>0</v>
      </c>
      <c r="FE15">
        <v>0</v>
      </c>
      <c r="FF15">
        <v>0</v>
      </c>
      <c r="FG15">
        <v>0</v>
      </c>
      <c r="FH15">
        <v>0</v>
      </c>
      <c r="FI15">
        <v>0</v>
      </c>
      <c r="FJ15">
        <v>0</v>
      </c>
      <c r="FK15">
        <v>0</v>
      </c>
      <c r="FL15">
        <v>0</v>
      </c>
      <c r="FM15">
        <v>0</v>
      </c>
      <c r="FN15">
        <v>0</v>
      </c>
      <c r="FO15">
        <v>0</v>
      </c>
      <c r="FP15">
        <v>0</v>
      </c>
      <c r="FQ15">
        <v>0</v>
      </c>
      <c r="FR15">
        <v>0</v>
      </c>
      <c r="FS15">
        <v>0</v>
      </c>
      <c r="FT15">
        <v>0</v>
      </c>
      <c r="FU15">
        <v>0</v>
      </c>
      <c r="FV15">
        <v>0</v>
      </c>
      <c r="FW15">
        <v>0</v>
      </c>
      <c r="FX15">
        <v>0</v>
      </c>
      <c r="FY15">
        <v>0</v>
      </c>
      <c r="FZ15">
        <v>0</v>
      </c>
      <c r="GA15">
        <v>0</v>
      </c>
      <c r="GB15">
        <v>-1022.59442994193</v>
      </c>
      <c r="GC15">
        <v>-1855.52410279325</v>
      </c>
      <c r="GD15">
        <v>-2515.49541304793</v>
      </c>
      <c r="GE15">
        <v>-661.46314970387198</v>
      </c>
      <c r="GF15">
        <v>-1152.4512682234799</v>
      </c>
      <c r="GG15">
        <v>-1541.71406142363</v>
      </c>
      <c r="GH15">
        <v>-821.94280840500403</v>
      </c>
      <c r="GI15">
        <v>-1338.23025408747</v>
      </c>
      <c r="GJ15">
        <v>-1901.67110094239</v>
      </c>
      <c r="GK15">
        <v>-652.40382909245602</v>
      </c>
      <c r="GL15">
        <v>-1161.2186690743299</v>
      </c>
      <c r="GM15">
        <v>-1539.82813670576</v>
      </c>
      <c r="GN15">
        <v>-266.28403231297</v>
      </c>
      <c r="GO15">
        <v>22.329600095268798</v>
      </c>
      <c r="GP15">
        <v>23.823023563756799</v>
      </c>
      <c r="GQ15">
        <v>-224.15644559110399</v>
      </c>
      <c r="GR15">
        <v>-1342.4724960864501</v>
      </c>
      <c r="GS15">
        <v>-2703.5890136447201</v>
      </c>
      <c r="GT15">
        <v>-168.831051944487</v>
      </c>
      <c r="GU15">
        <v>22.366943847820501</v>
      </c>
      <c r="GV15">
        <v>23.805963362606899</v>
      </c>
      <c r="GW15">
        <v>-137.23620030696699</v>
      </c>
      <c r="GX15">
        <v>-825.32965144058005</v>
      </c>
      <c r="GY15">
        <v>-1660.4432918048999</v>
      </c>
      <c r="GZ15">
        <v>-288.60538565474002</v>
      </c>
      <c r="HA15">
        <v>20.585470602939399</v>
      </c>
      <c r="HB15">
        <v>21.617957756274699</v>
      </c>
      <c r="HC15">
        <v>-320.51839277102499</v>
      </c>
      <c r="HD15">
        <v>-1382.76699603212</v>
      </c>
      <c r="HE15">
        <v>-2489.9698196376198</v>
      </c>
      <c r="HF15">
        <v>-159.068441615952</v>
      </c>
      <c r="HG15">
        <v>22.5677669499518</v>
      </c>
      <c r="HH15">
        <v>23.966926089306199</v>
      </c>
      <c r="HI15">
        <v>-141.90369297772699</v>
      </c>
      <c r="HJ15">
        <v>-830.54436133606498</v>
      </c>
      <c r="HK15">
        <v>-1662.4322365883099</v>
      </c>
      <c r="HL15">
        <v>-932.10435429399001</v>
      </c>
      <c r="HM15">
        <v>22.769204750280402</v>
      </c>
      <c r="HN15">
        <v>19.739705361631</v>
      </c>
      <c r="HO15">
        <v>-1664.7997755287399</v>
      </c>
      <c r="HP15">
        <v>-1844.2077052672701</v>
      </c>
      <c r="HQ15">
        <v>24.048429770731399</v>
      </c>
      <c r="HR15">
        <v>-2459.1604236492099</v>
      </c>
      <c r="HS15">
        <v>-564.68527375994597</v>
      </c>
      <c r="HT15">
        <v>22.750614842127501</v>
      </c>
      <c r="HU15">
        <v>19.735949213204901</v>
      </c>
      <c r="HV15">
        <v>-944.81776235565303</v>
      </c>
      <c r="HW15">
        <v>-1117.34656580721</v>
      </c>
      <c r="HX15">
        <v>24.178533604629202</v>
      </c>
      <c r="HY15">
        <v>-1440.06720521342</v>
      </c>
      <c r="HZ15">
        <v>21.3324601077273</v>
      </c>
      <c r="IA15">
        <v>19.126944642077301</v>
      </c>
      <c r="IB15">
        <v>-1324.1516293191801</v>
      </c>
      <c r="IC15">
        <v>-840.19462069833901</v>
      </c>
      <c r="ID15">
        <v>-1528.2479879356699</v>
      </c>
      <c r="IE15">
        <v>22.278808755073101</v>
      </c>
      <c r="IF15">
        <v>-2140.3241091115801</v>
      </c>
      <c r="IG15">
        <v>-165.67739644605501</v>
      </c>
      <c r="IH15">
        <v>23.230304309877202</v>
      </c>
      <c r="II15">
        <v>19.9379221957862</v>
      </c>
      <c r="IJ15">
        <v>-1035.18675131177</v>
      </c>
      <c r="IK15">
        <v>-191.53257256591601</v>
      </c>
      <c r="IL15">
        <v>-613.28483286348398</v>
      </c>
      <c r="IM15">
        <v>-1227.95055281287</v>
      </c>
      <c r="IN15">
        <v>24.8769233115842</v>
      </c>
      <c r="IO15">
        <v>2.1536371483034</v>
      </c>
      <c r="IP15">
        <v>-1571.75985934752</v>
      </c>
      <c r="IQ15">
        <v>723.06420923446501</v>
      </c>
      <c r="IR15">
        <v>432.37281700529098</v>
      </c>
      <c r="IS15">
        <v>543.53935119770995</v>
      </c>
      <c r="IT15">
        <v>470.00634815691097</v>
      </c>
      <c r="IU15">
        <v>797.03195390922099</v>
      </c>
      <c r="IV15">
        <v>-241.85649134708399</v>
      </c>
      <c r="IW15">
        <v>22.6254067399348</v>
      </c>
      <c r="IX15">
        <v>24.048429770731399</v>
      </c>
      <c r="IY15">
        <v>-225.40468076963199</v>
      </c>
      <c r="IZ15">
        <v>-1324.8952049699801</v>
      </c>
      <c r="JA15">
        <v>-2673.9424439415002</v>
      </c>
      <c r="JB15">
        <v>-140.812295419061</v>
      </c>
      <c r="JC15">
        <v>22.884174117713101</v>
      </c>
      <c r="JD15">
        <v>24.178533604629202</v>
      </c>
      <c r="JE15">
        <v>-125.019529925033</v>
      </c>
      <c r="JF15">
        <v>-812.75598622147697</v>
      </c>
      <c r="JG15">
        <v>-1668.70786352201</v>
      </c>
      <c r="JH15">
        <v>-329.219562981975</v>
      </c>
      <c r="JI15">
        <v>21.135501580065998</v>
      </c>
      <c r="JJ15">
        <v>22.278808755073101</v>
      </c>
      <c r="JK15">
        <v>-416.49417687464899</v>
      </c>
      <c r="JL15">
        <v>-1758.1303367432799</v>
      </c>
      <c r="JM15">
        <v>-3098.05038458025</v>
      </c>
      <c r="JN15">
        <v>-219.71404793968199</v>
      </c>
      <c r="JO15">
        <v>23.666342700470199</v>
      </c>
      <c r="JP15">
        <v>24.8769233115842</v>
      </c>
      <c r="JQ15">
        <v>0.88320397921359695</v>
      </c>
      <c r="JR15">
        <v>-309.78069718225601</v>
      </c>
      <c r="JS15">
        <v>2.3205653558380401</v>
      </c>
      <c r="JT15">
        <v>-1342.0175953788601</v>
      </c>
      <c r="JU15">
        <v>-2337.3316976760202</v>
      </c>
      <c r="JV15">
        <v>-964.14758801698395</v>
      </c>
      <c r="JW15">
        <v>-1852.49436262571</v>
      </c>
      <c r="JX15">
        <v>-2378.0188664860402</v>
      </c>
      <c r="JY15">
        <v>-619.67070328357102</v>
      </c>
      <c r="JZ15">
        <v>-1152.13979811937</v>
      </c>
      <c r="KA15">
        <v>-1397.7946205686001</v>
      </c>
      <c r="KB15">
        <v>-893.73751400715196</v>
      </c>
      <c r="KC15">
        <v>-1691.6992033644101</v>
      </c>
      <c r="KD15">
        <v>-2119.6364186680098</v>
      </c>
      <c r="KE15">
        <v>-616.88456380162199</v>
      </c>
      <c r="KF15">
        <v>22.290063176633701</v>
      </c>
      <c r="KG15">
        <v>-669.04427803881595</v>
      </c>
      <c r="KH15">
        <v>1.2500730288558399</v>
      </c>
      <c r="KI15">
        <v>-1148.51021823884</v>
      </c>
      <c r="KJ15">
        <v>-1373.75458270123</v>
      </c>
      <c r="KK15">
        <v>-235.52322625534899</v>
      </c>
      <c r="KL15">
        <v>22.775754330238399</v>
      </c>
      <c r="KM15">
        <v>23.965639539280001</v>
      </c>
      <c r="KN15">
        <v>-189.227881365706</v>
      </c>
      <c r="KO15">
        <v>21.577996636787599</v>
      </c>
      <c r="KP15">
        <v>-10.257018385152699</v>
      </c>
      <c r="KQ15">
        <v>-1010.35269633257</v>
      </c>
      <c r="KR15">
        <v>-1950.51427990909</v>
      </c>
      <c r="KS15">
        <v>-138.665947069986</v>
      </c>
      <c r="KT15">
        <v>23.045902453992301</v>
      </c>
      <c r="KU15">
        <v>24.112039600913199</v>
      </c>
      <c r="KV15">
        <v>-120.81478673245</v>
      </c>
      <c r="KW15">
        <v>21.902906028014101</v>
      </c>
      <c r="KX15">
        <v>-10.1528599230138</v>
      </c>
      <c r="KY15">
        <v>-622.05103129595</v>
      </c>
      <c r="KZ15">
        <v>-1195.2664958722801</v>
      </c>
      <c r="LA15">
        <v>-313.084583748032</v>
      </c>
      <c r="LB15">
        <v>22.5203110854406</v>
      </c>
      <c r="LC15">
        <v>23.139037001302398</v>
      </c>
      <c r="LD15">
        <v>-426.26757757641201</v>
      </c>
      <c r="LE15">
        <v>21.656912949121399</v>
      </c>
      <c r="LF15">
        <v>-10.2647025737351</v>
      </c>
      <c r="LG15">
        <v>-1355.65278053969</v>
      </c>
      <c r="LH15">
        <v>-1996.81169259077</v>
      </c>
      <c r="LI15">
        <v>-136.64492282536</v>
      </c>
      <c r="LJ15">
        <v>23.014633832066799</v>
      </c>
      <c r="LK15">
        <v>24.0627097233596</v>
      </c>
      <c r="LL15">
        <v>-120.34281290486101</v>
      </c>
      <c r="LM15">
        <v>21.886631032821999</v>
      </c>
      <c r="LN15">
        <v>-9.8389792491793102</v>
      </c>
      <c r="LO15">
        <v>-615.35807214163196</v>
      </c>
      <c r="LP15">
        <v>-1180.8943844150201</v>
      </c>
      <c r="LQ15">
        <v>-19.934395366891</v>
      </c>
      <c r="LR15">
        <v>17.208515019496499</v>
      </c>
      <c r="LS15">
        <v>16.481000000000002</v>
      </c>
      <c r="LT15">
        <v>149.03343912992801</v>
      </c>
      <c r="LU15">
        <v>-1403.52784556202</v>
      </c>
      <c r="LV15">
        <v>18.9488909804309</v>
      </c>
      <c r="LW15">
        <v>22.541928353903799</v>
      </c>
      <c r="LX15">
        <v>1022.2546609875</v>
      </c>
      <c r="LY15">
        <v>-13.7872961354519</v>
      </c>
      <c r="LZ15">
        <v>17.193916698245001</v>
      </c>
      <c r="MA15">
        <v>16.481000000000002</v>
      </c>
      <c r="MB15">
        <v>87.952895900467198</v>
      </c>
      <c r="MC15">
        <v>-914.63518688983402</v>
      </c>
      <c r="MD15">
        <v>18.974566857776999</v>
      </c>
      <c r="ME15">
        <v>22.553986178132199</v>
      </c>
      <c r="MF15">
        <v>656.54266406424199</v>
      </c>
      <c r="MG15">
        <v>-28.079292881686101</v>
      </c>
      <c r="MH15">
        <v>16.900641445067102</v>
      </c>
      <c r="MI15">
        <v>16.481000000000002</v>
      </c>
      <c r="MJ15">
        <v>159.96087575425</v>
      </c>
      <c r="MK15">
        <v>-813.85260412781599</v>
      </c>
      <c r="ML15">
        <v>18.030868262728699</v>
      </c>
      <c r="MM15">
        <v>20.5865157152367</v>
      </c>
      <c r="MN15">
        <v>727.78480589014202</v>
      </c>
      <c r="MO15">
        <v>-13.480763301778699</v>
      </c>
      <c r="MP15">
        <v>17.199339967491799</v>
      </c>
      <c r="MQ15">
        <v>16.481000000000002</v>
      </c>
      <c r="MR15">
        <v>82.954049973727606</v>
      </c>
      <c r="MS15">
        <v>-957.10887993523795</v>
      </c>
      <c r="MT15">
        <v>19.041278289107201</v>
      </c>
      <c r="MU15">
        <v>22.679284249687601</v>
      </c>
      <c r="MV15">
        <v>672.13304908954899</v>
      </c>
      <c r="MW15">
        <v>-19.471734068566601</v>
      </c>
      <c r="MX15">
        <v>18.1495364183601</v>
      </c>
      <c r="MY15">
        <v>20.740177688317701</v>
      </c>
      <c r="MZ15">
        <v>502.95292039046302</v>
      </c>
      <c r="NA15">
        <v>-518.10480924906403</v>
      </c>
      <c r="NB15">
        <v>19.368143221297899</v>
      </c>
      <c r="NC15">
        <v>22.778035937345599</v>
      </c>
      <c r="ND15">
        <v>1105.45971200231</v>
      </c>
      <c r="NE15">
        <v>-14.4567420021193</v>
      </c>
      <c r="NF15">
        <v>18.144936212930102</v>
      </c>
      <c r="NG15">
        <v>20.815982475301301</v>
      </c>
      <c r="NH15">
        <v>311.66250375718698</v>
      </c>
      <c r="NI15">
        <v>-363.21906782874601</v>
      </c>
      <c r="NJ15">
        <v>19.422282615215</v>
      </c>
      <c r="NK15">
        <v>22.855906366694001</v>
      </c>
      <c r="NL15">
        <v>715.19324053910498</v>
      </c>
      <c r="NM15">
        <v>-23.266941819779401</v>
      </c>
      <c r="NN15">
        <v>17.295241093752999</v>
      </c>
      <c r="NO15">
        <v>19.302520307953401</v>
      </c>
      <c r="NP15">
        <v>392.407798994296</v>
      </c>
      <c r="NQ15" s="35">
        <v>-404.845556985634</v>
      </c>
      <c r="NR15" s="35">
        <v>18.260937606574998</v>
      </c>
      <c r="NS15">
        <v>21.099015428488102</v>
      </c>
      <c r="NT15">
        <v>882.96071471814605</v>
      </c>
      <c r="NU15">
        <v>-9.11483467797974</v>
      </c>
      <c r="NV15">
        <v>18.105274424864</v>
      </c>
      <c r="NW15">
        <v>21.034828112502701</v>
      </c>
      <c r="NX15">
        <v>2.6492311855592301</v>
      </c>
      <c r="NY15">
        <v>407.51575750273298</v>
      </c>
      <c r="NZ15">
        <v>-287.58115716844202</v>
      </c>
      <c r="OA15">
        <v>19.418558282505799</v>
      </c>
      <c r="OB15">
        <v>23.263336079028999</v>
      </c>
      <c r="OC15">
        <v>2.4632478770274502</v>
      </c>
      <c r="OD15">
        <v>820.96069583902499</v>
      </c>
      <c r="OE15">
        <v>2.6492311855592301</v>
      </c>
      <c r="OF15">
        <v>2.4632478770274502</v>
      </c>
      <c r="OG15">
        <v>-15.1914527874738</v>
      </c>
      <c r="OH15">
        <v>18.1316862906037</v>
      </c>
      <c r="OI15">
        <v>21.072161753314699</v>
      </c>
      <c r="OJ15">
        <v>589.11434260768101</v>
      </c>
      <c r="OK15">
        <v>-354.828955325724</v>
      </c>
      <c r="OL15">
        <v>19.2761813595768</v>
      </c>
      <c r="OM15">
        <v>22.625203381074702</v>
      </c>
      <c r="ON15">
        <v>1127.26549510988</v>
      </c>
      <c r="OO15">
        <v>-10.483994438515801</v>
      </c>
      <c r="OP15">
        <v>18.200044407148699</v>
      </c>
      <c r="OQ15">
        <v>21.3328037695678</v>
      </c>
      <c r="OR15">
        <v>376.870130934798</v>
      </c>
      <c r="OS15">
        <v>-252.94044220884999</v>
      </c>
      <c r="OT15">
        <v>19.409882179275701</v>
      </c>
      <c r="OU15">
        <v>22.790428105241901</v>
      </c>
      <c r="OV15">
        <v>740.81918788561404</v>
      </c>
      <c r="OW15">
        <v>-18.516902955127499</v>
      </c>
      <c r="OX15">
        <v>17.1463798761818</v>
      </c>
      <c r="OY15">
        <v>19.630721974106098</v>
      </c>
      <c r="OZ15">
        <v>457.053798638437</v>
      </c>
      <c r="PA15">
        <v>-495.96419931832901</v>
      </c>
      <c r="PB15">
        <v>18.282540513120502</v>
      </c>
      <c r="PC15">
        <v>21.524987051477598</v>
      </c>
      <c r="PD15">
        <v>1024.53965538288</v>
      </c>
      <c r="PE15">
        <v>-10.032630605054701</v>
      </c>
      <c r="PF15">
        <v>18.2082704170748</v>
      </c>
      <c r="PG15">
        <v>21.919607108770201</v>
      </c>
      <c r="PH15">
        <v>2.63800476408217</v>
      </c>
      <c r="PI15">
        <v>378.81675134807</v>
      </c>
      <c r="PJ15">
        <v>-245.180290823083</v>
      </c>
      <c r="PK15">
        <v>19.407389130510001</v>
      </c>
      <c r="PL15">
        <v>22.763101923954199</v>
      </c>
      <c r="PM15" s="35">
        <v>2.4367002176194501</v>
      </c>
      <c r="PN15">
        <v>739.00455408196603</v>
      </c>
      <c r="PO15">
        <v>23.134640098097201</v>
      </c>
      <c r="PP15">
        <v>23.133530223286499</v>
      </c>
      <c r="PQ15">
        <v>21.031267667151798</v>
      </c>
      <c r="PR15">
        <v>23.265195543331401</v>
      </c>
      <c r="PS15">
        <v>17.8127642221773</v>
      </c>
      <c r="PT15">
        <v>23.341656557881102</v>
      </c>
      <c r="PU15">
        <v>23.423017110452701</v>
      </c>
      <c r="PV15">
        <v>21.613737449480801</v>
      </c>
      <c r="PW15">
        <v>23.951344623594899</v>
      </c>
      <c r="PX15">
        <v>17.6339371653828</v>
      </c>
      <c r="PY15">
        <v>23.1622458585441</v>
      </c>
      <c r="PZ15">
        <v>23.3225713488584</v>
      </c>
      <c r="QA15">
        <v>22.139151642183599</v>
      </c>
      <c r="QB15">
        <v>23.285924698729801</v>
      </c>
      <c r="QC15">
        <v>16.994237215133101</v>
      </c>
      <c r="QD15">
        <v>15.9577267032672</v>
      </c>
      <c r="QE15">
        <v>25.567730560347599</v>
      </c>
      <c r="QF15">
        <v>25.554930332305901</v>
      </c>
      <c r="QG15">
        <v>22.898062179770999</v>
      </c>
      <c r="QH15">
        <v>25.6196021086507</v>
      </c>
      <c r="QI15">
        <v>17.301293042285099</v>
      </c>
      <c r="QJ15">
        <v>25.7030732495849</v>
      </c>
      <c r="QK15">
        <v>25.835645830524498</v>
      </c>
      <c r="QL15">
        <v>23.6809807607093</v>
      </c>
      <c r="QM15">
        <v>26.174899002780101</v>
      </c>
      <c r="QN15">
        <v>-6181.02245179497</v>
      </c>
      <c r="QO15">
        <v>17.120696034683</v>
      </c>
      <c r="QP15">
        <v>5333.8423345253004</v>
      </c>
      <c r="QQ15">
        <v>25.621056501744398</v>
      </c>
      <c r="QR15">
        <v>25.752384578799699</v>
      </c>
      <c r="QS15">
        <v>24.375710153230902</v>
      </c>
      <c r="QT15">
        <v>25.7123933359284</v>
      </c>
      <c r="QU15">
        <v>16.571271073525601</v>
      </c>
      <c r="QV15">
        <v>14.9105429614782</v>
      </c>
      <c r="QW15">
        <v>363073.48666105903</v>
      </c>
      <c r="QX15">
        <v>0</v>
      </c>
      <c r="QY15">
        <v>262839.89070514799</v>
      </c>
      <c r="QZ15">
        <v>0</v>
      </c>
      <c r="RA15">
        <v>34212.829160824498</v>
      </c>
      <c r="RB15">
        <v>0</v>
      </c>
      <c r="RC15">
        <v>23539.528946396898</v>
      </c>
      <c r="RD15">
        <v>0</v>
      </c>
      <c r="RE15">
        <v>103938.44823492201</v>
      </c>
      <c r="RF15">
        <v>0</v>
      </c>
      <c r="RG15">
        <v>71453.280586928799</v>
      </c>
      <c r="RH15" s="35">
        <v>0</v>
      </c>
      <c r="RI15">
        <v>13866.1998530779</v>
      </c>
      <c r="RJ15" s="35">
        <v>884.00170515563195</v>
      </c>
      <c r="RK15">
        <v>28.0008210225981</v>
      </c>
      <c r="RL15">
        <v>5736.9265286455202</v>
      </c>
      <c r="RM15" s="35">
        <v>3801.08125904092</v>
      </c>
      <c r="RN15">
        <v>11882.76576165</v>
      </c>
      <c r="RO15" s="35">
        <v>8787.6329180054709</v>
      </c>
      <c r="RP15">
        <v>555.84764616074096</v>
      </c>
      <c r="RQ15" s="35">
        <v>27.976330441325299</v>
      </c>
      <c r="RR15" s="35">
        <v>3632.7891545881898</v>
      </c>
      <c r="RS15">
        <v>2408.9393356220999</v>
      </c>
      <c r="RT15">
        <v>7542.3650580011399</v>
      </c>
      <c r="RU15">
        <v>10309.4961950052</v>
      </c>
      <c r="RV15">
        <v>0</v>
      </c>
      <c r="RW15">
        <v>24.7648566923902</v>
      </c>
      <c r="RX15">
        <v>5149.17421881269</v>
      </c>
      <c r="RY15">
        <v>5149.17421881269</v>
      </c>
      <c r="RZ15">
        <v>13318.488715817901</v>
      </c>
      <c r="SA15">
        <v>8803.8747546010709</v>
      </c>
      <c r="SB15">
        <v>555.45688064325805</v>
      </c>
      <c r="SC15">
        <v>27.974008673970101</v>
      </c>
      <c r="SD15">
        <v>3726.7277438106798</v>
      </c>
      <c r="SE15">
        <v>2547.31492410292</v>
      </c>
      <c r="SF15">
        <v>7679.1921093288302</v>
      </c>
      <c r="SG15">
        <v>0</v>
      </c>
      <c r="SH15">
        <v>5826.86290437568</v>
      </c>
      <c r="SI15">
        <v>16.789821862392898</v>
      </c>
      <c r="SJ15">
        <v>31694.045991208499</v>
      </c>
      <c r="SK15">
        <v>31694.045991208499</v>
      </c>
      <c r="SL15">
        <v>77205.680501630297</v>
      </c>
      <c r="SM15">
        <v>21.1111</v>
      </c>
      <c r="SN15">
        <v>26.666699999999999</v>
      </c>
      <c r="SO15">
        <v>2041.78347426294</v>
      </c>
      <c r="SP15">
        <v>0</v>
      </c>
      <c r="SQ15">
        <v>23.577835810700201</v>
      </c>
      <c r="SR15">
        <v>0</v>
      </c>
      <c r="SS15">
        <v>0</v>
      </c>
      <c r="ST15">
        <v>0</v>
      </c>
      <c r="SU15">
        <v>1260.48184120875</v>
      </c>
      <c r="SV15">
        <v>0</v>
      </c>
      <c r="SW15">
        <v>23.560981143138999</v>
      </c>
      <c r="SX15">
        <v>0</v>
      </c>
      <c r="SY15">
        <v>0</v>
      </c>
      <c r="SZ15">
        <v>0</v>
      </c>
      <c r="TA15">
        <v>2183.0220280500998</v>
      </c>
      <c r="TB15">
        <v>0</v>
      </c>
      <c r="TC15">
        <v>22.2150320694785</v>
      </c>
      <c r="TD15">
        <v>0</v>
      </c>
      <c r="TE15">
        <v>0</v>
      </c>
      <c r="TF15">
        <v>0</v>
      </c>
      <c r="TG15">
        <v>1227.5797128935999</v>
      </c>
      <c r="TH15">
        <v>0</v>
      </c>
      <c r="TI15">
        <v>23.763198932911202</v>
      </c>
      <c r="TJ15">
        <v>0</v>
      </c>
      <c r="TK15">
        <v>0</v>
      </c>
      <c r="TL15">
        <v>0</v>
      </c>
      <c r="TM15">
        <v>4245.6559675366398</v>
      </c>
      <c r="TN15">
        <v>888.17294131127005</v>
      </c>
      <c r="TO15">
        <v>19.098841473944599</v>
      </c>
      <c r="TP15">
        <v>0</v>
      </c>
      <c r="TQ15">
        <v>0</v>
      </c>
      <c r="TR15">
        <v>0</v>
      </c>
      <c r="TS15">
        <v>14001.9105984578</v>
      </c>
      <c r="TT15">
        <v>862.06162182065998</v>
      </c>
      <c r="TU15">
        <v>28.064489941288699</v>
      </c>
      <c r="TV15">
        <v>5912.0499813350598</v>
      </c>
      <c r="TW15">
        <v>3999.8242968350801</v>
      </c>
      <c r="TX15">
        <v>12082.214580453799</v>
      </c>
      <c r="TY15">
        <v>8741.2647299131204</v>
      </c>
      <c r="TZ15">
        <v>553.68477312438904</v>
      </c>
      <c r="UA15">
        <v>28.2482745505963</v>
      </c>
      <c r="UB15">
        <v>3561.8951714320401</v>
      </c>
      <c r="UC15">
        <v>2128.1156522490701</v>
      </c>
      <c r="UD15">
        <v>7260.1864012015803</v>
      </c>
      <c r="UE15">
        <v>11653.6664801799</v>
      </c>
      <c r="UF15">
        <v>0</v>
      </c>
      <c r="UG15">
        <v>25.748224071937901</v>
      </c>
      <c r="UH15">
        <v>5122.9228896653003</v>
      </c>
      <c r="UI15">
        <v>5122.9228896653003</v>
      </c>
      <c r="UJ15">
        <v>13269.864263702801</v>
      </c>
      <c r="UK15">
        <v>8389.1967392315491</v>
      </c>
      <c r="UL15">
        <v>557.05419833166002</v>
      </c>
      <c r="UM15">
        <v>28.3984533819653</v>
      </c>
      <c r="UN15">
        <v>2827.16963402074</v>
      </c>
      <c r="UO15">
        <v>1944.6401803876299</v>
      </c>
      <c r="UP15">
        <v>7061.7621854028803</v>
      </c>
      <c r="UQ15">
        <v>0</v>
      </c>
      <c r="UR15">
        <v>5892.58648308797</v>
      </c>
      <c r="US15">
        <v>16.6074549039832</v>
      </c>
      <c r="UT15">
        <v>33092.506519913302</v>
      </c>
      <c r="UU15">
        <v>33092.506519913302</v>
      </c>
      <c r="UV15">
        <v>78513.878951456005</v>
      </c>
      <c r="UW15">
        <v>21.1111</v>
      </c>
      <c r="UX15">
        <v>26.666699999999999</v>
      </c>
      <c r="UY15">
        <v>1934.4254735465499</v>
      </c>
      <c r="UZ15">
        <v>0</v>
      </c>
      <c r="VA15">
        <v>23.834127259641502</v>
      </c>
      <c r="VB15">
        <v>0</v>
      </c>
      <c r="VC15">
        <v>0</v>
      </c>
      <c r="VD15">
        <v>0</v>
      </c>
      <c r="VE15">
        <v>1150.62754725482</v>
      </c>
      <c r="VF15">
        <v>0</v>
      </c>
      <c r="VG15">
        <v>23.939524180665199</v>
      </c>
      <c r="VH15">
        <v>0</v>
      </c>
      <c r="VI15">
        <v>0</v>
      </c>
      <c r="VJ15">
        <v>0</v>
      </c>
      <c r="VK15">
        <v>2731.9264765779799</v>
      </c>
      <c r="VL15">
        <v>0</v>
      </c>
      <c r="VM15">
        <v>23.1136236353538</v>
      </c>
      <c r="VN15">
        <v>0</v>
      </c>
      <c r="VO15">
        <v>0</v>
      </c>
      <c r="VP15">
        <v>0</v>
      </c>
      <c r="VQ15">
        <v>1236.88212860045</v>
      </c>
      <c r="VR15">
        <v>0</v>
      </c>
      <c r="VS15">
        <v>24.809261522963698</v>
      </c>
      <c r="VT15">
        <v>0</v>
      </c>
      <c r="VU15">
        <v>0</v>
      </c>
      <c r="VV15">
        <v>0</v>
      </c>
      <c r="VW15">
        <v>5246.8173567609801</v>
      </c>
      <c r="VX15">
        <v>736.62366880022796</v>
      </c>
      <c r="VY15">
        <v>19.34600031694</v>
      </c>
      <c r="VZ15">
        <v>0</v>
      </c>
      <c r="WA15">
        <v>0</v>
      </c>
      <c r="WB15">
        <v>0</v>
      </c>
      <c r="WC15">
        <v>14245.9360937484</v>
      </c>
      <c r="WD15">
        <v>875.14040079393396</v>
      </c>
      <c r="WE15">
        <v>28.0798671449447</v>
      </c>
      <c r="WF15">
        <v>5992.4367291873996</v>
      </c>
      <c r="WG15">
        <v>4054.02363692685</v>
      </c>
      <c r="WH15">
        <v>12138.3272681622</v>
      </c>
      <c r="WI15">
        <v>2000548.46527813</v>
      </c>
      <c r="WJ15">
        <v>8973.1120433243595</v>
      </c>
      <c r="WK15">
        <v>555.707907021702</v>
      </c>
      <c r="WL15">
        <v>28.182197808741002</v>
      </c>
      <c r="WM15">
        <v>3729.4485493780999</v>
      </c>
      <c r="WN15">
        <v>2438.6451844180301</v>
      </c>
      <c r="WO15">
        <v>7571.2270568739696</v>
      </c>
      <c r="WP15">
        <v>21.1111</v>
      </c>
      <c r="WQ15">
        <v>26.666699999999999</v>
      </c>
      <c r="WR15">
        <v>12465.9761255142</v>
      </c>
      <c r="WS15">
        <v>0</v>
      </c>
      <c r="WT15">
        <v>26.612268664278101</v>
      </c>
      <c r="WU15">
        <v>4731.29149110044</v>
      </c>
      <c r="WV15">
        <v>4731.29149110044</v>
      </c>
      <c r="WW15">
        <v>12854.615590566</v>
      </c>
      <c r="WX15">
        <v>1984778.3250426699</v>
      </c>
      <c r="WY15">
        <v>8987.3411009009196</v>
      </c>
      <c r="WZ15">
        <v>551.32731251185305</v>
      </c>
      <c r="XA15">
        <v>28.138861973127</v>
      </c>
      <c r="XB15">
        <v>3773.7648862022402</v>
      </c>
      <c r="XC15">
        <v>2497.2538147548198</v>
      </c>
      <c r="XD15">
        <v>7630.5564134956903</v>
      </c>
      <c r="XE15">
        <v>0</v>
      </c>
      <c r="XF15">
        <v>4844.4272937988999</v>
      </c>
      <c r="XG15">
        <v>16.148304931918101</v>
      </c>
      <c r="XH15">
        <v>37622.4316592635</v>
      </c>
      <c r="XI15">
        <v>37622.4316592635</v>
      </c>
      <c r="XJ15">
        <v>83141.496573473807</v>
      </c>
      <c r="XK15">
        <v>21.1111</v>
      </c>
      <c r="XL15">
        <v>26.666699999999999</v>
      </c>
      <c r="XM15">
        <v>1792.9943580333099</v>
      </c>
      <c r="XN15">
        <v>0</v>
      </c>
      <c r="XO15">
        <v>23.848397644720901</v>
      </c>
      <c r="XP15">
        <v>0</v>
      </c>
      <c r="XQ15">
        <v>0</v>
      </c>
      <c r="XR15">
        <v>0</v>
      </c>
      <c r="XS15">
        <v>1064.5762625258401</v>
      </c>
      <c r="XT15">
        <v>0</v>
      </c>
      <c r="XU15">
        <v>24.0579112471471</v>
      </c>
      <c r="XV15">
        <v>0</v>
      </c>
      <c r="XW15">
        <v>0</v>
      </c>
      <c r="XX15">
        <v>0</v>
      </c>
      <c r="XY15">
        <v>2508.1203135195701</v>
      </c>
      <c r="XZ15">
        <v>0</v>
      </c>
      <c r="YA15">
        <v>24.5142697127167</v>
      </c>
      <c r="YB15">
        <v>0</v>
      </c>
      <c r="YC15">
        <v>0</v>
      </c>
      <c r="YD15">
        <v>0</v>
      </c>
      <c r="YE15">
        <v>1053.2089847315799</v>
      </c>
      <c r="YF15">
        <v>0</v>
      </c>
      <c r="YG15">
        <v>24.021853186721199</v>
      </c>
      <c r="YH15">
        <v>0</v>
      </c>
      <c r="YI15">
        <v>0</v>
      </c>
      <c r="YJ15">
        <v>0</v>
      </c>
      <c r="YK15">
        <v>6972.7591334723902</v>
      </c>
      <c r="YL15">
        <v>0</v>
      </c>
      <c r="YM15">
        <v>18.951557609803999</v>
      </c>
      <c r="YN15">
        <v>0</v>
      </c>
      <c r="YO15">
        <v>0</v>
      </c>
      <c r="YP15">
        <v>0</v>
      </c>
      <c r="YQ15">
        <v>0</v>
      </c>
      <c r="YR15">
        <v>1418.74341067096</v>
      </c>
      <c r="YS15">
        <v>16.8154628062392</v>
      </c>
      <c r="YT15">
        <v>0</v>
      </c>
      <c r="YU15">
        <v>0</v>
      </c>
      <c r="YV15">
        <v>0</v>
      </c>
      <c r="YW15">
        <v>0</v>
      </c>
      <c r="YX15">
        <v>903.05339419930897</v>
      </c>
      <c r="YY15">
        <v>16.817482189387601</v>
      </c>
      <c r="YZ15">
        <v>0</v>
      </c>
      <c r="ZA15">
        <v>0</v>
      </c>
      <c r="ZB15">
        <v>0</v>
      </c>
      <c r="ZC15">
        <v>0</v>
      </c>
      <c r="ZD15">
        <v>950.943297626255</v>
      </c>
      <c r="ZE15">
        <v>16.549142871831702</v>
      </c>
      <c r="ZF15">
        <v>0</v>
      </c>
      <c r="ZG15">
        <v>0</v>
      </c>
      <c r="ZH15">
        <v>0</v>
      </c>
      <c r="ZI15">
        <v>0</v>
      </c>
      <c r="ZJ15">
        <v>914.280839578067</v>
      </c>
      <c r="ZK15">
        <v>16.837723008385701</v>
      </c>
      <c r="ZL15">
        <v>0</v>
      </c>
      <c r="ZM15">
        <v>0</v>
      </c>
      <c r="ZN15">
        <v>0</v>
      </c>
      <c r="ZO15">
        <v>0</v>
      </c>
      <c r="ZP15">
        <v>8039.1377074115999</v>
      </c>
      <c r="ZQ15">
        <v>15.322156695722001</v>
      </c>
      <c r="ZR15">
        <v>0</v>
      </c>
      <c r="ZS15">
        <v>0</v>
      </c>
      <c r="ZT15">
        <v>0</v>
      </c>
      <c r="ZU15">
        <v>0</v>
      </c>
      <c r="ZV15">
        <v>1874.7703816482001</v>
      </c>
      <c r="ZW15">
        <v>17.1719939575264</v>
      </c>
      <c r="ZX15">
        <v>0</v>
      </c>
      <c r="ZY15">
        <v>0</v>
      </c>
      <c r="ZZ15">
        <v>0</v>
      </c>
      <c r="AAA15">
        <v>0</v>
      </c>
      <c r="AAB15">
        <v>1197.0056009667601</v>
      </c>
      <c r="AAC15">
        <v>17.182508922507999</v>
      </c>
      <c r="AAD15">
        <v>0</v>
      </c>
      <c r="AAE15">
        <v>0</v>
      </c>
      <c r="AAF15">
        <v>0</v>
      </c>
      <c r="AAG15">
        <v>0</v>
      </c>
      <c r="AAH15">
        <v>1357.4613206854499</v>
      </c>
      <c r="AAI15">
        <v>16.544995180648499</v>
      </c>
      <c r="AAJ15">
        <v>0</v>
      </c>
      <c r="AAK15">
        <v>0</v>
      </c>
      <c r="AAL15">
        <v>0</v>
      </c>
      <c r="AAM15">
        <v>0</v>
      </c>
      <c r="AAN15">
        <v>1157.25370489585</v>
      </c>
      <c r="AAO15">
        <v>17.169967024595699</v>
      </c>
      <c r="AAP15">
        <v>0</v>
      </c>
      <c r="AAQ15">
        <v>0</v>
      </c>
      <c r="AAR15">
        <v>0</v>
      </c>
      <c r="AAS15">
        <v>0</v>
      </c>
      <c r="AAT15">
        <v>6666.3900542833699</v>
      </c>
      <c r="AAU15">
        <v>15.112147495591</v>
      </c>
      <c r="AAV15">
        <v>0</v>
      </c>
      <c r="AAW15">
        <v>0</v>
      </c>
      <c r="AAX15">
        <v>0</v>
      </c>
      <c r="AAY15">
        <v>0</v>
      </c>
      <c r="AAZ15">
        <v>2000.3554791960801</v>
      </c>
      <c r="ABA15">
        <v>17.015355277738099</v>
      </c>
      <c r="ABB15">
        <v>0</v>
      </c>
      <c r="ABC15">
        <v>0</v>
      </c>
      <c r="ABD15">
        <v>0</v>
      </c>
      <c r="ABE15">
        <v>0</v>
      </c>
      <c r="ABF15">
        <v>1303.47837345736</v>
      </c>
      <c r="ABG15">
        <v>17.072251894910899</v>
      </c>
      <c r="ABH15">
        <v>0</v>
      </c>
      <c r="ABI15">
        <v>0</v>
      </c>
      <c r="ABJ15">
        <v>0</v>
      </c>
      <c r="ABK15">
        <v>0</v>
      </c>
      <c r="ABL15">
        <v>1535.87376428122</v>
      </c>
      <c r="ABM15">
        <v>16.306642362471202</v>
      </c>
      <c r="ABN15">
        <v>0</v>
      </c>
      <c r="ABO15">
        <v>0</v>
      </c>
      <c r="ABP15">
        <v>0</v>
      </c>
      <c r="ABQ15">
        <v>0</v>
      </c>
      <c r="ABR15">
        <v>1304.70747813253</v>
      </c>
      <c r="ABS15">
        <v>17.074519021034799</v>
      </c>
      <c r="ABT15">
        <v>0</v>
      </c>
      <c r="ABU15">
        <v>0</v>
      </c>
      <c r="ABV15">
        <v>0</v>
      </c>
      <c r="ABW15">
        <v>0</v>
      </c>
      <c r="ABX15">
        <v>5359.2634128249101</v>
      </c>
      <c r="ABY15">
        <v>14.9105429614782</v>
      </c>
      <c r="ABZ15">
        <v>0</v>
      </c>
      <c r="ACA15">
        <v>0</v>
      </c>
      <c r="ACB15">
        <v>0</v>
      </c>
      <c r="ACC15">
        <v>0</v>
      </c>
      <c r="ACD15">
        <v>0</v>
      </c>
      <c r="ACE15">
        <v>0</v>
      </c>
      <c r="ACF15">
        <v>13.674235119043701</v>
      </c>
      <c r="ACG15">
        <v>13.674235119043701</v>
      </c>
      <c r="ACH15">
        <v>0</v>
      </c>
      <c r="ACI15">
        <v>0</v>
      </c>
      <c r="ACJ15">
        <v>0</v>
      </c>
      <c r="ACK15">
        <v>20.760648244627699</v>
      </c>
      <c r="ACL15">
        <v>20.760648244627699</v>
      </c>
      <c r="ACM15">
        <v>0</v>
      </c>
      <c r="ACN15">
        <v>0</v>
      </c>
      <c r="ACP15">
        <v>11261.6960527184</v>
      </c>
      <c r="ACR15">
        <v>11261.6960527184</v>
      </c>
      <c r="ACT15">
        <v>16.864485530647801</v>
      </c>
      <c r="ACU15">
        <v>16.564781338276902</v>
      </c>
      <c r="ACV15">
        <v>1.7</v>
      </c>
      <c r="ACW15">
        <v>4.0893237594714398</v>
      </c>
      <c r="ACX15">
        <v>0.78654002909821497</v>
      </c>
      <c r="ACY15">
        <v>16.678441285417499</v>
      </c>
      <c r="ACZ15">
        <v>16.375592383926499</v>
      </c>
      <c r="ADA15">
        <v>1.7</v>
      </c>
      <c r="ADB15">
        <v>4.0733878043154101</v>
      </c>
      <c r="ADC15">
        <v>0.78746794461459901</v>
      </c>
      <c r="ADD15">
        <v>16.2090292727712</v>
      </c>
      <c r="ADE15">
        <v>15.9577285439801</v>
      </c>
      <c r="ADF15">
        <v>1.7</v>
      </c>
      <c r="ADG15">
        <v>4.28391432720447</v>
      </c>
      <c r="ADH15">
        <v>0.78281803046526299</v>
      </c>
      <c r="ADI15">
        <v>29.043834966289499</v>
      </c>
      <c r="ADJ15">
        <v>29.043834966289499</v>
      </c>
      <c r="ADK15">
        <v>0</v>
      </c>
      <c r="ADL15">
        <v>0</v>
      </c>
      <c r="ADM15">
        <v>1</v>
      </c>
      <c r="ADN15">
        <v>29.000380328436002</v>
      </c>
      <c r="ADO15">
        <v>29.000380328436002</v>
      </c>
      <c r="ADP15">
        <v>0</v>
      </c>
      <c r="ADQ15">
        <v>0</v>
      </c>
      <c r="ADR15">
        <v>1</v>
      </c>
      <c r="ADS15">
        <v>25.562207863298902</v>
      </c>
      <c r="ADT15">
        <v>25.562207863298902</v>
      </c>
      <c r="ADU15">
        <v>0</v>
      </c>
      <c r="ADV15">
        <v>0</v>
      </c>
      <c r="ADW15">
        <v>1</v>
      </c>
      <c r="ADX15">
        <v>29.056000588345299</v>
      </c>
      <c r="ADY15">
        <v>29.056000588345299</v>
      </c>
      <c r="ADZ15">
        <v>0</v>
      </c>
      <c r="AEA15">
        <v>0</v>
      </c>
      <c r="AEB15">
        <v>1</v>
      </c>
      <c r="AEC15">
        <v>29.209555827037999</v>
      </c>
      <c r="AED15">
        <v>29.209555827037999</v>
      </c>
      <c r="AEE15">
        <v>0</v>
      </c>
      <c r="AEF15">
        <v>0</v>
      </c>
      <c r="AEG15">
        <v>1</v>
      </c>
      <c r="AEH15">
        <v>29.2810525231695</v>
      </c>
      <c r="AEI15">
        <v>29.2810525231695</v>
      </c>
      <c r="AEJ15">
        <v>0</v>
      </c>
      <c r="AEK15">
        <v>0</v>
      </c>
      <c r="AEL15">
        <v>1</v>
      </c>
      <c r="AEM15">
        <v>26.579293654496901</v>
      </c>
      <c r="AEN15">
        <v>26.579293654496901</v>
      </c>
      <c r="AEO15">
        <v>0</v>
      </c>
      <c r="AEP15">
        <v>0</v>
      </c>
      <c r="AEQ15">
        <v>1</v>
      </c>
      <c r="AER15">
        <v>29.7199763417612</v>
      </c>
      <c r="AES15">
        <v>29.7199763417612</v>
      </c>
      <c r="AET15">
        <v>0</v>
      </c>
      <c r="AEU15">
        <v>0</v>
      </c>
      <c r="AEV15">
        <v>1</v>
      </c>
      <c r="AEW15">
        <v>29.191710476139701</v>
      </c>
      <c r="AEX15">
        <v>29.191710476139701</v>
      </c>
      <c r="AEY15">
        <v>0</v>
      </c>
      <c r="AEZ15">
        <v>0</v>
      </c>
      <c r="AFA15">
        <v>1</v>
      </c>
      <c r="AFB15">
        <v>29.269999738975599</v>
      </c>
      <c r="AFC15">
        <v>29.269999738975599</v>
      </c>
      <c r="AFD15">
        <v>0</v>
      </c>
      <c r="AFE15">
        <v>0</v>
      </c>
      <c r="AFF15">
        <v>1</v>
      </c>
      <c r="AFG15">
        <v>27.4116472919081</v>
      </c>
      <c r="AFH15">
        <v>27.4116472919081</v>
      </c>
      <c r="AFI15">
        <v>0</v>
      </c>
      <c r="AFJ15">
        <v>0</v>
      </c>
      <c r="AFK15">
        <v>1</v>
      </c>
      <c r="AFL15">
        <v>29.240616272283599</v>
      </c>
      <c r="AFM15">
        <v>29.240616272283599</v>
      </c>
      <c r="AFN15">
        <v>0</v>
      </c>
      <c r="AFO15">
        <v>0</v>
      </c>
      <c r="AFP15">
        <v>1</v>
      </c>
      <c r="AFQ15">
        <v>-0.451114014905941</v>
      </c>
      <c r="AFR15">
        <v>0.23543546397103199</v>
      </c>
      <c r="AFS15">
        <v>0.25034344300038502</v>
      </c>
      <c r="AFT15">
        <v>0.228914238754337</v>
      </c>
      <c r="AFU15">
        <v>-0.26314530861145202</v>
      </c>
      <c r="AFV15">
        <v>0.28141975730044</v>
      </c>
      <c r="AFW15">
        <v>0.42008236829388801</v>
      </c>
      <c r="AFX15">
        <v>0.30043519266750401</v>
      </c>
      <c r="AFY15">
        <v>-9.9994479736114E-2</v>
      </c>
      <c r="AFZ15">
        <v>0.26080237095660902</v>
      </c>
      <c r="AGA15">
        <v>0.280551752454957</v>
      </c>
      <c r="AGB15">
        <v>0.28859389079675601</v>
      </c>
      <c r="AGC15">
        <v>-1.7214535537997799</v>
      </c>
      <c r="AGD15">
        <v>-1.7498799234776401</v>
      </c>
      <c r="AGE15">
        <v>-1.82377808453775</v>
      </c>
      <c r="AGF15">
        <v>0</v>
      </c>
      <c r="AGG15">
        <v>0</v>
      </c>
      <c r="AGH15">
        <v>0</v>
      </c>
      <c r="AGI15">
        <v>0</v>
      </c>
      <c r="AGJ15">
        <v>0</v>
      </c>
      <c r="AGK15">
        <v>0</v>
      </c>
      <c r="AGL15">
        <v>0</v>
      </c>
      <c r="AGM15">
        <v>0</v>
      </c>
      <c r="AGN15">
        <v>0</v>
      </c>
      <c r="AGO15">
        <v>0</v>
      </c>
      <c r="AGP15">
        <v>0</v>
      </c>
      <c r="AGQ15">
        <v>0</v>
      </c>
      <c r="AGR15">
        <v>0</v>
      </c>
      <c r="AGS15">
        <v>0</v>
      </c>
      <c r="AGT15">
        <v>0</v>
      </c>
      <c r="AGU15">
        <v>0</v>
      </c>
      <c r="AGV15">
        <v>0</v>
      </c>
      <c r="AGW15">
        <v>0</v>
      </c>
      <c r="AGX15">
        <v>0</v>
      </c>
      <c r="AGY15">
        <v>0</v>
      </c>
      <c r="AGZ15">
        <v>0</v>
      </c>
      <c r="AHA15">
        <v>0</v>
      </c>
      <c r="AHB15">
        <v>0</v>
      </c>
      <c r="AHC15">
        <v>0</v>
      </c>
      <c r="AHD15">
        <v>0</v>
      </c>
      <c r="AHE15">
        <v>0</v>
      </c>
      <c r="AHF15">
        <v>0</v>
      </c>
      <c r="AHG15">
        <v>0</v>
      </c>
      <c r="AHH15">
        <v>0</v>
      </c>
      <c r="AHI15">
        <v>0</v>
      </c>
      <c r="AHJ15">
        <v>0</v>
      </c>
      <c r="AHK15">
        <v>0</v>
      </c>
      <c r="AHL15">
        <v>0</v>
      </c>
      <c r="AHM15">
        <v>0</v>
      </c>
      <c r="AHN15">
        <v>0</v>
      </c>
      <c r="AHO15">
        <v>0</v>
      </c>
      <c r="AHP15">
        <v>0</v>
      </c>
      <c r="AHQ15">
        <v>0</v>
      </c>
      <c r="AHR15">
        <v>0</v>
      </c>
      <c r="AHS15">
        <v>0</v>
      </c>
      <c r="AHT15">
        <v>0</v>
      </c>
      <c r="AHU15">
        <v>0</v>
      </c>
      <c r="AHV15">
        <v>0</v>
      </c>
      <c r="AHW15">
        <v>0</v>
      </c>
      <c r="AHX15">
        <v>0</v>
      </c>
      <c r="AHZ15">
        <v>16884.834408305102</v>
      </c>
      <c r="AIB15">
        <v>0</v>
      </c>
      <c r="AID15">
        <v>16890.439249461499</v>
      </c>
      <c r="AIF15">
        <v>26598.9524319833</v>
      </c>
      <c r="AIH15">
        <v>17128.8951716747</v>
      </c>
      <c r="AIJ15">
        <v>0</v>
      </c>
      <c r="AIL15">
        <v>16769.272458616098</v>
      </c>
      <c r="AIN15">
        <v>16889.977421125899</v>
      </c>
      <c r="AIP15">
        <v>26414.2274013227</v>
      </c>
      <c r="AIR15">
        <v>20932.702571093301</v>
      </c>
      <c r="AIT15">
        <v>0</v>
      </c>
      <c r="AIV15">
        <v>17328.277195911502</v>
      </c>
      <c r="AIX15">
        <v>17327.297148449499</v>
      </c>
      <c r="AIZ15">
        <v>27316.879258434699</v>
      </c>
      <c r="AJB15">
        <v>24524.026559309699</v>
      </c>
      <c r="AJC15">
        <v>0</v>
      </c>
      <c r="AJE15">
        <v>6.0787045684401899E-5</v>
      </c>
      <c r="AJH15">
        <v>8798.3045954393892</v>
      </c>
      <c r="AJJ15">
        <v>183.80401834048999</v>
      </c>
      <c r="AJK15">
        <v>110.298397916667</v>
      </c>
      <c r="AJL15">
        <v>110.298397916667</v>
      </c>
      <c r="AJM15">
        <v>190.047162098179</v>
      </c>
      <c r="AJN15">
        <v>173.68398437499999</v>
      </c>
      <c r="AJO15">
        <v>113.724645833333</v>
      </c>
      <c r="AJP15">
        <v>113.724645833333</v>
      </c>
      <c r="AJQ15">
        <v>219.363420886261</v>
      </c>
      <c r="AJR15">
        <v>179.08562604166701</v>
      </c>
      <c r="AJS15">
        <v>110.298397916667</v>
      </c>
      <c r="AJT15">
        <v>110.298397916667</v>
      </c>
      <c r="AJU15">
        <v>156.81271254174601</v>
      </c>
      <c r="AJV15">
        <v>173.68398437499999</v>
      </c>
      <c r="AJW15">
        <v>0</v>
      </c>
      <c r="AJX15">
        <v>0</v>
      </c>
      <c r="AJY15">
        <v>320173.80521809199</v>
      </c>
      <c r="AJZ15">
        <v>0</v>
      </c>
      <c r="AKA15">
        <v>0</v>
      </c>
      <c r="AKB15">
        <v>124952.851047289</v>
      </c>
      <c r="AKC15">
        <v>157026.572246328</v>
      </c>
      <c r="AKD15">
        <v>565295660.08677995</v>
      </c>
      <c r="AKE15">
        <v>55.5696225488051</v>
      </c>
      <c r="AKF15">
        <v>78.882003599280097</v>
      </c>
      <c r="AKG15">
        <v>1.90762828695704</v>
      </c>
      <c r="AKH15">
        <v>0.60186973248254005</v>
      </c>
      <c r="AKI15">
        <v>103803.9</v>
      </c>
      <c r="AKJ15">
        <v>129728.948102296</v>
      </c>
      <c r="AKK15">
        <v>467024213.168266</v>
      </c>
      <c r="AKL15">
        <v>55.5696225488051</v>
      </c>
      <c r="AKM15">
        <v>62.658283970124103</v>
      </c>
      <c r="AKN15">
        <v>1.75169790065331</v>
      </c>
      <c r="AKO15">
        <v>0.5</v>
      </c>
      <c r="AKP15">
        <v>1865763.59503457</v>
      </c>
      <c r="AKT15">
        <v>0</v>
      </c>
      <c r="AKX15">
        <v>0</v>
      </c>
      <c r="ALB15">
        <v>20.760648244627699</v>
      </c>
      <c r="ALC15">
        <v>20.760648244627699</v>
      </c>
      <c r="ALD15">
        <v>0</v>
      </c>
      <c r="ALE15">
        <v>0</v>
      </c>
      <c r="ALF15">
        <v>0</v>
      </c>
      <c r="ALH15">
        <v>13.6742351167088</v>
      </c>
      <c r="ALI15">
        <v>2.8568269606532499E-3</v>
      </c>
      <c r="ALJ15">
        <v>18.527145670570899</v>
      </c>
      <c r="ALK15">
        <v>13.674235119043701</v>
      </c>
      <c r="ALL15">
        <v>18.527145670570899</v>
      </c>
      <c r="ALM15">
        <v>3.7591729291246802E-4</v>
      </c>
      <c r="ALN15">
        <v>19.2493606343298</v>
      </c>
      <c r="ALO15">
        <v>2.8568269606532499E-3</v>
      </c>
      <c r="ALP15">
        <v>20.7519375790224</v>
      </c>
      <c r="ALQ15">
        <v>18.527145670570899</v>
      </c>
      <c r="ALR15">
        <v>13.6742351167088</v>
      </c>
      <c r="ALS15">
        <v>18.527145670570899</v>
      </c>
      <c r="ALT15">
        <v>14.038192315586</v>
      </c>
      <c r="ALU15">
        <v>18.527145670570899</v>
      </c>
      <c r="ALV15">
        <v>12.2200000000079</v>
      </c>
      <c r="ALW15">
        <v>9.9999999999999897E-12</v>
      </c>
      <c r="ALX15">
        <v>13.674235119043701</v>
      </c>
      <c r="ALY15">
        <v>9.9999999999999897E-12</v>
      </c>
      <c r="ALZ15">
        <v>5.1939364189497097E-3</v>
      </c>
      <c r="AMA15">
        <v>13.674235119043701</v>
      </c>
      <c r="AMB15">
        <v>0</v>
      </c>
      <c r="AMC15">
        <v>13.674235119043701</v>
      </c>
      <c r="AMD15">
        <v>0</v>
      </c>
      <c r="AME15">
        <v>13.674235119043701</v>
      </c>
      <c r="AMF15">
        <v>0</v>
      </c>
      <c r="AMG15">
        <v>0</v>
      </c>
      <c r="AMH15">
        <v>4.2474999999999996</v>
      </c>
      <c r="AMI15">
        <v>31.020608340246898</v>
      </c>
      <c r="AMJ15">
        <v>0.54751819999999995</v>
      </c>
      <c r="AMK15" s="580">
        <v>15.4358300201456</v>
      </c>
      <c r="AML15">
        <v>3.3546</v>
      </c>
      <c r="AMM15">
        <v>31.006401940477701</v>
      </c>
      <c r="AMN15">
        <v>0.54751819999999995</v>
      </c>
      <c r="AMO15">
        <v>31.003291891656598</v>
      </c>
      <c r="AMP15">
        <v>0.86216250000000005</v>
      </c>
      <c r="AMQ15">
        <v>36.834655845462102</v>
      </c>
      <c r="AMR15">
        <v>0.70253968657866395</v>
      </c>
      <c r="AMS15">
        <v>15.233671382928</v>
      </c>
      <c r="AMT15">
        <v>3.3546</v>
      </c>
      <c r="AMU15">
        <v>31.2564237260477</v>
      </c>
      <c r="AMV15">
        <v>0.54751819999999995</v>
      </c>
      <c r="AMW15">
        <v>31.087635829068098</v>
      </c>
      <c r="AMX15">
        <v>0.54751819999999995</v>
      </c>
      <c r="AMY15">
        <v>31.246051898888201</v>
      </c>
      <c r="AMZ15">
        <v>0.86216250000000005</v>
      </c>
      <c r="ANA15">
        <v>37.0058046403785</v>
      </c>
      <c r="ANB15">
        <v>0.85143399110627305</v>
      </c>
      <c r="ANC15">
        <v>15.0212515848295</v>
      </c>
      <c r="AND15">
        <v>3.3546</v>
      </c>
      <c r="ANE15">
        <v>31.144921126183299</v>
      </c>
      <c r="ANF15">
        <v>0.56289560000000005</v>
      </c>
      <c r="ANG15">
        <v>31.1468093176229</v>
      </c>
      <c r="ANH15">
        <v>0.56289560000000005</v>
      </c>
      <c r="ANI15">
        <v>31.101651405897801</v>
      </c>
      <c r="ANJ15">
        <v>0.88640865999999996</v>
      </c>
      <c r="ANK15">
        <v>37.045190378739797</v>
      </c>
      <c r="ANL15">
        <v>0.98277433288599203</v>
      </c>
      <c r="ANM15">
        <v>6.0143385865786598</v>
      </c>
      <c r="ANN15">
        <v>6.1632328911062704</v>
      </c>
      <c r="ANO15">
        <v>6.3495741928859903</v>
      </c>
      <c r="ANP15">
        <v>15.4358300201456</v>
      </c>
      <c r="ANQ15">
        <v>16.857835669621</v>
      </c>
      <c r="ANR15">
        <v>16.876706600316702</v>
      </c>
      <c r="ANS15">
        <v>16.597486304407902</v>
      </c>
      <c r="ANT15">
        <v>16.853656830236599</v>
      </c>
      <c r="ANU15">
        <v>15.233671382928</v>
      </c>
      <c r="ANV15">
        <v>17.208696395575199</v>
      </c>
      <c r="ANW15">
        <v>16.939453906758398</v>
      </c>
      <c r="ANX15">
        <v>16.6009769105952</v>
      </c>
      <c r="ANY15">
        <v>17.194046063440101</v>
      </c>
      <c r="ANZ15">
        <v>15.0212515848295</v>
      </c>
      <c r="AOA15">
        <v>17.066446343610799</v>
      </c>
      <c r="AOB15">
        <v>17.069125589517899</v>
      </c>
      <c r="AOC15">
        <v>16.337156927157501</v>
      </c>
      <c r="AOD15">
        <v>17.0080460201623</v>
      </c>
      <c r="AOE15">
        <v>19.2493606343298</v>
      </c>
      <c r="AOF15">
        <v>4.2474999999999996</v>
      </c>
      <c r="AOG15">
        <v>19.284952854352799</v>
      </c>
      <c r="AOH15">
        <v>4.2474999999999996</v>
      </c>
    </row>
    <row r="16" spans="1:1074">
      <c r="A16" t="s">
        <v>2586</v>
      </c>
      <c r="B16">
        <v>-3.33</v>
      </c>
      <c r="D16">
        <v>-3.33</v>
      </c>
      <c r="F16">
        <v>10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0</v>
      </c>
      <c r="BW16">
        <v>0</v>
      </c>
      <c r="BX16">
        <v>0</v>
      </c>
      <c r="BY16">
        <v>0</v>
      </c>
      <c r="BZ16">
        <v>0</v>
      </c>
      <c r="CA16">
        <v>0</v>
      </c>
      <c r="CB16">
        <v>0</v>
      </c>
      <c r="CC16">
        <v>0</v>
      </c>
      <c r="CD16">
        <v>0</v>
      </c>
      <c r="CE16">
        <v>0</v>
      </c>
      <c r="CF16">
        <v>0</v>
      </c>
      <c r="CG16">
        <v>0</v>
      </c>
      <c r="CH16">
        <v>0</v>
      </c>
      <c r="CI16">
        <v>0</v>
      </c>
      <c r="CJ16">
        <v>0</v>
      </c>
      <c r="CK16">
        <v>0</v>
      </c>
      <c r="CL16">
        <v>0</v>
      </c>
      <c r="CM16">
        <v>0</v>
      </c>
      <c r="CN16">
        <v>0</v>
      </c>
      <c r="CO16">
        <v>0</v>
      </c>
      <c r="CP16">
        <v>0</v>
      </c>
      <c r="CQ16">
        <v>0</v>
      </c>
      <c r="CR16">
        <v>0</v>
      </c>
      <c r="CS16">
        <v>0</v>
      </c>
      <c r="CT16">
        <v>0</v>
      </c>
      <c r="CU16">
        <v>0</v>
      </c>
      <c r="CV16">
        <v>0</v>
      </c>
      <c r="CW16">
        <v>0</v>
      </c>
      <c r="CX16">
        <v>0</v>
      </c>
      <c r="CY16">
        <v>0</v>
      </c>
      <c r="CZ16">
        <v>0</v>
      </c>
      <c r="DA16">
        <v>0</v>
      </c>
      <c r="DB16">
        <v>0</v>
      </c>
      <c r="DC16">
        <v>0</v>
      </c>
      <c r="DD16">
        <v>0</v>
      </c>
      <c r="DE16">
        <v>0</v>
      </c>
      <c r="DF16">
        <v>0</v>
      </c>
      <c r="DG16">
        <v>0</v>
      </c>
      <c r="DH16">
        <v>0</v>
      </c>
      <c r="DI16">
        <v>0</v>
      </c>
      <c r="DJ16">
        <v>0</v>
      </c>
      <c r="DK16">
        <v>0</v>
      </c>
      <c r="DL16">
        <v>0</v>
      </c>
      <c r="DM16">
        <v>0</v>
      </c>
      <c r="DN16">
        <v>0</v>
      </c>
      <c r="DO16">
        <v>0</v>
      </c>
      <c r="DP16">
        <v>0</v>
      </c>
      <c r="DQ16">
        <v>0</v>
      </c>
      <c r="DR16">
        <v>0</v>
      </c>
      <c r="DS16">
        <v>0</v>
      </c>
      <c r="DT16">
        <v>0</v>
      </c>
      <c r="DU16">
        <v>0</v>
      </c>
      <c r="DV16">
        <v>0</v>
      </c>
      <c r="DW16">
        <v>0</v>
      </c>
      <c r="DX16">
        <v>0</v>
      </c>
      <c r="DY16">
        <v>0</v>
      </c>
      <c r="DZ16">
        <v>0</v>
      </c>
      <c r="EA16">
        <v>0</v>
      </c>
      <c r="EB16">
        <v>0</v>
      </c>
      <c r="EC16">
        <v>0</v>
      </c>
      <c r="ED16">
        <v>0</v>
      </c>
      <c r="EE16">
        <v>0</v>
      </c>
      <c r="EF16">
        <v>0</v>
      </c>
      <c r="EG16">
        <v>0</v>
      </c>
      <c r="EH16">
        <v>0</v>
      </c>
      <c r="EI16">
        <v>0</v>
      </c>
      <c r="EJ16">
        <v>0</v>
      </c>
      <c r="EK16">
        <v>0</v>
      </c>
      <c r="EL16">
        <v>0</v>
      </c>
      <c r="EM16">
        <v>0</v>
      </c>
      <c r="EN16">
        <v>0</v>
      </c>
      <c r="EO16">
        <v>0</v>
      </c>
      <c r="EP16">
        <v>0</v>
      </c>
      <c r="EQ16">
        <v>0</v>
      </c>
      <c r="ER16">
        <v>0</v>
      </c>
      <c r="ES16">
        <v>0</v>
      </c>
      <c r="ET16">
        <v>0</v>
      </c>
      <c r="EU16">
        <v>0</v>
      </c>
      <c r="EV16">
        <v>0</v>
      </c>
      <c r="EW16">
        <v>0</v>
      </c>
      <c r="EX16">
        <v>0</v>
      </c>
      <c r="EY16">
        <v>0</v>
      </c>
      <c r="EZ16">
        <v>0</v>
      </c>
      <c r="FA16">
        <v>0</v>
      </c>
      <c r="FB16">
        <v>0</v>
      </c>
      <c r="FC16">
        <v>0</v>
      </c>
      <c r="FD16">
        <v>0</v>
      </c>
      <c r="FE16">
        <v>0</v>
      </c>
      <c r="FF16">
        <v>0</v>
      </c>
      <c r="FG16">
        <v>0</v>
      </c>
      <c r="FH16">
        <v>0</v>
      </c>
      <c r="FI16">
        <v>0</v>
      </c>
      <c r="FJ16">
        <v>0</v>
      </c>
      <c r="FK16">
        <v>0</v>
      </c>
      <c r="FL16">
        <v>0</v>
      </c>
      <c r="FM16">
        <v>0</v>
      </c>
      <c r="FN16">
        <v>0</v>
      </c>
      <c r="FO16">
        <v>0</v>
      </c>
      <c r="FP16">
        <v>0</v>
      </c>
      <c r="FQ16">
        <v>0</v>
      </c>
      <c r="FR16">
        <v>0</v>
      </c>
      <c r="FS16">
        <v>0</v>
      </c>
      <c r="FT16">
        <v>0</v>
      </c>
      <c r="FU16">
        <v>0</v>
      </c>
      <c r="FV16">
        <v>0</v>
      </c>
      <c r="FW16">
        <v>0</v>
      </c>
      <c r="FX16">
        <v>0</v>
      </c>
      <c r="FY16">
        <v>0</v>
      </c>
      <c r="FZ16">
        <v>0</v>
      </c>
      <c r="GA16">
        <v>0</v>
      </c>
      <c r="GB16">
        <v>-1018.17311814121</v>
      </c>
      <c r="GC16">
        <v>-1828.12615956698</v>
      </c>
      <c r="GD16">
        <v>-2459.0374787450401</v>
      </c>
      <c r="GE16">
        <v>-666.27903069636398</v>
      </c>
      <c r="GF16">
        <v>-1139.9059863341399</v>
      </c>
      <c r="GG16">
        <v>-1524.30183379866</v>
      </c>
      <c r="GH16">
        <v>-809.07073449593804</v>
      </c>
      <c r="GI16">
        <v>-1315.4863329595501</v>
      </c>
      <c r="GJ16">
        <v>-1848.27103164557</v>
      </c>
      <c r="GK16">
        <v>-659.12778775858897</v>
      </c>
      <c r="GL16">
        <v>-1135.8721077412199</v>
      </c>
      <c r="GM16">
        <v>-1506.5525369541999</v>
      </c>
      <c r="GN16">
        <v>-268.31325089176403</v>
      </c>
      <c r="GO16">
        <v>22.353944748486601</v>
      </c>
      <c r="GP16">
        <v>23.7877462348191</v>
      </c>
      <c r="GQ16">
        <v>-215.84772223545701</v>
      </c>
      <c r="GR16">
        <v>-1260.9337336436899</v>
      </c>
      <c r="GS16">
        <v>-2514.1339042794698</v>
      </c>
      <c r="GT16">
        <v>-174.60747774610101</v>
      </c>
      <c r="GU16">
        <v>22.3434148730739</v>
      </c>
      <c r="GV16">
        <v>23.743798153712099</v>
      </c>
      <c r="GW16">
        <v>-131.841045157683</v>
      </c>
      <c r="GX16">
        <v>-773.32549412322396</v>
      </c>
      <c r="GY16">
        <v>-1538.8112328300399</v>
      </c>
      <c r="GZ16">
        <v>-282.37615443173797</v>
      </c>
      <c r="HA16">
        <v>20.691548907323298</v>
      </c>
      <c r="HB16">
        <v>21.654716579657201</v>
      </c>
      <c r="HC16">
        <v>-312.64082825400402</v>
      </c>
      <c r="HD16">
        <v>-1305.8432292207699</v>
      </c>
      <c r="HE16">
        <v>-2316.1375742524001</v>
      </c>
      <c r="HF16">
        <v>-168.57452211785699</v>
      </c>
      <c r="HG16">
        <v>22.439655640810301</v>
      </c>
      <c r="HH16">
        <v>23.797871950365799</v>
      </c>
      <c r="HI16">
        <v>-131.059379236795</v>
      </c>
      <c r="HJ16">
        <v>-755.809434119294</v>
      </c>
      <c r="HK16">
        <v>-1498.9869398764899</v>
      </c>
      <c r="HL16">
        <v>-938.80424407081898</v>
      </c>
      <c r="HM16">
        <v>22.6229134493854</v>
      </c>
      <c r="HN16">
        <v>19.566803478992</v>
      </c>
      <c r="HO16">
        <v>-1643.96239554606</v>
      </c>
      <c r="HP16">
        <v>-1775.09967814886</v>
      </c>
      <c r="HQ16">
        <v>23.925498745300001</v>
      </c>
      <c r="HR16">
        <v>-2404.5805963974699</v>
      </c>
      <c r="HS16">
        <v>-606.46330380773804</v>
      </c>
      <c r="HT16">
        <v>22.635126701222202</v>
      </c>
      <c r="HU16">
        <v>19.580050953935601</v>
      </c>
      <c r="HV16">
        <v>-966.29617572565098</v>
      </c>
      <c r="HW16">
        <v>-1102.4483112673499</v>
      </c>
      <c r="HX16">
        <v>23.949985980836701</v>
      </c>
      <c r="HY16">
        <v>-1457.0362550377999</v>
      </c>
      <c r="HZ16">
        <v>21.294522248785501</v>
      </c>
      <c r="IA16">
        <v>19.0029544712866</v>
      </c>
      <c r="IB16">
        <v>-1324.52561511197</v>
      </c>
      <c r="IC16">
        <v>-822.46655611676897</v>
      </c>
      <c r="ID16">
        <v>-1482.3783061095501</v>
      </c>
      <c r="IE16">
        <v>22.333251311140799</v>
      </c>
      <c r="IF16">
        <v>-2072.3650798243498</v>
      </c>
      <c r="IG16">
        <v>-140.38734305070301</v>
      </c>
      <c r="IH16">
        <v>22.7327839939501</v>
      </c>
      <c r="II16">
        <v>19.6206813031907</v>
      </c>
      <c r="IJ16">
        <v>-978.16617754879599</v>
      </c>
      <c r="IK16">
        <v>-144.45312067036599</v>
      </c>
      <c r="IL16">
        <v>-596.82041542252898</v>
      </c>
      <c r="IM16">
        <v>-1108.98350945945</v>
      </c>
      <c r="IN16">
        <v>24.097565230024301</v>
      </c>
      <c r="IO16">
        <v>2.0008627776625101</v>
      </c>
      <c r="IP16">
        <v>-1447.33000344418</v>
      </c>
      <c r="IQ16">
        <v>748.579159297052</v>
      </c>
      <c r="IR16">
        <v>449.155054620839</v>
      </c>
      <c r="IS16">
        <v>582.26096785938296</v>
      </c>
      <c r="IT16">
        <v>457.27186301510699</v>
      </c>
      <c r="IU16">
        <v>861.38223050294403</v>
      </c>
      <c r="IV16">
        <v>-256.15030141086402</v>
      </c>
      <c r="IW16">
        <v>22.527506908576601</v>
      </c>
      <c r="IX16">
        <v>23.925498745300001</v>
      </c>
      <c r="IY16">
        <v>-207.85411956180801</v>
      </c>
      <c r="IZ16">
        <v>-1211.7151241889701</v>
      </c>
      <c r="JA16">
        <v>-2420.99359035306</v>
      </c>
      <c r="JB16">
        <v>-162.047609090245</v>
      </c>
      <c r="JC16">
        <v>22.620536120305101</v>
      </c>
      <c r="JD16">
        <v>23.949985980836701</v>
      </c>
      <c r="JE16">
        <v>-126.901986197827</v>
      </c>
      <c r="JF16">
        <v>-735.75180301029002</v>
      </c>
      <c r="JG16">
        <v>-1463.89447296146</v>
      </c>
      <c r="JH16">
        <v>-319.81258934499198</v>
      </c>
      <c r="JI16">
        <v>21.263645157805101</v>
      </c>
      <c r="JJ16">
        <v>22.333251311140799</v>
      </c>
      <c r="JK16">
        <v>-402.91668761567399</v>
      </c>
      <c r="JL16">
        <v>-1650.39482876078</v>
      </c>
      <c r="JM16">
        <v>-2864.1731290900202</v>
      </c>
      <c r="JN16">
        <v>-151.74046208766501</v>
      </c>
      <c r="JO16">
        <v>22.810178431342401</v>
      </c>
      <c r="JP16">
        <v>24.097565230024301</v>
      </c>
      <c r="JQ16">
        <v>0.783895264569336</v>
      </c>
      <c r="JR16">
        <v>-129.38293753886001</v>
      </c>
      <c r="JS16">
        <v>2.0547373799144899</v>
      </c>
      <c r="JT16">
        <v>-735.01073437235095</v>
      </c>
      <c r="JU16">
        <v>-1457.5231181526899</v>
      </c>
      <c r="JV16">
        <v>-960.866472583225</v>
      </c>
      <c r="JW16">
        <v>-1810.6740249386401</v>
      </c>
      <c r="JX16">
        <v>-2378.5464428348801</v>
      </c>
      <c r="JY16">
        <v>-625.66148892773003</v>
      </c>
      <c r="JZ16">
        <v>-1124.30475336063</v>
      </c>
      <c r="KA16">
        <v>-1453.89301771897</v>
      </c>
      <c r="KB16">
        <v>-876.73704964916601</v>
      </c>
      <c r="KC16">
        <v>-1645.5385512371499</v>
      </c>
      <c r="KD16">
        <v>-2082.3528753220498</v>
      </c>
      <c r="KE16">
        <v>-622.58195090269999</v>
      </c>
      <c r="KF16">
        <v>22.189123409295501</v>
      </c>
      <c r="KG16">
        <v>-664.683763153119</v>
      </c>
      <c r="KH16">
        <v>1.23906401343109</v>
      </c>
      <c r="KI16">
        <v>-1119.70294823311</v>
      </c>
      <c r="KJ16">
        <v>-1439.97284771157</v>
      </c>
      <c r="KK16">
        <v>-245.64585507048201</v>
      </c>
      <c r="KL16">
        <v>22.690658725150801</v>
      </c>
      <c r="KM16">
        <v>23.9351842926886</v>
      </c>
      <c r="KN16">
        <v>-185.971185037731</v>
      </c>
      <c r="KO16">
        <v>21.467075271858501</v>
      </c>
      <c r="KP16">
        <v>-10.266263591029499</v>
      </c>
      <c r="KQ16">
        <v>-1017.79427992554</v>
      </c>
      <c r="KR16">
        <v>-1967.8014727279999</v>
      </c>
      <c r="KS16">
        <v>-155.22536965487899</v>
      </c>
      <c r="KT16">
        <v>22.789027512377501</v>
      </c>
      <c r="KU16">
        <v>23.995811484337001</v>
      </c>
      <c r="KV16">
        <v>-114.75543146243</v>
      </c>
      <c r="KW16">
        <v>21.577072436591099</v>
      </c>
      <c r="KX16">
        <v>-10.176684027939499</v>
      </c>
      <c r="KY16">
        <v>-633.20081980352904</v>
      </c>
      <c r="KZ16">
        <v>-1233.09533130003</v>
      </c>
      <c r="LA16">
        <v>-309.56164977050997</v>
      </c>
      <c r="LB16">
        <v>22.527415659771901</v>
      </c>
      <c r="LC16">
        <v>23.161174462515799</v>
      </c>
      <c r="LD16">
        <v>-421.247793232802</v>
      </c>
      <c r="LE16">
        <v>21.656225513865699</v>
      </c>
      <c r="LF16">
        <v>-10.263543741086901</v>
      </c>
      <c r="LG16">
        <v>-1349.37281973886</v>
      </c>
      <c r="LH16">
        <v>-1991.70034848823</v>
      </c>
      <c r="LI16">
        <v>-153.210819874583</v>
      </c>
      <c r="LJ16">
        <v>22.7581024755995</v>
      </c>
      <c r="LK16">
        <v>23.9528880142046</v>
      </c>
      <c r="LL16">
        <v>-113.376048498004</v>
      </c>
      <c r="LM16">
        <v>21.557736886941601</v>
      </c>
      <c r="LN16">
        <v>-9.8616690874896005</v>
      </c>
      <c r="LO16">
        <v>-625.42004340727601</v>
      </c>
      <c r="LP16">
        <v>-1219.2941253797201</v>
      </c>
      <c r="LQ16">
        <v>-16.140501929111501</v>
      </c>
      <c r="LR16">
        <v>17.249487074761198</v>
      </c>
      <c r="LS16">
        <v>16.481000000000002</v>
      </c>
      <c r="LT16">
        <v>252.103509439654</v>
      </c>
      <c r="LU16">
        <v>-1224.74992053045</v>
      </c>
      <c r="LV16">
        <v>18.917001111966499</v>
      </c>
      <c r="LW16">
        <v>22.498266128039202</v>
      </c>
      <c r="LX16">
        <v>1079.2396921258801</v>
      </c>
      <c r="LY16">
        <v>-11.1404608837016</v>
      </c>
      <c r="LZ16">
        <v>17.234871160484101</v>
      </c>
      <c r="MA16">
        <v>16.481000000000002</v>
      </c>
      <c r="MB16">
        <v>155.89065522429399</v>
      </c>
      <c r="MC16">
        <v>-784.13401509707603</v>
      </c>
      <c r="MD16">
        <v>18.918383652354699</v>
      </c>
      <c r="ME16">
        <v>22.482263509688501</v>
      </c>
      <c r="MF16">
        <v>686.94002542234205</v>
      </c>
      <c r="MG16">
        <v>-23.437589239818699</v>
      </c>
      <c r="MH16">
        <v>16.920519161262199</v>
      </c>
      <c r="MI16">
        <v>16.481000000000002</v>
      </c>
      <c r="MJ16">
        <v>253.15558125774999</v>
      </c>
      <c r="MK16">
        <v>-698.56544366669903</v>
      </c>
      <c r="ML16">
        <v>18.0332184093899</v>
      </c>
      <c r="MM16">
        <v>20.605538077988701</v>
      </c>
      <c r="MN16">
        <v>806.05989826936798</v>
      </c>
      <c r="MO16">
        <v>-10.661015168507999</v>
      </c>
      <c r="MP16">
        <v>17.243061246480899</v>
      </c>
      <c r="MQ16">
        <v>16.481000000000002</v>
      </c>
      <c r="MR16">
        <v>152.79429652395501</v>
      </c>
      <c r="MS16">
        <v>-808.08324508771204</v>
      </c>
      <c r="MT16">
        <v>18.9597661941167</v>
      </c>
      <c r="MU16">
        <v>22.529546993117101</v>
      </c>
      <c r="MV16">
        <v>695.08531226653304</v>
      </c>
      <c r="MW16">
        <v>-11.382042669632</v>
      </c>
      <c r="MX16">
        <v>18.412837472181899</v>
      </c>
      <c r="MY16">
        <v>20.859832461877701</v>
      </c>
      <c r="MZ16">
        <v>680.54055549477698</v>
      </c>
      <c r="NA16">
        <v>-206.61111573413601</v>
      </c>
      <c r="NB16">
        <v>19.500041998948301</v>
      </c>
      <c r="NC16">
        <v>22.740384966610002</v>
      </c>
      <c r="ND16">
        <v>1171.7631873978401</v>
      </c>
      <c r="NE16">
        <v>-8.1994624934722999</v>
      </c>
      <c r="NF16">
        <v>18.4277341402309</v>
      </c>
      <c r="NG16">
        <v>20.885022878414599</v>
      </c>
      <c r="NH16">
        <v>431.42182751501201</v>
      </c>
      <c r="NI16">
        <v>-139.78919476698701</v>
      </c>
      <c r="NJ16">
        <v>19.541990177142299</v>
      </c>
      <c r="NK16">
        <v>22.786410238282599</v>
      </c>
      <c r="NL16">
        <v>752.66250700637795</v>
      </c>
      <c r="NM16">
        <v>-14.893003935355001</v>
      </c>
      <c r="NN16">
        <v>17.471381166556</v>
      </c>
      <c r="NO16">
        <v>19.500365165091399</v>
      </c>
      <c r="NP16">
        <v>562.83261216588699</v>
      </c>
      <c r="NQ16" s="35">
        <v>-179.41438191893499</v>
      </c>
      <c r="NR16" s="35">
        <v>18.388200886982101</v>
      </c>
      <c r="NS16">
        <v>21.175041291396901</v>
      </c>
      <c r="NT16">
        <v>997.12827985833496</v>
      </c>
      <c r="NU16">
        <v>-7.9981713216072796</v>
      </c>
      <c r="NV16">
        <v>18.476413733227901</v>
      </c>
      <c r="NW16">
        <v>21.020645095044301</v>
      </c>
      <c r="NX16">
        <v>2.5765665650517202</v>
      </c>
      <c r="NY16">
        <v>437.67207631055697</v>
      </c>
      <c r="NZ16">
        <v>-148.855049721337</v>
      </c>
      <c r="OA16">
        <v>19.617239714595598</v>
      </c>
      <c r="OB16">
        <v>22.903818544200199</v>
      </c>
      <c r="OC16">
        <v>2.3816264027970702</v>
      </c>
      <c r="OD16">
        <v>767.36150186012696</v>
      </c>
      <c r="OE16">
        <v>2.5765665650517202</v>
      </c>
      <c r="OF16">
        <v>2.3816264027970702</v>
      </c>
      <c r="OG16">
        <v>-9.9365999408103907</v>
      </c>
      <c r="OH16">
        <v>18.411939062613801</v>
      </c>
      <c r="OI16">
        <v>21.0788075082448</v>
      </c>
      <c r="OJ16">
        <v>754.12007074647295</v>
      </c>
      <c r="OK16">
        <v>-53.533489781534001</v>
      </c>
      <c r="OL16">
        <v>19.4234819904527</v>
      </c>
      <c r="OM16">
        <v>22.671304029636399</v>
      </c>
      <c r="ON16">
        <v>1205.26299370945</v>
      </c>
      <c r="OO16">
        <v>-6.6821693425711999</v>
      </c>
      <c r="OP16">
        <v>18.492098701318898</v>
      </c>
      <c r="OQ16">
        <v>21.2280340374144</v>
      </c>
      <c r="OR16">
        <v>488.03340042377999</v>
      </c>
      <c r="OS16">
        <v>-27.5788194788487</v>
      </c>
      <c r="OT16">
        <v>19.5231223124553</v>
      </c>
      <c r="OU16">
        <v>22.768077191382101</v>
      </c>
      <c r="OV16">
        <v>780.48851021156895</v>
      </c>
      <c r="OW16">
        <v>-11.5615359011205</v>
      </c>
      <c r="OX16">
        <v>17.3701405839317</v>
      </c>
      <c r="OY16">
        <v>19.8710371663765</v>
      </c>
      <c r="OZ16">
        <v>631.09632182322196</v>
      </c>
      <c r="PA16">
        <v>-236.37985111060499</v>
      </c>
      <c r="PB16">
        <v>18.425036301879501</v>
      </c>
      <c r="PC16">
        <v>21.608860481682299</v>
      </c>
      <c r="PD16">
        <v>1143.5485891165299</v>
      </c>
      <c r="PE16">
        <v>-6.1877938483817898</v>
      </c>
      <c r="PF16">
        <v>18.512227093077101</v>
      </c>
      <c r="PG16">
        <v>21.4385651296944</v>
      </c>
      <c r="PH16">
        <v>2.63800476408217</v>
      </c>
      <c r="PI16">
        <v>493.77318682149303</v>
      </c>
      <c r="PJ16">
        <v>-9.38537100436033</v>
      </c>
      <c r="PK16">
        <v>19.522267943528298</v>
      </c>
      <c r="PL16">
        <v>22.739599190727599</v>
      </c>
      <c r="PM16" s="35">
        <v>2.4367002176194501</v>
      </c>
      <c r="PN16">
        <v>778.75030821378505</v>
      </c>
      <c r="PO16">
        <v>23.099763002002099</v>
      </c>
      <c r="PP16">
        <v>23.076198055090298</v>
      </c>
      <c r="PQ16">
        <v>21.055038052126701</v>
      </c>
      <c r="PR16">
        <v>23.117334663457701</v>
      </c>
      <c r="PS16">
        <v>17.686201386967799</v>
      </c>
      <c r="PT16">
        <v>23.248400861192401</v>
      </c>
      <c r="PU16">
        <v>23.2953562519982</v>
      </c>
      <c r="PV16">
        <v>21.660925825982901</v>
      </c>
      <c r="PW16">
        <v>23.418504646892799</v>
      </c>
      <c r="PX16">
        <v>17.475610838880399</v>
      </c>
      <c r="PY16">
        <v>23.172442486596001</v>
      </c>
      <c r="PZ16">
        <v>23.264680785059898</v>
      </c>
      <c r="QA16">
        <v>22.192427153357698</v>
      </c>
      <c r="QB16">
        <v>23.228157695473399</v>
      </c>
      <c r="QC16">
        <v>16.860702344436401</v>
      </c>
      <c r="QD16">
        <v>15.8888698014204</v>
      </c>
      <c r="QE16">
        <v>25.510161972876801</v>
      </c>
      <c r="QF16">
        <v>25.4612152595267</v>
      </c>
      <c r="QG16">
        <v>22.890507119523601</v>
      </c>
      <c r="QH16">
        <v>25.4815296037244</v>
      </c>
      <c r="QI16">
        <v>17.143365911594302</v>
      </c>
      <c r="QJ16">
        <v>25.618742712221501</v>
      </c>
      <c r="QK16">
        <v>25.655046787700702</v>
      </c>
      <c r="QL16">
        <v>23.682830614828699</v>
      </c>
      <c r="QM16">
        <v>25.722789079351202</v>
      </c>
      <c r="QN16">
        <v>-5806.7447334533699</v>
      </c>
      <c r="QO16">
        <v>16.930712087811301</v>
      </c>
      <c r="QP16">
        <v>5786.9236137951202</v>
      </c>
      <c r="QQ16">
        <v>25.603113924254998</v>
      </c>
      <c r="QR16">
        <v>25.6576581539424</v>
      </c>
      <c r="QS16">
        <v>24.387027623244698</v>
      </c>
      <c r="QT16">
        <v>25.613858514028099</v>
      </c>
      <c r="QU16">
        <v>16.4099913324041</v>
      </c>
      <c r="QV16">
        <v>14.7464344085323</v>
      </c>
      <c r="QW16">
        <v>362530.99714284501</v>
      </c>
      <c r="QX16">
        <v>0</v>
      </c>
      <c r="QY16">
        <v>260897.75244368499</v>
      </c>
      <c r="QZ16">
        <v>0</v>
      </c>
      <c r="RA16">
        <v>34068.697736670401</v>
      </c>
      <c r="RB16">
        <v>0</v>
      </c>
      <c r="RC16">
        <v>23483.032906872701</v>
      </c>
      <c r="RD16">
        <v>0</v>
      </c>
      <c r="RE16">
        <v>104245.96469891899</v>
      </c>
      <c r="RF16">
        <v>0</v>
      </c>
      <c r="RG16">
        <v>70942.955820627496</v>
      </c>
      <c r="RH16" s="35">
        <v>0</v>
      </c>
      <c r="RI16">
        <v>13695.767685054199</v>
      </c>
      <c r="RJ16" s="35">
        <v>896.14551915571701</v>
      </c>
      <c r="RK16">
        <v>27.9205609437515</v>
      </c>
      <c r="RL16">
        <v>5646.1741604947101</v>
      </c>
      <c r="RM16" s="35">
        <v>3688.29773645143</v>
      </c>
      <c r="RN16">
        <v>11772.651895757201</v>
      </c>
      <c r="RO16" s="35">
        <v>8715.6021577337997</v>
      </c>
      <c r="RP16">
        <v>561.64865228582801</v>
      </c>
      <c r="RQ16" s="35">
        <v>27.846232463962998</v>
      </c>
      <c r="RR16" s="35">
        <v>3646.6595866226598</v>
      </c>
      <c r="RS16">
        <v>2441.0756954517801</v>
      </c>
      <c r="RT16">
        <v>7576.8481950002797</v>
      </c>
      <c r="RU16">
        <v>10147.955003302601</v>
      </c>
      <c r="RV16">
        <v>0</v>
      </c>
      <c r="RW16">
        <v>24.725976186920501</v>
      </c>
      <c r="RX16">
        <v>5043.1841559553404</v>
      </c>
      <c r="RY16">
        <v>5043.1841559553404</v>
      </c>
      <c r="RZ16">
        <v>13213.5541416384</v>
      </c>
      <c r="SA16">
        <v>8718.3655909723893</v>
      </c>
      <c r="SB16">
        <v>560.35498245606198</v>
      </c>
      <c r="SC16">
        <v>27.8457245439911</v>
      </c>
      <c r="SD16">
        <v>3675.6210025846799</v>
      </c>
      <c r="SE16">
        <v>2471.0272836484301</v>
      </c>
      <c r="SF16">
        <v>7606.4943840410797</v>
      </c>
      <c r="SG16">
        <v>0</v>
      </c>
      <c r="SH16">
        <v>6124.37391315676</v>
      </c>
      <c r="SI16">
        <v>16.600530436220801</v>
      </c>
      <c r="SJ16">
        <v>32694.631299303201</v>
      </c>
      <c r="SK16">
        <v>32694.631299303201</v>
      </c>
      <c r="SL16">
        <v>77939.735909833005</v>
      </c>
      <c r="SM16">
        <v>21.1111</v>
      </c>
      <c r="SN16">
        <v>26.666699999999999</v>
      </c>
      <c r="SO16">
        <v>1969.5153217997099</v>
      </c>
      <c r="SP16">
        <v>0</v>
      </c>
      <c r="SQ16">
        <v>23.576410852119899</v>
      </c>
      <c r="SR16">
        <v>0</v>
      </c>
      <c r="SS16">
        <v>0</v>
      </c>
      <c r="ST16">
        <v>0</v>
      </c>
      <c r="SU16">
        <v>1223.3899074700901</v>
      </c>
      <c r="SV16">
        <v>0</v>
      </c>
      <c r="SW16">
        <v>23.524062904124602</v>
      </c>
      <c r="SX16">
        <v>0</v>
      </c>
      <c r="SY16">
        <v>0</v>
      </c>
      <c r="SZ16">
        <v>0</v>
      </c>
      <c r="TA16">
        <v>2088.0656929243301</v>
      </c>
      <c r="TB16">
        <v>0</v>
      </c>
      <c r="TC16">
        <v>22.287554671964301</v>
      </c>
      <c r="TD16">
        <v>0</v>
      </c>
      <c r="TE16">
        <v>0</v>
      </c>
      <c r="TF16">
        <v>0</v>
      </c>
      <c r="TG16">
        <v>1190.09653413101</v>
      </c>
      <c r="TH16">
        <v>0</v>
      </c>
      <c r="TI16">
        <v>23.605819370426001</v>
      </c>
      <c r="TJ16">
        <v>0</v>
      </c>
      <c r="TK16">
        <v>0</v>
      </c>
      <c r="TL16">
        <v>0</v>
      </c>
      <c r="TM16">
        <v>4148.3734655615599</v>
      </c>
      <c r="TN16">
        <v>1005.50163057649</v>
      </c>
      <c r="TO16">
        <v>18.980663792668299</v>
      </c>
      <c r="TP16">
        <v>0</v>
      </c>
      <c r="TQ16">
        <v>0</v>
      </c>
      <c r="TR16">
        <v>0</v>
      </c>
      <c r="TS16">
        <v>13853.628149034501</v>
      </c>
      <c r="TT16">
        <v>869.20687754187202</v>
      </c>
      <c r="TU16">
        <v>27.9890845632506</v>
      </c>
      <c r="TV16">
        <v>5786.4038941887002</v>
      </c>
      <c r="TW16">
        <v>3791.3882305270099</v>
      </c>
      <c r="TX16">
        <v>11878.085398023701</v>
      </c>
      <c r="TY16">
        <v>8755.0420372800909</v>
      </c>
      <c r="TZ16">
        <v>549.11193868366604</v>
      </c>
      <c r="UA16">
        <v>28.0147373234032</v>
      </c>
      <c r="UB16">
        <v>3623.70540318243</v>
      </c>
      <c r="UC16">
        <v>2323.2809983203201</v>
      </c>
      <c r="UD16">
        <v>7459.27856602458</v>
      </c>
      <c r="UE16">
        <v>11445.6058914442</v>
      </c>
      <c r="UF16">
        <v>0</v>
      </c>
      <c r="UG16">
        <v>25.704735403674398</v>
      </c>
      <c r="UH16">
        <v>4974.6009369163103</v>
      </c>
      <c r="UI16">
        <v>4974.6009369163103</v>
      </c>
      <c r="UJ16">
        <v>13122.6813589945</v>
      </c>
      <c r="UK16">
        <v>8756.5948292025896</v>
      </c>
      <c r="UL16">
        <v>547.92313299382602</v>
      </c>
      <c r="UM16">
        <v>28.027073511809501</v>
      </c>
      <c r="UN16">
        <v>3667.9594626840799</v>
      </c>
      <c r="UO16">
        <v>2404.2030885516901</v>
      </c>
      <c r="UP16">
        <v>7538.5948330975898</v>
      </c>
      <c r="UQ16">
        <v>0</v>
      </c>
      <c r="UR16">
        <v>6193.2601013054</v>
      </c>
      <c r="US16">
        <v>16.385813336742199</v>
      </c>
      <c r="UT16">
        <v>34472.905024342101</v>
      </c>
      <c r="UU16">
        <v>34472.905024342101</v>
      </c>
      <c r="UV16">
        <v>79763.565378596701</v>
      </c>
      <c r="UW16">
        <v>21.1111</v>
      </c>
      <c r="UX16">
        <v>26.666699999999999</v>
      </c>
      <c r="UY16">
        <v>1890.94428857875</v>
      </c>
      <c r="UZ16">
        <v>0</v>
      </c>
      <c r="VA16">
        <v>23.706080746444499</v>
      </c>
      <c r="VB16">
        <v>0</v>
      </c>
      <c r="VC16">
        <v>0</v>
      </c>
      <c r="VD16">
        <v>0</v>
      </c>
      <c r="VE16">
        <v>1157.2664397006299</v>
      </c>
      <c r="VF16">
        <v>0</v>
      </c>
      <c r="VG16">
        <v>23.744483781074099</v>
      </c>
      <c r="VH16">
        <v>0</v>
      </c>
      <c r="VI16">
        <v>0</v>
      </c>
      <c r="VJ16">
        <v>0</v>
      </c>
      <c r="VK16">
        <v>2607.3113110622098</v>
      </c>
      <c r="VL16">
        <v>0</v>
      </c>
      <c r="VM16">
        <v>23.191976537270101</v>
      </c>
      <c r="VN16">
        <v>0</v>
      </c>
      <c r="VO16">
        <v>0</v>
      </c>
      <c r="VP16">
        <v>0</v>
      </c>
      <c r="VQ16">
        <v>1122.70343754892</v>
      </c>
      <c r="VR16">
        <v>0</v>
      </c>
      <c r="VS16">
        <v>23.936570330462601</v>
      </c>
      <c r="VT16">
        <v>0</v>
      </c>
      <c r="VU16">
        <v>0</v>
      </c>
      <c r="VV16">
        <v>0</v>
      </c>
      <c r="VW16">
        <v>4738.3578510161997</v>
      </c>
      <c r="VX16">
        <v>747.55172097474497</v>
      </c>
      <c r="VY16">
        <v>19.040137772430199</v>
      </c>
      <c r="VZ16">
        <v>0</v>
      </c>
      <c r="WA16">
        <v>0</v>
      </c>
      <c r="WB16">
        <v>0</v>
      </c>
      <c r="WC16">
        <v>14128.957129574899</v>
      </c>
      <c r="WD16">
        <v>879.87658613781298</v>
      </c>
      <c r="WE16">
        <v>28.033785361913999</v>
      </c>
      <c r="WF16">
        <v>5939.05122185461</v>
      </c>
      <c r="WG16">
        <v>3979.9675082948102</v>
      </c>
      <c r="WH16">
        <v>12065.713823010499</v>
      </c>
      <c r="WI16">
        <v>1996375.03631092</v>
      </c>
      <c r="WJ16">
        <v>8960.0672186706106</v>
      </c>
      <c r="WK16">
        <v>554.548621197476</v>
      </c>
      <c r="WL16">
        <v>28.050635522825001</v>
      </c>
      <c r="WM16">
        <v>3767.7350800917102</v>
      </c>
      <c r="WN16">
        <v>2516.4652590107098</v>
      </c>
      <c r="WO16">
        <v>7651.6573912723497</v>
      </c>
      <c r="WP16">
        <v>21.1111</v>
      </c>
      <c r="WQ16">
        <v>26.666699999999999</v>
      </c>
      <c r="WR16">
        <v>12243.909874201099</v>
      </c>
      <c r="WS16">
        <v>0</v>
      </c>
      <c r="WT16">
        <v>26.581628093131702</v>
      </c>
      <c r="WU16">
        <v>4561.7092754468604</v>
      </c>
      <c r="WV16">
        <v>4561.7092754468604</v>
      </c>
      <c r="WW16">
        <v>12685.7344816029</v>
      </c>
      <c r="WX16">
        <v>1979244.14295755</v>
      </c>
      <c r="WY16">
        <v>8981.7851476665001</v>
      </c>
      <c r="WZ16">
        <v>549.79003971043005</v>
      </c>
      <c r="XA16">
        <v>27.999559332582699</v>
      </c>
      <c r="XB16">
        <v>3817.7066932935199</v>
      </c>
      <c r="XC16">
        <v>2588.3759061292899</v>
      </c>
      <c r="XD16">
        <v>7724.44366356915</v>
      </c>
      <c r="XE16">
        <v>0</v>
      </c>
      <c r="XF16">
        <v>5077.2022167123596</v>
      </c>
      <c r="XG16">
        <v>15.9592803203718</v>
      </c>
      <c r="XH16">
        <v>38628.9502539881</v>
      </c>
      <c r="XI16">
        <v>38628.9502539881</v>
      </c>
      <c r="XJ16">
        <v>83860.3407772848</v>
      </c>
      <c r="XK16">
        <v>21.1111</v>
      </c>
      <c r="XL16">
        <v>26.666699999999999</v>
      </c>
      <c r="XM16">
        <v>1835.9609882653899</v>
      </c>
      <c r="XN16">
        <v>0</v>
      </c>
      <c r="XO16">
        <v>23.7678690138567</v>
      </c>
      <c r="XP16">
        <v>0</v>
      </c>
      <c r="XQ16">
        <v>0</v>
      </c>
      <c r="XR16">
        <v>0</v>
      </c>
      <c r="XS16">
        <v>1133.0703812383499</v>
      </c>
      <c r="XT16">
        <v>0</v>
      </c>
      <c r="XU16">
        <v>23.821967048205799</v>
      </c>
      <c r="XV16">
        <v>0</v>
      </c>
      <c r="XW16">
        <v>0</v>
      </c>
      <c r="XX16">
        <v>0</v>
      </c>
      <c r="XY16">
        <v>2494.7377636984802</v>
      </c>
      <c r="XZ16">
        <v>0</v>
      </c>
      <c r="YA16">
        <v>24.499415160428299</v>
      </c>
      <c r="YB16">
        <v>0</v>
      </c>
      <c r="YC16">
        <v>0</v>
      </c>
      <c r="YD16">
        <v>0</v>
      </c>
      <c r="YE16">
        <v>1120.49282107048</v>
      </c>
      <c r="YF16">
        <v>0</v>
      </c>
      <c r="YG16">
        <v>23.781198056982699</v>
      </c>
      <c r="YH16">
        <v>0</v>
      </c>
      <c r="YI16">
        <v>0</v>
      </c>
      <c r="YJ16">
        <v>0</v>
      </c>
      <c r="YK16">
        <v>7056.76192604274</v>
      </c>
      <c r="YL16">
        <v>0</v>
      </c>
      <c r="YM16">
        <v>18.732881278242498</v>
      </c>
      <c r="YN16">
        <v>0</v>
      </c>
      <c r="YO16">
        <v>0</v>
      </c>
      <c r="YP16">
        <v>0</v>
      </c>
      <c r="YQ16">
        <v>0</v>
      </c>
      <c r="YR16">
        <v>1575.9070177061101</v>
      </c>
      <c r="YS16">
        <v>16.696316088475701</v>
      </c>
      <c r="YT16">
        <v>0</v>
      </c>
      <c r="YU16">
        <v>0</v>
      </c>
      <c r="YV16">
        <v>0</v>
      </c>
      <c r="YW16">
        <v>0</v>
      </c>
      <c r="YX16">
        <v>999.187878940725</v>
      </c>
      <c r="YY16">
        <v>16.692102937792601</v>
      </c>
      <c r="YZ16">
        <v>0</v>
      </c>
      <c r="ZA16">
        <v>0</v>
      </c>
      <c r="ZB16">
        <v>0</v>
      </c>
      <c r="ZC16">
        <v>0</v>
      </c>
      <c r="ZD16">
        <v>1087.33557027751</v>
      </c>
      <c r="ZE16">
        <v>16.439220205345698</v>
      </c>
      <c r="ZF16">
        <v>0</v>
      </c>
      <c r="ZG16">
        <v>0</v>
      </c>
      <c r="ZH16">
        <v>0</v>
      </c>
      <c r="ZI16">
        <v>0</v>
      </c>
      <c r="ZJ16">
        <v>1007.45500945097</v>
      </c>
      <c r="ZK16">
        <v>16.706487723920599</v>
      </c>
      <c r="ZL16">
        <v>0</v>
      </c>
      <c r="ZM16">
        <v>0</v>
      </c>
      <c r="ZN16">
        <v>0</v>
      </c>
      <c r="ZO16">
        <v>0</v>
      </c>
      <c r="ZP16">
        <v>8402.7244175361793</v>
      </c>
      <c r="ZQ16">
        <v>15.138961149750401</v>
      </c>
      <c r="ZR16">
        <v>0</v>
      </c>
      <c r="ZS16">
        <v>0</v>
      </c>
      <c r="ZT16">
        <v>0</v>
      </c>
      <c r="ZU16">
        <v>0</v>
      </c>
      <c r="ZV16">
        <v>2138.35839043848</v>
      </c>
      <c r="ZW16">
        <v>17.116826414734501</v>
      </c>
      <c r="ZX16">
        <v>0</v>
      </c>
      <c r="ZY16">
        <v>0</v>
      </c>
      <c r="ZZ16">
        <v>0</v>
      </c>
      <c r="AAA16">
        <v>0</v>
      </c>
      <c r="AAB16">
        <v>1367.4836577582701</v>
      </c>
      <c r="AAC16">
        <v>17.133236301164001</v>
      </c>
      <c r="AAD16">
        <v>0</v>
      </c>
      <c r="AAE16">
        <v>0</v>
      </c>
      <c r="AAF16">
        <v>0</v>
      </c>
      <c r="AAG16">
        <v>0</v>
      </c>
      <c r="AAH16">
        <v>1578.63441968252</v>
      </c>
      <c r="AAI16">
        <v>16.461193037528499</v>
      </c>
      <c r="AAJ16">
        <v>0</v>
      </c>
      <c r="AAK16">
        <v>0</v>
      </c>
      <c r="AAL16">
        <v>0</v>
      </c>
      <c r="AAM16">
        <v>0</v>
      </c>
      <c r="AAN16">
        <v>1386.27888466832</v>
      </c>
      <c r="AAO16">
        <v>17.1687191319714</v>
      </c>
      <c r="AAP16">
        <v>0</v>
      </c>
      <c r="AAQ16">
        <v>0</v>
      </c>
      <c r="AAR16">
        <v>0</v>
      </c>
      <c r="AAS16">
        <v>0</v>
      </c>
      <c r="AAT16">
        <v>6952.2674362246298</v>
      </c>
      <c r="AAU16">
        <v>14.9129924884082</v>
      </c>
      <c r="AAV16">
        <v>0</v>
      </c>
      <c r="AAW16">
        <v>0</v>
      </c>
      <c r="AAX16">
        <v>0</v>
      </c>
      <c r="AAY16">
        <v>0</v>
      </c>
      <c r="AAZ16">
        <v>2263.6746183069099</v>
      </c>
      <c r="ABA16">
        <v>17.022195519844299</v>
      </c>
      <c r="ABB16">
        <v>0</v>
      </c>
      <c r="ABC16">
        <v>0</v>
      </c>
      <c r="ABD16">
        <v>0</v>
      </c>
      <c r="ABE16">
        <v>0</v>
      </c>
      <c r="ABF16">
        <v>1467.5401440968301</v>
      </c>
      <c r="ABG16">
        <v>17.073933389827701</v>
      </c>
      <c r="ABH16">
        <v>0</v>
      </c>
      <c r="ABI16">
        <v>0</v>
      </c>
      <c r="ABJ16">
        <v>0</v>
      </c>
      <c r="ABK16">
        <v>0</v>
      </c>
      <c r="ABL16">
        <v>1793.31620319166</v>
      </c>
      <c r="ABM16">
        <v>16.269247325887299</v>
      </c>
      <c r="ABN16">
        <v>0</v>
      </c>
      <c r="ABO16">
        <v>0</v>
      </c>
      <c r="ABP16">
        <v>0</v>
      </c>
      <c r="ABQ16">
        <v>0</v>
      </c>
      <c r="ABR16">
        <v>1470.42653422444</v>
      </c>
      <c r="ABS16">
        <v>17.080096354263201</v>
      </c>
      <c r="ABT16">
        <v>0</v>
      </c>
      <c r="ABU16">
        <v>0</v>
      </c>
      <c r="ABV16">
        <v>0</v>
      </c>
      <c r="ABW16">
        <v>0</v>
      </c>
      <c r="ABX16">
        <v>5887.0239113255202</v>
      </c>
      <c r="ABY16">
        <v>14.7464344085323</v>
      </c>
      <c r="ABZ16">
        <v>0</v>
      </c>
      <c r="ACA16">
        <v>0</v>
      </c>
      <c r="ACB16">
        <v>0</v>
      </c>
      <c r="ACC16">
        <v>0</v>
      </c>
      <c r="ACD16">
        <v>0</v>
      </c>
      <c r="ACE16">
        <v>0</v>
      </c>
      <c r="ACF16">
        <v>13.444846440689201</v>
      </c>
      <c r="ACG16">
        <v>13.444846440689201</v>
      </c>
      <c r="ACH16">
        <v>0</v>
      </c>
      <c r="ACI16">
        <v>0</v>
      </c>
      <c r="ACJ16">
        <v>0</v>
      </c>
      <c r="ACK16">
        <v>20.760648244627699</v>
      </c>
      <c r="ACL16">
        <v>20.760648244627699</v>
      </c>
      <c r="ACM16">
        <v>0</v>
      </c>
      <c r="ACN16">
        <v>0</v>
      </c>
      <c r="ACP16">
        <v>11261.697834995401</v>
      </c>
      <c r="ACR16">
        <v>11261.697834995401</v>
      </c>
      <c r="ACT16">
        <v>16.667827225733799</v>
      </c>
      <c r="ACU16">
        <v>16.361847905227702</v>
      </c>
      <c r="ACV16">
        <v>1.7</v>
      </c>
      <c r="ACW16">
        <v>4.0047639807995301</v>
      </c>
      <c r="ACX16">
        <v>0.7926500313539</v>
      </c>
      <c r="ACY16">
        <v>16.454703756728001</v>
      </c>
      <c r="ACZ16">
        <v>16.1440638099638</v>
      </c>
      <c r="ADA16">
        <v>1.7</v>
      </c>
      <c r="ADB16">
        <v>3.9899810633309798</v>
      </c>
      <c r="ADC16">
        <v>0.791942635404003</v>
      </c>
      <c r="ADD16">
        <v>16.013250402681201</v>
      </c>
      <c r="ADE16">
        <v>15.758922353117301</v>
      </c>
      <c r="ADF16">
        <v>1.7</v>
      </c>
      <c r="ADG16">
        <v>4.1901188053191802</v>
      </c>
      <c r="ADH16">
        <v>0.79035848791464003</v>
      </c>
      <c r="ADI16">
        <v>28.950901267497599</v>
      </c>
      <c r="ADJ16">
        <v>28.950901267497599</v>
      </c>
      <c r="ADK16">
        <v>0</v>
      </c>
      <c r="ADL16">
        <v>0</v>
      </c>
      <c r="ADM16">
        <v>1</v>
      </c>
      <c r="ADN16">
        <v>28.8715322314149</v>
      </c>
      <c r="ADO16">
        <v>28.8715322314149</v>
      </c>
      <c r="ADP16">
        <v>0</v>
      </c>
      <c r="ADQ16">
        <v>0</v>
      </c>
      <c r="ADR16">
        <v>1</v>
      </c>
      <c r="ADS16">
        <v>25.521986925917101</v>
      </c>
      <c r="ADT16">
        <v>25.521986925917101</v>
      </c>
      <c r="ADU16">
        <v>0</v>
      </c>
      <c r="ADV16">
        <v>0</v>
      </c>
      <c r="ADW16">
        <v>1</v>
      </c>
      <c r="ADX16">
        <v>28.8923067279032</v>
      </c>
      <c r="ADY16">
        <v>28.8923067279032</v>
      </c>
      <c r="ADZ16">
        <v>0</v>
      </c>
      <c r="AEA16">
        <v>0</v>
      </c>
      <c r="AEB16">
        <v>1</v>
      </c>
      <c r="AEC16">
        <v>29.095274276915799</v>
      </c>
      <c r="AED16">
        <v>29.095274276915799</v>
      </c>
      <c r="AEE16">
        <v>0</v>
      </c>
      <c r="AEF16">
        <v>0</v>
      </c>
      <c r="AEG16">
        <v>1</v>
      </c>
      <c r="AEH16">
        <v>29.0940027032945</v>
      </c>
      <c r="AEI16">
        <v>29.0940027032945</v>
      </c>
      <c r="AEJ16">
        <v>0</v>
      </c>
      <c r="AEK16">
        <v>0</v>
      </c>
      <c r="AEL16">
        <v>1</v>
      </c>
      <c r="AEM16">
        <v>26.539668730938601</v>
      </c>
      <c r="AEN16">
        <v>26.539668730938601</v>
      </c>
      <c r="AEO16">
        <v>0</v>
      </c>
      <c r="AEP16">
        <v>0</v>
      </c>
      <c r="AEQ16">
        <v>1</v>
      </c>
      <c r="AER16">
        <v>29.160151544568599</v>
      </c>
      <c r="AES16">
        <v>29.160151544568599</v>
      </c>
      <c r="AET16">
        <v>0</v>
      </c>
      <c r="AEU16">
        <v>0</v>
      </c>
      <c r="AEV16">
        <v>1</v>
      </c>
      <c r="AEW16">
        <v>29.1425381445166</v>
      </c>
      <c r="AEX16">
        <v>29.1425381445166</v>
      </c>
      <c r="AEY16">
        <v>0</v>
      </c>
      <c r="AEZ16">
        <v>0</v>
      </c>
      <c r="AFA16">
        <v>1</v>
      </c>
      <c r="AFB16">
        <v>29.156023374943601</v>
      </c>
      <c r="AFC16">
        <v>29.156023374943601</v>
      </c>
      <c r="AFD16">
        <v>0</v>
      </c>
      <c r="AFE16">
        <v>0</v>
      </c>
      <c r="AFF16">
        <v>1</v>
      </c>
      <c r="AFG16">
        <v>27.378254051221301</v>
      </c>
      <c r="AFH16">
        <v>27.378254051221301</v>
      </c>
      <c r="AFI16">
        <v>0</v>
      </c>
      <c r="AFJ16">
        <v>0</v>
      </c>
      <c r="AFK16">
        <v>1</v>
      </c>
      <c r="AFL16">
        <v>29.124601996255802</v>
      </c>
      <c r="AFM16">
        <v>29.124601996255802</v>
      </c>
      <c r="AFN16">
        <v>0</v>
      </c>
      <c r="AFO16">
        <v>0</v>
      </c>
      <c r="AFP16">
        <v>1</v>
      </c>
      <c r="AFQ16">
        <v>-0.45437173532753</v>
      </c>
      <c r="AFR16">
        <v>0.21824495477969399</v>
      </c>
      <c r="AFS16">
        <v>0.21143394770926799</v>
      </c>
      <c r="AFT16">
        <v>0.204197622055934</v>
      </c>
      <c r="AFU16">
        <v>-0.26386922321724499</v>
      </c>
      <c r="AFV16">
        <v>0.25518704517006302</v>
      </c>
      <c r="AFW16">
        <v>0.28208304874817203</v>
      </c>
      <c r="AFX16">
        <v>0.25979292965830197</v>
      </c>
      <c r="AFY16">
        <v>-9.96400872855943E-2</v>
      </c>
      <c r="AFZ16">
        <v>0.25460326716531101</v>
      </c>
      <c r="AGA16">
        <v>0.25776859844797101</v>
      </c>
      <c r="AGB16">
        <v>0.26601620275181198</v>
      </c>
      <c r="AGC16">
        <v>-1.7481910599534201</v>
      </c>
      <c r="AGD16">
        <v>-1.78081297680344</v>
      </c>
      <c r="AGE16">
        <v>-1.84927425597304</v>
      </c>
      <c r="AGF16">
        <v>0</v>
      </c>
      <c r="AGG16">
        <v>0</v>
      </c>
      <c r="AGH16">
        <v>0</v>
      </c>
      <c r="AGI16">
        <v>0</v>
      </c>
      <c r="AGJ16">
        <v>0</v>
      </c>
      <c r="AGK16">
        <v>0</v>
      </c>
      <c r="AGL16">
        <v>0</v>
      </c>
      <c r="AGM16">
        <v>0</v>
      </c>
      <c r="AGN16">
        <v>0</v>
      </c>
      <c r="AGO16">
        <v>0</v>
      </c>
      <c r="AGP16">
        <v>0</v>
      </c>
      <c r="AGQ16">
        <v>0</v>
      </c>
      <c r="AGR16">
        <v>0</v>
      </c>
      <c r="AGS16">
        <v>0</v>
      </c>
      <c r="AGT16">
        <v>0</v>
      </c>
      <c r="AGU16">
        <v>0</v>
      </c>
      <c r="AGV16">
        <v>0</v>
      </c>
      <c r="AGW16">
        <v>0</v>
      </c>
      <c r="AGX16">
        <v>0</v>
      </c>
      <c r="AGY16">
        <v>0</v>
      </c>
      <c r="AGZ16">
        <v>0</v>
      </c>
      <c r="AHA16">
        <v>0</v>
      </c>
      <c r="AHB16">
        <v>0</v>
      </c>
      <c r="AHC16">
        <v>0</v>
      </c>
      <c r="AHD16">
        <v>0</v>
      </c>
      <c r="AHE16">
        <v>0</v>
      </c>
      <c r="AHF16">
        <v>0</v>
      </c>
      <c r="AHG16">
        <v>0</v>
      </c>
      <c r="AHH16">
        <v>0</v>
      </c>
      <c r="AHI16">
        <v>0</v>
      </c>
      <c r="AHJ16">
        <v>0</v>
      </c>
      <c r="AHK16">
        <v>0</v>
      </c>
      <c r="AHL16">
        <v>0</v>
      </c>
      <c r="AHM16">
        <v>0</v>
      </c>
      <c r="AHN16">
        <v>0</v>
      </c>
      <c r="AHO16">
        <v>0</v>
      </c>
      <c r="AHP16">
        <v>0</v>
      </c>
      <c r="AHQ16">
        <v>0</v>
      </c>
      <c r="AHR16">
        <v>0</v>
      </c>
      <c r="AHS16">
        <v>0</v>
      </c>
      <c r="AHT16">
        <v>0</v>
      </c>
      <c r="AHU16">
        <v>0</v>
      </c>
      <c r="AHV16">
        <v>0</v>
      </c>
      <c r="AHW16">
        <v>0</v>
      </c>
      <c r="AHX16">
        <v>0</v>
      </c>
      <c r="AHZ16">
        <v>16789.161097595599</v>
      </c>
      <c r="AIB16">
        <v>0</v>
      </c>
      <c r="AID16">
        <v>16794.407154103701</v>
      </c>
      <c r="AIF16">
        <v>26444.433834154101</v>
      </c>
      <c r="AIH16">
        <v>17056.008845313601</v>
      </c>
      <c r="AIJ16">
        <v>0</v>
      </c>
      <c r="AIL16">
        <v>16655.318919527501</v>
      </c>
      <c r="AIN16">
        <v>16646.621842237601</v>
      </c>
      <c r="AIP16">
        <v>26234.4176411398</v>
      </c>
      <c r="AIR16">
        <v>20821.796798590702</v>
      </c>
      <c r="AIT16">
        <v>0</v>
      </c>
      <c r="AIV16">
        <v>17184.536942987401</v>
      </c>
      <c r="AIX16">
        <v>17183.389281955901</v>
      </c>
      <c r="AIZ16">
        <v>27088.0195226176</v>
      </c>
      <c r="AJB16">
        <v>24350.255007280201</v>
      </c>
      <c r="AJC16">
        <v>0</v>
      </c>
      <c r="AJE16">
        <v>5.1198590476404798E-5</v>
      </c>
      <c r="AJH16">
        <v>8798.3045954393892</v>
      </c>
      <c r="AJJ16">
        <v>183.80401834048999</v>
      </c>
      <c r="AJK16">
        <v>110.298397916667</v>
      </c>
      <c r="AJL16">
        <v>110.298397916667</v>
      </c>
      <c r="AJM16">
        <v>190.047162098179</v>
      </c>
      <c r="AJN16">
        <v>173.68398437499999</v>
      </c>
      <c r="AJO16">
        <v>113.724645833333</v>
      </c>
      <c r="AJP16">
        <v>113.724645833333</v>
      </c>
      <c r="AJQ16">
        <v>219.363420886261</v>
      </c>
      <c r="AJR16">
        <v>179.08562604166701</v>
      </c>
      <c r="AJS16">
        <v>110.298397916667</v>
      </c>
      <c r="AJT16">
        <v>110.298397916667</v>
      </c>
      <c r="AJU16">
        <v>156.81271254174601</v>
      </c>
      <c r="AJV16">
        <v>173.68398437499999</v>
      </c>
      <c r="AJW16">
        <v>0</v>
      </c>
      <c r="AJX16">
        <v>0</v>
      </c>
      <c r="AJY16">
        <v>327391.30843214702</v>
      </c>
      <c r="AJZ16">
        <v>0</v>
      </c>
      <c r="AKA16">
        <v>0</v>
      </c>
      <c r="AKB16">
        <v>125088.361212485</v>
      </c>
      <c r="AKC16">
        <v>157187.14097880799</v>
      </c>
      <c r="AKD16">
        <v>565873707.52371001</v>
      </c>
      <c r="AKE16">
        <v>55.300474131053697</v>
      </c>
      <c r="AKF16">
        <v>78.882003599280097</v>
      </c>
      <c r="AKG16">
        <v>1.8670532074813799</v>
      </c>
      <c r="AKH16">
        <v>0.60252245441878904</v>
      </c>
      <c r="AKI16">
        <v>103803.9</v>
      </c>
      <c r="AKJ16">
        <v>129728.948102296</v>
      </c>
      <c r="AKK16">
        <v>467024213.168266</v>
      </c>
      <c r="AKL16">
        <v>55.300474131053697</v>
      </c>
      <c r="AKM16">
        <v>62.557283014675697</v>
      </c>
      <c r="AKN16">
        <v>1.7110932777149499</v>
      </c>
      <c r="AKO16">
        <v>0.5</v>
      </c>
      <c r="AKP16">
        <v>1865770.0112314899</v>
      </c>
      <c r="AKT16">
        <v>0</v>
      </c>
      <c r="AKX16">
        <v>0</v>
      </c>
      <c r="ALB16">
        <v>20.760648244627699</v>
      </c>
      <c r="ALC16">
        <v>20.760648244627699</v>
      </c>
      <c r="ALD16">
        <v>0</v>
      </c>
      <c r="ALE16">
        <v>0</v>
      </c>
      <c r="ALF16">
        <v>0</v>
      </c>
      <c r="ALH16">
        <v>13.4448464387846</v>
      </c>
      <c r="ALI16">
        <v>2.8568269606532499E-3</v>
      </c>
      <c r="ALJ16">
        <v>18.527145670570899</v>
      </c>
      <c r="ALK16">
        <v>13.444846440689201</v>
      </c>
      <c r="ALL16">
        <v>18.527145670570899</v>
      </c>
      <c r="ALM16">
        <v>3.7591729291246802E-4</v>
      </c>
      <c r="ALN16">
        <v>18.948732888832801</v>
      </c>
      <c r="ALO16">
        <v>2.8568269606532499E-3</v>
      </c>
      <c r="ALP16">
        <v>21.145607641656301</v>
      </c>
      <c r="ALQ16">
        <v>18.527145670570899</v>
      </c>
      <c r="ALR16">
        <v>13.4448464387846</v>
      </c>
      <c r="ALS16">
        <v>18.527145670570899</v>
      </c>
      <c r="ALT16">
        <v>13.8088036376618</v>
      </c>
      <c r="ALU16">
        <v>18.527145670570899</v>
      </c>
      <c r="ALV16">
        <v>12.2200000000079</v>
      </c>
      <c r="ALW16">
        <v>9.9999999999999897E-12</v>
      </c>
      <c r="ALX16">
        <v>13.444846440689201</v>
      </c>
      <c r="ALY16">
        <v>9.9999999999999897E-12</v>
      </c>
      <c r="ALZ16">
        <v>5.1939659624044999E-3</v>
      </c>
      <c r="AMA16">
        <v>13.444846440689201</v>
      </c>
      <c r="AMB16">
        <v>0</v>
      </c>
      <c r="AMC16">
        <v>13.444846440689201</v>
      </c>
      <c r="AMD16">
        <v>0</v>
      </c>
      <c r="AME16">
        <v>13.444846440689201</v>
      </c>
      <c r="AMF16">
        <v>0</v>
      </c>
      <c r="AMG16">
        <v>0</v>
      </c>
      <c r="AMH16">
        <v>4.2474999999999996</v>
      </c>
      <c r="AMI16">
        <v>30.783416636597</v>
      </c>
      <c r="AMJ16">
        <v>0.54751819999999995</v>
      </c>
      <c r="AMK16" s="580">
        <v>15.1662266761761</v>
      </c>
      <c r="AML16">
        <v>3.3546</v>
      </c>
      <c r="AMM16">
        <v>30.7716559036805</v>
      </c>
      <c r="AMN16">
        <v>0.54751819999999995</v>
      </c>
      <c r="AMO16">
        <v>30.7735292982745</v>
      </c>
      <c r="AMP16">
        <v>0.86216250000000005</v>
      </c>
      <c r="AMQ16">
        <v>36.606651671686301</v>
      </c>
      <c r="AMR16">
        <v>0.70253968657866395</v>
      </c>
      <c r="AMS16">
        <v>14.9362133928893</v>
      </c>
      <c r="AMT16">
        <v>3.3546</v>
      </c>
      <c r="AMU16">
        <v>31.0695900273146</v>
      </c>
      <c r="AMV16">
        <v>0.54751819999999995</v>
      </c>
      <c r="AMW16">
        <v>31.092379265564599</v>
      </c>
      <c r="AMX16">
        <v>0.54751819999999995</v>
      </c>
      <c r="AMY16">
        <v>31.057311428522802</v>
      </c>
      <c r="AMZ16">
        <v>0.86216250000000005</v>
      </c>
      <c r="ANA16">
        <v>36.761326966226697</v>
      </c>
      <c r="ANB16">
        <v>0.85143399110627305</v>
      </c>
      <c r="ANC16">
        <v>14.768399949893899</v>
      </c>
      <c r="AND16">
        <v>3.3546</v>
      </c>
      <c r="ANE16">
        <v>31.0117582941206</v>
      </c>
      <c r="ANF16">
        <v>0.56289560000000005</v>
      </c>
      <c r="ANG16">
        <v>31.0148620621957</v>
      </c>
      <c r="ANH16">
        <v>0.56289560000000005</v>
      </c>
      <c r="ANI16">
        <v>30.972445347867001</v>
      </c>
      <c r="ANJ16">
        <v>0.88640865999999996</v>
      </c>
      <c r="ANK16">
        <v>36.828699955799998</v>
      </c>
      <c r="ANL16">
        <v>0.98277433288599203</v>
      </c>
      <c r="ANM16">
        <v>6.0143385865786598</v>
      </c>
      <c r="ANN16">
        <v>6.1632328911062704</v>
      </c>
      <c r="ANO16">
        <v>6.3495741928859903</v>
      </c>
      <c r="ANP16">
        <v>15.1662266761761</v>
      </c>
      <c r="ANQ16">
        <v>16.703010662927301</v>
      </c>
      <c r="ANR16">
        <v>16.7191373345287</v>
      </c>
      <c r="ANS16">
        <v>16.454813489561801</v>
      </c>
      <c r="ANT16">
        <v>16.705559028303099</v>
      </c>
      <c r="ANU16">
        <v>14.9362133928893</v>
      </c>
      <c r="ANV16">
        <v>17.116698534735399</v>
      </c>
      <c r="ANW16">
        <v>17.146725763298001</v>
      </c>
      <c r="ANX16">
        <v>16.463635533125501</v>
      </c>
      <c r="ANY16">
        <v>17.1003370441233</v>
      </c>
      <c r="ANZ16">
        <v>14.768399949893899</v>
      </c>
      <c r="AOA16">
        <v>17.049304799952701</v>
      </c>
      <c r="AOB16">
        <v>17.053334913354099</v>
      </c>
      <c r="AOC16">
        <v>16.266097955416502</v>
      </c>
      <c r="AOD16">
        <v>16.9961465858057</v>
      </c>
      <c r="AOE16">
        <v>18.948732888832801</v>
      </c>
      <c r="AOF16">
        <v>4.2474999999999996</v>
      </c>
      <c r="AOG16">
        <v>18.9843251088557</v>
      </c>
      <c r="AOH16">
        <v>4.2474999999999996</v>
      </c>
    </row>
    <row r="17" spans="1:1074">
      <c r="A17" t="s">
        <v>2587</v>
      </c>
      <c r="B17">
        <v>-3.33</v>
      </c>
      <c r="D17">
        <v>-3.33</v>
      </c>
      <c r="F17">
        <v>10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c r="BV17">
        <v>0</v>
      </c>
      <c r="BW17">
        <v>0</v>
      </c>
      <c r="BX17">
        <v>0</v>
      </c>
      <c r="BY17">
        <v>0</v>
      </c>
      <c r="BZ17">
        <v>0</v>
      </c>
      <c r="CA17">
        <v>0</v>
      </c>
      <c r="CB17">
        <v>0</v>
      </c>
      <c r="CC17">
        <v>0</v>
      </c>
      <c r="CD17">
        <v>0</v>
      </c>
      <c r="CE17">
        <v>0</v>
      </c>
      <c r="CF17">
        <v>0</v>
      </c>
      <c r="CG17">
        <v>0</v>
      </c>
      <c r="CH17">
        <v>0</v>
      </c>
      <c r="CI17">
        <v>0</v>
      </c>
      <c r="CJ17">
        <v>0</v>
      </c>
      <c r="CK17">
        <v>0</v>
      </c>
      <c r="CL17">
        <v>0</v>
      </c>
      <c r="CM17">
        <v>0</v>
      </c>
      <c r="CN17">
        <v>0</v>
      </c>
      <c r="CO17">
        <v>0</v>
      </c>
      <c r="CP17">
        <v>0</v>
      </c>
      <c r="CQ17">
        <v>0</v>
      </c>
      <c r="CR17">
        <v>0</v>
      </c>
      <c r="CS17">
        <v>0</v>
      </c>
      <c r="CT17">
        <v>0</v>
      </c>
      <c r="CU17">
        <v>0</v>
      </c>
      <c r="CV17">
        <v>0</v>
      </c>
      <c r="CW17">
        <v>0</v>
      </c>
      <c r="CX17">
        <v>0</v>
      </c>
      <c r="CY17">
        <v>0</v>
      </c>
      <c r="CZ17">
        <v>0</v>
      </c>
      <c r="DA17">
        <v>0</v>
      </c>
      <c r="DB17">
        <v>0</v>
      </c>
      <c r="DC17">
        <v>0</v>
      </c>
      <c r="DD17">
        <v>0</v>
      </c>
      <c r="DE17">
        <v>0</v>
      </c>
      <c r="DF17">
        <v>0</v>
      </c>
      <c r="DG17">
        <v>0</v>
      </c>
      <c r="DH17">
        <v>0</v>
      </c>
      <c r="DI17">
        <v>0</v>
      </c>
      <c r="DJ17">
        <v>0</v>
      </c>
      <c r="DK17">
        <v>0</v>
      </c>
      <c r="DL17">
        <v>0</v>
      </c>
      <c r="DM17">
        <v>0</v>
      </c>
      <c r="DN17">
        <v>0</v>
      </c>
      <c r="DO17">
        <v>0</v>
      </c>
      <c r="DP17">
        <v>0</v>
      </c>
      <c r="DQ17">
        <v>0</v>
      </c>
      <c r="DR17">
        <v>0</v>
      </c>
      <c r="DS17">
        <v>0</v>
      </c>
      <c r="DT17">
        <v>0</v>
      </c>
      <c r="DU17">
        <v>0</v>
      </c>
      <c r="DV17">
        <v>0</v>
      </c>
      <c r="DW17">
        <v>0</v>
      </c>
      <c r="DX17">
        <v>0</v>
      </c>
      <c r="DY17">
        <v>0</v>
      </c>
      <c r="DZ17">
        <v>0</v>
      </c>
      <c r="EA17">
        <v>0</v>
      </c>
      <c r="EB17">
        <v>0</v>
      </c>
      <c r="EC17">
        <v>0</v>
      </c>
      <c r="ED17">
        <v>0</v>
      </c>
      <c r="EE17">
        <v>0</v>
      </c>
      <c r="EF17">
        <v>0</v>
      </c>
      <c r="EG17">
        <v>0</v>
      </c>
      <c r="EH17">
        <v>0</v>
      </c>
      <c r="EI17">
        <v>0</v>
      </c>
      <c r="EJ17">
        <v>0</v>
      </c>
      <c r="EK17">
        <v>0</v>
      </c>
      <c r="EL17">
        <v>0</v>
      </c>
      <c r="EM17">
        <v>0</v>
      </c>
      <c r="EN17">
        <v>0</v>
      </c>
      <c r="EO17">
        <v>0</v>
      </c>
      <c r="EP17">
        <v>0</v>
      </c>
      <c r="EQ17">
        <v>0</v>
      </c>
      <c r="ER17">
        <v>0</v>
      </c>
      <c r="ES17">
        <v>0</v>
      </c>
      <c r="ET17">
        <v>0</v>
      </c>
      <c r="EU17">
        <v>0</v>
      </c>
      <c r="EV17">
        <v>0</v>
      </c>
      <c r="EW17">
        <v>0</v>
      </c>
      <c r="EX17">
        <v>0</v>
      </c>
      <c r="EY17">
        <v>0</v>
      </c>
      <c r="EZ17">
        <v>0</v>
      </c>
      <c r="FA17">
        <v>0</v>
      </c>
      <c r="FB17">
        <v>0</v>
      </c>
      <c r="FC17">
        <v>0</v>
      </c>
      <c r="FD17">
        <v>0</v>
      </c>
      <c r="FE17">
        <v>0</v>
      </c>
      <c r="FF17">
        <v>0</v>
      </c>
      <c r="FG17">
        <v>0</v>
      </c>
      <c r="FH17">
        <v>0</v>
      </c>
      <c r="FI17">
        <v>0</v>
      </c>
      <c r="FJ17">
        <v>0</v>
      </c>
      <c r="FK17">
        <v>0</v>
      </c>
      <c r="FL17">
        <v>0</v>
      </c>
      <c r="FM17">
        <v>0</v>
      </c>
      <c r="FN17">
        <v>0</v>
      </c>
      <c r="FO17">
        <v>0</v>
      </c>
      <c r="FP17">
        <v>0</v>
      </c>
      <c r="FQ17">
        <v>0</v>
      </c>
      <c r="FR17">
        <v>0</v>
      </c>
      <c r="FS17">
        <v>0</v>
      </c>
      <c r="FT17">
        <v>0</v>
      </c>
      <c r="FU17">
        <v>0</v>
      </c>
      <c r="FV17">
        <v>0</v>
      </c>
      <c r="FW17">
        <v>0</v>
      </c>
      <c r="FX17">
        <v>0</v>
      </c>
      <c r="FY17">
        <v>0</v>
      </c>
      <c r="FZ17">
        <v>0</v>
      </c>
      <c r="GA17">
        <v>0</v>
      </c>
      <c r="GB17">
        <v>36.293771564043098</v>
      </c>
      <c r="GC17">
        <v>89.687447867462694</v>
      </c>
      <c r="GD17">
        <v>-42.589009585182303</v>
      </c>
      <c r="GE17">
        <v>25.649788418121702</v>
      </c>
      <c r="GF17">
        <v>61.931559731003901</v>
      </c>
      <c r="GG17">
        <v>-17.880756072136499</v>
      </c>
      <c r="GH17">
        <v>-132.128089871127</v>
      </c>
      <c r="GI17">
        <v>-185.050906282874</v>
      </c>
      <c r="GJ17">
        <v>-246.19010607521801</v>
      </c>
      <c r="GK17">
        <v>29.2831397424839</v>
      </c>
      <c r="GL17">
        <v>66.895328955787804</v>
      </c>
      <c r="GM17">
        <v>-8.9007302576321603</v>
      </c>
      <c r="GN17">
        <v>-126.026454252112</v>
      </c>
      <c r="GO17">
        <v>20.731342796211599</v>
      </c>
      <c r="GP17">
        <v>20.593485583945998</v>
      </c>
      <c r="GQ17">
        <v>-7.9543610431013896</v>
      </c>
      <c r="GR17">
        <v>-531.90721395619698</v>
      </c>
      <c r="GS17">
        <v>-762.24084844929598</v>
      </c>
      <c r="GT17">
        <v>-82.576883150044694</v>
      </c>
      <c r="GU17">
        <v>20.7081949698422</v>
      </c>
      <c r="GV17">
        <v>20.559992080814698</v>
      </c>
      <c r="GW17">
        <v>1.15852392966653</v>
      </c>
      <c r="GX17">
        <v>-321.225684160132</v>
      </c>
      <c r="GY17">
        <v>-444.270229306467</v>
      </c>
      <c r="GZ17">
        <v>-161.38026269907701</v>
      </c>
      <c r="HA17">
        <v>19.6447635728398</v>
      </c>
      <c r="HB17">
        <v>19.589706916302202</v>
      </c>
      <c r="HC17">
        <v>-162.85497519823801</v>
      </c>
      <c r="HD17">
        <v>-656.10007720593296</v>
      </c>
      <c r="HE17">
        <v>-986.05686248324105</v>
      </c>
      <c r="HF17">
        <v>-79.243898479842699</v>
      </c>
      <c r="HG17">
        <v>20.765896170810301</v>
      </c>
      <c r="HH17">
        <v>20.590005348138298</v>
      </c>
      <c r="HI17">
        <v>7.6970620240848397</v>
      </c>
      <c r="HJ17">
        <v>-306.17623984816998</v>
      </c>
      <c r="HK17">
        <v>-405.15596587068399</v>
      </c>
      <c r="HL17">
        <v>29.952968295361799</v>
      </c>
      <c r="HM17">
        <v>19.263604084827499</v>
      </c>
      <c r="HN17">
        <v>17.9536414197547</v>
      </c>
      <c r="HO17">
        <v>-291.10189811370998</v>
      </c>
      <c r="HP17">
        <v>140.64117976210301</v>
      </c>
      <c r="HQ17">
        <v>20.753295780399998</v>
      </c>
      <c r="HR17">
        <v>-33.047827518296103</v>
      </c>
      <c r="HS17">
        <v>24.113567016480701</v>
      </c>
      <c r="HT17">
        <v>19.2922542412086</v>
      </c>
      <c r="HU17">
        <v>17.974334704788099</v>
      </c>
      <c r="HV17">
        <v>-169.588602815836</v>
      </c>
      <c r="HW17">
        <v>98.718293231594103</v>
      </c>
      <c r="HX17">
        <v>20.791174703074599</v>
      </c>
      <c r="HY17">
        <v>-1.4053366216035701</v>
      </c>
      <c r="HZ17">
        <v>18.807598383803398</v>
      </c>
      <c r="IA17">
        <v>17.7655051585675</v>
      </c>
      <c r="IB17">
        <v>-327.01253118700998</v>
      </c>
      <c r="IC17">
        <v>-103.64812681866501</v>
      </c>
      <c r="ID17">
        <v>-154.47310610234601</v>
      </c>
      <c r="IE17">
        <v>19.9819208562939</v>
      </c>
      <c r="IF17">
        <v>-252.48248527565599</v>
      </c>
      <c r="IG17">
        <v>-7.0502701462013304</v>
      </c>
      <c r="IH17">
        <v>19.332877560812001</v>
      </c>
      <c r="II17">
        <v>17.9919635454267</v>
      </c>
      <c r="IJ17">
        <v>-172.00622385732601</v>
      </c>
      <c r="IK17">
        <v>-1.60810227862653</v>
      </c>
      <c r="IL17">
        <v>28.578466383806798</v>
      </c>
      <c r="IM17">
        <v>104.03770734999399</v>
      </c>
      <c r="IN17">
        <v>20.862804889518401</v>
      </c>
      <c r="IO17">
        <v>1.14295219348165</v>
      </c>
      <c r="IP17">
        <v>3.3767188105482502</v>
      </c>
      <c r="IQ17">
        <v>372.67222531226201</v>
      </c>
      <c r="IR17">
        <v>225.369286240273</v>
      </c>
      <c r="IS17">
        <v>314.26332754310101</v>
      </c>
      <c r="IT17">
        <v>228.26048333913999</v>
      </c>
      <c r="IU17">
        <v>781.51178669221997</v>
      </c>
      <c r="IV17">
        <v>-123.41996650758399</v>
      </c>
      <c r="IW17">
        <v>20.891166731140999</v>
      </c>
      <c r="IX17">
        <v>20.753295780399998</v>
      </c>
      <c r="IY17">
        <v>-3.4819064166106801</v>
      </c>
      <c r="IZ17">
        <v>-510.37641219212202</v>
      </c>
      <c r="JA17">
        <v>-715.23836763142003</v>
      </c>
      <c r="JB17">
        <v>-79.3470968151411</v>
      </c>
      <c r="JC17">
        <v>20.953381643262301</v>
      </c>
      <c r="JD17">
        <v>20.791174703074599</v>
      </c>
      <c r="JE17">
        <v>6.4970055118880303</v>
      </c>
      <c r="JF17">
        <v>-301.51175206064102</v>
      </c>
      <c r="JG17">
        <v>-397.16719313924398</v>
      </c>
      <c r="JH17">
        <v>-172.38170765760199</v>
      </c>
      <c r="JI17">
        <v>20.049833387320302</v>
      </c>
      <c r="JJ17">
        <v>19.9819208562939</v>
      </c>
      <c r="JK17">
        <v>-200.044186353095</v>
      </c>
      <c r="JL17">
        <v>-816.58750039740698</v>
      </c>
      <c r="JM17">
        <v>-1246.9222106945399</v>
      </c>
      <c r="JN17">
        <v>-74.202427983666396</v>
      </c>
      <c r="JO17">
        <v>21.0521529529567</v>
      </c>
      <c r="JP17">
        <v>20.862804889518401</v>
      </c>
      <c r="JQ17">
        <v>1.3355664738772299</v>
      </c>
      <c r="JR17">
        <v>14.1216717706106</v>
      </c>
      <c r="JS17">
        <v>1.4644853195169101</v>
      </c>
      <c r="JT17">
        <v>-287.03466815600501</v>
      </c>
      <c r="JU17">
        <v>-360.03730999566199</v>
      </c>
      <c r="JV17">
        <v>31.831150930204299</v>
      </c>
      <c r="JW17">
        <v>134.94200144082299</v>
      </c>
      <c r="JX17">
        <v>-32.035602928029903</v>
      </c>
      <c r="JY17">
        <v>23.8401162348922</v>
      </c>
      <c r="JZ17">
        <v>95.778783535765399</v>
      </c>
      <c r="KA17">
        <v>-6.4247648153804802</v>
      </c>
      <c r="KB17">
        <v>-80.858990190948901</v>
      </c>
      <c r="KC17">
        <v>-154.41541690810601</v>
      </c>
      <c r="KD17">
        <v>-191.289819068356</v>
      </c>
      <c r="KE17">
        <v>25.197307877962999</v>
      </c>
      <c r="KF17">
        <v>17.456109331386699</v>
      </c>
      <c r="KG17">
        <v>-268.64790469706003</v>
      </c>
      <c r="KH17">
        <v>1.8444573747349899</v>
      </c>
      <c r="KI17">
        <v>98.354682619246503</v>
      </c>
      <c r="KJ17">
        <v>-0.23980589939547101</v>
      </c>
      <c r="KK17">
        <v>-121.309281404777</v>
      </c>
      <c r="KL17">
        <v>20.619074945079699</v>
      </c>
      <c r="KM17">
        <v>20.5808385896716</v>
      </c>
      <c r="KN17">
        <v>-86.579003706238694</v>
      </c>
      <c r="KO17">
        <v>19.892429787110501</v>
      </c>
      <c r="KP17">
        <v>-10.285064507759101</v>
      </c>
      <c r="KQ17">
        <v>-588.75051556530195</v>
      </c>
      <c r="KR17">
        <v>-1170.7565180766701</v>
      </c>
      <c r="KS17">
        <v>-78.429006966716997</v>
      </c>
      <c r="KT17">
        <v>20.6668817444226</v>
      </c>
      <c r="KU17">
        <v>20.6270071604592</v>
      </c>
      <c r="KV17">
        <v>-50.344172302252097</v>
      </c>
      <c r="KW17">
        <v>19.938392266689</v>
      </c>
      <c r="KX17">
        <v>-10.201481430778299</v>
      </c>
      <c r="KY17">
        <v>-367.419272930874</v>
      </c>
      <c r="KZ17">
        <v>-740.28312345726602</v>
      </c>
      <c r="LA17">
        <v>-148.159562208544</v>
      </c>
      <c r="LB17">
        <v>20.6694682230242</v>
      </c>
      <c r="LC17">
        <v>20.3997665401658</v>
      </c>
      <c r="LD17">
        <v>-250.36934467660001</v>
      </c>
      <c r="LE17">
        <v>20.093812276702199</v>
      </c>
      <c r="LF17">
        <v>-10.2795805097577</v>
      </c>
      <c r="LG17">
        <v>-751.12705565782301</v>
      </c>
      <c r="LH17">
        <v>-1199.9375596345001</v>
      </c>
      <c r="LI17">
        <v>-76.877987343901793</v>
      </c>
      <c r="LJ17">
        <v>20.638457834886601</v>
      </c>
      <c r="LK17">
        <v>20.594278474134299</v>
      </c>
      <c r="LL17">
        <v>-46.640153649763199</v>
      </c>
      <c r="LM17">
        <v>19.921059838348899</v>
      </c>
      <c r="LN17">
        <v>-9.8855508553007994</v>
      </c>
      <c r="LO17">
        <v>-361.616119744473</v>
      </c>
      <c r="LP17">
        <v>-728.67049459447298</v>
      </c>
      <c r="LQ17">
        <v>-13.587644793262699</v>
      </c>
      <c r="LR17">
        <v>17.244110113330201</v>
      </c>
      <c r="LS17">
        <v>16.481000000000002</v>
      </c>
      <c r="LT17">
        <v>392.54075929499197</v>
      </c>
      <c r="LU17">
        <v>-840.31192446261002</v>
      </c>
      <c r="LV17">
        <v>18.655039697686</v>
      </c>
      <c r="LW17">
        <v>19.935493400113</v>
      </c>
      <c r="LX17">
        <v>1187.12577514536</v>
      </c>
      <c r="LY17">
        <v>-9.4964796891910108</v>
      </c>
      <c r="LZ17">
        <v>17.228810932587699</v>
      </c>
      <c r="MA17">
        <v>16.481000000000002</v>
      </c>
      <c r="MB17">
        <v>245.42808652987401</v>
      </c>
      <c r="MC17">
        <v>-532.92863647872196</v>
      </c>
      <c r="MD17">
        <v>18.643608963848401</v>
      </c>
      <c r="ME17">
        <v>19.916166671093201</v>
      </c>
      <c r="MF17">
        <v>751.64708496172295</v>
      </c>
      <c r="MG17">
        <v>-26.459533295015699</v>
      </c>
      <c r="MH17">
        <v>16.928828584918399</v>
      </c>
      <c r="MI17">
        <v>16.481000000000002</v>
      </c>
      <c r="MJ17">
        <v>245.998022000595</v>
      </c>
      <c r="MK17">
        <v>-588.34554327528701</v>
      </c>
      <c r="ML17">
        <v>17.915708309225</v>
      </c>
      <c r="MM17">
        <v>19.020704772566599</v>
      </c>
      <c r="MN17">
        <v>806.49219839487398</v>
      </c>
      <c r="MO17">
        <v>-8.9695207880636492</v>
      </c>
      <c r="MP17">
        <v>17.236478375566801</v>
      </c>
      <c r="MQ17">
        <v>16.481000000000002</v>
      </c>
      <c r="MR17">
        <v>245.03703694279</v>
      </c>
      <c r="MS17">
        <v>-543.28628686057505</v>
      </c>
      <c r="MT17">
        <v>18.666506854362598</v>
      </c>
      <c r="MU17">
        <v>19.9382331035054</v>
      </c>
      <c r="MV17">
        <v>756.88462969624095</v>
      </c>
      <c r="MW17">
        <v>-4.1394021818928399</v>
      </c>
      <c r="MX17">
        <v>18.488403894898902</v>
      </c>
      <c r="MY17">
        <v>20.34897926459</v>
      </c>
      <c r="MZ17">
        <v>957.83980380022604</v>
      </c>
      <c r="NA17">
        <v>326.171623329076</v>
      </c>
      <c r="NB17">
        <v>19.307438258924201</v>
      </c>
      <c r="NC17">
        <v>20.233295218071301</v>
      </c>
      <c r="ND17">
        <v>1389.0008934842101</v>
      </c>
      <c r="NE17">
        <v>-3.10603903483443</v>
      </c>
      <c r="NF17">
        <v>18.507097538616499</v>
      </c>
      <c r="NG17">
        <v>20.3549071730219</v>
      </c>
      <c r="NH17">
        <v>610.77382287633702</v>
      </c>
      <c r="NI17">
        <v>211.649887191929</v>
      </c>
      <c r="NJ17">
        <v>19.3354408761851</v>
      </c>
      <c r="NK17">
        <v>20.272609149492698</v>
      </c>
      <c r="NL17">
        <v>887.98467785281503</v>
      </c>
      <c r="NM17">
        <v>-17.020479160520601</v>
      </c>
      <c r="NN17">
        <v>17.609069511188199</v>
      </c>
      <c r="NO17">
        <v>19.190858432250501</v>
      </c>
      <c r="NP17">
        <v>616.53585577860201</v>
      </c>
      <c r="NQ17" s="35">
        <v>43.667010775404101</v>
      </c>
      <c r="NR17" s="35">
        <v>18.347224102312701</v>
      </c>
      <c r="NS17">
        <v>19.395752762823498</v>
      </c>
      <c r="NT17">
        <v>1022.63557976203</v>
      </c>
      <c r="NU17">
        <v>-2.4191905683943999</v>
      </c>
      <c r="NV17">
        <v>18.567621304433501</v>
      </c>
      <c r="NW17">
        <v>20.451497702737701</v>
      </c>
      <c r="NX17">
        <v>2.8363188715982801</v>
      </c>
      <c r="NY17">
        <v>622.97397169018598</v>
      </c>
      <c r="NZ17">
        <v>223.22636324928101</v>
      </c>
      <c r="OA17">
        <v>19.397728250398199</v>
      </c>
      <c r="OB17">
        <v>20.332847685654698</v>
      </c>
      <c r="OC17">
        <v>2.72243960419561</v>
      </c>
      <c r="OD17">
        <v>900.23704438356003</v>
      </c>
      <c r="OE17">
        <v>2.8363188715982801</v>
      </c>
      <c r="OF17">
        <v>2.72243960419561</v>
      </c>
      <c r="OG17">
        <v>-2.6848731022379102</v>
      </c>
      <c r="OH17">
        <v>18.492211819719401</v>
      </c>
      <c r="OI17">
        <v>20.5274823531091</v>
      </c>
      <c r="OJ17">
        <v>1044.8227536126701</v>
      </c>
      <c r="OK17">
        <v>486.42712654277301</v>
      </c>
      <c r="OL17">
        <v>19.241423948598701</v>
      </c>
      <c r="OM17">
        <v>20.1101285293547</v>
      </c>
      <c r="ON17">
        <v>1445.88110963651</v>
      </c>
      <c r="OO17">
        <v>-1.6695616643573501</v>
      </c>
      <c r="OP17">
        <v>18.573350981274601</v>
      </c>
      <c r="OQ17">
        <v>20.636013477029</v>
      </c>
      <c r="OR17">
        <v>680.38824890653598</v>
      </c>
      <c r="OS17">
        <v>337.56642371033399</v>
      </c>
      <c r="OT17">
        <v>19.317229214295899</v>
      </c>
      <c r="OU17">
        <v>20.178876824023401</v>
      </c>
      <c r="OV17">
        <v>932.27038778464703</v>
      </c>
      <c r="OW17">
        <v>-13.6785171953823</v>
      </c>
      <c r="OX17">
        <v>17.545746889931898</v>
      </c>
      <c r="OY17">
        <v>19.499069099806199</v>
      </c>
      <c r="OZ17">
        <v>697.15200638700503</v>
      </c>
      <c r="PA17">
        <v>33.046938482167697</v>
      </c>
      <c r="PB17">
        <v>18.385967368445399</v>
      </c>
      <c r="PC17">
        <v>19.592774445911999</v>
      </c>
      <c r="PD17">
        <v>1176.6430814308701</v>
      </c>
      <c r="PE17">
        <v>-1.16650743485359</v>
      </c>
      <c r="PF17">
        <v>18.609063390724199</v>
      </c>
      <c r="PG17">
        <v>20.7729097558747</v>
      </c>
      <c r="PH17">
        <v>2.9067909087903199</v>
      </c>
      <c r="PI17">
        <v>691.39142516903098</v>
      </c>
      <c r="PJ17">
        <v>366.96100834761</v>
      </c>
      <c r="PK17">
        <v>19.322847134962402</v>
      </c>
      <c r="PL17">
        <v>20.1582024041791</v>
      </c>
      <c r="PM17" s="35">
        <v>2.8050503264291802</v>
      </c>
      <c r="PN17">
        <v>931.09487987877401</v>
      </c>
      <c r="PO17">
        <v>19.969339869978601</v>
      </c>
      <c r="PP17">
        <v>19.9364912838961</v>
      </c>
      <c r="PQ17">
        <v>19.041351536418301</v>
      </c>
      <c r="PR17">
        <v>19.9560777469021</v>
      </c>
      <c r="PS17">
        <v>17.362863546141998</v>
      </c>
      <c r="PT17">
        <v>20.140098625942201</v>
      </c>
      <c r="PU17">
        <v>20.175293255084402</v>
      </c>
      <c r="PV17">
        <v>19.375475951298601</v>
      </c>
      <c r="PW17">
        <v>20.231961552133299</v>
      </c>
      <c r="PX17">
        <v>17.146430155902099</v>
      </c>
      <c r="PY17">
        <v>19.965543458989799</v>
      </c>
      <c r="PZ17">
        <v>20.018142215913599</v>
      </c>
      <c r="QA17">
        <v>19.5957849825881</v>
      </c>
      <c r="QB17">
        <v>19.990698073556199</v>
      </c>
      <c r="QC17">
        <v>16.5235670224865</v>
      </c>
      <c r="QD17">
        <v>15.9466520151074</v>
      </c>
      <c r="QE17">
        <v>18.729139812058101</v>
      </c>
      <c r="QF17">
        <v>18.698048891162301</v>
      </c>
      <c r="QG17">
        <v>18.1429035937918</v>
      </c>
      <c r="QH17">
        <v>18.702000368579998</v>
      </c>
      <c r="QI17">
        <v>16.959344483590801</v>
      </c>
      <c r="QJ17">
        <v>18.891407252014801</v>
      </c>
      <c r="QK17">
        <v>18.916155947499998</v>
      </c>
      <c r="QL17">
        <v>18.406465955754399</v>
      </c>
      <c r="QM17">
        <v>18.9500375379607</v>
      </c>
      <c r="QN17">
        <v>1894.7436910384799</v>
      </c>
      <c r="QO17">
        <v>16.748588592773999</v>
      </c>
      <c r="QP17">
        <v>4005.4634546081802</v>
      </c>
      <c r="QQ17">
        <v>18.737218560785202</v>
      </c>
      <c r="QR17">
        <v>18.7827955972365</v>
      </c>
      <c r="QS17">
        <v>18.520011498141201</v>
      </c>
      <c r="QT17">
        <v>18.747309275018001</v>
      </c>
      <c r="QU17">
        <v>16.230045337220901</v>
      </c>
      <c r="QV17">
        <v>15.538965946232601</v>
      </c>
      <c r="QW17">
        <v>259402.69679905099</v>
      </c>
      <c r="QX17">
        <v>0</v>
      </c>
      <c r="QY17">
        <v>174761.07094565901</v>
      </c>
      <c r="QZ17">
        <v>0</v>
      </c>
      <c r="RA17">
        <v>34418.384617657</v>
      </c>
      <c r="RB17">
        <v>0</v>
      </c>
      <c r="RC17">
        <v>23060.298727201302</v>
      </c>
      <c r="RD17">
        <v>0</v>
      </c>
      <c r="RE17">
        <v>90289.631704949599</v>
      </c>
      <c r="RF17">
        <v>0</v>
      </c>
      <c r="RG17">
        <v>61220.600868809102</v>
      </c>
      <c r="RH17" s="35">
        <v>0</v>
      </c>
      <c r="RI17">
        <v>0</v>
      </c>
      <c r="RJ17" s="35">
        <v>1799.22985622491</v>
      </c>
      <c r="RK17">
        <v>17.488939754137601</v>
      </c>
      <c r="RL17">
        <v>8154.5346333739499</v>
      </c>
      <c r="RM17" s="35">
        <v>8154.5346333739499</v>
      </c>
      <c r="RN17">
        <v>17321.744958019801</v>
      </c>
      <c r="RO17" s="35">
        <v>0</v>
      </c>
      <c r="RP17">
        <v>1113.0605576074599</v>
      </c>
      <c r="RQ17" s="35">
        <v>17.459606498428499</v>
      </c>
      <c r="RR17" s="35">
        <v>5214.6325002112198</v>
      </c>
      <c r="RS17">
        <v>5214.6325002112198</v>
      </c>
      <c r="RT17">
        <v>11022.8576730612</v>
      </c>
      <c r="RU17">
        <v>317.87590270666999</v>
      </c>
      <c r="RV17">
        <v>729.48939183373204</v>
      </c>
      <c r="RW17">
        <v>17.2444556511653</v>
      </c>
      <c r="RX17">
        <v>3216.4722382882801</v>
      </c>
      <c r="RY17">
        <v>3216.4722382882801</v>
      </c>
      <c r="RZ17">
        <v>5374.3680687819196</v>
      </c>
      <c r="SA17">
        <v>0</v>
      </c>
      <c r="SB17">
        <v>1100.1562368531399</v>
      </c>
      <c r="SC17">
        <v>17.447922990257901</v>
      </c>
      <c r="SD17">
        <v>5261.5180978204198</v>
      </c>
      <c r="SE17">
        <v>5261.5180978204198</v>
      </c>
      <c r="SF17">
        <v>11121.5453020473</v>
      </c>
      <c r="SG17">
        <v>0</v>
      </c>
      <c r="SH17">
        <v>4091.4486175581501</v>
      </c>
      <c r="SI17">
        <v>16.5558254210396</v>
      </c>
      <c r="SJ17">
        <v>32965.345317515297</v>
      </c>
      <c r="SK17">
        <v>32965.345317515297</v>
      </c>
      <c r="SL17">
        <v>76119.993965459696</v>
      </c>
      <c r="SM17">
        <v>21.1111</v>
      </c>
      <c r="SN17">
        <v>26.666699999999999</v>
      </c>
      <c r="SO17">
        <v>585.75003249878102</v>
      </c>
      <c r="SP17">
        <v>1137.7383604561801</v>
      </c>
      <c r="SQ17">
        <v>19.847560419809099</v>
      </c>
      <c r="SR17">
        <v>0</v>
      </c>
      <c r="SS17">
        <v>0</v>
      </c>
      <c r="ST17">
        <v>0</v>
      </c>
      <c r="SU17">
        <v>359.96175094936598</v>
      </c>
      <c r="SV17">
        <v>731.88368326437796</v>
      </c>
      <c r="SW17">
        <v>19.806182239365601</v>
      </c>
      <c r="SX17">
        <v>0</v>
      </c>
      <c r="SY17">
        <v>0</v>
      </c>
      <c r="SZ17">
        <v>0</v>
      </c>
      <c r="TA17">
        <v>335.54858158146902</v>
      </c>
      <c r="TB17">
        <v>464.58852378678102</v>
      </c>
      <c r="TC17">
        <v>19.3009964035931</v>
      </c>
      <c r="TD17">
        <v>0</v>
      </c>
      <c r="TE17">
        <v>0</v>
      </c>
      <c r="TF17">
        <v>0</v>
      </c>
      <c r="TG17">
        <v>347.23242742374703</v>
      </c>
      <c r="TH17">
        <v>755.179909868133</v>
      </c>
      <c r="TI17">
        <v>19.829893345880102</v>
      </c>
      <c r="TJ17">
        <v>0</v>
      </c>
      <c r="TK17">
        <v>0</v>
      </c>
      <c r="TL17">
        <v>0</v>
      </c>
      <c r="TM17">
        <v>3475.50756178348</v>
      </c>
      <c r="TN17">
        <v>417.54019518992601</v>
      </c>
      <c r="TO17">
        <v>18.7875852321995</v>
      </c>
      <c r="TP17">
        <v>0</v>
      </c>
      <c r="TQ17">
        <v>0</v>
      </c>
      <c r="TR17">
        <v>0</v>
      </c>
      <c r="TS17">
        <v>0</v>
      </c>
      <c r="TT17">
        <v>1515.8716863310001</v>
      </c>
      <c r="TU17">
        <v>17.642715878087401</v>
      </c>
      <c r="TV17">
        <v>8385.1278659898198</v>
      </c>
      <c r="TW17">
        <v>8385.1278659898198</v>
      </c>
      <c r="TX17">
        <v>17992.199280258701</v>
      </c>
      <c r="TY17">
        <v>0</v>
      </c>
      <c r="TZ17">
        <v>970.902701547942</v>
      </c>
      <c r="UA17">
        <v>17.657018639915599</v>
      </c>
      <c r="UB17">
        <v>5273.6681249456296</v>
      </c>
      <c r="UC17">
        <v>5273.6681249456296</v>
      </c>
      <c r="UD17">
        <v>11388.089486113</v>
      </c>
      <c r="UE17">
        <v>351.79556321436002</v>
      </c>
      <c r="UF17">
        <v>965.32417911021798</v>
      </c>
      <c r="UG17">
        <v>17.437455960210301</v>
      </c>
      <c r="UH17">
        <v>484.66852969739301</v>
      </c>
      <c r="UI17">
        <v>484.66852969739301</v>
      </c>
      <c r="UJ17">
        <v>-1112.4097133062101</v>
      </c>
      <c r="UK17">
        <v>0</v>
      </c>
      <c r="UL17">
        <v>950.95409060149802</v>
      </c>
      <c r="UM17">
        <v>17.668113523788101</v>
      </c>
      <c r="UN17">
        <v>5291.1358370350599</v>
      </c>
      <c r="UO17">
        <v>5291.1358370350599</v>
      </c>
      <c r="UP17">
        <v>11386.430859333301</v>
      </c>
      <c r="UQ17">
        <v>0</v>
      </c>
      <c r="UR17">
        <v>4015.6454597726001</v>
      </c>
      <c r="US17">
        <v>16.350747029646001</v>
      </c>
      <c r="UT17">
        <v>34415.911448469502</v>
      </c>
      <c r="UU17">
        <v>34415.911448469502</v>
      </c>
      <c r="UV17">
        <v>77331.921831850806</v>
      </c>
      <c r="UW17">
        <v>21.1111</v>
      </c>
      <c r="UX17">
        <v>26.666699999999999</v>
      </c>
      <c r="UY17">
        <v>556.62735812556798</v>
      </c>
      <c r="UZ17">
        <v>1118.07129346385</v>
      </c>
      <c r="VA17">
        <v>20.003307722267198</v>
      </c>
      <c r="VB17">
        <v>0</v>
      </c>
      <c r="VC17">
        <v>0</v>
      </c>
      <c r="VD17">
        <v>0</v>
      </c>
      <c r="VE17">
        <v>335.98045190561999</v>
      </c>
      <c r="VF17">
        <v>729.62946314798796</v>
      </c>
      <c r="VG17">
        <v>20.0287088079859</v>
      </c>
      <c r="VH17">
        <v>0</v>
      </c>
      <c r="VI17">
        <v>0</v>
      </c>
      <c r="VJ17">
        <v>0</v>
      </c>
      <c r="VK17">
        <v>405.57706148021799</v>
      </c>
      <c r="VL17">
        <v>560.47455014020704</v>
      </c>
      <c r="VM17">
        <v>19.636006960955601</v>
      </c>
      <c r="VN17">
        <v>0</v>
      </c>
      <c r="VO17">
        <v>0</v>
      </c>
      <c r="VP17">
        <v>0</v>
      </c>
      <c r="VQ17">
        <v>323.68756990516601</v>
      </c>
      <c r="VR17">
        <v>762.25394903957397</v>
      </c>
      <c r="VS17">
        <v>20.085816790207701</v>
      </c>
      <c r="VT17">
        <v>0</v>
      </c>
      <c r="VU17">
        <v>0</v>
      </c>
      <c r="VV17">
        <v>0</v>
      </c>
      <c r="VW17">
        <v>3939.1752625584099</v>
      </c>
      <c r="VX17">
        <v>146.07440145141999</v>
      </c>
      <c r="VY17">
        <v>18.804540436142499</v>
      </c>
      <c r="VZ17">
        <v>0</v>
      </c>
      <c r="WA17">
        <v>0</v>
      </c>
      <c r="WB17">
        <v>0</v>
      </c>
      <c r="WC17">
        <v>0</v>
      </c>
      <c r="WD17">
        <v>1456.41021585673</v>
      </c>
      <c r="WE17">
        <v>17.508893662580601</v>
      </c>
      <c r="WF17">
        <v>8692.53276601168</v>
      </c>
      <c r="WG17">
        <v>8692.53276601168</v>
      </c>
      <c r="WH17">
        <v>18167.0257209269</v>
      </c>
      <c r="WI17">
        <v>3326519.66250188</v>
      </c>
      <c r="WJ17">
        <v>0</v>
      </c>
      <c r="WK17">
        <v>924.03323958385602</v>
      </c>
      <c r="WL17">
        <v>17.547448978559402</v>
      </c>
      <c r="WM17">
        <v>5459.1208970461203</v>
      </c>
      <c r="WN17">
        <v>5459.1208970461203</v>
      </c>
      <c r="WO17">
        <v>11445.922789947501</v>
      </c>
      <c r="WP17">
        <v>21.1111</v>
      </c>
      <c r="WQ17">
        <v>26.666699999999999</v>
      </c>
      <c r="WR17">
        <v>113.207627846639</v>
      </c>
      <c r="WS17">
        <v>1359.44264345993</v>
      </c>
      <c r="WT17">
        <v>17.444238013694399</v>
      </c>
      <c r="WU17">
        <v>7921.2333988118999</v>
      </c>
      <c r="WV17">
        <v>7921.2333988118999</v>
      </c>
      <c r="WW17">
        <v>16240.377489082801</v>
      </c>
      <c r="WX17">
        <v>3158539.9171332801</v>
      </c>
      <c r="WY17">
        <v>0</v>
      </c>
      <c r="WZ17">
        <v>877.37219920369</v>
      </c>
      <c r="XA17">
        <v>17.503920476479699</v>
      </c>
      <c r="XB17">
        <v>5605.6920531183996</v>
      </c>
      <c r="XC17">
        <v>5605.6920531183996</v>
      </c>
      <c r="XD17">
        <v>11721.271740992301</v>
      </c>
      <c r="XE17">
        <v>0</v>
      </c>
      <c r="XF17">
        <v>2858.83061549277</v>
      </c>
      <c r="XG17">
        <v>15.9365236519552</v>
      </c>
      <c r="XH17">
        <v>36412.269620399798</v>
      </c>
      <c r="XI17">
        <v>36412.269620399798</v>
      </c>
      <c r="XJ17">
        <v>77123.658653526203</v>
      </c>
      <c r="XK17">
        <v>21.1111</v>
      </c>
      <c r="XL17">
        <v>26.666699999999999</v>
      </c>
      <c r="XM17">
        <v>547.359004776657</v>
      </c>
      <c r="XN17">
        <v>923.56712002566906</v>
      </c>
      <c r="XO17">
        <v>19.788438368222199</v>
      </c>
      <c r="XP17">
        <v>0</v>
      </c>
      <c r="XQ17">
        <v>0</v>
      </c>
      <c r="XR17">
        <v>0</v>
      </c>
      <c r="XS17">
        <v>337.62426881139697</v>
      </c>
      <c r="XT17">
        <v>591.48810802589696</v>
      </c>
      <c r="XU17">
        <v>19.820368901841999</v>
      </c>
      <c r="XV17">
        <v>0</v>
      </c>
      <c r="XW17">
        <v>0</v>
      </c>
      <c r="XX17">
        <v>0</v>
      </c>
      <c r="XY17">
        <v>347.88970740881399</v>
      </c>
      <c r="XZ17">
        <v>644.08524168443</v>
      </c>
      <c r="YA17">
        <v>20.041452623519099</v>
      </c>
      <c r="YB17">
        <v>0</v>
      </c>
      <c r="YC17">
        <v>0</v>
      </c>
      <c r="YD17">
        <v>0</v>
      </c>
      <c r="YE17">
        <v>331.278601878953</v>
      </c>
      <c r="YF17">
        <v>595.05726262037297</v>
      </c>
      <c r="YG17">
        <v>19.7820465409925</v>
      </c>
      <c r="YH17">
        <v>0</v>
      </c>
      <c r="YI17">
        <v>0</v>
      </c>
      <c r="YJ17">
        <v>0</v>
      </c>
      <c r="YK17">
        <v>6712.25324471576</v>
      </c>
      <c r="YL17">
        <v>0</v>
      </c>
      <c r="YM17">
        <v>18.4290790463645</v>
      </c>
      <c r="YN17">
        <v>0</v>
      </c>
      <c r="YO17">
        <v>0</v>
      </c>
      <c r="YP17">
        <v>0</v>
      </c>
      <c r="YQ17">
        <v>0</v>
      </c>
      <c r="YR17">
        <v>1755.5736440127</v>
      </c>
      <c r="YS17">
        <v>16.480161435442099</v>
      </c>
      <c r="YT17">
        <v>0</v>
      </c>
      <c r="YU17">
        <v>0</v>
      </c>
      <c r="YV17">
        <v>0</v>
      </c>
      <c r="YW17">
        <v>0</v>
      </c>
      <c r="YX17">
        <v>1109.00347363623</v>
      </c>
      <c r="YY17">
        <v>16.4752700332686</v>
      </c>
      <c r="YZ17">
        <v>0</v>
      </c>
      <c r="ZA17">
        <v>0</v>
      </c>
      <c r="ZB17">
        <v>0</v>
      </c>
      <c r="ZC17">
        <v>0</v>
      </c>
      <c r="ZD17">
        <v>983.44635100111998</v>
      </c>
      <c r="ZE17">
        <v>16.560374590720802</v>
      </c>
      <c r="ZF17">
        <v>0</v>
      </c>
      <c r="ZG17">
        <v>0</v>
      </c>
      <c r="ZH17">
        <v>0</v>
      </c>
      <c r="ZI17">
        <v>0</v>
      </c>
      <c r="ZJ17">
        <v>1116.5475172328399</v>
      </c>
      <c r="ZK17">
        <v>16.4815484314766</v>
      </c>
      <c r="ZL17">
        <v>0</v>
      </c>
      <c r="ZM17">
        <v>0</v>
      </c>
      <c r="ZN17">
        <v>0</v>
      </c>
      <c r="ZO17">
        <v>0</v>
      </c>
      <c r="ZP17">
        <v>5236.7465492868396</v>
      </c>
      <c r="ZQ17">
        <v>15.8421023761932</v>
      </c>
      <c r="ZR17">
        <v>0</v>
      </c>
      <c r="ZS17">
        <v>0</v>
      </c>
      <c r="ZT17">
        <v>0</v>
      </c>
      <c r="ZU17">
        <v>0</v>
      </c>
      <c r="ZV17">
        <v>2633.3797213831499</v>
      </c>
      <c r="ZW17">
        <v>16.7543113549395</v>
      </c>
      <c r="ZX17">
        <v>0</v>
      </c>
      <c r="ZY17">
        <v>0</v>
      </c>
      <c r="ZZ17">
        <v>0</v>
      </c>
      <c r="AAA17">
        <v>0</v>
      </c>
      <c r="AAB17">
        <v>1684.6382483858699</v>
      </c>
      <c r="AAC17">
        <v>16.764551675842199</v>
      </c>
      <c r="AAD17">
        <v>0</v>
      </c>
      <c r="AAE17">
        <v>0</v>
      </c>
      <c r="AAF17">
        <v>0</v>
      </c>
      <c r="AAG17">
        <v>0</v>
      </c>
      <c r="AAH17">
        <v>1562.55613125373</v>
      </c>
      <c r="AAI17">
        <v>16.664511017765001</v>
      </c>
      <c r="AAJ17">
        <v>0</v>
      </c>
      <c r="AAK17">
        <v>0</v>
      </c>
      <c r="AAL17">
        <v>0</v>
      </c>
      <c r="AAM17">
        <v>0</v>
      </c>
      <c r="AAN17">
        <v>1714.3082263440001</v>
      </c>
      <c r="AAO17">
        <v>16.7892439955585</v>
      </c>
      <c r="AAP17">
        <v>0</v>
      </c>
      <c r="AAQ17">
        <v>0</v>
      </c>
      <c r="AAR17">
        <v>0</v>
      </c>
      <c r="AAS17">
        <v>0</v>
      </c>
      <c r="AAT17">
        <v>3684.9530476886598</v>
      </c>
      <c r="AAU17">
        <v>15.667839931423201</v>
      </c>
      <c r="AAV17">
        <v>0</v>
      </c>
      <c r="AAW17">
        <v>0</v>
      </c>
      <c r="AAX17">
        <v>0</v>
      </c>
      <c r="AAY17">
        <v>0</v>
      </c>
      <c r="AAZ17">
        <v>2793.7247865117702</v>
      </c>
      <c r="ABA17">
        <v>16.650491603033899</v>
      </c>
      <c r="ABB17">
        <v>0</v>
      </c>
      <c r="ABC17">
        <v>0</v>
      </c>
      <c r="ABD17">
        <v>0</v>
      </c>
      <c r="ABE17">
        <v>0</v>
      </c>
      <c r="ABF17">
        <v>1814.1862512692301</v>
      </c>
      <c r="ABG17">
        <v>16.682849611198499</v>
      </c>
      <c r="ABH17">
        <v>0</v>
      </c>
      <c r="ABI17">
        <v>0</v>
      </c>
      <c r="ABJ17">
        <v>0</v>
      </c>
      <c r="ABK17">
        <v>0</v>
      </c>
      <c r="ABL17">
        <v>1642.41526090095</v>
      </c>
      <c r="ABM17">
        <v>16.593068831349498</v>
      </c>
      <c r="ABN17">
        <v>0</v>
      </c>
      <c r="ABO17">
        <v>0</v>
      </c>
      <c r="ABP17">
        <v>0</v>
      </c>
      <c r="ABQ17">
        <v>0</v>
      </c>
      <c r="ABR17">
        <v>1824.6979808916501</v>
      </c>
      <c r="ABS17">
        <v>16.691334251995698</v>
      </c>
      <c r="ABT17">
        <v>0</v>
      </c>
      <c r="ABU17">
        <v>0</v>
      </c>
      <c r="ABV17">
        <v>0</v>
      </c>
      <c r="ABW17">
        <v>0</v>
      </c>
      <c r="ABX17">
        <v>2416.0335577450001</v>
      </c>
      <c r="ABY17">
        <v>15.538965946232601</v>
      </c>
      <c r="ABZ17">
        <v>0</v>
      </c>
      <c r="ACA17">
        <v>0</v>
      </c>
      <c r="ACB17">
        <v>0</v>
      </c>
      <c r="ACC17">
        <v>0</v>
      </c>
      <c r="ACD17">
        <v>0</v>
      </c>
      <c r="ACE17">
        <v>0</v>
      </c>
      <c r="ACF17">
        <v>14.8114600601031</v>
      </c>
      <c r="ACG17">
        <v>14.8114600601031</v>
      </c>
      <c r="ACH17">
        <v>0</v>
      </c>
      <c r="ACI17">
        <v>0</v>
      </c>
      <c r="ACJ17">
        <v>0</v>
      </c>
      <c r="ACK17">
        <v>20.760648244627699</v>
      </c>
      <c r="ACL17">
        <v>20.760648244627699</v>
      </c>
      <c r="ACM17">
        <v>0</v>
      </c>
      <c r="ACN17">
        <v>0</v>
      </c>
      <c r="ACP17">
        <v>17512.778583425799</v>
      </c>
      <c r="ACR17">
        <v>17512.778583425799</v>
      </c>
      <c r="ACT17">
        <v>16.555480419338199</v>
      </c>
      <c r="ACU17">
        <v>16.355176972769801</v>
      </c>
      <c r="ACV17">
        <v>1.7</v>
      </c>
      <c r="ACW17">
        <v>4.5090588265725797</v>
      </c>
      <c r="ACX17">
        <v>0.80840572098354102</v>
      </c>
      <c r="ACY17">
        <v>16.347114351521601</v>
      </c>
      <c r="ACZ17">
        <v>16.1515381949004</v>
      </c>
      <c r="ADA17">
        <v>1.7</v>
      </c>
      <c r="ADB17">
        <v>4.5308102137429103</v>
      </c>
      <c r="ADC17">
        <v>0.81229074708487303</v>
      </c>
      <c r="ADD17">
        <v>15.919452710240799</v>
      </c>
      <c r="ADE17">
        <v>15.782266211526499</v>
      </c>
      <c r="ADF17">
        <v>1.7</v>
      </c>
      <c r="ADG17">
        <v>5.0403864838659498</v>
      </c>
      <c r="ADH17">
        <v>0.84781844418859797</v>
      </c>
      <c r="ADI17">
        <v>17.995979615361499</v>
      </c>
      <c r="ADJ17">
        <v>17.8554878715487</v>
      </c>
      <c r="ADK17">
        <v>1.2749999999999999</v>
      </c>
      <c r="ADL17">
        <v>4.1339015448659104</v>
      </c>
      <c r="ADM17">
        <v>0.82697718846581103</v>
      </c>
      <c r="ADN17">
        <v>17.980503239879599</v>
      </c>
      <c r="ADO17">
        <v>17.840121711320698</v>
      </c>
      <c r="ADP17">
        <v>1.2749999999999999</v>
      </c>
      <c r="ADQ17">
        <v>4.20361619769489</v>
      </c>
      <c r="ADR17">
        <v>0.82732731791401704</v>
      </c>
      <c r="ADS17">
        <v>18.033870475192099</v>
      </c>
      <c r="ADT17">
        <v>18.0285676061599</v>
      </c>
      <c r="ADU17">
        <v>0.42499999999999999</v>
      </c>
      <c r="ADV17">
        <v>2.0914612233498602</v>
      </c>
      <c r="ADW17">
        <v>0.99190950555235602</v>
      </c>
      <c r="ADX17">
        <v>17.987973524712</v>
      </c>
      <c r="ADY17">
        <v>17.847577393956801</v>
      </c>
      <c r="ADZ17">
        <v>1.2749999999999999</v>
      </c>
      <c r="AEA17">
        <v>4.1931302683650298</v>
      </c>
      <c r="AEB17">
        <v>0.82865637862257902</v>
      </c>
      <c r="AEC17">
        <v>18.219268760337599</v>
      </c>
      <c r="AED17">
        <v>18.085409914011599</v>
      </c>
      <c r="AEE17">
        <v>1.2749999999999999</v>
      </c>
      <c r="AEF17">
        <v>4.1805052443930402</v>
      </c>
      <c r="AEG17">
        <v>0.82677044252526299</v>
      </c>
      <c r="AEH17">
        <v>18.255216465137099</v>
      </c>
      <c r="AEI17">
        <v>18.113377441030401</v>
      </c>
      <c r="AEJ17">
        <v>1.2749999999999999</v>
      </c>
      <c r="AEK17">
        <v>4.2062769549425596</v>
      </c>
      <c r="AEL17">
        <v>0.82323674768864696</v>
      </c>
      <c r="AEM17">
        <v>18.2195361131559</v>
      </c>
      <c r="AEN17">
        <v>18.181833341989101</v>
      </c>
      <c r="AEO17">
        <v>0.42499999999999999</v>
      </c>
      <c r="AEP17">
        <v>1.33101255954025</v>
      </c>
      <c r="AEQ17">
        <v>0.95045859908449604</v>
      </c>
      <c r="AER17">
        <v>18.280864068717602</v>
      </c>
      <c r="AES17">
        <v>18.140730278521801</v>
      </c>
      <c r="AET17">
        <v>1.2749999999999999</v>
      </c>
      <c r="AEU17">
        <v>4.1871300376380898</v>
      </c>
      <c r="AEV17">
        <v>0.827754372465625</v>
      </c>
      <c r="AEW17">
        <v>18.064784921065002</v>
      </c>
      <c r="AEX17">
        <v>17.9421328440705</v>
      </c>
      <c r="AEY17">
        <v>1.2749999999999999</v>
      </c>
      <c r="AEZ17">
        <v>4.2948235307065898</v>
      </c>
      <c r="AFA17">
        <v>0.82253297536701497</v>
      </c>
      <c r="AFB17">
        <v>18.118767423497101</v>
      </c>
      <c r="AFC17">
        <v>17.989903967462599</v>
      </c>
      <c r="AFD17">
        <v>1.2749999999999999</v>
      </c>
      <c r="AFE17">
        <v>4.3325223306870697</v>
      </c>
      <c r="AFF17">
        <v>0.81907067399611799</v>
      </c>
      <c r="AFG17">
        <v>18.207871741348999</v>
      </c>
      <c r="AFH17">
        <v>18.157093234065002</v>
      </c>
      <c r="AFI17">
        <v>0.42499999999999999</v>
      </c>
      <c r="AFJ17">
        <v>1.2497325394604399</v>
      </c>
      <c r="AFK17">
        <v>0.94524756209403404</v>
      </c>
      <c r="AFL17">
        <v>18.100357645367598</v>
      </c>
      <c r="AFM17">
        <v>17.9764749075132</v>
      </c>
      <c r="AFN17">
        <v>1.2749999999999999</v>
      </c>
      <c r="AFO17">
        <v>4.3607343223826804</v>
      </c>
      <c r="AFP17">
        <v>0.82212679866403804</v>
      </c>
      <c r="AFQ17">
        <v>-1.49580927694197</v>
      </c>
      <c r="AFR17">
        <v>-1.4570690959386401</v>
      </c>
      <c r="AFS17">
        <v>-1.45859687476133</v>
      </c>
      <c r="AFT17">
        <v>-1.46077043294391</v>
      </c>
      <c r="AFU17">
        <v>-1.4581431308470401</v>
      </c>
      <c r="AFV17">
        <v>-1.4205285299088</v>
      </c>
      <c r="AFW17">
        <v>-1.4081557053395399</v>
      </c>
      <c r="AFX17">
        <v>-1.4150303420993999</v>
      </c>
      <c r="AFY17">
        <v>-1.4461789559810301</v>
      </c>
      <c r="AFZ17">
        <v>-1.4470235748215601</v>
      </c>
      <c r="AGA17">
        <v>-1.4413815814481701</v>
      </c>
      <c r="AGB17">
        <v>-1.43822643761921</v>
      </c>
      <c r="AGC17">
        <v>-1.7657107782161201</v>
      </c>
      <c r="AGD17">
        <v>-1.79679931243038</v>
      </c>
      <c r="AGE17">
        <v>-1.8633094144511699</v>
      </c>
      <c r="AGF17">
        <v>0</v>
      </c>
      <c r="AGG17">
        <v>0</v>
      </c>
      <c r="AGH17">
        <v>0</v>
      </c>
      <c r="AGI17">
        <v>0</v>
      </c>
      <c r="AGJ17">
        <v>0</v>
      </c>
      <c r="AGK17">
        <v>0</v>
      </c>
      <c r="AGL17">
        <v>0</v>
      </c>
      <c r="AGM17">
        <v>0</v>
      </c>
      <c r="AGN17">
        <v>0</v>
      </c>
      <c r="AGO17">
        <v>0</v>
      </c>
      <c r="AGP17">
        <v>0</v>
      </c>
      <c r="AGQ17">
        <v>0</v>
      </c>
      <c r="AGR17">
        <v>0</v>
      </c>
      <c r="AGS17">
        <v>0</v>
      </c>
      <c r="AGT17">
        <v>0</v>
      </c>
      <c r="AGU17">
        <v>0</v>
      </c>
      <c r="AGV17">
        <v>0</v>
      </c>
      <c r="AGW17">
        <v>0</v>
      </c>
      <c r="AGX17">
        <v>0</v>
      </c>
      <c r="AGY17">
        <v>0</v>
      </c>
      <c r="AGZ17">
        <v>0</v>
      </c>
      <c r="AHA17">
        <v>0</v>
      </c>
      <c r="AHB17">
        <v>0</v>
      </c>
      <c r="AHC17">
        <v>0</v>
      </c>
      <c r="AHD17">
        <v>0</v>
      </c>
      <c r="AHE17">
        <v>0</v>
      </c>
      <c r="AHF17">
        <v>0</v>
      </c>
      <c r="AHG17">
        <v>0</v>
      </c>
      <c r="AHH17">
        <v>0</v>
      </c>
      <c r="AHI17">
        <v>0</v>
      </c>
      <c r="AHJ17">
        <v>0</v>
      </c>
      <c r="AHK17">
        <v>0</v>
      </c>
      <c r="AHL17">
        <v>0</v>
      </c>
      <c r="AHM17">
        <v>0</v>
      </c>
      <c r="AHN17">
        <v>0</v>
      </c>
      <c r="AHO17">
        <v>0</v>
      </c>
      <c r="AHP17">
        <v>0</v>
      </c>
      <c r="AHQ17">
        <v>0</v>
      </c>
      <c r="AHR17">
        <v>0</v>
      </c>
      <c r="AHS17">
        <v>0</v>
      </c>
      <c r="AHT17">
        <v>0</v>
      </c>
      <c r="AHU17">
        <v>0</v>
      </c>
      <c r="AHV17">
        <v>0</v>
      </c>
      <c r="AHW17">
        <v>0</v>
      </c>
      <c r="AHX17">
        <v>0</v>
      </c>
      <c r="AHZ17">
        <v>0</v>
      </c>
      <c r="AIB17">
        <v>0</v>
      </c>
      <c r="AID17">
        <v>0</v>
      </c>
      <c r="AIF17">
        <v>0</v>
      </c>
      <c r="AIH17">
        <v>0</v>
      </c>
      <c r="AIJ17">
        <v>0</v>
      </c>
      <c r="AIL17">
        <v>0</v>
      </c>
      <c r="AIN17">
        <v>0</v>
      </c>
      <c r="AIP17">
        <v>0</v>
      </c>
      <c r="AIR17">
        <v>0</v>
      </c>
      <c r="AIT17">
        <v>0</v>
      </c>
      <c r="AIV17">
        <v>0</v>
      </c>
      <c r="AIX17">
        <v>0</v>
      </c>
      <c r="AIZ17">
        <v>0</v>
      </c>
      <c r="AJB17">
        <v>0</v>
      </c>
      <c r="AJC17">
        <v>0</v>
      </c>
      <c r="AJE17">
        <v>1.08323058462497E-4</v>
      </c>
      <c r="AJH17">
        <v>13802.022442436501</v>
      </c>
      <c r="AJJ17">
        <v>189.87513801987799</v>
      </c>
      <c r="AJK17">
        <v>220.596795833333</v>
      </c>
      <c r="AJL17">
        <v>220.596795833333</v>
      </c>
      <c r="AJM17">
        <v>499.321690263459</v>
      </c>
      <c r="AJN17">
        <v>347.36796874999999</v>
      </c>
      <c r="AJO17">
        <v>227.44929166666699</v>
      </c>
      <c r="AJP17">
        <v>227.44929166666699</v>
      </c>
      <c r="AJQ17">
        <v>219.363420886261</v>
      </c>
      <c r="AJR17">
        <v>358.171252083333</v>
      </c>
      <c r="AJS17">
        <v>220.596795833333</v>
      </c>
      <c r="AJT17">
        <v>220.596795833333</v>
      </c>
      <c r="AJU17">
        <v>412.00293556971098</v>
      </c>
      <c r="AJV17">
        <v>347.36796874999999</v>
      </c>
      <c r="AJW17">
        <v>0</v>
      </c>
      <c r="AJX17">
        <v>0</v>
      </c>
      <c r="AJY17">
        <v>0</v>
      </c>
      <c r="AJZ17">
        <v>0</v>
      </c>
      <c r="AKA17">
        <v>0</v>
      </c>
      <c r="AKB17">
        <v>0</v>
      </c>
      <c r="AKC17">
        <v>0</v>
      </c>
      <c r="AKD17">
        <v>0</v>
      </c>
      <c r="AKE17">
        <v>74.738617733567096</v>
      </c>
      <c r="AKF17">
        <v>74.738617733567096</v>
      </c>
      <c r="AKG17">
        <v>0</v>
      </c>
      <c r="AKH17">
        <v>0</v>
      </c>
      <c r="AKI17">
        <v>0</v>
      </c>
      <c r="AKJ17">
        <v>0</v>
      </c>
      <c r="AKK17">
        <v>0</v>
      </c>
      <c r="AKL17">
        <v>74.738617733567096</v>
      </c>
      <c r="AKM17">
        <v>74.738617733567096</v>
      </c>
      <c r="AKN17">
        <v>0</v>
      </c>
      <c r="AKO17">
        <v>0</v>
      </c>
      <c r="AKP17">
        <v>0</v>
      </c>
      <c r="AKT17">
        <v>0</v>
      </c>
      <c r="AKX17">
        <v>0</v>
      </c>
      <c r="ALB17">
        <v>20.760648244627699</v>
      </c>
      <c r="ALC17">
        <v>20.760648244627699</v>
      </c>
      <c r="ALD17">
        <v>0</v>
      </c>
      <c r="ALE17">
        <v>0</v>
      </c>
      <c r="ALF17">
        <v>0</v>
      </c>
      <c r="ALH17">
        <v>14.8114600563369</v>
      </c>
      <c r="ALI17">
        <v>2.8568269606532499E-3</v>
      </c>
      <c r="ALJ17">
        <v>23.697391429992201</v>
      </c>
      <c r="ALK17">
        <v>14.8114600601031</v>
      </c>
      <c r="ALL17">
        <v>23.697391429992201</v>
      </c>
      <c r="ALM17">
        <v>0</v>
      </c>
      <c r="ALN17">
        <v>18.956969213991801</v>
      </c>
      <c r="ALO17">
        <v>2.8568269606532499E-3</v>
      </c>
      <c r="ALP17">
        <v>21.140211091471102</v>
      </c>
      <c r="ALQ17">
        <v>23.697391429992201</v>
      </c>
      <c r="ALR17">
        <v>14.8114600563369</v>
      </c>
      <c r="ALS17">
        <v>23.697391429992201</v>
      </c>
      <c r="ALT17">
        <v>15.289947103888601</v>
      </c>
      <c r="ALU17">
        <v>23.697391429992201</v>
      </c>
      <c r="ALV17">
        <v>12.2200000000079</v>
      </c>
      <c r="ALW17">
        <v>9.9999999999999897E-12</v>
      </c>
      <c r="ALX17">
        <v>14.8114600601031</v>
      </c>
      <c r="ALY17">
        <v>9.9999999999999897E-12</v>
      </c>
      <c r="ALZ17">
        <v>0</v>
      </c>
      <c r="AMA17">
        <v>14.8114600601031</v>
      </c>
      <c r="AMB17">
        <v>0</v>
      </c>
      <c r="AMC17">
        <v>14.8114600601031</v>
      </c>
      <c r="AMD17">
        <v>0</v>
      </c>
      <c r="AME17">
        <v>14.8114600601031</v>
      </c>
      <c r="AMF17">
        <v>0</v>
      </c>
      <c r="AMG17">
        <v>0</v>
      </c>
      <c r="AMH17">
        <v>4.39568853149615</v>
      </c>
      <c r="AMI17">
        <v>16.757233348449802</v>
      </c>
      <c r="AMJ17">
        <v>0.98829999999999996</v>
      </c>
      <c r="AMK17" s="580">
        <v>15.552321307936401</v>
      </c>
      <c r="AML17">
        <v>3.3546</v>
      </c>
      <c r="AMM17">
        <v>16.748583227140902</v>
      </c>
      <c r="AMN17">
        <v>0.98829999999999996</v>
      </c>
      <c r="AMO17">
        <v>16.753921008400201</v>
      </c>
      <c r="AMP17">
        <v>1.5562499999999999</v>
      </c>
      <c r="AMQ17">
        <v>16.824930355039498</v>
      </c>
      <c r="AMR17">
        <v>0.87817460822333004</v>
      </c>
      <c r="AMS17">
        <v>15.3625409870073</v>
      </c>
      <c r="AMT17">
        <v>3.3546</v>
      </c>
      <c r="AMU17">
        <v>17.1126803155374</v>
      </c>
      <c r="AMV17">
        <v>0.98829999999999996</v>
      </c>
      <c r="AMW17">
        <v>17.142310147711399</v>
      </c>
      <c r="AMX17">
        <v>0.98829999999999996</v>
      </c>
      <c r="AMY17">
        <v>17.100250117565299</v>
      </c>
      <c r="AMZ17">
        <v>1.5562499999999999</v>
      </c>
      <c r="ANA17">
        <v>16.916237016746301</v>
      </c>
      <c r="ANB17">
        <v>1.06429248888284</v>
      </c>
      <c r="ANC17">
        <v>15.218512224864099</v>
      </c>
      <c r="AND17">
        <v>3.3546</v>
      </c>
      <c r="ANE17">
        <v>17.042839386780599</v>
      </c>
      <c r="ANF17">
        <v>1.0189999999999999</v>
      </c>
      <c r="ANG17">
        <v>17.0514826129691</v>
      </c>
      <c r="ANH17">
        <v>1.0189999999999999</v>
      </c>
      <c r="ANI17">
        <v>17.0033695345588</v>
      </c>
      <c r="ANJ17">
        <v>1.6046499999999999</v>
      </c>
      <c r="ANK17">
        <v>16.6224333459542</v>
      </c>
      <c r="ANL17">
        <v>0.98277433288599203</v>
      </c>
      <c r="ANM17">
        <v>7.7656246082233302</v>
      </c>
      <c r="ANN17">
        <v>7.9517424888828403</v>
      </c>
      <c r="ANO17">
        <v>7.9800243328859901</v>
      </c>
      <c r="ANP17">
        <v>15.552321307936401</v>
      </c>
      <c r="ANQ17">
        <v>16.564995405851999</v>
      </c>
      <c r="ANR17">
        <v>16.573645527160799</v>
      </c>
      <c r="ANS17">
        <v>16.514909573196199</v>
      </c>
      <c r="ANT17">
        <v>16.570333187111299</v>
      </c>
      <c r="ANU17">
        <v>15.3625409870073</v>
      </c>
      <c r="ANV17">
        <v>16.929092494248501</v>
      </c>
      <c r="ANW17">
        <v>16.9587223264225</v>
      </c>
      <c r="ANX17">
        <v>16.606216234902899</v>
      </c>
      <c r="ANY17">
        <v>16.9166622962764</v>
      </c>
      <c r="ANZ17">
        <v>15.218512224864099</v>
      </c>
      <c r="AOA17">
        <v>16.8592515654917</v>
      </c>
      <c r="AOB17">
        <v>16.8678947916802</v>
      </c>
      <c r="AOC17">
        <v>16.4388455246653</v>
      </c>
      <c r="AOD17">
        <v>16.819781713269901</v>
      </c>
      <c r="AOE17">
        <v>18.956969213991801</v>
      </c>
      <c r="AOF17">
        <v>4.39568853149615</v>
      </c>
      <c r="AOG17">
        <v>18.735493877869999</v>
      </c>
      <c r="AOH17">
        <v>4.3560376616453702</v>
      </c>
    </row>
    <row r="18" spans="1:1074">
      <c r="A18" t="s">
        <v>2588</v>
      </c>
      <c r="B18">
        <v>-3.33</v>
      </c>
      <c r="D18">
        <v>-3.33</v>
      </c>
      <c r="F18">
        <v>10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0</v>
      </c>
      <c r="CF18">
        <v>0</v>
      </c>
      <c r="CG18">
        <v>0</v>
      </c>
      <c r="CH18">
        <v>0</v>
      </c>
      <c r="CI18">
        <v>0</v>
      </c>
      <c r="CJ18">
        <v>0</v>
      </c>
      <c r="CK18">
        <v>0</v>
      </c>
      <c r="CL18">
        <v>0</v>
      </c>
      <c r="CM18">
        <v>0</v>
      </c>
      <c r="CN18">
        <v>0</v>
      </c>
      <c r="CO18">
        <v>0</v>
      </c>
      <c r="CP18">
        <v>0</v>
      </c>
      <c r="CQ18">
        <v>0</v>
      </c>
      <c r="CR18">
        <v>0</v>
      </c>
      <c r="CS18">
        <v>0</v>
      </c>
      <c r="CT18">
        <v>0</v>
      </c>
      <c r="CU18">
        <v>0</v>
      </c>
      <c r="CV18">
        <v>0</v>
      </c>
      <c r="CW18">
        <v>0</v>
      </c>
      <c r="CX18">
        <v>0</v>
      </c>
      <c r="CY18">
        <v>0</v>
      </c>
      <c r="CZ18">
        <v>0</v>
      </c>
      <c r="DA18">
        <v>0</v>
      </c>
      <c r="DB18">
        <v>0</v>
      </c>
      <c r="DC18">
        <v>0</v>
      </c>
      <c r="DD18">
        <v>0</v>
      </c>
      <c r="DE18">
        <v>0</v>
      </c>
      <c r="DF18">
        <v>0</v>
      </c>
      <c r="DG18">
        <v>0</v>
      </c>
      <c r="DH18">
        <v>0</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0</v>
      </c>
      <c r="EG18">
        <v>0</v>
      </c>
      <c r="EH18">
        <v>0</v>
      </c>
      <c r="EI18">
        <v>0</v>
      </c>
      <c r="EJ18">
        <v>0</v>
      </c>
      <c r="EK18">
        <v>0</v>
      </c>
      <c r="EL18">
        <v>0</v>
      </c>
      <c r="EM18">
        <v>0</v>
      </c>
      <c r="EN18">
        <v>0</v>
      </c>
      <c r="EO18">
        <v>0</v>
      </c>
      <c r="EP18">
        <v>0</v>
      </c>
      <c r="EQ18">
        <v>0</v>
      </c>
      <c r="ER18">
        <v>0</v>
      </c>
      <c r="ES18">
        <v>0</v>
      </c>
      <c r="ET18">
        <v>0</v>
      </c>
      <c r="EU18">
        <v>0</v>
      </c>
      <c r="EV18">
        <v>0</v>
      </c>
      <c r="EW18">
        <v>0</v>
      </c>
      <c r="EX18">
        <v>0</v>
      </c>
      <c r="EY18">
        <v>0</v>
      </c>
      <c r="EZ18">
        <v>0</v>
      </c>
      <c r="FA18">
        <v>0</v>
      </c>
      <c r="FB18">
        <v>0</v>
      </c>
      <c r="FC18">
        <v>0</v>
      </c>
      <c r="FD18">
        <v>0</v>
      </c>
      <c r="FE18">
        <v>0</v>
      </c>
      <c r="FF18">
        <v>0</v>
      </c>
      <c r="FG18">
        <v>0</v>
      </c>
      <c r="FH18">
        <v>0</v>
      </c>
      <c r="FI18">
        <v>0</v>
      </c>
      <c r="FJ18">
        <v>0</v>
      </c>
      <c r="FK18">
        <v>0</v>
      </c>
      <c r="FL18">
        <v>0</v>
      </c>
      <c r="FM18">
        <v>0</v>
      </c>
      <c r="FN18">
        <v>0</v>
      </c>
      <c r="FO18">
        <v>0</v>
      </c>
      <c r="FP18">
        <v>0</v>
      </c>
      <c r="FQ18">
        <v>0</v>
      </c>
      <c r="FR18">
        <v>0</v>
      </c>
      <c r="FS18">
        <v>0</v>
      </c>
      <c r="FT18">
        <v>0</v>
      </c>
      <c r="FU18">
        <v>0</v>
      </c>
      <c r="FV18">
        <v>0</v>
      </c>
      <c r="FW18">
        <v>0</v>
      </c>
      <c r="FX18">
        <v>0</v>
      </c>
      <c r="FY18">
        <v>0</v>
      </c>
      <c r="FZ18">
        <v>0</v>
      </c>
      <c r="GA18">
        <v>0</v>
      </c>
      <c r="GB18">
        <v>13.110253413614601</v>
      </c>
      <c r="GC18">
        <v>289.302894029497</v>
      </c>
      <c r="GD18">
        <v>141.98743639864099</v>
      </c>
      <c r="GE18">
        <v>9.1892532233495707</v>
      </c>
      <c r="GF18">
        <v>182.70530577083699</v>
      </c>
      <c r="GG18">
        <v>89.673475118243601</v>
      </c>
      <c r="GH18">
        <v>-19.171653872087099</v>
      </c>
      <c r="GI18">
        <v>202.526887087646</v>
      </c>
      <c r="GJ18">
        <v>113.966533673795</v>
      </c>
      <c r="GK18">
        <v>10.5439398258926</v>
      </c>
      <c r="GL18">
        <v>185.57163244535801</v>
      </c>
      <c r="GM18">
        <v>92.676701486326706</v>
      </c>
      <c r="GN18">
        <v>2.9067196719822901</v>
      </c>
      <c r="GO18">
        <v>18.438105079943998</v>
      </c>
      <c r="GP18">
        <v>18.015506679363</v>
      </c>
      <c r="GQ18">
        <v>250.84986467866401</v>
      </c>
      <c r="GR18">
        <v>294.77769875475502</v>
      </c>
      <c r="GS18">
        <v>1158.2029243181601</v>
      </c>
      <c r="GT18">
        <v>1.45717498745052</v>
      </c>
      <c r="GU18">
        <v>18.426061735190199</v>
      </c>
      <c r="GV18">
        <v>17.9974922600056</v>
      </c>
      <c r="GW18">
        <v>157.718436563843</v>
      </c>
      <c r="GX18">
        <v>189.49741443965701</v>
      </c>
      <c r="GY18">
        <v>755.070613789258</v>
      </c>
      <c r="GZ18">
        <v>-7.6319651503827401</v>
      </c>
      <c r="HA18">
        <v>17.725860606452301</v>
      </c>
      <c r="HB18">
        <v>17.409789246913</v>
      </c>
      <c r="HC18">
        <v>167.04854396962801</v>
      </c>
      <c r="HD18">
        <v>184.15495809933299</v>
      </c>
      <c r="HE18">
        <v>784.59389062523599</v>
      </c>
      <c r="HF18">
        <v>2.7456925480782601</v>
      </c>
      <c r="HG18">
        <v>18.474164692028701</v>
      </c>
      <c r="HH18">
        <v>18.025873730897398</v>
      </c>
      <c r="HI18">
        <v>163.95964619770299</v>
      </c>
      <c r="HJ18">
        <v>198.713665182461</v>
      </c>
      <c r="HK18">
        <v>784.43864781860702</v>
      </c>
      <c r="HL18">
        <v>15.6891667059477</v>
      </c>
      <c r="HM18">
        <v>17.442542838896799</v>
      </c>
      <c r="HN18">
        <v>17.046765811897998</v>
      </c>
      <c r="HO18">
        <v>19.449253048659401</v>
      </c>
      <c r="HP18">
        <v>352.18555280558598</v>
      </c>
      <c r="HQ18">
        <v>18.160822561540002</v>
      </c>
      <c r="HR18">
        <v>159.55664625319099</v>
      </c>
      <c r="HS18">
        <v>12.3937396248661</v>
      </c>
      <c r="HT18">
        <v>17.4737131522525</v>
      </c>
      <c r="HU18">
        <v>17.072141916043599</v>
      </c>
      <c r="HV18">
        <v>12.6551433805892</v>
      </c>
      <c r="HW18">
        <v>227.535267314246</v>
      </c>
      <c r="HX18">
        <v>18.205787175928101</v>
      </c>
      <c r="HY18">
        <v>104.941853061545</v>
      </c>
      <c r="HZ18">
        <v>17.098295820893998</v>
      </c>
      <c r="IA18">
        <v>16.899405972681901</v>
      </c>
      <c r="IB18">
        <v>-0.42870832646326901</v>
      </c>
      <c r="IC18">
        <v>-17.911710313009799</v>
      </c>
      <c r="ID18">
        <v>196.64074223182499</v>
      </c>
      <c r="IE18">
        <v>17.625603670735298</v>
      </c>
      <c r="IF18">
        <v>93.724948787418001</v>
      </c>
      <c r="IG18">
        <v>10.9835246178791</v>
      </c>
      <c r="IH18">
        <v>17.499918378189101</v>
      </c>
      <c r="II18">
        <v>17.084107578538099</v>
      </c>
      <c r="IJ18">
        <v>12.5847363120371</v>
      </c>
      <c r="IK18">
        <v>7.2939118118095196</v>
      </c>
      <c r="IL18">
        <v>14.3552545142801</v>
      </c>
      <c r="IM18">
        <v>232.835079865485</v>
      </c>
      <c r="IN18">
        <v>18.257344784533501</v>
      </c>
      <c r="IO18">
        <v>0.90224391108927304</v>
      </c>
      <c r="IP18">
        <v>108.652941804458</v>
      </c>
      <c r="IQ18">
        <v>129.93574449244099</v>
      </c>
      <c r="IR18">
        <v>80.600364753323603</v>
      </c>
      <c r="IS18">
        <v>101.276523057962</v>
      </c>
      <c r="IT18">
        <v>82.061396690655002</v>
      </c>
      <c r="IU18">
        <v>477.65377330284201</v>
      </c>
      <c r="IV18">
        <v>6.6845958207965896</v>
      </c>
      <c r="IW18">
        <v>18.563972081943199</v>
      </c>
      <c r="IX18">
        <v>18.160822561540002</v>
      </c>
      <c r="IY18">
        <v>292.94613527846798</v>
      </c>
      <c r="IZ18">
        <v>325.62023170487703</v>
      </c>
      <c r="JA18">
        <v>1217.4339684854001</v>
      </c>
      <c r="JB18">
        <v>4.8005090623911704</v>
      </c>
      <c r="JC18">
        <v>18.621965197320201</v>
      </c>
      <c r="JD18">
        <v>18.205787175928101</v>
      </c>
      <c r="JE18">
        <v>189.947050423311</v>
      </c>
      <c r="JF18">
        <v>215.52879974435299</v>
      </c>
      <c r="JG18">
        <v>811.95989769729704</v>
      </c>
      <c r="JH18">
        <v>-10.3445545337471</v>
      </c>
      <c r="JI18">
        <v>17.931800288581101</v>
      </c>
      <c r="JJ18">
        <v>17.625603670735298</v>
      </c>
      <c r="JK18">
        <v>146.26772069262401</v>
      </c>
      <c r="JL18">
        <v>164.983043581083</v>
      </c>
      <c r="JM18">
        <v>740.87512045181904</v>
      </c>
      <c r="JN18">
        <v>7.0044870622902504</v>
      </c>
      <c r="JO18">
        <v>18.694030492991601</v>
      </c>
      <c r="JP18">
        <v>18.257344784533501</v>
      </c>
      <c r="JQ18">
        <v>1.5807431854223899</v>
      </c>
      <c r="JR18">
        <v>197.49681421611399</v>
      </c>
      <c r="JS18">
        <v>0.94046371030254095</v>
      </c>
      <c r="JT18">
        <v>225.97512718054</v>
      </c>
      <c r="JU18">
        <v>843.92143501301302</v>
      </c>
      <c r="JV18">
        <v>6.4329572401558401</v>
      </c>
      <c r="JW18">
        <v>306.95255261714902</v>
      </c>
      <c r="JX18">
        <v>21.362402431673701</v>
      </c>
      <c r="JY18">
        <v>6.0669831199430897</v>
      </c>
      <c r="JZ18">
        <v>198.813961201111</v>
      </c>
      <c r="KA18">
        <v>14.806307026392201</v>
      </c>
      <c r="KB18">
        <v>-1.8355323627434601</v>
      </c>
      <c r="KC18">
        <v>231.352720863467</v>
      </c>
      <c r="KD18">
        <v>27.051911547893202</v>
      </c>
      <c r="KE18">
        <v>0.550059528796083</v>
      </c>
      <c r="KF18">
        <v>14.339669055737399</v>
      </c>
      <c r="KG18">
        <v>-220.39537095156101</v>
      </c>
      <c r="KH18">
        <v>1.74155668263911</v>
      </c>
      <c r="KI18">
        <v>179.138524632577</v>
      </c>
      <c r="KJ18">
        <v>5.4531679187732998</v>
      </c>
      <c r="KK18">
        <v>-12.2464972436692</v>
      </c>
      <c r="KL18">
        <v>16.783261801928699</v>
      </c>
      <c r="KM18">
        <v>17.232812882541001</v>
      </c>
      <c r="KN18">
        <v>-35.768678001498898</v>
      </c>
      <c r="KO18">
        <v>15.8949449279544</v>
      </c>
      <c r="KP18">
        <v>-10.394274542876801</v>
      </c>
      <c r="KQ18">
        <v>-306.95818953557301</v>
      </c>
      <c r="KR18">
        <v>-1121.41307970208</v>
      </c>
      <c r="KS18">
        <v>-8.4753477297918298</v>
      </c>
      <c r="KT18">
        <v>16.830644086298001</v>
      </c>
      <c r="KU18">
        <v>17.275778534257402</v>
      </c>
      <c r="KV18">
        <v>-23.801356609551998</v>
      </c>
      <c r="KW18">
        <v>15.939412421018201</v>
      </c>
      <c r="KX18">
        <v>-10.3114960874285</v>
      </c>
      <c r="KY18">
        <v>-192.84813989307099</v>
      </c>
      <c r="KZ18">
        <v>-708.64161663857305</v>
      </c>
      <c r="LA18">
        <v>-7.0870870861339297</v>
      </c>
      <c r="LB18">
        <v>16.582884370763701</v>
      </c>
      <c r="LC18">
        <v>16.9463980373739</v>
      </c>
      <c r="LD18">
        <v>-36.0482654489956</v>
      </c>
      <c r="LE18">
        <v>15.719988322653199</v>
      </c>
      <c r="LF18">
        <v>-10.394513133003899</v>
      </c>
      <c r="LG18">
        <v>-232.75297902613499</v>
      </c>
      <c r="LH18">
        <v>-1042.0689359831099</v>
      </c>
      <c r="LI18">
        <v>-11.344389844462</v>
      </c>
      <c r="LJ18">
        <v>16.854454344193201</v>
      </c>
      <c r="LK18">
        <v>17.301609092247201</v>
      </c>
      <c r="LL18">
        <v>-13.507943001089499</v>
      </c>
      <c r="LM18">
        <v>15.991393676544501</v>
      </c>
      <c r="LN18">
        <v>-9.9910181290237201</v>
      </c>
      <c r="LO18">
        <v>-209.67053464532401</v>
      </c>
      <c r="LP18">
        <v>-708.76012276721599</v>
      </c>
      <c r="LQ18">
        <v>-14.460712482079799</v>
      </c>
      <c r="LR18">
        <v>17.103308740719601</v>
      </c>
      <c r="LS18">
        <v>16.481000000000002</v>
      </c>
      <c r="LT18">
        <v>585.91434201844004</v>
      </c>
      <c r="LU18">
        <v>135.55701343936201</v>
      </c>
      <c r="LV18">
        <v>17.686544695298601</v>
      </c>
      <c r="LW18">
        <v>17.889573269954301</v>
      </c>
      <c r="LX18">
        <v>1025.72265433082</v>
      </c>
      <c r="LY18">
        <v>-10.1628193008835</v>
      </c>
      <c r="LZ18">
        <v>17.088552870380699</v>
      </c>
      <c r="MA18">
        <v>16.481000000000002</v>
      </c>
      <c r="MB18">
        <v>367.59256357290002</v>
      </c>
      <c r="MC18">
        <v>85.387246315048699</v>
      </c>
      <c r="MD18">
        <v>17.673142137043701</v>
      </c>
      <c r="ME18">
        <v>17.8719316209543</v>
      </c>
      <c r="MF18">
        <v>647.42866520237499</v>
      </c>
      <c r="MG18">
        <v>-31.0293260864986</v>
      </c>
      <c r="MH18">
        <v>16.870389404525302</v>
      </c>
      <c r="MI18">
        <v>16.481000000000002</v>
      </c>
      <c r="MJ18">
        <v>266.33734847316799</v>
      </c>
      <c r="MK18">
        <v>-66.916448761475195</v>
      </c>
      <c r="ML18">
        <v>17.322721341695601</v>
      </c>
      <c r="MM18">
        <v>17.357997861403899</v>
      </c>
      <c r="MN18">
        <v>604.72026823631199</v>
      </c>
      <c r="MO18">
        <v>-9.6252248345336806</v>
      </c>
      <c r="MP18">
        <v>17.0951063478409</v>
      </c>
      <c r="MQ18">
        <v>16.481000000000002</v>
      </c>
      <c r="MR18">
        <v>368.59763354207701</v>
      </c>
      <c r="MS18">
        <v>81.697307632251096</v>
      </c>
      <c r="MT18">
        <v>17.686459950035601</v>
      </c>
      <c r="MU18">
        <v>17.8881096765172</v>
      </c>
      <c r="MV18">
        <v>651.64941426535904</v>
      </c>
      <c r="MW18">
        <v>-4.7544576109491601</v>
      </c>
      <c r="MX18">
        <v>18.260513169759601</v>
      </c>
      <c r="MY18">
        <v>19.172866618054101</v>
      </c>
      <c r="MZ18">
        <v>1077.2903887986599</v>
      </c>
      <c r="NA18">
        <v>1136.05945736492</v>
      </c>
      <c r="NB18">
        <v>18.346587522580201</v>
      </c>
      <c r="NC18">
        <v>18.188290052675299</v>
      </c>
      <c r="ND18">
        <v>1143.38898565197</v>
      </c>
      <c r="NE18">
        <v>-3.4277066525115401</v>
      </c>
      <c r="NF18">
        <v>18.278232837605199</v>
      </c>
      <c r="NG18">
        <v>19.180625431193899</v>
      </c>
      <c r="NH18">
        <v>687.97785843833901</v>
      </c>
      <c r="NI18">
        <v>728.96024141664896</v>
      </c>
      <c r="NJ18">
        <v>18.367303015080999</v>
      </c>
      <c r="NK18">
        <v>18.219960788007299</v>
      </c>
      <c r="NL18">
        <v>731.33273761139503</v>
      </c>
      <c r="NM18">
        <v>-18.6120260795111</v>
      </c>
      <c r="NN18">
        <v>17.525083794447401</v>
      </c>
      <c r="NO18">
        <v>18.220211139323599</v>
      </c>
      <c r="NP18">
        <v>682.52587262597694</v>
      </c>
      <c r="NQ18" s="35">
        <v>627.93648999611196</v>
      </c>
      <c r="NR18" s="35">
        <v>17.709039671214999</v>
      </c>
      <c r="NS18">
        <v>17.641257375115501</v>
      </c>
      <c r="NT18">
        <v>815.27007086752701</v>
      </c>
      <c r="NU18">
        <v>-2.6791673819073298</v>
      </c>
      <c r="NV18">
        <v>18.337579715885202</v>
      </c>
      <c r="NW18">
        <v>19.260442193070499</v>
      </c>
      <c r="NX18" s="35">
        <v>3.2364334341430099</v>
      </c>
      <c r="NY18">
        <v>703.89056206735802</v>
      </c>
      <c r="NZ18">
        <v>751.17429718628398</v>
      </c>
      <c r="OA18">
        <v>18.417059076640399</v>
      </c>
      <c r="OB18">
        <v>18.262891530914899</v>
      </c>
      <c r="OC18">
        <v>3.2577110103623199</v>
      </c>
      <c r="OD18">
        <v>742.95429988953799</v>
      </c>
      <c r="OE18">
        <v>3.2364334341430099</v>
      </c>
      <c r="OF18">
        <v>3.2577110103623199</v>
      </c>
      <c r="OG18">
        <v>-3.9181016101093999</v>
      </c>
      <c r="OH18">
        <v>18.2509886818351</v>
      </c>
      <c r="OI18">
        <v>19.3180743343238</v>
      </c>
      <c r="OJ18">
        <v>1156.88731868431</v>
      </c>
      <c r="OK18">
        <v>1307.8992704636401</v>
      </c>
      <c r="OL18">
        <v>18.245313707315301</v>
      </c>
      <c r="OM18">
        <v>17.856171852230698</v>
      </c>
      <c r="ON18">
        <v>1162.62582393604</v>
      </c>
      <c r="OO18">
        <v>-2.5125571656844499</v>
      </c>
      <c r="OP18">
        <v>18.325815401523201</v>
      </c>
      <c r="OQ18">
        <v>19.4134638559804</v>
      </c>
      <c r="OR18">
        <v>754.95164307500204</v>
      </c>
      <c r="OS18">
        <v>867.169785356445</v>
      </c>
      <c r="OT18">
        <v>18.303405208722701</v>
      </c>
      <c r="OU18">
        <v>17.899104662260701</v>
      </c>
      <c r="OV18">
        <v>751.05275965980297</v>
      </c>
      <c r="OW18">
        <v>-21.506922092336101</v>
      </c>
      <c r="OX18">
        <v>17.530765880234501</v>
      </c>
      <c r="OY18">
        <v>18.398301676647399</v>
      </c>
      <c r="OZ18">
        <v>637.43352005113002</v>
      </c>
      <c r="PA18">
        <v>575.50819887375201</v>
      </c>
      <c r="PB18">
        <v>17.726689650696699</v>
      </c>
      <c r="PC18">
        <v>17.422017539414401</v>
      </c>
      <c r="PD18">
        <v>784.59259015555097</v>
      </c>
      <c r="PE18">
        <v>-0.94002467674046797</v>
      </c>
      <c r="PF18">
        <v>18.334560875069599</v>
      </c>
      <c r="PG18">
        <v>19.5190692436042</v>
      </c>
      <c r="PH18">
        <v>3.2595701406644602</v>
      </c>
      <c r="PI18">
        <v>813.66058232236003</v>
      </c>
      <c r="PJ18">
        <v>944.41784821734404</v>
      </c>
      <c r="PK18">
        <v>18.2818376362222</v>
      </c>
      <c r="PL18">
        <v>17.9209925991061</v>
      </c>
      <c r="PM18" s="35">
        <v>3.2897646588478899</v>
      </c>
      <c r="PN18">
        <v>795.988959076524</v>
      </c>
      <c r="PO18">
        <v>17.714337295077101</v>
      </c>
      <c r="PP18">
        <v>17.677330081183399</v>
      </c>
      <c r="PQ18">
        <v>17.132981264354299</v>
      </c>
      <c r="PR18">
        <v>17.694672679833101</v>
      </c>
      <c r="PS18">
        <v>17.0627706579373</v>
      </c>
      <c r="PT18">
        <v>17.878476483515101</v>
      </c>
      <c r="PU18">
        <v>17.8996120737675</v>
      </c>
      <c r="PV18">
        <v>17.3455659439296</v>
      </c>
      <c r="PW18">
        <v>17.939575635948302</v>
      </c>
      <c r="PX18">
        <v>16.851991320619501</v>
      </c>
      <c r="PY18">
        <v>17.345759532764301</v>
      </c>
      <c r="PZ18">
        <v>17.370228570045199</v>
      </c>
      <c r="QA18">
        <v>16.957611679421699</v>
      </c>
      <c r="QB18">
        <v>17.393627042905901</v>
      </c>
      <c r="QC18">
        <v>16.052237898278999</v>
      </c>
      <c r="QD18">
        <v>15.9207371440722</v>
      </c>
      <c r="QE18">
        <v>17.096401276071699</v>
      </c>
      <c r="QF18">
        <v>17.066518296181901</v>
      </c>
      <c r="QG18">
        <v>16.5586080353184</v>
      </c>
      <c r="QH18">
        <v>17.073295608458899</v>
      </c>
      <c r="QI18">
        <v>16.6857860537554</v>
      </c>
      <c r="QJ18">
        <v>17.244289592614201</v>
      </c>
      <c r="QK18">
        <v>17.261129441562701</v>
      </c>
      <c r="QL18">
        <v>16.813657671015701</v>
      </c>
      <c r="QM18">
        <v>17.287736294088798</v>
      </c>
      <c r="QN18">
        <v>598.71703762509003</v>
      </c>
      <c r="QO18">
        <v>16.490472757099699</v>
      </c>
      <c r="QP18">
        <v>3050.9990329228599</v>
      </c>
      <c r="QQ18">
        <v>16.848255666706301</v>
      </c>
      <c r="QR18">
        <v>16.871681273864201</v>
      </c>
      <c r="QS18">
        <v>16.478178597982701</v>
      </c>
      <c r="QT18">
        <v>16.966782767661002</v>
      </c>
      <c r="QU18">
        <v>15.8563966501401</v>
      </c>
      <c r="QV18">
        <v>14.842409928263001</v>
      </c>
      <c r="QW18">
        <v>244986.09769151299</v>
      </c>
      <c r="QX18">
        <v>0</v>
      </c>
      <c r="QY18">
        <v>166159.045765991</v>
      </c>
      <c r="QZ18">
        <v>0</v>
      </c>
      <c r="RA18">
        <v>34117.994364622798</v>
      </c>
      <c r="RB18">
        <v>0</v>
      </c>
      <c r="RC18">
        <v>22833.674556251499</v>
      </c>
      <c r="RD18">
        <v>0</v>
      </c>
      <c r="RE18">
        <v>80801.195935598997</v>
      </c>
      <c r="RF18">
        <v>0</v>
      </c>
      <c r="RG18">
        <v>54610.631452235997</v>
      </c>
      <c r="RH18" s="35">
        <v>0</v>
      </c>
      <c r="RI18">
        <v>346.01444556579401</v>
      </c>
      <c r="RJ18" s="35">
        <v>786.14609444489599</v>
      </c>
      <c r="RK18">
        <v>16.478465257066201</v>
      </c>
      <c r="RL18">
        <v>12618.2544216519</v>
      </c>
      <c r="RM18" s="35">
        <v>12618.2544216519</v>
      </c>
      <c r="RN18">
        <v>27102.229869200801</v>
      </c>
      <c r="RO18" s="35">
        <v>228.38830163857199</v>
      </c>
      <c r="RP18">
        <v>489.52167969849199</v>
      </c>
      <c r="RQ18" s="35">
        <v>16.455706511180399</v>
      </c>
      <c r="RR18" s="35">
        <v>8744.7308033077006</v>
      </c>
      <c r="RS18">
        <v>8744.7308033077006</v>
      </c>
      <c r="RT18">
        <v>18674.159388878099</v>
      </c>
      <c r="RU18">
        <v>618.23573758757595</v>
      </c>
      <c r="RV18">
        <v>0</v>
      </c>
      <c r="RW18">
        <v>15.984234806282499</v>
      </c>
      <c r="RX18">
        <v>8670.1796396664904</v>
      </c>
      <c r="RY18">
        <v>8670.1796396664904</v>
      </c>
      <c r="RZ18">
        <v>17079.170360966102</v>
      </c>
      <c r="SA18">
        <v>232.26545066560001</v>
      </c>
      <c r="SB18">
        <v>493.53638319200201</v>
      </c>
      <c r="SC18">
        <v>16.451918537084701</v>
      </c>
      <c r="SD18">
        <v>9290.4374487150799</v>
      </c>
      <c r="SE18">
        <v>9290.4374487150799</v>
      </c>
      <c r="SF18">
        <v>19838.814662130299</v>
      </c>
      <c r="SG18">
        <v>0</v>
      </c>
      <c r="SH18">
        <v>4167.2847921052698</v>
      </c>
      <c r="SI18">
        <v>16.308801449573501</v>
      </c>
      <c r="SJ18">
        <v>36558.709917974098</v>
      </c>
      <c r="SK18">
        <v>36558.709917974098</v>
      </c>
      <c r="SL18">
        <v>81327.383730182206</v>
      </c>
      <c r="SM18">
        <v>21.1111</v>
      </c>
      <c r="SN18">
        <v>26.666699999999999</v>
      </c>
      <c r="SO18">
        <v>0</v>
      </c>
      <c r="SP18">
        <v>718.47163957110297</v>
      </c>
      <c r="SQ18">
        <v>17.540864894415702</v>
      </c>
      <c r="SR18">
        <v>0</v>
      </c>
      <c r="SS18">
        <v>0</v>
      </c>
      <c r="ST18">
        <v>0</v>
      </c>
      <c r="SU18">
        <v>0</v>
      </c>
      <c r="SV18">
        <v>460.57486574978901</v>
      </c>
      <c r="SW18">
        <v>17.529421215592201</v>
      </c>
      <c r="SX18">
        <v>0</v>
      </c>
      <c r="SY18">
        <v>0</v>
      </c>
      <c r="SZ18">
        <v>0</v>
      </c>
      <c r="TA18">
        <v>0</v>
      </c>
      <c r="TB18">
        <v>579.33474228711498</v>
      </c>
      <c r="TC18">
        <v>16.938793750620398</v>
      </c>
      <c r="TD18">
        <v>0</v>
      </c>
      <c r="TE18">
        <v>0</v>
      </c>
      <c r="TF18">
        <v>0</v>
      </c>
      <c r="TG18">
        <v>0</v>
      </c>
      <c r="TH18">
        <v>480.36258148631401</v>
      </c>
      <c r="TI18">
        <v>17.551162760762399</v>
      </c>
      <c r="TJ18">
        <v>0</v>
      </c>
      <c r="TK18">
        <v>0</v>
      </c>
      <c r="TL18">
        <v>0</v>
      </c>
      <c r="TM18">
        <v>241.22032280677399</v>
      </c>
      <c r="TN18">
        <v>439.54811924228102</v>
      </c>
      <c r="TO18">
        <v>17.194452102774701</v>
      </c>
      <c r="TP18">
        <v>0</v>
      </c>
      <c r="TQ18">
        <v>0</v>
      </c>
      <c r="TR18">
        <v>0</v>
      </c>
      <c r="TS18">
        <v>616.65636749818896</v>
      </c>
      <c r="TT18">
        <v>0</v>
      </c>
      <c r="TU18">
        <v>16.610102701713299</v>
      </c>
      <c r="TV18">
        <v>7578.2406634538502</v>
      </c>
      <c r="TW18">
        <v>7578.2406634538502</v>
      </c>
      <c r="TX18">
        <v>15974.8047344479</v>
      </c>
      <c r="TY18">
        <v>387.66591181786902</v>
      </c>
      <c r="TZ18">
        <v>0</v>
      </c>
      <c r="UA18">
        <v>16.622646809357999</v>
      </c>
      <c r="UB18">
        <v>4805.6617052833099</v>
      </c>
      <c r="UC18">
        <v>4805.6617052833099</v>
      </c>
      <c r="UD18">
        <v>10138.2626127941</v>
      </c>
      <c r="UE18">
        <v>775.36351912002601</v>
      </c>
      <c r="UF18">
        <v>101.79430375936499</v>
      </c>
      <c r="UG18">
        <v>16.281749398101802</v>
      </c>
      <c r="UH18">
        <v>3262.4430986085699</v>
      </c>
      <c r="UI18">
        <v>3262.4430986085699</v>
      </c>
      <c r="UJ18">
        <v>6397.9286918021098</v>
      </c>
      <c r="UK18">
        <v>400.87664260289603</v>
      </c>
      <c r="UL18">
        <v>0</v>
      </c>
      <c r="UM18">
        <v>16.635896952229299</v>
      </c>
      <c r="UN18">
        <v>4806.8439635036002</v>
      </c>
      <c r="UO18">
        <v>4806.8439635036002</v>
      </c>
      <c r="UP18">
        <v>10139.1594169814</v>
      </c>
      <c r="UQ18">
        <v>0</v>
      </c>
      <c r="UR18">
        <v>3961.3877070503299</v>
      </c>
      <c r="US18">
        <v>16.128954193579901</v>
      </c>
      <c r="UT18">
        <v>38018.058329497202</v>
      </c>
      <c r="UU18">
        <v>38018.058329497202</v>
      </c>
      <c r="UV18">
        <v>82674.409476688394</v>
      </c>
      <c r="UW18">
        <v>21.1111</v>
      </c>
      <c r="UX18">
        <v>26.666699999999999</v>
      </c>
      <c r="UY18">
        <v>0</v>
      </c>
      <c r="UZ18">
        <v>892.940070351484</v>
      </c>
      <c r="VA18">
        <v>17.4674162175872</v>
      </c>
      <c r="VB18">
        <v>0</v>
      </c>
      <c r="VC18">
        <v>0</v>
      </c>
      <c r="VD18">
        <v>0</v>
      </c>
      <c r="VE18">
        <v>0</v>
      </c>
      <c r="VF18">
        <v>588.09312896357903</v>
      </c>
      <c r="VG18">
        <v>17.502452664006501</v>
      </c>
      <c r="VH18">
        <v>0</v>
      </c>
      <c r="VI18">
        <v>0</v>
      </c>
      <c r="VJ18">
        <v>0</v>
      </c>
      <c r="VK18">
        <v>0</v>
      </c>
      <c r="VL18">
        <v>524.37253251477296</v>
      </c>
      <c r="VM18">
        <v>17.218424280948899</v>
      </c>
      <c r="VN18">
        <v>0</v>
      </c>
      <c r="VO18">
        <v>0</v>
      </c>
      <c r="VP18">
        <v>0</v>
      </c>
      <c r="VQ18">
        <v>0</v>
      </c>
      <c r="VR18">
        <v>613.22811319736695</v>
      </c>
      <c r="VS18">
        <v>17.543173761461102</v>
      </c>
      <c r="VT18">
        <v>0</v>
      </c>
      <c r="VU18">
        <v>0</v>
      </c>
      <c r="VV18">
        <v>0</v>
      </c>
      <c r="VW18">
        <v>219.11121518282701</v>
      </c>
      <c r="VX18">
        <v>333.578645585272</v>
      </c>
      <c r="VY18">
        <v>17.111831649961001</v>
      </c>
      <c r="VZ18">
        <v>0</v>
      </c>
      <c r="WA18">
        <v>0</v>
      </c>
      <c r="WB18">
        <v>0</v>
      </c>
      <c r="WC18">
        <v>934.57952663743697</v>
      </c>
      <c r="WD18">
        <v>0</v>
      </c>
      <c r="WE18">
        <v>16.3507518006483</v>
      </c>
      <c r="WF18">
        <v>8318.8659733863406</v>
      </c>
      <c r="WG18">
        <v>8318.8659733863406</v>
      </c>
      <c r="WH18">
        <v>16721.545642027799</v>
      </c>
      <c r="WI18">
        <v>0</v>
      </c>
      <c r="WJ18">
        <v>603.45954997504498</v>
      </c>
      <c r="WK18">
        <v>0</v>
      </c>
      <c r="WL18">
        <v>16.373133977683199</v>
      </c>
      <c r="WM18">
        <v>5280.4048629338204</v>
      </c>
      <c r="WN18">
        <v>5280.4048629338204</v>
      </c>
      <c r="WO18">
        <v>10616.775856963701</v>
      </c>
      <c r="WP18">
        <v>21.1111</v>
      </c>
      <c r="WQ18">
        <v>26.666699999999999</v>
      </c>
      <c r="WR18">
        <v>995.07282105338197</v>
      </c>
      <c r="WS18">
        <v>0</v>
      </c>
      <c r="WT18">
        <v>15.9987455165437</v>
      </c>
      <c r="WU18">
        <v>9046.8108612431206</v>
      </c>
      <c r="WV18">
        <v>9046.8108612431206</v>
      </c>
      <c r="WW18">
        <v>17459.603793708098</v>
      </c>
      <c r="WX18">
        <v>267514.19022406603</v>
      </c>
      <c r="WY18">
        <v>750.94312276387495</v>
      </c>
      <c r="WZ18">
        <v>74.309497284462907</v>
      </c>
      <c r="XA18">
        <v>16.539938492416098</v>
      </c>
      <c r="XB18">
        <v>-3560.3352645699501</v>
      </c>
      <c r="XC18">
        <v>-3560.3352645699501</v>
      </c>
      <c r="XD18">
        <v>-8159.8296761328702</v>
      </c>
      <c r="XE18">
        <v>0</v>
      </c>
      <c r="XF18">
        <v>2497.9654582927401</v>
      </c>
      <c r="XG18">
        <v>15.6605554020013</v>
      </c>
      <c r="XH18">
        <v>42098.283130474803</v>
      </c>
      <c r="XI18">
        <v>42098.283130474803</v>
      </c>
      <c r="XJ18">
        <v>85830.460377162701</v>
      </c>
      <c r="XK18">
        <v>21.1111</v>
      </c>
      <c r="XL18">
        <v>26.666699999999999</v>
      </c>
      <c r="XM18">
        <v>214.662770477956</v>
      </c>
      <c r="XN18">
        <v>6.9478286110952503</v>
      </c>
      <c r="XO18">
        <v>16.658897935616</v>
      </c>
      <c r="XP18">
        <v>0</v>
      </c>
      <c r="XQ18">
        <v>0</v>
      </c>
      <c r="XR18">
        <v>0</v>
      </c>
      <c r="XS18">
        <v>132.87006389274001</v>
      </c>
      <c r="XT18">
        <v>6.1747560490211999</v>
      </c>
      <c r="XU18">
        <v>16.691105459234802</v>
      </c>
      <c r="XV18">
        <v>0</v>
      </c>
      <c r="XW18">
        <v>0</v>
      </c>
      <c r="XX18">
        <v>0</v>
      </c>
      <c r="XY18">
        <v>108.587101298097</v>
      </c>
      <c r="XZ18">
        <v>94.736335038941405</v>
      </c>
      <c r="YA18">
        <v>16.254800639603399</v>
      </c>
      <c r="YB18">
        <v>0</v>
      </c>
      <c r="YC18">
        <v>0</v>
      </c>
      <c r="YD18">
        <v>0</v>
      </c>
      <c r="YE18">
        <v>241.06712957187099</v>
      </c>
      <c r="YF18">
        <v>0</v>
      </c>
      <c r="YG18">
        <v>16.924882574427301</v>
      </c>
      <c r="YH18">
        <v>0</v>
      </c>
      <c r="YI18">
        <v>0</v>
      </c>
      <c r="YJ18">
        <v>0</v>
      </c>
      <c r="YK18">
        <v>2994.5077280412202</v>
      </c>
      <c r="YL18">
        <v>0</v>
      </c>
      <c r="YM18">
        <v>16.265906104741202</v>
      </c>
      <c r="YN18">
        <v>0</v>
      </c>
      <c r="YO18">
        <v>0</v>
      </c>
      <c r="YP18">
        <v>0</v>
      </c>
      <c r="YQ18">
        <v>0</v>
      </c>
      <c r="YR18">
        <v>1859.05601759615</v>
      </c>
      <c r="YS18">
        <v>16.170747348067898</v>
      </c>
      <c r="YT18">
        <v>0</v>
      </c>
      <c r="YU18">
        <v>0</v>
      </c>
      <c r="YV18">
        <v>0</v>
      </c>
      <c r="YW18">
        <v>0</v>
      </c>
      <c r="YX18">
        <v>1172.94608406151</v>
      </c>
      <c r="YY18">
        <v>16.1652920273972</v>
      </c>
      <c r="YZ18">
        <v>0</v>
      </c>
      <c r="ZA18">
        <v>0</v>
      </c>
      <c r="ZB18">
        <v>0</v>
      </c>
      <c r="ZC18">
        <v>0</v>
      </c>
      <c r="ZD18">
        <v>943.19402409901102</v>
      </c>
      <c r="ZE18">
        <v>16.453173000490899</v>
      </c>
      <c r="ZF18">
        <v>0</v>
      </c>
      <c r="ZG18">
        <v>0</v>
      </c>
      <c r="ZH18">
        <v>0</v>
      </c>
      <c r="ZI18">
        <v>0</v>
      </c>
      <c r="ZJ18">
        <v>1178.92737832794</v>
      </c>
      <c r="ZK18">
        <v>16.169492529870102</v>
      </c>
      <c r="ZL18">
        <v>0</v>
      </c>
      <c r="ZM18">
        <v>0</v>
      </c>
      <c r="ZN18">
        <v>0</v>
      </c>
      <c r="ZO18">
        <v>0</v>
      </c>
      <c r="ZP18">
        <v>11317.632645833401</v>
      </c>
      <c r="ZQ18">
        <v>15.1854597394503</v>
      </c>
      <c r="ZR18">
        <v>0</v>
      </c>
      <c r="ZS18">
        <v>0</v>
      </c>
      <c r="ZT18">
        <v>0</v>
      </c>
      <c r="ZU18">
        <v>0</v>
      </c>
      <c r="ZV18">
        <v>2539.1695476524201</v>
      </c>
      <c r="ZW18">
        <v>16.5578468955033</v>
      </c>
      <c r="ZX18">
        <v>0</v>
      </c>
      <c r="ZY18">
        <v>0</v>
      </c>
      <c r="ZZ18">
        <v>0</v>
      </c>
      <c r="AAA18">
        <v>0</v>
      </c>
      <c r="AAB18">
        <v>1623.3869394118501</v>
      </c>
      <c r="AAC18">
        <v>16.566903007782301</v>
      </c>
      <c r="AAD18">
        <v>0</v>
      </c>
      <c r="AAE18">
        <v>0</v>
      </c>
      <c r="AAF18">
        <v>0</v>
      </c>
      <c r="AAG18">
        <v>0</v>
      </c>
      <c r="AAH18">
        <v>1613.53546561856</v>
      </c>
      <c r="AAI18">
        <v>16.489855510651498</v>
      </c>
      <c r="AAJ18">
        <v>0</v>
      </c>
      <c r="AAK18">
        <v>0</v>
      </c>
      <c r="AAL18">
        <v>0</v>
      </c>
      <c r="AAM18">
        <v>0</v>
      </c>
      <c r="AAN18">
        <v>1651.9960865974499</v>
      </c>
      <c r="AAO18">
        <v>16.5907124696603</v>
      </c>
      <c r="AAP18">
        <v>0</v>
      </c>
      <c r="AAQ18">
        <v>0</v>
      </c>
      <c r="AAR18">
        <v>0</v>
      </c>
      <c r="AAS18">
        <v>0</v>
      </c>
      <c r="AAT18">
        <v>9183.5166026556108</v>
      </c>
      <c r="AAU18">
        <v>15.004146046548</v>
      </c>
      <c r="AAV18">
        <v>0</v>
      </c>
      <c r="AAW18">
        <v>0</v>
      </c>
      <c r="AAX18">
        <v>0</v>
      </c>
      <c r="AAY18">
        <v>0</v>
      </c>
      <c r="AAZ18">
        <v>2646.1472243017301</v>
      </c>
      <c r="ABA18">
        <v>16.440924795030501</v>
      </c>
      <c r="ABB18">
        <v>0</v>
      </c>
      <c r="ABC18">
        <v>0</v>
      </c>
      <c r="ABD18">
        <v>0</v>
      </c>
      <c r="ABE18">
        <v>0</v>
      </c>
      <c r="ABF18">
        <v>1716.8201922868</v>
      </c>
      <c r="ABG18">
        <v>16.470336702695398</v>
      </c>
      <c r="ABH18">
        <v>0</v>
      </c>
      <c r="ABI18">
        <v>0</v>
      </c>
      <c r="ABJ18">
        <v>0</v>
      </c>
      <c r="ABK18">
        <v>0</v>
      </c>
      <c r="ABL18">
        <v>1666.0327023566299</v>
      </c>
      <c r="ABM18">
        <v>16.4789115611607</v>
      </c>
      <c r="ABN18">
        <v>0</v>
      </c>
      <c r="ABO18">
        <v>0</v>
      </c>
      <c r="ABP18">
        <v>0</v>
      </c>
      <c r="ABQ18">
        <v>0</v>
      </c>
      <c r="ABR18">
        <v>1953.7754866974601</v>
      </c>
      <c r="ABS18">
        <v>16.225568551731602</v>
      </c>
      <c r="ABT18">
        <v>0</v>
      </c>
      <c r="ABU18">
        <v>0</v>
      </c>
      <c r="ABV18">
        <v>0</v>
      </c>
      <c r="ABW18">
        <v>0</v>
      </c>
      <c r="ABX18">
        <v>8212.7091797455905</v>
      </c>
      <c r="ABY18">
        <v>14.842409928263001</v>
      </c>
      <c r="ABZ18">
        <v>0</v>
      </c>
      <c r="ACA18">
        <v>0</v>
      </c>
      <c r="ACB18">
        <v>0</v>
      </c>
      <c r="ACC18">
        <v>0</v>
      </c>
      <c r="ACD18">
        <v>0</v>
      </c>
      <c r="ACE18">
        <v>0</v>
      </c>
      <c r="ACF18">
        <v>13.533096700652001</v>
      </c>
      <c r="ACG18">
        <v>13.533096700652001</v>
      </c>
      <c r="ACH18">
        <v>0</v>
      </c>
      <c r="ACI18">
        <v>0</v>
      </c>
      <c r="ACJ18">
        <v>0</v>
      </c>
      <c r="ACK18">
        <v>20.760648244627699</v>
      </c>
      <c r="ACL18">
        <v>20.760648244627699</v>
      </c>
      <c r="ACM18">
        <v>0</v>
      </c>
      <c r="ACN18">
        <v>0</v>
      </c>
      <c r="ACP18">
        <v>21171.865336813298</v>
      </c>
      <c r="ACR18">
        <v>21171.865336813298</v>
      </c>
      <c r="ACT18">
        <v>16.3706855315571</v>
      </c>
      <c r="ACU18">
        <v>16.138122463898998</v>
      </c>
      <c r="ACV18">
        <v>1.7</v>
      </c>
      <c r="ACW18">
        <v>4.6095216068668998</v>
      </c>
      <c r="ACX18">
        <v>0.77387174261512204</v>
      </c>
      <c r="ACY18">
        <v>16.1871378619552</v>
      </c>
      <c r="ACZ18">
        <v>15.966248741765501</v>
      </c>
      <c r="ADA18">
        <v>1.7</v>
      </c>
      <c r="ADB18">
        <v>4.6726275907135904</v>
      </c>
      <c r="ADC18">
        <v>0.77324999588656995</v>
      </c>
      <c r="ADD18">
        <v>15.6970512422838</v>
      </c>
      <c r="ADE18">
        <v>15.538947357589601</v>
      </c>
      <c r="ADF18">
        <v>1.7</v>
      </c>
      <c r="ADG18">
        <v>5.5188926757629897</v>
      </c>
      <c r="ADH18">
        <v>0.74228627373034195</v>
      </c>
      <c r="ADI18">
        <v>17.034883370612999</v>
      </c>
      <c r="ADJ18">
        <v>16.896202739184901</v>
      </c>
      <c r="ADK18">
        <v>1.2749999999999999</v>
      </c>
      <c r="ADL18">
        <v>5.53521787310377</v>
      </c>
      <c r="ADM18">
        <v>0.73747169273893798</v>
      </c>
      <c r="ADN18">
        <v>17.018866426022399</v>
      </c>
      <c r="ADO18">
        <v>16.8821383891651</v>
      </c>
      <c r="ADP18">
        <v>1.2749999999999999</v>
      </c>
      <c r="ADQ18">
        <v>5.6596678503158397</v>
      </c>
      <c r="ADR18">
        <v>0.73566031718134095</v>
      </c>
      <c r="ADS18">
        <v>16.575907633026102</v>
      </c>
      <c r="ADT18">
        <v>16.575907633026102</v>
      </c>
      <c r="ADU18">
        <v>0</v>
      </c>
      <c r="ADV18">
        <v>0</v>
      </c>
      <c r="ADW18">
        <v>1</v>
      </c>
      <c r="ADX18">
        <v>17.0264998115344</v>
      </c>
      <c r="ADY18">
        <v>16.8888785776555</v>
      </c>
      <c r="ADZ18">
        <v>1.2749999999999999</v>
      </c>
      <c r="AEA18">
        <v>5.6367335539935404</v>
      </c>
      <c r="AEB18">
        <v>0.73628492973843696</v>
      </c>
      <c r="AEC18">
        <v>17.075412025364798</v>
      </c>
      <c r="AED18">
        <v>17.075412025364798</v>
      </c>
      <c r="AEE18">
        <v>0</v>
      </c>
      <c r="AEF18">
        <v>0</v>
      </c>
      <c r="AEG18">
        <v>1</v>
      </c>
      <c r="AEH18">
        <v>17.092955503885801</v>
      </c>
      <c r="AEI18">
        <v>17.092955503885801</v>
      </c>
      <c r="AEJ18">
        <v>0</v>
      </c>
      <c r="AEK18">
        <v>0</v>
      </c>
      <c r="AEL18">
        <v>1</v>
      </c>
      <c r="AEM18">
        <v>16.8627142057973</v>
      </c>
      <c r="AEN18">
        <v>16.8454118214371</v>
      </c>
      <c r="AEO18">
        <v>0.42499999999999999</v>
      </c>
      <c r="AEP18">
        <v>2.2245685221566802</v>
      </c>
      <c r="AEQ18">
        <v>0.95601141332115103</v>
      </c>
      <c r="AER18">
        <v>17.117894725141898</v>
      </c>
      <c r="AES18">
        <v>17.117894725141898</v>
      </c>
      <c r="AET18">
        <v>0</v>
      </c>
      <c r="AEU18">
        <v>0</v>
      </c>
      <c r="AEV18">
        <v>1</v>
      </c>
      <c r="AEW18">
        <v>16.815616986264899</v>
      </c>
      <c r="AEX18">
        <v>16.815616986264899</v>
      </c>
      <c r="AEY18">
        <v>0</v>
      </c>
      <c r="AEZ18">
        <v>0</v>
      </c>
      <c r="AFA18">
        <v>1</v>
      </c>
      <c r="AFB18">
        <v>16.843422813100801</v>
      </c>
      <c r="AFC18">
        <v>16.843422813100801</v>
      </c>
      <c r="AFD18">
        <v>0</v>
      </c>
      <c r="AFE18">
        <v>0</v>
      </c>
      <c r="AFF18">
        <v>1</v>
      </c>
      <c r="AFG18">
        <v>16.562534216327599</v>
      </c>
      <c r="AFH18">
        <v>16.562534216327599</v>
      </c>
      <c r="AFI18">
        <v>0</v>
      </c>
      <c r="AFJ18">
        <v>0</v>
      </c>
      <c r="AFK18">
        <v>1</v>
      </c>
      <c r="AFL18">
        <v>17.028903980981202</v>
      </c>
      <c r="AFM18">
        <v>17.014574413592399</v>
      </c>
      <c r="AFN18">
        <v>0.42499999999999999</v>
      </c>
      <c r="AFO18">
        <v>2.2219400944442</v>
      </c>
      <c r="AFP18">
        <v>0.94027316722394805</v>
      </c>
      <c r="AFQ18">
        <v>-1.7525684976065601</v>
      </c>
      <c r="AFR18">
        <v>-1.6905972663045199</v>
      </c>
      <c r="AFS18">
        <v>-1.69231408355487</v>
      </c>
      <c r="AFT18">
        <v>-1.6940129249424201</v>
      </c>
      <c r="AFU18">
        <v>-1.7151771591392</v>
      </c>
      <c r="AFV18">
        <v>-1.66292982620096</v>
      </c>
      <c r="AFW18">
        <v>-1.65512115247528</v>
      </c>
      <c r="AFX18">
        <v>-1.6599650893636799</v>
      </c>
      <c r="AFY18">
        <v>-1.7630880320733</v>
      </c>
      <c r="AFZ18">
        <v>-1.7183024650891301</v>
      </c>
      <c r="AGA18">
        <v>-1.6951415851523</v>
      </c>
      <c r="AGB18">
        <v>-1.71422009541141</v>
      </c>
      <c r="AGC18">
        <v>-1.80324628085842</v>
      </c>
      <c r="AGD18">
        <v>-1.8304533258759199</v>
      </c>
      <c r="AGE18">
        <v>-1.90980188591014</v>
      </c>
      <c r="AGF18">
        <v>0</v>
      </c>
      <c r="AGG18">
        <v>0</v>
      </c>
      <c r="AGH18">
        <v>0</v>
      </c>
      <c r="AGI18">
        <v>0</v>
      </c>
      <c r="AGJ18">
        <v>0</v>
      </c>
      <c r="AGK18">
        <v>0</v>
      </c>
      <c r="AGL18">
        <v>0</v>
      </c>
      <c r="AGM18">
        <v>0</v>
      </c>
      <c r="AGN18">
        <v>0</v>
      </c>
      <c r="AGO18">
        <v>0</v>
      </c>
      <c r="AGP18">
        <v>0</v>
      </c>
      <c r="AGQ18">
        <v>0</v>
      </c>
      <c r="AGR18">
        <v>0</v>
      </c>
      <c r="AGS18">
        <v>0</v>
      </c>
      <c r="AGT18">
        <v>0</v>
      </c>
      <c r="AGU18">
        <v>0</v>
      </c>
      <c r="AGV18">
        <v>0</v>
      </c>
      <c r="AGW18">
        <v>0</v>
      </c>
      <c r="AGX18">
        <v>0</v>
      </c>
      <c r="AGY18">
        <v>0</v>
      </c>
      <c r="AGZ18">
        <v>0</v>
      </c>
      <c r="AHA18">
        <v>0</v>
      </c>
      <c r="AHB18">
        <v>0</v>
      </c>
      <c r="AHC18">
        <v>0</v>
      </c>
      <c r="AHD18">
        <v>0</v>
      </c>
      <c r="AHE18">
        <v>0</v>
      </c>
      <c r="AHF18">
        <v>0</v>
      </c>
      <c r="AHG18">
        <v>0</v>
      </c>
      <c r="AHH18">
        <v>0</v>
      </c>
      <c r="AHI18">
        <v>0</v>
      </c>
      <c r="AHJ18">
        <v>0</v>
      </c>
      <c r="AHK18">
        <v>0</v>
      </c>
      <c r="AHL18">
        <v>0</v>
      </c>
      <c r="AHM18">
        <v>0</v>
      </c>
      <c r="AHN18">
        <v>0</v>
      </c>
      <c r="AHO18">
        <v>0</v>
      </c>
      <c r="AHP18">
        <v>0</v>
      </c>
      <c r="AHQ18">
        <v>0</v>
      </c>
      <c r="AHR18">
        <v>0</v>
      </c>
      <c r="AHS18">
        <v>0</v>
      </c>
      <c r="AHT18">
        <v>0</v>
      </c>
      <c r="AHU18">
        <v>0</v>
      </c>
      <c r="AHV18">
        <v>0</v>
      </c>
      <c r="AHW18">
        <v>0</v>
      </c>
      <c r="AHX18">
        <v>0</v>
      </c>
      <c r="AHZ18">
        <v>0</v>
      </c>
      <c r="AIB18">
        <v>0</v>
      </c>
      <c r="AID18">
        <v>0</v>
      </c>
      <c r="AIF18">
        <v>0</v>
      </c>
      <c r="AIH18">
        <v>0</v>
      </c>
      <c r="AIJ18">
        <v>0</v>
      </c>
      <c r="AIL18">
        <v>0</v>
      </c>
      <c r="AIN18">
        <v>0</v>
      </c>
      <c r="AIP18">
        <v>0</v>
      </c>
      <c r="AIR18">
        <v>0</v>
      </c>
      <c r="AIT18">
        <v>0</v>
      </c>
      <c r="AIV18">
        <v>0</v>
      </c>
      <c r="AIX18">
        <v>0</v>
      </c>
      <c r="AIZ18">
        <v>0</v>
      </c>
      <c r="AJB18">
        <v>0</v>
      </c>
      <c r="AJC18">
        <v>0</v>
      </c>
      <c r="AJE18">
        <v>5.4887453169148702E-5</v>
      </c>
      <c r="AJH18">
        <v>15698.8173057189</v>
      </c>
      <c r="AJJ18">
        <v>183.80401834048999</v>
      </c>
      <c r="AJK18">
        <v>220.596795833333</v>
      </c>
      <c r="AJL18">
        <v>220.596795833333</v>
      </c>
      <c r="AJM18">
        <v>499.321690263459</v>
      </c>
      <c r="AJN18">
        <v>347.36796874999999</v>
      </c>
      <c r="AJO18">
        <v>227.44929166666699</v>
      </c>
      <c r="AJP18">
        <v>967.7315625</v>
      </c>
      <c r="AJQ18">
        <v>219.363420886261</v>
      </c>
      <c r="AJR18">
        <v>358.171252083333</v>
      </c>
      <c r="AJS18">
        <v>579.58647604166697</v>
      </c>
      <c r="AJT18">
        <v>579.58647604166697</v>
      </c>
      <c r="AJU18">
        <v>156.81271254174601</v>
      </c>
      <c r="AJV18">
        <v>912.65957031250002</v>
      </c>
      <c r="AJW18">
        <v>0</v>
      </c>
      <c r="AJX18">
        <v>0</v>
      </c>
      <c r="AJY18">
        <v>0</v>
      </c>
      <c r="AJZ18">
        <v>0</v>
      </c>
      <c r="AKA18">
        <v>0</v>
      </c>
      <c r="AKB18">
        <v>0</v>
      </c>
      <c r="AKC18">
        <v>0</v>
      </c>
      <c r="AKD18">
        <v>0</v>
      </c>
      <c r="AKE18">
        <v>74.738617733567096</v>
      </c>
      <c r="AKF18">
        <v>74.738617733567096</v>
      </c>
      <c r="AKG18">
        <v>0</v>
      </c>
      <c r="AKH18">
        <v>0</v>
      </c>
      <c r="AKI18">
        <v>0</v>
      </c>
      <c r="AKJ18">
        <v>0</v>
      </c>
      <c r="AKK18">
        <v>0</v>
      </c>
      <c r="AKL18">
        <v>74.738617733567096</v>
      </c>
      <c r="AKM18">
        <v>74.738617733567096</v>
      </c>
      <c r="AKN18">
        <v>0</v>
      </c>
      <c r="AKO18">
        <v>0</v>
      </c>
      <c r="AKP18">
        <v>0</v>
      </c>
      <c r="AKT18">
        <v>0</v>
      </c>
      <c r="AKX18">
        <v>0</v>
      </c>
      <c r="ALB18">
        <v>20.760648244627699</v>
      </c>
      <c r="ALC18">
        <v>20.760648244627699</v>
      </c>
      <c r="ALD18">
        <v>0</v>
      </c>
      <c r="ALE18">
        <v>0</v>
      </c>
      <c r="ALF18">
        <v>0</v>
      </c>
      <c r="ALH18">
        <v>13.533096698849199</v>
      </c>
      <c r="ALI18">
        <v>2.8568269606532499E-3</v>
      </c>
      <c r="ALJ18">
        <v>24.914469008347499</v>
      </c>
      <c r="ALK18">
        <v>13.533096700652001</v>
      </c>
      <c r="ALL18">
        <v>24.914469008347499</v>
      </c>
      <c r="ALM18">
        <v>0</v>
      </c>
      <c r="ALN18">
        <v>17.0358491736595</v>
      </c>
      <c r="ALO18">
        <v>2.8568269606532499E-3</v>
      </c>
      <c r="ALP18">
        <v>23.838231158461099</v>
      </c>
      <c r="ALQ18">
        <v>24.914469008347499</v>
      </c>
      <c r="ALR18">
        <v>13.533096698849199</v>
      </c>
      <c r="ALS18">
        <v>24.914469008347499</v>
      </c>
      <c r="ALT18">
        <v>14.048023121708299</v>
      </c>
      <c r="ALU18">
        <v>24.914469008347499</v>
      </c>
      <c r="ALV18">
        <v>12.2200000000079</v>
      </c>
      <c r="ALW18">
        <v>9.9999999999999897E-12</v>
      </c>
      <c r="ALX18">
        <v>13.533096700652001</v>
      </c>
      <c r="ALY18">
        <v>9.9999999999999897E-12</v>
      </c>
      <c r="ALZ18">
        <v>0</v>
      </c>
      <c r="AMA18">
        <v>13.533096700652001</v>
      </c>
      <c r="AMB18">
        <v>0</v>
      </c>
      <c r="AMC18">
        <v>13.533096700652001</v>
      </c>
      <c r="AMD18">
        <v>0</v>
      </c>
      <c r="AME18">
        <v>13.533096700652001</v>
      </c>
      <c r="AMF18">
        <v>0</v>
      </c>
      <c r="AMG18">
        <v>0</v>
      </c>
      <c r="AMH18">
        <v>4.2694661283339803</v>
      </c>
      <c r="AMI18">
        <v>16.642160619832602</v>
      </c>
      <c r="AMJ18">
        <v>1.2353749999999999</v>
      </c>
      <c r="AMK18" s="580">
        <v>15.348932578076701</v>
      </c>
      <c r="AML18">
        <v>3.3546</v>
      </c>
      <c r="AMM18">
        <v>16.637723465905601</v>
      </c>
      <c r="AMN18">
        <v>1.2353749999999999</v>
      </c>
      <c r="AMO18">
        <v>16.6429802145934</v>
      </c>
      <c r="AMP18">
        <v>1.9453125</v>
      </c>
      <c r="AMQ18">
        <v>16.7080316864389</v>
      </c>
      <c r="AMR18">
        <v>0.70253968657866395</v>
      </c>
      <c r="AMS18">
        <v>15.215867648499</v>
      </c>
      <c r="AMT18">
        <v>3.3546</v>
      </c>
      <c r="AMU18">
        <v>16.9452749775044</v>
      </c>
      <c r="AMV18">
        <v>0.98829999999999996</v>
      </c>
      <c r="AMW18">
        <v>16.969519519787799</v>
      </c>
      <c r="AMX18">
        <v>0.98829999999999996</v>
      </c>
      <c r="AMY18">
        <v>16.9360124262063</v>
      </c>
      <c r="AMZ18">
        <v>1.5562499999999999</v>
      </c>
      <c r="ANA18">
        <v>16.875079755581499</v>
      </c>
      <c r="ANB18">
        <v>1.06429248888284</v>
      </c>
      <c r="ANC18">
        <v>15.0845892407575</v>
      </c>
      <c r="AND18">
        <v>3.3546</v>
      </c>
      <c r="ANE18">
        <v>16.860221992792301</v>
      </c>
      <c r="ANF18">
        <v>1.0189999999999999</v>
      </c>
      <c r="ANG18">
        <v>16.9918625833104</v>
      </c>
      <c r="ANH18">
        <v>1.5285</v>
      </c>
      <c r="ANI18">
        <v>16.829789183236802</v>
      </c>
      <c r="ANJ18">
        <v>1.6046499999999999</v>
      </c>
      <c r="ANK18">
        <v>16.831533638204998</v>
      </c>
      <c r="ANL18">
        <v>0.98277433288599203</v>
      </c>
      <c r="ANM18">
        <v>8.4732021865786606</v>
      </c>
      <c r="ANN18">
        <v>7.9517424888828403</v>
      </c>
      <c r="ANO18">
        <v>8.4895243328859902</v>
      </c>
      <c r="ANP18">
        <v>15.348932578076701</v>
      </c>
      <c r="ANQ18">
        <v>16.327702684062199</v>
      </c>
      <c r="ANR18">
        <v>16.332139837989299</v>
      </c>
      <c r="ANS18">
        <v>16.524443865150001</v>
      </c>
      <c r="ANT18">
        <v>16.332959432750101</v>
      </c>
      <c r="ANU18">
        <v>15.215867648499</v>
      </c>
      <c r="ANV18">
        <v>16.761687156215501</v>
      </c>
      <c r="ANW18">
        <v>16.785931698498899</v>
      </c>
      <c r="ANX18">
        <v>16.5650589737382</v>
      </c>
      <c r="ANY18">
        <v>16.752424604917401</v>
      </c>
      <c r="ANZ18">
        <v>15.0845892407575</v>
      </c>
      <c r="AOA18">
        <v>16.676634171503299</v>
      </c>
      <c r="AOB18">
        <v>16.555408840912602</v>
      </c>
      <c r="AOC18">
        <v>16.647945816916099</v>
      </c>
      <c r="AOD18">
        <v>16.646201361947899</v>
      </c>
      <c r="AOE18">
        <v>17.0358491736595</v>
      </c>
      <c r="AOF18">
        <v>4.2694661283339803</v>
      </c>
      <c r="AOG18">
        <v>17.47020513371</v>
      </c>
      <c r="AOH18">
        <v>4.2474999999999996</v>
      </c>
    </row>
    <row r="19" spans="1:1074">
      <c r="A19" t="s">
        <v>2589</v>
      </c>
      <c r="B19">
        <v>-3.33</v>
      </c>
      <c r="D19">
        <v>-3.33</v>
      </c>
      <c r="F19">
        <v>10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0</v>
      </c>
      <c r="CF19">
        <v>0</v>
      </c>
      <c r="CG19">
        <v>0</v>
      </c>
      <c r="CH19">
        <v>0</v>
      </c>
      <c r="CI19">
        <v>0</v>
      </c>
      <c r="CJ19">
        <v>0</v>
      </c>
      <c r="CK19">
        <v>0</v>
      </c>
      <c r="CL19">
        <v>0</v>
      </c>
      <c r="CM19">
        <v>0</v>
      </c>
      <c r="CN19">
        <v>0</v>
      </c>
      <c r="CO19">
        <v>0</v>
      </c>
      <c r="CP19">
        <v>0</v>
      </c>
      <c r="CQ19">
        <v>0</v>
      </c>
      <c r="CR19">
        <v>0</v>
      </c>
      <c r="CS19">
        <v>0</v>
      </c>
      <c r="CT19">
        <v>0</v>
      </c>
      <c r="CU19">
        <v>0</v>
      </c>
      <c r="CV19">
        <v>0</v>
      </c>
      <c r="CW19">
        <v>0</v>
      </c>
      <c r="CX19">
        <v>0</v>
      </c>
      <c r="CY19">
        <v>0</v>
      </c>
      <c r="CZ19">
        <v>0</v>
      </c>
      <c r="DA19">
        <v>0</v>
      </c>
      <c r="DB19">
        <v>0</v>
      </c>
      <c r="DC19">
        <v>0</v>
      </c>
      <c r="DD19">
        <v>0</v>
      </c>
      <c r="DE19">
        <v>0</v>
      </c>
      <c r="DF19">
        <v>0</v>
      </c>
      <c r="DG19">
        <v>0</v>
      </c>
      <c r="DH19">
        <v>0</v>
      </c>
      <c r="DI19">
        <v>0</v>
      </c>
      <c r="DJ19">
        <v>0</v>
      </c>
      <c r="DK19">
        <v>0</v>
      </c>
      <c r="DL19">
        <v>0</v>
      </c>
      <c r="DM19">
        <v>0</v>
      </c>
      <c r="DN19">
        <v>0</v>
      </c>
      <c r="DO19">
        <v>0</v>
      </c>
      <c r="DP19">
        <v>0</v>
      </c>
      <c r="DQ19">
        <v>0</v>
      </c>
      <c r="DR19">
        <v>0</v>
      </c>
      <c r="DS19">
        <v>0</v>
      </c>
      <c r="DT19">
        <v>0</v>
      </c>
      <c r="DU19">
        <v>0</v>
      </c>
      <c r="DV19">
        <v>0</v>
      </c>
      <c r="DW19">
        <v>0</v>
      </c>
      <c r="DX19">
        <v>0</v>
      </c>
      <c r="DY19">
        <v>0</v>
      </c>
      <c r="DZ19">
        <v>0</v>
      </c>
      <c r="EA19">
        <v>0</v>
      </c>
      <c r="EB19">
        <v>0</v>
      </c>
      <c r="EC19">
        <v>0</v>
      </c>
      <c r="ED19">
        <v>0</v>
      </c>
      <c r="EE19">
        <v>0</v>
      </c>
      <c r="EF19">
        <v>0</v>
      </c>
      <c r="EG19">
        <v>0</v>
      </c>
      <c r="EH19">
        <v>0</v>
      </c>
      <c r="EI19">
        <v>0</v>
      </c>
      <c r="EJ19">
        <v>0</v>
      </c>
      <c r="EK19">
        <v>0</v>
      </c>
      <c r="EL19">
        <v>0</v>
      </c>
      <c r="EM19">
        <v>0</v>
      </c>
      <c r="EN19">
        <v>0</v>
      </c>
      <c r="EO19">
        <v>0</v>
      </c>
      <c r="EP19">
        <v>0</v>
      </c>
      <c r="EQ19">
        <v>0</v>
      </c>
      <c r="ER19">
        <v>0</v>
      </c>
      <c r="ES19">
        <v>0</v>
      </c>
      <c r="ET19">
        <v>0</v>
      </c>
      <c r="EU19">
        <v>0</v>
      </c>
      <c r="EV19">
        <v>0</v>
      </c>
      <c r="EW19">
        <v>0</v>
      </c>
      <c r="EX19">
        <v>0</v>
      </c>
      <c r="EY19">
        <v>0</v>
      </c>
      <c r="EZ19">
        <v>0</v>
      </c>
      <c r="FA19">
        <v>0</v>
      </c>
      <c r="FB19">
        <v>0</v>
      </c>
      <c r="FC19">
        <v>0</v>
      </c>
      <c r="FD19">
        <v>0</v>
      </c>
      <c r="FE19">
        <v>0</v>
      </c>
      <c r="FF19">
        <v>0</v>
      </c>
      <c r="FG19">
        <v>0</v>
      </c>
      <c r="FH19">
        <v>0</v>
      </c>
      <c r="FI19">
        <v>0</v>
      </c>
      <c r="FJ19">
        <v>0</v>
      </c>
      <c r="FK19">
        <v>0</v>
      </c>
      <c r="FL19">
        <v>0</v>
      </c>
      <c r="FM19">
        <v>0</v>
      </c>
      <c r="FN19">
        <v>0</v>
      </c>
      <c r="FO19">
        <v>0</v>
      </c>
      <c r="FP19">
        <v>0</v>
      </c>
      <c r="FQ19">
        <v>0</v>
      </c>
      <c r="FR19">
        <v>0</v>
      </c>
      <c r="FS19">
        <v>0</v>
      </c>
      <c r="FT19">
        <v>0</v>
      </c>
      <c r="FU19">
        <v>0</v>
      </c>
      <c r="FV19">
        <v>0</v>
      </c>
      <c r="FW19">
        <v>0</v>
      </c>
      <c r="FX19">
        <v>0</v>
      </c>
      <c r="FY19">
        <v>0</v>
      </c>
      <c r="FZ19">
        <v>0</v>
      </c>
      <c r="GA19">
        <v>0</v>
      </c>
      <c r="GB19">
        <v>-26.909008073639701</v>
      </c>
      <c r="GC19">
        <v>227.807699685995</v>
      </c>
      <c r="GD19">
        <v>134.391768859493</v>
      </c>
      <c r="GE19">
        <v>-17.936382834097301</v>
      </c>
      <c r="GF19">
        <v>141.65053188117</v>
      </c>
      <c r="GG19">
        <v>85.500991886836204</v>
      </c>
      <c r="GH19">
        <v>-29.626418798500598</v>
      </c>
      <c r="GI19">
        <v>213.450415245964</v>
      </c>
      <c r="GJ19">
        <v>115.851647160276</v>
      </c>
      <c r="GK19">
        <v>-17.030540324360199</v>
      </c>
      <c r="GL19">
        <v>143.732196839815</v>
      </c>
      <c r="GM19">
        <v>88.124981769262405</v>
      </c>
      <c r="GN19">
        <v>-6.4165151151323201</v>
      </c>
      <c r="GO19">
        <v>17.6797095547429</v>
      </c>
      <c r="GP19">
        <v>17.191000681479601</v>
      </c>
      <c r="GQ19">
        <v>256.85838955996797</v>
      </c>
      <c r="GR19">
        <v>348.43254688961702</v>
      </c>
      <c r="GS19">
        <v>1409.8501589341699</v>
      </c>
      <c r="GT19">
        <v>-4.5509650129268797</v>
      </c>
      <c r="GU19">
        <v>17.658997459475501</v>
      </c>
      <c r="GV19">
        <v>17.167490822270501</v>
      </c>
      <c r="GW19">
        <v>162.398931526506</v>
      </c>
      <c r="GX19">
        <v>224.41945234729499</v>
      </c>
      <c r="GY19">
        <v>917.02936696628001</v>
      </c>
      <c r="GZ19">
        <v>-15.1144523204044</v>
      </c>
      <c r="HA19">
        <v>17.001503123820001</v>
      </c>
      <c r="HB19">
        <v>16.645061324996099</v>
      </c>
      <c r="HC19">
        <v>219.19263576345099</v>
      </c>
      <c r="HD19">
        <v>271.87484624361502</v>
      </c>
      <c r="HE19">
        <v>1106.8461710136</v>
      </c>
      <c r="HF19">
        <v>-3.9678489039607201</v>
      </c>
      <c r="HG19">
        <v>17.698601393965198</v>
      </c>
      <c r="HH19">
        <v>17.190243782397001</v>
      </c>
      <c r="HI19">
        <v>168.50157311805</v>
      </c>
      <c r="HJ19">
        <v>233.225164735064</v>
      </c>
      <c r="HK19">
        <v>943.23572673420699</v>
      </c>
      <c r="HL19">
        <v>-25.622478109772501</v>
      </c>
      <c r="HM19">
        <v>16.733633482056799</v>
      </c>
      <c r="HN19">
        <v>16.514766155797702</v>
      </c>
      <c r="HO19">
        <v>36.727605144152299</v>
      </c>
      <c r="HP19">
        <v>299.894869098713</v>
      </c>
      <c r="HQ19">
        <v>17.284349303368799</v>
      </c>
      <c r="HR19">
        <v>150.816435169502</v>
      </c>
      <c r="HS19">
        <v>-16.562727629975701</v>
      </c>
      <c r="HT19">
        <v>16.7574231133373</v>
      </c>
      <c r="HU19">
        <v>16.5391764998447</v>
      </c>
      <c r="HV19">
        <v>23.1540625119599</v>
      </c>
      <c r="HW19">
        <v>193.429837915988</v>
      </c>
      <c r="HX19">
        <v>17.313882870234298</v>
      </c>
      <c r="HY19">
        <v>98.502427704265401</v>
      </c>
      <c r="HZ19">
        <v>16.394404266269401</v>
      </c>
      <c r="IA19">
        <v>16.372111084200299</v>
      </c>
      <c r="IB19">
        <v>36.461569789637302</v>
      </c>
      <c r="IC19">
        <v>-29.794844371222698</v>
      </c>
      <c r="ID19">
        <v>247.75026785797999</v>
      </c>
      <c r="IE19">
        <v>16.793077368006202</v>
      </c>
      <c r="IF19">
        <v>118.691928034624</v>
      </c>
      <c r="IG19">
        <v>10.0367177472727</v>
      </c>
      <c r="IH19">
        <v>16.7790824079235</v>
      </c>
      <c r="II19">
        <v>16.5491108725505</v>
      </c>
      <c r="IJ19">
        <v>23.212823661964201</v>
      </c>
      <c r="IK19">
        <v>6.5125196318359402</v>
      </c>
      <c r="IL19">
        <v>-16.186829348929599</v>
      </c>
      <c r="IM19">
        <v>197.829740680302</v>
      </c>
      <c r="IN19">
        <v>17.355446495132099</v>
      </c>
      <c r="IO19">
        <v>0.86817174620511095</v>
      </c>
      <c r="IP19">
        <v>101.59224361485199</v>
      </c>
      <c r="IQ19">
        <v>123.771676831997</v>
      </c>
      <c r="IR19">
        <v>76.753936882565299</v>
      </c>
      <c r="IS19">
        <v>96.394471498546693</v>
      </c>
      <c r="IT19">
        <v>77.947517738944299</v>
      </c>
      <c r="IU19">
        <v>605.16671406484295</v>
      </c>
      <c r="IV19">
        <v>-0.25709144501181702</v>
      </c>
      <c r="IW19">
        <v>17.713872252228601</v>
      </c>
      <c r="IX19">
        <v>17.284349303368799</v>
      </c>
      <c r="IY19">
        <v>355.719197043723</v>
      </c>
      <c r="IZ19">
        <v>422.93722259876301</v>
      </c>
      <c r="JA19">
        <v>1535.4184350545299</v>
      </c>
      <c r="JB19">
        <v>0.122581418667289</v>
      </c>
      <c r="JC19">
        <v>17.752965034070201</v>
      </c>
      <c r="JD19">
        <v>17.313882870234298</v>
      </c>
      <c r="JE19">
        <v>230.04592666715499</v>
      </c>
      <c r="JF19">
        <v>278.05104555286198</v>
      </c>
      <c r="JG19">
        <v>1015.51953820898</v>
      </c>
      <c r="JH19">
        <v>-9.8089067992767607</v>
      </c>
      <c r="JI19">
        <v>17.136176414077401</v>
      </c>
      <c r="JJ19">
        <v>16.793077368006202</v>
      </c>
      <c r="JK19">
        <v>239.48363995589301</v>
      </c>
      <c r="JL19">
        <v>282.22167245537702</v>
      </c>
      <c r="JM19">
        <v>1117.6927337765901</v>
      </c>
      <c r="JN19">
        <v>1.51738455970162</v>
      </c>
      <c r="JO19">
        <v>17.8093774071971</v>
      </c>
      <c r="JP19">
        <v>17.355446495132099</v>
      </c>
      <c r="JQ19">
        <v>1.61790697305969</v>
      </c>
      <c r="JR19">
        <v>237.62244434766001</v>
      </c>
      <c r="JS19">
        <v>0.99185976245956997</v>
      </c>
      <c r="JT19">
        <v>287.95894393903097</v>
      </c>
      <c r="JU19">
        <v>1043.5023120375899</v>
      </c>
      <c r="JV19">
        <v>-35.427227920239602</v>
      </c>
      <c r="JW19">
        <v>226.41706158724801</v>
      </c>
      <c r="JX19">
        <v>-32.420656635583299</v>
      </c>
      <c r="JY19">
        <v>-22.8764956986737</v>
      </c>
      <c r="JZ19">
        <v>145.85458524415199</v>
      </c>
      <c r="KA19">
        <v>-20.3833921684381</v>
      </c>
      <c r="KB19">
        <v>-37.9603170581494</v>
      </c>
      <c r="KC19">
        <v>192.79586757694</v>
      </c>
      <c r="KD19">
        <v>-40.358197772383498</v>
      </c>
      <c r="KE19">
        <v>-17.3591593700639</v>
      </c>
      <c r="KF19">
        <v>13.3959749622919</v>
      </c>
      <c r="KG19">
        <v>-218.65672851728101</v>
      </c>
      <c r="KH19">
        <v>1.62929348293818</v>
      </c>
      <c r="KI19">
        <v>135.550401079441</v>
      </c>
      <c r="KJ19">
        <v>-18.871304166621901</v>
      </c>
      <c r="KK19">
        <v>-65.320308265961401</v>
      </c>
      <c r="KL19">
        <v>15.203998365490699</v>
      </c>
      <c r="KM19">
        <v>15.8869702093117</v>
      </c>
      <c r="KN19">
        <v>-39.808331323411203</v>
      </c>
      <c r="KO19">
        <v>14.241559980815101</v>
      </c>
      <c r="KP19">
        <v>-10.4823343060272</v>
      </c>
      <c r="KQ19">
        <v>-464.208474468308</v>
      </c>
      <c r="KR19">
        <v>-1300.3581280593201</v>
      </c>
      <c r="KS19">
        <v>-43.556769903549402</v>
      </c>
      <c r="KT19">
        <v>15.2289198045418</v>
      </c>
      <c r="KU19">
        <v>15.9136314543636</v>
      </c>
      <c r="KV19">
        <v>-24.6821710811247</v>
      </c>
      <c r="KW19">
        <v>14.2627915629394</v>
      </c>
      <c r="KX19">
        <v>-10.3993739840475</v>
      </c>
      <c r="KY19">
        <v>-293.35941554080102</v>
      </c>
      <c r="KZ19">
        <v>-821.04823443076305</v>
      </c>
      <c r="LA19">
        <v>-50.050597533072903</v>
      </c>
      <c r="LB19">
        <v>14.887137430964501</v>
      </c>
      <c r="LC19">
        <v>15.561320412724299</v>
      </c>
      <c r="LD19">
        <v>-29.813750738172399</v>
      </c>
      <c r="LE19">
        <v>13.917395908849</v>
      </c>
      <c r="LF19">
        <v>-10.490383102156001</v>
      </c>
      <c r="LG19">
        <v>-407.22308914182298</v>
      </c>
      <c r="LH19">
        <v>-1262.49227092707</v>
      </c>
      <c r="LI19">
        <v>-49.413453675204003</v>
      </c>
      <c r="LJ19">
        <v>15.358916036024601</v>
      </c>
      <c r="LK19">
        <v>15.987949967838301</v>
      </c>
      <c r="LL19">
        <v>-33.0117966316975</v>
      </c>
      <c r="LM19">
        <v>14.444459790361</v>
      </c>
      <c r="LN19">
        <v>-10.070726917886301</v>
      </c>
      <c r="LO19">
        <v>-317.34950878828698</v>
      </c>
      <c r="LP19">
        <v>-813.89755309702502</v>
      </c>
      <c r="LQ19">
        <v>-11.995676797353999</v>
      </c>
      <c r="LR19">
        <v>16.928264785363599</v>
      </c>
      <c r="LS19">
        <v>16.481000000000002</v>
      </c>
      <c r="LT19">
        <v>816.84013997984698</v>
      </c>
      <c r="LU19">
        <v>903.69577680365796</v>
      </c>
      <c r="LV19">
        <v>16.9504440429751</v>
      </c>
      <c r="LW19">
        <v>16.998166977149999</v>
      </c>
      <c r="LX19">
        <v>841.65109728748598</v>
      </c>
      <c r="LY19">
        <v>-8.5105494670956308</v>
      </c>
      <c r="LZ19">
        <v>16.9138806675533</v>
      </c>
      <c r="MA19">
        <v>16.481000000000002</v>
      </c>
      <c r="MB19">
        <v>514.698483247696</v>
      </c>
      <c r="MC19">
        <v>573.519478259999</v>
      </c>
      <c r="MD19">
        <v>16.935709906547402</v>
      </c>
      <c r="ME19">
        <v>16.979752835735098</v>
      </c>
      <c r="MF19">
        <v>530.212753511443</v>
      </c>
      <c r="MG19">
        <v>-28.0276413850743</v>
      </c>
      <c r="MH19">
        <v>16.765873151544401</v>
      </c>
      <c r="MI19">
        <v>16.481000000000002</v>
      </c>
      <c r="MJ19">
        <v>441.33467584000999</v>
      </c>
      <c r="MK19">
        <v>515.70412919888099</v>
      </c>
      <c r="ML19">
        <v>16.791249942805901</v>
      </c>
      <c r="MM19">
        <v>16.605401980924501</v>
      </c>
      <c r="MN19">
        <v>464.61404482136498</v>
      </c>
      <c r="MO19">
        <v>-8.0363184372519001</v>
      </c>
      <c r="MP19">
        <v>16.9198009906866</v>
      </c>
      <c r="MQ19">
        <v>16.481000000000002</v>
      </c>
      <c r="MR19">
        <v>515.80716289687996</v>
      </c>
      <c r="MS19">
        <v>572.05059723606405</v>
      </c>
      <c r="MT19">
        <v>16.944982270289099</v>
      </c>
      <c r="MU19">
        <v>16.991376948661699</v>
      </c>
      <c r="MV19">
        <v>532.90881463408402</v>
      </c>
      <c r="MW19">
        <v>-1.0931827156538201</v>
      </c>
      <c r="MX19">
        <v>17.9059625595693</v>
      </c>
      <c r="MY19">
        <v>18.594072948817502</v>
      </c>
      <c r="MZ19">
        <v>1239.8626738804801</v>
      </c>
      <c r="NA19">
        <v>1701.7381796095301</v>
      </c>
      <c r="NB19">
        <v>17.568628636399701</v>
      </c>
      <c r="NC19">
        <v>17.283681913190598</v>
      </c>
      <c r="ND19">
        <v>998.80589745258499</v>
      </c>
      <c r="NE19">
        <v>-0.86524369320614503</v>
      </c>
      <c r="NF19">
        <v>17.921288790205701</v>
      </c>
      <c r="NG19">
        <v>18.594419113244498</v>
      </c>
      <c r="NH19">
        <v>790.59428144052902</v>
      </c>
      <c r="NI19">
        <v>1088.2793901463899</v>
      </c>
      <c r="NJ19">
        <v>17.583940143878099</v>
      </c>
      <c r="NK19">
        <v>17.3047933418088</v>
      </c>
      <c r="NL19">
        <v>637.46853910332902</v>
      </c>
      <c r="NM19">
        <v>-17.542708750426801</v>
      </c>
      <c r="NN19">
        <v>17.324418500690101</v>
      </c>
      <c r="NO19">
        <v>17.714788311904002</v>
      </c>
      <c r="NP19">
        <v>741.87416910229899</v>
      </c>
      <c r="NQ19" s="35">
        <v>1033.4330193488399</v>
      </c>
      <c r="NR19" s="35">
        <v>17.144438918690401</v>
      </c>
      <c r="NS19">
        <v>16.822135291470499</v>
      </c>
      <c r="NT19">
        <v>612.40999661647095</v>
      </c>
      <c r="NU19">
        <v>-0.38759631323532101</v>
      </c>
      <c r="NV19">
        <v>17.977783548261101</v>
      </c>
      <c r="NW19">
        <v>18.662037259696699</v>
      </c>
      <c r="NX19" s="35">
        <v>3.09607117814484</v>
      </c>
      <c r="NY19">
        <v>805.63706907211201</v>
      </c>
      <c r="NZ19">
        <v>1111.7121175823199</v>
      </c>
      <c r="OA19">
        <v>17.627297101899099</v>
      </c>
      <c r="OB19">
        <v>17.340425320114601</v>
      </c>
      <c r="OC19">
        <v>3.0632528055941401</v>
      </c>
      <c r="OD19">
        <v>646.71486626417595</v>
      </c>
      <c r="OE19">
        <v>3.09607117814484</v>
      </c>
      <c r="OF19">
        <v>3.0632528055941401</v>
      </c>
      <c r="OG19">
        <v>-0.89052914745560596</v>
      </c>
      <c r="OH19">
        <v>17.8486977651703</v>
      </c>
      <c r="OI19">
        <v>18.671582707812501</v>
      </c>
      <c r="OJ19">
        <v>1352.2560855665899</v>
      </c>
      <c r="OK19">
        <v>1941.64411966222</v>
      </c>
      <c r="OL19">
        <v>17.379072061015499</v>
      </c>
      <c r="OM19">
        <v>16.768725322420501</v>
      </c>
      <c r="ON19">
        <v>1025.20712504213</v>
      </c>
      <c r="OO19">
        <v>-0.57699418487057297</v>
      </c>
      <c r="OP19">
        <v>17.9161526411349</v>
      </c>
      <c r="OQ19">
        <v>18.7488144108702</v>
      </c>
      <c r="OR19">
        <v>877.57217102306197</v>
      </c>
      <c r="OS19">
        <v>1270.07509241409</v>
      </c>
      <c r="OT19">
        <v>17.4247204910994</v>
      </c>
      <c r="OU19">
        <v>16.796122220162999</v>
      </c>
      <c r="OV19">
        <v>660.01035189332902</v>
      </c>
      <c r="OW19">
        <v>-13.8688303024711</v>
      </c>
      <c r="OX19">
        <v>17.258752317732501</v>
      </c>
      <c r="OY19">
        <v>17.842524356138998</v>
      </c>
      <c r="OZ19">
        <v>858.09513489323103</v>
      </c>
      <c r="PA19">
        <v>1220.0230857428301</v>
      </c>
      <c r="PB19">
        <v>17.0067280847774</v>
      </c>
      <c r="PC19">
        <v>16.4030616120682</v>
      </c>
      <c r="PD19">
        <v>684.26418361902199</v>
      </c>
      <c r="PE19">
        <v>1.1710479089238</v>
      </c>
      <c r="PF19">
        <v>17.909030241237499</v>
      </c>
      <c r="PG19">
        <v>18.833329630550701</v>
      </c>
      <c r="PH19">
        <v>3.2595701406644602</v>
      </c>
      <c r="PI19">
        <v>936.95508145907104</v>
      </c>
      <c r="PJ19">
        <v>1345.8783984219201</v>
      </c>
      <c r="PK19">
        <v>17.390875465536201</v>
      </c>
      <c r="PL19">
        <v>16.817101760959101</v>
      </c>
      <c r="PM19" s="35">
        <v>3.2897646588478899</v>
      </c>
      <c r="PN19">
        <v>707.25175249250299</v>
      </c>
      <c r="PO19">
        <v>16.877315212038798</v>
      </c>
      <c r="PP19">
        <v>16.836587783315402</v>
      </c>
      <c r="PQ19">
        <v>16.384546641198899</v>
      </c>
      <c r="PR19">
        <v>16.849929738617298</v>
      </c>
      <c r="PS19">
        <v>16.7201368929403</v>
      </c>
      <c r="PT19">
        <v>17.018216554609999</v>
      </c>
      <c r="PU19">
        <v>17.024664072692801</v>
      </c>
      <c r="PV19">
        <v>16.531639307637601</v>
      </c>
      <c r="PW19">
        <v>17.058123323275002</v>
      </c>
      <c r="PX19">
        <v>16.5097711588813</v>
      </c>
      <c r="PY19">
        <v>16.225903932132098</v>
      </c>
      <c r="PZ19">
        <v>16.237846943957202</v>
      </c>
      <c r="QA19">
        <v>15.8574395580046</v>
      </c>
      <c r="QB19">
        <v>16.273151471594201</v>
      </c>
      <c r="QC19">
        <v>15.5052394549352</v>
      </c>
      <c r="QD19">
        <v>15.646097749507801</v>
      </c>
      <c r="QE19">
        <v>16.412236968056</v>
      </c>
      <c r="QF19">
        <v>16.377843878821501</v>
      </c>
      <c r="QG19">
        <v>15.8656721976872</v>
      </c>
      <c r="QH19">
        <v>16.382151270122701</v>
      </c>
      <c r="QI19">
        <v>16.3000526048125</v>
      </c>
      <c r="QJ19">
        <v>16.448356146393198</v>
      </c>
      <c r="QK19">
        <v>16.4536638690942</v>
      </c>
      <c r="QL19">
        <v>16.002656912800798</v>
      </c>
      <c r="QM19">
        <v>16.4752732356406</v>
      </c>
      <c r="QN19">
        <v>494.45208347659701</v>
      </c>
      <c r="QO19">
        <v>16.088701130985999</v>
      </c>
      <c r="QP19">
        <v>3853.4356283250299</v>
      </c>
      <c r="QQ19">
        <v>15.8736045383546</v>
      </c>
      <c r="QR19">
        <v>15.885604304092601</v>
      </c>
      <c r="QS19">
        <v>15.507533082729401</v>
      </c>
      <c r="QT19">
        <v>15.887452843632801</v>
      </c>
      <c r="QU19">
        <v>15.2916308999291</v>
      </c>
      <c r="QV19">
        <v>14.388942976845399</v>
      </c>
      <c r="QW19">
        <v>234905.95107145299</v>
      </c>
      <c r="QX19">
        <v>0</v>
      </c>
      <c r="QY19">
        <v>160005.21070592201</v>
      </c>
      <c r="QZ19">
        <v>0</v>
      </c>
      <c r="RA19">
        <v>33444.470186591003</v>
      </c>
      <c r="RB19">
        <v>0</v>
      </c>
      <c r="RC19">
        <v>22104.8216743626</v>
      </c>
      <c r="RD19">
        <v>0</v>
      </c>
      <c r="RE19">
        <v>76918.960814866805</v>
      </c>
      <c r="RF19">
        <v>0</v>
      </c>
      <c r="RG19">
        <v>52150.244069767497</v>
      </c>
      <c r="RH19" s="35">
        <v>0</v>
      </c>
      <c r="RI19">
        <v>926.94541056173</v>
      </c>
      <c r="RJ19" s="35">
        <v>426.306310141388</v>
      </c>
      <c r="RK19">
        <v>15.9471587240732</v>
      </c>
      <c r="RL19">
        <v>-511.71320651323902</v>
      </c>
      <c r="RM19" s="35">
        <v>-511.71320651323902</v>
      </c>
      <c r="RN19">
        <v>-995.03586095937999</v>
      </c>
      <c r="RO19" s="35">
        <v>608.604409675081</v>
      </c>
      <c r="RP19">
        <v>254.560161792787</v>
      </c>
      <c r="RQ19" s="35">
        <v>15.919099974327599</v>
      </c>
      <c r="RR19" s="35">
        <v>24.2109307515864</v>
      </c>
      <c r="RS19">
        <v>24.2109307515864</v>
      </c>
      <c r="RT19">
        <v>59.548877088877802</v>
      </c>
      <c r="RU19">
        <v>863.194129004243</v>
      </c>
      <c r="RV19">
        <v>0</v>
      </c>
      <c r="RW19">
        <v>15.346797754175499</v>
      </c>
      <c r="RX19">
        <v>9755.2727072531397</v>
      </c>
      <c r="RY19">
        <v>9755.2727072531397</v>
      </c>
      <c r="RZ19">
        <v>18187.598978544102</v>
      </c>
      <c r="SA19">
        <v>617.61213000294595</v>
      </c>
      <c r="SB19">
        <v>256.07131105328699</v>
      </c>
      <c r="SC19">
        <v>15.914372801628099</v>
      </c>
      <c r="SD19">
        <v>74.804909291679905</v>
      </c>
      <c r="SE19">
        <v>74.804909291679905</v>
      </c>
      <c r="SF19">
        <v>159.47366213326899</v>
      </c>
      <c r="SG19">
        <v>0</v>
      </c>
      <c r="SH19">
        <v>4416.3552970158898</v>
      </c>
      <c r="SI19">
        <v>15.8799683166847</v>
      </c>
      <c r="SJ19">
        <v>40090.043141703798</v>
      </c>
      <c r="SK19">
        <v>40090.043141703798</v>
      </c>
      <c r="SL19">
        <v>85323.312613580594</v>
      </c>
      <c r="SM19">
        <v>21.1111</v>
      </c>
      <c r="SN19">
        <v>26.666699999999999</v>
      </c>
      <c r="SO19">
        <v>0</v>
      </c>
      <c r="SP19">
        <v>790.95465874644799</v>
      </c>
      <c r="SQ19">
        <v>16.713193716299301</v>
      </c>
      <c r="SR19">
        <v>0</v>
      </c>
      <c r="SS19">
        <v>0</v>
      </c>
      <c r="ST19">
        <v>0</v>
      </c>
      <c r="SU19">
        <v>0</v>
      </c>
      <c r="SV19">
        <v>508.418591816625</v>
      </c>
      <c r="SW19">
        <v>16.691912629788401</v>
      </c>
      <c r="SX19">
        <v>0</v>
      </c>
      <c r="SY19">
        <v>0</v>
      </c>
      <c r="SZ19">
        <v>0</v>
      </c>
      <c r="TA19">
        <v>0</v>
      </c>
      <c r="TB19">
        <v>612.20132710752398</v>
      </c>
      <c r="TC19">
        <v>16.174526677395999</v>
      </c>
      <c r="TD19">
        <v>0</v>
      </c>
      <c r="TE19">
        <v>0</v>
      </c>
      <c r="TF19">
        <v>0</v>
      </c>
      <c r="TG19">
        <v>0</v>
      </c>
      <c r="TH19">
        <v>526.85942535228503</v>
      </c>
      <c r="TI19">
        <v>16.707383856608899</v>
      </c>
      <c r="TJ19">
        <v>0</v>
      </c>
      <c r="TK19">
        <v>0</v>
      </c>
      <c r="TL19">
        <v>0</v>
      </c>
      <c r="TM19">
        <v>0</v>
      </c>
      <c r="TN19">
        <v>766.19685585368302</v>
      </c>
      <c r="TO19">
        <v>16.6046292863359</v>
      </c>
      <c r="TP19">
        <v>0</v>
      </c>
      <c r="TQ19">
        <v>0</v>
      </c>
      <c r="TR19">
        <v>0</v>
      </c>
      <c r="TS19">
        <v>748.13290063643899</v>
      </c>
      <c r="TT19">
        <v>0</v>
      </c>
      <c r="TU19">
        <v>15.8784957381763</v>
      </c>
      <c r="TV19">
        <v>8878.5813900542908</v>
      </c>
      <c r="TW19">
        <v>8878.5813900542908</v>
      </c>
      <c r="TX19">
        <v>17298.505138221299</v>
      </c>
      <c r="TY19">
        <v>479.62369154076498</v>
      </c>
      <c r="TZ19">
        <v>0</v>
      </c>
      <c r="UA19">
        <v>15.8826636654957</v>
      </c>
      <c r="UB19">
        <v>5644.11741133736</v>
      </c>
      <c r="UC19">
        <v>5644.11741133736</v>
      </c>
      <c r="UD19">
        <v>10991.756679263401</v>
      </c>
      <c r="UE19">
        <v>981.28122643874599</v>
      </c>
      <c r="UF19">
        <v>0</v>
      </c>
      <c r="UG19">
        <v>15.473674517964</v>
      </c>
      <c r="UH19">
        <v>9692.8398538489291</v>
      </c>
      <c r="UI19">
        <v>9692.8398538489291</v>
      </c>
      <c r="UJ19">
        <v>18125.747989055599</v>
      </c>
      <c r="UK19">
        <v>494.100019672092</v>
      </c>
      <c r="UL19">
        <v>0</v>
      </c>
      <c r="UM19">
        <v>15.8924231480062</v>
      </c>
      <c r="UN19">
        <v>5650.8189980086199</v>
      </c>
      <c r="UO19">
        <v>5650.8189980086199</v>
      </c>
      <c r="UP19">
        <v>10998.2580603611</v>
      </c>
      <c r="UQ19">
        <v>0</v>
      </c>
      <c r="UR19">
        <v>4574.8376388052702</v>
      </c>
      <c r="US19">
        <v>15.667631103090701</v>
      </c>
      <c r="UT19">
        <v>41775.267609547896</v>
      </c>
      <c r="UU19">
        <v>41775.267609547896</v>
      </c>
      <c r="UV19">
        <v>87045.912183067499</v>
      </c>
      <c r="UW19">
        <v>21.1111</v>
      </c>
      <c r="UX19">
        <v>26.666699999999999</v>
      </c>
      <c r="UY19">
        <v>0</v>
      </c>
      <c r="UZ19">
        <v>956.13965381843002</v>
      </c>
      <c r="VA19">
        <v>16.5396473523842</v>
      </c>
      <c r="VB19">
        <v>0</v>
      </c>
      <c r="VC19">
        <v>0</v>
      </c>
      <c r="VD19">
        <v>0</v>
      </c>
      <c r="VE19">
        <v>0</v>
      </c>
      <c r="VF19">
        <v>626.20105806150104</v>
      </c>
      <c r="VG19">
        <v>16.562120213156302</v>
      </c>
      <c r="VH19">
        <v>0</v>
      </c>
      <c r="VI19">
        <v>0</v>
      </c>
      <c r="VJ19">
        <v>0</v>
      </c>
      <c r="VK19">
        <v>0</v>
      </c>
      <c r="VL19">
        <v>663.84183952855301</v>
      </c>
      <c r="VM19">
        <v>16.2292597215055</v>
      </c>
      <c r="VN19">
        <v>0</v>
      </c>
      <c r="VO19">
        <v>0</v>
      </c>
      <c r="VP19">
        <v>0</v>
      </c>
      <c r="VQ19">
        <v>0</v>
      </c>
      <c r="VR19">
        <v>647.81514348412804</v>
      </c>
      <c r="VS19">
        <v>16.590962954401199</v>
      </c>
      <c r="VT19">
        <v>0</v>
      </c>
      <c r="VU19">
        <v>0</v>
      </c>
      <c r="VV19">
        <v>0</v>
      </c>
      <c r="VW19">
        <v>0</v>
      </c>
      <c r="VX19">
        <v>856.74666348699202</v>
      </c>
      <c r="VY19">
        <v>16.3902461231947</v>
      </c>
      <c r="VZ19">
        <v>0</v>
      </c>
      <c r="WA19">
        <v>0</v>
      </c>
      <c r="WB19">
        <v>0</v>
      </c>
      <c r="WC19">
        <v>1230.27406184754</v>
      </c>
      <c r="WD19">
        <v>0</v>
      </c>
      <c r="WE19">
        <v>15.5213051445771</v>
      </c>
      <c r="WF19">
        <v>9909.2961586015008</v>
      </c>
      <c r="WG19">
        <v>9909.2961586015008</v>
      </c>
      <c r="WH19">
        <v>18338.772116474101</v>
      </c>
      <c r="WI19">
        <v>0</v>
      </c>
      <c r="WJ19">
        <v>798.85805331543804</v>
      </c>
      <c r="WK19">
        <v>0</v>
      </c>
      <c r="WL19">
        <v>15.5333616642279</v>
      </c>
      <c r="WM19">
        <v>6303.97666630612</v>
      </c>
      <c r="WN19">
        <v>6303.97666630612</v>
      </c>
      <c r="WO19">
        <v>11657.6128247262</v>
      </c>
      <c r="WP19">
        <v>21.1111</v>
      </c>
      <c r="WQ19">
        <v>26.666699999999999</v>
      </c>
      <c r="WR19">
        <v>1304.14187565058</v>
      </c>
      <c r="WS19">
        <v>0</v>
      </c>
      <c r="WT19">
        <v>15.1576266074541</v>
      </c>
      <c r="WU19">
        <v>10541.5686893125</v>
      </c>
      <c r="WV19">
        <v>10541.5686893125</v>
      </c>
      <c r="WW19">
        <v>18981.879679045102</v>
      </c>
      <c r="WX19">
        <v>0</v>
      </c>
      <c r="WY19">
        <v>666.25922365952204</v>
      </c>
      <c r="WZ19">
        <v>0</v>
      </c>
      <c r="XA19">
        <v>15.5017542156713</v>
      </c>
      <c r="XB19">
        <v>6243.9004246887998</v>
      </c>
      <c r="XC19">
        <v>6243.9004246887998</v>
      </c>
      <c r="XD19">
        <v>11596.0464385829</v>
      </c>
      <c r="XE19">
        <v>0</v>
      </c>
      <c r="XF19">
        <v>2684.2035655424102</v>
      </c>
      <c r="XG19">
        <v>15.078022344922999</v>
      </c>
      <c r="XH19">
        <v>47429.031592032901</v>
      </c>
      <c r="XI19">
        <v>47429.031592032901</v>
      </c>
      <c r="XJ19">
        <v>92201.8355183698</v>
      </c>
      <c r="XK19">
        <v>21.1111</v>
      </c>
      <c r="XL19">
        <v>26.666699999999999</v>
      </c>
      <c r="XM19">
        <v>582.93938990423101</v>
      </c>
      <c r="XN19">
        <v>0</v>
      </c>
      <c r="XO19">
        <v>15.393085716441201</v>
      </c>
      <c r="XP19">
        <v>0</v>
      </c>
      <c r="XQ19">
        <v>0</v>
      </c>
      <c r="XR19">
        <v>0</v>
      </c>
      <c r="XS19">
        <v>370.92451967276202</v>
      </c>
      <c r="XT19">
        <v>0</v>
      </c>
      <c r="XU19">
        <v>15.406905716803299</v>
      </c>
      <c r="XV19">
        <v>0</v>
      </c>
      <c r="XW19">
        <v>0</v>
      </c>
      <c r="XX19">
        <v>0</v>
      </c>
      <c r="XY19">
        <v>465.804750641797</v>
      </c>
      <c r="XZ19">
        <v>0</v>
      </c>
      <c r="YA19">
        <v>14.9302921166455</v>
      </c>
      <c r="YB19">
        <v>0</v>
      </c>
      <c r="YC19">
        <v>0</v>
      </c>
      <c r="YD19">
        <v>0</v>
      </c>
      <c r="YE19">
        <v>326.66715661641598</v>
      </c>
      <c r="YF19">
        <v>0</v>
      </c>
      <c r="YG19">
        <v>15.523729623354701</v>
      </c>
      <c r="YH19">
        <v>0</v>
      </c>
      <c r="YI19">
        <v>0</v>
      </c>
      <c r="YJ19">
        <v>0</v>
      </c>
      <c r="YK19">
        <v>2726.6828314326499</v>
      </c>
      <c r="YL19">
        <v>0</v>
      </c>
      <c r="YM19">
        <v>15.154978412030401</v>
      </c>
      <c r="YN19">
        <v>0</v>
      </c>
      <c r="YO19">
        <v>0</v>
      </c>
      <c r="YP19">
        <v>0</v>
      </c>
      <c r="YQ19">
        <v>0</v>
      </c>
      <c r="YR19">
        <v>1979.90458125441</v>
      </c>
      <c r="YS19">
        <v>15.617000259697299</v>
      </c>
      <c r="YT19">
        <v>0</v>
      </c>
      <c r="YU19">
        <v>0</v>
      </c>
      <c r="YV19">
        <v>0</v>
      </c>
      <c r="YW19">
        <v>0</v>
      </c>
      <c r="YX19">
        <v>1249.2065035108501</v>
      </c>
      <c r="YY19">
        <v>15.6120720885863</v>
      </c>
      <c r="YZ19">
        <v>0</v>
      </c>
      <c r="ZA19">
        <v>0</v>
      </c>
      <c r="ZB19">
        <v>0</v>
      </c>
      <c r="ZC19">
        <v>0</v>
      </c>
      <c r="ZD19">
        <v>1045.32001767876</v>
      </c>
      <c r="ZE19">
        <v>16.067377320877402</v>
      </c>
      <c r="ZF19">
        <v>0</v>
      </c>
      <c r="ZG19">
        <v>0</v>
      </c>
      <c r="ZH19">
        <v>0</v>
      </c>
      <c r="ZI19">
        <v>0</v>
      </c>
      <c r="ZJ19">
        <v>1254.06890690199</v>
      </c>
      <c r="ZK19">
        <v>15.614989860764499</v>
      </c>
      <c r="ZL19">
        <v>0</v>
      </c>
      <c r="ZM19">
        <v>0</v>
      </c>
      <c r="ZN19">
        <v>0</v>
      </c>
      <c r="ZO19">
        <v>0</v>
      </c>
      <c r="ZP19">
        <v>13680.949491470699</v>
      </c>
      <c r="ZQ19">
        <v>14.677291126305301</v>
      </c>
      <c r="ZR19">
        <v>0</v>
      </c>
      <c r="ZS19">
        <v>0</v>
      </c>
      <c r="ZT19">
        <v>0</v>
      </c>
      <c r="ZU19">
        <v>0</v>
      </c>
      <c r="ZV19">
        <v>2505.97755444718</v>
      </c>
      <c r="ZW19">
        <v>15.9237515253387</v>
      </c>
      <c r="ZX19">
        <v>0</v>
      </c>
      <c r="ZY19">
        <v>0</v>
      </c>
      <c r="ZZ19">
        <v>0</v>
      </c>
      <c r="AAA19">
        <v>0</v>
      </c>
      <c r="AAB19">
        <v>1600.4235812991899</v>
      </c>
      <c r="AAC19">
        <v>15.931239121122401</v>
      </c>
      <c r="AAD19">
        <v>0</v>
      </c>
      <c r="AAE19">
        <v>0</v>
      </c>
      <c r="AAF19">
        <v>0</v>
      </c>
      <c r="AAG19">
        <v>0</v>
      </c>
      <c r="AAH19">
        <v>1551.67303387071</v>
      </c>
      <c r="AAI19">
        <v>16.0982492395454</v>
      </c>
      <c r="AAJ19">
        <v>0</v>
      </c>
      <c r="AAK19">
        <v>0</v>
      </c>
      <c r="AAL19">
        <v>0</v>
      </c>
      <c r="AAM19">
        <v>0</v>
      </c>
      <c r="AAN19">
        <v>1625.7992001766399</v>
      </c>
      <c r="AAO19">
        <v>15.952357535675899</v>
      </c>
      <c r="AAP19">
        <v>0</v>
      </c>
      <c r="AAQ19">
        <v>0</v>
      </c>
      <c r="AAR19">
        <v>0</v>
      </c>
      <c r="AAS19">
        <v>0</v>
      </c>
      <c r="AAT19">
        <v>10388.1510234995</v>
      </c>
      <c r="AAU19">
        <v>14.520094760633601</v>
      </c>
      <c r="AAV19">
        <v>0</v>
      </c>
      <c r="AAW19">
        <v>0</v>
      </c>
      <c r="AAX19">
        <v>0</v>
      </c>
      <c r="AAY19">
        <v>0</v>
      </c>
      <c r="AAZ19">
        <v>2643.49858157471</v>
      </c>
      <c r="ABA19">
        <v>15.802145897465</v>
      </c>
      <c r="ABB19">
        <v>0</v>
      </c>
      <c r="ABC19">
        <v>0</v>
      </c>
      <c r="ABD19">
        <v>0</v>
      </c>
      <c r="ABE19">
        <v>0</v>
      </c>
      <c r="ABF19">
        <v>1709.99880395214</v>
      </c>
      <c r="ABG19">
        <v>15.827409472463501</v>
      </c>
      <c r="ABH19">
        <v>0</v>
      </c>
      <c r="ABI19">
        <v>0</v>
      </c>
      <c r="ABJ19">
        <v>0</v>
      </c>
      <c r="ABK19">
        <v>0</v>
      </c>
      <c r="ABL19">
        <v>1757.7130437748201</v>
      </c>
      <c r="ABM19">
        <v>15.918218631920301</v>
      </c>
      <c r="ABN19">
        <v>0</v>
      </c>
      <c r="ABO19">
        <v>0</v>
      </c>
      <c r="ABP19">
        <v>0</v>
      </c>
      <c r="ABQ19">
        <v>0</v>
      </c>
      <c r="ABR19">
        <v>1688.8210184258901</v>
      </c>
      <c r="ABS19">
        <v>15.810315624969</v>
      </c>
      <c r="ABT19">
        <v>0</v>
      </c>
      <c r="ABU19">
        <v>0</v>
      </c>
      <c r="ABV19">
        <v>0</v>
      </c>
      <c r="ABW19">
        <v>0</v>
      </c>
      <c r="ABX19">
        <v>9439.3790139836401</v>
      </c>
      <c r="ABY19">
        <v>14.388942976845399</v>
      </c>
      <c r="ABZ19">
        <v>0</v>
      </c>
      <c r="ACA19">
        <v>0</v>
      </c>
      <c r="ACB19">
        <v>0</v>
      </c>
      <c r="ACC19">
        <v>0</v>
      </c>
      <c r="ACD19">
        <v>0</v>
      </c>
      <c r="ACE19">
        <v>0</v>
      </c>
      <c r="ACF19">
        <v>12.896139780730101</v>
      </c>
      <c r="ACG19">
        <v>12.896139780730101</v>
      </c>
      <c r="ACH19">
        <v>0</v>
      </c>
      <c r="ACI19">
        <v>0</v>
      </c>
      <c r="ACJ19">
        <v>0</v>
      </c>
      <c r="ACK19">
        <v>20.760648244627699</v>
      </c>
      <c r="ACL19">
        <v>20.760648244627699</v>
      </c>
      <c r="ACM19">
        <v>0</v>
      </c>
      <c r="ACN19">
        <v>0</v>
      </c>
      <c r="ACP19">
        <v>21669.944732182499</v>
      </c>
      <c r="ACR19">
        <v>21669.944732182499</v>
      </c>
      <c r="ACT19">
        <v>15.9263944623352</v>
      </c>
      <c r="ACU19">
        <v>15.6909852055707</v>
      </c>
      <c r="ACV19">
        <v>1.7</v>
      </c>
      <c r="ACW19">
        <v>4.4061363543658896</v>
      </c>
      <c r="ACX19">
        <v>0.78293309774057496</v>
      </c>
      <c r="ACY19">
        <v>15.7209931420701</v>
      </c>
      <c r="ACZ19">
        <v>15.475932845927501</v>
      </c>
      <c r="ADA19">
        <v>1.7</v>
      </c>
      <c r="ADB19">
        <v>4.3999542338280504</v>
      </c>
      <c r="ADC19">
        <v>0.78169928818630396</v>
      </c>
      <c r="ADD19">
        <v>15.105292626002701</v>
      </c>
      <c r="ADE19">
        <v>14.948358072584</v>
      </c>
      <c r="ADF19">
        <v>1.7</v>
      </c>
      <c r="ADG19">
        <v>5.1981535832584704</v>
      </c>
      <c r="ADH19">
        <v>0.75995215868363497</v>
      </c>
      <c r="ADI19">
        <v>16.3663582962491</v>
      </c>
      <c r="ADJ19">
        <v>16.292278527425399</v>
      </c>
      <c r="ADK19">
        <v>0.85</v>
      </c>
      <c r="ADL19">
        <v>4.0012193655603401</v>
      </c>
      <c r="ADM19">
        <v>0.82798192464981002</v>
      </c>
      <c r="ADN19">
        <v>16.341242225325999</v>
      </c>
      <c r="ADO19">
        <v>16.286658098299199</v>
      </c>
      <c r="ADP19">
        <v>0.85</v>
      </c>
      <c r="ADQ19">
        <v>4.1544085421225496</v>
      </c>
      <c r="ADR19">
        <v>0.86640828742558795</v>
      </c>
      <c r="ADS19">
        <v>15.9007372147378</v>
      </c>
      <c r="ADT19">
        <v>15.9007372147378</v>
      </c>
      <c r="ADU19">
        <v>0</v>
      </c>
      <c r="ADV19">
        <v>0</v>
      </c>
      <c r="ADW19">
        <v>1</v>
      </c>
      <c r="ADX19">
        <v>16.345273146452001</v>
      </c>
      <c r="ADY19">
        <v>16.2906685305202</v>
      </c>
      <c r="ADZ19">
        <v>0.85</v>
      </c>
      <c r="AEA19">
        <v>4.1373212304285802</v>
      </c>
      <c r="AEB19">
        <v>0.86719184711486197</v>
      </c>
      <c r="AEC19">
        <v>16.328350078538701</v>
      </c>
      <c r="AED19">
        <v>16.328350078538701</v>
      </c>
      <c r="AEE19">
        <v>0</v>
      </c>
      <c r="AEF19">
        <v>0</v>
      </c>
      <c r="AEG19">
        <v>1</v>
      </c>
      <c r="AEH19">
        <v>16.338069879693201</v>
      </c>
      <c r="AEI19">
        <v>16.338069879693201</v>
      </c>
      <c r="AEJ19">
        <v>0</v>
      </c>
      <c r="AEK19">
        <v>0</v>
      </c>
      <c r="AEL19">
        <v>1</v>
      </c>
      <c r="AEM19">
        <v>16.034429348293301</v>
      </c>
      <c r="AEN19">
        <v>16.034429348293301</v>
      </c>
      <c r="AEO19">
        <v>0</v>
      </c>
      <c r="AEP19">
        <v>0</v>
      </c>
      <c r="AEQ19">
        <v>1</v>
      </c>
      <c r="AER19">
        <v>16.359242130203199</v>
      </c>
      <c r="AES19">
        <v>16.359242130203199</v>
      </c>
      <c r="AET19">
        <v>0</v>
      </c>
      <c r="AEU19">
        <v>0</v>
      </c>
      <c r="AEV19">
        <v>1</v>
      </c>
      <c r="AEW19">
        <v>15.9744795802073</v>
      </c>
      <c r="AEX19">
        <v>15.9744795802073</v>
      </c>
      <c r="AEY19">
        <v>0</v>
      </c>
      <c r="AEZ19">
        <v>0</v>
      </c>
      <c r="AFA19">
        <v>1</v>
      </c>
      <c r="AFB19">
        <v>15.993078597332801</v>
      </c>
      <c r="AFC19">
        <v>15.993078597332801</v>
      </c>
      <c r="AFD19">
        <v>0</v>
      </c>
      <c r="AFE19">
        <v>0</v>
      </c>
      <c r="AFF19">
        <v>1</v>
      </c>
      <c r="AFG19">
        <v>15.704027821229401</v>
      </c>
      <c r="AFH19">
        <v>15.704027821229401</v>
      </c>
      <c r="AFI19">
        <v>0</v>
      </c>
      <c r="AFJ19">
        <v>0</v>
      </c>
      <c r="AFK19">
        <v>1</v>
      </c>
      <c r="AFL19">
        <v>15.980054184937</v>
      </c>
      <c r="AFM19">
        <v>15.980054184937</v>
      </c>
      <c r="AFN19">
        <v>0</v>
      </c>
      <c r="AFO19">
        <v>0</v>
      </c>
      <c r="AFP19">
        <v>1</v>
      </c>
      <c r="AFQ19">
        <v>-1.85500673901754</v>
      </c>
      <c r="AFR19">
        <v>-1.7934864964589401</v>
      </c>
      <c r="AFS19">
        <v>-1.7948434895908001</v>
      </c>
      <c r="AFT19">
        <v>-1.79598336931664</v>
      </c>
      <c r="AFU19">
        <v>-1.8350469798114799</v>
      </c>
      <c r="AFV19">
        <v>-1.78305329290503</v>
      </c>
      <c r="AFW19">
        <v>-1.7778809387454899</v>
      </c>
      <c r="AFX19">
        <v>-1.78175273317975</v>
      </c>
      <c r="AFY19">
        <v>-1.8992096547545601</v>
      </c>
      <c r="AFZ19">
        <v>-1.8569312470405599</v>
      </c>
      <c r="AGA19">
        <v>-1.8545954274551599</v>
      </c>
      <c r="AGB19">
        <v>-1.8545651814306801</v>
      </c>
      <c r="AGC19">
        <v>-1.86304247301348</v>
      </c>
      <c r="AGD19">
        <v>-1.8937342280953799</v>
      </c>
      <c r="AGE19">
        <v>-1.98874390513916</v>
      </c>
      <c r="AGF19">
        <v>0</v>
      </c>
      <c r="AGG19">
        <v>0</v>
      </c>
      <c r="AGH19">
        <v>0</v>
      </c>
      <c r="AGI19">
        <v>0</v>
      </c>
      <c r="AGJ19">
        <v>0</v>
      </c>
      <c r="AGK19">
        <v>0</v>
      </c>
      <c r="AGL19">
        <v>0</v>
      </c>
      <c r="AGM19">
        <v>0</v>
      </c>
      <c r="AGN19">
        <v>0</v>
      </c>
      <c r="AGO19">
        <v>0</v>
      </c>
      <c r="AGP19">
        <v>0</v>
      </c>
      <c r="AGQ19">
        <v>0</v>
      </c>
      <c r="AGR19">
        <v>0</v>
      </c>
      <c r="AGS19">
        <v>0</v>
      </c>
      <c r="AGT19">
        <v>0</v>
      </c>
      <c r="AGU19">
        <v>0</v>
      </c>
      <c r="AGV19">
        <v>0</v>
      </c>
      <c r="AGW19">
        <v>0</v>
      </c>
      <c r="AGX19">
        <v>0</v>
      </c>
      <c r="AGY19">
        <v>0</v>
      </c>
      <c r="AGZ19">
        <v>0</v>
      </c>
      <c r="AHA19">
        <v>0</v>
      </c>
      <c r="AHB19">
        <v>0</v>
      </c>
      <c r="AHC19">
        <v>0</v>
      </c>
      <c r="AHD19">
        <v>0</v>
      </c>
      <c r="AHE19">
        <v>0</v>
      </c>
      <c r="AHF19">
        <v>0</v>
      </c>
      <c r="AHG19">
        <v>0</v>
      </c>
      <c r="AHH19">
        <v>0</v>
      </c>
      <c r="AHI19">
        <v>0</v>
      </c>
      <c r="AHJ19">
        <v>0</v>
      </c>
      <c r="AHK19">
        <v>0</v>
      </c>
      <c r="AHL19">
        <v>0</v>
      </c>
      <c r="AHM19">
        <v>0</v>
      </c>
      <c r="AHN19">
        <v>0</v>
      </c>
      <c r="AHO19">
        <v>0</v>
      </c>
      <c r="AHP19">
        <v>0</v>
      </c>
      <c r="AHQ19">
        <v>0</v>
      </c>
      <c r="AHR19">
        <v>0</v>
      </c>
      <c r="AHS19">
        <v>0</v>
      </c>
      <c r="AHT19">
        <v>0</v>
      </c>
      <c r="AHU19">
        <v>0</v>
      </c>
      <c r="AHV19">
        <v>0</v>
      </c>
      <c r="AHW19">
        <v>0</v>
      </c>
      <c r="AHX19">
        <v>0</v>
      </c>
      <c r="AHZ19">
        <v>0</v>
      </c>
      <c r="AIB19">
        <v>0</v>
      </c>
      <c r="AID19">
        <v>0</v>
      </c>
      <c r="AIF19">
        <v>0</v>
      </c>
      <c r="AIH19">
        <v>0</v>
      </c>
      <c r="AIJ19">
        <v>0</v>
      </c>
      <c r="AIL19">
        <v>0</v>
      </c>
      <c r="AIN19">
        <v>0</v>
      </c>
      <c r="AIP19">
        <v>0</v>
      </c>
      <c r="AIR19">
        <v>0</v>
      </c>
      <c r="AIT19">
        <v>0</v>
      </c>
      <c r="AIV19">
        <v>0</v>
      </c>
      <c r="AIX19">
        <v>0</v>
      </c>
      <c r="AIZ19">
        <v>0</v>
      </c>
      <c r="AJB19">
        <v>0</v>
      </c>
      <c r="AJC19">
        <v>0</v>
      </c>
      <c r="AJE19">
        <v>2.8262647931182599E-5</v>
      </c>
      <c r="AJH19">
        <v>15963.1825381075</v>
      </c>
      <c r="AJJ19">
        <v>183.80401834048999</v>
      </c>
      <c r="AJK19">
        <v>220.596795833333</v>
      </c>
      <c r="AJL19">
        <v>220.596795833333</v>
      </c>
      <c r="AJM19">
        <v>190.047162098179</v>
      </c>
      <c r="AJN19">
        <v>347.36796874999999</v>
      </c>
      <c r="AJO19">
        <v>227.44929166666699</v>
      </c>
      <c r="AJP19">
        <v>227.44929166666699</v>
      </c>
      <c r="AJQ19">
        <v>219.363420886261</v>
      </c>
      <c r="AJR19">
        <v>358.171252083333</v>
      </c>
      <c r="AJS19">
        <v>938.57615625000005</v>
      </c>
      <c r="AJT19">
        <v>938.57615625000005</v>
      </c>
      <c r="AJU19">
        <v>156.81271254174601</v>
      </c>
      <c r="AJV19">
        <v>1477.951171875</v>
      </c>
      <c r="AJW19">
        <v>0</v>
      </c>
      <c r="AJX19">
        <v>0</v>
      </c>
      <c r="AJY19">
        <v>0</v>
      </c>
      <c r="AJZ19">
        <v>0</v>
      </c>
      <c r="AKA19">
        <v>0</v>
      </c>
      <c r="AKB19">
        <v>0</v>
      </c>
      <c r="AKC19">
        <v>0</v>
      </c>
      <c r="AKD19">
        <v>0</v>
      </c>
      <c r="AKE19">
        <v>74.738617733567096</v>
      </c>
      <c r="AKF19">
        <v>74.738617733567096</v>
      </c>
      <c r="AKG19">
        <v>0</v>
      </c>
      <c r="AKH19">
        <v>0</v>
      </c>
      <c r="AKI19">
        <v>0</v>
      </c>
      <c r="AKJ19">
        <v>0</v>
      </c>
      <c r="AKK19">
        <v>0</v>
      </c>
      <c r="AKL19">
        <v>74.738617733567096</v>
      </c>
      <c r="AKM19">
        <v>74.738617733567096</v>
      </c>
      <c r="AKN19">
        <v>0</v>
      </c>
      <c r="AKO19">
        <v>0</v>
      </c>
      <c r="AKP19">
        <v>0</v>
      </c>
      <c r="AKT19">
        <v>0</v>
      </c>
      <c r="AKX19">
        <v>0</v>
      </c>
      <c r="ALB19">
        <v>20.760648244627699</v>
      </c>
      <c r="ALC19">
        <v>20.760648244627699</v>
      </c>
      <c r="ALD19">
        <v>0</v>
      </c>
      <c r="ALE19">
        <v>0</v>
      </c>
      <c r="ALF19">
        <v>0</v>
      </c>
      <c r="ALH19">
        <v>12.896139779823899</v>
      </c>
      <c r="ALI19">
        <v>2.8568269606532499E-3</v>
      </c>
      <c r="ALJ19">
        <v>25.075323010570902</v>
      </c>
      <c r="ALK19">
        <v>12.896139780730101</v>
      </c>
      <c r="ALL19">
        <v>25.075323010570902</v>
      </c>
      <c r="ALM19">
        <v>0</v>
      </c>
      <c r="ALN19">
        <v>16.2246085138725</v>
      </c>
      <c r="ALO19">
        <v>2.8568269606532499E-3</v>
      </c>
      <c r="ALP19">
        <v>25.100843848900201</v>
      </c>
      <c r="ALQ19">
        <v>25.075323010570902</v>
      </c>
      <c r="ALR19">
        <v>12.896139779823899</v>
      </c>
      <c r="ALS19">
        <v>25.075323010570902</v>
      </c>
      <c r="ALT19">
        <v>13.4160329661484</v>
      </c>
      <c r="ALU19">
        <v>25.075323010570902</v>
      </c>
      <c r="ALV19">
        <v>12.2200000000079</v>
      </c>
      <c r="ALW19">
        <v>9.9999999999999897E-12</v>
      </c>
      <c r="ALX19">
        <v>12.896139780730101</v>
      </c>
      <c r="ALY19">
        <v>9.9999999999999897E-12</v>
      </c>
      <c r="ALZ19">
        <v>0</v>
      </c>
      <c r="AMA19">
        <v>12.896139780730101</v>
      </c>
      <c r="AMB19">
        <v>0</v>
      </c>
      <c r="AMC19">
        <v>12.896139780730101</v>
      </c>
      <c r="AMD19">
        <v>0</v>
      </c>
      <c r="AME19">
        <v>12.896139780730101</v>
      </c>
      <c r="AMF19">
        <v>0</v>
      </c>
      <c r="AMG19">
        <v>0</v>
      </c>
      <c r="AMH19">
        <v>4.2474999999999996</v>
      </c>
      <c r="AMI19">
        <v>16.258134264283399</v>
      </c>
      <c r="AMJ19">
        <v>1.48245</v>
      </c>
      <c r="AMK19" s="580">
        <v>14.843573322561999</v>
      </c>
      <c r="AML19">
        <v>3.3546</v>
      </c>
      <c r="AMM19">
        <v>16.2545719575051</v>
      </c>
      <c r="AMN19">
        <v>1.48245</v>
      </c>
      <c r="AMO19">
        <v>16.260322176080098</v>
      </c>
      <c r="AMP19">
        <v>2.3343750000000001</v>
      </c>
      <c r="AMQ19">
        <v>16.3573786370935</v>
      </c>
      <c r="AMR19">
        <v>0.70253968657866395</v>
      </c>
      <c r="AMS19">
        <v>14.599314614602999</v>
      </c>
      <c r="AMT19">
        <v>3.3546</v>
      </c>
      <c r="AMU19">
        <v>16.281822085887999</v>
      </c>
      <c r="AMV19">
        <v>0.98829999999999996</v>
      </c>
      <c r="AMW19">
        <v>16.303629239045101</v>
      </c>
      <c r="AMX19">
        <v>0.98829999999999996</v>
      </c>
      <c r="AMY19">
        <v>16.2738922675588</v>
      </c>
      <c r="AMZ19">
        <v>1.5562499999999999</v>
      </c>
      <c r="ANA19">
        <v>16.421603865840801</v>
      </c>
      <c r="ANB19">
        <v>0.85143399110627305</v>
      </c>
      <c r="ANC19">
        <v>14.4471679578657</v>
      </c>
      <c r="AND19">
        <v>3.3546</v>
      </c>
      <c r="ANE19">
        <v>16.1781674073126</v>
      </c>
      <c r="ANF19">
        <v>1.0189999999999999</v>
      </c>
      <c r="ANG19">
        <v>16.039531574259701</v>
      </c>
      <c r="ANH19">
        <v>1.0189999999999999</v>
      </c>
      <c r="ANI19">
        <v>16.151906660720499</v>
      </c>
      <c r="ANJ19">
        <v>1.6046499999999999</v>
      </c>
      <c r="ANK19">
        <v>16.249078248001201</v>
      </c>
      <c r="ANL19">
        <v>0.98277433288599203</v>
      </c>
      <c r="ANM19">
        <v>9.3564146865786597</v>
      </c>
      <c r="ANN19">
        <v>7.7388839911062703</v>
      </c>
      <c r="ANO19">
        <v>7.9800243328859901</v>
      </c>
      <c r="ANP19">
        <v>14.843573322561999</v>
      </c>
      <c r="ANQ19">
        <v>15.8181182151074</v>
      </c>
      <c r="ANR19">
        <v>15.8216805218856</v>
      </c>
      <c r="ANS19">
        <v>16.173790815804601</v>
      </c>
      <c r="ANT19">
        <v>15.8238684336823</v>
      </c>
      <c r="ANU19">
        <v>14.599314614602999</v>
      </c>
      <c r="ANV19">
        <v>16.0982342645991</v>
      </c>
      <c r="ANW19">
        <v>16.120041417756202</v>
      </c>
      <c r="ANX19">
        <v>16.238016044551902</v>
      </c>
      <c r="ANY19">
        <v>16.090304446269901</v>
      </c>
      <c r="ANZ19">
        <v>14.4471679578657</v>
      </c>
      <c r="AOA19">
        <v>15.994579586023701</v>
      </c>
      <c r="AOB19">
        <v>15.8559437529708</v>
      </c>
      <c r="AOC19">
        <v>16.065490426712302</v>
      </c>
      <c r="AOD19">
        <v>15.9683188394316</v>
      </c>
      <c r="AOE19">
        <v>16.2246085138725</v>
      </c>
      <c r="AOF19">
        <v>4.2474999999999996</v>
      </c>
      <c r="AOG19">
        <v>16.450710588506201</v>
      </c>
      <c r="AOH19">
        <v>4.2474999999999996</v>
      </c>
    </row>
    <row r="20" spans="1:1074">
      <c r="A20" t="s">
        <v>2590</v>
      </c>
      <c r="B20">
        <v>-3.33</v>
      </c>
      <c r="D20">
        <v>-3.33</v>
      </c>
      <c r="F20">
        <v>10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c r="BY20">
        <v>0</v>
      </c>
      <c r="BZ20">
        <v>0</v>
      </c>
      <c r="CA20">
        <v>0</v>
      </c>
      <c r="CB20">
        <v>0</v>
      </c>
      <c r="CC20">
        <v>0</v>
      </c>
      <c r="CD20">
        <v>0</v>
      </c>
      <c r="CE20">
        <v>0</v>
      </c>
      <c r="CF20">
        <v>0</v>
      </c>
      <c r="CG20">
        <v>0</v>
      </c>
      <c r="CH20">
        <v>0</v>
      </c>
      <c r="CI20">
        <v>0</v>
      </c>
      <c r="CJ20">
        <v>0</v>
      </c>
      <c r="CK20">
        <v>0</v>
      </c>
      <c r="CL20">
        <v>0</v>
      </c>
      <c r="CM20">
        <v>0</v>
      </c>
      <c r="CN20">
        <v>0</v>
      </c>
      <c r="CO20">
        <v>0</v>
      </c>
      <c r="CP20">
        <v>0</v>
      </c>
      <c r="CQ20">
        <v>0</v>
      </c>
      <c r="CR20">
        <v>0</v>
      </c>
      <c r="CS20">
        <v>0</v>
      </c>
      <c r="CT20">
        <v>0</v>
      </c>
      <c r="CU20">
        <v>0</v>
      </c>
      <c r="CV20">
        <v>0</v>
      </c>
      <c r="CW20">
        <v>0</v>
      </c>
      <c r="CX20">
        <v>0</v>
      </c>
      <c r="CY20">
        <v>0</v>
      </c>
      <c r="CZ20">
        <v>0</v>
      </c>
      <c r="DA20">
        <v>0</v>
      </c>
      <c r="DB20">
        <v>0</v>
      </c>
      <c r="DC20">
        <v>0</v>
      </c>
      <c r="DD20">
        <v>0</v>
      </c>
      <c r="DE20">
        <v>0</v>
      </c>
      <c r="DF20">
        <v>0</v>
      </c>
      <c r="DG20">
        <v>0</v>
      </c>
      <c r="DH20">
        <v>0</v>
      </c>
      <c r="DI20">
        <v>0</v>
      </c>
      <c r="DJ20">
        <v>0</v>
      </c>
      <c r="DK20">
        <v>0</v>
      </c>
      <c r="DL20">
        <v>0</v>
      </c>
      <c r="DM20">
        <v>0</v>
      </c>
      <c r="DN20">
        <v>0</v>
      </c>
      <c r="DO20">
        <v>0</v>
      </c>
      <c r="DP20">
        <v>0</v>
      </c>
      <c r="DQ20">
        <v>0</v>
      </c>
      <c r="DR20">
        <v>0</v>
      </c>
      <c r="DS20">
        <v>0</v>
      </c>
      <c r="DT20">
        <v>0</v>
      </c>
      <c r="DU20">
        <v>0</v>
      </c>
      <c r="DV20">
        <v>0</v>
      </c>
      <c r="DW20">
        <v>0</v>
      </c>
      <c r="DX20">
        <v>0</v>
      </c>
      <c r="DY20">
        <v>0</v>
      </c>
      <c r="DZ20">
        <v>0</v>
      </c>
      <c r="EA20">
        <v>0</v>
      </c>
      <c r="EB20">
        <v>0</v>
      </c>
      <c r="EC20">
        <v>0</v>
      </c>
      <c r="ED20">
        <v>0</v>
      </c>
      <c r="EE20">
        <v>0</v>
      </c>
      <c r="EF20">
        <v>0</v>
      </c>
      <c r="EG20">
        <v>0</v>
      </c>
      <c r="EH20">
        <v>0</v>
      </c>
      <c r="EI20">
        <v>0</v>
      </c>
      <c r="EJ20">
        <v>0</v>
      </c>
      <c r="EK20">
        <v>0</v>
      </c>
      <c r="EL20">
        <v>0</v>
      </c>
      <c r="EM20">
        <v>0</v>
      </c>
      <c r="EN20">
        <v>0</v>
      </c>
      <c r="EO20">
        <v>0</v>
      </c>
      <c r="EP20">
        <v>0</v>
      </c>
      <c r="EQ20">
        <v>0</v>
      </c>
      <c r="ER20">
        <v>0</v>
      </c>
      <c r="ES20">
        <v>0</v>
      </c>
      <c r="ET20">
        <v>0</v>
      </c>
      <c r="EU20">
        <v>0</v>
      </c>
      <c r="EV20">
        <v>0</v>
      </c>
      <c r="EW20">
        <v>0</v>
      </c>
      <c r="EX20">
        <v>0</v>
      </c>
      <c r="EY20">
        <v>0</v>
      </c>
      <c r="EZ20">
        <v>0</v>
      </c>
      <c r="FA20">
        <v>0</v>
      </c>
      <c r="FB20">
        <v>0</v>
      </c>
      <c r="FC20">
        <v>0</v>
      </c>
      <c r="FD20">
        <v>0</v>
      </c>
      <c r="FE20">
        <v>0</v>
      </c>
      <c r="FF20">
        <v>0</v>
      </c>
      <c r="FG20">
        <v>0</v>
      </c>
      <c r="FH20">
        <v>0</v>
      </c>
      <c r="FI20">
        <v>0</v>
      </c>
      <c r="FJ20">
        <v>0</v>
      </c>
      <c r="FK20">
        <v>0</v>
      </c>
      <c r="FL20">
        <v>0</v>
      </c>
      <c r="FM20">
        <v>0</v>
      </c>
      <c r="FN20">
        <v>0</v>
      </c>
      <c r="FO20">
        <v>0</v>
      </c>
      <c r="FP20">
        <v>0</v>
      </c>
      <c r="FQ20">
        <v>0</v>
      </c>
      <c r="FR20">
        <v>0</v>
      </c>
      <c r="FS20">
        <v>0</v>
      </c>
      <c r="FT20">
        <v>0</v>
      </c>
      <c r="FU20">
        <v>0</v>
      </c>
      <c r="FV20">
        <v>0</v>
      </c>
      <c r="FW20">
        <v>0</v>
      </c>
      <c r="FX20">
        <v>0</v>
      </c>
      <c r="FY20">
        <v>0</v>
      </c>
      <c r="FZ20">
        <v>0</v>
      </c>
      <c r="GA20">
        <v>0</v>
      </c>
      <c r="GB20">
        <v>-40.877980165213799</v>
      </c>
      <c r="GC20">
        <v>273.26691405114502</v>
      </c>
      <c r="GD20">
        <v>197.00439805891</v>
      </c>
      <c r="GE20">
        <v>-25.953044280936599</v>
      </c>
      <c r="GF20">
        <v>177.14687989762899</v>
      </c>
      <c r="GG20">
        <v>126.31334835469301</v>
      </c>
      <c r="GH20">
        <v>-34.173640875186102</v>
      </c>
      <c r="GI20">
        <v>354.15333025592099</v>
      </c>
      <c r="GJ20">
        <v>201.499353018562</v>
      </c>
      <c r="GK20">
        <v>-25.0995807600621</v>
      </c>
      <c r="GL20">
        <v>180.72427820103701</v>
      </c>
      <c r="GM20">
        <v>130.11546641682801</v>
      </c>
      <c r="GN20">
        <v>-54.866543636526799</v>
      </c>
      <c r="GO20">
        <v>17.3017898377582</v>
      </c>
      <c r="GP20">
        <v>16.6719258374928</v>
      </c>
      <c r="GQ20">
        <v>86.882203398744707</v>
      </c>
      <c r="GR20">
        <v>214.53700134340201</v>
      </c>
      <c r="GS20">
        <v>1285.75672101909</v>
      </c>
      <c r="GT20">
        <v>-36.781183129137098</v>
      </c>
      <c r="GU20">
        <v>17.272669156353398</v>
      </c>
      <c r="GV20">
        <v>16.637854332039002</v>
      </c>
      <c r="GW20">
        <v>55.280148819236103</v>
      </c>
      <c r="GX20">
        <v>139.61674700901901</v>
      </c>
      <c r="GY20">
        <v>839.00771158572798</v>
      </c>
      <c r="GZ20">
        <v>-59.033818919644403</v>
      </c>
      <c r="HA20">
        <v>16.653267132631601</v>
      </c>
      <c r="HB20">
        <v>16.137151898591501</v>
      </c>
      <c r="HC20">
        <v>68.544703418950206</v>
      </c>
      <c r="HD20">
        <v>166.929570144683</v>
      </c>
      <c r="HE20">
        <v>1043.29167083781</v>
      </c>
      <c r="HF20">
        <v>-35.856389153657602</v>
      </c>
      <c r="HG20">
        <v>17.311625500971498</v>
      </c>
      <c r="HH20">
        <v>16.657118585090799</v>
      </c>
      <c r="HI20">
        <v>56.281141225526</v>
      </c>
      <c r="HJ20">
        <v>143.242780646483</v>
      </c>
      <c r="HK20">
        <v>857.26411548987903</v>
      </c>
      <c r="HL20">
        <v>-23.098192535576299</v>
      </c>
      <c r="HM20">
        <v>16.199643738062498</v>
      </c>
      <c r="HN20">
        <v>16.2198312512329</v>
      </c>
      <c r="HO20">
        <v>117.64461841490299</v>
      </c>
      <c r="HP20">
        <v>428.49966281204598</v>
      </c>
      <c r="HQ20">
        <v>16.683881706577299</v>
      </c>
      <c r="HR20">
        <v>239.378300374346</v>
      </c>
      <c r="HS20">
        <v>-14.357117770191699</v>
      </c>
      <c r="HT20">
        <v>16.217398228964399</v>
      </c>
      <c r="HU20">
        <v>16.246237776238999</v>
      </c>
      <c r="HV20">
        <v>72.580215967726801</v>
      </c>
      <c r="HW20">
        <v>276.184625681152</v>
      </c>
      <c r="HX20">
        <v>16.7016988837558</v>
      </c>
      <c r="HY20">
        <v>155.17661752448601</v>
      </c>
      <c r="HZ20">
        <v>15.8778790700543</v>
      </c>
      <c r="IA20">
        <v>16.084410857537399</v>
      </c>
      <c r="IB20">
        <v>125.843440471885</v>
      </c>
      <c r="IC20">
        <v>-24.5985705091854</v>
      </c>
      <c r="ID20">
        <v>410.281056478484</v>
      </c>
      <c r="IE20">
        <v>16.2173559002647</v>
      </c>
      <c r="IF20">
        <v>213.315827653567</v>
      </c>
      <c r="IG20">
        <v>17.035801793559699</v>
      </c>
      <c r="IH20">
        <v>16.2343865639073</v>
      </c>
      <c r="II20">
        <v>16.2543099348851</v>
      </c>
      <c r="IJ20">
        <v>73.455169975485603</v>
      </c>
      <c r="IK20">
        <v>13.310685592218499</v>
      </c>
      <c r="IL20">
        <v>-13.4049882399508</v>
      </c>
      <c r="IM20">
        <v>282.46772910911</v>
      </c>
      <c r="IN20">
        <v>16.737150168766998</v>
      </c>
      <c r="IO20">
        <v>0.97095782538347097</v>
      </c>
      <c r="IP20">
        <v>159.37080299982699</v>
      </c>
      <c r="IQ20">
        <v>52.280660499035001</v>
      </c>
      <c r="IR20">
        <v>33.439499108255802</v>
      </c>
      <c r="IS20">
        <v>33.5982234646264</v>
      </c>
      <c r="IT20">
        <v>34.170229175423202</v>
      </c>
      <c r="IU20">
        <v>375.73947117649902</v>
      </c>
      <c r="IV20">
        <v>-52.841831221321101</v>
      </c>
      <c r="IW20">
        <v>17.321427316629698</v>
      </c>
      <c r="IX20">
        <v>16.683881706577299</v>
      </c>
      <c r="IY20">
        <v>104.907181556296</v>
      </c>
      <c r="IZ20">
        <v>235.47511297227501</v>
      </c>
      <c r="JA20">
        <v>1352.9176726155499</v>
      </c>
      <c r="JB20">
        <v>-35.368440955178798</v>
      </c>
      <c r="JC20">
        <v>17.351366913026801</v>
      </c>
      <c r="JD20">
        <v>16.7016988837558</v>
      </c>
      <c r="JE20">
        <v>67.636856350198499</v>
      </c>
      <c r="JF20">
        <v>155.556094040695</v>
      </c>
      <c r="JG20">
        <v>894.16693925507104</v>
      </c>
      <c r="JH20">
        <v>-56.170744976611203</v>
      </c>
      <c r="JI20">
        <v>16.736167895663201</v>
      </c>
      <c r="JJ20">
        <v>16.2173559002647</v>
      </c>
      <c r="JK20">
        <v>74.319272214521405</v>
      </c>
      <c r="JL20">
        <v>173.34386419133801</v>
      </c>
      <c r="JM20">
        <v>1065.9981183933801</v>
      </c>
      <c r="JN20">
        <v>-34.4990564882321</v>
      </c>
      <c r="JO20">
        <v>17.403153111344299</v>
      </c>
      <c r="JP20">
        <v>16.737150168766998</v>
      </c>
      <c r="JQ20">
        <v>0.84440776738216605</v>
      </c>
      <c r="JR20">
        <v>69.346196542554296</v>
      </c>
      <c r="JS20">
        <v>0.82984919958001402</v>
      </c>
      <c r="JT20">
        <v>159.48563697219501</v>
      </c>
      <c r="JU20">
        <v>911.38003235365295</v>
      </c>
      <c r="JV20">
        <v>-37.041827158898897</v>
      </c>
      <c r="JW20">
        <v>417.883667507317</v>
      </c>
      <c r="JX20">
        <v>-6.62909966124632</v>
      </c>
      <c r="JY20">
        <v>-20.678911669289398</v>
      </c>
      <c r="JZ20">
        <v>268.53719468792298</v>
      </c>
      <c r="KA20">
        <v>-3.5343526999193302</v>
      </c>
      <c r="KB20">
        <v>-32.874731785052603</v>
      </c>
      <c r="KC20">
        <v>405.74582692814801</v>
      </c>
      <c r="KD20">
        <v>-8.9422572943085807</v>
      </c>
      <c r="KE20">
        <v>-19.188209493099301</v>
      </c>
      <c r="KF20">
        <v>12.3597558969585</v>
      </c>
      <c r="KG20">
        <v>-187.26110333126101</v>
      </c>
      <c r="KH20">
        <v>1.90664631718564</v>
      </c>
      <c r="KI20">
        <v>270.82413545048303</v>
      </c>
      <c r="KJ20">
        <v>-1.58857952515371</v>
      </c>
      <c r="KK20">
        <v>-35.8904108970818</v>
      </c>
      <c r="KL20">
        <v>13.880900311705799</v>
      </c>
      <c r="KM20">
        <v>14.770297833016899</v>
      </c>
      <c r="KN20">
        <v>117.880760662062</v>
      </c>
      <c r="KO20">
        <v>12.8055805058024</v>
      </c>
      <c r="KP20">
        <v>-10.539284270382</v>
      </c>
      <c r="KQ20">
        <v>-194.632597534159</v>
      </c>
      <c r="KR20">
        <v>-1106.89651916146</v>
      </c>
      <c r="KS20">
        <v>-24.0344119506513</v>
      </c>
      <c r="KT20">
        <v>13.889845126387799</v>
      </c>
      <c r="KU20">
        <v>14.7819739703094</v>
      </c>
      <c r="KV20">
        <v>75.740946044213004</v>
      </c>
      <c r="KW20">
        <v>12.8106722201164</v>
      </c>
      <c r="KX20">
        <v>-10.4562471746071</v>
      </c>
      <c r="KY20">
        <v>-122.95335933887399</v>
      </c>
      <c r="KZ20">
        <v>-698.02924889362305</v>
      </c>
      <c r="LA20">
        <v>-30.678645034207999</v>
      </c>
      <c r="LB20">
        <v>13.550341490067099</v>
      </c>
      <c r="LC20">
        <v>14.447619074662301</v>
      </c>
      <c r="LD20">
        <v>130.75518957283401</v>
      </c>
      <c r="LE20">
        <v>12.470953162979001</v>
      </c>
      <c r="LF20">
        <v>-10.550537482791301</v>
      </c>
      <c r="LG20">
        <v>-176.240630596042</v>
      </c>
      <c r="LH20">
        <v>-1099.78140563483</v>
      </c>
      <c r="LI20">
        <v>-21.586408846208201</v>
      </c>
      <c r="LJ20">
        <v>13.9178840716579</v>
      </c>
      <c r="LK20">
        <v>14.7935577195799</v>
      </c>
      <c r="LL20">
        <v>76.252311939516105</v>
      </c>
      <c r="LM20">
        <v>12.8513299448448</v>
      </c>
      <c r="LN20">
        <v>-10.1262403202096</v>
      </c>
      <c r="LO20">
        <v>-112.66052092012301</v>
      </c>
      <c r="LP20">
        <v>-682.56938341001</v>
      </c>
      <c r="LQ20">
        <v>-38.655453702998301</v>
      </c>
      <c r="LR20">
        <v>16.847679651621501</v>
      </c>
      <c r="LS20">
        <v>16.481000000000002</v>
      </c>
      <c r="LT20">
        <v>373.703517140033</v>
      </c>
      <c r="LU20">
        <v>647.72099168997499</v>
      </c>
      <c r="LV20">
        <v>16.6620148435807</v>
      </c>
      <c r="LW20">
        <v>16.4145198507521</v>
      </c>
      <c r="LX20">
        <v>264.329657212455</v>
      </c>
      <c r="LY20">
        <v>-26.201539616510502</v>
      </c>
      <c r="LZ20">
        <v>16.832879286304799</v>
      </c>
      <c r="MA20">
        <v>16.481000000000002</v>
      </c>
      <c r="MB20">
        <v>236.74337250030899</v>
      </c>
      <c r="MC20">
        <v>415.43605378995102</v>
      </c>
      <c r="MD20">
        <v>16.644443894498401</v>
      </c>
      <c r="ME20">
        <v>16.385474948205299</v>
      </c>
      <c r="MF20">
        <v>166.40957809877</v>
      </c>
      <c r="MG20">
        <v>-43.736933811173401</v>
      </c>
      <c r="MH20">
        <v>16.704607556371801</v>
      </c>
      <c r="MI20">
        <v>16.481000000000002</v>
      </c>
      <c r="MJ20">
        <v>208.676534190952</v>
      </c>
      <c r="MK20">
        <v>468.17082005464101</v>
      </c>
      <c r="ML20">
        <v>16.526142044358</v>
      </c>
      <c r="MM20">
        <v>16.0390960237355</v>
      </c>
      <c r="MN20">
        <v>108.01142183315901</v>
      </c>
      <c r="MO20">
        <v>-25.717961562044199</v>
      </c>
      <c r="MP20">
        <v>16.838607619639198</v>
      </c>
      <c r="MQ20">
        <v>16.481000000000002</v>
      </c>
      <c r="MR20">
        <v>236.77310411675401</v>
      </c>
      <c r="MS20">
        <v>413.64678434592201</v>
      </c>
      <c r="MT20">
        <v>16.652292713244201</v>
      </c>
      <c r="MU20">
        <v>16.392771591387501</v>
      </c>
      <c r="MV20">
        <v>167.24142655317399</v>
      </c>
      <c r="MW20">
        <v>-39.053176473922498</v>
      </c>
      <c r="MX20">
        <v>17.8521273052081</v>
      </c>
      <c r="MY20">
        <v>18.231977822733</v>
      </c>
      <c r="MZ20">
        <v>546.48546176713103</v>
      </c>
      <c r="NA20">
        <v>1218.4834431177801</v>
      </c>
      <c r="NB20">
        <v>17.281063275784799</v>
      </c>
      <c r="NC20">
        <v>16.587603550048399</v>
      </c>
      <c r="ND20">
        <v>247.598348062112</v>
      </c>
      <c r="NE20">
        <v>-26.492217755896501</v>
      </c>
      <c r="NF20">
        <v>17.864948735441502</v>
      </c>
      <c r="NG20">
        <v>18.225809303602102</v>
      </c>
      <c r="NH20">
        <v>348.76089548354099</v>
      </c>
      <c r="NI20">
        <v>780.22456895974301</v>
      </c>
      <c r="NJ20">
        <v>17.291994890812202</v>
      </c>
      <c r="NK20">
        <v>16.5988139013714</v>
      </c>
      <c r="NL20">
        <v>158.347927526159</v>
      </c>
      <c r="NM20">
        <v>-41.569235269023402</v>
      </c>
      <c r="NN20">
        <v>17.2566461404097</v>
      </c>
      <c r="NO20" s="35">
        <v>17.4146667614588</v>
      </c>
      <c r="NP20">
        <v>355.56086501529501</v>
      </c>
      <c r="NQ20" s="35">
        <v>837.80306778072099</v>
      </c>
      <c r="NR20" s="35">
        <v>16.8641600978514</v>
      </c>
      <c r="NS20">
        <v>16.189480320493399</v>
      </c>
      <c r="NT20">
        <v>152.469147314266</v>
      </c>
      <c r="NU20">
        <v>-25.9823152145417</v>
      </c>
      <c r="NV20">
        <v>17.922470793458601</v>
      </c>
      <c r="NW20">
        <v>18.2881427881407</v>
      </c>
      <c r="NX20">
        <v>2.3980355890724199</v>
      </c>
      <c r="NY20">
        <v>354.962747785641</v>
      </c>
      <c r="NZ20">
        <v>795.31336625511801</v>
      </c>
      <c r="OA20">
        <v>17.335564687791901</v>
      </c>
      <c r="OB20">
        <v>16.628442348233602</v>
      </c>
      <c r="OC20">
        <v>2.3816264027970702</v>
      </c>
      <c r="OD20">
        <v>159.85179864136299</v>
      </c>
      <c r="OE20">
        <v>2.3980355890724199</v>
      </c>
      <c r="OF20">
        <v>2.3816264027970702</v>
      </c>
      <c r="OG20">
        <v>-38.0226481239457</v>
      </c>
      <c r="OH20">
        <v>17.772933573593701</v>
      </c>
      <c r="OI20">
        <v>18.2907824258406</v>
      </c>
      <c r="OJ20">
        <v>597.91628608311203</v>
      </c>
      <c r="OK20">
        <v>1437.9492652681699</v>
      </c>
      <c r="OL20">
        <v>17.0270894821982</v>
      </c>
      <c r="OM20">
        <v>15.8271234578503</v>
      </c>
      <c r="ON20">
        <v>206.052409056095</v>
      </c>
      <c r="OO20">
        <v>-25.801535300301001</v>
      </c>
      <c r="OP20">
        <v>17.837748735773001</v>
      </c>
      <c r="OQ20">
        <v>18.356596930968401</v>
      </c>
      <c r="OR20">
        <v>388.49812608926197</v>
      </c>
      <c r="OS20">
        <v>940.799549730683</v>
      </c>
      <c r="OT20">
        <v>17.067714874027999</v>
      </c>
      <c r="OU20">
        <v>15.8404072517505</v>
      </c>
      <c r="OV20">
        <v>131.458051395328</v>
      </c>
      <c r="OW20">
        <v>-39.925720852752399</v>
      </c>
      <c r="OX20">
        <v>17.169191807642999</v>
      </c>
      <c r="OY20">
        <v>17.505803883779699</v>
      </c>
      <c r="OZ20">
        <v>408.954148799552</v>
      </c>
      <c r="PA20">
        <v>1028.0752531000001</v>
      </c>
      <c r="PB20">
        <v>16.634511728715399</v>
      </c>
      <c r="PC20">
        <v>15.4978111040408</v>
      </c>
      <c r="PD20">
        <v>131.433178510825</v>
      </c>
      <c r="PE20">
        <v>-25.540519333610199</v>
      </c>
      <c r="PF20">
        <v>17.8665793842436</v>
      </c>
      <c r="PG20">
        <v>18.4290734275116</v>
      </c>
      <c r="PH20">
        <v>2.4377885267492401</v>
      </c>
      <c r="PI20">
        <v>394.52243558801302</v>
      </c>
      <c r="PJ20">
        <v>961.13697013227704</v>
      </c>
      <c r="PK20">
        <v>17.073275724786999</v>
      </c>
      <c r="PL20">
        <v>15.836926114437601</v>
      </c>
      <c r="PM20" s="35">
        <v>2.4367002176194501</v>
      </c>
      <c r="PN20">
        <v>129.473430468412</v>
      </c>
      <c r="PO20">
        <v>16.328607194991999</v>
      </c>
      <c r="PP20">
        <v>16.2741239568923</v>
      </c>
      <c r="PQ20">
        <v>15.83894299794</v>
      </c>
      <c r="PR20">
        <v>16.283568709596199</v>
      </c>
      <c r="PS20">
        <v>16.626120835348601</v>
      </c>
      <c r="PT20">
        <v>16.364201449528</v>
      </c>
      <c r="PU20">
        <v>16.356266386896198</v>
      </c>
      <c r="PV20">
        <v>15.9187951954094</v>
      </c>
      <c r="PW20">
        <v>16.384390349547399</v>
      </c>
      <c r="PX20">
        <v>16.373015512477998</v>
      </c>
      <c r="PY20">
        <v>15.245888942738</v>
      </c>
      <c r="PZ20">
        <v>15.243671289786899</v>
      </c>
      <c r="QA20">
        <v>14.899142545215</v>
      </c>
      <c r="QB20">
        <v>15.243142086529801</v>
      </c>
      <c r="QC20">
        <v>15.092905333592601</v>
      </c>
      <c r="QD20">
        <v>15.665215295154001</v>
      </c>
      <c r="QE20">
        <v>15.445928257379199</v>
      </c>
      <c r="QF20">
        <v>15.3909748167247</v>
      </c>
      <c r="QG20">
        <v>14.971529276675399</v>
      </c>
      <c r="QH20">
        <v>15.384810495566599</v>
      </c>
      <c r="QI20">
        <v>16.5065353687487</v>
      </c>
      <c r="QJ20">
        <v>15.3894870539233</v>
      </c>
      <c r="QK20">
        <v>15.3805237245342</v>
      </c>
      <c r="QL20">
        <v>14.9899972384286</v>
      </c>
      <c r="QM20">
        <v>15.3894764068638</v>
      </c>
      <c r="QN20">
        <v>948.86265319529195</v>
      </c>
      <c r="QO20">
        <v>16.245394454007901</v>
      </c>
      <c r="QP20">
        <v>1105.9737532920501</v>
      </c>
      <c r="QQ20">
        <v>14.3730789683955</v>
      </c>
      <c r="QR20">
        <v>14.369708230257499</v>
      </c>
      <c r="QS20">
        <v>14.0662438306901</v>
      </c>
      <c r="QT20">
        <v>14.352203919478701</v>
      </c>
      <c r="QU20">
        <v>15.072108295396401</v>
      </c>
      <c r="QV20">
        <v>15.6330639718693</v>
      </c>
      <c r="QW20">
        <v>869145.39773586194</v>
      </c>
      <c r="QX20">
        <v>0</v>
      </c>
      <c r="QY20">
        <v>590859.47554427898</v>
      </c>
      <c r="QZ20">
        <v>0</v>
      </c>
      <c r="RA20">
        <v>139579.68829401099</v>
      </c>
      <c r="RB20">
        <v>0</v>
      </c>
      <c r="RC20">
        <v>95291.568453411703</v>
      </c>
      <c r="RD20">
        <v>0</v>
      </c>
      <c r="RE20">
        <v>314428.544112531</v>
      </c>
      <c r="RF20">
        <v>0</v>
      </c>
      <c r="RG20">
        <v>216665.68595496</v>
      </c>
      <c r="RH20" s="35">
        <v>0</v>
      </c>
      <c r="RI20">
        <v>0</v>
      </c>
      <c r="RJ20" s="35">
        <v>0</v>
      </c>
      <c r="RK20">
        <v>14.563249319766401</v>
      </c>
      <c r="RL20">
        <v>10429.41220468</v>
      </c>
      <c r="RM20" s="35">
        <v>10429.41220468</v>
      </c>
      <c r="RN20">
        <v>18920.0008382087</v>
      </c>
      <c r="RO20" s="35">
        <v>0</v>
      </c>
      <c r="RP20">
        <v>0</v>
      </c>
      <c r="RQ20" s="35">
        <v>14.507825676556999</v>
      </c>
      <c r="RR20" s="35">
        <v>6694.5069399370304</v>
      </c>
      <c r="RS20">
        <v>6694.5069399370304</v>
      </c>
      <c r="RT20">
        <v>12089.3050724476</v>
      </c>
      <c r="RU20">
        <v>0</v>
      </c>
      <c r="RV20">
        <v>0</v>
      </c>
      <c r="RW20" s="35">
        <v>14.1041155554108</v>
      </c>
      <c r="RX20">
        <v>11113.42065398</v>
      </c>
      <c r="RY20">
        <v>11113.42065398</v>
      </c>
      <c r="RZ20">
        <v>19620.463795733202</v>
      </c>
      <c r="SA20">
        <v>0</v>
      </c>
      <c r="SB20">
        <v>0</v>
      </c>
      <c r="SC20">
        <v>14.486052281536899</v>
      </c>
      <c r="SD20">
        <v>6720.6526821560001</v>
      </c>
      <c r="SE20">
        <v>6720.6526821560001</v>
      </c>
      <c r="SF20">
        <v>12115.7787297829</v>
      </c>
      <c r="SG20">
        <v>0</v>
      </c>
      <c r="SH20">
        <v>0</v>
      </c>
      <c r="SI20">
        <v>16.3869499021488</v>
      </c>
      <c r="SJ20">
        <v>36750.584757591001</v>
      </c>
      <c r="SK20">
        <v>36750.584757591001</v>
      </c>
      <c r="SL20">
        <v>80513.156653858707</v>
      </c>
      <c r="SM20" s="35">
        <v>21.1111</v>
      </c>
      <c r="SN20">
        <v>26.666699999999999</v>
      </c>
      <c r="SO20">
        <v>0</v>
      </c>
      <c r="SP20">
        <v>0</v>
      </c>
      <c r="SQ20">
        <v>17.286376177153699</v>
      </c>
      <c r="SR20">
        <v>0</v>
      </c>
      <c r="SS20">
        <v>0</v>
      </c>
      <c r="ST20">
        <v>0</v>
      </c>
      <c r="SU20">
        <v>0</v>
      </c>
      <c r="SV20">
        <v>0</v>
      </c>
      <c r="SW20">
        <v>17.2549129373784</v>
      </c>
      <c r="SX20">
        <v>0</v>
      </c>
      <c r="SY20" s="35">
        <v>0</v>
      </c>
      <c r="SZ20">
        <v>0</v>
      </c>
      <c r="TA20">
        <v>0</v>
      </c>
      <c r="TB20">
        <v>0</v>
      </c>
      <c r="TC20">
        <v>16.600452634621401</v>
      </c>
      <c r="TD20">
        <v>0</v>
      </c>
      <c r="TE20">
        <v>0</v>
      </c>
      <c r="TF20">
        <v>0</v>
      </c>
      <c r="TG20">
        <v>0</v>
      </c>
      <c r="TH20">
        <v>0</v>
      </c>
      <c r="TI20">
        <v>17.3052451951765</v>
      </c>
      <c r="TJ20">
        <v>0</v>
      </c>
      <c r="TK20">
        <v>0</v>
      </c>
      <c r="TL20">
        <v>0</v>
      </c>
      <c r="TM20">
        <v>0</v>
      </c>
      <c r="TN20">
        <v>0</v>
      </c>
      <c r="TO20">
        <v>16.8049011559471</v>
      </c>
      <c r="TP20">
        <v>0</v>
      </c>
      <c r="TQ20">
        <v>0</v>
      </c>
      <c r="TR20">
        <v>0</v>
      </c>
      <c r="TS20">
        <v>0</v>
      </c>
      <c r="TT20">
        <v>0</v>
      </c>
      <c r="TU20">
        <v>14.414772658318601</v>
      </c>
      <c r="TV20">
        <v>10657.0534735282</v>
      </c>
      <c r="TW20">
        <v>10657.0534735282</v>
      </c>
      <c r="TX20">
        <v>19171.3634698981</v>
      </c>
      <c r="TY20">
        <v>0</v>
      </c>
      <c r="TZ20">
        <v>0</v>
      </c>
      <c r="UA20">
        <v>14.404781062172299</v>
      </c>
      <c r="UB20">
        <v>6789.5422395449204</v>
      </c>
      <c r="UC20">
        <v>6789.5422395449204</v>
      </c>
      <c r="UD20">
        <v>12199.210725557999</v>
      </c>
      <c r="UE20">
        <v>0</v>
      </c>
      <c r="UF20">
        <v>0</v>
      </c>
      <c r="UG20">
        <v>14.061199281447699</v>
      </c>
      <c r="UH20">
        <v>11257.0933162406</v>
      </c>
      <c r="UI20">
        <v>11257.0933162406</v>
      </c>
      <c r="UJ20">
        <v>19781.7290547499</v>
      </c>
      <c r="UK20">
        <v>0</v>
      </c>
      <c r="UL20">
        <v>0</v>
      </c>
      <c r="UM20">
        <v>14.394562464180099</v>
      </c>
      <c r="UN20">
        <v>6804.2794622035199</v>
      </c>
      <c r="UO20">
        <v>6804.2794622035199</v>
      </c>
      <c r="UP20">
        <v>12214.0624244717</v>
      </c>
      <c r="UQ20">
        <v>0</v>
      </c>
      <c r="UR20">
        <v>0</v>
      </c>
      <c r="US20">
        <v>16.1177733955377</v>
      </c>
      <c r="UT20">
        <v>39164.641555710201</v>
      </c>
      <c r="UU20">
        <v>39164.641555710201</v>
      </c>
      <c r="UV20">
        <v>83200.058848632398</v>
      </c>
      <c r="UW20">
        <v>21.1111</v>
      </c>
      <c r="UX20">
        <v>26.666699999999999</v>
      </c>
      <c r="UY20">
        <v>0</v>
      </c>
      <c r="UZ20">
        <v>0</v>
      </c>
      <c r="VA20">
        <v>17.303641597861901</v>
      </c>
      <c r="VB20">
        <v>0</v>
      </c>
      <c r="VC20">
        <v>0</v>
      </c>
      <c r="VD20">
        <v>0</v>
      </c>
      <c r="VE20">
        <v>0</v>
      </c>
      <c r="VF20">
        <v>0</v>
      </c>
      <c r="VG20">
        <v>17.332680600207699</v>
      </c>
      <c r="VH20">
        <v>0</v>
      </c>
      <c r="VI20">
        <v>0</v>
      </c>
      <c r="VJ20">
        <v>0</v>
      </c>
      <c r="VK20">
        <v>0</v>
      </c>
      <c r="VL20">
        <v>0</v>
      </c>
      <c r="VM20">
        <v>16.659394177344002</v>
      </c>
      <c r="VN20">
        <v>0</v>
      </c>
      <c r="VO20">
        <v>0</v>
      </c>
      <c r="VP20">
        <v>0</v>
      </c>
      <c r="VQ20">
        <v>0</v>
      </c>
      <c r="VR20">
        <v>0</v>
      </c>
      <c r="VS20">
        <v>17.392217470551699</v>
      </c>
      <c r="VT20">
        <v>0</v>
      </c>
      <c r="VU20">
        <v>0</v>
      </c>
      <c r="VV20">
        <v>0</v>
      </c>
      <c r="VW20">
        <v>0</v>
      </c>
      <c r="VX20">
        <v>0</v>
      </c>
      <c r="VY20">
        <v>16.537173310480402</v>
      </c>
      <c r="VZ20">
        <v>0</v>
      </c>
      <c r="WA20">
        <v>0</v>
      </c>
      <c r="WB20">
        <v>0</v>
      </c>
      <c r="WC20">
        <v>0</v>
      </c>
      <c r="WD20">
        <v>0</v>
      </c>
      <c r="WE20">
        <v>13.500268994053</v>
      </c>
      <c r="WF20">
        <v>12347.555855762899</v>
      </c>
      <c r="WG20">
        <v>12347.555855762899</v>
      </c>
      <c r="WH20">
        <v>20889.827520733699</v>
      </c>
      <c r="WI20">
        <v>0</v>
      </c>
      <c r="WJ20">
        <v>0</v>
      </c>
      <c r="WK20">
        <v>0</v>
      </c>
      <c r="WL20">
        <v>13.4957451707281</v>
      </c>
      <c r="WM20">
        <v>7862.2364614564804</v>
      </c>
      <c r="WN20">
        <v>7862.2364614564804</v>
      </c>
      <c r="WO20">
        <v>13289.8369887357</v>
      </c>
      <c r="WP20">
        <v>21.1111</v>
      </c>
      <c r="WQ20">
        <v>26.666699999999999</v>
      </c>
      <c r="WR20">
        <v>0</v>
      </c>
      <c r="WS20">
        <v>0</v>
      </c>
      <c r="WT20">
        <v>13.2333451161652</v>
      </c>
      <c r="WU20">
        <v>12770.265763292</v>
      </c>
      <c r="WV20">
        <v>12770.265763292</v>
      </c>
      <c r="WW20">
        <v>21321.048576248599</v>
      </c>
      <c r="WX20">
        <v>0</v>
      </c>
      <c r="WY20">
        <v>0</v>
      </c>
      <c r="WZ20">
        <v>0</v>
      </c>
      <c r="XA20">
        <v>13.4612657524276</v>
      </c>
      <c r="XB20">
        <v>7905.5508169233699</v>
      </c>
      <c r="XC20">
        <v>7905.5508169233699</v>
      </c>
      <c r="XD20">
        <v>13333.623838740999</v>
      </c>
      <c r="XE20">
        <v>0</v>
      </c>
      <c r="XF20">
        <v>0</v>
      </c>
      <c r="XG20">
        <v>15.0513112572001</v>
      </c>
      <c r="XH20">
        <v>48192.885703886801</v>
      </c>
      <c r="XI20">
        <v>48192.885703886801</v>
      </c>
      <c r="XJ20">
        <v>92329.939793909405</v>
      </c>
      <c r="XK20">
        <v>21.1111</v>
      </c>
      <c r="XL20">
        <v>26.666699999999999</v>
      </c>
      <c r="XM20">
        <v>0</v>
      </c>
      <c r="XN20">
        <v>0</v>
      </c>
      <c r="XO20">
        <v>12.8834053358754</v>
      </c>
      <c r="XP20">
        <v>0</v>
      </c>
      <c r="XQ20">
        <v>0</v>
      </c>
      <c r="XR20">
        <v>0</v>
      </c>
      <c r="XS20">
        <v>0</v>
      </c>
      <c r="XT20">
        <v>0</v>
      </c>
      <c r="XU20">
        <v>12.8858262576318</v>
      </c>
      <c r="XV20">
        <v>0</v>
      </c>
      <c r="XW20">
        <v>0</v>
      </c>
      <c r="XX20">
        <v>0</v>
      </c>
      <c r="XY20">
        <v>0</v>
      </c>
      <c r="XZ20">
        <v>0</v>
      </c>
      <c r="YA20">
        <v>12.547766036191801</v>
      </c>
      <c r="YB20">
        <v>0</v>
      </c>
      <c r="YC20">
        <v>0</v>
      </c>
      <c r="YD20">
        <v>0</v>
      </c>
      <c r="YE20">
        <v>0</v>
      </c>
      <c r="YF20">
        <v>0</v>
      </c>
      <c r="YG20">
        <v>12.9205094162603</v>
      </c>
      <c r="YH20">
        <v>0</v>
      </c>
      <c r="YI20">
        <v>0</v>
      </c>
      <c r="YJ20">
        <v>0</v>
      </c>
      <c r="YK20">
        <v>0</v>
      </c>
      <c r="YL20">
        <v>0</v>
      </c>
      <c r="YM20">
        <v>13.4371191733557</v>
      </c>
      <c r="YN20">
        <v>0</v>
      </c>
      <c r="YO20">
        <v>0</v>
      </c>
      <c r="YP20">
        <v>0</v>
      </c>
      <c r="YQ20">
        <v>0</v>
      </c>
      <c r="YR20">
        <v>0</v>
      </c>
      <c r="YS20">
        <v>16.642561429839901</v>
      </c>
      <c r="YT20">
        <v>0</v>
      </c>
      <c r="YU20">
        <v>0</v>
      </c>
      <c r="YV20">
        <v>0</v>
      </c>
      <c r="YW20">
        <v>0</v>
      </c>
      <c r="YX20">
        <v>0</v>
      </c>
      <c r="YY20">
        <v>16.6232562974951</v>
      </c>
      <c r="YZ20">
        <v>0</v>
      </c>
      <c r="ZA20">
        <v>0</v>
      </c>
      <c r="ZB20">
        <v>0</v>
      </c>
      <c r="ZC20">
        <v>0</v>
      </c>
      <c r="ZD20">
        <v>0</v>
      </c>
      <c r="ZE20">
        <v>16.5312818128426</v>
      </c>
      <c r="ZF20">
        <v>0</v>
      </c>
      <c r="ZG20">
        <v>0</v>
      </c>
      <c r="ZH20">
        <v>0</v>
      </c>
      <c r="ZI20">
        <v>0</v>
      </c>
      <c r="ZJ20">
        <v>0</v>
      </c>
      <c r="ZK20">
        <v>16.630674691913601</v>
      </c>
      <c r="ZL20">
        <v>0</v>
      </c>
      <c r="ZM20">
        <v>0</v>
      </c>
      <c r="ZN20">
        <v>0</v>
      </c>
      <c r="ZO20">
        <v>0</v>
      </c>
      <c r="ZP20">
        <v>0</v>
      </c>
      <c r="ZQ20">
        <v>16.424236321421599</v>
      </c>
      <c r="ZR20">
        <v>0</v>
      </c>
      <c r="ZS20">
        <v>0</v>
      </c>
      <c r="ZT20">
        <v>0</v>
      </c>
      <c r="ZU20">
        <v>0</v>
      </c>
      <c r="ZV20">
        <v>0</v>
      </c>
      <c r="ZW20">
        <v>17.422901241899201</v>
      </c>
      <c r="ZX20">
        <v>0</v>
      </c>
      <c r="ZY20">
        <v>0</v>
      </c>
      <c r="ZZ20">
        <v>0</v>
      </c>
      <c r="AAA20">
        <v>0</v>
      </c>
      <c r="AAB20">
        <v>0</v>
      </c>
      <c r="AAC20">
        <v>17.429642104689702</v>
      </c>
      <c r="AAD20">
        <v>0</v>
      </c>
      <c r="AAE20">
        <v>0</v>
      </c>
      <c r="AAF20">
        <v>0</v>
      </c>
      <c r="AAG20">
        <v>0</v>
      </c>
      <c r="AAH20">
        <v>0</v>
      </c>
      <c r="AAI20">
        <v>16.941583559795198</v>
      </c>
      <c r="AAJ20">
        <v>0</v>
      </c>
      <c r="AAK20">
        <v>0</v>
      </c>
      <c r="AAL20">
        <v>0</v>
      </c>
      <c r="AAM20">
        <v>0</v>
      </c>
      <c r="AAN20">
        <v>0</v>
      </c>
      <c r="AAO20">
        <v>17.4791119244234</v>
      </c>
      <c r="AAP20">
        <v>0</v>
      </c>
      <c r="AAQ20">
        <v>0</v>
      </c>
      <c r="AAR20">
        <v>0</v>
      </c>
      <c r="AAS20">
        <v>0</v>
      </c>
      <c r="AAT20">
        <v>0</v>
      </c>
      <c r="AAU20">
        <v>16.019112722875501</v>
      </c>
      <c r="AAV20">
        <v>0</v>
      </c>
      <c r="AAW20">
        <v>0</v>
      </c>
      <c r="AAX20">
        <v>0</v>
      </c>
      <c r="AAY20">
        <v>0</v>
      </c>
      <c r="AAZ20">
        <v>0</v>
      </c>
      <c r="ABA20">
        <v>17.253435588806301</v>
      </c>
      <c r="ABB20">
        <v>0</v>
      </c>
      <c r="ABC20">
        <v>0</v>
      </c>
      <c r="ABD20">
        <v>0</v>
      </c>
      <c r="ABE20">
        <v>0</v>
      </c>
      <c r="ABF20">
        <v>0</v>
      </c>
      <c r="ABG20">
        <v>17.2995435742205</v>
      </c>
      <c r="ABH20">
        <v>0</v>
      </c>
      <c r="ABI20">
        <v>0</v>
      </c>
      <c r="ABJ20">
        <v>0</v>
      </c>
      <c r="ABK20">
        <v>0</v>
      </c>
      <c r="ABL20">
        <v>0</v>
      </c>
      <c r="ABM20">
        <v>16.778837693651599</v>
      </c>
      <c r="ABN20">
        <v>0</v>
      </c>
      <c r="ABO20">
        <v>0</v>
      </c>
      <c r="ABP20">
        <v>0</v>
      </c>
      <c r="ABQ20">
        <v>0</v>
      </c>
      <c r="ABR20">
        <v>0</v>
      </c>
      <c r="ABS20">
        <v>17.316309880497801</v>
      </c>
      <c r="ABT20">
        <v>0</v>
      </c>
      <c r="ABU20">
        <v>0</v>
      </c>
      <c r="ABV20">
        <v>0</v>
      </c>
      <c r="ABW20">
        <v>0</v>
      </c>
      <c r="ABX20">
        <v>0</v>
      </c>
      <c r="ABY20">
        <v>15.6330639718693</v>
      </c>
      <c r="ABZ20">
        <v>0</v>
      </c>
      <c r="ACA20">
        <v>0</v>
      </c>
      <c r="ACB20">
        <v>0</v>
      </c>
      <c r="ACC20">
        <v>0</v>
      </c>
      <c r="ACD20">
        <v>0</v>
      </c>
      <c r="ACE20">
        <v>0</v>
      </c>
      <c r="ACF20">
        <v>12.2200000000079</v>
      </c>
      <c r="ACG20">
        <v>12.2200000000079</v>
      </c>
      <c r="ACH20">
        <v>0</v>
      </c>
      <c r="ACI20">
        <v>0</v>
      </c>
      <c r="ACJ20">
        <v>0</v>
      </c>
      <c r="ACK20">
        <v>20.760648244627699</v>
      </c>
      <c r="ACL20">
        <v>20.760648244627699</v>
      </c>
      <c r="ACM20">
        <v>0</v>
      </c>
      <c r="ACN20">
        <v>0</v>
      </c>
      <c r="ACP20">
        <v>0</v>
      </c>
      <c r="ACR20">
        <v>0</v>
      </c>
      <c r="ACT20">
        <v>16.3696020637584</v>
      </c>
      <c r="ACU20">
        <v>16.3696020637584</v>
      </c>
      <c r="ACV20">
        <v>0</v>
      </c>
      <c r="ACW20">
        <v>0</v>
      </c>
      <c r="ACX20">
        <v>1</v>
      </c>
      <c r="ACY20">
        <v>16.0992493752459</v>
      </c>
      <c r="ACZ20">
        <v>16.0992493752459</v>
      </c>
      <c r="ADA20">
        <v>0</v>
      </c>
      <c r="ADB20">
        <v>0</v>
      </c>
      <c r="ADC20">
        <v>1</v>
      </c>
      <c r="ADD20">
        <v>15.034614069181901</v>
      </c>
      <c r="ADE20">
        <v>15.034614069181901</v>
      </c>
      <c r="ADF20">
        <v>0</v>
      </c>
      <c r="ADG20">
        <v>0</v>
      </c>
      <c r="ADH20">
        <v>1</v>
      </c>
      <c r="ADI20">
        <v>15.419234564776</v>
      </c>
      <c r="ADJ20">
        <v>15.419234564776</v>
      </c>
      <c r="ADK20">
        <v>0</v>
      </c>
      <c r="ADL20">
        <v>0</v>
      </c>
      <c r="ADM20">
        <v>1</v>
      </c>
      <c r="ADN20">
        <v>15.3714874685775</v>
      </c>
      <c r="ADO20">
        <v>15.3714874685775</v>
      </c>
      <c r="ADP20">
        <v>0</v>
      </c>
      <c r="ADQ20">
        <v>0</v>
      </c>
      <c r="ADR20">
        <v>1</v>
      </c>
      <c r="ADS20">
        <v>14.8836474294352</v>
      </c>
      <c r="ADT20">
        <v>14.8836474294352</v>
      </c>
      <c r="ADU20">
        <v>0</v>
      </c>
      <c r="ADV20">
        <v>0</v>
      </c>
      <c r="ADW20">
        <v>1</v>
      </c>
      <c r="ADX20">
        <v>15.3658422769675</v>
      </c>
      <c r="ADY20">
        <v>15.3658422769675</v>
      </c>
      <c r="ADZ20">
        <v>0</v>
      </c>
      <c r="AEA20">
        <v>0</v>
      </c>
      <c r="AEB20">
        <v>1</v>
      </c>
      <c r="AEC20">
        <v>15.2915174293273</v>
      </c>
      <c r="AED20">
        <v>15.2915174293273</v>
      </c>
      <c r="AEE20">
        <v>0</v>
      </c>
      <c r="AEF20">
        <v>0</v>
      </c>
      <c r="AEG20">
        <v>1</v>
      </c>
      <c r="AEH20">
        <v>15.2881649252844</v>
      </c>
      <c r="AEI20">
        <v>15.2881649252844</v>
      </c>
      <c r="AEJ20">
        <v>0</v>
      </c>
      <c r="AEK20">
        <v>0</v>
      </c>
      <c r="AEL20">
        <v>1</v>
      </c>
      <c r="AEM20">
        <v>14.892214720074399</v>
      </c>
      <c r="AEN20">
        <v>14.892214720074399</v>
      </c>
      <c r="AEO20">
        <v>0</v>
      </c>
      <c r="AEP20">
        <v>0</v>
      </c>
      <c r="AEQ20">
        <v>1</v>
      </c>
      <c r="AER20">
        <v>15.297963955603301</v>
      </c>
      <c r="AES20">
        <v>15.297963955603301</v>
      </c>
      <c r="AET20">
        <v>0</v>
      </c>
      <c r="AEU20">
        <v>0</v>
      </c>
      <c r="AEV20">
        <v>1</v>
      </c>
      <c r="AEW20">
        <v>14.381321571586399</v>
      </c>
      <c r="AEX20">
        <v>14.381321571586399</v>
      </c>
      <c r="AEY20">
        <v>0</v>
      </c>
      <c r="AEZ20">
        <v>0</v>
      </c>
      <c r="AFA20">
        <v>1</v>
      </c>
      <c r="AFB20">
        <v>14.381433238288899</v>
      </c>
      <c r="AFC20">
        <v>14.381433238288899</v>
      </c>
      <c r="AFD20">
        <v>0</v>
      </c>
      <c r="AFE20">
        <v>0</v>
      </c>
      <c r="AFF20">
        <v>1</v>
      </c>
      <c r="AFG20">
        <v>14.064666228563899</v>
      </c>
      <c r="AFH20">
        <v>14.064666228563899</v>
      </c>
      <c r="AFI20">
        <v>0</v>
      </c>
      <c r="AFJ20">
        <v>0</v>
      </c>
      <c r="AFK20">
        <v>1</v>
      </c>
      <c r="AFL20">
        <v>14.367040207835201</v>
      </c>
      <c r="AFM20">
        <v>14.367040207835201</v>
      </c>
      <c r="AFN20">
        <v>0</v>
      </c>
      <c r="AFO20">
        <v>0</v>
      </c>
      <c r="AFP20">
        <v>1</v>
      </c>
      <c r="AFQ20">
        <v>-1.9741712439025401</v>
      </c>
      <c r="AFR20">
        <v>-1.90218674430866</v>
      </c>
      <c r="AFS20">
        <v>-1.90915700617703</v>
      </c>
      <c r="AFT20">
        <v>-1.9091889606296799</v>
      </c>
      <c r="AFU20">
        <v>-1.96956768349858</v>
      </c>
      <c r="AFV20">
        <v>-1.9118886232335699</v>
      </c>
      <c r="AFW20">
        <v>-1.9101540859394299</v>
      </c>
      <c r="AFX20">
        <v>-1.91253618142931</v>
      </c>
      <c r="AFY20">
        <v>-2.0874711730255902</v>
      </c>
      <c r="AFZ20">
        <v>-2.04515754411036</v>
      </c>
      <c r="AGA20">
        <v>-2.0463685627504602</v>
      </c>
      <c r="AGB20">
        <v>-2.0452119155484501</v>
      </c>
      <c r="AGC20">
        <v>-1.79998406494731</v>
      </c>
      <c r="AGD20">
        <v>-1.83847271457937</v>
      </c>
      <c r="AGE20">
        <v>-1.9974514674700501</v>
      </c>
      <c r="AGF20">
        <v>0</v>
      </c>
      <c r="AGG20">
        <v>0</v>
      </c>
      <c r="AGH20">
        <v>0</v>
      </c>
      <c r="AGI20">
        <v>0</v>
      </c>
      <c r="AGJ20">
        <v>0</v>
      </c>
      <c r="AGK20">
        <v>0</v>
      </c>
      <c r="AGL20">
        <v>0</v>
      </c>
      <c r="AGM20">
        <v>0</v>
      </c>
      <c r="AGN20">
        <v>0</v>
      </c>
      <c r="AGO20">
        <v>0</v>
      </c>
      <c r="AGP20">
        <v>0</v>
      </c>
      <c r="AGQ20">
        <v>0</v>
      </c>
      <c r="AGR20">
        <v>0</v>
      </c>
      <c r="AGS20">
        <v>0</v>
      </c>
      <c r="AGT20">
        <v>0</v>
      </c>
      <c r="AGU20">
        <v>0</v>
      </c>
      <c r="AGV20">
        <v>0</v>
      </c>
      <c r="AGW20">
        <v>0</v>
      </c>
      <c r="AGX20">
        <v>0</v>
      </c>
      <c r="AGY20">
        <v>0</v>
      </c>
      <c r="AGZ20">
        <v>0</v>
      </c>
      <c r="AHA20">
        <v>0</v>
      </c>
      <c r="AHB20">
        <v>0</v>
      </c>
      <c r="AHC20">
        <v>0</v>
      </c>
      <c r="AHD20">
        <v>0</v>
      </c>
      <c r="AHE20">
        <v>0</v>
      </c>
      <c r="AHF20">
        <v>0</v>
      </c>
      <c r="AHG20">
        <v>0</v>
      </c>
      <c r="AHH20">
        <v>0</v>
      </c>
      <c r="AHI20">
        <v>0</v>
      </c>
      <c r="AHJ20">
        <v>0</v>
      </c>
      <c r="AHK20">
        <v>0</v>
      </c>
      <c r="AHL20">
        <v>0</v>
      </c>
      <c r="AHM20">
        <v>0</v>
      </c>
      <c r="AHN20">
        <v>0</v>
      </c>
      <c r="AHO20">
        <v>0</v>
      </c>
      <c r="AHP20">
        <v>0</v>
      </c>
      <c r="AHQ20">
        <v>0</v>
      </c>
      <c r="AHR20">
        <v>0</v>
      </c>
      <c r="AHS20">
        <v>0</v>
      </c>
      <c r="AHT20">
        <v>0</v>
      </c>
      <c r="AHU20">
        <v>0</v>
      </c>
      <c r="AHV20">
        <v>0</v>
      </c>
      <c r="AHW20">
        <v>0</v>
      </c>
      <c r="AHX20">
        <v>0</v>
      </c>
      <c r="AHZ20">
        <v>0</v>
      </c>
      <c r="AIB20">
        <v>0</v>
      </c>
      <c r="AID20">
        <v>0</v>
      </c>
      <c r="AIF20">
        <v>0</v>
      </c>
      <c r="AIH20">
        <v>0</v>
      </c>
      <c r="AIJ20">
        <v>0</v>
      </c>
      <c r="AIL20">
        <v>0</v>
      </c>
      <c r="AIN20">
        <v>0</v>
      </c>
      <c r="AIP20">
        <v>0</v>
      </c>
      <c r="AIR20">
        <v>0</v>
      </c>
      <c r="AIT20">
        <v>0</v>
      </c>
      <c r="AIV20">
        <v>0</v>
      </c>
      <c r="AIX20">
        <v>0</v>
      </c>
      <c r="AIZ20">
        <v>0</v>
      </c>
      <c r="AJB20">
        <v>0</v>
      </c>
      <c r="AJC20">
        <v>0</v>
      </c>
      <c r="AJE20">
        <v>0</v>
      </c>
      <c r="AJH20">
        <v>0</v>
      </c>
      <c r="AJJ20">
        <v>0</v>
      </c>
      <c r="AJK20">
        <v>0</v>
      </c>
      <c r="AJL20">
        <v>0</v>
      </c>
      <c r="AJM20">
        <v>0</v>
      </c>
      <c r="AJN20">
        <v>0</v>
      </c>
      <c r="AJO20">
        <v>0</v>
      </c>
      <c r="AJP20">
        <v>0</v>
      </c>
      <c r="AJQ20">
        <v>0</v>
      </c>
      <c r="AJR20">
        <v>0</v>
      </c>
      <c r="AJS20">
        <v>0</v>
      </c>
      <c r="AJT20">
        <v>0</v>
      </c>
      <c r="AJU20">
        <v>0</v>
      </c>
      <c r="AJV20">
        <v>0</v>
      </c>
      <c r="AJW20">
        <v>0</v>
      </c>
      <c r="AJX20">
        <v>0</v>
      </c>
      <c r="AJY20">
        <v>0</v>
      </c>
      <c r="AJZ20">
        <v>0</v>
      </c>
      <c r="AKA20">
        <v>0</v>
      </c>
      <c r="AKB20">
        <v>0</v>
      </c>
      <c r="AKC20">
        <v>0</v>
      </c>
      <c r="AKD20">
        <v>0</v>
      </c>
      <c r="AKE20">
        <v>74.738617733567096</v>
      </c>
      <c r="AKF20">
        <v>74.738617733567096</v>
      </c>
      <c r="AKG20">
        <v>0</v>
      </c>
      <c r="AKH20">
        <v>0</v>
      </c>
      <c r="AKI20">
        <v>0</v>
      </c>
      <c r="AKJ20">
        <v>0</v>
      </c>
      <c r="AKK20">
        <v>0</v>
      </c>
      <c r="AKL20">
        <v>74.738617733567096</v>
      </c>
      <c r="AKM20">
        <v>74.738617733567096</v>
      </c>
      <c r="AKN20">
        <v>0</v>
      </c>
      <c r="AKO20">
        <v>0</v>
      </c>
      <c r="AKP20">
        <v>0</v>
      </c>
      <c r="AKT20">
        <v>0</v>
      </c>
      <c r="AKX20">
        <v>0</v>
      </c>
      <c r="ALB20">
        <v>20.760648244627699</v>
      </c>
      <c r="ALC20">
        <v>20.760648244627699</v>
      </c>
      <c r="ALD20">
        <v>0</v>
      </c>
      <c r="ALE20">
        <v>0</v>
      </c>
      <c r="ALF20">
        <v>0</v>
      </c>
      <c r="ALH20">
        <v>16.711399790017801</v>
      </c>
      <c r="ALI20">
        <v>2.8568269606532499E-3</v>
      </c>
      <c r="ALJ20">
        <v>0</v>
      </c>
      <c r="ALK20">
        <v>16.711399790017801</v>
      </c>
      <c r="ALL20">
        <v>0</v>
      </c>
      <c r="ALM20">
        <v>0</v>
      </c>
      <c r="ALN20">
        <v>16.711399790017801</v>
      </c>
      <c r="ALO20">
        <v>2.8568269606532499E-3</v>
      </c>
      <c r="ALP20">
        <v>24.333768683849499</v>
      </c>
      <c r="ALQ20">
        <v>0</v>
      </c>
      <c r="ALR20">
        <v>16.711399790017801</v>
      </c>
      <c r="ALS20">
        <v>0</v>
      </c>
      <c r="ALT20">
        <v>16.711399790017801</v>
      </c>
      <c r="ALU20">
        <v>0</v>
      </c>
      <c r="ALV20">
        <v>12.2200000000079</v>
      </c>
      <c r="ALW20">
        <v>9.9999999999999897E-12</v>
      </c>
      <c r="ALX20">
        <v>12.2200000000079</v>
      </c>
      <c r="ALY20">
        <v>9.9999999999999897E-12</v>
      </c>
      <c r="ALZ20">
        <v>0</v>
      </c>
      <c r="AMA20">
        <v>12.2200000000079</v>
      </c>
      <c r="AMB20">
        <v>0</v>
      </c>
      <c r="AMC20">
        <v>12.2200000000079</v>
      </c>
      <c r="AMD20">
        <v>0</v>
      </c>
      <c r="AME20">
        <v>12.2200000000079</v>
      </c>
      <c r="AMF20">
        <v>0</v>
      </c>
      <c r="AMG20">
        <v>0</v>
      </c>
      <c r="AMH20">
        <v>0</v>
      </c>
      <c r="AMI20">
        <v>16.294551315553999</v>
      </c>
      <c r="AMJ20">
        <v>0</v>
      </c>
      <c r="AMK20" s="580">
        <v>15.906235874552101</v>
      </c>
      <c r="AML20">
        <v>0</v>
      </c>
      <c r="AMM20">
        <v>16.288546340406999</v>
      </c>
      <c r="AMN20">
        <v>0</v>
      </c>
      <c r="AMO20">
        <v>16.303023530857999</v>
      </c>
      <c r="AMP20">
        <v>0</v>
      </c>
      <c r="AMQ20">
        <v>16.388692646365701</v>
      </c>
      <c r="AMR20">
        <v>0</v>
      </c>
      <c r="AMS20">
        <v>15.5997712162499</v>
      </c>
      <c r="AMT20">
        <v>0</v>
      </c>
      <c r="AMU20">
        <v>16.9685440392008</v>
      </c>
      <c r="AMV20">
        <v>0</v>
      </c>
      <c r="AMW20">
        <v>17.010025473147799</v>
      </c>
      <c r="AMX20">
        <v>0</v>
      </c>
      <c r="AMY20">
        <v>16.960893602771101</v>
      </c>
      <c r="AMZ20">
        <v>0</v>
      </c>
      <c r="ANA20">
        <v>16.6711210876595</v>
      </c>
      <c r="ANB20">
        <v>0</v>
      </c>
      <c r="ANC20">
        <v>15.284055852996</v>
      </c>
      <c r="AND20">
        <v>0</v>
      </c>
      <c r="ANE20">
        <v>16.847262481415701</v>
      </c>
      <c r="ANF20">
        <v>0</v>
      </c>
      <c r="ANG20">
        <v>16.859161674685001</v>
      </c>
      <c r="ANH20">
        <v>0</v>
      </c>
      <c r="ANI20">
        <v>16.806352511654801</v>
      </c>
      <c r="ANJ20">
        <v>0</v>
      </c>
      <c r="ANK20">
        <v>16.5028464902785</v>
      </c>
      <c r="ANL20">
        <v>0</v>
      </c>
      <c r="ANM20">
        <v>0</v>
      </c>
      <c r="ANN20">
        <v>0</v>
      </c>
      <c r="ANO20">
        <v>0</v>
      </c>
      <c r="ANP20">
        <v>15.906235874552101</v>
      </c>
      <c r="ANQ20">
        <v>16.288546340406999</v>
      </c>
      <c r="ANR20">
        <v>16.294551315553999</v>
      </c>
      <c r="ANS20">
        <v>16.388692646365701</v>
      </c>
      <c r="ANT20">
        <v>16.303023530857999</v>
      </c>
      <c r="ANU20">
        <v>15.5997712162499</v>
      </c>
      <c r="ANV20">
        <v>16.9685440392008</v>
      </c>
      <c r="ANW20">
        <v>17.010025473147799</v>
      </c>
      <c r="ANX20">
        <v>16.6711210876595</v>
      </c>
      <c r="ANY20">
        <v>16.960893602771101</v>
      </c>
      <c r="ANZ20">
        <v>15.284055852996</v>
      </c>
      <c r="AOA20">
        <v>16.847262481415701</v>
      </c>
      <c r="AOB20">
        <v>16.859161674685001</v>
      </c>
      <c r="AOC20">
        <v>16.5028464902785</v>
      </c>
      <c r="AOD20">
        <v>16.806352511654801</v>
      </c>
      <c r="AOE20">
        <v>16.711399790017801</v>
      </c>
      <c r="AOF20">
        <v>0</v>
      </c>
      <c r="AOG20">
        <v>16.496391135758898</v>
      </c>
      <c r="AOH20">
        <v>0</v>
      </c>
    </row>
    <row r="21" spans="1:1074">
      <c r="A21" t="s">
        <v>2591</v>
      </c>
      <c r="B21">
        <v>-3.33</v>
      </c>
      <c r="D21">
        <v>-3.33</v>
      </c>
      <c r="F21">
        <v>10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v>0</v>
      </c>
      <c r="CC21">
        <v>0</v>
      </c>
      <c r="CD21">
        <v>0</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0</v>
      </c>
      <c r="DA21">
        <v>0</v>
      </c>
      <c r="DB21">
        <v>0</v>
      </c>
      <c r="DC21">
        <v>0</v>
      </c>
      <c r="DD21">
        <v>0</v>
      </c>
      <c r="DE21">
        <v>0</v>
      </c>
      <c r="DF21">
        <v>0</v>
      </c>
      <c r="DG21">
        <v>0</v>
      </c>
      <c r="DH21">
        <v>0</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0</v>
      </c>
      <c r="EP21">
        <v>0</v>
      </c>
      <c r="EQ21">
        <v>0</v>
      </c>
      <c r="ER21">
        <v>0</v>
      </c>
      <c r="ES21">
        <v>0</v>
      </c>
      <c r="ET21">
        <v>0</v>
      </c>
      <c r="EU21">
        <v>0</v>
      </c>
      <c r="EV21">
        <v>0</v>
      </c>
      <c r="EW21">
        <v>0</v>
      </c>
      <c r="EX21">
        <v>0</v>
      </c>
      <c r="EY21">
        <v>0</v>
      </c>
      <c r="EZ21">
        <v>0</v>
      </c>
      <c r="FA21">
        <v>0</v>
      </c>
      <c r="FB21">
        <v>0</v>
      </c>
      <c r="FC21">
        <v>0</v>
      </c>
      <c r="FD21">
        <v>0</v>
      </c>
      <c r="FE21">
        <v>0</v>
      </c>
      <c r="FF21">
        <v>0</v>
      </c>
      <c r="FG21">
        <v>0</v>
      </c>
      <c r="FH21">
        <v>0</v>
      </c>
      <c r="FI21">
        <v>0</v>
      </c>
      <c r="FJ21">
        <v>0</v>
      </c>
      <c r="FK21">
        <v>0</v>
      </c>
      <c r="FL21">
        <v>0</v>
      </c>
      <c r="FM21">
        <v>0</v>
      </c>
      <c r="FN21">
        <v>0</v>
      </c>
      <c r="FO21">
        <v>0</v>
      </c>
      <c r="FP21">
        <v>0</v>
      </c>
      <c r="FQ21">
        <v>0</v>
      </c>
      <c r="FR21">
        <v>0</v>
      </c>
      <c r="FS21">
        <v>0</v>
      </c>
      <c r="FT21">
        <v>0</v>
      </c>
      <c r="FU21">
        <v>0</v>
      </c>
      <c r="FV21">
        <v>0</v>
      </c>
      <c r="FW21">
        <v>0</v>
      </c>
      <c r="FX21">
        <v>0</v>
      </c>
      <c r="FY21">
        <v>0</v>
      </c>
      <c r="FZ21">
        <v>0</v>
      </c>
      <c r="GA21">
        <v>0</v>
      </c>
      <c r="GB21">
        <v>-28.026313357185199</v>
      </c>
      <c r="GC21">
        <v>449.06471146779597</v>
      </c>
      <c r="GD21">
        <v>292.99519938750302</v>
      </c>
      <c r="GE21">
        <v>-16.435920224586699</v>
      </c>
      <c r="GF21">
        <v>291.09583232188101</v>
      </c>
      <c r="GG21">
        <v>188.35358509757199</v>
      </c>
      <c r="GH21">
        <v>-27.248697564159901</v>
      </c>
      <c r="GI21">
        <v>475.35179193223701</v>
      </c>
      <c r="GJ21">
        <v>269.79289894437801</v>
      </c>
      <c r="GK21">
        <v>-15.201030477667601</v>
      </c>
      <c r="GL21">
        <v>295.68922499619401</v>
      </c>
      <c r="GM21">
        <v>192.983888093453</v>
      </c>
      <c r="GN21">
        <v>-77.0879071673982</v>
      </c>
      <c r="GO21">
        <v>16.9944166864557</v>
      </c>
      <c r="GP21">
        <v>16.219124489459102</v>
      </c>
      <c r="GQ21">
        <v>-14.445010736277</v>
      </c>
      <c r="GR21">
        <v>123.50688874892801</v>
      </c>
      <c r="GS21">
        <v>1197.25398423515</v>
      </c>
      <c r="GT21">
        <v>-51.408681384572098</v>
      </c>
      <c r="GU21">
        <v>16.954876122037501</v>
      </c>
      <c r="GV21">
        <v>16.170980237372099</v>
      </c>
      <c r="GW21">
        <v>-9.0118081591232393</v>
      </c>
      <c r="GX21">
        <v>82.161981515471993</v>
      </c>
      <c r="GY21">
        <v>784.37251252461101</v>
      </c>
      <c r="GZ21">
        <v>-75.306085828255604</v>
      </c>
      <c r="HA21">
        <v>16.381691443582699</v>
      </c>
      <c r="HB21">
        <v>15.749640747741401</v>
      </c>
      <c r="HC21">
        <v>-4.6112810451259998</v>
      </c>
      <c r="HD21">
        <v>108.991095521715</v>
      </c>
      <c r="HE21">
        <v>1004.96359024856</v>
      </c>
      <c r="HF21">
        <v>-50.893251943374899</v>
      </c>
      <c r="HG21">
        <v>16.993195739030099</v>
      </c>
      <c r="HH21">
        <v>16.187540379757401</v>
      </c>
      <c r="HI21">
        <v>-10.190129262919999</v>
      </c>
      <c r="HJ21">
        <v>83.0126917420816</v>
      </c>
      <c r="HK21">
        <v>798.16331450093503</v>
      </c>
      <c r="HL21">
        <v>-22.134678980079201</v>
      </c>
      <c r="HM21">
        <v>15.9220846009196</v>
      </c>
      <c r="HN21">
        <v>16.206761703996701</v>
      </c>
      <c r="HO21">
        <v>201.725833486239</v>
      </c>
      <c r="HP21">
        <v>563.93998016443595</v>
      </c>
      <c r="HQ21">
        <v>16.2841479217252</v>
      </c>
      <c r="HR21">
        <v>309.57909808557997</v>
      </c>
      <c r="HS21">
        <v>-12.5403405225545</v>
      </c>
      <c r="HT21">
        <v>15.929588311066301</v>
      </c>
      <c r="HU21">
        <v>16.227648379518499</v>
      </c>
      <c r="HV21">
        <v>123.45820372897801</v>
      </c>
      <c r="HW21">
        <v>362.90174694574802</v>
      </c>
      <c r="HX21">
        <v>16.2894326789494</v>
      </c>
      <c r="HY21">
        <v>200.01992080916099</v>
      </c>
      <c r="HZ21">
        <v>15.578084690591201</v>
      </c>
      <c r="IA21">
        <v>16.0610889869732</v>
      </c>
      <c r="IB21">
        <v>218.05247770297899</v>
      </c>
      <c r="IC21">
        <v>-20.1969290521773</v>
      </c>
      <c r="ID21">
        <v>552.94066884705001</v>
      </c>
      <c r="IE21">
        <v>15.7884333732427</v>
      </c>
      <c r="IF21">
        <v>288.04031541787998</v>
      </c>
      <c r="IG21">
        <v>22.9019309299177</v>
      </c>
      <c r="IH21">
        <v>15.9439482975251</v>
      </c>
      <c r="II21">
        <v>16.234587957432399</v>
      </c>
      <c r="IJ21">
        <v>124.755455564489</v>
      </c>
      <c r="IK21">
        <v>18.715002038805199</v>
      </c>
      <c r="IL21">
        <v>-11.080467812589699</v>
      </c>
      <c r="IM21">
        <v>370.31699287290002</v>
      </c>
      <c r="IN21">
        <v>16.3216860014237</v>
      </c>
      <c r="IO21">
        <v>1.0099705967200401</v>
      </c>
      <c r="IP21">
        <v>204.71708498086801</v>
      </c>
      <c r="IQ21">
        <v>-26.007891344627701</v>
      </c>
      <c r="IR21">
        <v>-13.8688241850188</v>
      </c>
      <c r="IS21">
        <v>-46.867201668035001</v>
      </c>
      <c r="IT21">
        <v>-13.339306488959901</v>
      </c>
      <c r="IU21">
        <v>24.061242594342101</v>
      </c>
      <c r="IV21">
        <v>-74.900038306323395</v>
      </c>
      <c r="IW21">
        <v>17.045120360407001</v>
      </c>
      <c r="IX21">
        <v>16.2841479217252</v>
      </c>
      <c r="IY21">
        <v>-9.4661917491710508</v>
      </c>
      <c r="IZ21">
        <v>133.35887042374799</v>
      </c>
      <c r="JA21">
        <v>1221.66809686495</v>
      </c>
      <c r="JB21">
        <v>-50.054575527020802</v>
      </c>
      <c r="JC21">
        <v>17.065302485767798</v>
      </c>
      <c r="JD21">
        <v>16.2894326789494</v>
      </c>
      <c r="JE21">
        <v>-5.9836051102354899</v>
      </c>
      <c r="JF21">
        <v>89.469088896709394</v>
      </c>
      <c r="JG21">
        <v>808.665537100356</v>
      </c>
      <c r="JH21">
        <v>-72.314051843669006</v>
      </c>
      <c r="JI21">
        <v>16.429408169564301</v>
      </c>
      <c r="JJ21">
        <v>15.7884333732427</v>
      </c>
      <c r="JK21">
        <v>-3.56816498497379</v>
      </c>
      <c r="JL21">
        <v>116.69139904245201</v>
      </c>
      <c r="JM21">
        <v>1033.97829215966</v>
      </c>
      <c r="JN21">
        <v>-49.522211008737202</v>
      </c>
      <c r="JO21">
        <v>17.114447117620301</v>
      </c>
      <c r="JP21">
        <v>16.3216860014237</v>
      </c>
      <c r="JQ21">
        <v>0.31747882121960902</v>
      </c>
      <c r="JR21">
        <v>-6.98660850427013</v>
      </c>
      <c r="JS21">
        <v>0.74517284796290995</v>
      </c>
      <c r="JT21">
        <v>89.822822348318496</v>
      </c>
      <c r="JU21">
        <v>819.19182249504502</v>
      </c>
      <c r="JV21">
        <v>-22.2774116504498</v>
      </c>
      <c r="JW21">
        <v>641.74639330185505</v>
      </c>
      <c r="JX21">
        <v>-3.6634036575959201</v>
      </c>
      <c r="JY21">
        <v>-11.017426462932301</v>
      </c>
      <c r="JZ21">
        <v>411.00135476667299</v>
      </c>
      <c r="KA21">
        <v>-1.56738720307941</v>
      </c>
      <c r="KB21">
        <v>-17.205688187306201</v>
      </c>
      <c r="KC21">
        <v>619.65145250941805</v>
      </c>
      <c r="KD21">
        <v>-0.90241241037639497</v>
      </c>
      <c r="KE21">
        <v>-9.2747352319185303</v>
      </c>
      <c r="KF21">
        <v>11.2956964925771</v>
      </c>
      <c r="KG21">
        <v>-162.96545901217399</v>
      </c>
      <c r="KH21">
        <v>2.0234455144569199</v>
      </c>
      <c r="KI21">
        <v>418.05125530853701</v>
      </c>
      <c r="KJ21">
        <v>1.46023197031132</v>
      </c>
      <c r="KK21">
        <v>-7.1745207411250798</v>
      </c>
      <c r="KL21">
        <v>12.359930835986001</v>
      </c>
      <c r="KM21">
        <v>13.539634473835401</v>
      </c>
      <c r="KN21">
        <v>246.543030387258</v>
      </c>
      <c r="KO21">
        <v>11.1488143847227</v>
      </c>
      <c r="KP21">
        <v>-10.599130359229299</v>
      </c>
      <c r="KQ21">
        <v>-85.624806282242702</v>
      </c>
      <c r="KR21">
        <v>-1108.93163185344</v>
      </c>
      <c r="KS21">
        <v>-4.6636651082843699</v>
      </c>
      <c r="KT21">
        <v>12.354291525449201</v>
      </c>
      <c r="KU21">
        <v>13.5368918845501</v>
      </c>
      <c r="KV21">
        <v>157.07171922358401</v>
      </c>
      <c r="KW21">
        <v>11.1394871482622</v>
      </c>
      <c r="KX21">
        <v>-10.5159651742203</v>
      </c>
      <c r="KY21">
        <v>-54.510964833428602</v>
      </c>
      <c r="KZ21">
        <v>-698.77740856893297</v>
      </c>
      <c r="LA21">
        <v>-8.3337058319247408</v>
      </c>
      <c r="LB21">
        <v>12.088755501243901</v>
      </c>
      <c r="LC21">
        <v>13.248962869148</v>
      </c>
      <c r="LD21">
        <v>243.170258968388</v>
      </c>
      <c r="LE21">
        <v>10.8902840853345</v>
      </c>
      <c r="LF21">
        <v>-10.609251843193</v>
      </c>
      <c r="LG21">
        <v>-85.142576804372098</v>
      </c>
      <c r="LH21">
        <v>-1101.24124626141</v>
      </c>
      <c r="LI21">
        <v>-4.5845981111452803</v>
      </c>
      <c r="LJ21">
        <v>12.3785652683557</v>
      </c>
      <c r="LK21">
        <v>13.5419499743756</v>
      </c>
      <c r="LL21">
        <v>155.442550736626</v>
      </c>
      <c r="LM21">
        <v>11.1812558124631</v>
      </c>
      <c r="LN21">
        <v>-10.1843314362043</v>
      </c>
      <c r="LO21">
        <v>-52.103364655772502</v>
      </c>
      <c r="LP21">
        <v>-687.96059942808199</v>
      </c>
      <c r="LQ21">
        <v>-48.719106240021397</v>
      </c>
      <c r="LR21">
        <v>16.844239674246001</v>
      </c>
      <c r="LS21">
        <v>16.481000000000002</v>
      </c>
      <c r="LT21">
        <v>76.121241671184194</v>
      </c>
      <c r="LU21">
        <v>417.18562903463697</v>
      </c>
      <c r="LV21">
        <v>16.574637044978999</v>
      </c>
      <c r="LW21">
        <v>15.958592211008501</v>
      </c>
      <c r="LX21">
        <v>-24.967227362750801</v>
      </c>
      <c r="LY21">
        <v>-32.820003614794601</v>
      </c>
      <c r="LZ21">
        <v>16.827870565647999</v>
      </c>
      <c r="MA21">
        <v>16.481000000000002</v>
      </c>
      <c r="MB21">
        <v>50.275480051205797</v>
      </c>
      <c r="MC21">
        <v>274.834290531627</v>
      </c>
      <c r="MD21">
        <v>16.549698936934401</v>
      </c>
      <c r="ME21">
        <v>15.9157270568553</v>
      </c>
      <c r="MF21">
        <v>-15.9621566423509</v>
      </c>
      <c r="MG21">
        <v>-48.0360739703194</v>
      </c>
      <c r="MH21">
        <v>16.677326283794802</v>
      </c>
      <c r="MI21">
        <v>16.481000000000002</v>
      </c>
      <c r="MJ21">
        <v>80.439763999134101</v>
      </c>
      <c r="MK21">
        <v>459.59268379430398</v>
      </c>
      <c r="ML21">
        <v>16.362152549411899</v>
      </c>
      <c r="MM21">
        <v>15.6299509432314</v>
      </c>
      <c r="MN21">
        <v>-37.735753706688001</v>
      </c>
      <c r="MO21">
        <v>-32.3333297944394</v>
      </c>
      <c r="MP21">
        <v>16.833552630941799</v>
      </c>
      <c r="MQ21">
        <v>16.481000000000002</v>
      </c>
      <c r="MR21">
        <v>49.864592323199801</v>
      </c>
      <c r="MS21">
        <v>273.24168488038998</v>
      </c>
      <c r="MT21">
        <v>16.556449170774101</v>
      </c>
      <c r="MU21">
        <v>15.919435507543</v>
      </c>
      <c r="MV21">
        <v>-16.118694347690699</v>
      </c>
      <c r="MW21">
        <v>-50.597956712178203</v>
      </c>
      <c r="MX21">
        <v>17.893914067769199</v>
      </c>
      <c r="MY21">
        <v>17.955154162448</v>
      </c>
      <c r="MZ21">
        <v>158.397893959958</v>
      </c>
      <c r="NA21">
        <v>883.95190614609601</v>
      </c>
      <c r="NB21">
        <v>17.251773301712699</v>
      </c>
      <c r="NC21">
        <v>16.1890663707816</v>
      </c>
      <c r="ND21">
        <v>-82.375080403893904</v>
      </c>
      <c r="NE21">
        <v>-34.1592256393591</v>
      </c>
      <c r="NF21">
        <v>17.902798831238201</v>
      </c>
      <c r="NG21">
        <v>17.942244772562098</v>
      </c>
      <c r="NH21">
        <v>102.320574236216</v>
      </c>
      <c r="NI21">
        <v>568.51905993636205</v>
      </c>
      <c r="NJ21">
        <v>17.2569642449686</v>
      </c>
      <c r="NK21">
        <v>16.188668388114898</v>
      </c>
      <c r="NL21">
        <v>-51.464184070325601</v>
      </c>
      <c r="NM21" s="35">
        <v>-48.958820262174399</v>
      </c>
      <c r="NN21" s="35">
        <v>17.234295854096299</v>
      </c>
      <c r="NO21" s="35">
        <v>17.184697005751101</v>
      </c>
      <c r="NP21">
        <v>122.662895723232</v>
      </c>
      <c r="NQ21">
        <v>693.39527633038301</v>
      </c>
      <c r="NR21" s="35">
        <v>16.734661564717499</v>
      </c>
      <c r="NS21">
        <v>15.752506078151301</v>
      </c>
      <c r="NT21">
        <v>-64.676766087475897</v>
      </c>
      <c r="NU21">
        <v>-33.7078609694561</v>
      </c>
      <c r="NV21">
        <v>17.961918732309201</v>
      </c>
      <c r="NW21">
        <v>18.001612454306699</v>
      </c>
      <c r="NX21">
        <v>1.7</v>
      </c>
      <c r="NY21">
        <v>103.842248593758</v>
      </c>
      <c r="NZ21">
        <v>578.39711519901198</v>
      </c>
      <c r="OA21">
        <v>17.3030059975585</v>
      </c>
      <c r="OB21">
        <v>16.2158670078665</v>
      </c>
      <c r="OC21">
        <v>1.7</v>
      </c>
      <c r="OD21">
        <v>-53.056650618250998</v>
      </c>
      <c r="OE21">
        <v>1.7</v>
      </c>
      <c r="OF21">
        <v>1.7</v>
      </c>
      <c r="OG21">
        <v>-48.808628627652602</v>
      </c>
      <c r="OH21">
        <v>17.7567213408519</v>
      </c>
      <c r="OI21">
        <v>18.0097883826956</v>
      </c>
      <c r="OJ21">
        <v>196.12096268197499</v>
      </c>
      <c r="OK21">
        <v>1169.47003836518</v>
      </c>
      <c r="OL21">
        <v>16.854654449274701</v>
      </c>
      <c r="OM21">
        <v>15.009848525136301</v>
      </c>
      <c r="ON21">
        <v>-142.11224106558601</v>
      </c>
      <c r="OO21">
        <v>-33.040565223808102</v>
      </c>
      <c r="OP21">
        <v>17.818232475922201</v>
      </c>
      <c r="OQ21">
        <v>18.0656175083334</v>
      </c>
      <c r="OR21">
        <v>129.034253686802</v>
      </c>
      <c r="OS21">
        <v>766.14377004088396</v>
      </c>
      <c r="OT21">
        <v>16.890689634006701</v>
      </c>
      <c r="OU21">
        <v>15.009186402131</v>
      </c>
      <c r="OV21">
        <v>-91.830275397760801</v>
      </c>
      <c r="OW21">
        <v>-47.322781204390097</v>
      </c>
      <c r="OX21">
        <v>17.1009342378984</v>
      </c>
      <c r="OY21">
        <v>17.247016857275099</v>
      </c>
      <c r="OZ21">
        <v>156.33240207985901</v>
      </c>
      <c r="PA21">
        <v>948.07671628276796</v>
      </c>
      <c r="PB21">
        <v>16.369110451765899</v>
      </c>
      <c r="PC21">
        <v>14.6682566566164</v>
      </c>
      <c r="PD21">
        <v>-118.067541065643</v>
      </c>
      <c r="PE21">
        <v>-32.654148673646603</v>
      </c>
      <c r="PF21">
        <v>17.8540480162786</v>
      </c>
      <c r="PG21">
        <v>18.130737709684102</v>
      </c>
      <c r="PH21">
        <v>1.7</v>
      </c>
      <c r="PI21">
        <v>131.80217917295701</v>
      </c>
      <c r="PJ21">
        <v>781.58768339532605</v>
      </c>
      <c r="PK21">
        <v>16.9057955475214</v>
      </c>
      <c r="PL21">
        <v>15.0044491536168</v>
      </c>
      <c r="PM21" s="35">
        <v>1.7</v>
      </c>
      <c r="PN21">
        <v>-93.993682215835804</v>
      </c>
      <c r="PO21">
        <v>15.8551355503684</v>
      </c>
      <c r="PP21">
        <v>15.7822568974773</v>
      </c>
      <c r="PQ21">
        <v>15.430093990824901</v>
      </c>
      <c r="PR21">
        <v>15.788372338031101</v>
      </c>
      <c r="PS21">
        <v>16.780335684005699</v>
      </c>
      <c r="PT21">
        <v>15.9449761583605</v>
      </c>
      <c r="PU21">
        <v>15.9186484410648</v>
      </c>
      <c r="PV21">
        <v>15.4733669094192</v>
      </c>
      <c r="PW21">
        <v>15.9437275955221</v>
      </c>
      <c r="PX21">
        <v>16.5223360126021</v>
      </c>
      <c r="PY21">
        <v>14.280227961751701</v>
      </c>
      <c r="PZ21">
        <v>14.262101007965301</v>
      </c>
      <c r="QA21">
        <v>13.9446460243904</v>
      </c>
      <c r="QB21">
        <v>14.256712348171099</v>
      </c>
      <c r="QC21">
        <v>14.809283620112801</v>
      </c>
      <c r="QD21">
        <v>15.8011508302622</v>
      </c>
      <c r="QE21">
        <v>14.952980012459101</v>
      </c>
      <c r="QF21">
        <v>14.881456713510101</v>
      </c>
      <c r="QG21">
        <v>14.567312848015</v>
      </c>
      <c r="QH21">
        <v>14.872649519593301</v>
      </c>
      <c r="QI21">
        <v>16.764828595230799</v>
      </c>
      <c r="QJ21">
        <v>14.977613863129299</v>
      </c>
      <c r="QK21">
        <v>14.9524549841345</v>
      </c>
      <c r="QL21">
        <v>14.553192704826101</v>
      </c>
      <c r="QM21">
        <v>14.959513339311</v>
      </c>
      <c r="QN21">
        <v>1027.3746706127199</v>
      </c>
      <c r="QO21">
        <v>16.512310994400799</v>
      </c>
      <c r="QP21">
        <v>127.230820044136</v>
      </c>
      <c r="QQ21">
        <v>13.4518747768255</v>
      </c>
      <c r="QR21">
        <v>13.4350691069842</v>
      </c>
      <c r="QS21">
        <v>13.1547314077566</v>
      </c>
      <c r="QT21">
        <v>13.4140981944687</v>
      </c>
      <c r="QU21">
        <v>14.8224828080908</v>
      </c>
      <c r="QV21">
        <v>15.7949473518459</v>
      </c>
      <c r="QW21">
        <v>847780.42198608699</v>
      </c>
      <c r="QX21">
        <v>0</v>
      </c>
      <c r="QY21">
        <v>576937.535786742</v>
      </c>
      <c r="QZ21">
        <v>0</v>
      </c>
      <c r="RA21">
        <v>139110.95094077601</v>
      </c>
      <c r="RB21">
        <v>0</v>
      </c>
      <c r="RC21">
        <v>95385.798012913307</v>
      </c>
      <c r="RD21">
        <v>0</v>
      </c>
      <c r="RE21">
        <v>310804.97912083397</v>
      </c>
      <c r="RF21">
        <v>0</v>
      </c>
      <c r="RG21">
        <v>214489.75618843699</v>
      </c>
      <c r="RH21" s="35">
        <v>0</v>
      </c>
      <c r="RI21">
        <v>0</v>
      </c>
      <c r="RJ21" s="35">
        <v>0</v>
      </c>
      <c r="RK21">
        <v>14.0508244745499</v>
      </c>
      <c r="RL21">
        <v>10913.6265801473</v>
      </c>
      <c r="RM21" s="35">
        <v>10913.6265801473</v>
      </c>
      <c r="RN21">
        <v>19429.762694246099</v>
      </c>
      <c r="RO21" s="35">
        <v>0</v>
      </c>
      <c r="RP21">
        <v>0</v>
      </c>
      <c r="RQ21" s="35">
        <v>13.9806565295429</v>
      </c>
      <c r="RR21" s="35">
        <v>7007.8847551794297</v>
      </c>
      <c r="RS21">
        <v>7007.8847551794297</v>
      </c>
      <c r="RT21">
        <v>12419.2454620552</v>
      </c>
      <c r="RU21">
        <v>0</v>
      </c>
      <c r="RV21">
        <v>0</v>
      </c>
      <c r="RW21" s="35">
        <v>13.704531705205</v>
      </c>
      <c r="RX21">
        <v>11459.3516224081</v>
      </c>
      <c r="RY21">
        <v>11459.3516224081</v>
      </c>
      <c r="RZ21">
        <v>19985.7643926087</v>
      </c>
      <c r="SA21">
        <v>0</v>
      </c>
      <c r="SB21">
        <v>0</v>
      </c>
      <c r="SC21">
        <v>13.956926701155499</v>
      </c>
      <c r="SD21">
        <v>7032.2549049127601</v>
      </c>
      <c r="SE21">
        <v>7032.2549049127601</v>
      </c>
      <c r="SF21">
        <v>12444.0420948679</v>
      </c>
      <c r="SG21">
        <v>0</v>
      </c>
      <c r="SH21">
        <v>0</v>
      </c>
      <c r="SI21">
        <v>16.7493215064559</v>
      </c>
      <c r="SJ21">
        <v>33868.217042934899</v>
      </c>
      <c r="SK21">
        <v>33868.217042934899</v>
      </c>
      <c r="SL21">
        <v>77090.014472400202</v>
      </c>
      <c r="SM21" s="35">
        <v>21.1111</v>
      </c>
      <c r="SN21">
        <v>26.666699999999999</v>
      </c>
      <c r="SO21">
        <v>0</v>
      </c>
      <c r="SP21">
        <v>0</v>
      </c>
      <c r="SQ21">
        <v>17.094561710648499</v>
      </c>
      <c r="SR21">
        <v>0</v>
      </c>
      <c r="SS21">
        <v>0</v>
      </c>
      <c r="ST21">
        <v>0</v>
      </c>
      <c r="SU21">
        <v>0</v>
      </c>
      <c r="SV21">
        <v>0</v>
      </c>
      <c r="SW21">
        <v>17.052598187535299</v>
      </c>
      <c r="SX21">
        <v>0</v>
      </c>
      <c r="SY21" s="35">
        <v>0</v>
      </c>
      <c r="SZ21">
        <v>0</v>
      </c>
      <c r="TA21">
        <v>0</v>
      </c>
      <c r="TB21">
        <v>0</v>
      </c>
      <c r="TC21">
        <v>16.409681118579002</v>
      </c>
      <c r="TD21">
        <v>0</v>
      </c>
      <c r="TE21">
        <v>0</v>
      </c>
      <c r="TF21">
        <v>0</v>
      </c>
      <c r="TG21">
        <v>0</v>
      </c>
      <c r="TH21">
        <v>0</v>
      </c>
      <c r="TI21">
        <v>17.104881574678899</v>
      </c>
      <c r="TJ21">
        <v>0</v>
      </c>
      <c r="TK21">
        <v>0</v>
      </c>
      <c r="TL21">
        <v>0</v>
      </c>
      <c r="TM21">
        <v>0</v>
      </c>
      <c r="TN21">
        <v>0</v>
      </c>
      <c r="TO21">
        <v>16.859984328805702</v>
      </c>
      <c r="TP21">
        <v>0</v>
      </c>
      <c r="TQ21">
        <v>0</v>
      </c>
      <c r="TR21">
        <v>0</v>
      </c>
      <c r="TS21">
        <v>0</v>
      </c>
      <c r="TT21">
        <v>0</v>
      </c>
      <c r="TU21">
        <v>14.0102515678981</v>
      </c>
      <c r="TV21">
        <v>11004.4036593948</v>
      </c>
      <c r="TW21">
        <v>11004.4036593948</v>
      </c>
      <c r="TX21">
        <v>19539.2749224828</v>
      </c>
      <c r="TY21">
        <v>0</v>
      </c>
      <c r="TZ21">
        <v>0</v>
      </c>
      <c r="UA21">
        <v>13.9862615272041</v>
      </c>
      <c r="UB21">
        <v>7021.2629797520503</v>
      </c>
      <c r="UC21">
        <v>7021.2629797520503</v>
      </c>
      <c r="UD21">
        <v>12444.203408540599</v>
      </c>
      <c r="UE21">
        <v>0</v>
      </c>
      <c r="UF21">
        <v>0</v>
      </c>
      <c r="UG21">
        <v>13.6330185002329</v>
      </c>
      <c r="UH21">
        <v>11603.4835533838</v>
      </c>
      <c r="UI21">
        <v>11603.4835533838</v>
      </c>
      <c r="UJ21">
        <v>20149.357800150599</v>
      </c>
      <c r="UK21">
        <v>0</v>
      </c>
      <c r="UL21">
        <v>0</v>
      </c>
      <c r="UM21">
        <v>13.9752990830999</v>
      </c>
      <c r="UN21">
        <v>7033.0437145441701</v>
      </c>
      <c r="UO21">
        <v>7033.0437145441701</v>
      </c>
      <c r="UP21">
        <v>12456.1741591667</v>
      </c>
      <c r="UQ21">
        <v>0</v>
      </c>
      <c r="UR21">
        <v>0</v>
      </c>
      <c r="US21">
        <v>16.502285976199499</v>
      </c>
      <c r="UT21">
        <v>35817.310116807101</v>
      </c>
      <c r="UU21">
        <v>35817.310116807101</v>
      </c>
      <c r="UV21">
        <v>79076.268660761794</v>
      </c>
      <c r="UW21">
        <v>21.1111</v>
      </c>
      <c r="UX21">
        <v>26.666699999999999</v>
      </c>
      <c r="UY21">
        <v>0</v>
      </c>
      <c r="UZ21">
        <v>0</v>
      </c>
      <c r="VA21">
        <v>17.105855748776801</v>
      </c>
      <c r="VB21">
        <v>0</v>
      </c>
      <c r="VC21">
        <v>0</v>
      </c>
      <c r="VD21">
        <v>0</v>
      </c>
      <c r="VE21">
        <v>0</v>
      </c>
      <c r="VF21">
        <v>0</v>
      </c>
      <c r="VG21">
        <v>17.124776614760901</v>
      </c>
      <c r="VH21">
        <v>0</v>
      </c>
      <c r="VI21">
        <v>0</v>
      </c>
      <c r="VJ21">
        <v>0</v>
      </c>
      <c r="VK21">
        <v>0</v>
      </c>
      <c r="VL21">
        <v>0</v>
      </c>
      <c r="VM21">
        <v>16.428579842485401</v>
      </c>
      <c r="VN21">
        <v>0</v>
      </c>
      <c r="VO21">
        <v>0</v>
      </c>
      <c r="VP21">
        <v>0</v>
      </c>
      <c r="VQ21">
        <v>0</v>
      </c>
      <c r="VR21">
        <v>0</v>
      </c>
      <c r="VS21">
        <v>17.186014705983101</v>
      </c>
      <c r="VT21">
        <v>0</v>
      </c>
      <c r="VU21">
        <v>0</v>
      </c>
      <c r="VV21">
        <v>0</v>
      </c>
      <c r="VW21">
        <v>0</v>
      </c>
      <c r="VX21">
        <v>0</v>
      </c>
      <c r="VY21">
        <v>16.621148766808599</v>
      </c>
      <c r="VZ21">
        <v>0</v>
      </c>
      <c r="WA21">
        <v>0</v>
      </c>
      <c r="WB21">
        <v>0</v>
      </c>
      <c r="WC21">
        <v>0</v>
      </c>
      <c r="WD21">
        <v>0</v>
      </c>
      <c r="WE21">
        <v>12.6235215918992</v>
      </c>
      <c r="WF21">
        <v>13345.3688558268</v>
      </c>
      <c r="WG21">
        <v>13345.3688558268</v>
      </c>
      <c r="WH21">
        <v>21924.866448167599</v>
      </c>
      <c r="WI21">
        <v>0</v>
      </c>
      <c r="WJ21">
        <v>0</v>
      </c>
      <c r="WK21">
        <v>0</v>
      </c>
      <c r="WL21">
        <v>12.6080372060031</v>
      </c>
      <c r="WM21">
        <v>8501.6421788390708</v>
      </c>
      <c r="WN21">
        <v>8501.6421788390708</v>
      </c>
      <c r="WO21">
        <v>13953.0835876978</v>
      </c>
      <c r="WP21">
        <v>21.1111</v>
      </c>
      <c r="WQ21">
        <v>26.666699999999999</v>
      </c>
      <c r="WR21">
        <v>0</v>
      </c>
      <c r="WS21">
        <v>0</v>
      </c>
      <c r="WT21">
        <v>12.3648167911228</v>
      </c>
      <c r="WU21">
        <v>13752.781969638199</v>
      </c>
      <c r="WV21">
        <v>13752.781969638199</v>
      </c>
      <c r="WW21">
        <v>22340.004559897101</v>
      </c>
      <c r="WX21">
        <v>0</v>
      </c>
      <c r="WY21">
        <v>0</v>
      </c>
      <c r="WZ21">
        <v>0</v>
      </c>
      <c r="XA21">
        <v>12.5714840407663</v>
      </c>
      <c r="XB21">
        <v>8538.9037951118898</v>
      </c>
      <c r="XC21">
        <v>8538.9037951118898</v>
      </c>
      <c r="XD21">
        <v>13991.043810986999</v>
      </c>
      <c r="XE21">
        <v>0</v>
      </c>
      <c r="XF21">
        <v>0</v>
      </c>
      <c r="XG21">
        <v>14.835681996068899</v>
      </c>
      <c r="XH21">
        <v>49420.067145526198</v>
      </c>
      <c r="XI21">
        <v>49420.067145526198</v>
      </c>
      <c r="XJ21">
        <v>92897.165491206397</v>
      </c>
      <c r="XK21">
        <v>21.1111</v>
      </c>
      <c r="XL21">
        <v>26.666699999999999</v>
      </c>
      <c r="XM21">
        <v>0</v>
      </c>
      <c r="XN21">
        <v>0</v>
      </c>
      <c r="XO21">
        <v>11.3086017783884</v>
      </c>
      <c r="XP21">
        <v>0</v>
      </c>
      <c r="XQ21">
        <v>0</v>
      </c>
      <c r="XR21">
        <v>0</v>
      </c>
      <c r="XS21">
        <v>0</v>
      </c>
      <c r="XT21">
        <v>0</v>
      </c>
      <c r="XU21">
        <v>11.298089232017199</v>
      </c>
      <c r="XV21">
        <v>0</v>
      </c>
      <c r="XW21">
        <v>0</v>
      </c>
      <c r="XX21">
        <v>0</v>
      </c>
      <c r="XY21">
        <v>0</v>
      </c>
      <c r="XZ21">
        <v>0</v>
      </c>
      <c r="YA21">
        <v>11.054734317706201</v>
      </c>
      <c r="YB21">
        <v>0</v>
      </c>
      <c r="YC21">
        <v>0</v>
      </c>
      <c r="YD21">
        <v>0</v>
      </c>
      <c r="YE21">
        <v>0</v>
      </c>
      <c r="YF21">
        <v>0</v>
      </c>
      <c r="YG21">
        <v>11.3275842248147</v>
      </c>
      <c r="YH21">
        <v>0</v>
      </c>
      <c r="YI21">
        <v>0</v>
      </c>
      <c r="YJ21">
        <v>0</v>
      </c>
      <c r="YK21">
        <v>0</v>
      </c>
      <c r="YL21">
        <v>0</v>
      </c>
      <c r="YM21">
        <v>12.5234306623267</v>
      </c>
      <c r="YN21">
        <v>0</v>
      </c>
      <c r="YO21">
        <v>0</v>
      </c>
      <c r="YP21">
        <v>0</v>
      </c>
      <c r="YQ21">
        <v>0</v>
      </c>
      <c r="YR21">
        <v>0</v>
      </c>
      <c r="YS21">
        <v>16.622652712415402</v>
      </c>
      <c r="YT21">
        <v>0</v>
      </c>
      <c r="YU21">
        <v>0</v>
      </c>
      <c r="YV21">
        <v>0</v>
      </c>
      <c r="YW21">
        <v>0</v>
      </c>
      <c r="YX21">
        <v>0</v>
      </c>
      <c r="YY21">
        <v>16.5971628402996</v>
      </c>
      <c r="YZ21">
        <v>0</v>
      </c>
      <c r="ZA21">
        <v>0</v>
      </c>
      <c r="ZB21">
        <v>0</v>
      </c>
      <c r="ZC21">
        <v>0</v>
      </c>
      <c r="ZD21">
        <v>0</v>
      </c>
      <c r="ZE21">
        <v>16.4369667361476</v>
      </c>
      <c r="ZF21">
        <v>0</v>
      </c>
      <c r="ZG21">
        <v>0</v>
      </c>
      <c r="ZH21">
        <v>0</v>
      </c>
      <c r="ZI21">
        <v>0</v>
      </c>
      <c r="ZJ21">
        <v>0</v>
      </c>
      <c r="ZK21">
        <v>16.6043712912623</v>
      </c>
      <c r="ZL21">
        <v>0</v>
      </c>
      <c r="ZM21">
        <v>0</v>
      </c>
      <c r="ZN21">
        <v>0</v>
      </c>
      <c r="ZO21">
        <v>0</v>
      </c>
      <c r="ZP21">
        <v>0</v>
      </c>
      <c r="ZQ21">
        <v>16.6992403427423</v>
      </c>
      <c r="ZR21">
        <v>0</v>
      </c>
      <c r="ZS21">
        <v>0</v>
      </c>
      <c r="ZT21">
        <v>0</v>
      </c>
      <c r="ZU21">
        <v>0</v>
      </c>
      <c r="ZV21">
        <v>0</v>
      </c>
      <c r="ZW21">
        <v>17.449786400331501</v>
      </c>
      <c r="ZX21">
        <v>0</v>
      </c>
      <c r="ZY21">
        <v>0</v>
      </c>
      <c r="ZZ21">
        <v>0</v>
      </c>
      <c r="AAA21">
        <v>0</v>
      </c>
      <c r="AAB21">
        <v>0</v>
      </c>
      <c r="AAC21">
        <v>17.450187515677101</v>
      </c>
      <c r="AAD21">
        <v>0</v>
      </c>
      <c r="AAE21">
        <v>0</v>
      </c>
      <c r="AAF21">
        <v>0</v>
      </c>
      <c r="AAG21">
        <v>0</v>
      </c>
      <c r="AAH21">
        <v>0</v>
      </c>
      <c r="AAI21">
        <v>16.873449225121099</v>
      </c>
      <c r="AAJ21">
        <v>0</v>
      </c>
      <c r="AAK21">
        <v>0</v>
      </c>
      <c r="AAL21">
        <v>0</v>
      </c>
      <c r="AAM21">
        <v>0</v>
      </c>
      <c r="AAN21" s="581">
        <v>0</v>
      </c>
      <c r="AAO21">
        <v>17.5029435545291</v>
      </c>
      <c r="AAP21">
        <v>0</v>
      </c>
      <c r="AAQ21">
        <v>0</v>
      </c>
      <c r="AAR21">
        <v>0</v>
      </c>
      <c r="AAS21">
        <v>0</v>
      </c>
      <c r="AAT21">
        <v>0</v>
      </c>
      <c r="AAU21">
        <v>16.302270063785901</v>
      </c>
      <c r="AAV21">
        <v>0</v>
      </c>
      <c r="AAW21">
        <v>0</v>
      </c>
      <c r="AAX21">
        <v>0</v>
      </c>
      <c r="AAY21">
        <v>0</v>
      </c>
      <c r="AAZ21">
        <v>0</v>
      </c>
      <c r="ABA21">
        <v>17.1816615293287</v>
      </c>
      <c r="ABB21">
        <v>0</v>
      </c>
      <c r="ABC21">
        <v>0</v>
      </c>
      <c r="ABD21">
        <v>0</v>
      </c>
      <c r="ABE21">
        <v>0</v>
      </c>
      <c r="ABF21">
        <v>0</v>
      </c>
      <c r="ABG21">
        <v>17.222984535049701</v>
      </c>
      <c r="ABH21">
        <v>0</v>
      </c>
      <c r="ABI21">
        <v>0</v>
      </c>
      <c r="ABJ21">
        <v>0</v>
      </c>
      <c r="ABK21">
        <v>0</v>
      </c>
      <c r="ABL21">
        <v>0</v>
      </c>
      <c r="ABM21">
        <v>16.622656069699499</v>
      </c>
      <c r="ABN21">
        <v>0</v>
      </c>
      <c r="ABO21">
        <v>0</v>
      </c>
      <c r="ABP21">
        <v>0</v>
      </c>
      <c r="ABQ21">
        <v>0</v>
      </c>
      <c r="ABR21">
        <v>0</v>
      </c>
      <c r="ABS21">
        <v>17.248590746419801</v>
      </c>
      <c r="ABT21">
        <v>0</v>
      </c>
      <c r="ABU21">
        <v>0</v>
      </c>
      <c r="ABV21">
        <v>0</v>
      </c>
      <c r="ABW21">
        <v>0</v>
      </c>
      <c r="ABX21">
        <v>0</v>
      </c>
      <c r="ABY21">
        <v>15.7949473518459</v>
      </c>
      <c r="ABZ21">
        <v>0</v>
      </c>
      <c r="ACA21">
        <v>0</v>
      </c>
      <c r="ACB21">
        <v>0</v>
      </c>
      <c r="ACC21">
        <v>0</v>
      </c>
      <c r="ACD21">
        <v>0</v>
      </c>
      <c r="ACE21">
        <v>0</v>
      </c>
      <c r="ACF21">
        <v>12.2200000000079</v>
      </c>
      <c r="ACG21">
        <v>12.2200000000079</v>
      </c>
      <c r="ACH21">
        <v>0</v>
      </c>
      <c r="ACI21">
        <v>0</v>
      </c>
      <c r="ACJ21">
        <v>0</v>
      </c>
      <c r="ACK21">
        <v>20.760648244627699</v>
      </c>
      <c r="ACL21">
        <v>20.760648244627699</v>
      </c>
      <c r="ACM21">
        <v>0</v>
      </c>
      <c r="ACN21">
        <v>0</v>
      </c>
      <c r="ACP21">
        <v>0</v>
      </c>
      <c r="ACR21">
        <v>0</v>
      </c>
      <c r="ACT21">
        <v>16.748310949072</v>
      </c>
      <c r="ACU21">
        <v>16.748310949072</v>
      </c>
      <c r="ACV21">
        <v>0</v>
      </c>
      <c r="ACW21">
        <v>0</v>
      </c>
      <c r="ACX21">
        <v>1</v>
      </c>
      <c r="ACY21">
        <v>16.5011639707378</v>
      </c>
      <c r="ACZ21">
        <v>16.5011639707378</v>
      </c>
      <c r="ADA21">
        <v>0</v>
      </c>
      <c r="ADB21">
        <v>0</v>
      </c>
      <c r="ADC21">
        <v>1</v>
      </c>
      <c r="ADD21">
        <v>14.8374895241285</v>
      </c>
      <c r="ADE21">
        <v>14.8374895241285</v>
      </c>
      <c r="ADF21">
        <v>0</v>
      </c>
      <c r="ADG21">
        <v>0</v>
      </c>
      <c r="ADH21">
        <v>1</v>
      </c>
      <c r="ADI21">
        <v>14.806619759869101</v>
      </c>
      <c r="ADJ21">
        <v>14.806619759869101</v>
      </c>
      <c r="ADK21">
        <v>0</v>
      </c>
      <c r="ADL21">
        <v>0</v>
      </c>
      <c r="ADM21">
        <v>1</v>
      </c>
      <c r="ADN21">
        <v>14.742273292885599</v>
      </c>
      <c r="ADO21">
        <v>14.742273292885599</v>
      </c>
      <c r="ADP21">
        <v>0</v>
      </c>
      <c r="ADQ21">
        <v>0</v>
      </c>
      <c r="ADR21">
        <v>1</v>
      </c>
      <c r="ADS21">
        <v>14.4163646670715</v>
      </c>
      <c r="ADT21">
        <v>14.4163646670715</v>
      </c>
      <c r="ADU21">
        <v>0</v>
      </c>
      <c r="ADV21">
        <v>0</v>
      </c>
      <c r="ADW21">
        <v>1</v>
      </c>
      <c r="ADX21">
        <v>14.7333106713043</v>
      </c>
      <c r="ADY21">
        <v>14.7333106713043</v>
      </c>
      <c r="ADZ21">
        <v>0</v>
      </c>
      <c r="AEA21">
        <v>0</v>
      </c>
      <c r="AEB21">
        <v>1</v>
      </c>
      <c r="AEC21">
        <v>14.814913967747501</v>
      </c>
      <c r="AED21">
        <v>14.814913967747501</v>
      </c>
      <c r="AEE21">
        <v>0</v>
      </c>
      <c r="AEF21">
        <v>0</v>
      </c>
      <c r="AEG21">
        <v>1</v>
      </c>
      <c r="AEH21">
        <v>14.796696898834</v>
      </c>
      <c r="AEI21">
        <v>14.796696898834</v>
      </c>
      <c r="AEJ21">
        <v>0</v>
      </c>
      <c r="AEK21">
        <v>0</v>
      </c>
      <c r="AEL21">
        <v>1</v>
      </c>
      <c r="AEM21">
        <v>14.3885691940085</v>
      </c>
      <c r="AEN21">
        <v>14.3885691940085</v>
      </c>
      <c r="AEO21">
        <v>0</v>
      </c>
      <c r="AEP21">
        <v>0</v>
      </c>
      <c r="AEQ21">
        <v>1</v>
      </c>
      <c r="AER21">
        <v>14.8040437904359</v>
      </c>
      <c r="AES21">
        <v>14.8040437904359</v>
      </c>
      <c r="AET21">
        <v>0</v>
      </c>
      <c r="AEU21">
        <v>0</v>
      </c>
      <c r="AEV21">
        <v>1</v>
      </c>
      <c r="AEW21">
        <v>13.395091256976</v>
      </c>
      <c r="AEX21">
        <v>13.395091256976</v>
      </c>
      <c r="AEY21">
        <v>0</v>
      </c>
      <c r="AEZ21">
        <v>0</v>
      </c>
      <c r="AFA21">
        <v>1</v>
      </c>
      <c r="AFB21">
        <v>13.381067195849701</v>
      </c>
      <c r="AFC21">
        <v>13.381067195849701</v>
      </c>
      <c r="AFD21">
        <v>0</v>
      </c>
      <c r="AFE21">
        <v>0</v>
      </c>
      <c r="AFF21">
        <v>1</v>
      </c>
      <c r="AFG21">
        <v>13.088287504861601</v>
      </c>
      <c r="AFH21">
        <v>13.088287504861601</v>
      </c>
      <c r="AFI21">
        <v>0</v>
      </c>
      <c r="AFJ21">
        <v>0</v>
      </c>
      <c r="AFK21">
        <v>1</v>
      </c>
      <c r="AFL21">
        <v>13.358559474920099</v>
      </c>
      <c r="AFM21">
        <v>13.358559474920099</v>
      </c>
      <c r="AFN21">
        <v>0</v>
      </c>
      <c r="AFO21">
        <v>0</v>
      </c>
      <c r="AFP21">
        <v>1</v>
      </c>
      <c r="AFQ21">
        <v>-2.0329138813799998</v>
      </c>
      <c r="AFR21">
        <v>-1.9789770831125799</v>
      </c>
      <c r="AFS21">
        <v>-1.9884682600737</v>
      </c>
      <c r="AFT21">
        <v>-1.98804497705627</v>
      </c>
      <c r="AFU21">
        <v>-2.03318504083814</v>
      </c>
      <c r="AFV21">
        <v>-1.97375983768455</v>
      </c>
      <c r="AFW21">
        <v>-1.97465751926302</v>
      </c>
      <c r="AFX21">
        <v>-1.9765962390041301</v>
      </c>
      <c r="AFY21">
        <v>-2.20539709667367</v>
      </c>
      <c r="AFZ21">
        <v>-2.1672811844248301</v>
      </c>
      <c r="AGA21">
        <v>-2.1711069570548198</v>
      </c>
      <c r="AGB21">
        <v>-2.1691465335013098</v>
      </c>
      <c r="AGC21">
        <v>-1.7568966789318501</v>
      </c>
      <c r="AGD21">
        <v>-1.79410063251354</v>
      </c>
      <c r="AGE21">
        <v>-2.0279361958020901</v>
      </c>
      <c r="AGF21">
        <v>0</v>
      </c>
      <c r="AGG21">
        <v>0</v>
      </c>
      <c r="AGH21">
        <v>0</v>
      </c>
      <c r="AGI21">
        <v>0</v>
      </c>
      <c r="AGJ21">
        <v>0</v>
      </c>
      <c r="AGK21">
        <v>0</v>
      </c>
      <c r="AGL21">
        <v>0</v>
      </c>
      <c r="AGM21">
        <v>0</v>
      </c>
      <c r="AGN21">
        <v>0</v>
      </c>
      <c r="AGO21">
        <v>0</v>
      </c>
      <c r="AGP21">
        <v>0</v>
      </c>
      <c r="AGQ21">
        <v>0</v>
      </c>
      <c r="AGR21">
        <v>0</v>
      </c>
      <c r="AGS21">
        <v>0</v>
      </c>
      <c r="AGT21">
        <v>0</v>
      </c>
      <c r="AGU21">
        <v>0</v>
      </c>
      <c r="AGV21">
        <v>0</v>
      </c>
      <c r="AGW21">
        <v>0</v>
      </c>
      <c r="AGX21">
        <v>0</v>
      </c>
      <c r="AGY21">
        <v>0</v>
      </c>
      <c r="AGZ21">
        <v>0</v>
      </c>
      <c r="AHA21">
        <v>0</v>
      </c>
      <c r="AHB21">
        <v>0</v>
      </c>
      <c r="AHC21">
        <v>0</v>
      </c>
      <c r="AHD21">
        <v>0</v>
      </c>
      <c r="AHE21">
        <v>0</v>
      </c>
      <c r="AHF21">
        <v>0</v>
      </c>
      <c r="AHG21">
        <v>0</v>
      </c>
      <c r="AHH21">
        <v>0</v>
      </c>
      <c r="AHI21">
        <v>0</v>
      </c>
      <c r="AHJ21">
        <v>0</v>
      </c>
      <c r="AHK21">
        <v>0</v>
      </c>
      <c r="AHL21">
        <v>0</v>
      </c>
      <c r="AHM21">
        <v>0</v>
      </c>
      <c r="AHN21">
        <v>0</v>
      </c>
      <c r="AHO21">
        <v>0</v>
      </c>
      <c r="AHP21">
        <v>0</v>
      </c>
      <c r="AHQ21">
        <v>0</v>
      </c>
      <c r="AHR21">
        <v>0</v>
      </c>
      <c r="AHS21">
        <v>0</v>
      </c>
      <c r="AHT21">
        <v>0</v>
      </c>
      <c r="AHU21">
        <v>0</v>
      </c>
      <c r="AHV21">
        <v>0</v>
      </c>
      <c r="AHW21">
        <v>0</v>
      </c>
      <c r="AHX21">
        <v>0</v>
      </c>
      <c r="AHZ21">
        <v>0</v>
      </c>
      <c r="AIB21">
        <v>0</v>
      </c>
      <c r="AID21">
        <v>0</v>
      </c>
      <c r="AIF21">
        <v>0</v>
      </c>
      <c r="AIH21">
        <v>0</v>
      </c>
      <c r="AIJ21">
        <v>0</v>
      </c>
      <c r="AIL21">
        <v>0</v>
      </c>
      <c r="AIN21">
        <v>0</v>
      </c>
      <c r="AIP21">
        <v>0</v>
      </c>
      <c r="AIR21">
        <v>0</v>
      </c>
      <c r="AIT21">
        <v>0</v>
      </c>
      <c r="AIV21">
        <v>0</v>
      </c>
      <c r="AIX21">
        <v>0</v>
      </c>
      <c r="AIZ21">
        <v>0</v>
      </c>
      <c r="AJB21">
        <v>0</v>
      </c>
      <c r="AJC21">
        <v>0</v>
      </c>
      <c r="AJE21">
        <v>0</v>
      </c>
      <c r="AJH21">
        <v>0</v>
      </c>
      <c r="AJJ21">
        <v>0</v>
      </c>
      <c r="AJK21">
        <v>0</v>
      </c>
      <c r="AJL21">
        <v>0</v>
      </c>
      <c r="AJM21">
        <v>0</v>
      </c>
      <c r="AJN21">
        <v>0</v>
      </c>
      <c r="AJO21">
        <v>0</v>
      </c>
      <c r="AJP21">
        <v>0</v>
      </c>
      <c r="AJQ21">
        <v>0</v>
      </c>
      <c r="AJR21">
        <v>0</v>
      </c>
      <c r="AJS21">
        <v>0</v>
      </c>
      <c r="AJT21">
        <v>0</v>
      </c>
      <c r="AJU21">
        <v>0</v>
      </c>
      <c r="AJV21">
        <v>0</v>
      </c>
      <c r="AJW21">
        <v>0</v>
      </c>
      <c r="AJX21">
        <v>0</v>
      </c>
      <c r="AJY21">
        <v>0</v>
      </c>
      <c r="AJZ21">
        <v>0</v>
      </c>
      <c r="AKA21">
        <v>0</v>
      </c>
      <c r="AKB21">
        <v>0</v>
      </c>
      <c r="AKC21">
        <v>0</v>
      </c>
      <c r="AKD21">
        <v>0</v>
      </c>
      <c r="AKE21">
        <v>74.738617733567096</v>
      </c>
      <c r="AKF21">
        <v>74.738617733567096</v>
      </c>
      <c r="AKG21">
        <v>0</v>
      </c>
      <c r="AKH21">
        <v>0</v>
      </c>
      <c r="AKI21">
        <v>0</v>
      </c>
      <c r="AKJ21">
        <v>0</v>
      </c>
      <c r="AKK21">
        <v>0</v>
      </c>
      <c r="AKL21">
        <v>74.738617733567096</v>
      </c>
      <c r="AKM21">
        <v>74.738617733567096</v>
      </c>
      <c r="AKN21">
        <v>0</v>
      </c>
      <c r="AKO21">
        <v>0</v>
      </c>
      <c r="AKP21">
        <v>0</v>
      </c>
      <c r="AKT21">
        <v>0</v>
      </c>
      <c r="AKX21">
        <v>0</v>
      </c>
      <c r="ALB21">
        <v>20.760648244627699</v>
      </c>
      <c r="ALC21">
        <v>20.760648244627699</v>
      </c>
      <c r="ALD21">
        <v>0</v>
      </c>
      <c r="ALE21">
        <v>0</v>
      </c>
      <c r="ALF21">
        <v>0</v>
      </c>
      <c r="ALH21">
        <v>16.8658168950247</v>
      </c>
      <c r="ALI21">
        <v>2.8568269606532499E-3</v>
      </c>
      <c r="ALJ21">
        <v>0</v>
      </c>
      <c r="ALK21">
        <v>16.8658168950247</v>
      </c>
      <c r="ALL21">
        <v>0</v>
      </c>
      <c r="ALM21">
        <v>0</v>
      </c>
      <c r="ALN21">
        <v>16.8658168950247</v>
      </c>
      <c r="ALO21">
        <v>2.8568269606532499E-3</v>
      </c>
      <c r="ALP21">
        <v>24.0952359755236</v>
      </c>
      <c r="ALQ21">
        <v>0</v>
      </c>
      <c r="ALR21">
        <v>16.8658168950247</v>
      </c>
      <c r="ALS21">
        <v>0</v>
      </c>
      <c r="ALT21">
        <v>16.8658168950247</v>
      </c>
      <c r="ALU21">
        <v>0</v>
      </c>
      <c r="ALV21">
        <v>12.2200000000079</v>
      </c>
      <c r="ALW21">
        <v>9.9999999999999897E-12</v>
      </c>
      <c r="ALX21">
        <v>12.2200000000079</v>
      </c>
      <c r="ALY21">
        <v>9.9999999999999897E-12</v>
      </c>
      <c r="ALZ21">
        <v>0</v>
      </c>
      <c r="AMA21">
        <v>12.2200000000079</v>
      </c>
      <c r="AMB21">
        <v>0</v>
      </c>
      <c r="AMC21">
        <v>12.2200000000079</v>
      </c>
      <c r="AMD21">
        <v>0</v>
      </c>
      <c r="AME21">
        <v>12.2200000000079</v>
      </c>
      <c r="AMF21">
        <v>0</v>
      </c>
      <c r="AMG21">
        <v>0</v>
      </c>
      <c r="AMH21">
        <v>0</v>
      </c>
      <c r="AMI21">
        <v>16.624141251640101</v>
      </c>
      <c r="AMJ21">
        <v>0</v>
      </c>
      <c r="AMK21" s="580">
        <v>16.657157527588101</v>
      </c>
      <c r="AML21">
        <v>0</v>
      </c>
      <c r="AMM21">
        <v>16.616733621935701</v>
      </c>
      <c r="AMN21">
        <v>0</v>
      </c>
      <c r="AMO21">
        <v>16.6412245619019</v>
      </c>
      <c r="AMP21">
        <v>0</v>
      </c>
      <c r="AMQ21">
        <v>16.462793685971999</v>
      </c>
      <c r="AMR21">
        <v>0</v>
      </c>
      <c r="AMS21">
        <v>16.257373565223901</v>
      </c>
      <c r="AMT21">
        <v>0</v>
      </c>
      <c r="AMU21">
        <v>17.473093270970701</v>
      </c>
      <c r="AMV21">
        <v>0</v>
      </c>
      <c r="AMW21">
        <v>17.525822747269</v>
      </c>
      <c r="AMX21">
        <v>0</v>
      </c>
      <c r="AMY21">
        <v>17.4714673823058</v>
      </c>
      <c r="AMZ21">
        <v>0</v>
      </c>
      <c r="ANA21">
        <v>16.907154296641401</v>
      </c>
      <c r="ANB21">
        <v>0</v>
      </c>
      <c r="ANC21">
        <v>15.7811919502787</v>
      </c>
      <c r="AND21">
        <v>0</v>
      </c>
      <c r="ANE21">
        <v>17.276340127408101</v>
      </c>
      <c r="ANF21">
        <v>0</v>
      </c>
      <c r="ANG21">
        <v>17.3005314858178</v>
      </c>
      <c r="ANH21">
        <v>0</v>
      </c>
      <c r="ANI21">
        <v>17.233667349642602</v>
      </c>
      <c r="ANJ21">
        <v>0</v>
      </c>
      <c r="ANK21">
        <v>16.683996212788799</v>
      </c>
      <c r="ANL21">
        <v>0</v>
      </c>
      <c r="ANM21">
        <v>0</v>
      </c>
      <c r="ANN21">
        <v>0</v>
      </c>
      <c r="ANO21">
        <v>0</v>
      </c>
      <c r="ANP21">
        <v>16.657157527588101</v>
      </c>
      <c r="ANQ21">
        <v>16.616733621935701</v>
      </c>
      <c r="ANR21">
        <v>16.624141251640101</v>
      </c>
      <c r="ANS21">
        <v>16.462793685971999</v>
      </c>
      <c r="ANT21">
        <v>16.6412245619019</v>
      </c>
      <c r="ANU21">
        <v>16.257373565223901</v>
      </c>
      <c r="ANV21">
        <v>17.473093270970701</v>
      </c>
      <c r="ANW21">
        <v>17.525822747269</v>
      </c>
      <c r="ANX21">
        <v>16.907154296641401</v>
      </c>
      <c r="ANY21">
        <v>17.4714673823058</v>
      </c>
      <c r="ANZ21">
        <v>15.7811919502787</v>
      </c>
      <c r="AOA21">
        <v>17.276340127408101</v>
      </c>
      <c r="AOB21">
        <v>17.3005314858178</v>
      </c>
      <c r="AOC21">
        <v>16.683996212788799</v>
      </c>
      <c r="AOD21">
        <v>17.233667349642602</v>
      </c>
      <c r="AOE21">
        <v>16.8658168950247</v>
      </c>
      <c r="AOF21">
        <v>0</v>
      </c>
      <c r="AOG21">
        <v>16.867125394982502</v>
      </c>
      <c r="AOH21">
        <v>0</v>
      </c>
    </row>
    <row r="22" spans="1:1074">
      <c r="A22" t="s">
        <v>2592</v>
      </c>
      <c r="B22">
        <v>-3.33</v>
      </c>
      <c r="D22">
        <v>-3.33</v>
      </c>
      <c r="F22">
        <v>10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0</v>
      </c>
      <c r="BX22">
        <v>0</v>
      </c>
      <c r="BY22">
        <v>0</v>
      </c>
      <c r="BZ22">
        <v>0</v>
      </c>
      <c r="CA22">
        <v>0</v>
      </c>
      <c r="CB22">
        <v>0</v>
      </c>
      <c r="CC22">
        <v>0</v>
      </c>
      <c r="CD22">
        <v>0</v>
      </c>
      <c r="CE22">
        <v>0</v>
      </c>
      <c r="CF22">
        <v>0</v>
      </c>
      <c r="CG22">
        <v>0</v>
      </c>
      <c r="CH22">
        <v>0</v>
      </c>
      <c r="CI22">
        <v>0</v>
      </c>
      <c r="CJ22">
        <v>0</v>
      </c>
      <c r="CK22">
        <v>0</v>
      </c>
      <c r="CL22">
        <v>0</v>
      </c>
      <c r="CM22">
        <v>0</v>
      </c>
      <c r="CN22">
        <v>0</v>
      </c>
      <c r="CO22">
        <v>0</v>
      </c>
      <c r="CP22">
        <v>0</v>
      </c>
      <c r="CQ22">
        <v>0</v>
      </c>
      <c r="CR22">
        <v>0</v>
      </c>
      <c r="CS22">
        <v>0</v>
      </c>
      <c r="CT22">
        <v>0</v>
      </c>
      <c r="CU22">
        <v>0</v>
      </c>
      <c r="CV22">
        <v>0</v>
      </c>
      <c r="CW22">
        <v>0</v>
      </c>
      <c r="CX22">
        <v>0</v>
      </c>
      <c r="CY22">
        <v>0</v>
      </c>
      <c r="CZ22">
        <v>0</v>
      </c>
      <c r="DA22">
        <v>0</v>
      </c>
      <c r="DB22">
        <v>0</v>
      </c>
      <c r="DC22">
        <v>0</v>
      </c>
      <c r="DD22">
        <v>0</v>
      </c>
      <c r="DE22">
        <v>0</v>
      </c>
      <c r="DF22">
        <v>0</v>
      </c>
      <c r="DG22">
        <v>0</v>
      </c>
      <c r="DH22">
        <v>0</v>
      </c>
      <c r="DI22">
        <v>0</v>
      </c>
      <c r="DJ22">
        <v>0</v>
      </c>
      <c r="DK22">
        <v>0</v>
      </c>
      <c r="DL22">
        <v>0</v>
      </c>
      <c r="DM22">
        <v>0</v>
      </c>
      <c r="DN22">
        <v>0</v>
      </c>
      <c r="DO22">
        <v>0</v>
      </c>
      <c r="DP22">
        <v>0</v>
      </c>
      <c r="DQ22">
        <v>0</v>
      </c>
      <c r="DR22">
        <v>0</v>
      </c>
      <c r="DS22">
        <v>0</v>
      </c>
      <c r="DT22">
        <v>0</v>
      </c>
      <c r="DU22">
        <v>0</v>
      </c>
      <c r="DV22">
        <v>0</v>
      </c>
      <c r="DW22">
        <v>0</v>
      </c>
      <c r="DX22">
        <v>0</v>
      </c>
      <c r="DY22">
        <v>0</v>
      </c>
      <c r="DZ22">
        <v>0</v>
      </c>
      <c r="EA22">
        <v>0</v>
      </c>
      <c r="EB22">
        <v>0</v>
      </c>
      <c r="EC22">
        <v>0</v>
      </c>
      <c r="ED22">
        <v>0</v>
      </c>
      <c r="EE22">
        <v>0</v>
      </c>
      <c r="EF22">
        <v>0</v>
      </c>
      <c r="EG22">
        <v>0</v>
      </c>
      <c r="EH22">
        <v>0</v>
      </c>
      <c r="EI22">
        <v>0</v>
      </c>
      <c r="EJ22">
        <v>0</v>
      </c>
      <c r="EK22">
        <v>0</v>
      </c>
      <c r="EL22">
        <v>0</v>
      </c>
      <c r="EM22">
        <v>0</v>
      </c>
      <c r="EN22">
        <v>0</v>
      </c>
      <c r="EO22">
        <v>0</v>
      </c>
      <c r="EP22">
        <v>0</v>
      </c>
      <c r="EQ22">
        <v>0</v>
      </c>
      <c r="ER22">
        <v>0</v>
      </c>
      <c r="ES22">
        <v>0</v>
      </c>
      <c r="ET22">
        <v>0</v>
      </c>
      <c r="EU22">
        <v>0</v>
      </c>
      <c r="EV22">
        <v>0</v>
      </c>
      <c r="EW22">
        <v>0</v>
      </c>
      <c r="EX22">
        <v>0</v>
      </c>
      <c r="EY22">
        <v>0</v>
      </c>
      <c r="EZ22">
        <v>0</v>
      </c>
      <c r="FA22">
        <v>0</v>
      </c>
      <c r="FB22">
        <v>0</v>
      </c>
      <c r="FC22">
        <v>0</v>
      </c>
      <c r="FD22">
        <v>0</v>
      </c>
      <c r="FE22">
        <v>0</v>
      </c>
      <c r="FF22">
        <v>0</v>
      </c>
      <c r="FG22">
        <v>0</v>
      </c>
      <c r="FH22">
        <v>0</v>
      </c>
      <c r="FI22">
        <v>0</v>
      </c>
      <c r="FJ22">
        <v>0</v>
      </c>
      <c r="FK22">
        <v>0</v>
      </c>
      <c r="FL22">
        <v>0</v>
      </c>
      <c r="FM22">
        <v>0</v>
      </c>
      <c r="FN22">
        <v>0</v>
      </c>
      <c r="FO22">
        <v>0</v>
      </c>
      <c r="FP22">
        <v>0</v>
      </c>
      <c r="FQ22">
        <v>0</v>
      </c>
      <c r="FR22">
        <v>0</v>
      </c>
      <c r="FS22">
        <v>0</v>
      </c>
      <c r="FT22">
        <v>0</v>
      </c>
      <c r="FU22">
        <v>0</v>
      </c>
      <c r="FV22">
        <v>0</v>
      </c>
      <c r="FW22">
        <v>0</v>
      </c>
      <c r="FX22">
        <v>0</v>
      </c>
      <c r="FY22">
        <v>0</v>
      </c>
      <c r="FZ22">
        <v>0</v>
      </c>
      <c r="GA22">
        <v>0</v>
      </c>
      <c r="GB22">
        <v>-31.929296879711</v>
      </c>
      <c r="GC22">
        <v>461.44019013036802</v>
      </c>
      <c r="GD22">
        <v>291.71024728778798</v>
      </c>
      <c r="GE22">
        <v>-19.6639185207842</v>
      </c>
      <c r="GF22">
        <v>299.99204592464599</v>
      </c>
      <c r="GG22">
        <v>188.15090320754399</v>
      </c>
      <c r="GH22">
        <v>-30.003828805794502</v>
      </c>
      <c r="GI22">
        <v>482.67690950199699</v>
      </c>
      <c r="GJ22">
        <v>271.56586778477401</v>
      </c>
      <c r="GK22">
        <v>-18.7385218305621</v>
      </c>
      <c r="GL22">
        <v>304.71291823093998</v>
      </c>
      <c r="GM22">
        <v>192.75234376205501</v>
      </c>
      <c r="GN22">
        <v>-75.566551201771105</v>
      </c>
      <c r="GO22">
        <v>16.724451775541699</v>
      </c>
      <c r="GP22">
        <v>15.956916753379</v>
      </c>
      <c r="GQ22">
        <v>-14.3284134939148</v>
      </c>
      <c r="GR22">
        <v>124.04086074037301</v>
      </c>
      <c r="GS22">
        <v>1184.95303857149</v>
      </c>
      <c r="GT22">
        <v>-50.469217029284003</v>
      </c>
      <c r="GU22">
        <v>16.677237342515799</v>
      </c>
      <c r="GV22">
        <v>15.899729892513999</v>
      </c>
      <c r="GW22">
        <v>-9.0852612919790907</v>
      </c>
      <c r="GX22">
        <v>82.487930031869993</v>
      </c>
      <c r="GY22">
        <v>777.200531286971</v>
      </c>
      <c r="GZ22">
        <v>-74.928848616037797</v>
      </c>
      <c r="HA22">
        <v>16.152660101992002</v>
      </c>
      <c r="HB22">
        <v>15.516904812378501</v>
      </c>
      <c r="HC22">
        <v>-5.8578282923096303</v>
      </c>
      <c r="HD22">
        <v>109.446012372309</v>
      </c>
      <c r="HE22">
        <v>1006.09356360782</v>
      </c>
      <c r="HF22">
        <v>-49.880895069358601</v>
      </c>
      <c r="HG22">
        <v>16.712603218502601</v>
      </c>
      <c r="HH22">
        <v>15.9140817737307</v>
      </c>
      <c r="HI22">
        <v>-10.2185211606982</v>
      </c>
      <c r="HJ22">
        <v>83.247303881715297</v>
      </c>
      <c r="HK22">
        <v>789.98179917734706</v>
      </c>
      <c r="HL22">
        <v>-26.863075239488001</v>
      </c>
      <c r="HM22">
        <v>15.764579237405201</v>
      </c>
      <c r="HN22">
        <v>16.161007308382601</v>
      </c>
      <c r="HO22">
        <v>222.60215593241401</v>
      </c>
      <c r="HP22">
        <v>577.88198608845596</v>
      </c>
      <c r="HQ22">
        <v>16.028663653011801</v>
      </c>
      <c r="HR22">
        <v>306.879593715113</v>
      </c>
      <c r="HS22">
        <v>-16.149357582068401</v>
      </c>
      <c r="HT22">
        <v>15.761415139641899</v>
      </c>
      <c r="HU22">
        <v>16.1742048518222</v>
      </c>
      <c r="HV22">
        <v>136.627705176391</v>
      </c>
      <c r="HW22">
        <v>373.01911352432398</v>
      </c>
      <c r="HX22">
        <v>16.021777097022099</v>
      </c>
      <c r="HY22">
        <v>198.823051595641</v>
      </c>
      <c r="HZ22">
        <v>15.4178234875563</v>
      </c>
      <c r="IA22">
        <v>16.0138102334945</v>
      </c>
      <c r="IB22">
        <v>240.800898424976</v>
      </c>
      <c r="IC22">
        <v>-24.749147741342</v>
      </c>
      <c r="ID22">
        <v>561.29180462866896</v>
      </c>
      <c r="IE22">
        <v>15.5377924067186</v>
      </c>
      <c r="IF22">
        <v>289.08040238055003</v>
      </c>
      <c r="IG22">
        <v>23.223019851557702</v>
      </c>
      <c r="IH22">
        <v>15.7745923316005</v>
      </c>
      <c r="II22">
        <v>16.180474401910999</v>
      </c>
      <c r="IJ22">
        <v>138.01116192806299</v>
      </c>
      <c r="IK22">
        <v>18.992689825386499</v>
      </c>
      <c r="IL22">
        <v>-14.9600336445135</v>
      </c>
      <c r="IM22">
        <v>380.66541135802998</v>
      </c>
      <c r="IN22">
        <v>16.051359629247099</v>
      </c>
      <c r="IO22">
        <v>1.0058343059613299</v>
      </c>
      <c r="IP22">
        <v>203.313376890916</v>
      </c>
      <c r="IQ22">
        <v>-44.614991234732997</v>
      </c>
      <c r="IR22">
        <v>-25.4040111459482</v>
      </c>
      <c r="IS22">
        <v>-68.284052537352693</v>
      </c>
      <c r="IT22">
        <v>-24.8416037527832</v>
      </c>
      <c r="IU22">
        <v>1.78970414077485</v>
      </c>
      <c r="IV22">
        <v>-73.494445634715703</v>
      </c>
      <c r="IW22">
        <v>16.774590237236701</v>
      </c>
      <c r="IX22">
        <v>16.028663653011801</v>
      </c>
      <c r="IY22">
        <v>-9.3617634556201192</v>
      </c>
      <c r="IZ22">
        <v>131.21240945772101</v>
      </c>
      <c r="JA22">
        <v>1194.73284702606</v>
      </c>
      <c r="JB22">
        <v>-49.154387240482997</v>
      </c>
      <c r="JC22">
        <v>16.783693167306801</v>
      </c>
      <c r="JD22">
        <v>16.021777097022099</v>
      </c>
      <c r="JE22">
        <v>-6.0494565646000504</v>
      </c>
      <c r="JF22">
        <v>87.966518086805394</v>
      </c>
      <c r="JG22">
        <v>791.43975222228903</v>
      </c>
      <c r="JH22">
        <v>-72.296489977865306</v>
      </c>
      <c r="JI22">
        <v>16.178046395926302</v>
      </c>
      <c r="JJ22">
        <v>15.5377924067186</v>
      </c>
      <c r="JK22">
        <v>-3.18974174254073</v>
      </c>
      <c r="JL22">
        <v>117.001800805893</v>
      </c>
      <c r="JM22">
        <v>1032.64774877423</v>
      </c>
      <c r="JN22">
        <v>-48.529242204322998</v>
      </c>
      <c r="JO22">
        <v>16.8281151723105</v>
      </c>
      <c r="JP22">
        <v>16.051359629247099</v>
      </c>
      <c r="JQ22">
        <v>0.33005268201031801</v>
      </c>
      <c r="JR22">
        <v>-6.9051676784875999</v>
      </c>
      <c r="JS22">
        <v>0.73998015749753898</v>
      </c>
      <c r="JT22">
        <v>88.246687044018003</v>
      </c>
      <c r="JU22">
        <v>800.26816569287996</v>
      </c>
      <c r="JV22">
        <v>-29.435710568545002</v>
      </c>
      <c r="JW22">
        <v>680.21571148344503</v>
      </c>
      <c r="JX22">
        <v>-25.192895293024701</v>
      </c>
      <c r="JY22">
        <v>-16.269235680957099</v>
      </c>
      <c r="JZ22">
        <v>435.86943714102301</v>
      </c>
      <c r="KA22">
        <v>-15.314892886227099</v>
      </c>
      <c r="KB22">
        <v>-24.057240606893799</v>
      </c>
      <c r="KC22">
        <v>651.41198019251397</v>
      </c>
      <c r="KD22">
        <v>-20.568376889823899</v>
      </c>
      <c r="KE22">
        <v>-14.9516729270408</v>
      </c>
      <c r="KF22">
        <v>10.7341346848365</v>
      </c>
      <c r="KG22">
        <v>-157.41873417594101</v>
      </c>
      <c r="KH22">
        <v>2.0334645844102202</v>
      </c>
      <c r="KI22">
        <v>443.40588637786601</v>
      </c>
      <c r="KJ22">
        <v>-12.8399133034643</v>
      </c>
      <c r="KK22">
        <v>-16.821393354570802</v>
      </c>
      <c r="KL22">
        <v>11.434983985847399</v>
      </c>
      <c r="KM22">
        <v>12.782664129921899</v>
      </c>
      <c r="KN22">
        <v>298.905567469</v>
      </c>
      <c r="KO22">
        <v>10.156314449602601</v>
      </c>
      <c r="KP22">
        <v>-10.6448433509296</v>
      </c>
      <c r="KQ22">
        <v>-77.141413923386494</v>
      </c>
      <c r="KR22">
        <v>-1138.42711588565</v>
      </c>
      <c r="KS22">
        <v>-11.6374061677017</v>
      </c>
      <c r="KT22">
        <v>11.415903745212001</v>
      </c>
      <c r="KU22">
        <v>12.7683669221959</v>
      </c>
      <c r="KV22">
        <v>190.58016617222299</v>
      </c>
      <c r="KW22">
        <v>10.132771494146199</v>
      </c>
      <c r="KX22">
        <v>-10.5616169022446</v>
      </c>
      <c r="KY22">
        <v>-49.194903269089501</v>
      </c>
      <c r="KZ22">
        <v>-717.07434505309595</v>
      </c>
      <c r="LA22">
        <v>-18.1584074866382</v>
      </c>
      <c r="LB22">
        <v>11.187451525317501</v>
      </c>
      <c r="LC22">
        <v>12.506713281640801</v>
      </c>
      <c r="LD22">
        <v>292.18419363800098</v>
      </c>
      <c r="LE22">
        <v>9.9252020949630797</v>
      </c>
      <c r="LF22">
        <v>-10.6536311046187</v>
      </c>
      <c r="LG22">
        <v>-77.218458315964398</v>
      </c>
      <c r="LH22">
        <v>-1128.3535866867701</v>
      </c>
      <c r="LI22">
        <v>-10.7661421533798</v>
      </c>
      <c r="LJ22">
        <v>11.440260274523499</v>
      </c>
      <c r="LK22">
        <v>12.774930428724399</v>
      </c>
      <c r="LL22">
        <v>189.03084020447801</v>
      </c>
      <c r="LM22">
        <v>10.174775605897199</v>
      </c>
      <c r="LN22">
        <v>-10.2278855617615</v>
      </c>
      <c r="LO22">
        <v>-46.713294881571898</v>
      </c>
      <c r="LP22">
        <v>-705.61141259894498</v>
      </c>
      <c r="LQ22">
        <v>-47.4217690074723</v>
      </c>
      <c r="LR22">
        <v>16.801565759856199</v>
      </c>
      <c r="LS22">
        <v>16.481000000000002</v>
      </c>
      <c r="LT22">
        <v>92.725898530743095</v>
      </c>
      <c r="LU22">
        <v>527.77202018070204</v>
      </c>
      <c r="LV22">
        <v>16.428334623945599</v>
      </c>
      <c r="LW22">
        <v>15.725368132834101</v>
      </c>
      <c r="LX22">
        <v>-47.218449295439299</v>
      </c>
      <c r="LY22">
        <v>-31.956964436559801</v>
      </c>
      <c r="LZ22">
        <v>16.7837133114935</v>
      </c>
      <c r="MA22">
        <v>16.481000000000002</v>
      </c>
      <c r="MB22">
        <v>61.389087834582099</v>
      </c>
      <c r="MC22">
        <v>348.30433042918401</v>
      </c>
      <c r="MD22">
        <v>16.3972033938302</v>
      </c>
      <c r="ME22">
        <v>15.672935363469399</v>
      </c>
      <c r="MF22">
        <v>-30.645831840844501</v>
      </c>
      <c r="MG22">
        <v>-47.351467879053601</v>
      </c>
      <c r="MH22">
        <v>16.630066359746898</v>
      </c>
      <c r="MI22">
        <v>16.481000000000002</v>
      </c>
      <c r="MJ22">
        <v>101.52822393978499</v>
      </c>
      <c r="MK22">
        <v>583.947550991757</v>
      </c>
      <c r="ML22">
        <v>16.202169118383999</v>
      </c>
      <c r="MM22">
        <v>15.404845722794599</v>
      </c>
      <c r="MN22">
        <v>-58.913375427488198</v>
      </c>
      <c r="MO22">
        <v>-31.470027361909501</v>
      </c>
      <c r="MP22">
        <v>16.789217391001099</v>
      </c>
      <c r="MQ22">
        <v>16.481000000000002</v>
      </c>
      <c r="MR22">
        <v>61.106655322652301</v>
      </c>
      <c r="MS22">
        <v>347.410711220628</v>
      </c>
      <c r="MT22">
        <v>16.402818422777099</v>
      </c>
      <c r="MU22">
        <v>15.6748874534949</v>
      </c>
      <c r="MV22">
        <v>-30.901845308234201</v>
      </c>
      <c r="MW22">
        <v>-48.045804805371098</v>
      </c>
      <c r="MX22">
        <v>17.7597874197258</v>
      </c>
      <c r="MY22">
        <v>17.6830945045762</v>
      </c>
      <c r="MZ22">
        <v>153.14372012521801</v>
      </c>
      <c r="NA22" s="35">
        <v>891.83410731553704</v>
      </c>
      <c r="NB22">
        <v>17.094629943405</v>
      </c>
      <c r="NC22">
        <v>15.969568132098701</v>
      </c>
      <c r="ND22">
        <v>-96.259451982413395</v>
      </c>
      <c r="NE22">
        <v>-32.432244107918301</v>
      </c>
      <c r="NF22">
        <v>17.763567422406201</v>
      </c>
      <c r="NG22">
        <v>17.663980758357098</v>
      </c>
      <c r="NH22">
        <v>99.091989544421295</v>
      </c>
      <c r="NI22">
        <v>574.72091801135798</v>
      </c>
      <c r="NJ22">
        <v>17.092686075217099</v>
      </c>
      <c r="NK22">
        <v>15.9576113488736</v>
      </c>
      <c r="NL22">
        <v>-60.656850210004102</v>
      </c>
      <c r="NM22">
        <v>-46.987721645402601</v>
      </c>
      <c r="NN22">
        <v>17.093277109517899</v>
      </c>
      <c r="NO22">
        <v>16.964440072733201</v>
      </c>
      <c r="NP22" s="35">
        <v>127.161809044706</v>
      </c>
      <c r="NQ22">
        <v>740.77620760705804</v>
      </c>
      <c r="NR22">
        <v>16.540289907271202</v>
      </c>
      <c r="NS22" s="35">
        <v>15.5133590895423</v>
      </c>
      <c r="NT22" s="35">
        <v>-80.182718056015403</v>
      </c>
      <c r="NU22" s="35">
        <v>-31.965674019687398</v>
      </c>
      <c r="NV22">
        <v>17.8211620929522</v>
      </c>
      <c r="NW22" s="35">
        <v>17.719340129304999</v>
      </c>
      <c r="NX22">
        <v>1.7</v>
      </c>
      <c r="NY22">
        <v>100.367238285403</v>
      </c>
      <c r="NZ22">
        <v>583.61499209424005</v>
      </c>
      <c r="OA22" s="35">
        <v>17.138308068439901</v>
      </c>
      <c r="OB22">
        <v>15.9838233860825</v>
      </c>
      <c r="OC22">
        <v>1.7</v>
      </c>
      <c r="OD22">
        <v>-62.232509933176402</v>
      </c>
      <c r="OE22">
        <v>1.7</v>
      </c>
      <c r="OF22">
        <v>1.7</v>
      </c>
      <c r="OG22">
        <v>-45.389812806746598</v>
      </c>
      <c r="OH22">
        <v>17.531359624096101</v>
      </c>
      <c r="OI22">
        <v>17.725114692315699</v>
      </c>
      <c r="OJ22">
        <v>205.683323262405</v>
      </c>
      <c r="OK22">
        <v>1278.13630979608</v>
      </c>
      <c r="OL22">
        <v>16.513250367918801</v>
      </c>
      <c r="OM22">
        <v>14.4758653386137</v>
      </c>
      <c r="ON22">
        <v>-176.06037966828899</v>
      </c>
      <c r="OO22">
        <v>-30.716944644636001</v>
      </c>
      <c r="OP22">
        <v>17.585861583006</v>
      </c>
      <c r="OQ22">
        <v>17.770586257699701</v>
      </c>
      <c r="OR22">
        <v>134.98534469975201</v>
      </c>
      <c r="OS22">
        <v>835.16879068566095</v>
      </c>
      <c r="OT22">
        <v>16.5413107810732</v>
      </c>
      <c r="OU22">
        <v>14.464025526471801</v>
      </c>
      <c r="OV22">
        <v>-113.740871005122</v>
      </c>
      <c r="OW22">
        <v>-44.546246496564599</v>
      </c>
      <c r="OX22">
        <v>16.8785649123393</v>
      </c>
      <c r="OY22">
        <v>17.002208143087799</v>
      </c>
      <c r="OZ22">
        <v>175.41115627595499</v>
      </c>
      <c r="PA22">
        <v>1095.37101232395</v>
      </c>
      <c r="PB22">
        <v>16.000980959408</v>
      </c>
      <c r="PC22">
        <v>14.1248428447336</v>
      </c>
      <c r="PD22">
        <v>-153.64208215782301</v>
      </c>
      <c r="PE22">
        <v>-30.267938664612899</v>
      </c>
      <c r="PF22">
        <v>17.623846153797899</v>
      </c>
      <c r="PG22">
        <v>17.828774991507899</v>
      </c>
      <c r="PH22">
        <v>1.7</v>
      </c>
      <c r="PI22">
        <v>137.24416480451899</v>
      </c>
      <c r="PJ22">
        <v>848.65585034090998</v>
      </c>
      <c r="PK22">
        <v>16.560856837910201</v>
      </c>
      <c r="PL22">
        <v>14.462358846262401</v>
      </c>
      <c r="PM22" s="35">
        <v>1.7</v>
      </c>
      <c r="PN22">
        <v>-115.872590633513</v>
      </c>
      <c r="PO22">
        <v>15.6067368650081</v>
      </c>
      <c r="PP22">
        <v>15.5229882205215</v>
      </c>
      <c r="PQ22">
        <v>15.2014208413107</v>
      </c>
      <c r="PR22">
        <v>15.5273548404547</v>
      </c>
      <c r="PS22">
        <v>16.8239108439181</v>
      </c>
      <c r="PT22">
        <v>15.7051999917924</v>
      </c>
      <c r="PU22">
        <v>15.6647414429265</v>
      </c>
      <c r="PV22">
        <v>15.229761628690699</v>
      </c>
      <c r="PW22">
        <v>15.6883843614849</v>
      </c>
      <c r="PX22">
        <v>16.563052584664199</v>
      </c>
      <c r="PY22">
        <v>13.6737694395435</v>
      </c>
      <c r="PZ22">
        <v>13.644646796849299</v>
      </c>
      <c r="QA22">
        <v>13.343546775652101</v>
      </c>
      <c r="QB22">
        <v>13.641241201328</v>
      </c>
      <c r="QC22">
        <v>14.5609646627004</v>
      </c>
      <c r="QD22">
        <v>15.7944087755723</v>
      </c>
      <c r="QE22">
        <v>14.7121508829905</v>
      </c>
      <c r="QF22">
        <v>14.629751883263401</v>
      </c>
      <c r="QG22">
        <v>14.347053324324801</v>
      </c>
      <c r="QH22">
        <v>14.619188972090599</v>
      </c>
      <c r="QI22">
        <v>16.816384003736399</v>
      </c>
      <c r="QJ22">
        <v>14.748137045879499</v>
      </c>
      <c r="QK22">
        <v>14.709191449731099</v>
      </c>
      <c r="QL22">
        <v>14.3186931986722</v>
      </c>
      <c r="QM22">
        <v>14.7149907183738</v>
      </c>
      <c r="QN22">
        <v>1028.1940439340499</v>
      </c>
      <c r="QO22">
        <v>16.563694080772699</v>
      </c>
      <c r="QP22">
        <v>28.587838787984499</v>
      </c>
      <c r="QQ22">
        <v>12.8774197477714</v>
      </c>
      <c r="QR22">
        <v>12.8489766398288</v>
      </c>
      <c r="QS22">
        <v>12.5826348329316</v>
      </c>
      <c r="QT22">
        <v>12.8298696215729</v>
      </c>
      <c r="QU22">
        <v>14.5648954998866</v>
      </c>
      <c r="QV22">
        <v>15.7920174371251</v>
      </c>
      <c r="QW22">
        <v>836533.93026901397</v>
      </c>
      <c r="QX22">
        <v>0</v>
      </c>
      <c r="QY22">
        <v>569199.49170599203</v>
      </c>
      <c r="QZ22">
        <v>0</v>
      </c>
      <c r="RA22">
        <v>138003.046521271</v>
      </c>
      <c r="RB22">
        <v>0</v>
      </c>
      <c r="RC22">
        <v>94734.354066267493</v>
      </c>
      <c r="RD22">
        <v>0</v>
      </c>
      <c r="RE22">
        <v>307130.35968947102</v>
      </c>
      <c r="RF22">
        <v>0</v>
      </c>
      <c r="RG22">
        <v>211636.186889287</v>
      </c>
      <c r="RH22" s="35">
        <v>0</v>
      </c>
      <c r="RI22">
        <v>0</v>
      </c>
      <c r="RJ22" s="35">
        <v>0</v>
      </c>
      <c r="RK22">
        <v>13.817564900972901</v>
      </c>
      <c r="RL22">
        <v>11263.5422385989</v>
      </c>
      <c r="RM22" s="35">
        <v>11263.5422385989</v>
      </c>
      <c r="RN22">
        <v>19787.1483927919</v>
      </c>
      <c r="RO22" s="35">
        <v>0</v>
      </c>
      <c r="RP22">
        <v>0</v>
      </c>
      <c r="RQ22" s="35">
        <v>13.7365155460054</v>
      </c>
      <c r="RR22" s="35">
        <v>7239.5221523934697</v>
      </c>
      <c r="RS22">
        <v>7239.5221523934697</v>
      </c>
      <c r="RT22">
        <v>12655.8751068808</v>
      </c>
      <c r="RU22">
        <v>0</v>
      </c>
      <c r="RV22">
        <v>0</v>
      </c>
      <c r="RW22" s="35">
        <v>13.4926858073389</v>
      </c>
      <c r="RX22">
        <v>11768.946980184201</v>
      </c>
      <c r="RY22">
        <v>11768.946980184201</v>
      </c>
      <c r="RZ22">
        <v>20302.247977057701</v>
      </c>
      <c r="SA22">
        <v>0</v>
      </c>
      <c r="SB22">
        <v>0</v>
      </c>
      <c r="SC22">
        <v>13.7110231037265</v>
      </c>
      <c r="SD22">
        <v>7265.58049005266</v>
      </c>
      <c r="SE22">
        <v>7265.58049005266</v>
      </c>
      <c r="SF22">
        <v>12682.4043228067</v>
      </c>
      <c r="SG22">
        <v>0</v>
      </c>
      <c r="SH22">
        <v>0</v>
      </c>
      <c r="SI22">
        <v>16.808857163554698</v>
      </c>
      <c r="SJ22">
        <v>33446.388020120001</v>
      </c>
      <c r="SK22">
        <v>33446.388020120001</v>
      </c>
      <c r="SL22">
        <v>76655.748690769193</v>
      </c>
      <c r="SM22" s="35">
        <v>21.1111</v>
      </c>
      <c r="SN22">
        <v>26.666699999999999</v>
      </c>
      <c r="SO22">
        <v>0</v>
      </c>
      <c r="SP22">
        <v>0</v>
      </c>
      <c r="SQ22">
        <v>16.837153006745901</v>
      </c>
      <c r="SR22">
        <v>0</v>
      </c>
      <c r="SS22">
        <v>0</v>
      </c>
      <c r="ST22">
        <v>0</v>
      </c>
      <c r="SU22">
        <v>0</v>
      </c>
      <c r="SV22">
        <v>0</v>
      </c>
      <c r="SW22">
        <v>16.7887659771649</v>
      </c>
      <c r="SX22">
        <v>0</v>
      </c>
      <c r="SY22" s="35">
        <v>0</v>
      </c>
      <c r="SZ22">
        <v>0</v>
      </c>
      <c r="TA22">
        <v>0</v>
      </c>
      <c r="TB22">
        <v>0</v>
      </c>
      <c r="TC22">
        <v>16.198296285098301</v>
      </c>
      <c r="TD22">
        <v>0</v>
      </c>
      <c r="TE22">
        <v>0</v>
      </c>
      <c r="TF22">
        <v>0</v>
      </c>
      <c r="TG22">
        <v>0</v>
      </c>
      <c r="TH22">
        <v>0</v>
      </c>
      <c r="TI22">
        <v>16.83778336648</v>
      </c>
      <c r="TJ22">
        <v>0</v>
      </c>
      <c r="TK22">
        <v>0</v>
      </c>
      <c r="TL22">
        <v>0</v>
      </c>
      <c r="TM22">
        <v>0</v>
      </c>
      <c r="TN22">
        <v>0</v>
      </c>
      <c r="TO22">
        <v>16.822716262835801</v>
      </c>
      <c r="TP22">
        <v>0</v>
      </c>
      <c r="TQ22">
        <v>0</v>
      </c>
      <c r="TR22">
        <v>0</v>
      </c>
      <c r="TS22">
        <v>0</v>
      </c>
      <c r="TT22">
        <v>0</v>
      </c>
      <c r="TU22">
        <v>13.7910740999666</v>
      </c>
      <c r="TV22">
        <v>11329.448235468</v>
      </c>
      <c r="TW22">
        <v>11329.448235468</v>
      </c>
      <c r="TX22">
        <v>19871.350419221999</v>
      </c>
      <c r="TY22">
        <v>0</v>
      </c>
      <c r="TZ22">
        <v>0</v>
      </c>
      <c r="UA22">
        <v>13.753641456535799</v>
      </c>
      <c r="UB22">
        <v>7239.51757716682</v>
      </c>
      <c r="UC22">
        <v>7239.51757716682</v>
      </c>
      <c r="UD22">
        <v>12667.2095833153</v>
      </c>
      <c r="UE22">
        <v>0</v>
      </c>
      <c r="UF22">
        <v>0</v>
      </c>
      <c r="UG22">
        <v>13.407624768653699</v>
      </c>
      <c r="UH22">
        <v>11933.804904197699</v>
      </c>
      <c r="UI22">
        <v>11933.804904197699</v>
      </c>
      <c r="UJ22">
        <v>20487.023955233501</v>
      </c>
      <c r="UK22">
        <v>0</v>
      </c>
      <c r="UL22">
        <v>0</v>
      </c>
      <c r="UM22">
        <v>13.7415970752626</v>
      </c>
      <c r="UN22">
        <v>7252.1239856623297</v>
      </c>
      <c r="UO22">
        <v>7252.1239856623297</v>
      </c>
      <c r="UP22">
        <v>12680.0370465823</v>
      </c>
      <c r="UQ22">
        <v>0</v>
      </c>
      <c r="UR22">
        <v>0</v>
      </c>
      <c r="US22">
        <v>16.564335576881199</v>
      </c>
      <c r="UT22">
        <v>35377.136660499797</v>
      </c>
      <c r="UU22">
        <v>35377.136660499797</v>
      </c>
      <c r="UV22">
        <v>78623.062804525602</v>
      </c>
      <c r="UW22">
        <v>21.1111</v>
      </c>
      <c r="UX22">
        <v>26.666699999999999</v>
      </c>
      <c r="UY22">
        <v>0</v>
      </c>
      <c r="UZ22">
        <v>0</v>
      </c>
      <c r="VA22">
        <v>16.843053636064099</v>
      </c>
      <c r="VB22">
        <v>0</v>
      </c>
      <c r="VC22">
        <v>0</v>
      </c>
      <c r="VD22">
        <v>0</v>
      </c>
      <c r="VE22">
        <v>0</v>
      </c>
      <c r="VF22">
        <v>0</v>
      </c>
      <c r="VG22">
        <v>16.852126072832</v>
      </c>
      <c r="VH22">
        <v>0</v>
      </c>
      <c r="VI22">
        <v>0</v>
      </c>
      <c r="VJ22">
        <v>0</v>
      </c>
      <c r="VK22">
        <v>0</v>
      </c>
      <c r="VL22">
        <v>0</v>
      </c>
      <c r="VM22">
        <v>16.194513434996701</v>
      </c>
      <c r="VN22">
        <v>0</v>
      </c>
      <c r="VO22">
        <v>0</v>
      </c>
      <c r="VP22">
        <v>0</v>
      </c>
      <c r="VQ22">
        <v>0</v>
      </c>
      <c r="VR22">
        <v>0</v>
      </c>
      <c r="VS22">
        <v>16.907124728831501</v>
      </c>
      <c r="VT22">
        <v>0</v>
      </c>
      <c r="VU22">
        <v>0</v>
      </c>
      <c r="VV22">
        <v>0</v>
      </c>
      <c r="VW22">
        <v>0</v>
      </c>
      <c r="VX22">
        <v>0</v>
      </c>
      <c r="VY22">
        <v>16.572725371119901</v>
      </c>
      <c r="VZ22">
        <v>0</v>
      </c>
      <c r="WA22">
        <v>0</v>
      </c>
      <c r="WB22">
        <v>0</v>
      </c>
      <c r="WC22">
        <v>0</v>
      </c>
      <c r="WD22">
        <v>0</v>
      </c>
      <c r="WE22">
        <v>12.0810700559993</v>
      </c>
      <c r="WF22">
        <v>14146.108837445099</v>
      </c>
      <c r="WG22">
        <v>14146.108837445099</v>
      </c>
      <c r="WH22">
        <v>22743.297160766499</v>
      </c>
      <c r="WI22">
        <v>0</v>
      </c>
      <c r="WJ22">
        <v>0</v>
      </c>
      <c r="WK22">
        <v>0</v>
      </c>
      <c r="WL22">
        <v>12.0533064828084</v>
      </c>
      <c r="WM22">
        <v>9020.9070977258307</v>
      </c>
      <c r="WN22">
        <v>9020.9070977258307</v>
      </c>
      <c r="WO22">
        <v>14483.832128891099</v>
      </c>
      <c r="WP22">
        <v>21.1111</v>
      </c>
      <c r="WQ22">
        <v>26.666699999999999</v>
      </c>
      <c r="WR22">
        <v>0</v>
      </c>
      <c r="WS22">
        <v>0</v>
      </c>
      <c r="WT22">
        <v>11.8217228902112</v>
      </c>
      <c r="WU22">
        <v>14557.045464590199</v>
      </c>
      <c r="WV22">
        <v>14557.045464590199</v>
      </c>
      <c r="WW22">
        <v>23161.969619717202</v>
      </c>
      <c r="WX22">
        <v>0</v>
      </c>
      <c r="WY22">
        <v>0</v>
      </c>
      <c r="WZ22">
        <v>0</v>
      </c>
      <c r="XA22">
        <v>12.0184980418178</v>
      </c>
      <c r="XB22">
        <v>9056.2701939201906</v>
      </c>
      <c r="XC22">
        <v>9056.2701939201906</v>
      </c>
      <c r="XD22">
        <v>14519.860011061601</v>
      </c>
      <c r="XE22">
        <v>0</v>
      </c>
      <c r="XF22">
        <v>0</v>
      </c>
      <c r="XG22">
        <v>14.5688263370727</v>
      </c>
      <c r="XH22">
        <v>51491.210109735199</v>
      </c>
      <c r="XI22">
        <v>51491.210109735199</v>
      </c>
      <c r="XJ22">
        <v>95012.403198403103</v>
      </c>
      <c r="XK22">
        <v>21.1111</v>
      </c>
      <c r="XL22">
        <v>26.666699999999999</v>
      </c>
      <c r="XM22">
        <v>0</v>
      </c>
      <c r="XN22">
        <v>0</v>
      </c>
      <c r="XO22">
        <v>10.3570380293515</v>
      </c>
      <c r="XP22">
        <v>0</v>
      </c>
      <c r="XQ22">
        <v>0</v>
      </c>
      <c r="XR22">
        <v>0</v>
      </c>
      <c r="XS22">
        <v>0</v>
      </c>
      <c r="XT22">
        <v>0</v>
      </c>
      <c r="XU22">
        <v>10.3325619334422</v>
      </c>
      <c r="XV22">
        <v>0</v>
      </c>
      <c r="XW22">
        <v>0</v>
      </c>
      <c r="XX22">
        <v>0</v>
      </c>
      <c r="XY22">
        <v>0</v>
      </c>
      <c r="XZ22">
        <v>0</v>
      </c>
      <c r="YA22">
        <v>10.128647421553</v>
      </c>
      <c r="YB22">
        <v>0</v>
      </c>
      <c r="YC22">
        <v>0</v>
      </c>
      <c r="YD22">
        <v>0</v>
      </c>
      <c r="YE22">
        <v>0</v>
      </c>
      <c r="YF22">
        <v>0</v>
      </c>
      <c r="YG22">
        <v>10.3626495247254</v>
      </c>
      <c r="YH22">
        <v>0</v>
      </c>
      <c r="YI22">
        <v>0</v>
      </c>
      <c r="YJ22">
        <v>0</v>
      </c>
      <c r="YK22">
        <v>0</v>
      </c>
      <c r="YL22">
        <v>0</v>
      </c>
      <c r="YM22">
        <v>12.0186978045218</v>
      </c>
      <c r="YN22">
        <v>0</v>
      </c>
      <c r="YO22">
        <v>0</v>
      </c>
      <c r="YP22">
        <v>0</v>
      </c>
      <c r="YQ22">
        <v>0</v>
      </c>
      <c r="YR22">
        <v>0</v>
      </c>
      <c r="YS22">
        <v>16.532061892821101</v>
      </c>
      <c r="YT22">
        <v>0</v>
      </c>
      <c r="YU22">
        <v>0</v>
      </c>
      <c r="YV22">
        <v>0</v>
      </c>
      <c r="YW22">
        <v>0</v>
      </c>
      <c r="YX22">
        <v>0</v>
      </c>
      <c r="YY22">
        <v>16.5028030835431</v>
      </c>
      <c r="YZ22">
        <v>0</v>
      </c>
      <c r="ZA22">
        <v>0</v>
      </c>
      <c r="ZB22">
        <v>0</v>
      </c>
      <c r="ZC22">
        <v>0</v>
      </c>
      <c r="ZD22">
        <v>0</v>
      </c>
      <c r="ZE22">
        <v>16.335571857803998</v>
      </c>
      <c r="ZF22">
        <v>0</v>
      </c>
      <c r="ZG22">
        <v>0</v>
      </c>
      <c r="ZH22">
        <v>0</v>
      </c>
      <c r="ZI22">
        <v>0</v>
      </c>
      <c r="ZJ22">
        <v>0</v>
      </c>
      <c r="ZK22">
        <v>16.5093403042167</v>
      </c>
      <c r="ZL22">
        <v>0</v>
      </c>
      <c r="ZM22">
        <v>0</v>
      </c>
      <c r="ZN22">
        <v>0</v>
      </c>
      <c r="ZO22">
        <v>0</v>
      </c>
      <c r="ZP22">
        <v>0</v>
      </c>
      <c r="ZQ22">
        <v>16.8111641443497</v>
      </c>
      <c r="ZR22">
        <v>0</v>
      </c>
      <c r="ZS22">
        <v>0</v>
      </c>
      <c r="ZT22">
        <v>0</v>
      </c>
      <c r="ZU22">
        <v>0</v>
      </c>
      <c r="ZV22">
        <v>0</v>
      </c>
      <c r="ZW22">
        <v>17.313648213879599</v>
      </c>
      <c r="ZX22">
        <v>0</v>
      </c>
      <c r="ZY22">
        <v>0</v>
      </c>
      <c r="ZZ22">
        <v>0</v>
      </c>
      <c r="AAA22">
        <v>0</v>
      </c>
      <c r="AAB22">
        <v>0</v>
      </c>
      <c r="AAC22">
        <v>17.3081494578757</v>
      </c>
      <c r="AAD22">
        <v>0</v>
      </c>
      <c r="AAE22">
        <v>0</v>
      </c>
      <c r="AAF22">
        <v>0</v>
      </c>
      <c r="AAG22">
        <v>0</v>
      </c>
      <c r="AAH22">
        <v>0</v>
      </c>
      <c r="AAI22">
        <v>16.712407375171502</v>
      </c>
      <c r="AAJ22">
        <v>0</v>
      </c>
      <c r="AAK22">
        <v>0</v>
      </c>
      <c r="AAL22">
        <v>0</v>
      </c>
      <c r="AAM22">
        <v>0</v>
      </c>
      <c r="AAN22">
        <v>0</v>
      </c>
      <c r="AAO22">
        <v>17.360089236730701</v>
      </c>
      <c r="AAP22">
        <v>0</v>
      </c>
      <c r="AAQ22">
        <v>0</v>
      </c>
      <c r="AAR22">
        <v>0</v>
      </c>
      <c r="AAS22">
        <v>0</v>
      </c>
      <c r="AAT22">
        <v>0</v>
      </c>
      <c r="AAU22">
        <v>16.4281850067416</v>
      </c>
      <c r="AAV22">
        <v>0</v>
      </c>
      <c r="AAW22">
        <v>0</v>
      </c>
      <c r="AAX22">
        <v>0</v>
      </c>
      <c r="AAY22">
        <v>0</v>
      </c>
      <c r="AAZ22">
        <v>0</v>
      </c>
      <c r="ABA22">
        <v>16.910267094503901</v>
      </c>
      <c r="ABB22">
        <v>0</v>
      </c>
      <c r="ABC22">
        <v>0</v>
      </c>
      <c r="ABD22">
        <v>0</v>
      </c>
      <c r="ABE22">
        <v>0</v>
      </c>
      <c r="ABF22">
        <v>0</v>
      </c>
      <c r="ABG22">
        <v>16.944542045591199</v>
      </c>
      <c r="ABH22">
        <v>0</v>
      </c>
      <c r="ABI22">
        <v>0</v>
      </c>
      <c r="ABJ22">
        <v>0</v>
      </c>
      <c r="ABK22">
        <v>0</v>
      </c>
      <c r="ABL22">
        <v>0</v>
      </c>
      <c r="ABM22">
        <v>16.3366438100084</v>
      </c>
      <c r="ABN22">
        <v>0</v>
      </c>
      <c r="ABO22">
        <v>0</v>
      </c>
      <c r="ABP22">
        <v>0</v>
      </c>
      <c r="ABQ22">
        <v>0</v>
      </c>
      <c r="ABR22">
        <v>0</v>
      </c>
      <c r="ABS22">
        <v>16.973687671367301</v>
      </c>
      <c r="ABT22">
        <v>0</v>
      </c>
      <c r="ABU22">
        <v>0</v>
      </c>
      <c r="ABV22">
        <v>0</v>
      </c>
      <c r="ABW22">
        <v>0</v>
      </c>
      <c r="ABX22">
        <v>0</v>
      </c>
      <c r="ABY22">
        <v>15.7920174371251</v>
      </c>
      <c r="ABZ22">
        <v>0</v>
      </c>
      <c r="ACA22">
        <v>0</v>
      </c>
      <c r="ACB22">
        <v>0</v>
      </c>
      <c r="ACC22">
        <v>0</v>
      </c>
      <c r="ACD22">
        <v>0</v>
      </c>
      <c r="ACE22">
        <v>0</v>
      </c>
      <c r="ACF22">
        <v>12.2200000000079</v>
      </c>
      <c r="ACG22">
        <v>12.2200000000079</v>
      </c>
      <c r="ACH22">
        <v>0</v>
      </c>
      <c r="ACI22">
        <v>0</v>
      </c>
      <c r="ACJ22">
        <v>0</v>
      </c>
      <c r="ACK22">
        <v>20.760648244627699</v>
      </c>
      <c r="ACL22">
        <v>20.760648244627699</v>
      </c>
      <c r="ACM22">
        <v>0</v>
      </c>
      <c r="ACN22">
        <v>0</v>
      </c>
      <c r="ACP22">
        <v>0</v>
      </c>
      <c r="ACR22">
        <v>0</v>
      </c>
      <c r="ACT22">
        <v>16.808351582298499</v>
      </c>
      <c r="ACU22">
        <v>16.808351582298499</v>
      </c>
      <c r="ACV22">
        <v>0</v>
      </c>
      <c r="ACW22">
        <v>0</v>
      </c>
      <c r="ACX22">
        <v>1</v>
      </c>
      <c r="ACY22">
        <v>16.563833026456201</v>
      </c>
      <c r="ACZ22">
        <v>16.563833026456201</v>
      </c>
      <c r="ADA22">
        <v>0</v>
      </c>
      <c r="ADB22">
        <v>0</v>
      </c>
      <c r="ADC22">
        <v>1</v>
      </c>
      <c r="ADD22">
        <v>14.5692081679683</v>
      </c>
      <c r="ADE22">
        <v>14.5692081679683</v>
      </c>
      <c r="ADF22">
        <v>0</v>
      </c>
      <c r="ADG22">
        <v>0</v>
      </c>
      <c r="ADH22">
        <v>1</v>
      </c>
      <c r="ADI22">
        <v>14.556493746294599</v>
      </c>
      <c r="ADJ22">
        <v>14.556493746294599</v>
      </c>
      <c r="ADK22">
        <v>0</v>
      </c>
      <c r="ADL22">
        <v>0</v>
      </c>
      <c r="ADM22">
        <v>1</v>
      </c>
      <c r="ADN22">
        <v>14.480939458477399</v>
      </c>
      <c r="ADO22">
        <v>14.480939458477399</v>
      </c>
      <c r="ADP22">
        <v>0</v>
      </c>
      <c r="ADQ22">
        <v>0</v>
      </c>
      <c r="ADR22">
        <v>1</v>
      </c>
      <c r="ADS22">
        <v>14.1893653135657</v>
      </c>
      <c r="ADT22">
        <v>14.1893653135657</v>
      </c>
      <c r="ADU22">
        <v>0</v>
      </c>
      <c r="ADV22">
        <v>0</v>
      </c>
      <c r="ADW22">
        <v>1</v>
      </c>
      <c r="ADX22">
        <v>14.470084157861001</v>
      </c>
      <c r="ADY22">
        <v>14.470084157861001</v>
      </c>
      <c r="ADZ22">
        <v>0</v>
      </c>
      <c r="AEA22">
        <v>0</v>
      </c>
      <c r="AEB22">
        <v>1</v>
      </c>
      <c r="AEC22">
        <v>14.579525453346699</v>
      </c>
      <c r="AED22">
        <v>14.579525453346699</v>
      </c>
      <c r="AEE22">
        <v>0</v>
      </c>
      <c r="AEF22">
        <v>0</v>
      </c>
      <c r="AEG22">
        <v>1</v>
      </c>
      <c r="AEH22">
        <v>14.547532053172599</v>
      </c>
      <c r="AEI22">
        <v>14.547532053172599</v>
      </c>
      <c r="AEJ22">
        <v>0</v>
      </c>
      <c r="AEK22">
        <v>0</v>
      </c>
      <c r="AEL22">
        <v>1</v>
      </c>
      <c r="AEM22">
        <v>14.1473274086297</v>
      </c>
      <c r="AEN22">
        <v>14.1473274086297</v>
      </c>
      <c r="AEO22">
        <v>0</v>
      </c>
      <c r="AEP22">
        <v>0</v>
      </c>
      <c r="AEQ22">
        <v>1</v>
      </c>
      <c r="AER22">
        <v>14.5536355005675</v>
      </c>
      <c r="AES22">
        <v>14.5536355005675</v>
      </c>
      <c r="AET22">
        <v>0</v>
      </c>
      <c r="AEU22">
        <v>0</v>
      </c>
      <c r="AEV22">
        <v>1</v>
      </c>
      <c r="AEW22">
        <v>12.825928526463301</v>
      </c>
      <c r="AEX22">
        <v>12.825928526463301</v>
      </c>
      <c r="AEY22">
        <v>0</v>
      </c>
      <c r="AEZ22">
        <v>0</v>
      </c>
      <c r="AFA22">
        <v>1</v>
      </c>
      <c r="AFB22">
        <v>12.8009693884191</v>
      </c>
      <c r="AFC22">
        <v>12.8009693884191</v>
      </c>
      <c r="AFD22">
        <v>0</v>
      </c>
      <c r="AFE22">
        <v>0</v>
      </c>
      <c r="AFF22">
        <v>1</v>
      </c>
      <c r="AFG22">
        <v>12.5212638149486</v>
      </c>
      <c r="AFH22">
        <v>12.5212638149486</v>
      </c>
      <c r="AFI22">
        <v>0</v>
      </c>
      <c r="AFJ22">
        <v>0</v>
      </c>
      <c r="AFK22">
        <v>1</v>
      </c>
      <c r="AFL22">
        <v>12.7804779803658</v>
      </c>
      <c r="AFM22">
        <v>12.7804779803658</v>
      </c>
      <c r="AFN22">
        <v>0</v>
      </c>
      <c r="AFO22">
        <v>0</v>
      </c>
      <c r="AFP22">
        <v>1</v>
      </c>
      <c r="AFQ22">
        <v>-2.06254775251527</v>
      </c>
      <c r="AFR22">
        <v>-2.0124620374265199</v>
      </c>
      <c r="AFS22">
        <v>-2.0234801837416101</v>
      </c>
      <c r="AFT22">
        <v>-2.02281915775351</v>
      </c>
      <c r="AFU22">
        <v>-2.0647006701465598</v>
      </c>
      <c r="AFV22">
        <v>-2.0056680859133</v>
      </c>
      <c r="AFW22">
        <v>-2.0085690493306001</v>
      </c>
      <c r="AFX22">
        <v>-2.0102959032717398</v>
      </c>
      <c r="AFY22">
        <v>-2.2719061613618301</v>
      </c>
      <c r="AFZ22">
        <v>-2.2359122823408799</v>
      </c>
      <c r="AGA22">
        <v>-2.24059190910544</v>
      </c>
      <c r="AGB22">
        <v>-2.2389403418177598</v>
      </c>
      <c r="AGC22">
        <v>-1.74893121033511</v>
      </c>
      <c r="AGD22">
        <v>-1.78616965158449</v>
      </c>
      <c r="AGE22">
        <v>-2.0616138663196901</v>
      </c>
      <c r="AGF22">
        <v>0</v>
      </c>
      <c r="AGG22">
        <v>0</v>
      </c>
      <c r="AGH22">
        <v>0</v>
      </c>
      <c r="AGI22">
        <v>0</v>
      </c>
      <c r="AGJ22">
        <v>0</v>
      </c>
      <c r="AGK22">
        <v>0</v>
      </c>
      <c r="AGL22">
        <v>0</v>
      </c>
      <c r="AGM22">
        <v>0</v>
      </c>
      <c r="AGN22">
        <v>0</v>
      </c>
      <c r="AGO22">
        <v>0</v>
      </c>
      <c r="AGP22">
        <v>0</v>
      </c>
      <c r="AGQ22">
        <v>0</v>
      </c>
      <c r="AGR22">
        <v>0</v>
      </c>
      <c r="AGS22">
        <v>0</v>
      </c>
      <c r="AGT22">
        <v>0</v>
      </c>
      <c r="AGU22">
        <v>0</v>
      </c>
      <c r="AGV22">
        <v>0</v>
      </c>
      <c r="AGW22">
        <v>0</v>
      </c>
      <c r="AGX22">
        <v>0</v>
      </c>
      <c r="AGY22">
        <v>0</v>
      </c>
      <c r="AGZ22">
        <v>0</v>
      </c>
      <c r="AHA22">
        <v>0</v>
      </c>
      <c r="AHB22">
        <v>0</v>
      </c>
      <c r="AHC22">
        <v>0</v>
      </c>
      <c r="AHD22">
        <v>0</v>
      </c>
      <c r="AHE22">
        <v>0</v>
      </c>
      <c r="AHF22">
        <v>0</v>
      </c>
      <c r="AHG22">
        <v>0</v>
      </c>
      <c r="AHH22">
        <v>0</v>
      </c>
      <c r="AHI22">
        <v>0</v>
      </c>
      <c r="AHJ22">
        <v>0</v>
      </c>
      <c r="AHK22">
        <v>0</v>
      </c>
      <c r="AHL22">
        <v>0</v>
      </c>
      <c r="AHM22">
        <v>0</v>
      </c>
      <c r="AHN22">
        <v>0</v>
      </c>
      <c r="AHO22">
        <v>0</v>
      </c>
      <c r="AHP22">
        <v>0</v>
      </c>
      <c r="AHQ22">
        <v>0</v>
      </c>
      <c r="AHR22">
        <v>0</v>
      </c>
      <c r="AHS22">
        <v>0</v>
      </c>
      <c r="AHT22">
        <v>0</v>
      </c>
      <c r="AHU22">
        <v>0</v>
      </c>
      <c r="AHV22">
        <v>0</v>
      </c>
      <c r="AHW22">
        <v>0</v>
      </c>
      <c r="AHX22">
        <v>0</v>
      </c>
      <c r="AHZ22">
        <v>0</v>
      </c>
      <c r="AIB22">
        <v>0</v>
      </c>
      <c r="AID22">
        <v>0</v>
      </c>
      <c r="AIF22">
        <v>0</v>
      </c>
      <c r="AIH22">
        <v>0</v>
      </c>
      <c r="AIJ22">
        <v>0</v>
      </c>
      <c r="AIL22">
        <v>0</v>
      </c>
      <c r="AIN22">
        <v>0</v>
      </c>
      <c r="AIP22">
        <v>0</v>
      </c>
      <c r="AIR22">
        <v>0</v>
      </c>
      <c r="AIT22">
        <v>0</v>
      </c>
      <c r="AIV22">
        <v>0</v>
      </c>
      <c r="AIX22">
        <v>0</v>
      </c>
      <c r="AIZ22">
        <v>0</v>
      </c>
      <c r="AJB22">
        <v>0</v>
      </c>
      <c r="AJC22">
        <v>0</v>
      </c>
      <c r="AJE22">
        <v>0</v>
      </c>
      <c r="AJH22">
        <v>0</v>
      </c>
      <c r="AJJ22">
        <v>0</v>
      </c>
      <c r="AJK22">
        <v>0</v>
      </c>
      <c r="AJL22">
        <v>0</v>
      </c>
      <c r="AJM22">
        <v>0</v>
      </c>
      <c r="AJN22">
        <v>0</v>
      </c>
      <c r="AJO22">
        <v>0</v>
      </c>
      <c r="AJP22">
        <v>0</v>
      </c>
      <c r="AJQ22">
        <v>0</v>
      </c>
      <c r="AJR22">
        <v>0</v>
      </c>
      <c r="AJS22">
        <v>0</v>
      </c>
      <c r="AJT22">
        <v>0</v>
      </c>
      <c r="AJU22">
        <v>0</v>
      </c>
      <c r="AJV22">
        <v>0</v>
      </c>
      <c r="AJW22">
        <v>0</v>
      </c>
      <c r="AJX22">
        <v>0</v>
      </c>
      <c r="AJY22">
        <v>0</v>
      </c>
      <c r="AJZ22">
        <v>0</v>
      </c>
      <c r="AKA22">
        <v>0</v>
      </c>
      <c r="AKB22">
        <v>0</v>
      </c>
      <c r="AKC22">
        <v>0</v>
      </c>
      <c r="AKD22">
        <v>0</v>
      </c>
      <c r="AKE22">
        <v>74.738617733567096</v>
      </c>
      <c r="AKF22">
        <v>74.738617733567096</v>
      </c>
      <c r="AKG22">
        <v>0</v>
      </c>
      <c r="AKH22">
        <v>0</v>
      </c>
      <c r="AKI22">
        <v>0</v>
      </c>
      <c r="AKJ22">
        <v>0</v>
      </c>
      <c r="AKK22">
        <v>0</v>
      </c>
      <c r="AKL22">
        <v>74.738617733567096</v>
      </c>
      <c r="AKM22">
        <v>74.738617733567096</v>
      </c>
      <c r="AKN22">
        <v>0</v>
      </c>
      <c r="AKO22">
        <v>0</v>
      </c>
      <c r="AKP22">
        <v>0</v>
      </c>
      <c r="AKT22">
        <v>0</v>
      </c>
      <c r="AKX22">
        <v>0</v>
      </c>
      <c r="ALB22">
        <v>20.760648244627699</v>
      </c>
      <c r="ALC22">
        <v>20.760648244627699</v>
      </c>
      <c r="ALD22">
        <v>0</v>
      </c>
      <c r="ALE22">
        <v>0</v>
      </c>
      <c r="ALF22">
        <v>0</v>
      </c>
      <c r="ALH22">
        <v>16.8341013552234</v>
      </c>
      <c r="ALI22">
        <v>2.8568269606532499E-3</v>
      </c>
      <c r="ALJ22">
        <v>0</v>
      </c>
      <c r="ALK22">
        <v>16.8341013552234</v>
      </c>
      <c r="ALL22">
        <v>0</v>
      </c>
      <c r="ALM22">
        <v>0</v>
      </c>
      <c r="ALN22">
        <v>16.8341013552234</v>
      </c>
      <c r="ALO22">
        <v>2.8568269606532499E-3</v>
      </c>
      <c r="ALP22">
        <v>24.1438005801343</v>
      </c>
      <c r="ALQ22">
        <v>0</v>
      </c>
      <c r="ALR22">
        <v>16.8341013552234</v>
      </c>
      <c r="ALS22">
        <v>0</v>
      </c>
      <c r="ALT22">
        <v>16.8341013552234</v>
      </c>
      <c r="ALU22">
        <v>0</v>
      </c>
      <c r="ALV22">
        <v>12.2200000000079</v>
      </c>
      <c r="ALW22">
        <v>9.9999999999999897E-12</v>
      </c>
      <c r="ALX22">
        <v>12.2200000000079</v>
      </c>
      <c r="ALY22">
        <v>9.9999999999999897E-12</v>
      </c>
      <c r="ALZ22">
        <v>0</v>
      </c>
      <c r="AMA22">
        <v>12.2200000000079</v>
      </c>
      <c r="AMB22">
        <v>0</v>
      </c>
      <c r="AMC22">
        <v>12.2200000000079</v>
      </c>
      <c r="AMD22">
        <v>0</v>
      </c>
      <c r="AME22">
        <v>12.2200000000079</v>
      </c>
      <c r="AMF22">
        <v>0</v>
      </c>
      <c r="AMG22">
        <v>0</v>
      </c>
      <c r="AMH22">
        <v>0</v>
      </c>
      <c r="AMI22">
        <v>16.532593835499299</v>
      </c>
      <c r="AMJ22">
        <v>0</v>
      </c>
      <c r="AMK22" s="580">
        <v>16.788328886758599</v>
      </c>
      <c r="AML22">
        <v>0</v>
      </c>
      <c r="AMM22">
        <v>16.5259036522028</v>
      </c>
      <c r="AMN22">
        <v>0</v>
      </c>
      <c r="AMO22">
        <v>16.554266079843799</v>
      </c>
      <c r="AMP22">
        <v>0</v>
      </c>
      <c r="AMQ22">
        <v>16.359290905527899</v>
      </c>
      <c r="AMR22">
        <v>0</v>
      </c>
      <c r="AMS22">
        <v>16.402452193166599</v>
      </c>
      <c r="AMT22">
        <v>0</v>
      </c>
      <c r="AMU22">
        <v>17.347420628830701</v>
      </c>
      <c r="AMV22">
        <v>0</v>
      </c>
      <c r="AMW22">
        <v>17.399659763808099</v>
      </c>
      <c r="AMX22">
        <v>0</v>
      </c>
      <c r="AMY22">
        <v>17.351353599369599</v>
      </c>
      <c r="AMZ22">
        <v>0</v>
      </c>
      <c r="ANA22">
        <v>16.754136964371401</v>
      </c>
      <c r="ANB22">
        <v>0</v>
      </c>
      <c r="ANC22">
        <v>15.798540441191699</v>
      </c>
      <c r="AND22">
        <v>0</v>
      </c>
      <c r="ANE22">
        <v>17.0189770282126</v>
      </c>
      <c r="ANF22">
        <v>0</v>
      </c>
      <c r="ANG22">
        <v>17.047475456399098</v>
      </c>
      <c r="ANH22">
        <v>0</v>
      </c>
      <c r="ANI22">
        <v>16.9828028472662</v>
      </c>
      <c r="ANJ22">
        <v>0</v>
      </c>
      <c r="ANK22">
        <v>16.4107439097392</v>
      </c>
      <c r="ANL22">
        <v>0</v>
      </c>
      <c r="ANM22">
        <v>0</v>
      </c>
      <c r="ANN22">
        <v>0</v>
      </c>
      <c r="ANO22">
        <v>0</v>
      </c>
      <c r="ANP22">
        <v>16.788328886758599</v>
      </c>
      <c r="ANQ22">
        <v>16.5259036522028</v>
      </c>
      <c r="ANR22">
        <v>16.532593835499299</v>
      </c>
      <c r="ANS22">
        <v>16.359290905527899</v>
      </c>
      <c r="ANT22">
        <v>16.554266079843799</v>
      </c>
      <c r="ANU22">
        <v>16.402452193166599</v>
      </c>
      <c r="ANV22">
        <v>17.347420628830701</v>
      </c>
      <c r="ANW22">
        <v>17.399659763808099</v>
      </c>
      <c r="ANX22">
        <v>16.754136964371401</v>
      </c>
      <c r="ANY22">
        <v>17.351353599369599</v>
      </c>
      <c r="ANZ22">
        <v>15.798540441191699</v>
      </c>
      <c r="AOA22">
        <v>17.0189770282126</v>
      </c>
      <c r="AOB22">
        <v>17.047475456399098</v>
      </c>
      <c r="AOC22">
        <v>16.4107439097392</v>
      </c>
      <c r="AOD22">
        <v>16.9828028472662</v>
      </c>
      <c r="AOE22">
        <v>16.8341013552234</v>
      </c>
      <c r="AOF22">
        <v>0</v>
      </c>
      <c r="AOG22">
        <v>16.844310231020899</v>
      </c>
      <c r="AOH22">
        <v>0</v>
      </c>
    </row>
    <row r="23" spans="1:1074">
      <c r="A23" t="s">
        <v>2593</v>
      </c>
      <c r="B23">
        <v>-3.33</v>
      </c>
      <c r="D23">
        <v>-3.33</v>
      </c>
      <c r="F23">
        <v>10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0</v>
      </c>
      <c r="CF23">
        <v>0</v>
      </c>
      <c r="CG23">
        <v>0</v>
      </c>
      <c r="CH23">
        <v>0</v>
      </c>
      <c r="CI23">
        <v>0</v>
      </c>
      <c r="CJ23">
        <v>0</v>
      </c>
      <c r="CK23">
        <v>0</v>
      </c>
      <c r="CL23">
        <v>0</v>
      </c>
      <c r="CM23">
        <v>0</v>
      </c>
      <c r="CN23">
        <v>0</v>
      </c>
      <c r="CO23">
        <v>0</v>
      </c>
      <c r="CP23">
        <v>0</v>
      </c>
      <c r="CQ23">
        <v>0</v>
      </c>
      <c r="CR23">
        <v>0</v>
      </c>
      <c r="CS23">
        <v>0</v>
      </c>
      <c r="CT23">
        <v>0</v>
      </c>
      <c r="CU23">
        <v>0</v>
      </c>
      <c r="CV23">
        <v>0</v>
      </c>
      <c r="CW23">
        <v>0</v>
      </c>
      <c r="CX23">
        <v>0</v>
      </c>
      <c r="CY23">
        <v>0</v>
      </c>
      <c r="CZ23">
        <v>0</v>
      </c>
      <c r="DA23">
        <v>0</v>
      </c>
      <c r="DB23">
        <v>0</v>
      </c>
      <c r="DC23">
        <v>0</v>
      </c>
      <c r="DD23">
        <v>0</v>
      </c>
      <c r="DE23">
        <v>0</v>
      </c>
      <c r="DF23">
        <v>0</v>
      </c>
      <c r="DG23">
        <v>0</v>
      </c>
      <c r="DH23">
        <v>0</v>
      </c>
      <c r="DI23">
        <v>0</v>
      </c>
      <c r="DJ23">
        <v>0</v>
      </c>
      <c r="DK23">
        <v>0</v>
      </c>
      <c r="DL23">
        <v>0</v>
      </c>
      <c r="DM23">
        <v>0</v>
      </c>
      <c r="DN23">
        <v>0</v>
      </c>
      <c r="DO23">
        <v>0</v>
      </c>
      <c r="DP23">
        <v>0</v>
      </c>
      <c r="DQ23">
        <v>0</v>
      </c>
      <c r="DR23">
        <v>0</v>
      </c>
      <c r="DS23">
        <v>0</v>
      </c>
      <c r="DT23">
        <v>0</v>
      </c>
      <c r="DU23">
        <v>0</v>
      </c>
      <c r="DV23">
        <v>0</v>
      </c>
      <c r="DW23">
        <v>0</v>
      </c>
      <c r="DX23">
        <v>0</v>
      </c>
      <c r="DY23">
        <v>0</v>
      </c>
      <c r="DZ23">
        <v>0</v>
      </c>
      <c r="EA23">
        <v>0</v>
      </c>
      <c r="EB23">
        <v>0</v>
      </c>
      <c r="EC23">
        <v>0</v>
      </c>
      <c r="ED23">
        <v>0</v>
      </c>
      <c r="EE23">
        <v>0</v>
      </c>
      <c r="EF23">
        <v>0</v>
      </c>
      <c r="EG23">
        <v>0</v>
      </c>
      <c r="EH23">
        <v>0</v>
      </c>
      <c r="EI23">
        <v>0</v>
      </c>
      <c r="EJ23">
        <v>0</v>
      </c>
      <c r="EK23">
        <v>0</v>
      </c>
      <c r="EL23">
        <v>0</v>
      </c>
      <c r="EM23">
        <v>0</v>
      </c>
      <c r="EN23">
        <v>0</v>
      </c>
      <c r="EO23">
        <v>0</v>
      </c>
      <c r="EP23">
        <v>0</v>
      </c>
      <c r="EQ23">
        <v>0</v>
      </c>
      <c r="ER23">
        <v>0</v>
      </c>
      <c r="ES23">
        <v>0</v>
      </c>
      <c r="ET23">
        <v>0</v>
      </c>
      <c r="EU23">
        <v>0</v>
      </c>
      <c r="EV23">
        <v>0</v>
      </c>
      <c r="EW23">
        <v>0</v>
      </c>
      <c r="EX23">
        <v>0</v>
      </c>
      <c r="EY23">
        <v>0</v>
      </c>
      <c r="EZ23">
        <v>0</v>
      </c>
      <c r="FA23">
        <v>0</v>
      </c>
      <c r="FB23">
        <v>0</v>
      </c>
      <c r="FC23">
        <v>0</v>
      </c>
      <c r="FD23">
        <v>0</v>
      </c>
      <c r="FE23">
        <v>0</v>
      </c>
      <c r="FF23">
        <v>0</v>
      </c>
      <c r="FG23">
        <v>0</v>
      </c>
      <c r="FH23">
        <v>0</v>
      </c>
      <c r="FI23">
        <v>0</v>
      </c>
      <c r="FJ23">
        <v>0</v>
      </c>
      <c r="FK23">
        <v>0</v>
      </c>
      <c r="FL23">
        <v>0</v>
      </c>
      <c r="FM23">
        <v>0</v>
      </c>
      <c r="FN23">
        <v>0</v>
      </c>
      <c r="FO23">
        <v>0</v>
      </c>
      <c r="FP23">
        <v>0</v>
      </c>
      <c r="FQ23">
        <v>0</v>
      </c>
      <c r="FR23">
        <v>0</v>
      </c>
      <c r="FS23">
        <v>0</v>
      </c>
      <c r="FT23">
        <v>0</v>
      </c>
      <c r="FU23">
        <v>0</v>
      </c>
      <c r="FV23">
        <v>0</v>
      </c>
      <c r="FW23">
        <v>0</v>
      </c>
      <c r="FX23">
        <v>0</v>
      </c>
      <c r="FY23">
        <v>0</v>
      </c>
      <c r="FZ23">
        <v>0</v>
      </c>
      <c r="GA23">
        <v>0</v>
      </c>
      <c r="GB23">
        <v>-32.8103902810387</v>
      </c>
      <c r="GC23">
        <v>466.50685820637398</v>
      </c>
      <c r="GD23">
        <v>287.32469963961398</v>
      </c>
      <c r="GE23">
        <v>-20.705258538310201</v>
      </c>
      <c r="GF23">
        <v>303.64471198752801</v>
      </c>
      <c r="GG23">
        <v>185.627472779389</v>
      </c>
      <c r="GH23">
        <v>-30.662611734829099</v>
      </c>
      <c r="GI23">
        <v>485.29580787060797</v>
      </c>
      <c r="GJ23">
        <v>269.53029352262303</v>
      </c>
      <c r="GK23">
        <v>-19.977991213351402</v>
      </c>
      <c r="GL23">
        <v>308.39441084566602</v>
      </c>
      <c r="GM23">
        <v>190.131543294853</v>
      </c>
      <c r="GN23">
        <v>-75.145834833837696</v>
      </c>
      <c r="GO23">
        <v>16.498810841064</v>
      </c>
      <c r="GP23">
        <v>15.7474499257807</v>
      </c>
      <c r="GQ23">
        <v>-12.903488388805</v>
      </c>
      <c r="GR23">
        <v>123.983019801296</v>
      </c>
      <c r="GS23">
        <v>1164.97132848765</v>
      </c>
      <c r="GT23">
        <v>-50.224760000033399</v>
      </c>
      <c r="GU23">
        <v>16.445480643337699</v>
      </c>
      <c r="GV23">
        <v>15.683868032589499</v>
      </c>
      <c r="GW23">
        <v>-8.2098684945191494</v>
      </c>
      <c r="GX23">
        <v>82.464177468607204</v>
      </c>
      <c r="GY23">
        <v>764.657185465309</v>
      </c>
      <c r="GZ23">
        <v>-74.792946183774703</v>
      </c>
      <c r="HA23">
        <v>15.961213262146799</v>
      </c>
      <c r="HB23">
        <v>15.3326649828747</v>
      </c>
      <c r="HC23">
        <v>-5.4521156683536898</v>
      </c>
      <c r="HD23">
        <v>109.68465050242</v>
      </c>
      <c r="HE23">
        <v>996.55992361809399</v>
      </c>
      <c r="HF23">
        <v>-49.593445739190003</v>
      </c>
      <c r="HG23">
        <v>16.478254757785098</v>
      </c>
      <c r="HH23">
        <v>15.696471641761599</v>
      </c>
      <c r="HI23">
        <v>-9.2684170953429899</v>
      </c>
      <c r="HJ23">
        <v>83.179129512848803</v>
      </c>
      <c r="HK23">
        <v>776.661455193542</v>
      </c>
      <c r="HL23">
        <v>-28.336447047645599</v>
      </c>
      <c r="HM23">
        <v>15.623776887894699</v>
      </c>
      <c r="HN23">
        <v>16.101226547966299</v>
      </c>
      <c r="HO23">
        <v>235.902755805433</v>
      </c>
      <c r="HP23">
        <v>579.43247031926296</v>
      </c>
      <c r="HQ23">
        <v>15.8113627830962</v>
      </c>
      <c r="HR23">
        <v>301.35821251399801</v>
      </c>
      <c r="HS23">
        <v>-17.434696643600699</v>
      </c>
      <c r="HT23">
        <v>15.6123818266884</v>
      </c>
      <c r="HU23">
        <v>16.109072920458399</v>
      </c>
      <c r="HV23">
        <v>145.100256441851</v>
      </c>
      <c r="HW23">
        <v>374.59079804009298</v>
      </c>
      <c r="HX23">
        <v>15.794270547632999</v>
      </c>
      <c r="HY23">
        <v>195.54152004621301</v>
      </c>
      <c r="HZ23">
        <v>15.2808326650672</v>
      </c>
      <c r="IA23">
        <v>15.955476104134499</v>
      </c>
      <c r="IB23">
        <v>256.42320490877597</v>
      </c>
      <c r="IC23">
        <v>-26.416344237459001</v>
      </c>
      <c r="ID23">
        <v>563.09079248938201</v>
      </c>
      <c r="IE23">
        <v>15.3333412969354</v>
      </c>
      <c r="IF23">
        <v>288.26705038233399</v>
      </c>
      <c r="IG23">
        <v>23.539427168603702</v>
      </c>
      <c r="IH23">
        <v>15.6211309874758</v>
      </c>
      <c r="II23">
        <v>16.113178998806401</v>
      </c>
      <c r="IJ23">
        <v>148.183519720091</v>
      </c>
      <c r="IK23">
        <v>19.3483514988501</v>
      </c>
      <c r="IL23">
        <v>-16.008476043906501</v>
      </c>
      <c r="IM23">
        <v>386.32834985760502</v>
      </c>
      <c r="IN23">
        <v>15.819756083022799</v>
      </c>
      <c r="IO23">
        <v>1.0044816145742801</v>
      </c>
      <c r="IP23">
        <v>202.05437368539</v>
      </c>
      <c r="IQ23">
        <v>-56.426052031305197</v>
      </c>
      <c r="IR23">
        <v>-32.897954321655597</v>
      </c>
      <c r="IS23">
        <v>-81.053824793014698</v>
      </c>
      <c r="IT23">
        <v>-32.478304779684102</v>
      </c>
      <c r="IU23">
        <v>-4.8471622740979603</v>
      </c>
      <c r="IV23">
        <v>-72.808461611804901</v>
      </c>
      <c r="IW23">
        <v>16.537280595870001</v>
      </c>
      <c r="IX23">
        <v>15.8113627830962</v>
      </c>
      <c r="IY23">
        <v>-7.9093287927592701</v>
      </c>
      <c r="IZ23">
        <v>129.954521759139</v>
      </c>
      <c r="JA23">
        <v>1166.1734053836501</v>
      </c>
      <c r="JB23">
        <v>-48.718921743155803</v>
      </c>
      <c r="JC23">
        <v>16.536513375939901</v>
      </c>
      <c r="JD23">
        <v>15.794270547632999</v>
      </c>
      <c r="JE23">
        <v>-5.1544689612998997</v>
      </c>
      <c r="JF23">
        <v>87.130094643587995</v>
      </c>
      <c r="JG23">
        <v>773.09914746565801</v>
      </c>
      <c r="JH23">
        <v>-72.192244296701105</v>
      </c>
      <c r="JI23">
        <v>15.9646592833783</v>
      </c>
      <c r="JJ23">
        <v>15.3333412969354</v>
      </c>
      <c r="JK23">
        <v>-2.7586072440232599</v>
      </c>
      <c r="JL23">
        <v>116.78938630889201</v>
      </c>
      <c r="JM23">
        <v>1018.95864511064</v>
      </c>
      <c r="JN23">
        <v>-48.055773357680401</v>
      </c>
      <c r="JO23">
        <v>16.576682044599199</v>
      </c>
      <c r="JP23">
        <v>15.819756083022799</v>
      </c>
      <c r="JQ23">
        <v>0.31630823118974799</v>
      </c>
      <c r="JR23">
        <v>-5.9099291631584503</v>
      </c>
      <c r="JS23">
        <v>0.73699336047506403</v>
      </c>
      <c r="JT23">
        <v>87.356766552718398</v>
      </c>
      <c r="JU23">
        <v>781.00696651168005</v>
      </c>
      <c r="JV23">
        <v>-32.267220430361903</v>
      </c>
      <c r="JW23">
        <v>687.651557637667</v>
      </c>
      <c r="JX23">
        <v>-35.869867285493697</v>
      </c>
      <c r="JY23">
        <v>-18.837419936003801</v>
      </c>
      <c r="JZ23">
        <v>440.81800531661798</v>
      </c>
      <c r="KA23">
        <v>-22.234609817848</v>
      </c>
      <c r="KB23">
        <v>-27.328081587140801</v>
      </c>
      <c r="KC23">
        <v>656.94323819727697</v>
      </c>
      <c r="KD23">
        <v>-30.665270636492899</v>
      </c>
      <c r="KE23">
        <v>-17.838072426819</v>
      </c>
      <c r="KF23">
        <v>10.3118819163374</v>
      </c>
      <c r="KG23">
        <v>-153.72321591705301</v>
      </c>
      <c r="KH23">
        <v>2.0277762492845302</v>
      </c>
      <c r="KI23">
        <v>448.48694430107798</v>
      </c>
      <c r="KJ23">
        <v>-20.2201172831228</v>
      </c>
      <c r="KK23">
        <v>-23.915967686840101</v>
      </c>
      <c r="KL23">
        <v>10.8044265756372</v>
      </c>
      <c r="KM23">
        <v>12.236626047567301</v>
      </c>
      <c r="KN23">
        <v>324.46723463065598</v>
      </c>
      <c r="KO23">
        <v>9.4928462076737201</v>
      </c>
      <c r="KP23">
        <v>-10.675827379648601</v>
      </c>
      <c r="KQ23">
        <v>-72.896272714376295</v>
      </c>
      <c r="KR23">
        <v>-1148.4797479834699</v>
      </c>
      <c r="KS23">
        <v>-16.4162286986552</v>
      </c>
      <c r="KT23">
        <v>10.773704345176601</v>
      </c>
      <c r="KU23">
        <v>12.212436386922001</v>
      </c>
      <c r="KV23">
        <v>207.07848923565899</v>
      </c>
      <c r="KW23">
        <v>9.4569426061602897</v>
      </c>
      <c r="KX23">
        <v>-10.592649606412101</v>
      </c>
      <c r="KY23">
        <v>-46.515227960735103</v>
      </c>
      <c r="KZ23">
        <v>-723.21885899290601</v>
      </c>
      <c r="LA23">
        <v>-25.035099862715001</v>
      </c>
      <c r="LB23">
        <v>10.569832749238399</v>
      </c>
      <c r="LC23">
        <v>11.9713911062224</v>
      </c>
      <c r="LD23">
        <v>316.88370864775402</v>
      </c>
      <c r="LE23">
        <v>9.2757106689561208</v>
      </c>
      <c r="LF23">
        <v>-10.683842447355101</v>
      </c>
      <c r="LG23">
        <v>-72.947373806149301</v>
      </c>
      <c r="LH23">
        <v>-1137.64684077524</v>
      </c>
      <c r="LI23">
        <v>-15.5902480060805</v>
      </c>
      <c r="LJ23">
        <v>10.799764304600499</v>
      </c>
      <c r="LK23">
        <v>12.2214595154209</v>
      </c>
      <c r="LL23">
        <v>205.59277045734399</v>
      </c>
      <c r="LM23">
        <v>9.5004555447758801</v>
      </c>
      <c r="LN23">
        <v>-10.2572563044591</v>
      </c>
      <c r="LO23">
        <v>-44.127534290209802</v>
      </c>
      <c r="LP23">
        <v>-711.881836244331</v>
      </c>
      <c r="LQ23">
        <v>-47.040189877496701</v>
      </c>
      <c r="LR23">
        <v>16.755733828828301</v>
      </c>
      <c r="LS23">
        <v>16.481000000000002</v>
      </c>
      <c r="LT23">
        <v>107.478426750903</v>
      </c>
      <c r="LU23">
        <v>612.32494825032404</v>
      </c>
      <c r="LV23">
        <v>16.306366495611801</v>
      </c>
      <c r="LW23">
        <v>15.5427161596752</v>
      </c>
      <c r="LX23">
        <v>-61.013460261576199</v>
      </c>
      <c r="LY23">
        <v>-31.705566008173701</v>
      </c>
      <c r="LZ23">
        <v>16.73643022964</v>
      </c>
      <c r="MA23">
        <v>16.481000000000002</v>
      </c>
      <c r="MB23">
        <v>71.209466046108702</v>
      </c>
      <c r="MC23">
        <v>404.41834634526901</v>
      </c>
      <c r="MD23">
        <v>16.270334428136799</v>
      </c>
      <c r="ME23">
        <v>15.4835825624954</v>
      </c>
      <c r="MF23">
        <v>-39.776275048800997</v>
      </c>
      <c r="MG23">
        <v>-47.22618919352</v>
      </c>
      <c r="MH23">
        <v>16.583144694930901</v>
      </c>
      <c r="MI23">
        <v>16.481000000000002</v>
      </c>
      <c r="MJ23">
        <v>117.164566777565</v>
      </c>
      <c r="MK23">
        <v>670.37717114340899</v>
      </c>
      <c r="ML23">
        <v>16.078237420758999</v>
      </c>
      <c r="MM23">
        <v>15.233923478268</v>
      </c>
      <c r="MN23">
        <v>-72.152219519762895</v>
      </c>
      <c r="MO23">
        <v>-31.216799983810098</v>
      </c>
      <c r="MP23">
        <v>16.7417483585028</v>
      </c>
      <c r="MQ23">
        <v>16.481000000000002</v>
      </c>
      <c r="MR23">
        <v>71.014164241753406</v>
      </c>
      <c r="MS23">
        <v>403.99913406375703</v>
      </c>
      <c r="MT23">
        <v>16.275110559829201</v>
      </c>
      <c r="MU23">
        <v>15.4843094388035</v>
      </c>
      <c r="MV23">
        <v>-40.100636066820798</v>
      </c>
      <c r="MW23">
        <v>-46.855654530340203</v>
      </c>
      <c r="MX23">
        <v>17.5953964526019</v>
      </c>
      <c r="MY23">
        <v>17.444103644050699</v>
      </c>
      <c r="MZ23">
        <v>150.962323793481</v>
      </c>
      <c r="NA23">
        <v>889.54778251107302</v>
      </c>
      <c r="NB23">
        <v>16.923585690103199</v>
      </c>
      <c r="NC23">
        <v>15.77564903076</v>
      </c>
      <c r="ND23">
        <v>-100.935521736257</v>
      </c>
      <c r="NE23">
        <v>-31.621683469164001</v>
      </c>
      <c r="NF23">
        <v>17.593418949912198</v>
      </c>
      <c r="NG23">
        <v>17.419269162847598</v>
      </c>
      <c r="NH23">
        <v>97.868714773018198</v>
      </c>
      <c r="NI23">
        <v>574.41480082536498</v>
      </c>
      <c r="NJ23">
        <v>16.914110152972199</v>
      </c>
      <c r="NK23">
        <v>15.753794258844801</v>
      </c>
      <c r="NL23">
        <v>-63.886851394999297</v>
      </c>
      <c r="NM23">
        <v>-46.109046950463899</v>
      </c>
      <c r="NN23">
        <v>16.933377650807699</v>
      </c>
      <c r="NO23">
        <v>16.768296430155399</v>
      </c>
      <c r="NP23" s="35">
        <v>130.47734891800499</v>
      </c>
      <c r="NQ23">
        <v>761.81599628665799</v>
      </c>
      <c r="NR23">
        <v>16.355695859942799</v>
      </c>
      <c r="NS23" s="35">
        <v>15.3153002697763</v>
      </c>
      <c r="NT23" s="35">
        <v>-86.126502409737299</v>
      </c>
      <c r="NU23" s="35">
        <v>-31.145126846343899</v>
      </c>
      <c r="NV23">
        <v>17.6489899603969</v>
      </c>
      <c r="NW23">
        <v>17.4711331827219</v>
      </c>
      <c r="NX23">
        <v>1.7</v>
      </c>
      <c r="NY23" s="35">
        <v>98.977642331835895</v>
      </c>
      <c r="NZ23">
        <v>582.54898199500803</v>
      </c>
      <c r="OA23" s="35">
        <v>16.958582462483001</v>
      </c>
      <c r="OB23">
        <v>15.7760728111097</v>
      </c>
      <c r="OC23">
        <v>1.7</v>
      </c>
      <c r="OD23">
        <v>-65.4207229105495</v>
      </c>
      <c r="OE23">
        <v>1.7</v>
      </c>
      <c r="OF23">
        <v>1.7</v>
      </c>
      <c r="OG23">
        <v>-43.690919167586003</v>
      </c>
      <c r="OH23">
        <v>17.266930552061101</v>
      </c>
      <c r="OI23">
        <v>17.467585112908601</v>
      </c>
      <c r="OJ23">
        <v>217.950933880023</v>
      </c>
      <c r="OK23">
        <v>1361.0437080362501</v>
      </c>
      <c r="OL23">
        <v>16.165173577433102</v>
      </c>
      <c r="OM23">
        <v>14.0407643735688</v>
      </c>
      <c r="ON23">
        <v>-195.156779926056</v>
      </c>
      <c r="OO23">
        <v>-29.560441096344199</v>
      </c>
      <c r="OP23">
        <v>17.313540738518</v>
      </c>
      <c r="OQ23">
        <v>17.5033816440199</v>
      </c>
      <c r="OR23">
        <v>142.76903117192501</v>
      </c>
      <c r="OS23">
        <v>887.90484108967803</v>
      </c>
      <c r="OT23">
        <v>16.184628153155298</v>
      </c>
      <c r="OU23">
        <v>14.0193879091629</v>
      </c>
      <c r="OV23">
        <v>-126.04523300679099</v>
      </c>
      <c r="OW23">
        <v>-43.177903632479499</v>
      </c>
      <c r="OX23">
        <v>16.626244859263</v>
      </c>
      <c r="OY23">
        <v>16.780851554835301</v>
      </c>
      <c r="OZ23">
        <v>192.65658982603699</v>
      </c>
      <c r="PA23">
        <v>1200.43222197062</v>
      </c>
      <c r="PB23">
        <v>15.64763140724</v>
      </c>
      <c r="PC23">
        <v>13.690075437866399</v>
      </c>
      <c r="PD23">
        <v>-174.27802023313899</v>
      </c>
      <c r="PE23">
        <v>-29.0836322439554</v>
      </c>
      <c r="PF23">
        <v>17.352026122178199</v>
      </c>
      <c r="PG23">
        <v>17.5562847951843</v>
      </c>
      <c r="PH23">
        <v>1.7</v>
      </c>
      <c r="PI23">
        <v>144.67610828218901</v>
      </c>
      <c r="PJ23">
        <v>899.79154914004403</v>
      </c>
      <c r="PK23">
        <v>16.206663624519798</v>
      </c>
      <c r="PL23">
        <v>14.020442645410199</v>
      </c>
      <c r="PM23">
        <v>1.7</v>
      </c>
      <c r="PN23">
        <v>-128.055174031414</v>
      </c>
      <c r="PO23">
        <v>15.4106185733272</v>
      </c>
      <c r="PP23">
        <v>15.3194882746581</v>
      </c>
      <c r="PQ23">
        <v>15.0238294011963</v>
      </c>
      <c r="PR23">
        <v>15.3226232024968</v>
      </c>
      <c r="PS23">
        <v>16.832875274451201</v>
      </c>
      <c r="PT23">
        <v>15.5018208062647</v>
      </c>
      <c r="PU23">
        <v>15.450208768959801</v>
      </c>
      <c r="PV23">
        <v>15.0333213415114</v>
      </c>
      <c r="PW23">
        <v>15.471487023630599</v>
      </c>
      <c r="PX23">
        <v>16.569576211875098</v>
      </c>
      <c r="PY23">
        <v>13.208426746671201</v>
      </c>
      <c r="PZ23">
        <v>13.1702506733789</v>
      </c>
      <c r="QA23">
        <v>12.8853872717279</v>
      </c>
      <c r="QB23">
        <v>13.169282573615099</v>
      </c>
      <c r="QC23">
        <v>14.360796637619799</v>
      </c>
      <c r="QD23">
        <v>15.744680869751299</v>
      </c>
      <c r="QE23">
        <v>14.525402828758001</v>
      </c>
      <c r="QF23">
        <v>14.435601105313101</v>
      </c>
      <c r="QG23">
        <v>14.177600632628399</v>
      </c>
      <c r="QH23">
        <v>14.423833095109799</v>
      </c>
      <c r="QI23">
        <v>16.823012515424299</v>
      </c>
      <c r="QJ23">
        <v>14.5545584330415</v>
      </c>
      <c r="QK23">
        <v>14.5046732125769</v>
      </c>
      <c r="QL23">
        <v>14.118476883014401</v>
      </c>
      <c r="QM23">
        <v>14.496432467361</v>
      </c>
      <c r="QN23">
        <v>1035.37381777013</v>
      </c>
      <c r="QO23">
        <v>16.570076703480499</v>
      </c>
      <c r="QP23">
        <v>-7.2463744716936498</v>
      </c>
      <c r="QQ23">
        <v>12.4420915829152</v>
      </c>
      <c r="QR23">
        <v>12.4037177033942</v>
      </c>
      <c r="QS23">
        <v>12.1513127464234</v>
      </c>
      <c r="QT23">
        <v>12.386238862178899</v>
      </c>
      <c r="QU23">
        <v>14.359069748729</v>
      </c>
      <c r="QV23">
        <v>15.744094916919501</v>
      </c>
      <c r="QW23">
        <v>826355.30554595694</v>
      </c>
      <c r="QX23">
        <v>0</v>
      </c>
      <c r="QY23">
        <v>562729.37510516401</v>
      </c>
      <c r="QZ23">
        <v>0</v>
      </c>
      <c r="RA23">
        <v>136836.67564739499</v>
      </c>
      <c r="RB23">
        <v>0</v>
      </c>
      <c r="RC23">
        <v>93956.826451432105</v>
      </c>
      <c r="RD23">
        <v>0</v>
      </c>
      <c r="RE23">
        <v>303757.90286262397</v>
      </c>
      <c r="RF23">
        <v>0</v>
      </c>
      <c r="RG23">
        <v>208967.11835308201</v>
      </c>
      <c r="RH23" s="35">
        <v>0</v>
      </c>
      <c r="RI23">
        <v>0</v>
      </c>
      <c r="RJ23" s="35">
        <v>0</v>
      </c>
      <c r="RK23">
        <v>13.6401870841887</v>
      </c>
      <c r="RL23">
        <v>11530.8229220133</v>
      </c>
      <c r="RM23">
        <v>11530.8229220133</v>
      </c>
      <c r="RN23">
        <v>20059.901173196398</v>
      </c>
      <c r="RO23" s="35">
        <v>0</v>
      </c>
      <c r="RP23">
        <v>0</v>
      </c>
      <c r="RQ23">
        <v>13.551713935968101</v>
      </c>
      <c r="RR23">
        <v>7416.1539602785697</v>
      </c>
      <c r="RS23">
        <v>7416.1539602785697</v>
      </c>
      <c r="RT23">
        <v>12836.1368725998</v>
      </c>
      <c r="RU23">
        <v>0</v>
      </c>
      <c r="RV23">
        <v>0</v>
      </c>
      <c r="RW23">
        <v>13.331371864060401</v>
      </c>
      <c r="RX23">
        <v>12011.0398385718</v>
      </c>
      <c r="RY23">
        <v>12011.0398385718</v>
      </c>
      <c r="RZ23">
        <v>20549.363981609</v>
      </c>
      <c r="SA23">
        <v>0</v>
      </c>
      <c r="SB23">
        <v>0</v>
      </c>
      <c r="SC23">
        <v>13.5250429877228</v>
      </c>
      <c r="SD23">
        <v>7443.3452791435402</v>
      </c>
      <c r="SE23">
        <v>7443.3452791435402</v>
      </c>
      <c r="SF23">
        <v>12863.824124209101</v>
      </c>
      <c r="SG23">
        <v>0</v>
      </c>
      <c r="SH23">
        <v>0</v>
      </c>
      <c r="SI23">
        <v>16.8131497563975</v>
      </c>
      <c r="SJ23">
        <v>33428.527684605499</v>
      </c>
      <c r="SK23">
        <v>33428.527684605499</v>
      </c>
      <c r="SL23">
        <v>76635.847519158997</v>
      </c>
      <c r="SM23">
        <v>21.1111</v>
      </c>
      <c r="SN23">
        <v>26.666699999999999</v>
      </c>
      <c r="SO23">
        <v>0</v>
      </c>
      <c r="SP23">
        <v>0</v>
      </c>
      <c r="SQ23">
        <v>16.6054664683558</v>
      </c>
      <c r="SR23">
        <v>0</v>
      </c>
      <c r="SS23">
        <v>0</v>
      </c>
      <c r="ST23">
        <v>0</v>
      </c>
      <c r="SU23">
        <v>0</v>
      </c>
      <c r="SV23">
        <v>0</v>
      </c>
      <c r="SW23">
        <v>16.5514350993673</v>
      </c>
      <c r="SX23">
        <v>0</v>
      </c>
      <c r="SY23">
        <v>0</v>
      </c>
      <c r="SZ23">
        <v>0</v>
      </c>
      <c r="TA23">
        <v>0</v>
      </c>
      <c r="TB23">
        <v>0</v>
      </c>
      <c r="TC23">
        <v>16.006549258728299</v>
      </c>
      <c r="TD23">
        <v>0</v>
      </c>
      <c r="TE23">
        <v>0</v>
      </c>
      <c r="TF23">
        <v>0</v>
      </c>
      <c r="TG23">
        <v>0</v>
      </c>
      <c r="TH23">
        <v>0</v>
      </c>
      <c r="TI23">
        <v>16.597426609966</v>
      </c>
      <c r="TJ23">
        <v>0</v>
      </c>
      <c r="TK23">
        <v>0</v>
      </c>
      <c r="TL23">
        <v>0</v>
      </c>
      <c r="TM23">
        <v>0</v>
      </c>
      <c r="TN23">
        <v>0</v>
      </c>
      <c r="TO23">
        <v>16.779201667641999</v>
      </c>
      <c r="TP23">
        <v>0</v>
      </c>
      <c r="TQ23">
        <v>0</v>
      </c>
      <c r="TR23">
        <v>0</v>
      </c>
      <c r="TS23">
        <v>0</v>
      </c>
      <c r="TT23">
        <v>0</v>
      </c>
      <c r="TU23">
        <v>13.6072960598182</v>
      </c>
      <c r="TV23">
        <v>11611.6614105676</v>
      </c>
      <c r="TW23">
        <v>11611.6614105676</v>
      </c>
      <c r="TX23">
        <v>20159.1413133282</v>
      </c>
      <c r="TY23">
        <v>0</v>
      </c>
      <c r="TZ23">
        <v>0</v>
      </c>
      <c r="UA23">
        <v>13.5591376561941</v>
      </c>
      <c r="UB23">
        <v>7428.8818829748398</v>
      </c>
      <c r="UC23">
        <v>7428.8818829748398</v>
      </c>
      <c r="UD23">
        <v>12860.332885600201</v>
      </c>
      <c r="UE23">
        <v>0</v>
      </c>
      <c r="UF23">
        <v>0</v>
      </c>
      <c r="UG23">
        <v>13.2036324245174</v>
      </c>
      <c r="UH23">
        <v>12255.9118369105</v>
      </c>
      <c r="UI23">
        <v>12255.9118369105</v>
      </c>
      <c r="UJ23">
        <v>20815.2536177283</v>
      </c>
      <c r="UK23">
        <v>0</v>
      </c>
      <c r="UL23">
        <v>0</v>
      </c>
      <c r="UM23">
        <v>13.5213779110915</v>
      </c>
      <c r="UN23">
        <v>7467.7692441272602</v>
      </c>
      <c r="UO23">
        <v>7467.7692441272602</v>
      </c>
      <c r="UP23">
        <v>12899.9468588892</v>
      </c>
      <c r="UQ23">
        <v>0</v>
      </c>
      <c r="UR23">
        <v>0</v>
      </c>
      <c r="US23">
        <v>16.570577195085999</v>
      </c>
      <c r="UT23">
        <v>35344.588630789098</v>
      </c>
      <c r="UU23">
        <v>35344.588630789098</v>
      </c>
      <c r="UV23">
        <v>78588.107830868306</v>
      </c>
      <c r="UW23">
        <v>21.1111</v>
      </c>
      <c r="UX23">
        <v>26.666699999999999</v>
      </c>
      <c r="UY23">
        <v>0</v>
      </c>
      <c r="UZ23">
        <v>0</v>
      </c>
      <c r="VA23">
        <v>16.597323937117501</v>
      </c>
      <c r="VB23">
        <v>0</v>
      </c>
      <c r="VC23">
        <v>0</v>
      </c>
      <c r="VD23">
        <v>0</v>
      </c>
      <c r="VE23">
        <v>0</v>
      </c>
      <c r="VF23">
        <v>0</v>
      </c>
      <c r="VG23">
        <v>16.597104061255699</v>
      </c>
      <c r="VH23">
        <v>0</v>
      </c>
      <c r="VI23">
        <v>0</v>
      </c>
      <c r="VJ23">
        <v>0</v>
      </c>
      <c r="VK23">
        <v>0</v>
      </c>
      <c r="VL23">
        <v>0</v>
      </c>
      <c r="VM23">
        <v>15.9796942221188</v>
      </c>
      <c r="VN23">
        <v>0</v>
      </c>
      <c r="VO23">
        <v>0</v>
      </c>
      <c r="VP23">
        <v>0</v>
      </c>
      <c r="VQ23">
        <v>0</v>
      </c>
      <c r="VR23">
        <v>0</v>
      </c>
      <c r="VS23">
        <v>16.6474264888672</v>
      </c>
      <c r="VT23">
        <v>0</v>
      </c>
      <c r="VU23">
        <v>0</v>
      </c>
      <c r="VV23">
        <v>0</v>
      </c>
      <c r="VW23">
        <v>0</v>
      </c>
      <c r="VX23">
        <v>0</v>
      </c>
      <c r="VY23">
        <v>16.518807857916102</v>
      </c>
      <c r="VZ23">
        <v>0</v>
      </c>
      <c r="WA23">
        <v>0</v>
      </c>
      <c r="WB23">
        <v>0</v>
      </c>
      <c r="WC23">
        <v>0</v>
      </c>
      <c r="WD23">
        <v>0</v>
      </c>
      <c r="WE23">
        <v>11.675756419159301</v>
      </c>
      <c r="WF23">
        <v>14759.460093440201</v>
      </c>
      <c r="WG23">
        <v>14759.460093440201</v>
      </c>
      <c r="WH23">
        <v>23369.515023297601</v>
      </c>
      <c r="WI23">
        <v>0</v>
      </c>
      <c r="WJ23">
        <v>0</v>
      </c>
      <c r="WK23">
        <v>0</v>
      </c>
      <c r="WL23">
        <v>11.6371847334095</v>
      </c>
      <c r="WM23">
        <v>9420.9150248445694</v>
      </c>
      <c r="WN23">
        <v>9420.9150248445694</v>
      </c>
      <c r="WO23">
        <v>14892.229930846999</v>
      </c>
      <c r="WP23">
        <v>21.1111</v>
      </c>
      <c r="WQ23">
        <v>26.666699999999999</v>
      </c>
      <c r="WR23">
        <v>0</v>
      </c>
      <c r="WS23">
        <v>0</v>
      </c>
      <c r="WT23">
        <v>11.4172382211189</v>
      </c>
      <c r="WU23">
        <v>15170.040324560799</v>
      </c>
      <c r="WV23">
        <v>15170.040324560799</v>
      </c>
      <c r="WW23">
        <v>23787.8523321498</v>
      </c>
      <c r="WX23">
        <v>0</v>
      </c>
      <c r="WY23">
        <v>0</v>
      </c>
      <c r="WZ23">
        <v>0</v>
      </c>
      <c r="XA23">
        <v>11.603195150742801</v>
      </c>
      <c r="XB23">
        <v>9455.7085025381602</v>
      </c>
      <c r="XC23">
        <v>9455.7085025381602</v>
      </c>
      <c r="XD23">
        <v>14927.6757860162</v>
      </c>
      <c r="XE23">
        <v>0</v>
      </c>
      <c r="XF23">
        <v>0</v>
      </c>
      <c r="XG23">
        <v>14.3573428598381</v>
      </c>
      <c r="XH23">
        <v>53153.067021328199</v>
      </c>
      <c r="XI23">
        <v>53153.067021328199</v>
      </c>
      <c r="XJ23">
        <v>96707.933997109998</v>
      </c>
      <c r="XK23">
        <v>21.1111</v>
      </c>
      <c r="XL23">
        <v>26.666699999999999</v>
      </c>
      <c r="XM23">
        <v>0</v>
      </c>
      <c r="XN23">
        <v>0</v>
      </c>
      <c r="XO23">
        <v>9.7163040327723493</v>
      </c>
      <c r="XP23">
        <v>0</v>
      </c>
      <c r="XQ23">
        <v>0</v>
      </c>
      <c r="XR23">
        <v>0</v>
      </c>
      <c r="XS23">
        <v>0</v>
      </c>
      <c r="XT23">
        <v>0</v>
      </c>
      <c r="XU23">
        <v>9.6797074903200908</v>
      </c>
      <c r="XV23">
        <v>0</v>
      </c>
      <c r="XW23">
        <v>0</v>
      </c>
      <c r="XX23">
        <v>0</v>
      </c>
      <c r="XY23">
        <v>0</v>
      </c>
      <c r="XZ23">
        <v>0</v>
      </c>
      <c r="YA23">
        <v>9.5010575006397193</v>
      </c>
      <c r="YB23">
        <v>0</v>
      </c>
      <c r="YC23">
        <v>0</v>
      </c>
      <c r="YD23">
        <v>0</v>
      </c>
      <c r="YE23">
        <v>0</v>
      </c>
      <c r="YF23">
        <v>0</v>
      </c>
      <c r="YG23">
        <v>9.7114405545697196</v>
      </c>
      <c r="YH23">
        <v>0</v>
      </c>
      <c r="YI23">
        <v>0</v>
      </c>
      <c r="YJ23">
        <v>0</v>
      </c>
      <c r="YK23">
        <v>0</v>
      </c>
      <c r="YL23">
        <v>0</v>
      </c>
      <c r="YM23">
        <v>11.687437539964399</v>
      </c>
      <c r="YN23">
        <v>0</v>
      </c>
      <c r="YO23">
        <v>0</v>
      </c>
      <c r="YP23">
        <v>0</v>
      </c>
      <c r="YQ23">
        <v>0</v>
      </c>
      <c r="YR23">
        <v>0</v>
      </c>
      <c r="YS23">
        <v>16.449361369536302</v>
      </c>
      <c r="YT23">
        <v>0</v>
      </c>
      <c r="YU23">
        <v>0</v>
      </c>
      <c r="YV23">
        <v>0</v>
      </c>
      <c r="YW23">
        <v>0</v>
      </c>
      <c r="YX23">
        <v>0</v>
      </c>
      <c r="YY23">
        <v>16.416909540600599</v>
      </c>
      <c r="YZ23">
        <v>0</v>
      </c>
      <c r="ZA23">
        <v>0</v>
      </c>
      <c r="ZB23">
        <v>0</v>
      </c>
      <c r="ZC23">
        <v>0</v>
      </c>
      <c r="ZD23">
        <v>0</v>
      </c>
      <c r="ZE23">
        <v>16.250885446137602</v>
      </c>
      <c r="ZF23">
        <v>0</v>
      </c>
      <c r="ZG23">
        <v>0</v>
      </c>
      <c r="ZH23">
        <v>0</v>
      </c>
      <c r="ZI23">
        <v>0</v>
      </c>
      <c r="ZJ23">
        <v>0</v>
      </c>
      <c r="ZK23">
        <v>16.422931209085402</v>
      </c>
      <c r="ZL23">
        <v>0</v>
      </c>
      <c r="ZM23">
        <v>0</v>
      </c>
      <c r="ZN23">
        <v>0</v>
      </c>
      <c r="ZO23">
        <v>0</v>
      </c>
      <c r="ZP23">
        <v>0</v>
      </c>
      <c r="ZQ23">
        <v>16.879964403032901</v>
      </c>
      <c r="ZR23">
        <v>0</v>
      </c>
      <c r="ZS23">
        <v>0</v>
      </c>
      <c r="ZT23">
        <v>0</v>
      </c>
      <c r="ZU23">
        <v>0</v>
      </c>
      <c r="ZV23">
        <v>0</v>
      </c>
      <c r="ZW23">
        <v>17.150648162422598</v>
      </c>
      <c r="ZX23">
        <v>0</v>
      </c>
      <c r="ZY23">
        <v>0</v>
      </c>
      <c r="ZZ23">
        <v>0</v>
      </c>
      <c r="AAA23">
        <v>0</v>
      </c>
      <c r="AAB23">
        <v>0</v>
      </c>
      <c r="AAC23">
        <v>17.138620655179999</v>
      </c>
      <c r="AAD23">
        <v>0</v>
      </c>
      <c r="AAE23">
        <v>0</v>
      </c>
      <c r="AAF23">
        <v>0</v>
      </c>
      <c r="AAG23">
        <v>0</v>
      </c>
      <c r="AAH23">
        <v>0</v>
      </c>
      <c r="AAI23">
        <v>16.5428670069326</v>
      </c>
      <c r="AAJ23">
        <v>0</v>
      </c>
      <c r="AAK23">
        <v>0</v>
      </c>
      <c r="AAL23">
        <v>0</v>
      </c>
      <c r="AAM23">
        <v>0</v>
      </c>
      <c r="AAN23">
        <v>0</v>
      </c>
      <c r="AAO23">
        <v>17.189092741274301</v>
      </c>
      <c r="AAP23">
        <v>0</v>
      </c>
      <c r="AAQ23">
        <v>0</v>
      </c>
      <c r="AAR23">
        <v>0</v>
      </c>
      <c r="AAS23">
        <v>0</v>
      </c>
      <c r="AAT23">
        <v>0</v>
      </c>
      <c r="AAU23">
        <v>16.5039596630278</v>
      </c>
      <c r="AAV23">
        <v>0</v>
      </c>
      <c r="AAW23">
        <v>0</v>
      </c>
      <c r="AAX23">
        <v>0</v>
      </c>
      <c r="AAY23">
        <v>0</v>
      </c>
      <c r="AAZ23">
        <v>0</v>
      </c>
      <c r="ABA23">
        <v>16.609838320610699</v>
      </c>
      <c r="ABB23">
        <v>0</v>
      </c>
      <c r="ABC23">
        <v>0</v>
      </c>
      <c r="ABD23">
        <v>0</v>
      </c>
      <c r="ABE23">
        <v>0</v>
      </c>
      <c r="ABF23">
        <v>0</v>
      </c>
      <c r="ABG23">
        <v>16.636109205221199</v>
      </c>
      <c r="ABH23">
        <v>0</v>
      </c>
      <c r="ABI23">
        <v>0</v>
      </c>
      <c r="ABJ23">
        <v>0</v>
      </c>
      <c r="ABK23">
        <v>0</v>
      </c>
      <c r="ABL23">
        <v>0</v>
      </c>
      <c r="ABM23">
        <v>16.0380101199361</v>
      </c>
      <c r="ABN23">
        <v>0</v>
      </c>
      <c r="ABO23">
        <v>0</v>
      </c>
      <c r="ABP23">
        <v>0</v>
      </c>
      <c r="ABQ23">
        <v>0</v>
      </c>
      <c r="ABR23">
        <v>0</v>
      </c>
      <c r="ABS23">
        <v>16.666872418277901</v>
      </c>
      <c r="ABT23">
        <v>0</v>
      </c>
      <c r="ABU23">
        <v>0</v>
      </c>
      <c r="ABV23">
        <v>0</v>
      </c>
      <c r="ABW23">
        <v>0</v>
      </c>
      <c r="ABX23">
        <v>0</v>
      </c>
      <c r="ABY23">
        <v>15.744094916919501</v>
      </c>
      <c r="ABZ23">
        <v>0</v>
      </c>
      <c r="ACA23">
        <v>0</v>
      </c>
      <c r="ACB23">
        <v>0</v>
      </c>
      <c r="ACC23">
        <v>0</v>
      </c>
      <c r="ACD23">
        <v>0</v>
      </c>
      <c r="ACE23">
        <v>0</v>
      </c>
      <c r="ACF23">
        <v>12.2200000000079</v>
      </c>
      <c r="ACG23">
        <v>12.2200000000079</v>
      </c>
      <c r="ACH23">
        <v>0</v>
      </c>
      <c r="ACI23">
        <v>0</v>
      </c>
      <c r="ACJ23">
        <v>0</v>
      </c>
      <c r="ACK23">
        <v>20.760648244627699</v>
      </c>
      <c r="ACL23">
        <v>20.760648244627699</v>
      </c>
      <c r="ACM23">
        <v>0</v>
      </c>
      <c r="ACN23">
        <v>0</v>
      </c>
      <c r="ACP23">
        <v>0</v>
      </c>
      <c r="ACR23">
        <v>0</v>
      </c>
      <c r="ACT23">
        <v>16.813127812143101</v>
      </c>
      <c r="ACU23">
        <v>16.813127812143101</v>
      </c>
      <c r="ACV23">
        <v>0</v>
      </c>
      <c r="ACW23">
        <v>0</v>
      </c>
      <c r="ACX23">
        <v>1</v>
      </c>
      <c r="ACY23">
        <v>16.570438752681799</v>
      </c>
      <c r="ACZ23">
        <v>16.570438752681799</v>
      </c>
      <c r="ADA23">
        <v>0</v>
      </c>
      <c r="ADB23">
        <v>0</v>
      </c>
      <c r="ADC23">
        <v>1</v>
      </c>
      <c r="ADD23">
        <v>14.357548340278999</v>
      </c>
      <c r="ADE23">
        <v>14.357548340278999</v>
      </c>
      <c r="ADF23">
        <v>0</v>
      </c>
      <c r="ADG23">
        <v>0</v>
      </c>
      <c r="ADH23">
        <v>1</v>
      </c>
      <c r="ADI23">
        <v>14.3685231125092</v>
      </c>
      <c r="ADJ23">
        <v>14.3685231125092</v>
      </c>
      <c r="ADK23">
        <v>0</v>
      </c>
      <c r="ADL23">
        <v>0</v>
      </c>
      <c r="ADM23">
        <v>1</v>
      </c>
      <c r="ADN23">
        <v>14.285455695746</v>
      </c>
      <c r="ADO23">
        <v>14.285455695746</v>
      </c>
      <c r="ADP23">
        <v>0</v>
      </c>
      <c r="ADQ23">
        <v>0</v>
      </c>
      <c r="ADR23">
        <v>1</v>
      </c>
      <c r="ADS23">
        <v>14.018610193979701</v>
      </c>
      <c r="ADT23">
        <v>14.018610193979701</v>
      </c>
      <c r="ADU23">
        <v>0</v>
      </c>
      <c r="ADV23">
        <v>0</v>
      </c>
      <c r="ADW23">
        <v>1</v>
      </c>
      <c r="ADX23">
        <v>14.2733830593615</v>
      </c>
      <c r="ADY23">
        <v>14.2733830593615</v>
      </c>
      <c r="ADZ23">
        <v>0</v>
      </c>
      <c r="AEA23">
        <v>0</v>
      </c>
      <c r="AEB23">
        <v>1</v>
      </c>
      <c r="AEC23">
        <v>14.3853730582385</v>
      </c>
      <c r="AED23">
        <v>14.3853730582385</v>
      </c>
      <c r="AEE23">
        <v>0</v>
      </c>
      <c r="AEF23">
        <v>0</v>
      </c>
      <c r="AEG23">
        <v>1</v>
      </c>
      <c r="AEH23">
        <v>14.342311089754</v>
      </c>
      <c r="AEI23">
        <v>14.342311089754</v>
      </c>
      <c r="AEJ23">
        <v>0</v>
      </c>
      <c r="AEK23">
        <v>0</v>
      </c>
      <c r="AEL23">
        <v>1</v>
      </c>
      <c r="AEM23">
        <v>13.946186316160301</v>
      </c>
      <c r="AEN23">
        <v>13.946186316160301</v>
      </c>
      <c r="AEO23">
        <v>0</v>
      </c>
      <c r="AEP23">
        <v>0</v>
      </c>
      <c r="AEQ23">
        <v>1</v>
      </c>
      <c r="AER23">
        <v>14.334654845853199</v>
      </c>
      <c r="AES23">
        <v>14.334654845853199</v>
      </c>
      <c r="AET23">
        <v>0</v>
      </c>
      <c r="AEU23">
        <v>0</v>
      </c>
      <c r="AEV23">
        <v>1</v>
      </c>
      <c r="AEW23">
        <v>12.3928625251305</v>
      </c>
      <c r="AEX23">
        <v>12.3928625251305</v>
      </c>
      <c r="AEY23">
        <v>0</v>
      </c>
      <c r="AEZ23">
        <v>0</v>
      </c>
      <c r="AFA23">
        <v>1</v>
      </c>
      <c r="AFB23">
        <v>12.3583523408813</v>
      </c>
      <c r="AFC23">
        <v>12.3583523408813</v>
      </c>
      <c r="AFD23">
        <v>0</v>
      </c>
      <c r="AFE23">
        <v>0</v>
      </c>
      <c r="AFF23">
        <v>1</v>
      </c>
      <c r="AFG23">
        <v>12.092961711411</v>
      </c>
      <c r="AFH23">
        <v>12.092961711411</v>
      </c>
      <c r="AFI23">
        <v>0</v>
      </c>
      <c r="AFJ23">
        <v>0</v>
      </c>
      <c r="AFK23">
        <v>1</v>
      </c>
      <c r="AFL23">
        <v>12.340459296253</v>
      </c>
      <c r="AFM23">
        <v>12.340459296253</v>
      </c>
      <c r="AFN23">
        <v>0</v>
      </c>
      <c r="AFO23">
        <v>0</v>
      </c>
      <c r="AFP23">
        <v>1</v>
      </c>
      <c r="AFQ23">
        <v>-2.0847764394035102</v>
      </c>
      <c r="AFR23">
        <v>-2.0376686509062401</v>
      </c>
      <c r="AFS23">
        <v>-2.04966047444749</v>
      </c>
      <c r="AFT23">
        <v>-2.0488469113366801</v>
      </c>
      <c r="AFU23">
        <v>-2.0902577535702198</v>
      </c>
      <c r="AFV23">
        <v>-2.0318678646943198</v>
      </c>
      <c r="AFW23">
        <v>-2.0373943362389699</v>
      </c>
      <c r="AFX23">
        <v>-2.0378795862853298</v>
      </c>
      <c r="AFY23">
        <v>-2.3202836405620202</v>
      </c>
      <c r="AFZ23">
        <v>-2.28623038168204</v>
      </c>
      <c r="AGA23">
        <v>-2.29148232965467</v>
      </c>
      <c r="AGB23">
        <v>-2.2901783982949402</v>
      </c>
      <c r="AGC23">
        <v>-1.74805386370808</v>
      </c>
      <c r="AGD23">
        <v>-1.78526425173578</v>
      </c>
      <c r="AGE23">
        <v>-2.0879528686257198</v>
      </c>
      <c r="AGF23">
        <v>0</v>
      </c>
      <c r="AGG23">
        <v>0</v>
      </c>
      <c r="AGH23">
        <v>0</v>
      </c>
      <c r="AGI23">
        <v>0</v>
      </c>
      <c r="AGJ23">
        <v>0</v>
      </c>
      <c r="AGK23">
        <v>0</v>
      </c>
      <c r="AGL23">
        <v>0</v>
      </c>
      <c r="AGM23">
        <v>0</v>
      </c>
      <c r="AGN23">
        <v>0</v>
      </c>
      <c r="AGO23">
        <v>0</v>
      </c>
      <c r="AGP23">
        <v>0</v>
      </c>
      <c r="AGQ23">
        <v>0</v>
      </c>
      <c r="AGR23">
        <v>0</v>
      </c>
      <c r="AGS23">
        <v>0</v>
      </c>
      <c r="AGT23">
        <v>0</v>
      </c>
      <c r="AGU23">
        <v>0</v>
      </c>
      <c r="AGV23">
        <v>0</v>
      </c>
      <c r="AGW23">
        <v>0</v>
      </c>
      <c r="AGX23">
        <v>0</v>
      </c>
      <c r="AGY23">
        <v>0</v>
      </c>
      <c r="AGZ23">
        <v>0</v>
      </c>
      <c r="AHA23">
        <v>0</v>
      </c>
      <c r="AHB23">
        <v>0</v>
      </c>
      <c r="AHC23">
        <v>0</v>
      </c>
      <c r="AHD23">
        <v>0</v>
      </c>
      <c r="AHE23">
        <v>0</v>
      </c>
      <c r="AHF23">
        <v>0</v>
      </c>
      <c r="AHG23">
        <v>0</v>
      </c>
      <c r="AHH23">
        <v>0</v>
      </c>
      <c r="AHI23">
        <v>0</v>
      </c>
      <c r="AHJ23">
        <v>0</v>
      </c>
      <c r="AHK23">
        <v>0</v>
      </c>
      <c r="AHL23">
        <v>0</v>
      </c>
      <c r="AHM23">
        <v>0</v>
      </c>
      <c r="AHN23">
        <v>0</v>
      </c>
      <c r="AHO23">
        <v>0</v>
      </c>
      <c r="AHP23">
        <v>0</v>
      </c>
      <c r="AHQ23">
        <v>0</v>
      </c>
      <c r="AHR23">
        <v>0</v>
      </c>
      <c r="AHS23">
        <v>0</v>
      </c>
      <c r="AHT23">
        <v>0</v>
      </c>
      <c r="AHU23">
        <v>0</v>
      </c>
      <c r="AHV23">
        <v>0</v>
      </c>
      <c r="AHW23">
        <v>0</v>
      </c>
      <c r="AHX23">
        <v>0</v>
      </c>
      <c r="AHZ23">
        <v>0</v>
      </c>
      <c r="AIB23">
        <v>0</v>
      </c>
      <c r="AID23">
        <v>0</v>
      </c>
      <c r="AIF23">
        <v>0</v>
      </c>
      <c r="AIH23">
        <v>0</v>
      </c>
      <c r="AIJ23">
        <v>0</v>
      </c>
      <c r="AIL23">
        <v>0</v>
      </c>
      <c r="AIN23">
        <v>0</v>
      </c>
      <c r="AIP23">
        <v>0</v>
      </c>
      <c r="AIR23">
        <v>0</v>
      </c>
      <c r="AIT23">
        <v>0</v>
      </c>
      <c r="AIV23">
        <v>0</v>
      </c>
      <c r="AIX23">
        <v>0</v>
      </c>
      <c r="AIZ23">
        <v>0</v>
      </c>
      <c r="AJB23">
        <v>0</v>
      </c>
      <c r="AJC23">
        <v>0</v>
      </c>
      <c r="AJE23">
        <v>0</v>
      </c>
      <c r="AJH23">
        <v>0</v>
      </c>
      <c r="AJJ23">
        <v>0</v>
      </c>
      <c r="AJK23">
        <v>0</v>
      </c>
      <c r="AJL23">
        <v>0</v>
      </c>
      <c r="AJM23">
        <v>0</v>
      </c>
      <c r="AJN23">
        <v>0</v>
      </c>
      <c r="AJO23">
        <v>0</v>
      </c>
      <c r="AJP23">
        <v>0</v>
      </c>
      <c r="AJQ23">
        <v>0</v>
      </c>
      <c r="AJR23">
        <v>0</v>
      </c>
      <c r="AJS23">
        <v>0</v>
      </c>
      <c r="AJT23">
        <v>0</v>
      </c>
      <c r="AJU23">
        <v>0</v>
      </c>
      <c r="AJV23">
        <v>0</v>
      </c>
      <c r="AJW23">
        <v>0</v>
      </c>
      <c r="AJX23">
        <v>0</v>
      </c>
      <c r="AJY23">
        <v>0</v>
      </c>
      <c r="AJZ23">
        <v>0</v>
      </c>
      <c r="AKA23">
        <v>0</v>
      </c>
      <c r="AKB23">
        <v>0</v>
      </c>
      <c r="AKC23">
        <v>0</v>
      </c>
      <c r="AKD23">
        <v>0</v>
      </c>
      <c r="AKE23">
        <v>74.738617733567096</v>
      </c>
      <c r="AKF23">
        <v>74.738617733567096</v>
      </c>
      <c r="AKG23">
        <v>0</v>
      </c>
      <c r="AKH23">
        <v>0</v>
      </c>
      <c r="AKI23">
        <v>0</v>
      </c>
      <c r="AKJ23">
        <v>0</v>
      </c>
      <c r="AKK23">
        <v>0</v>
      </c>
      <c r="AKL23">
        <v>74.738617733567096</v>
      </c>
      <c r="AKM23">
        <v>74.738617733567096</v>
      </c>
      <c r="AKN23">
        <v>0</v>
      </c>
      <c r="AKO23">
        <v>0</v>
      </c>
      <c r="AKP23">
        <v>0</v>
      </c>
      <c r="AKT23">
        <v>0</v>
      </c>
      <c r="AKX23">
        <v>0</v>
      </c>
      <c r="ALB23">
        <v>20.760648244627699</v>
      </c>
      <c r="ALC23">
        <v>20.760648244627699</v>
      </c>
      <c r="ALD23">
        <v>0</v>
      </c>
      <c r="ALE23">
        <v>0</v>
      </c>
      <c r="ALF23">
        <v>0</v>
      </c>
      <c r="ALH23">
        <v>16.788821643764798</v>
      </c>
      <c r="ALI23">
        <v>2.8568269606532499E-3</v>
      </c>
      <c r="ALJ23">
        <v>0</v>
      </c>
      <c r="ALK23">
        <v>16.788821643764798</v>
      </c>
      <c r="ALL23">
        <v>0</v>
      </c>
      <c r="ALM23">
        <v>0</v>
      </c>
      <c r="ALN23">
        <v>16.788821643764798</v>
      </c>
      <c r="ALO23">
        <v>2.8568269606532499E-3</v>
      </c>
      <c r="ALP23">
        <v>24.213315002347102</v>
      </c>
      <c r="ALQ23">
        <v>0</v>
      </c>
      <c r="ALR23">
        <v>16.788821643764798</v>
      </c>
      <c r="ALS23">
        <v>0</v>
      </c>
      <c r="ALT23">
        <v>16.788821643764798</v>
      </c>
      <c r="ALU23">
        <v>0</v>
      </c>
      <c r="ALV23">
        <v>12.2200000000079</v>
      </c>
      <c r="ALW23">
        <v>9.9999999999999897E-12</v>
      </c>
      <c r="ALX23">
        <v>12.2200000000079</v>
      </c>
      <c r="ALY23">
        <v>9.9999999999999897E-12</v>
      </c>
      <c r="ALZ23">
        <v>0</v>
      </c>
      <c r="AMA23">
        <v>12.2200000000079</v>
      </c>
      <c r="AMB23">
        <v>0</v>
      </c>
      <c r="AMC23">
        <v>12.2200000000079</v>
      </c>
      <c r="AMD23">
        <v>0</v>
      </c>
      <c r="AME23">
        <v>12.2200000000079</v>
      </c>
      <c r="AMF23">
        <v>0</v>
      </c>
      <c r="AMG23">
        <v>0</v>
      </c>
      <c r="AMH23">
        <v>0</v>
      </c>
      <c r="AMI23">
        <v>16.443517221117101</v>
      </c>
      <c r="AMJ23">
        <v>0</v>
      </c>
      <c r="AMK23" s="580">
        <v>16.865560839060901</v>
      </c>
      <c r="AML23">
        <v>0</v>
      </c>
      <c r="AMM23">
        <v>16.437378902650199</v>
      </c>
      <c r="AMN23">
        <v>0</v>
      </c>
      <c r="AMO23">
        <v>16.469089202409101</v>
      </c>
      <c r="AMP23">
        <v>0</v>
      </c>
      <c r="AMQ23">
        <v>16.270667163496999</v>
      </c>
      <c r="AMR23">
        <v>0</v>
      </c>
      <c r="AMS23">
        <v>16.4885015560135</v>
      </c>
      <c r="AMT23">
        <v>0</v>
      </c>
      <c r="AMU23">
        <v>17.182409421983699</v>
      </c>
      <c r="AMV23">
        <v>0</v>
      </c>
      <c r="AMW23">
        <v>17.233323379461101</v>
      </c>
      <c r="AMX23">
        <v>0</v>
      </c>
      <c r="AMY23">
        <v>17.192780409407899</v>
      </c>
      <c r="AMZ23">
        <v>0</v>
      </c>
      <c r="ANA23">
        <v>16.585394971237498</v>
      </c>
      <c r="ANB23">
        <v>0</v>
      </c>
      <c r="ANC23">
        <v>15.758581275524801</v>
      </c>
      <c r="AND23">
        <v>0</v>
      </c>
      <c r="ANE23">
        <v>16.713967808181</v>
      </c>
      <c r="ANF23">
        <v>0</v>
      </c>
      <c r="ANG23">
        <v>16.744444229379301</v>
      </c>
      <c r="ANH23">
        <v>0</v>
      </c>
      <c r="ANI23">
        <v>16.6856560962621</v>
      </c>
      <c r="ANJ23">
        <v>0</v>
      </c>
      <c r="ANK23">
        <v>16.112430339574502</v>
      </c>
      <c r="ANL23">
        <v>0</v>
      </c>
      <c r="ANM23">
        <v>0</v>
      </c>
      <c r="ANN23">
        <v>0</v>
      </c>
      <c r="ANO23">
        <v>0</v>
      </c>
      <c r="ANP23">
        <v>16.865560839060901</v>
      </c>
      <c r="ANQ23">
        <v>16.437378902650199</v>
      </c>
      <c r="ANR23">
        <v>16.443517221117101</v>
      </c>
      <c r="ANS23">
        <v>16.270667163496999</v>
      </c>
      <c r="ANT23">
        <v>16.469089202409101</v>
      </c>
      <c r="ANU23">
        <v>16.4885015560135</v>
      </c>
      <c r="ANV23">
        <v>17.182409421983699</v>
      </c>
      <c r="ANW23">
        <v>17.233323379461101</v>
      </c>
      <c r="ANX23">
        <v>16.585394971237498</v>
      </c>
      <c r="ANY23">
        <v>17.192780409407899</v>
      </c>
      <c r="ANZ23">
        <v>15.758581275524801</v>
      </c>
      <c r="AOA23">
        <v>16.713967808181</v>
      </c>
      <c r="AOB23">
        <v>16.744444229379301</v>
      </c>
      <c r="AOC23">
        <v>16.112430339574502</v>
      </c>
      <c r="AOD23">
        <v>16.6856560962621</v>
      </c>
      <c r="AOE23">
        <v>16.788821643764798</v>
      </c>
      <c r="AOF23">
        <v>0</v>
      </c>
      <c r="AOG23">
        <v>16.799475780954101</v>
      </c>
      <c r="AOH23">
        <v>0</v>
      </c>
    </row>
    <row r="24" spans="1:1074">
      <c r="A24" t="s">
        <v>2594</v>
      </c>
      <c r="B24">
        <v>-3.33</v>
      </c>
      <c r="D24">
        <v>-3.33</v>
      </c>
      <c r="F24">
        <v>10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c r="BY24">
        <v>0</v>
      </c>
      <c r="BZ24">
        <v>0</v>
      </c>
      <c r="CA24">
        <v>0</v>
      </c>
      <c r="CB24">
        <v>0</v>
      </c>
      <c r="CC24">
        <v>0</v>
      </c>
      <c r="CD24">
        <v>0</v>
      </c>
      <c r="CE24">
        <v>0</v>
      </c>
      <c r="CF24">
        <v>0</v>
      </c>
      <c r="CG24">
        <v>0</v>
      </c>
      <c r="CH24">
        <v>0</v>
      </c>
      <c r="CI24">
        <v>0</v>
      </c>
      <c r="CJ24">
        <v>0</v>
      </c>
      <c r="CK24">
        <v>0</v>
      </c>
      <c r="CL24">
        <v>0</v>
      </c>
      <c r="CM24">
        <v>0</v>
      </c>
      <c r="CN24">
        <v>0</v>
      </c>
      <c r="CO24">
        <v>0</v>
      </c>
      <c r="CP24">
        <v>0</v>
      </c>
      <c r="CQ24">
        <v>0</v>
      </c>
      <c r="CR24">
        <v>0</v>
      </c>
      <c r="CS24">
        <v>0</v>
      </c>
      <c r="CT24">
        <v>0</v>
      </c>
      <c r="CU24">
        <v>0</v>
      </c>
      <c r="CV24">
        <v>0</v>
      </c>
      <c r="CW24">
        <v>0</v>
      </c>
      <c r="CX24">
        <v>0</v>
      </c>
      <c r="CY24">
        <v>0</v>
      </c>
      <c r="CZ24">
        <v>0</v>
      </c>
      <c r="DA24">
        <v>0</v>
      </c>
      <c r="DB24">
        <v>0</v>
      </c>
      <c r="DC24">
        <v>0</v>
      </c>
      <c r="DD24">
        <v>0</v>
      </c>
      <c r="DE24">
        <v>0</v>
      </c>
      <c r="DF24">
        <v>0</v>
      </c>
      <c r="DG24">
        <v>0</v>
      </c>
      <c r="DH24">
        <v>0</v>
      </c>
      <c r="DI24">
        <v>0</v>
      </c>
      <c r="DJ24">
        <v>0</v>
      </c>
      <c r="DK24">
        <v>0</v>
      </c>
      <c r="DL24">
        <v>0</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c r="EG24">
        <v>0</v>
      </c>
      <c r="EH24">
        <v>0</v>
      </c>
      <c r="EI24">
        <v>0</v>
      </c>
      <c r="EJ24">
        <v>0</v>
      </c>
      <c r="EK24">
        <v>0</v>
      </c>
      <c r="EL24">
        <v>0</v>
      </c>
      <c r="EM24">
        <v>0</v>
      </c>
      <c r="EN24">
        <v>0</v>
      </c>
      <c r="EO24">
        <v>0</v>
      </c>
      <c r="EP24">
        <v>0</v>
      </c>
      <c r="EQ24">
        <v>0</v>
      </c>
      <c r="ER24">
        <v>0</v>
      </c>
      <c r="ES24">
        <v>0</v>
      </c>
      <c r="ET24">
        <v>0</v>
      </c>
      <c r="EU24">
        <v>0</v>
      </c>
      <c r="EV24">
        <v>0</v>
      </c>
      <c r="EW24">
        <v>0</v>
      </c>
      <c r="EX24">
        <v>0</v>
      </c>
      <c r="EY24">
        <v>0</v>
      </c>
      <c r="EZ24">
        <v>0</v>
      </c>
      <c r="FA24">
        <v>0</v>
      </c>
      <c r="FB24">
        <v>0</v>
      </c>
      <c r="FC24">
        <v>0</v>
      </c>
      <c r="FD24">
        <v>0</v>
      </c>
      <c r="FE24">
        <v>0</v>
      </c>
      <c r="FF24">
        <v>0</v>
      </c>
      <c r="FG24">
        <v>0</v>
      </c>
      <c r="FH24">
        <v>0</v>
      </c>
      <c r="FI24">
        <v>0</v>
      </c>
      <c r="FJ24">
        <v>0</v>
      </c>
      <c r="FK24">
        <v>0</v>
      </c>
      <c r="FL24">
        <v>0</v>
      </c>
      <c r="FM24">
        <v>0</v>
      </c>
      <c r="FN24">
        <v>0</v>
      </c>
      <c r="FO24">
        <v>0</v>
      </c>
      <c r="FP24">
        <v>0</v>
      </c>
      <c r="FQ24">
        <v>0</v>
      </c>
      <c r="FR24">
        <v>0</v>
      </c>
      <c r="FS24">
        <v>0</v>
      </c>
      <c r="FT24">
        <v>0</v>
      </c>
      <c r="FU24">
        <v>0</v>
      </c>
      <c r="FV24">
        <v>0</v>
      </c>
      <c r="FW24">
        <v>0</v>
      </c>
      <c r="FX24">
        <v>0</v>
      </c>
      <c r="FY24">
        <v>0</v>
      </c>
      <c r="FZ24">
        <v>0</v>
      </c>
      <c r="GA24">
        <v>0</v>
      </c>
      <c r="GB24">
        <v>-32.773692581355803</v>
      </c>
      <c r="GC24">
        <v>470.84814446791199</v>
      </c>
      <c r="GD24">
        <v>282.72133371231001</v>
      </c>
      <c r="GE24">
        <v>-20.978013404934799</v>
      </c>
      <c r="GF24">
        <v>306.66417004070502</v>
      </c>
      <c r="GG24">
        <v>182.834509145071</v>
      </c>
      <c r="GH24">
        <v>-30.6152078275097</v>
      </c>
      <c r="GI24">
        <v>487.94304420978602</v>
      </c>
      <c r="GJ24">
        <v>266.58731029175999</v>
      </c>
      <c r="GK24">
        <v>-20.3770699664184</v>
      </c>
      <c r="GL24">
        <v>311.42541873189498</v>
      </c>
      <c r="GM24">
        <v>187.23529625425999</v>
      </c>
      <c r="GN24">
        <v>-74.985730115860605</v>
      </c>
      <c r="GO24">
        <v>16.301174144017999</v>
      </c>
      <c r="GP24">
        <v>15.5685704609851</v>
      </c>
      <c r="GQ24">
        <v>-11.581933890756201</v>
      </c>
      <c r="GR24">
        <v>122.685559953149</v>
      </c>
      <c r="GS24">
        <v>1140.02482672666</v>
      </c>
      <c r="GT24">
        <v>-50.141406906181501</v>
      </c>
      <c r="GU24">
        <v>16.242643485616998</v>
      </c>
      <c r="GV24">
        <v>15.4999183885281</v>
      </c>
      <c r="GW24">
        <v>-7.3687114609037003</v>
      </c>
      <c r="GX24">
        <v>81.620426860705393</v>
      </c>
      <c r="GY24">
        <v>748.61576806322796</v>
      </c>
      <c r="GZ24">
        <v>-74.7358551685289</v>
      </c>
      <c r="HA24">
        <v>15.7932180896135</v>
      </c>
      <c r="HB24">
        <v>15.1768331709939</v>
      </c>
      <c r="HC24">
        <v>-4.8717593103534904</v>
      </c>
      <c r="HD24">
        <v>108.701428267427</v>
      </c>
      <c r="HE24">
        <v>979.418408213259</v>
      </c>
      <c r="HF24">
        <v>-49.4835606348596</v>
      </c>
      <c r="HG24">
        <v>16.2731687875965</v>
      </c>
      <c r="HH24">
        <v>15.5110741993098</v>
      </c>
      <c r="HI24">
        <v>-8.3664558928333008</v>
      </c>
      <c r="HJ24">
        <v>82.282911034163206</v>
      </c>
      <c r="HK24">
        <v>759.95646029349598</v>
      </c>
      <c r="HL24">
        <v>-28.731375138928801</v>
      </c>
      <c r="HM24">
        <v>15.4931666133691</v>
      </c>
      <c r="HN24">
        <v>16.038001156834699</v>
      </c>
      <c r="HO24">
        <v>246.741387751681</v>
      </c>
      <c r="HP24">
        <v>576.94195503009701</v>
      </c>
      <c r="HQ24">
        <v>15.6146949133162</v>
      </c>
      <c r="HR24">
        <v>295.842540478329</v>
      </c>
      <c r="HS24">
        <v>-17.894213546999399</v>
      </c>
      <c r="HT24">
        <v>15.475200801385601</v>
      </c>
      <c r="HU24">
        <v>16.0421826412401</v>
      </c>
      <c r="HV24">
        <v>152.01011232039201</v>
      </c>
      <c r="HW24">
        <v>373.23171722470499</v>
      </c>
      <c r="HX24">
        <v>15.588771932221899</v>
      </c>
      <c r="HY24">
        <v>192.10426920093701</v>
      </c>
      <c r="HZ24">
        <v>15.1558912666073</v>
      </c>
      <c r="IA24">
        <v>15.8951268737136</v>
      </c>
      <c r="IB24">
        <v>266.38238996646999</v>
      </c>
      <c r="IC24">
        <v>-26.620405475798002</v>
      </c>
      <c r="ID24">
        <v>556.69563423003797</v>
      </c>
      <c r="IE24">
        <v>15.1482768838247</v>
      </c>
      <c r="IF24">
        <v>283.34929759664499</v>
      </c>
      <c r="IG24">
        <v>23.1150137651506</v>
      </c>
      <c r="IH24">
        <v>15.487630339074601</v>
      </c>
      <c r="II24">
        <v>16.048063135541799</v>
      </c>
      <c r="IJ24">
        <v>153.68952010134299</v>
      </c>
      <c r="IK24">
        <v>19.006124904095</v>
      </c>
      <c r="IL24">
        <v>-17.070447432180099</v>
      </c>
      <c r="IM24">
        <v>381.05031070341602</v>
      </c>
      <c r="IN24">
        <v>15.614835606259501</v>
      </c>
      <c r="IO24">
        <v>0.99687661583577503</v>
      </c>
      <c r="IP24">
        <v>196.376965886633</v>
      </c>
      <c r="IQ24">
        <v>-65.266542639270895</v>
      </c>
      <c r="IR24">
        <v>-38.515737288299398</v>
      </c>
      <c r="IS24">
        <v>-90.281336378538299</v>
      </c>
      <c r="IT24">
        <v>-37.961759941384599</v>
      </c>
      <c r="IU24">
        <v>-6.9524181517492796</v>
      </c>
      <c r="IV24">
        <v>-72.402285958346894</v>
      </c>
      <c r="IW24">
        <v>16.319474151449601</v>
      </c>
      <c r="IX24">
        <v>15.6146949133162</v>
      </c>
      <c r="IY24">
        <v>-6.7331012788442797</v>
      </c>
      <c r="IZ24">
        <v>127.54073350825701</v>
      </c>
      <c r="JA24">
        <v>1134.28078114255</v>
      </c>
      <c r="JB24">
        <v>-48.468447340541601</v>
      </c>
      <c r="JC24">
        <v>16.309838562055599</v>
      </c>
      <c r="JD24">
        <v>15.588771932221899</v>
      </c>
      <c r="JE24">
        <v>-4.4107008883418599</v>
      </c>
      <c r="JF24">
        <v>85.539422099190205</v>
      </c>
      <c r="JG24">
        <v>752.442631002947</v>
      </c>
      <c r="JH24">
        <v>-72.046444091574699</v>
      </c>
      <c r="JI24">
        <v>15.7675790512729</v>
      </c>
      <c r="JJ24">
        <v>15.1482768838247</v>
      </c>
      <c r="JK24">
        <v>-2.5021425994944999</v>
      </c>
      <c r="JL24">
        <v>115.05361310221301</v>
      </c>
      <c r="JM24">
        <v>998.942346531829</v>
      </c>
      <c r="JN24">
        <v>-47.7551185568595</v>
      </c>
      <c r="JO24">
        <v>16.3471990985168</v>
      </c>
      <c r="JP24">
        <v>15.614835606259501</v>
      </c>
      <c r="JQ24">
        <v>0.30369648261475402</v>
      </c>
      <c r="JR24">
        <v>-5.05790937593052</v>
      </c>
      <c r="JS24">
        <v>0.73310751899162496</v>
      </c>
      <c r="JT24">
        <v>85.832678763486101</v>
      </c>
      <c r="JU24">
        <v>759.46351570291699</v>
      </c>
      <c r="JV24">
        <v>-32.445415821416297</v>
      </c>
      <c r="JW24">
        <v>684.77700218837902</v>
      </c>
      <c r="JX24">
        <v>-40.566698906788297</v>
      </c>
      <c r="JY24">
        <v>-19.6982372396829</v>
      </c>
      <c r="JZ24">
        <v>439.110606505286</v>
      </c>
      <c r="KA24">
        <v>-25.327027432994701</v>
      </c>
      <c r="KB24">
        <v>-28.257695955587199</v>
      </c>
      <c r="KC24">
        <v>654.13119634296902</v>
      </c>
      <c r="KD24">
        <v>-35.279598647064702</v>
      </c>
      <c r="KE24">
        <v>-18.940188173989501</v>
      </c>
      <c r="KF24">
        <v>9.9664689137314504</v>
      </c>
      <c r="KG24">
        <v>-150.64278933944399</v>
      </c>
      <c r="KH24">
        <v>2.0176403833595402</v>
      </c>
      <c r="KI24">
        <v>446.79534650459999</v>
      </c>
      <c r="KJ24">
        <v>-23.633739068684399</v>
      </c>
      <c r="KK24">
        <v>-28.291807017778702</v>
      </c>
      <c r="KL24">
        <v>10.3393539942637</v>
      </c>
      <c r="KM24">
        <v>11.810510398935</v>
      </c>
      <c r="KN24">
        <v>336.87678010513798</v>
      </c>
      <c r="KO24">
        <v>9.0145975551630393</v>
      </c>
      <c r="KP24">
        <v>-10.6973229873651</v>
      </c>
      <c r="KQ24">
        <v>-69.931991368788701</v>
      </c>
      <c r="KR24">
        <v>-1148.78766362131</v>
      </c>
      <c r="KS24">
        <v>-19.401953565152599</v>
      </c>
      <c r="KT24">
        <v>10.298875146648101</v>
      </c>
      <c r="KU24">
        <v>11.7778694557104</v>
      </c>
      <c r="KV24">
        <v>215.18041013588399</v>
      </c>
      <c r="KW24">
        <v>8.9684415523564507</v>
      </c>
      <c r="KX24">
        <v>-10.6142537013975</v>
      </c>
      <c r="KY24">
        <v>-44.610985822668702</v>
      </c>
      <c r="KZ24">
        <v>-723.26633136714304</v>
      </c>
      <c r="LA24">
        <v>-29.3747827562288</v>
      </c>
      <c r="LB24">
        <v>10.1143810724506</v>
      </c>
      <c r="LC24">
        <v>11.5550670511786</v>
      </c>
      <c r="LD24">
        <v>329.17368737794999</v>
      </c>
      <c r="LE24">
        <v>8.8069839142989892</v>
      </c>
      <c r="LF24">
        <v>-10.7048748889676</v>
      </c>
      <c r="LG24">
        <v>-69.981686525096507</v>
      </c>
      <c r="LH24">
        <v>-1137.9612228465601</v>
      </c>
      <c r="LI24">
        <v>-18.543907535142999</v>
      </c>
      <c r="LJ24">
        <v>10.327095838881499</v>
      </c>
      <c r="LK24">
        <v>11.789251750002499</v>
      </c>
      <c r="LL24">
        <v>213.694516392097</v>
      </c>
      <c r="LM24">
        <v>9.0141043721745806</v>
      </c>
      <c r="LN24">
        <v>-10.2776370802065</v>
      </c>
      <c r="LO24">
        <v>-42.272061526699403</v>
      </c>
      <c r="LP24">
        <v>-712.00372225961598</v>
      </c>
      <c r="LQ24">
        <v>-46.934168899242003</v>
      </c>
      <c r="LR24">
        <v>16.710588186980601</v>
      </c>
      <c r="LS24">
        <v>16.481000000000002</v>
      </c>
      <c r="LT24">
        <v>118.857834198593</v>
      </c>
      <c r="LU24">
        <v>676.71811351484905</v>
      </c>
      <c r="LV24">
        <v>16.203439124524401</v>
      </c>
      <c r="LW24">
        <v>15.3902011406261</v>
      </c>
      <c r="LX24">
        <v>-71.299518624998797</v>
      </c>
      <c r="LY24">
        <v>-31.638535398481199</v>
      </c>
      <c r="LZ24">
        <v>16.689914894373899</v>
      </c>
      <c r="MA24">
        <v>16.481000000000002</v>
      </c>
      <c r="MB24">
        <v>78.768469293311298</v>
      </c>
      <c r="MC24">
        <v>447.04665847022198</v>
      </c>
      <c r="MD24">
        <v>16.163559079018899</v>
      </c>
      <c r="ME24">
        <v>15.3259243589586</v>
      </c>
      <c r="MF24">
        <v>-46.566258156272603</v>
      </c>
      <c r="MG24">
        <v>-47.225873462549899</v>
      </c>
      <c r="MH24">
        <v>16.538512284886998</v>
      </c>
      <c r="MI24">
        <v>16.481000000000002</v>
      </c>
      <c r="MJ24">
        <v>128.394629296707</v>
      </c>
      <c r="MK24">
        <v>732.32008199675704</v>
      </c>
      <c r="ML24">
        <v>15.978302290744001</v>
      </c>
      <c r="MM24">
        <v>15.094997466299001</v>
      </c>
      <c r="MN24">
        <v>-81.658109429902197</v>
      </c>
      <c r="MO24">
        <v>-31.147735458254999</v>
      </c>
      <c r="MP24">
        <v>16.695056032820801</v>
      </c>
      <c r="MQ24">
        <v>16.481000000000002</v>
      </c>
      <c r="MR24">
        <v>78.632964148055706</v>
      </c>
      <c r="MS24">
        <v>446.956585808076</v>
      </c>
      <c r="MT24">
        <v>16.167700857691099</v>
      </c>
      <c r="MU24">
        <v>15.325711192710401</v>
      </c>
      <c r="MV24">
        <v>-46.939728725947397</v>
      </c>
      <c r="MW24">
        <v>-46.161430837787798</v>
      </c>
      <c r="MX24">
        <v>17.4176697930403</v>
      </c>
      <c r="MY24">
        <v>17.228214597243898</v>
      </c>
      <c r="MZ24">
        <v>148.79170541681199</v>
      </c>
      <c r="NA24">
        <v>880.58551048546099</v>
      </c>
      <c r="NB24">
        <v>16.747155375252198</v>
      </c>
      <c r="NC24">
        <v>15.594889158415301</v>
      </c>
      <c r="ND24">
        <v>-102.62007103233699</v>
      </c>
      <c r="NE24">
        <v>-31.1475633642813</v>
      </c>
      <c r="NF24">
        <v>17.409648469340699</v>
      </c>
      <c r="NG24">
        <v>17.198031810063799</v>
      </c>
      <c r="NH24">
        <v>96.6325265754718</v>
      </c>
      <c r="NI24">
        <v>569.59753159357103</v>
      </c>
      <c r="NJ24">
        <v>16.730288352585401</v>
      </c>
      <c r="NK24">
        <v>15.564390303007</v>
      </c>
      <c r="NL24">
        <v>-65.135259757844494</v>
      </c>
      <c r="NM24">
        <v>-45.596333639732897</v>
      </c>
      <c r="NN24">
        <v>16.766488755563401</v>
      </c>
      <c r="NO24">
        <v>16.588360322747398</v>
      </c>
      <c r="NP24" s="35">
        <v>131.70035238480901</v>
      </c>
      <c r="NQ24">
        <v>768.20635453908505</v>
      </c>
      <c r="NR24">
        <v>16.1782265167856</v>
      </c>
      <c r="NS24" s="35">
        <v>15.1368193139027</v>
      </c>
      <c r="NT24" s="35">
        <v>-88.870675687897105</v>
      </c>
      <c r="NU24" s="35">
        <v>-30.657029686894099</v>
      </c>
      <c r="NV24">
        <v>17.4626244845605</v>
      </c>
      <c r="NW24">
        <v>17.246837596343099</v>
      </c>
      <c r="NX24">
        <v>1.7</v>
      </c>
      <c r="NY24" s="35">
        <v>97.683293725954599</v>
      </c>
      <c r="NZ24">
        <v>577.59519598706595</v>
      </c>
      <c r="OA24" s="35">
        <v>16.772159110446701</v>
      </c>
      <c r="OB24">
        <v>15.5885783114615</v>
      </c>
      <c r="OC24">
        <v>1.7</v>
      </c>
      <c r="OD24">
        <v>-66.728852874074803</v>
      </c>
      <c r="OE24">
        <v>1.7</v>
      </c>
      <c r="OF24">
        <v>1.7</v>
      </c>
      <c r="OG24">
        <v>-42.742428462354198</v>
      </c>
      <c r="OH24">
        <v>16.989754244442501</v>
      </c>
      <c r="OI24">
        <v>17.226481565963901</v>
      </c>
      <c r="OJ24">
        <v>227.51810003853501</v>
      </c>
      <c r="OK24">
        <v>1416.5742100222701</v>
      </c>
      <c r="OL24">
        <v>15.8312216604631</v>
      </c>
      <c r="OM24">
        <v>13.6685840434226</v>
      </c>
      <c r="ON24">
        <v>-206.87783133207401</v>
      </c>
      <c r="OO24">
        <v>-28.9146561788288</v>
      </c>
      <c r="OP24">
        <v>17.0281446711722</v>
      </c>
      <c r="OQ24">
        <v>17.253215882710499</v>
      </c>
      <c r="OR24">
        <v>148.84282760196101</v>
      </c>
      <c r="OS24">
        <v>923.09739321917698</v>
      </c>
      <c r="OT24">
        <v>15.842097773046101</v>
      </c>
      <c r="OU24">
        <v>13.6388808631314</v>
      </c>
      <c r="OV24">
        <v>-133.576137635078</v>
      </c>
      <c r="OW24">
        <v>-42.392077363201302</v>
      </c>
      <c r="OX24">
        <v>16.365511675884001</v>
      </c>
      <c r="OY24">
        <v>16.570802626707302</v>
      </c>
      <c r="OZ24">
        <v>205.37147739927499</v>
      </c>
      <c r="PA24">
        <v>1270.15488083386</v>
      </c>
      <c r="PB24">
        <v>15.3191790711848</v>
      </c>
      <c r="PC24">
        <v>13.323656904322601</v>
      </c>
      <c r="PD24">
        <v>-186.95467089127399</v>
      </c>
      <c r="PE24">
        <v>-28.422831675095601</v>
      </c>
      <c r="PF24">
        <v>17.066293278557001</v>
      </c>
      <c r="PG24">
        <v>17.301878684376099</v>
      </c>
      <c r="PH24">
        <v>1.7</v>
      </c>
      <c r="PI24">
        <v>150.47887214828501</v>
      </c>
      <c r="PJ24">
        <v>933.65471781092401</v>
      </c>
      <c r="PK24">
        <v>15.865481296892</v>
      </c>
      <c r="PL24">
        <v>13.6419763863965</v>
      </c>
      <c r="PM24">
        <v>1.7</v>
      </c>
      <c r="PN24">
        <v>-135.455923382908</v>
      </c>
      <c r="PO24">
        <v>15.2451062599587</v>
      </c>
      <c r="PP24">
        <v>15.148269693157999</v>
      </c>
      <c r="PQ24">
        <v>14.876496628801901</v>
      </c>
      <c r="PR24">
        <v>15.1504301543346</v>
      </c>
      <c r="PS24">
        <v>16.832208900944501</v>
      </c>
      <c r="PT24">
        <v>15.318537152930899</v>
      </c>
      <c r="PU24">
        <v>15.2576418527154</v>
      </c>
      <c r="PV24">
        <v>14.8553155037777</v>
      </c>
      <c r="PW24">
        <v>15.2810779008912</v>
      </c>
      <c r="PX24">
        <v>16.564790612238198</v>
      </c>
      <c r="PY24">
        <v>12.824997106615999</v>
      </c>
      <c r="PZ24">
        <v>12.779037492216199</v>
      </c>
      <c r="QA24">
        <v>12.5103715783334</v>
      </c>
      <c r="QB24">
        <v>12.780126242543201</v>
      </c>
      <c r="QC24">
        <v>14.1886570392221</v>
      </c>
      <c r="QD24">
        <v>15.6755328100467</v>
      </c>
      <c r="QE24">
        <v>14.3679603824955</v>
      </c>
      <c r="QF24">
        <v>14.2725278522019</v>
      </c>
      <c r="QG24">
        <v>14.0372654577451</v>
      </c>
      <c r="QH24">
        <v>14.259851520017</v>
      </c>
      <c r="QI24">
        <v>16.819127733280599</v>
      </c>
      <c r="QJ24">
        <v>14.3801544849356</v>
      </c>
      <c r="QK24">
        <v>14.3212607927445</v>
      </c>
      <c r="QL24">
        <v>13.962646492790601</v>
      </c>
      <c r="QM24">
        <v>14.3144949151528</v>
      </c>
      <c r="QN24">
        <v>1019.11813203005</v>
      </c>
      <c r="QO24">
        <v>16.561721950754801</v>
      </c>
      <c r="QP24">
        <v>-17.694567594195998</v>
      </c>
      <c r="QQ24">
        <v>12.083519700774801</v>
      </c>
      <c r="QR24">
        <v>12.0367117221668</v>
      </c>
      <c r="QS24">
        <v>11.7987460512838</v>
      </c>
      <c r="QT24">
        <v>12.020964011312699</v>
      </c>
      <c r="QU24">
        <v>14.183804212528701</v>
      </c>
      <c r="QV24">
        <v>15.6762030309217</v>
      </c>
      <c r="QW24">
        <v>819686.31259905698</v>
      </c>
      <c r="QX24">
        <v>0</v>
      </c>
      <c r="QY24">
        <v>556932.73215439694</v>
      </c>
      <c r="QZ24">
        <v>0</v>
      </c>
      <c r="RA24">
        <v>135667.03620740201</v>
      </c>
      <c r="RB24">
        <v>0</v>
      </c>
      <c r="RC24">
        <v>93128.972592678299</v>
      </c>
      <c r="RD24">
        <v>0</v>
      </c>
      <c r="RE24">
        <v>300630.65704811102</v>
      </c>
      <c r="RF24">
        <v>0</v>
      </c>
      <c r="RG24">
        <v>206505.79171464001</v>
      </c>
      <c r="RH24" s="35">
        <v>0</v>
      </c>
      <c r="RI24">
        <v>0</v>
      </c>
      <c r="RJ24" s="35">
        <v>0</v>
      </c>
      <c r="RK24">
        <v>13.4908145050324</v>
      </c>
      <c r="RL24">
        <v>7491.0010648182897</v>
      </c>
      <c r="RM24">
        <v>7491.0010648182897</v>
      </c>
      <c r="RN24">
        <v>20291.479888020502</v>
      </c>
      <c r="RO24" s="35">
        <v>0</v>
      </c>
      <c r="RP24">
        <v>0</v>
      </c>
      <c r="RQ24">
        <v>13.3967860112457</v>
      </c>
      <c r="RR24">
        <v>4854.1021854600604</v>
      </c>
      <c r="RS24">
        <v>4854.1021854600604</v>
      </c>
      <c r="RT24">
        <v>12988.603038683599</v>
      </c>
      <c r="RU24">
        <v>0</v>
      </c>
      <c r="RV24">
        <v>0</v>
      </c>
      <c r="RW24">
        <v>13.198034286688401</v>
      </c>
      <c r="RX24">
        <v>7942.1289688062598</v>
      </c>
      <c r="RY24">
        <v>7942.1289688062598</v>
      </c>
      <c r="RZ24">
        <v>20755.7821322698</v>
      </c>
      <c r="SA24">
        <v>0</v>
      </c>
      <c r="SB24">
        <v>0</v>
      </c>
      <c r="SC24">
        <v>13.369272885699299</v>
      </c>
      <c r="SD24">
        <v>4881.8426319425498</v>
      </c>
      <c r="SE24">
        <v>4881.8426319425498</v>
      </c>
      <c r="SF24">
        <v>13017.1134382006</v>
      </c>
      <c r="SG24">
        <v>0</v>
      </c>
      <c r="SH24">
        <v>0</v>
      </c>
      <c r="SI24">
        <v>16.8060465656167</v>
      </c>
      <c r="SJ24">
        <v>33486.005375000801</v>
      </c>
      <c r="SK24">
        <v>33486.005375000801</v>
      </c>
      <c r="SL24">
        <v>76694.318784897201</v>
      </c>
      <c r="SM24">
        <v>21.1111</v>
      </c>
      <c r="SN24">
        <v>26.666699999999999</v>
      </c>
      <c r="SO24">
        <v>0</v>
      </c>
      <c r="SP24">
        <v>0</v>
      </c>
      <c r="SQ24">
        <v>16.400233364283</v>
      </c>
      <c r="SR24">
        <v>0</v>
      </c>
      <c r="SS24">
        <v>0</v>
      </c>
      <c r="ST24">
        <v>0</v>
      </c>
      <c r="SU24">
        <v>0</v>
      </c>
      <c r="SV24">
        <v>0</v>
      </c>
      <c r="SW24">
        <v>16.341058822836501</v>
      </c>
      <c r="SX24">
        <v>0</v>
      </c>
      <c r="SY24">
        <v>0</v>
      </c>
      <c r="SZ24">
        <v>0</v>
      </c>
      <c r="TA24">
        <v>0</v>
      </c>
      <c r="TB24">
        <v>0</v>
      </c>
      <c r="TC24">
        <v>15.8349156420787</v>
      </c>
      <c r="TD24">
        <v>0</v>
      </c>
      <c r="TE24">
        <v>0</v>
      </c>
      <c r="TF24">
        <v>0</v>
      </c>
      <c r="TG24">
        <v>0</v>
      </c>
      <c r="TH24">
        <v>0</v>
      </c>
      <c r="TI24">
        <v>16.384426414063</v>
      </c>
      <c r="TJ24">
        <v>0</v>
      </c>
      <c r="TK24">
        <v>0</v>
      </c>
      <c r="TL24">
        <v>0</v>
      </c>
      <c r="TM24">
        <v>0</v>
      </c>
      <c r="TN24">
        <v>0</v>
      </c>
      <c r="TO24">
        <v>16.750086631808902</v>
      </c>
      <c r="TP24">
        <v>0</v>
      </c>
      <c r="TQ24">
        <v>0</v>
      </c>
      <c r="TR24">
        <v>0</v>
      </c>
      <c r="TS24">
        <v>0</v>
      </c>
      <c r="TT24">
        <v>0</v>
      </c>
      <c r="TU24">
        <v>13.4417718169402</v>
      </c>
      <c r="TV24">
        <v>7591.5456755713303</v>
      </c>
      <c r="TW24">
        <v>7591.5456755713303</v>
      </c>
      <c r="TX24">
        <v>20420.248918086902</v>
      </c>
      <c r="TY24">
        <v>0</v>
      </c>
      <c r="TZ24">
        <v>0</v>
      </c>
      <c r="UA24">
        <v>13.384879732773699</v>
      </c>
      <c r="UB24">
        <v>4882.6074264143699</v>
      </c>
      <c r="UC24">
        <v>4882.6074264143699</v>
      </c>
      <c r="UD24">
        <v>13034.7944333421</v>
      </c>
      <c r="UE24">
        <v>0</v>
      </c>
      <c r="UF24">
        <v>0</v>
      </c>
      <c r="UG24">
        <v>13.069977481803599</v>
      </c>
      <c r="UH24">
        <v>8161.6642421183096</v>
      </c>
      <c r="UI24">
        <v>8161.6642421183096</v>
      </c>
      <c r="UJ24">
        <v>21007.1301439175</v>
      </c>
      <c r="UK24">
        <v>0</v>
      </c>
      <c r="UL24">
        <v>0</v>
      </c>
      <c r="UM24">
        <v>13.3479119294144</v>
      </c>
      <c r="UN24">
        <v>4925.84674977349</v>
      </c>
      <c r="UO24">
        <v>4925.84674977349</v>
      </c>
      <c r="UP24">
        <v>13078.6745624548</v>
      </c>
      <c r="UQ24">
        <v>0</v>
      </c>
      <c r="UR24">
        <v>0</v>
      </c>
      <c r="US24">
        <v>16.558653289271401</v>
      </c>
      <c r="UT24">
        <v>35443.305602079097</v>
      </c>
      <c r="UU24">
        <v>35443.305602079097</v>
      </c>
      <c r="UV24">
        <v>78688.2115940043</v>
      </c>
      <c r="UW24">
        <v>21.1111</v>
      </c>
      <c r="UX24">
        <v>26.666699999999999</v>
      </c>
      <c r="UY24">
        <v>0</v>
      </c>
      <c r="UZ24">
        <v>0</v>
      </c>
      <c r="VA24">
        <v>16.370806158407898</v>
      </c>
      <c r="VB24">
        <v>0</v>
      </c>
      <c r="VC24">
        <v>0</v>
      </c>
      <c r="VD24">
        <v>0</v>
      </c>
      <c r="VE24">
        <v>0</v>
      </c>
      <c r="VF24">
        <v>0</v>
      </c>
      <c r="VG24">
        <v>16.361931205269499</v>
      </c>
      <c r="VH24">
        <v>0</v>
      </c>
      <c r="VI24">
        <v>0</v>
      </c>
      <c r="VJ24">
        <v>0</v>
      </c>
      <c r="VK24">
        <v>0</v>
      </c>
      <c r="VL24">
        <v>0</v>
      </c>
      <c r="VM24">
        <v>15.7804944936001</v>
      </c>
      <c r="VN24">
        <v>0</v>
      </c>
      <c r="VO24">
        <v>0</v>
      </c>
      <c r="VP24">
        <v>0</v>
      </c>
      <c r="VQ24">
        <v>0</v>
      </c>
      <c r="VR24">
        <v>0</v>
      </c>
      <c r="VS24">
        <v>16.407946474967101</v>
      </c>
      <c r="VT24">
        <v>0</v>
      </c>
      <c r="VU24">
        <v>0</v>
      </c>
      <c r="VV24">
        <v>0</v>
      </c>
      <c r="VW24">
        <v>0</v>
      </c>
      <c r="VX24">
        <v>0</v>
      </c>
      <c r="VY24">
        <v>16.473017767838702</v>
      </c>
      <c r="VZ24">
        <v>0</v>
      </c>
      <c r="WA24">
        <v>0</v>
      </c>
      <c r="WB24">
        <v>0</v>
      </c>
      <c r="WC24">
        <v>0</v>
      </c>
      <c r="WD24">
        <v>0</v>
      </c>
      <c r="WE24">
        <v>11.3420422949336</v>
      </c>
      <c r="WF24">
        <v>10962.3087877938</v>
      </c>
      <c r="WG24">
        <v>10962.3087877938</v>
      </c>
      <c r="WH24">
        <v>23893.020185633799</v>
      </c>
      <c r="WI24">
        <v>0</v>
      </c>
      <c r="WJ24">
        <v>0</v>
      </c>
      <c r="WK24">
        <v>0</v>
      </c>
      <c r="WL24">
        <v>11.2943859521174</v>
      </c>
      <c r="WM24">
        <v>7016.7225540251802</v>
      </c>
      <c r="WN24">
        <v>7016.7225540251802</v>
      </c>
      <c r="WO24">
        <v>15233.891981586999</v>
      </c>
      <c r="WP24">
        <v>18.333300000000001</v>
      </c>
      <c r="WQ24">
        <v>26.666699999999999</v>
      </c>
      <c r="WR24">
        <v>0</v>
      </c>
      <c r="WS24">
        <v>0</v>
      </c>
      <c r="WT24">
        <v>11.0871205242341</v>
      </c>
      <c r="WU24">
        <v>11364.1382808901</v>
      </c>
      <c r="WV24">
        <v>11364.1382808901</v>
      </c>
      <c r="WW24">
        <v>24306.378910216899</v>
      </c>
      <c r="WX24">
        <v>0</v>
      </c>
      <c r="WY24">
        <v>0</v>
      </c>
      <c r="WZ24">
        <v>0</v>
      </c>
      <c r="XA24">
        <v>11.2618017800822</v>
      </c>
      <c r="XB24">
        <v>7049.9088935229402</v>
      </c>
      <c r="XC24">
        <v>7049.9088935229402</v>
      </c>
      <c r="XD24">
        <v>15268.0193929405</v>
      </c>
      <c r="XE24">
        <v>0</v>
      </c>
      <c r="XF24">
        <v>0</v>
      </c>
      <c r="XG24">
        <v>14.178951385835299</v>
      </c>
      <c r="XH24">
        <v>54562.144175215399</v>
      </c>
      <c r="XI24">
        <v>54562.144175215399</v>
      </c>
      <c r="XJ24">
        <v>98145.075611930297</v>
      </c>
      <c r="XK24">
        <v>21.1111</v>
      </c>
      <c r="XL24">
        <v>26.666699999999999</v>
      </c>
      <c r="XM24">
        <v>0</v>
      </c>
      <c r="XN24">
        <v>0</v>
      </c>
      <c r="XO24">
        <v>9.2512665735401303</v>
      </c>
      <c r="XP24">
        <v>0</v>
      </c>
      <c r="XQ24">
        <v>0</v>
      </c>
      <c r="XR24">
        <v>0</v>
      </c>
      <c r="XS24">
        <v>0</v>
      </c>
      <c r="XT24">
        <v>0</v>
      </c>
      <c r="XU24">
        <v>9.2045855315533807</v>
      </c>
      <c r="XV24">
        <v>0</v>
      </c>
      <c r="XW24">
        <v>0</v>
      </c>
      <c r="XX24">
        <v>0</v>
      </c>
      <c r="XY24">
        <v>0</v>
      </c>
      <c r="XZ24">
        <v>0</v>
      </c>
      <c r="YA24">
        <v>9.0452238865910601</v>
      </c>
      <c r="YB24">
        <v>0</v>
      </c>
      <c r="YC24">
        <v>0</v>
      </c>
      <c r="YD24">
        <v>0</v>
      </c>
      <c r="YE24">
        <v>0</v>
      </c>
      <c r="YF24">
        <v>0</v>
      </c>
      <c r="YG24">
        <v>9.2384832886439003</v>
      </c>
      <c r="YH24">
        <v>0</v>
      </c>
      <c r="YI24">
        <v>0</v>
      </c>
      <c r="YJ24">
        <v>0</v>
      </c>
      <c r="YK24">
        <v>0</v>
      </c>
      <c r="YL24">
        <v>0</v>
      </c>
      <c r="YM24">
        <v>11.445696224851201</v>
      </c>
      <c r="YN24">
        <v>0</v>
      </c>
      <c r="YO24">
        <v>0</v>
      </c>
      <c r="YP24">
        <v>0</v>
      </c>
      <c r="YQ24">
        <v>0</v>
      </c>
      <c r="YR24">
        <v>0</v>
      </c>
      <c r="YS24">
        <v>16.376041393281302</v>
      </c>
      <c r="YT24">
        <v>0</v>
      </c>
      <c r="YU24">
        <v>0</v>
      </c>
      <c r="YV24">
        <v>0</v>
      </c>
      <c r="YW24">
        <v>0</v>
      </c>
      <c r="YX24">
        <v>0</v>
      </c>
      <c r="YY24">
        <v>16.340950603251599</v>
      </c>
      <c r="YZ24">
        <v>0</v>
      </c>
      <c r="ZA24">
        <v>0</v>
      </c>
      <c r="ZB24">
        <v>0</v>
      </c>
      <c r="ZC24">
        <v>0</v>
      </c>
      <c r="ZD24">
        <v>0</v>
      </c>
      <c r="ZE24">
        <v>16.179126577498401</v>
      </c>
      <c r="ZF24">
        <v>0</v>
      </c>
      <c r="ZG24">
        <v>0</v>
      </c>
      <c r="ZH24">
        <v>0</v>
      </c>
      <c r="ZI24">
        <v>0</v>
      </c>
      <c r="ZJ24">
        <v>0</v>
      </c>
      <c r="ZK24">
        <v>16.346567912648499</v>
      </c>
      <c r="ZL24">
        <v>0</v>
      </c>
      <c r="ZM24">
        <v>0</v>
      </c>
      <c r="ZN24">
        <v>0</v>
      </c>
      <c r="ZO24">
        <v>0</v>
      </c>
      <c r="ZP24">
        <v>0</v>
      </c>
      <c r="ZQ24">
        <v>16.9247545129749</v>
      </c>
      <c r="ZR24">
        <v>0</v>
      </c>
      <c r="ZS24">
        <v>0</v>
      </c>
      <c r="ZT24">
        <v>0</v>
      </c>
      <c r="ZU24">
        <v>0</v>
      </c>
      <c r="ZV24">
        <v>0</v>
      </c>
      <c r="ZW24">
        <v>16.9767874740404</v>
      </c>
      <c r="ZX24">
        <v>0</v>
      </c>
      <c r="ZY24">
        <v>0</v>
      </c>
      <c r="ZZ24">
        <v>0</v>
      </c>
      <c r="AAA24">
        <v>0</v>
      </c>
      <c r="AAB24">
        <v>0</v>
      </c>
      <c r="AAC24">
        <v>16.958118933049899</v>
      </c>
      <c r="AAD24">
        <v>0</v>
      </c>
      <c r="AAE24">
        <v>0</v>
      </c>
      <c r="AAF24">
        <v>0</v>
      </c>
      <c r="AAG24">
        <v>0</v>
      </c>
      <c r="AAH24">
        <v>0</v>
      </c>
      <c r="AAI24">
        <v>16.372851529176099</v>
      </c>
      <c r="AAJ24">
        <v>0</v>
      </c>
      <c r="AAK24">
        <v>0</v>
      </c>
      <c r="AAL24">
        <v>0</v>
      </c>
      <c r="AAM24">
        <v>0</v>
      </c>
      <c r="AAN24">
        <v>0</v>
      </c>
      <c r="AAO24">
        <v>17.006106146039301</v>
      </c>
      <c r="AAP24">
        <v>0</v>
      </c>
      <c r="AAQ24">
        <v>0</v>
      </c>
      <c r="AAR24">
        <v>0</v>
      </c>
      <c r="AAS24">
        <v>0</v>
      </c>
      <c r="AAT24">
        <v>0</v>
      </c>
      <c r="AAU24">
        <v>16.548956814558402</v>
      </c>
      <c r="AAV24">
        <v>0</v>
      </c>
      <c r="AAW24">
        <v>0</v>
      </c>
      <c r="AAX24">
        <v>0</v>
      </c>
      <c r="AAY24">
        <v>0</v>
      </c>
      <c r="AAZ24">
        <v>0</v>
      </c>
      <c r="ABA24">
        <v>16.3079999846255</v>
      </c>
      <c r="ABB24">
        <v>0</v>
      </c>
      <c r="ABC24">
        <v>0</v>
      </c>
      <c r="ABD24">
        <v>0</v>
      </c>
      <c r="ABE24">
        <v>0</v>
      </c>
      <c r="ABF24">
        <v>0</v>
      </c>
      <c r="ABG24">
        <v>16.326043706621</v>
      </c>
      <c r="ABH24">
        <v>0</v>
      </c>
      <c r="ABI24">
        <v>0</v>
      </c>
      <c r="ABJ24">
        <v>0</v>
      </c>
      <c r="ABK24">
        <v>0</v>
      </c>
      <c r="ABL24">
        <v>0</v>
      </c>
      <c r="ABM24">
        <v>15.745674582556701</v>
      </c>
      <c r="ABN24">
        <v>0</v>
      </c>
      <c r="ABO24">
        <v>0</v>
      </c>
      <c r="ABP24">
        <v>0</v>
      </c>
      <c r="ABQ24">
        <v>0</v>
      </c>
      <c r="ABR24">
        <v>0</v>
      </c>
      <c r="ABS24">
        <v>16.357401045230301</v>
      </c>
      <c r="ABT24">
        <v>0</v>
      </c>
      <c r="ABU24">
        <v>0</v>
      </c>
      <c r="ABV24">
        <v>0</v>
      </c>
      <c r="ABW24">
        <v>0</v>
      </c>
      <c r="ABX24">
        <v>0</v>
      </c>
      <c r="ABY24">
        <v>15.6762030309217</v>
      </c>
      <c r="ABZ24">
        <v>0</v>
      </c>
      <c r="ACA24">
        <v>0</v>
      </c>
      <c r="ACB24">
        <v>0</v>
      </c>
      <c r="ACC24">
        <v>0</v>
      </c>
      <c r="ACD24">
        <v>0</v>
      </c>
      <c r="ACE24">
        <v>0</v>
      </c>
      <c r="ACF24">
        <v>12.2200000000079</v>
      </c>
      <c r="ACG24">
        <v>12.2200000000079</v>
      </c>
      <c r="ACH24">
        <v>0</v>
      </c>
      <c r="ACI24">
        <v>0</v>
      </c>
      <c r="ACJ24">
        <v>0</v>
      </c>
      <c r="ACK24">
        <v>20.760648244627699</v>
      </c>
      <c r="ACL24">
        <v>20.760648244627699</v>
      </c>
      <c r="ACM24">
        <v>0</v>
      </c>
      <c r="ACN24">
        <v>0</v>
      </c>
      <c r="ACP24">
        <v>0</v>
      </c>
      <c r="ACR24">
        <v>0</v>
      </c>
      <c r="ACT24">
        <v>16.806023926451299</v>
      </c>
      <c r="ACU24">
        <v>16.806023926451299</v>
      </c>
      <c r="ACV24">
        <v>0</v>
      </c>
      <c r="ACW24">
        <v>0</v>
      </c>
      <c r="ACX24">
        <v>1</v>
      </c>
      <c r="ACY24">
        <v>16.5585741265261</v>
      </c>
      <c r="ACZ24">
        <v>16.5585741265261</v>
      </c>
      <c r="ADA24">
        <v>0</v>
      </c>
      <c r="ADB24">
        <v>0</v>
      </c>
      <c r="ADC24">
        <v>1</v>
      </c>
      <c r="ADD24">
        <v>14.179076238663701</v>
      </c>
      <c r="ADE24">
        <v>14.179076238663701</v>
      </c>
      <c r="ADF24">
        <v>0</v>
      </c>
      <c r="ADG24">
        <v>0</v>
      </c>
      <c r="ADH24">
        <v>1</v>
      </c>
      <c r="ADI24">
        <v>14.210619586581499</v>
      </c>
      <c r="ADJ24">
        <v>14.210619586581499</v>
      </c>
      <c r="ADK24">
        <v>0</v>
      </c>
      <c r="ADL24">
        <v>0</v>
      </c>
      <c r="ADM24">
        <v>1</v>
      </c>
      <c r="ADN24">
        <v>14.1218830907799</v>
      </c>
      <c r="ADO24">
        <v>14.1218830907799</v>
      </c>
      <c r="ADP24">
        <v>0</v>
      </c>
      <c r="ADQ24">
        <v>0</v>
      </c>
      <c r="ADR24">
        <v>1</v>
      </c>
      <c r="ADS24">
        <v>13.877840585866499</v>
      </c>
      <c r="ADT24">
        <v>13.877840585866499</v>
      </c>
      <c r="ADU24">
        <v>0</v>
      </c>
      <c r="ADV24">
        <v>0</v>
      </c>
      <c r="ADW24">
        <v>1</v>
      </c>
      <c r="ADX24">
        <v>14.108903858611299</v>
      </c>
      <c r="ADY24">
        <v>14.108903858611299</v>
      </c>
      <c r="ADZ24">
        <v>0</v>
      </c>
      <c r="AEA24">
        <v>0</v>
      </c>
      <c r="AEB24">
        <v>1</v>
      </c>
      <c r="AEC24">
        <v>14.210996374429699</v>
      </c>
      <c r="AED24">
        <v>14.210996374429699</v>
      </c>
      <c r="AEE24">
        <v>0</v>
      </c>
      <c r="AEF24">
        <v>0</v>
      </c>
      <c r="AEG24">
        <v>1</v>
      </c>
      <c r="AEH24">
        <v>14.158862647665901</v>
      </c>
      <c r="AEI24">
        <v>14.158862647665901</v>
      </c>
      <c r="AEJ24">
        <v>0</v>
      </c>
      <c r="AEK24">
        <v>0</v>
      </c>
      <c r="AEL24">
        <v>1</v>
      </c>
      <c r="AEM24">
        <v>13.7910614532948</v>
      </c>
      <c r="AEN24">
        <v>13.7910614532948</v>
      </c>
      <c r="AEO24">
        <v>0</v>
      </c>
      <c r="AEP24">
        <v>0</v>
      </c>
      <c r="AEQ24">
        <v>1</v>
      </c>
      <c r="AER24">
        <v>14.157190789735299</v>
      </c>
      <c r="AES24">
        <v>14.157190789735299</v>
      </c>
      <c r="AET24">
        <v>0</v>
      </c>
      <c r="AEU24">
        <v>0</v>
      </c>
      <c r="AEV24">
        <v>1</v>
      </c>
      <c r="AEW24">
        <v>12.0339449183637</v>
      </c>
      <c r="AEX24">
        <v>12.0339449183637</v>
      </c>
      <c r="AEY24">
        <v>0</v>
      </c>
      <c r="AEZ24">
        <v>0</v>
      </c>
      <c r="AFA24">
        <v>1</v>
      </c>
      <c r="AFB24">
        <v>11.991122384377601</v>
      </c>
      <c r="AFC24">
        <v>11.991122384377601</v>
      </c>
      <c r="AFD24">
        <v>0</v>
      </c>
      <c r="AFE24">
        <v>0</v>
      </c>
      <c r="AFF24">
        <v>1</v>
      </c>
      <c r="AFG24">
        <v>11.740511718431399</v>
      </c>
      <c r="AFH24">
        <v>11.740511718431399</v>
      </c>
      <c r="AFI24">
        <v>0</v>
      </c>
      <c r="AFJ24">
        <v>0</v>
      </c>
      <c r="AFK24">
        <v>1</v>
      </c>
      <c r="AFL24">
        <v>11.9752678987593</v>
      </c>
      <c r="AFM24">
        <v>11.9752678987593</v>
      </c>
      <c r="AFN24">
        <v>0</v>
      </c>
      <c r="AFO24">
        <v>0</v>
      </c>
      <c r="AFP24">
        <v>1</v>
      </c>
      <c r="AFQ24">
        <v>-2.1029275705895798</v>
      </c>
      <c r="AFR24">
        <v>-2.05860517840012</v>
      </c>
      <c r="AFS24">
        <v>-2.07130330134741</v>
      </c>
      <c r="AFT24">
        <v>-2.07037723068427</v>
      </c>
      <c r="AFU24">
        <v>-2.1108996542953999</v>
      </c>
      <c r="AFV24">
        <v>-2.0551042428805202</v>
      </c>
      <c r="AFW24">
        <v>-2.0612072285821399</v>
      </c>
      <c r="AFX24">
        <v>-2.0622172812050499</v>
      </c>
      <c r="AFY24">
        <v>-2.35874964062908</v>
      </c>
      <c r="AFZ24">
        <v>-2.3265135312913201</v>
      </c>
      <c r="AGA24">
        <v>-2.3322555999944501</v>
      </c>
      <c r="AGB24">
        <v>-2.3312090890510899</v>
      </c>
      <c r="AGC24">
        <v>-1.7487831238904099</v>
      </c>
      <c r="AGD24">
        <v>-1.78666784821979</v>
      </c>
      <c r="AGE24">
        <v>-2.1099964703167999</v>
      </c>
      <c r="AGF24">
        <v>0</v>
      </c>
      <c r="AGG24">
        <v>0</v>
      </c>
      <c r="AGH24">
        <v>0</v>
      </c>
      <c r="AGI24">
        <v>0</v>
      </c>
      <c r="AGJ24">
        <v>0</v>
      </c>
      <c r="AGK24">
        <v>0</v>
      </c>
      <c r="AGL24">
        <v>0</v>
      </c>
      <c r="AGM24">
        <v>0</v>
      </c>
      <c r="AGN24">
        <v>0</v>
      </c>
      <c r="AGO24">
        <v>0</v>
      </c>
      <c r="AGP24">
        <v>0</v>
      </c>
      <c r="AGQ24">
        <v>0</v>
      </c>
      <c r="AGR24">
        <v>0</v>
      </c>
      <c r="AGS24">
        <v>0</v>
      </c>
      <c r="AGT24">
        <v>0</v>
      </c>
      <c r="AGU24">
        <v>0</v>
      </c>
      <c r="AGV24">
        <v>0</v>
      </c>
      <c r="AGW24">
        <v>0</v>
      </c>
      <c r="AGX24">
        <v>0</v>
      </c>
      <c r="AGY24">
        <v>0</v>
      </c>
      <c r="AGZ24">
        <v>0</v>
      </c>
      <c r="AHA24">
        <v>0</v>
      </c>
      <c r="AHB24">
        <v>0</v>
      </c>
      <c r="AHC24">
        <v>0</v>
      </c>
      <c r="AHD24">
        <v>0</v>
      </c>
      <c r="AHE24">
        <v>0</v>
      </c>
      <c r="AHF24">
        <v>0</v>
      </c>
      <c r="AHG24">
        <v>0</v>
      </c>
      <c r="AHH24">
        <v>0</v>
      </c>
      <c r="AHI24">
        <v>0</v>
      </c>
      <c r="AHJ24">
        <v>0</v>
      </c>
      <c r="AHK24">
        <v>0</v>
      </c>
      <c r="AHL24">
        <v>0</v>
      </c>
      <c r="AHM24">
        <v>0</v>
      </c>
      <c r="AHN24">
        <v>0</v>
      </c>
      <c r="AHO24">
        <v>0</v>
      </c>
      <c r="AHP24">
        <v>0</v>
      </c>
      <c r="AHQ24">
        <v>0</v>
      </c>
      <c r="AHR24">
        <v>0</v>
      </c>
      <c r="AHS24">
        <v>0</v>
      </c>
      <c r="AHT24">
        <v>0</v>
      </c>
      <c r="AHU24">
        <v>0</v>
      </c>
      <c r="AHV24">
        <v>0</v>
      </c>
      <c r="AHW24">
        <v>0</v>
      </c>
      <c r="AHX24">
        <v>0</v>
      </c>
      <c r="AHZ24">
        <v>0</v>
      </c>
      <c r="AIB24">
        <v>0</v>
      </c>
      <c r="AID24">
        <v>0</v>
      </c>
      <c r="AIF24">
        <v>0</v>
      </c>
      <c r="AIH24">
        <v>0</v>
      </c>
      <c r="AIJ24">
        <v>0</v>
      </c>
      <c r="AIL24">
        <v>0</v>
      </c>
      <c r="AIN24">
        <v>0</v>
      </c>
      <c r="AIP24">
        <v>0</v>
      </c>
      <c r="AIR24">
        <v>0</v>
      </c>
      <c r="AIT24">
        <v>0</v>
      </c>
      <c r="AIV24">
        <v>0</v>
      </c>
      <c r="AIX24">
        <v>0</v>
      </c>
      <c r="AIZ24">
        <v>0</v>
      </c>
      <c r="AJB24">
        <v>0</v>
      </c>
      <c r="AJC24">
        <v>0</v>
      </c>
      <c r="AJE24">
        <v>0</v>
      </c>
      <c r="AJH24">
        <v>0</v>
      </c>
      <c r="AJJ24">
        <v>0</v>
      </c>
      <c r="AJK24">
        <v>0</v>
      </c>
      <c r="AJL24">
        <v>0</v>
      </c>
      <c r="AJM24">
        <v>0</v>
      </c>
      <c r="AJN24">
        <v>0</v>
      </c>
      <c r="AJO24">
        <v>0</v>
      </c>
      <c r="AJP24">
        <v>0</v>
      </c>
      <c r="AJQ24">
        <v>0</v>
      </c>
      <c r="AJR24">
        <v>0</v>
      </c>
      <c r="AJS24">
        <v>0</v>
      </c>
      <c r="AJT24">
        <v>0</v>
      </c>
      <c r="AJU24">
        <v>0</v>
      </c>
      <c r="AJV24">
        <v>0</v>
      </c>
      <c r="AJW24">
        <v>0</v>
      </c>
      <c r="AJX24">
        <v>0</v>
      </c>
      <c r="AJY24">
        <v>0</v>
      </c>
      <c r="AJZ24">
        <v>0</v>
      </c>
      <c r="AKA24">
        <v>0</v>
      </c>
      <c r="AKB24">
        <v>0</v>
      </c>
      <c r="AKC24">
        <v>0</v>
      </c>
      <c r="AKD24">
        <v>0</v>
      </c>
      <c r="AKE24">
        <v>74.738617733567096</v>
      </c>
      <c r="AKF24">
        <v>74.738617733567096</v>
      </c>
      <c r="AKG24">
        <v>0</v>
      </c>
      <c r="AKH24">
        <v>0</v>
      </c>
      <c r="AKI24">
        <v>0</v>
      </c>
      <c r="AKJ24">
        <v>0</v>
      </c>
      <c r="AKK24">
        <v>0</v>
      </c>
      <c r="AKL24">
        <v>74.738617733567096</v>
      </c>
      <c r="AKM24">
        <v>74.738617733567096</v>
      </c>
      <c r="AKN24">
        <v>0</v>
      </c>
      <c r="AKO24">
        <v>0</v>
      </c>
      <c r="AKP24">
        <v>0</v>
      </c>
      <c r="AKT24">
        <v>0</v>
      </c>
      <c r="AKX24">
        <v>0</v>
      </c>
      <c r="ALB24">
        <v>20.760648244627699</v>
      </c>
      <c r="ALC24">
        <v>20.760648244627699</v>
      </c>
      <c r="ALD24">
        <v>0</v>
      </c>
      <c r="ALE24">
        <v>0</v>
      </c>
      <c r="ALF24">
        <v>0</v>
      </c>
      <c r="ALH24">
        <v>16.756402609516901</v>
      </c>
      <c r="ALI24">
        <v>2.8568269606532499E-3</v>
      </c>
      <c r="ALJ24">
        <v>0</v>
      </c>
      <c r="ALK24">
        <v>16.756402609516901</v>
      </c>
      <c r="ALL24">
        <v>0</v>
      </c>
      <c r="ALM24">
        <v>0</v>
      </c>
      <c r="ALN24">
        <v>16.756402609516901</v>
      </c>
      <c r="ALO24">
        <v>2.8568269606532499E-3</v>
      </c>
      <c r="ALP24">
        <v>24.263220199230201</v>
      </c>
      <c r="ALQ24">
        <v>0</v>
      </c>
      <c r="ALR24">
        <v>16.756402609516901</v>
      </c>
      <c r="ALS24">
        <v>0</v>
      </c>
      <c r="ALT24">
        <v>16.756402609516901</v>
      </c>
      <c r="ALU24">
        <v>0</v>
      </c>
      <c r="ALV24">
        <v>12.2200000000079</v>
      </c>
      <c r="ALW24">
        <v>9.9999999999999897E-12</v>
      </c>
      <c r="ALX24">
        <v>12.2200000000079</v>
      </c>
      <c r="ALY24">
        <v>9.9999999999999897E-12</v>
      </c>
      <c r="ALZ24">
        <v>0</v>
      </c>
      <c r="AMA24">
        <v>12.2200000000079</v>
      </c>
      <c r="AMB24">
        <v>0</v>
      </c>
      <c r="AMC24">
        <v>12.2200000000079</v>
      </c>
      <c r="AMD24">
        <v>0</v>
      </c>
      <c r="AME24">
        <v>12.2200000000079</v>
      </c>
      <c r="AMF24">
        <v>0</v>
      </c>
      <c r="AMG24">
        <v>0</v>
      </c>
      <c r="AMH24">
        <v>0</v>
      </c>
      <c r="AMI24">
        <v>16.364828977637099</v>
      </c>
      <c r="AMJ24">
        <v>0</v>
      </c>
      <c r="AMK24" s="580">
        <v>16.915154384861399</v>
      </c>
      <c r="AML24">
        <v>0</v>
      </c>
      <c r="AMM24">
        <v>16.359118771680599</v>
      </c>
      <c r="AMN24">
        <v>0</v>
      </c>
      <c r="AMO24">
        <v>16.3935947166555</v>
      </c>
      <c r="AMP24">
        <v>0</v>
      </c>
      <c r="AMQ24">
        <v>16.196084212002301</v>
      </c>
      <c r="AMR24">
        <v>0</v>
      </c>
      <c r="AMS24">
        <v>16.539860363262498</v>
      </c>
      <c r="AMT24">
        <v>0</v>
      </c>
      <c r="AMU24">
        <v>17.003830438293399</v>
      </c>
      <c r="AMV24">
        <v>0</v>
      </c>
      <c r="AMW24">
        <v>17.052393651000301</v>
      </c>
      <c r="AMX24">
        <v>0</v>
      </c>
      <c r="AMY24">
        <v>17.020842782236301</v>
      </c>
      <c r="AMZ24">
        <v>0</v>
      </c>
      <c r="ANA24">
        <v>16.415244329590202</v>
      </c>
      <c r="ANB24">
        <v>0</v>
      </c>
      <c r="ANC24">
        <v>15.694308811768799</v>
      </c>
      <c r="AND24">
        <v>0</v>
      </c>
      <c r="ANE24">
        <v>16.403064220794398</v>
      </c>
      <c r="ANF24">
        <v>0</v>
      </c>
      <c r="ANG24">
        <v>16.434342094275902</v>
      </c>
      <c r="ANH24">
        <v>0</v>
      </c>
      <c r="ANI24">
        <v>16.382964186561299</v>
      </c>
      <c r="ANJ24">
        <v>0</v>
      </c>
      <c r="ANK24">
        <v>15.817786590991201</v>
      </c>
      <c r="ANL24">
        <v>0</v>
      </c>
      <c r="ANM24">
        <v>0</v>
      </c>
      <c r="ANN24">
        <v>0</v>
      </c>
      <c r="ANO24">
        <v>0</v>
      </c>
      <c r="ANP24">
        <v>16.915154384861399</v>
      </c>
      <c r="ANQ24">
        <v>16.359118771680599</v>
      </c>
      <c r="ANR24">
        <v>16.364828977637099</v>
      </c>
      <c r="ANS24">
        <v>16.196084212002301</v>
      </c>
      <c r="ANT24">
        <v>16.3935947166555</v>
      </c>
      <c r="ANU24">
        <v>16.539860363262498</v>
      </c>
      <c r="ANV24">
        <v>17.003830438293399</v>
      </c>
      <c r="ANW24">
        <v>17.052393651000301</v>
      </c>
      <c r="ANX24">
        <v>16.415244329590202</v>
      </c>
      <c r="ANY24">
        <v>17.020842782236301</v>
      </c>
      <c r="ANZ24">
        <v>15.694308811768799</v>
      </c>
      <c r="AOA24">
        <v>16.403064220794398</v>
      </c>
      <c r="AOB24">
        <v>16.434342094275902</v>
      </c>
      <c r="AOC24">
        <v>15.817786590991201</v>
      </c>
      <c r="AOD24">
        <v>16.382964186561299</v>
      </c>
      <c r="AOE24">
        <v>16.756402609516901</v>
      </c>
      <c r="AOF24">
        <v>0</v>
      </c>
      <c r="AOG24">
        <v>16.763210553087902</v>
      </c>
      <c r="AOH24">
        <v>0</v>
      </c>
    </row>
    <row r="25" spans="1:1074">
      <c r="A25" t="s">
        <v>2595</v>
      </c>
      <c r="B25">
        <v>-3.33</v>
      </c>
      <c r="C25">
        <v>-3.33</v>
      </c>
      <c r="D25">
        <v>-3.33</v>
      </c>
      <c r="E25">
        <v>-3.33</v>
      </c>
      <c r="F25">
        <v>10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v>0</v>
      </c>
      <c r="CC25">
        <v>0</v>
      </c>
      <c r="CD25">
        <v>0</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0</v>
      </c>
      <c r="DA25">
        <v>0</v>
      </c>
      <c r="DB25">
        <v>0</v>
      </c>
      <c r="DC25">
        <v>0</v>
      </c>
      <c r="DD25">
        <v>0</v>
      </c>
      <c r="DE25">
        <v>0</v>
      </c>
      <c r="DF25">
        <v>0</v>
      </c>
      <c r="DG25">
        <v>0</v>
      </c>
      <c r="DH25">
        <v>0</v>
      </c>
      <c r="DI25">
        <v>0</v>
      </c>
      <c r="DJ25">
        <v>0</v>
      </c>
      <c r="DK25">
        <v>0</v>
      </c>
      <c r="DL25">
        <v>0</v>
      </c>
      <c r="DM25">
        <v>0</v>
      </c>
      <c r="DN25">
        <v>0</v>
      </c>
      <c r="DO25">
        <v>0</v>
      </c>
      <c r="DP25">
        <v>0</v>
      </c>
      <c r="DQ25">
        <v>0</v>
      </c>
      <c r="DR25">
        <v>0</v>
      </c>
      <c r="DS25">
        <v>0</v>
      </c>
      <c r="DT25">
        <v>0</v>
      </c>
      <c r="DU25">
        <v>0</v>
      </c>
      <c r="DV25">
        <v>0</v>
      </c>
      <c r="DW25">
        <v>0</v>
      </c>
      <c r="DX25">
        <v>0</v>
      </c>
      <c r="DY25">
        <v>0</v>
      </c>
      <c r="DZ25">
        <v>0</v>
      </c>
      <c r="EA25">
        <v>0</v>
      </c>
      <c r="EB25">
        <v>0</v>
      </c>
      <c r="EC25">
        <v>0</v>
      </c>
      <c r="ED25">
        <v>0</v>
      </c>
      <c r="EE25">
        <v>0</v>
      </c>
      <c r="EF25">
        <v>0</v>
      </c>
      <c r="EG25">
        <v>0</v>
      </c>
      <c r="EH25">
        <v>0</v>
      </c>
      <c r="EI25">
        <v>0</v>
      </c>
      <c r="EJ25">
        <v>0</v>
      </c>
      <c r="EK25">
        <v>0</v>
      </c>
      <c r="EL25">
        <v>0</v>
      </c>
      <c r="EM25">
        <v>0</v>
      </c>
      <c r="EN25">
        <v>0</v>
      </c>
      <c r="EO25">
        <v>0</v>
      </c>
      <c r="EP25">
        <v>0</v>
      </c>
      <c r="EQ25">
        <v>0</v>
      </c>
      <c r="ER25">
        <v>0</v>
      </c>
      <c r="ES25">
        <v>0</v>
      </c>
      <c r="ET25">
        <v>0</v>
      </c>
      <c r="EU25">
        <v>0</v>
      </c>
      <c r="EV25">
        <v>0</v>
      </c>
      <c r="EW25">
        <v>0</v>
      </c>
      <c r="EX25">
        <v>0</v>
      </c>
      <c r="EY25">
        <v>0</v>
      </c>
      <c r="EZ25">
        <v>0</v>
      </c>
      <c r="FA25">
        <v>0</v>
      </c>
      <c r="FB25">
        <v>0</v>
      </c>
      <c r="FC25">
        <v>0</v>
      </c>
      <c r="FD25">
        <v>0</v>
      </c>
      <c r="FE25">
        <v>0</v>
      </c>
      <c r="FF25">
        <v>0</v>
      </c>
      <c r="FG25">
        <v>0</v>
      </c>
      <c r="FH25">
        <v>0</v>
      </c>
      <c r="FI25">
        <v>0</v>
      </c>
      <c r="FJ25">
        <v>0</v>
      </c>
      <c r="FK25">
        <v>0</v>
      </c>
      <c r="FL25">
        <v>0</v>
      </c>
      <c r="FM25">
        <v>0</v>
      </c>
      <c r="FN25">
        <v>0</v>
      </c>
      <c r="FO25">
        <v>0</v>
      </c>
      <c r="FP25">
        <v>0</v>
      </c>
      <c r="FQ25">
        <v>0</v>
      </c>
      <c r="FR25">
        <v>0</v>
      </c>
      <c r="FS25">
        <v>0</v>
      </c>
      <c r="FT25">
        <v>0</v>
      </c>
      <c r="FU25">
        <v>0</v>
      </c>
      <c r="FV25">
        <v>0</v>
      </c>
      <c r="FW25">
        <v>0</v>
      </c>
      <c r="FX25">
        <v>0</v>
      </c>
      <c r="FY25">
        <v>0</v>
      </c>
      <c r="FZ25">
        <v>0</v>
      </c>
      <c r="GA25">
        <v>0</v>
      </c>
      <c r="GB25">
        <v>-32.509739641335401</v>
      </c>
      <c r="GC25">
        <v>475.081003069411</v>
      </c>
      <c r="GD25">
        <v>278.065981549659</v>
      </c>
      <c r="GE25">
        <v>-21.0064535885409</v>
      </c>
      <c r="GF25">
        <v>309.566329396161</v>
      </c>
      <c r="GG25">
        <v>179.95574473378699</v>
      </c>
      <c r="GH25">
        <v>-30.394935229975701</v>
      </c>
      <c r="GI25">
        <v>490.84638009467</v>
      </c>
      <c r="GJ25">
        <v>263.16140629723498</v>
      </c>
      <c r="GK25">
        <v>-20.488682631015902</v>
      </c>
      <c r="GL25">
        <v>314.33651566749199</v>
      </c>
      <c r="GM25">
        <v>184.25608498517499</v>
      </c>
      <c r="GN25">
        <v>-74.767895904376601</v>
      </c>
      <c r="GO25">
        <v>16.121148124390899</v>
      </c>
      <c r="GP25">
        <v>15.4072055727012</v>
      </c>
      <c r="GQ25">
        <v>-10.444130788330799</v>
      </c>
      <c r="GR25">
        <v>120.63584495853399</v>
      </c>
      <c r="GS25">
        <v>1112.63603117517</v>
      </c>
      <c r="GT25">
        <v>-50.013901190907198</v>
      </c>
      <c r="GU25">
        <v>16.058019648814799</v>
      </c>
      <c r="GV25">
        <v>15.3343543776227</v>
      </c>
      <c r="GW25">
        <v>-6.6333943290176798</v>
      </c>
      <c r="GX25">
        <v>80.265300326568806</v>
      </c>
      <c r="GY25">
        <v>730.81081658827304</v>
      </c>
      <c r="GZ25">
        <v>-74.582857070046103</v>
      </c>
      <c r="HA25">
        <v>15.6395027863766</v>
      </c>
      <c r="HB25">
        <v>15.0370073493247</v>
      </c>
      <c r="HC25">
        <v>-4.2740160030499803</v>
      </c>
      <c r="HD25">
        <v>106.966960811178</v>
      </c>
      <c r="HE25">
        <v>958.19764766717105</v>
      </c>
      <c r="HF25">
        <v>-49.333841806062701</v>
      </c>
      <c r="HG25">
        <v>16.0865481646101</v>
      </c>
      <c r="HH25">
        <v>15.3442404437275</v>
      </c>
      <c r="HI25">
        <v>-7.57744789014468</v>
      </c>
      <c r="HJ25">
        <v>80.878535375079196</v>
      </c>
      <c r="HK25">
        <v>741.54499160058003</v>
      </c>
      <c r="HL25">
        <v>-28.746847708400601</v>
      </c>
      <c r="HM25">
        <v>15.364608935751701</v>
      </c>
      <c r="HN25">
        <v>15.9699752174034</v>
      </c>
      <c r="HO25">
        <v>256.07311760881498</v>
      </c>
      <c r="HP25">
        <v>572.52753201630605</v>
      </c>
      <c r="HQ25">
        <v>15.4264892536189</v>
      </c>
      <c r="HR25">
        <v>290.32909080824498</v>
      </c>
      <c r="HS25">
        <v>-18.0455611898503</v>
      </c>
      <c r="HT25">
        <v>15.3411336756176</v>
      </c>
      <c r="HU25">
        <v>15.9712606596344</v>
      </c>
      <c r="HV25">
        <v>157.96416701861099</v>
      </c>
      <c r="HW25">
        <v>370.507183336678</v>
      </c>
      <c r="HX25">
        <v>15.3928363135882</v>
      </c>
      <c r="HY25">
        <v>188.609501336661</v>
      </c>
      <c r="HZ25">
        <v>15.0388909881666</v>
      </c>
      <c r="IA25">
        <v>15.832742445298701</v>
      </c>
      <c r="IB25">
        <v>275.012704866143</v>
      </c>
      <c r="IC25">
        <v>-27.002311737792599</v>
      </c>
      <c r="ID25">
        <v>550.45341531698602</v>
      </c>
      <c r="IE25">
        <v>14.9782876552643</v>
      </c>
      <c r="IF25">
        <v>278.704220708685</v>
      </c>
      <c r="IG25">
        <v>23.185513359752498</v>
      </c>
      <c r="IH25">
        <v>15.3464312488549</v>
      </c>
      <c r="II25">
        <v>15.973740300844799</v>
      </c>
      <c r="IJ25">
        <v>160.675980816552</v>
      </c>
      <c r="IK25">
        <v>19.227704536880999</v>
      </c>
      <c r="IL25">
        <v>-16.707229326034501</v>
      </c>
      <c r="IM25">
        <v>380.74818815911698</v>
      </c>
      <c r="IN25">
        <v>15.4120389098535</v>
      </c>
      <c r="IO25">
        <v>0.99304734875169098</v>
      </c>
      <c r="IP25">
        <v>194.09716196908599</v>
      </c>
      <c r="IQ25">
        <v>-73.561233249794299</v>
      </c>
      <c r="IR25">
        <v>-43.754375070994897</v>
      </c>
      <c r="IS25">
        <v>-98.170490657795</v>
      </c>
      <c r="IT25">
        <v>-43.493891500255202</v>
      </c>
      <c r="IU25">
        <v>-7.9402690426643696</v>
      </c>
      <c r="IV25">
        <v>-71.931627040145798</v>
      </c>
      <c r="IW25">
        <v>16.111149553419398</v>
      </c>
      <c r="IX25">
        <v>15.4264892536189</v>
      </c>
      <c r="IY25">
        <v>-5.81360531504885</v>
      </c>
      <c r="IZ25">
        <v>124.39814413465901</v>
      </c>
      <c r="JA25">
        <v>1100.91907402847</v>
      </c>
      <c r="JB25">
        <v>-48.169985595826198</v>
      </c>
      <c r="JC25">
        <v>16.093467616265599</v>
      </c>
      <c r="JD25">
        <v>15.3928363135882</v>
      </c>
      <c r="JE25">
        <v>-3.81603055901985</v>
      </c>
      <c r="JF25">
        <v>83.464378583687704</v>
      </c>
      <c r="JG25">
        <v>730.65803067961701</v>
      </c>
      <c r="JH25">
        <v>-71.732774800444403</v>
      </c>
      <c r="JI25">
        <v>15.5824881035307</v>
      </c>
      <c r="JJ25">
        <v>14.9782876552643</v>
      </c>
      <c r="JK25">
        <v>-1.93661038762224</v>
      </c>
      <c r="JL25">
        <v>112.46879252057199</v>
      </c>
      <c r="JM25">
        <v>972.65952009929902</v>
      </c>
      <c r="JN25">
        <v>-47.462330423649597</v>
      </c>
      <c r="JO25">
        <v>16.126359050103101</v>
      </c>
      <c r="JP25">
        <v>15.4120389098535</v>
      </c>
      <c r="JQ25">
        <v>0.29091985130576897</v>
      </c>
      <c r="JR25">
        <v>-4.51347616531657</v>
      </c>
      <c r="JS25">
        <v>0.72831989182391299</v>
      </c>
      <c r="JT25">
        <v>83.643676769669298</v>
      </c>
      <c r="JU25">
        <v>737.72896109390797</v>
      </c>
      <c r="JV25">
        <v>-31.465890603251101</v>
      </c>
      <c r="JW25">
        <v>677.97765283302499</v>
      </c>
      <c r="JX25">
        <v>-42.409773191324803</v>
      </c>
      <c r="JY25">
        <v>-19.784964669872501</v>
      </c>
      <c r="JZ25">
        <v>434.88032346152897</v>
      </c>
      <c r="KA25">
        <v>-26.5696830874904</v>
      </c>
      <c r="KB25">
        <v>-28.1273163412915</v>
      </c>
      <c r="KC25">
        <v>648.45286303436603</v>
      </c>
      <c r="KD25">
        <v>-37.142680989667298</v>
      </c>
      <c r="KE25">
        <v>-19.2269951330391</v>
      </c>
      <c r="KF25">
        <v>9.6800302460902294</v>
      </c>
      <c r="KG25">
        <v>-146.85207038265801</v>
      </c>
      <c r="KH25">
        <v>2.0070393018114201</v>
      </c>
      <c r="KI25">
        <v>442.67970821914099</v>
      </c>
      <c r="KJ25">
        <v>-25.051828222434601</v>
      </c>
      <c r="KK25">
        <v>-30.823409940956701</v>
      </c>
      <c r="KL25">
        <v>9.9731334250265302</v>
      </c>
      <c r="KM25">
        <v>11.457755476723801</v>
      </c>
      <c r="KN25">
        <v>341.69732511571601</v>
      </c>
      <c r="KO25">
        <v>8.6463524221670394</v>
      </c>
      <c r="KP25">
        <v>-10.713089455052801</v>
      </c>
      <c r="KQ25">
        <v>-68.017441501076405</v>
      </c>
      <c r="KR25">
        <v>-1144.20891640945</v>
      </c>
      <c r="KS25">
        <v>-21.157862573667799</v>
      </c>
      <c r="KT25">
        <v>9.92457256930774</v>
      </c>
      <c r="KU25">
        <v>11.4178876303721</v>
      </c>
      <c r="KV25">
        <v>218.39203400059799</v>
      </c>
      <c r="KW25">
        <v>8.5918356370431592</v>
      </c>
      <c r="KX25">
        <v>-10.6301429252307</v>
      </c>
      <c r="KY25">
        <v>-43.365616364389503</v>
      </c>
      <c r="KZ25">
        <v>-720.249188823439</v>
      </c>
      <c r="LA25">
        <v>-31.947118640290402</v>
      </c>
      <c r="LB25">
        <v>9.7571768471972806</v>
      </c>
      <c r="LC25">
        <v>11.2131729790925</v>
      </c>
      <c r="LD25">
        <v>334.33395614022999</v>
      </c>
      <c r="LE25">
        <v>8.4469414294072305</v>
      </c>
      <c r="LF25">
        <v>-10.720307959312599</v>
      </c>
      <c r="LG25">
        <v>-68.031506703515603</v>
      </c>
      <c r="LH25">
        <v>-1133.7959518774101</v>
      </c>
      <c r="LI25">
        <v>-20.252223012998101</v>
      </c>
      <c r="LJ25">
        <v>9.9551518426928993</v>
      </c>
      <c r="LK25">
        <v>11.4320600871386</v>
      </c>
      <c r="LL25">
        <v>216.931609713434</v>
      </c>
      <c r="LM25">
        <v>8.6397881740856395</v>
      </c>
      <c r="LN25">
        <v>-10.2926154572532</v>
      </c>
      <c r="LO25">
        <v>-41.043181818146302</v>
      </c>
      <c r="LP25">
        <v>-709.07340183552503</v>
      </c>
      <c r="LQ25">
        <v>-46.879826926503704</v>
      </c>
      <c r="LR25">
        <v>16.666949090608401</v>
      </c>
      <c r="LS25">
        <v>16.481000000000002</v>
      </c>
      <c r="LT25">
        <v>127.85914751420501</v>
      </c>
      <c r="LU25">
        <v>727.89296207179405</v>
      </c>
      <c r="LV25">
        <v>16.113702132731401</v>
      </c>
      <c r="LW25">
        <v>15.2553024009955</v>
      </c>
      <c r="LX25">
        <v>-79.582775888131494</v>
      </c>
      <c r="LY25">
        <v>-31.605406727021801</v>
      </c>
      <c r="LZ25">
        <v>16.644997564015199</v>
      </c>
      <c r="MA25">
        <v>16.481000000000002</v>
      </c>
      <c r="MB25">
        <v>84.730086752781006</v>
      </c>
      <c r="MC25">
        <v>480.80693939471797</v>
      </c>
      <c r="MD25">
        <v>16.070723322683602</v>
      </c>
      <c r="ME25">
        <v>15.1869091600791</v>
      </c>
      <c r="MF25">
        <v>-52.014874391169002</v>
      </c>
      <c r="MG25">
        <v>-47.224841965394397</v>
      </c>
      <c r="MH25">
        <v>16.496281155588299</v>
      </c>
      <c r="MI25">
        <v>16.481000000000002</v>
      </c>
      <c r="MJ25">
        <v>136.82517837520601</v>
      </c>
      <c r="MK25">
        <v>779.26511170137405</v>
      </c>
      <c r="ML25">
        <v>15.8938704331977</v>
      </c>
      <c r="MM25">
        <v>14.974496925979199</v>
      </c>
      <c r="MN25">
        <v>-89.050874175397297</v>
      </c>
      <c r="MO25">
        <v>-31.112598374697399</v>
      </c>
      <c r="MP25">
        <v>16.649972305677501</v>
      </c>
      <c r="MQ25">
        <v>16.481000000000002</v>
      </c>
      <c r="MR25">
        <v>84.637568252009004</v>
      </c>
      <c r="MS25">
        <v>480.95710266922299</v>
      </c>
      <c r="MT25">
        <v>16.074360894823599</v>
      </c>
      <c r="MU25">
        <v>15.185911223033999</v>
      </c>
      <c r="MV25">
        <v>-52.425796855075802</v>
      </c>
      <c r="MW25">
        <v>-45.635596005362402</v>
      </c>
      <c r="MX25">
        <v>17.234185602414499</v>
      </c>
      <c r="MY25">
        <v>17.0279354993407</v>
      </c>
      <c r="MZ25">
        <v>146.60866501808701</v>
      </c>
      <c r="NA25">
        <v>868.383466208698</v>
      </c>
      <c r="NB25">
        <v>16.568816479789099</v>
      </c>
      <c r="NC25">
        <v>15.419107127138201</v>
      </c>
      <c r="ND25">
        <v>-102.87386462758199</v>
      </c>
      <c r="NE25">
        <v>-30.788808221261299</v>
      </c>
      <c r="NF25">
        <v>17.220050625861401</v>
      </c>
      <c r="NG25">
        <v>16.992666243868801</v>
      </c>
      <c r="NH25">
        <v>95.356188690412907</v>
      </c>
      <c r="NI25">
        <v>562.44557656216205</v>
      </c>
      <c r="NJ25">
        <v>16.5448896409866</v>
      </c>
      <c r="NK25">
        <v>15.380999357963301</v>
      </c>
      <c r="NL25">
        <v>-65.411709289036494</v>
      </c>
      <c r="NM25">
        <v>-45.211122996102297</v>
      </c>
      <c r="NN25">
        <v>16.598052695246899</v>
      </c>
      <c r="NO25">
        <v>16.419080271877601</v>
      </c>
      <c r="NP25">
        <v>131.62296433033001</v>
      </c>
      <c r="NQ25">
        <v>765.74085542422904</v>
      </c>
      <c r="NR25">
        <v>16.007747149053301</v>
      </c>
      <c r="NS25">
        <v>14.972570771431499</v>
      </c>
      <c r="NT25" s="35">
        <v>-89.714209157901905</v>
      </c>
      <c r="NU25" s="35">
        <v>-30.296340216170499</v>
      </c>
      <c r="NV25">
        <v>17.2705103244264</v>
      </c>
      <c r="NW25">
        <v>17.038733071180499</v>
      </c>
      <c r="NX25">
        <v>1.7</v>
      </c>
      <c r="NY25" s="35">
        <v>96.305664700386501</v>
      </c>
      <c r="NZ25" s="35">
        <v>570.05289410537</v>
      </c>
      <c r="OA25" s="35">
        <v>16.584614422021598</v>
      </c>
      <c r="OB25">
        <v>15.398400546565799</v>
      </c>
      <c r="OC25">
        <v>1.7</v>
      </c>
      <c r="OD25">
        <v>-67.018409013348602</v>
      </c>
      <c r="OE25">
        <v>1.7</v>
      </c>
      <c r="OF25">
        <v>1.7</v>
      </c>
      <c r="OG25">
        <v>-42.078618643054803</v>
      </c>
      <c r="OH25">
        <v>16.711023049344799</v>
      </c>
      <c r="OI25">
        <v>16.993894359796499</v>
      </c>
      <c r="OJ25">
        <v>234.284980779758</v>
      </c>
      <c r="OK25">
        <v>1451.1670567149799</v>
      </c>
      <c r="OL25">
        <v>15.515265105833301</v>
      </c>
      <c r="OM25">
        <v>13.339226220941899</v>
      </c>
      <c r="ON25">
        <v>-214.06873213983201</v>
      </c>
      <c r="OO25">
        <v>-28.463884218512799</v>
      </c>
      <c r="OP25">
        <v>16.7411447582836</v>
      </c>
      <c r="OQ25">
        <v>17.0120672264161</v>
      </c>
      <c r="OR25">
        <v>153.118347313664</v>
      </c>
      <c r="OS25">
        <v>944.803583558681</v>
      </c>
      <c r="OT25">
        <v>15.517850075097</v>
      </c>
      <c r="OU25">
        <v>13.3021292421803</v>
      </c>
      <c r="OV25">
        <v>-138.169981294065</v>
      </c>
      <c r="OW25">
        <v>-41.8270011840617</v>
      </c>
      <c r="OX25">
        <v>16.1054556792166</v>
      </c>
      <c r="OY25">
        <v>16.366784486841201</v>
      </c>
      <c r="OZ25">
        <v>214.25726706966199</v>
      </c>
      <c r="PA25">
        <v>1314.6758988849899</v>
      </c>
      <c r="PB25">
        <v>15.014385416082799</v>
      </c>
      <c r="PC25">
        <v>13.0040763989188</v>
      </c>
      <c r="PD25">
        <v>-194.84342608203701</v>
      </c>
      <c r="PE25">
        <v>-27.961745469863999</v>
      </c>
      <c r="PF25">
        <v>16.778498742612399</v>
      </c>
      <c r="PG25">
        <v>17.0569941932626</v>
      </c>
      <c r="PH25">
        <v>1.7</v>
      </c>
      <c r="PI25">
        <v>154.537896096352</v>
      </c>
      <c r="PJ25">
        <v>954.24162697398197</v>
      </c>
      <c r="PK25">
        <v>15.5418680364025</v>
      </c>
      <c r="PL25">
        <v>13.3073473276351</v>
      </c>
      <c r="PM25">
        <v>1.7</v>
      </c>
      <c r="PN25">
        <v>-139.925977954454</v>
      </c>
      <c r="PO25">
        <v>15.095957425949299</v>
      </c>
      <c r="PP25">
        <v>14.9944246362511</v>
      </c>
      <c r="PQ25">
        <v>14.745300727052999</v>
      </c>
      <c r="PR25">
        <v>14.995735670255501</v>
      </c>
      <c r="PS25">
        <v>16.8252171230674</v>
      </c>
      <c r="PT25">
        <v>15.1419042503053</v>
      </c>
      <c r="PU25">
        <v>15.073098786134199</v>
      </c>
      <c r="PV25">
        <v>14.692935044680301</v>
      </c>
      <c r="PW25">
        <v>15.0881462190078</v>
      </c>
      <c r="PX25">
        <v>16.5493400575238</v>
      </c>
      <c r="PY25">
        <v>12.493281081312</v>
      </c>
      <c r="PZ25">
        <v>12.4404619393136</v>
      </c>
      <c r="QA25">
        <v>12.1899475686856</v>
      </c>
      <c r="QB25">
        <v>12.4445943937524</v>
      </c>
      <c r="QC25">
        <v>14.035419755600699</v>
      </c>
      <c r="QD25">
        <v>15.5976568822855</v>
      </c>
      <c r="QE25">
        <v>14.225869568616099</v>
      </c>
      <c r="QF25">
        <v>14.12586000161</v>
      </c>
      <c r="QG25">
        <v>13.912233646795899</v>
      </c>
      <c r="QH25">
        <v>14.1124274980636</v>
      </c>
      <c r="QI25">
        <v>16.810770620334299</v>
      </c>
      <c r="QJ25">
        <v>14.211902036961</v>
      </c>
      <c r="QK25">
        <v>14.1453610620331</v>
      </c>
      <c r="QL25">
        <v>13.8064663312345</v>
      </c>
      <c r="QM25">
        <v>14.144032977553501</v>
      </c>
      <c r="QN25">
        <v>1002.74751396411</v>
      </c>
      <c r="QO25">
        <v>16.543548919948801</v>
      </c>
      <c r="QP25">
        <v>-25.361114660021698</v>
      </c>
      <c r="QQ25">
        <v>11.7719270410324</v>
      </c>
      <c r="QR25">
        <v>11.7176822815858</v>
      </c>
      <c r="QS25">
        <v>11.492776236238999</v>
      </c>
      <c r="QT25">
        <v>11.7006897903505</v>
      </c>
      <c r="QU25">
        <v>14.028544410018601</v>
      </c>
      <c r="QV25">
        <v>15.599418177370699</v>
      </c>
      <c r="QW25">
        <v>812202.753555284</v>
      </c>
      <c r="QX25">
        <v>0</v>
      </c>
      <c r="QY25">
        <v>551368.99316853005</v>
      </c>
      <c r="QZ25">
        <v>0</v>
      </c>
      <c r="RA25">
        <v>134515.23205430599</v>
      </c>
      <c r="RB25">
        <v>0</v>
      </c>
      <c r="RC25">
        <v>92280.351437027595</v>
      </c>
      <c r="RD25">
        <v>0</v>
      </c>
      <c r="RE25">
        <v>297650.86878557299</v>
      </c>
      <c r="RF25">
        <v>0</v>
      </c>
      <c r="RG25">
        <v>204161.93808313299</v>
      </c>
      <c r="RH25" s="35">
        <v>0</v>
      </c>
      <c r="RI25">
        <v>0</v>
      </c>
      <c r="RJ25" s="35">
        <v>0</v>
      </c>
      <c r="RK25">
        <v>13.355781711283001</v>
      </c>
      <c r="RL25">
        <v>7697.5799726451496</v>
      </c>
      <c r="RM25">
        <v>7697.5799726451496</v>
      </c>
      <c r="RN25">
        <v>20504.174520988501</v>
      </c>
      <c r="RO25" s="35">
        <v>0</v>
      </c>
      <c r="RP25">
        <v>0</v>
      </c>
      <c r="RQ25">
        <v>13.257295366968901</v>
      </c>
      <c r="RR25">
        <v>4989.59173157433</v>
      </c>
      <c r="RS25">
        <v>4989.59173157433</v>
      </c>
      <c r="RT25">
        <v>13128.110932048799</v>
      </c>
      <c r="RU25">
        <v>0</v>
      </c>
      <c r="RV25">
        <v>0</v>
      </c>
      <c r="RW25">
        <v>13.079166566538801</v>
      </c>
      <c r="RX25">
        <v>8123.9176461802799</v>
      </c>
      <c r="RY25">
        <v>8123.9176461802799</v>
      </c>
      <c r="RZ25">
        <v>20942.9804282687</v>
      </c>
      <c r="SA25">
        <v>0</v>
      </c>
      <c r="SB25">
        <v>0</v>
      </c>
      <c r="SC25">
        <v>13.229119325871601</v>
      </c>
      <c r="SD25">
        <v>5017.9749953516703</v>
      </c>
      <c r="SE25">
        <v>5017.9749953516703</v>
      </c>
      <c r="SF25">
        <v>13157.284663714399</v>
      </c>
      <c r="SG25">
        <v>0</v>
      </c>
      <c r="SH25">
        <v>0</v>
      </c>
      <c r="SI25">
        <v>16.796324117601198</v>
      </c>
      <c r="SJ25">
        <v>33564.9083637484</v>
      </c>
      <c r="SK25">
        <v>33564.9083637484</v>
      </c>
      <c r="SL25">
        <v>76774.521056712896</v>
      </c>
      <c r="SM25">
        <v>21.1111</v>
      </c>
      <c r="SN25">
        <v>26.666699999999999</v>
      </c>
      <c r="SO25">
        <v>0</v>
      </c>
      <c r="SP25">
        <v>0</v>
      </c>
      <c r="SQ25">
        <v>16.212905287769601</v>
      </c>
      <c r="SR25">
        <v>0</v>
      </c>
      <c r="SS25">
        <v>0</v>
      </c>
      <c r="ST25">
        <v>0</v>
      </c>
      <c r="SU25">
        <v>0</v>
      </c>
      <c r="SV25">
        <v>0</v>
      </c>
      <c r="SW25">
        <v>16.1489926566029</v>
      </c>
      <c r="SX25">
        <v>0</v>
      </c>
      <c r="SY25">
        <v>0</v>
      </c>
      <c r="SZ25">
        <v>0</v>
      </c>
      <c r="TA25">
        <v>0</v>
      </c>
      <c r="TB25">
        <v>0</v>
      </c>
      <c r="TC25">
        <v>15.67654190577</v>
      </c>
      <c r="TD25">
        <v>0</v>
      </c>
      <c r="TE25">
        <v>0</v>
      </c>
      <c r="TF25">
        <v>0</v>
      </c>
      <c r="TG25">
        <v>0</v>
      </c>
      <c r="TH25">
        <v>0</v>
      </c>
      <c r="TI25">
        <v>16.190029684592599</v>
      </c>
      <c r="TJ25">
        <v>0</v>
      </c>
      <c r="TK25">
        <v>0</v>
      </c>
      <c r="TL25">
        <v>0</v>
      </c>
      <c r="TM25">
        <v>0</v>
      </c>
      <c r="TN25">
        <v>0</v>
      </c>
      <c r="TO25">
        <v>16.7280850563623</v>
      </c>
      <c r="TP25">
        <v>0</v>
      </c>
      <c r="TQ25">
        <v>0</v>
      </c>
      <c r="TR25">
        <v>0</v>
      </c>
      <c r="TS25">
        <v>0</v>
      </c>
      <c r="TT25">
        <v>0</v>
      </c>
      <c r="TU25">
        <v>13.281899823616699</v>
      </c>
      <c r="TV25">
        <v>7840.5271210396004</v>
      </c>
      <c r="TW25">
        <v>7840.5271210396004</v>
      </c>
      <c r="TX25">
        <v>20676.359150774198</v>
      </c>
      <c r="TY25">
        <v>0</v>
      </c>
      <c r="TZ25">
        <v>0</v>
      </c>
      <c r="UA25">
        <v>13.217623337932</v>
      </c>
      <c r="UB25">
        <v>5047.93151160654</v>
      </c>
      <c r="UC25">
        <v>5047.93151160654</v>
      </c>
      <c r="UD25">
        <v>13204.8632768855</v>
      </c>
      <c r="UE25">
        <v>0</v>
      </c>
      <c r="UF25">
        <v>0</v>
      </c>
      <c r="UG25">
        <v>12.9199976177888</v>
      </c>
      <c r="UH25">
        <v>8402.4038775701702</v>
      </c>
      <c r="UI25">
        <v>8402.4038775701702</v>
      </c>
      <c r="UJ25">
        <v>21254.473625311501</v>
      </c>
      <c r="UK25">
        <v>0</v>
      </c>
      <c r="UL25">
        <v>0</v>
      </c>
      <c r="UM25">
        <v>13.1999197360993</v>
      </c>
      <c r="UN25">
        <v>5060.3194309263499</v>
      </c>
      <c r="UO25">
        <v>5060.3194309263499</v>
      </c>
      <c r="UP25">
        <v>13218.0891818415</v>
      </c>
      <c r="UQ25">
        <v>0</v>
      </c>
      <c r="UR25">
        <v>0</v>
      </c>
      <c r="US25">
        <v>16.537757782373799</v>
      </c>
      <c r="UT25">
        <v>35613.329706665303</v>
      </c>
      <c r="UU25">
        <v>35613.329706665303</v>
      </c>
      <c r="UV25">
        <v>78861.056898046707</v>
      </c>
      <c r="UW25">
        <v>21.1111</v>
      </c>
      <c r="UX25">
        <v>26.666699999999999</v>
      </c>
      <c r="UY25">
        <v>0</v>
      </c>
      <c r="UZ25">
        <v>0</v>
      </c>
      <c r="VA25">
        <v>16.154916074664602</v>
      </c>
      <c r="VB25">
        <v>0</v>
      </c>
      <c r="VC25">
        <v>0</v>
      </c>
      <c r="VD25">
        <v>0</v>
      </c>
      <c r="VE25">
        <v>0</v>
      </c>
      <c r="VF25">
        <v>0</v>
      </c>
      <c r="VG25">
        <v>16.137982565570201</v>
      </c>
      <c r="VH25">
        <v>0</v>
      </c>
      <c r="VI25">
        <v>0</v>
      </c>
      <c r="VJ25">
        <v>0</v>
      </c>
      <c r="VK25">
        <v>0</v>
      </c>
      <c r="VL25">
        <v>0</v>
      </c>
      <c r="VM25">
        <v>15.590687536249201</v>
      </c>
      <c r="VN25">
        <v>0</v>
      </c>
      <c r="VO25">
        <v>0</v>
      </c>
      <c r="VP25">
        <v>0</v>
      </c>
      <c r="VQ25">
        <v>0</v>
      </c>
      <c r="VR25">
        <v>0</v>
      </c>
      <c r="VS25">
        <v>16.180786135489999</v>
      </c>
      <c r="VT25">
        <v>0</v>
      </c>
      <c r="VU25">
        <v>0</v>
      </c>
      <c r="VV25">
        <v>0</v>
      </c>
      <c r="VW25">
        <v>0</v>
      </c>
      <c r="VX25">
        <v>0</v>
      </c>
      <c r="VY25">
        <v>16.431659781657402</v>
      </c>
      <c r="VZ25">
        <v>0</v>
      </c>
      <c r="WA25">
        <v>0</v>
      </c>
      <c r="WB25">
        <v>0</v>
      </c>
      <c r="WC25">
        <v>0</v>
      </c>
      <c r="WD25">
        <v>0</v>
      </c>
      <c r="WE25">
        <v>11.050573000752699</v>
      </c>
      <c r="WF25">
        <v>11411.929754261</v>
      </c>
      <c r="WG25">
        <v>11411.929754261</v>
      </c>
      <c r="WH25">
        <v>24356.162921536201</v>
      </c>
      <c r="WI25">
        <v>0</v>
      </c>
      <c r="WJ25">
        <v>0</v>
      </c>
      <c r="WK25">
        <v>0</v>
      </c>
      <c r="WL25">
        <v>10.9949026238579</v>
      </c>
      <c r="WM25">
        <v>7310.2671320194104</v>
      </c>
      <c r="WN25">
        <v>7310.2671320194104</v>
      </c>
      <c r="WO25">
        <v>15536.262792470799</v>
      </c>
      <c r="WP25">
        <v>18.333300000000001</v>
      </c>
      <c r="WQ25">
        <v>26.666699999999999</v>
      </c>
      <c r="WR25">
        <v>0</v>
      </c>
      <c r="WS25">
        <v>0</v>
      </c>
      <c r="WT25">
        <v>10.795604903792499</v>
      </c>
      <c r="WU25">
        <v>11813.1452052279</v>
      </c>
      <c r="WV25">
        <v>11813.1452052279</v>
      </c>
      <c r="WW25">
        <v>24768.682700581099</v>
      </c>
      <c r="WX25">
        <v>0</v>
      </c>
      <c r="WY25">
        <v>0</v>
      </c>
      <c r="WZ25">
        <v>0</v>
      </c>
      <c r="XA25">
        <v>10.9567851869487</v>
      </c>
      <c r="XB25">
        <v>7348.29521837015</v>
      </c>
      <c r="XC25">
        <v>7348.29521837015</v>
      </c>
      <c r="XD25">
        <v>15575.195389692901</v>
      </c>
      <c r="XE25">
        <v>0</v>
      </c>
      <c r="XF25">
        <v>0</v>
      </c>
      <c r="XG25">
        <v>14.021669064436599</v>
      </c>
      <c r="XH25">
        <v>55810.150228027698</v>
      </c>
      <c r="XI25">
        <v>55810.150228027698</v>
      </c>
      <c r="XJ25">
        <v>99417.634768728094</v>
      </c>
      <c r="XK25">
        <v>21.1111</v>
      </c>
      <c r="XL25">
        <v>26.666699999999999</v>
      </c>
      <c r="XM25">
        <v>0</v>
      </c>
      <c r="XN25">
        <v>0</v>
      </c>
      <c r="XO25">
        <v>8.8910817816768102</v>
      </c>
      <c r="XP25">
        <v>0</v>
      </c>
      <c r="XQ25">
        <v>0</v>
      </c>
      <c r="XR25">
        <v>0</v>
      </c>
      <c r="XS25">
        <v>0</v>
      </c>
      <c r="XT25">
        <v>0</v>
      </c>
      <c r="XU25">
        <v>8.8361506339293907</v>
      </c>
      <c r="XV25">
        <v>0</v>
      </c>
      <c r="XW25">
        <v>0</v>
      </c>
      <c r="XX25">
        <v>0</v>
      </c>
      <c r="XY25">
        <v>0</v>
      </c>
      <c r="XZ25">
        <v>0</v>
      </c>
      <c r="YA25">
        <v>8.6931304566825407</v>
      </c>
      <c r="YB25">
        <v>0</v>
      </c>
      <c r="YC25">
        <v>0</v>
      </c>
      <c r="YD25">
        <v>0</v>
      </c>
      <c r="YE25">
        <v>0</v>
      </c>
      <c r="YF25">
        <v>0</v>
      </c>
      <c r="YG25">
        <v>8.8723144348066096</v>
      </c>
      <c r="YH25">
        <v>0</v>
      </c>
      <c r="YI25">
        <v>0</v>
      </c>
      <c r="YJ25">
        <v>0</v>
      </c>
      <c r="YK25">
        <v>0</v>
      </c>
      <c r="YL25">
        <v>0</v>
      </c>
      <c r="YM25">
        <v>11.253597972261099</v>
      </c>
      <c r="YN25">
        <v>0</v>
      </c>
      <c r="YO25">
        <v>0</v>
      </c>
      <c r="YP25">
        <v>0</v>
      </c>
      <c r="YQ25">
        <v>0</v>
      </c>
      <c r="YR25">
        <v>0</v>
      </c>
      <c r="YS25">
        <v>16.309987601587999</v>
      </c>
      <c r="YT25">
        <v>0</v>
      </c>
      <c r="YU25">
        <v>0</v>
      </c>
      <c r="YV25">
        <v>0</v>
      </c>
      <c r="YW25">
        <v>0</v>
      </c>
      <c r="YX25">
        <v>0</v>
      </c>
      <c r="YY25">
        <v>16.272683414372501</v>
      </c>
      <c r="YZ25">
        <v>0</v>
      </c>
      <c r="ZA25">
        <v>0</v>
      </c>
      <c r="ZB25">
        <v>0</v>
      </c>
      <c r="ZC25">
        <v>0</v>
      </c>
      <c r="ZD25">
        <v>0</v>
      </c>
      <c r="ZE25">
        <v>16.116323108893798</v>
      </c>
      <c r="ZF25">
        <v>0</v>
      </c>
      <c r="ZG25">
        <v>0</v>
      </c>
      <c r="ZH25">
        <v>0</v>
      </c>
      <c r="ZI25">
        <v>0</v>
      </c>
      <c r="ZJ25">
        <v>0</v>
      </c>
      <c r="ZK25">
        <v>16.277968771026401</v>
      </c>
      <c r="ZL25">
        <v>0</v>
      </c>
      <c r="ZM25">
        <v>0</v>
      </c>
      <c r="ZN25">
        <v>0</v>
      </c>
      <c r="ZO25">
        <v>0</v>
      </c>
      <c r="ZP25">
        <v>0</v>
      </c>
      <c r="ZQ25">
        <v>16.9555369646754</v>
      </c>
      <c r="ZR25">
        <v>0</v>
      </c>
      <c r="ZS25">
        <v>0</v>
      </c>
      <c r="ZT25">
        <v>0</v>
      </c>
      <c r="ZU25">
        <v>0</v>
      </c>
      <c r="ZV25">
        <v>0</v>
      </c>
      <c r="ZW25">
        <v>16.798298239806801</v>
      </c>
      <c r="ZX25">
        <v>0</v>
      </c>
      <c r="ZY25">
        <v>0</v>
      </c>
      <c r="ZZ25">
        <v>0</v>
      </c>
      <c r="AAA25">
        <v>0</v>
      </c>
      <c r="AAB25">
        <v>0</v>
      </c>
      <c r="AAC25">
        <v>16.773089198137999</v>
      </c>
      <c r="AAD25">
        <v>0</v>
      </c>
      <c r="AAE25">
        <v>0</v>
      </c>
      <c r="AAF25">
        <v>0</v>
      </c>
      <c r="AAG25">
        <v>0</v>
      </c>
      <c r="AAH25">
        <v>0</v>
      </c>
      <c r="AAI25">
        <v>16.205428538231601</v>
      </c>
      <c r="AAJ25">
        <v>0</v>
      </c>
      <c r="AAK25">
        <v>0</v>
      </c>
      <c r="AAL25">
        <v>0</v>
      </c>
      <c r="AAM25">
        <v>0</v>
      </c>
      <c r="AAN25">
        <v>0</v>
      </c>
      <c r="AAO25">
        <v>16.818894885673998</v>
      </c>
      <c r="AAP25">
        <v>0</v>
      </c>
      <c r="AAQ25">
        <v>0</v>
      </c>
      <c r="AAR25">
        <v>0</v>
      </c>
      <c r="AAS25">
        <v>0</v>
      </c>
      <c r="AAT25">
        <v>0</v>
      </c>
      <c r="AAU25">
        <v>16.5745563700997</v>
      </c>
      <c r="AAV25">
        <v>0</v>
      </c>
      <c r="AAW25">
        <v>0</v>
      </c>
      <c r="AAX25">
        <v>0</v>
      </c>
      <c r="AAY25">
        <v>0</v>
      </c>
      <c r="AAZ25">
        <v>0</v>
      </c>
      <c r="ABA25">
        <v>16.013408202766499</v>
      </c>
      <c r="ABB25">
        <v>0</v>
      </c>
      <c r="ABC25">
        <v>0</v>
      </c>
      <c r="ABD25">
        <v>0</v>
      </c>
      <c r="ABE25">
        <v>0</v>
      </c>
      <c r="ABF25">
        <v>0</v>
      </c>
      <c r="ABG25">
        <v>16.023314950740598</v>
      </c>
      <c r="ABH25">
        <v>0</v>
      </c>
      <c r="ABI25">
        <v>0</v>
      </c>
      <c r="ABJ25">
        <v>0</v>
      </c>
      <c r="ABK25">
        <v>0</v>
      </c>
      <c r="ABL25">
        <v>0</v>
      </c>
      <c r="ABM25">
        <v>15.4651014027064</v>
      </c>
      <c r="ABN25">
        <v>0</v>
      </c>
      <c r="ABO25">
        <v>0</v>
      </c>
      <c r="ABP25">
        <v>0</v>
      </c>
      <c r="ABQ25">
        <v>0</v>
      </c>
      <c r="ABR25">
        <v>0</v>
      </c>
      <c r="ABS25">
        <v>16.054669642228401</v>
      </c>
      <c r="ABT25">
        <v>0</v>
      </c>
      <c r="ABU25">
        <v>0</v>
      </c>
      <c r="ABV25">
        <v>0</v>
      </c>
      <c r="ABW25">
        <v>0</v>
      </c>
      <c r="ABX25">
        <v>0</v>
      </c>
      <c r="ABY25">
        <v>15.599418177370699</v>
      </c>
      <c r="ABZ25">
        <v>0</v>
      </c>
      <c r="ACA25">
        <v>0</v>
      </c>
      <c r="ACB25">
        <v>0</v>
      </c>
      <c r="ACC25">
        <v>0</v>
      </c>
      <c r="ACD25">
        <v>0</v>
      </c>
      <c r="ACE25">
        <v>0</v>
      </c>
      <c r="ACF25">
        <v>12.2200000000079</v>
      </c>
      <c r="ACG25">
        <v>12.2200000000079</v>
      </c>
      <c r="ACH25">
        <v>0</v>
      </c>
      <c r="ACI25">
        <v>0</v>
      </c>
      <c r="ACJ25">
        <v>0</v>
      </c>
      <c r="ACK25">
        <v>20.760648244627699</v>
      </c>
      <c r="ACL25">
        <v>20.760648244627699</v>
      </c>
      <c r="ACM25">
        <v>0</v>
      </c>
      <c r="ACN25">
        <v>0</v>
      </c>
      <c r="ACO25">
        <v>0</v>
      </c>
      <c r="ACP25">
        <v>0</v>
      </c>
      <c r="ACQ25">
        <v>8077.8762156739303</v>
      </c>
      <c r="ACR25">
        <v>0</v>
      </c>
      <c r="ACS25">
        <v>8077.8762156739303</v>
      </c>
      <c r="ACT25">
        <v>16.796299391175999</v>
      </c>
      <c r="ACU25">
        <v>16.796299391175999</v>
      </c>
      <c r="ACV25">
        <v>0</v>
      </c>
      <c r="ACW25">
        <v>0</v>
      </c>
      <c r="ACX25">
        <v>1</v>
      </c>
      <c r="ACY25">
        <v>16.537747498968201</v>
      </c>
      <c r="ACZ25">
        <v>16.537747498968201</v>
      </c>
      <c r="ADA25">
        <v>0</v>
      </c>
      <c r="ADB25">
        <v>0</v>
      </c>
      <c r="ADC25">
        <v>1</v>
      </c>
      <c r="ADD25">
        <v>14.0217597803742</v>
      </c>
      <c r="ADE25">
        <v>14.0217597803742</v>
      </c>
      <c r="ADF25">
        <v>0</v>
      </c>
      <c r="ADG25">
        <v>0</v>
      </c>
      <c r="ADH25">
        <v>1</v>
      </c>
      <c r="ADI25">
        <v>14.0684153401284</v>
      </c>
      <c r="ADJ25">
        <v>14.0684153401284</v>
      </c>
      <c r="ADK25">
        <v>0</v>
      </c>
      <c r="ADL25">
        <v>0</v>
      </c>
      <c r="ADM25">
        <v>1</v>
      </c>
      <c r="ADN25">
        <v>13.97508851499</v>
      </c>
      <c r="ADO25">
        <v>13.97508851499</v>
      </c>
      <c r="ADP25">
        <v>0</v>
      </c>
      <c r="ADQ25">
        <v>0</v>
      </c>
      <c r="ADR25">
        <v>1</v>
      </c>
      <c r="ADS25">
        <v>13.7528450230232</v>
      </c>
      <c r="ADT25">
        <v>13.7528450230232</v>
      </c>
      <c r="ADU25">
        <v>0</v>
      </c>
      <c r="ADV25">
        <v>0</v>
      </c>
      <c r="ADW25">
        <v>1</v>
      </c>
      <c r="ADX25">
        <v>13.961348319147399</v>
      </c>
      <c r="ADY25">
        <v>13.961348319147399</v>
      </c>
      <c r="ADZ25">
        <v>0</v>
      </c>
      <c r="AEA25">
        <v>0</v>
      </c>
      <c r="AEB25">
        <v>1</v>
      </c>
      <c r="AEC25">
        <v>14.0430782526076</v>
      </c>
      <c r="AED25">
        <v>14.0430782526076</v>
      </c>
      <c r="AEE25">
        <v>0</v>
      </c>
      <c r="AEF25">
        <v>0</v>
      </c>
      <c r="AEG25">
        <v>1</v>
      </c>
      <c r="AEH25">
        <v>13.9832327486158</v>
      </c>
      <c r="AEI25">
        <v>13.9832327486158</v>
      </c>
      <c r="AEJ25">
        <v>0</v>
      </c>
      <c r="AEK25">
        <v>0</v>
      </c>
      <c r="AEL25">
        <v>1</v>
      </c>
      <c r="AEM25">
        <v>13.634320827678099</v>
      </c>
      <c r="AEN25">
        <v>13.634320827678099</v>
      </c>
      <c r="AEO25">
        <v>0</v>
      </c>
      <c r="AEP25">
        <v>0</v>
      </c>
      <c r="AEQ25">
        <v>1</v>
      </c>
      <c r="AER25">
        <v>13.9794559932827</v>
      </c>
      <c r="AES25">
        <v>13.9794559932827</v>
      </c>
      <c r="AET25">
        <v>0</v>
      </c>
      <c r="AEU25">
        <v>0</v>
      </c>
      <c r="AEV25">
        <v>1</v>
      </c>
      <c r="AEW25">
        <v>11.721203169960299</v>
      </c>
      <c r="AEX25">
        <v>11.721203169960299</v>
      </c>
      <c r="AEY25">
        <v>0</v>
      </c>
      <c r="AEZ25">
        <v>0</v>
      </c>
      <c r="AFA25">
        <v>1</v>
      </c>
      <c r="AFB25">
        <v>11.670992123952001</v>
      </c>
      <c r="AFC25">
        <v>11.670992123952001</v>
      </c>
      <c r="AFD25">
        <v>0</v>
      </c>
      <c r="AFE25">
        <v>0</v>
      </c>
      <c r="AFF25">
        <v>1</v>
      </c>
      <c r="AFG25">
        <v>11.4369973582707</v>
      </c>
      <c r="AFH25">
        <v>11.4369973582707</v>
      </c>
      <c r="AFI25">
        <v>0</v>
      </c>
      <c r="AFJ25">
        <v>0</v>
      </c>
      <c r="AFK25">
        <v>1</v>
      </c>
      <c r="AFL25">
        <v>11.6575799584861</v>
      </c>
      <c r="AFM25">
        <v>11.6575799584861</v>
      </c>
      <c r="AFN25">
        <v>0</v>
      </c>
      <c r="AFO25">
        <v>0</v>
      </c>
      <c r="AFP25">
        <v>1</v>
      </c>
      <c r="AFQ25">
        <v>-2.1189043253002899</v>
      </c>
      <c r="AFR25">
        <v>-2.0772587477028899</v>
      </c>
      <c r="AFS25">
        <v>-2.0905081486433601</v>
      </c>
      <c r="AFT25">
        <v>-2.0894888629350801</v>
      </c>
      <c r="AFU25">
        <v>-2.1307716068030702</v>
      </c>
      <c r="AFV25">
        <v>-2.0772072447443199</v>
      </c>
      <c r="AFW25">
        <v>-2.0847293221220702</v>
      </c>
      <c r="AFX25">
        <v>-2.0852201160886401</v>
      </c>
      <c r="AFY25">
        <v>-2.3908578954755701</v>
      </c>
      <c r="AFZ25">
        <v>-2.3605362121610201</v>
      </c>
      <c r="AGA25">
        <v>-2.36659777860234</v>
      </c>
      <c r="AGB25">
        <v>-2.36585395528025</v>
      </c>
      <c r="AGC25">
        <v>-1.7501050717230999</v>
      </c>
      <c r="AGD25">
        <v>-1.78947498916909</v>
      </c>
      <c r="AGE25">
        <v>-2.1292527614274102</v>
      </c>
      <c r="AGF25">
        <v>0</v>
      </c>
      <c r="AGG25">
        <v>0</v>
      </c>
      <c r="AGH25">
        <v>0</v>
      </c>
      <c r="AGI25">
        <v>0</v>
      </c>
      <c r="AGJ25">
        <v>0</v>
      </c>
      <c r="AGK25">
        <v>0</v>
      </c>
      <c r="AGL25">
        <v>0</v>
      </c>
      <c r="AGM25">
        <v>0</v>
      </c>
      <c r="AGN25">
        <v>0</v>
      </c>
      <c r="AGO25">
        <v>0</v>
      </c>
      <c r="AGP25">
        <v>0</v>
      </c>
      <c r="AGQ25">
        <v>0</v>
      </c>
      <c r="AGR25">
        <v>0</v>
      </c>
      <c r="AGS25">
        <v>0</v>
      </c>
      <c r="AGT25">
        <v>0</v>
      </c>
      <c r="AGU25">
        <v>0</v>
      </c>
      <c r="AGV25">
        <v>0</v>
      </c>
      <c r="AGW25">
        <v>0</v>
      </c>
      <c r="AGX25">
        <v>0</v>
      </c>
      <c r="AGY25">
        <v>0</v>
      </c>
      <c r="AGZ25">
        <v>0</v>
      </c>
      <c r="AHA25">
        <v>0</v>
      </c>
      <c r="AHB25">
        <v>0</v>
      </c>
      <c r="AHC25">
        <v>0</v>
      </c>
      <c r="AHD25">
        <v>0</v>
      </c>
      <c r="AHE25">
        <v>0</v>
      </c>
      <c r="AHF25">
        <v>0</v>
      </c>
      <c r="AHG25">
        <v>0</v>
      </c>
      <c r="AHH25">
        <v>0</v>
      </c>
      <c r="AHI25">
        <v>0</v>
      </c>
      <c r="AHJ25">
        <v>0</v>
      </c>
      <c r="AHK25">
        <v>0</v>
      </c>
      <c r="AHL25">
        <v>0</v>
      </c>
      <c r="AHM25">
        <v>0</v>
      </c>
      <c r="AHN25">
        <v>0</v>
      </c>
      <c r="AHO25">
        <v>0</v>
      </c>
      <c r="AHP25">
        <v>0</v>
      </c>
      <c r="AHQ25">
        <v>0</v>
      </c>
      <c r="AHR25">
        <v>0</v>
      </c>
      <c r="AHS25">
        <v>0</v>
      </c>
      <c r="AHT25">
        <v>0</v>
      </c>
      <c r="AHU25">
        <v>0</v>
      </c>
      <c r="AHV25">
        <v>0</v>
      </c>
      <c r="AHW25">
        <v>0</v>
      </c>
      <c r="AHX25">
        <v>0</v>
      </c>
      <c r="AHY25">
        <v>7663.0903364054202</v>
      </c>
      <c r="AHZ25">
        <v>0</v>
      </c>
      <c r="AIA25">
        <v>0</v>
      </c>
      <c r="AIB25">
        <v>0</v>
      </c>
      <c r="AIC25">
        <v>7473.1807568156801</v>
      </c>
      <c r="AID25">
        <v>0</v>
      </c>
      <c r="AIE25">
        <v>11449.3279002605</v>
      </c>
      <c r="AIF25">
        <v>0</v>
      </c>
      <c r="AIG25">
        <v>6209.4197605586996</v>
      </c>
      <c r="AIH25">
        <v>0</v>
      </c>
      <c r="AII25">
        <v>0</v>
      </c>
      <c r="AIJ25">
        <v>0</v>
      </c>
      <c r="AIK25">
        <v>8170.7160987592097</v>
      </c>
      <c r="AIL25">
        <v>0</v>
      </c>
      <c r="AIM25">
        <v>8364.7020227513694</v>
      </c>
      <c r="AIN25">
        <v>0</v>
      </c>
      <c r="AIO25">
        <v>12181.9898787648</v>
      </c>
      <c r="AIP25">
        <v>0</v>
      </c>
      <c r="AIQ25">
        <v>7617.6639691293203</v>
      </c>
      <c r="AIR25">
        <v>0</v>
      </c>
      <c r="AIS25">
        <v>0</v>
      </c>
      <c r="AIT25">
        <v>0</v>
      </c>
      <c r="AIU25">
        <v>8910.2521972249706</v>
      </c>
      <c r="AIV25">
        <v>0</v>
      </c>
      <c r="AIW25">
        <v>8913.2464364731495</v>
      </c>
      <c r="AIX25">
        <v>0</v>
      </c>
      <c r="AIY25">
        <v>13378.0177412598</v>
      </c>
      <c r="AIZ25">
        <v>0</v>
      </c>
      <c r="AJA25">
        <v>9551.7894107583797</v>
      </c>
      <c r="AJB25">
        <v>0</v>
      </c>
      <c r="AJC25">
        <v>0</v>
      </c>
      <c r="AJD25">
        <v>0</v>
      </c>
      <c r="AJE25">
        <v>0</v>
      </c>
      <c r="AJF25">
        <v>99.483975758973997</v>
      </c>
      <c r="AJG25">
        <v>99.483975758973997</v>
      </c>
      <c r="AJH25">
        <v>0</v>
      </c>
      <c r="AJI25">
        <v>526434773.30473697</v>
      </c>
      <c r="AJJ25">
        <v>0</v>
      </c>
      <c r="AJK25">
        <v>0</v>
      </c>
      <c r="AJL25">
        <v>0</v>
      </c>
      <c r="AJM25">
        <v>0</v>
      </c>
      <c r="AJN25">
        <v>0</v>
      </c>
      <c r="AJO25">
        <v>0</v>
      </c>
      <c r="AJP25">
        <v>0</v>
      </c>
      <c r="AJQ25">
        <v>0</v>
      </c>
      <c r="AJR25">
        <v>0</v>
      </c>
      <c r="AJS25">
        <v>0</v>
      </c>
      <c r="AJT25">
        <v>0</v>
      </c>
      <c r="AJU25">
        <v>0</v>
      </c>
      <c r="AJV25">
        <v>0</v>
      </c>
      <c r="AJW25">
        <v>0</v>
      </c>
      <c r="AJX25">
        <v>0</v>
      </c>
      <c r="AJY25">
        <v>0</v>
      </c>
      <c r="AJZ25">
        <v>0</v>
      </c>
      <c r="AKA25">
        <v>0</v>
      </c>
      <c r="AKB25">
        <v>0</v>
      </c>
      <c r="AKC25">
        <v>0</v>
      </c>
      <c r="AKD25">
        <v>0</v>
      </c>
      <c r="AKE25">
        <v>74.738617733567096</v>
      </c>
      <c r="AKF25">
        <v>74.738617733567096</v>
      </c>
      <c r="AKG25">
        <v>0</v>
      </c>
      <c r="AKH25">
        <v>0</v>
      </c>
      <c r="AKI25">
        <v>0</v>
      </c>
      <c r="AKJ25">
        <v>0</v>
      </c>
      <c r="AKK25">
        <v>0</v>
      </c>
      <c r="AKL25">
        <v>74.738617733567096</v>
      </c>
      <c r="AKM25">
        <v>74.738617733567096</v>
      </c>
      <c r="AKN25">
        <v>0</v>
      </c>
      <c r="AKO25">
        <v>0</v>
      </c>
      <c r="AKP25">
        <v>0</v>
      </c>
      <c r="AKQ25">
        <v>16504678.354439501</v>
      </c>
      <c r="AKR25">
        <v>16504678.354439501</v>
      </c>
      <c r="AKS25">
        <v>191.02636984304999</v>
      </c>
      <c r="AKT25">
        <v>0</v>
      </c>
      <c r="AKU25">
        <v>6734795.2483461499</v>
      </c>
      <c r="AKV25">
        <v>6734795.2483461499</v>
      </c>
      <c r="AKW25">
        <v>77.949019078080497</v>
      </c>
      <c r="AKX25">
        <v>0</v>
      </c>
      <c r="AKY25">
        <v>6078357.7937538503</v>
      </c>
      <c r="AKZ25">
        <v>6078357.7937538503</v>
      </c>
      <c r="ALA25">
        <v>70.351363353632493</v>
      </c>
      <c r="ALB25">
        <v>20.760648244627699</v>
      </c>
      <c r="ALC25">
        <v>20.760648244627699</v>
      </c>
      <c r="ALD25">
        <v>0</v>
      </c>
      <c r="ALE25">
        <v>0</v>
      </c>
      <c r="ALF25">
        <v>0</v>
      </c>
      <c r="ALG25">
        <v>0</v>
      </c>
      <c r="ALH25">
        <v>16.733155666724901</v>
      </c>
      <c r="ALI25">
        <v>2.8568269606532499E-3</v>
      </c>
      <c r="ALJ25">
        <v>0</v>
      </c>
      <c r="ALK25">
        <v>16.733155666724901</v>
      </c>
      <c r="ALL25">
        <v>0</v>
      </c>
      <c r="ALM25">
        <v>0</v>
      </c>
      <c r="ALN25">
        <v>16.733155666724901</v>
      </c>
      <c r="ALO25">
        <v>2.8568269606532499E-3</v>
      </c>
      <c r="ALP25">
        <v>24.299079244920499</v>
      </c>
      <c r="ALQ25">
        <v>0</v>
      </c>
      <c r="ALR25">
        <v>16.733155666724901</v>
      </c>
      <c r="ALS25">
        <v>0</v>
      </c>
      <c r="ALT25">
        <v>16.733155666724901</v>
      </c>
      <c r="ALU25">
        <v>0</v>
      </c>
      <c r="ALV25">
        <v>12.2200000000079</v>
      </c>
      <c r="ALW25">
        <v>9.9999999999999897E-12</v>
      </c>
      <c r="ALX25">
        <v>12.2200000000079</v>
      </c>
      <c r="ALY25">
        <v>9.9999999999999897E-12</v>
      </c>
      <c r="ALZ25">
        <v>0</v>
      </c>
      <c r="AMA25">
        <v>12.2200000000079</v>
      </c>
      <c r="AMB25">
        <v>0</v>
      </c>
      <c r="AMC25">
        <v>12.2200000000079</v>
      </c>
      <c r="AMD25">
        <v>0</v>
      </c>
      <c r="AME25">
        <v>12.2200000000079</v>
      </c>
      <c r="AMF25">
        <v>0</v>
      </c>
      <c r="AMG25">
        <v>0</v>
      </c>
      <c r="AMH25">
        <v>0</v>
      </c>
      <c r="AMI25">
        <v>16.2945283105974</v>
      </c>
      <c r="AMJ25">
        <v>0</v>
      </c>
      <c r="AMK25" s="580">
        <v>16.948807205291899</v>
      </c>
      <c r="AML25">
        <v>0</v>
      </c>
      <c r="AMM25">
        <v>16.28916502817</v>
      </c>
      <c r="AMN25">
        <v>0</v>
      </c>
      <c r="AMO25">
        <v>16.325949145955001</v>
      </c>
      <c r="AMP25">
        <v>0</v>
      </c>
      <c r="AMQ25">
        <v>16.131368834802299</v>
      </c>
      <c r="AMR25">
        <v>0</v>
      </c>
      <c r="AMS25">
        <v>16.569564148002801</v>
      </c>
      <c r="AMT25">
        <v>0</v>
      </c>
      <c r="AMU25">
        <v>16.819592704352999</v>
      </c>
      <c r="AMV25">
        <v>0</v>
      </c>
      <c r="AMW25">
        <v>16.8660649827547</v>
      </c>
      <c r="AMX25">
        <v>0</v>
      </c>
      <c r="AMY25">
        <v>16.843180753494199</v>
      </c>
      <c r="AMZ25">
        <v>0</v>
      </c>
      <c r="ANA25">
        <v>16.2470146629718</v>
      </c>
      <c r="ANB25">
        <v>0</v>
      </c>
      <c r="ANC25">
        <v>15.6191025529046</v>
      </c>
      <c r="AND25">
        <v>0</v>
      </c>
      <c r="ANE25">
        <v>16.098108832119301</v>
      </c>
      <c r="ANF25">
        <v>0</v>
      </c>
      <c r="ANG25">
        <v>16.129501278316098</v>
      </c>
      <c r="ANH25">
        <v>0</v>
      </c>
      <c r="ANI25">
        <v>16.0861857417901</v>
      </c>
      <c r="ANJ25">
        <v>0</v>
      </c>
      <c r="ANK25">
        <v>15.5340322211944</v>
      </c>
      <c r="ANL25">
        <v>0</v>
      </c>
      <c r="ANM25">
        <v>0</v>
      </c>
      <c r="ANN25">
        <v>0</v>
      </c>
      <c r="ANO25">
        <v>0</v>
      </c>
      <c r="ANP25">
        <v>16.948807205291899</v>
      </c>
      <c r="ANQ25">
        <v>16.28916502817</v>
      </c>
      <c r="ANR25">
        <v>16.2945283105974</v>
      </c>
      <c r="ANS25">
        <v>16.131368834802299</v>
      </c>
      <c r="ANT25">
        <v>16.325949145955001</v>
      </c>
      <c r="ANU25">
        <v>16.569564148002801</v>
      </c>
      <c r="ANV25">
        <v>16.819592704352999</v>
      </c>
      <c r="ANW25">
        <v>16.8660649827547</v>
      </c>
      <c r="ANX25">
        <v>16.2470146629718</v>
      </c>
      <c r="ANY25">
        <v>16.843180753494199</v>
      </c>
      <c r="ANZ25">
        <v>15.6191025529046</v>
      </c>
      <c r="AOA25">
        <v>16.098108832119301</v>
      </c>
      <c r="AOB25">
        <v>16.129501278316098</v>
      </c>
      <c r="AOC25">
        <v>15.5340322211944</v>
      </c>
      <c r="AOD25">
        <v>16.0861857417901</v>
      </c>
      <c r="AOE25">
        <v>16.733155666724901</v>
      </c>
      <c r="AOF25">
        <v>0</v>
      </c>
      <c r="AOG25">
        <v>16.738497560673999</v>
      </c>
      <c r="AOH25">
        <v>0</v>
      </c>
    </row>
    <row r="26" spans="1:1074">
      <c r="A26" t="s">
        <v>2596</v>
      </c>
      <c r="B26">
        <v>21.110199999999999</v>
      </c>
      <c r="D26">
        <v>15.647261867991</v>
      </c>
      <c r="F26">
        <v>9</v>
      </c>
      <c r="G26">
        <v>6988958.1450714003</v>
      </c>
      <c r="H26">
        <v>15006965.342177801</v>
      </c>
      <c r="I26">
        <v>4438405.1063184803</v>
      </c>
      <c r="J26">
        <v>9530317.7129537892</v>
      </c>
      <c r="K26">
        <v>6988958.1450714003</v>
      </c>
      <c r="L26">
        <v>15006965.342177801</v>
      </c>
      <c r="M26">
        <v>4438405.1063184803</v>
      </c>
      <c r="N26">
        <v>9530317.7129538003</v>
      </c>
      <c r="O26">
        <v>36043418.585661501</v>
      </c>
      <c r="P26">
        <v>77393843.588843703</v>
      </c>
      <c r="Q26">
        <v>6988958.1450714003</v>
      </c>
      <c r="R26">
        <v>15006965.342177801</v>
      </c>
      <c r="S26">
        <v>4438405.1063184803</v>
      </c>
      <c r="T26">
        <v>9530317.7129537892</v>
      </c>
      <c r="U26">
        <v>6988958.1450714003</v>
      </c>
      <c r="V26">
        <v>15006965.342177801</v>
      </c>
      <c r="W26">
        <v>4438405.1063184803</v>
      </c>
      <c r="X26">
        <v>9530317.7129538003</v>
      </c>
      <c r="Y26">
        <v>36043418.585661501</v>
      </c>
      <c r="Z26">
        <v>77393843.588843703</v>
      </c>
      <c r="AA26">
        <v>6988958.1450714003</v>
      </c>
      <c r="AB26">
        <v>15006965.342177801</v>
      </c>
      <c r="AC26">
        <v>4438405.1063184803</v>
      </c>
      <c r="AD26">
        <v>9530317.7129537892</v>
      </c>
      <c r="AE26">
        <v>6988958.1450714003</v>
      </c>
      <c r="AF26">
        <v>15006965.342177801</v>
      </c>
      <c r="AG26">
        <v>4438405.1063184803</v>
      </c>
      <c r="AH26">
        <v>9530317.7129538003</v>
      </c>
      <c r="AI26">
        <v>36043418.585661501</v>
      </c>
      <c r="AJ26">
        <v>77393843.588843703</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v>0</v>
      </c>
      <c r="BN26">
        <v>0</v>
      </c>
      <c r="BO26">
        <v>0</v>
      </c>
      <c r="BP26">
        <v>0</v>
      </c>
      <c r="BQ26">
        <v>0</v>
      </c>
      <c r="BR26">
        <v>0</v>
      </c>
      <c r="BS26">
        <v>0</v>
      </c>
      <c r="BT26">
        <v>0</v>
      </c>
      <c r="BU26">
        <v>0</v>
      </c>
      <c r="BV26">
        <v>0</v>
      </c>
      <c r="BW26">
        <v>0</v>
      </c>
      <c r="BX26">
        <v>0</v>
      </c>
      <c r="BY26">
        <v>0</v>
      </c>
      <c r="BZ26">
        <v>0</v>
      </c>
      <c r="CA26">
        <v>0</v>
      </c>
      <c r="CB26">
        <v>0</v>
      </c>
      <c r="CC26">
        <v>0</v>
      </c>
      <c r="CD26">
        <v>0</v>
      </c>
      <c r="CE26">
        <v>3773179.8574618599</v>
      </c>
      <c r="CF26">
        <v>8575408.7669587694</v>
      </c>
      <c r="CG26">
        <v>3773179.8574618599</v>
      </c>
      <c r="CH26">
        <v>8575408.7669587694</v>
      </c>
      <c r="CI26">
        <v>2396194.1678283801</v>
      </c>
      <c r="CJ26">
        <v>5445895.8359735999</v>
      </c>
      <c r="CK26">
        <v>2396194.1678283801</v>
      </c>
      <c r="CL26">
        <v>5445895.8359735999</v>
      </c>
      <c r="CM26">
        <v>3773179.8574618599</v>
      </c>
      <c r="CN26">
        <v>8575408.7669587694</v>
      </c>
      <c r="CO26">
        <v>3773179.8574618599</v>
      </c>
      <c r="CP26">
        <v>8575408.7669587694</v>
      </c>
      <c r="CQ26">
        <v>2396194.1678283801</v>
      </c>
      <c r="CR26">
        <v>5445895.8359735999</v>
      </c>
      <c r="CS26">
        <v>2396194.1678283801</v>
      </c>
      <c r="CT26">
        <v>5445895.8359735999</v>
      </c>
      <c r="CU26">
        <v>3773179.8574618599</v>
      </c>
      <c r="CV26">
        <v>8575408.7669587694</v>
      </c>
      <c r="CW26">
        <v>3773179.8574618599</v>
      </c>
      <c r="CX26">
        <v>8575408.7669587694</v>
      </c>
      <c r="CY26">
        <v>2396194.1678283801</v>
      </c>
      <c r="CZ26">
        <v>5445895.8359735999</v>
      </c>
      <c r="DA26">
        <v>2396194.1678283801</v>
      </c>
      <c r="DB26">
        <v>5445895.8359735999</v>
      </c>
      <c r="DC26">
        <v>19459023.5309093</v>
      </c>
      <c r="DD26">
        <v>44225053.479339302</v>
      </c>
      <c r="DE26">
        <v>19459023.5309093</v>
      </c>
      <c r="DF26">
        <v>44225053.479339302</v>
      </c>
      <c r="DG26">
        <v>19459023.5309093</v>
      </c>
      <c r="DH26">
        <v>44225053.479339302</v>
      </c>
      <c r="DI26">
        <v>3215778.2876095399</v>
      </c>
      <c r="DJ26">
        <v>6431556.5752190799</v>
      </c>
      <c r="DK26">
        <v>3215778.2876095399</v>
      </c>
      <c r="DL26">
        <v>6431556.5752190799</v>
      </c>
      <c r="DM26">
        <v>2042210.9384901</v>
      </c>
      <c r="DN26">
        <v>4084421.8769801999</v>
      </c>
      <c r="DO26">
        <v>2042210.9384901</v>
      </c>
      <c r="DP26">
        <v>4084421.8769801999</v>
      </c>
      <c r="DQ26">
        <v>3215778.2876095399</v>
      </c>
      <c r="DR26">
        <v>6431556.5752190799</v>
      </c>
      <c r="DS26">
        <v>3215778.2876095399</v>
      </c>
      <c r="DT26">
        <v>6431556.5752190799</v>
      </c>
      <c r="DU26">
        <v>2042210.9384901</v>
      </c>
      <c r="DV26">
        <v>4084421.8769801999</v>
      </c>
      <c r="DW26">
        <v>2042210.9384901</v>
      </c>
      <c r="DX26">
        <v>4084421.8769801999</v>
      </c>
      <c r="DY26">
        <v>3215778.2876095399</v>
      </c>
      <c r="DZ26">
        <v>6431556.5752190799</v>
      </c>
      <c r="EA26">
        <v>3215778.2876095399</v>
      </c>
      <c r="EB26">
        <v>6431556.5752190799</v>
      </c>
      <c r="EC26">
        <v>2042210.9384901</v>
      </c>
      <c r="ED26">
        <v>4084421.8769801999</v>
      </c>
      <c r="EE26">
        <v>2042210.9384901</v>
      </c>
      <c r="EF26">
        <v>4084421.8769801999</v>
      </c>
      <c r="EG26">
        <v>16584395.054752201</v>
      </c>
      <c r="EH26">
        <v>33168790.109504402</v>
      </c>
      <c r="EI26">
        <v>16584395.054752201</v>
      </c>
      <c r="EJ26">
        <v>33168790.109504402</v>
      </c>
      <c r="EK26">
        <v>16584395.054752201</v>
      </c>
      <c r="EL26">
        <v>33168790.109504402</v>
      </c>
      <c r="EM26">
        <v>0</v>
      </c>
      <c r="EN26">
        <v>0</v>
      </c>
      <c r="EO26">
        <v>0</v>
      </c>
      <c r="EP26">
        <v>0</v>
      </c>
      <c r="EQ26">
        <v>0</v>
      </c>
      <c r="ER26">
        <v>0</v>
      </c>
      <c r="ES26">
        <v>0</v>
      </c>
      <c r="ET26">
        <v>0</v>
      </c>
      <c r="EU26">
        <v>0</v>
      </c>
      <c r="EV26">
        <v>0</v>
      </c>
      <c r="EW26">
        <v>0</v>
      </c>
      <c r="EX26">
        <v>0</v>
      </c>
      <c r="EY26">
        <v>0</v>
      </c>
      <c r="EZ26">
        <v>0</v>
      </c>
      <c r="FA26">
        <v>0</v>
      </c>
      <c r="FB26">
        <v>0</v>
      </c>
      <c r="FC26">
        <v>0</v>
      </c>
      <c r="FD26">
        <v>0</v>
      </c>
      <c r="FE26">
        <v>0</v>
      </c>
      <c r="FF26">
        <v>0</v>
      </c>
      <c r="FG26">
        <v>0</v>
      </c>
      <c r="FH26">
        <v>0</v>
      </c>
      <c r="FI26">
        <v>0</v>
      </c>
      <c r="FJ26">
        <v>0</v>
      </c>
      <c r="FK26">
        <v>0</v>
      </c>
      <c r="FL26">
        <v>0</v>
      </c>
      <c r="FM26">
        <v>0</v>
      </c>
      <c r="FN26">
        <v>0</v>
      </c>
      <c r="FO26">
        <v>0</v>
      </c>
      <c r="FP26">
        <v>0</v>
      </c>
      <c r="FQ26">
        <v>0</v>
      </c>
      <c r="FR26">
        <v>0</v>
      </c>
      <c r="FS26">
        <v>0</v>
      </c>
      <c r="FT26">
        <v>0</v>
      </c>
      <c r="FU26">
        <v>0</v>
      </c>
      <c r="FV26">
        <v>0</v>
      </c>
      <c r="FW26">
        <v>0</v>
      </c>
      <c r="FX26">
        <v>0</v>
      </c>
      <c r="FY26">
        <v>0</v>
      </c>
      <c r="FZ26">
        <v>0</v>
      </c>
      <c r="GA26">
        <v>0</v>
      </c>
      <c r="GB26">
        <v>-82.062442455937799</v>
      </c>
      <c r="GC26">
        <v>-422.62912771707101</v>
      </c>
      <c r="GD26">
        <v>-321.38919031117302</v>
      </c>
      <c r="GE26">
        <v>-55.344228936879297</v>
      </c>
      <c r="GF26">
        <v>-265.402603999218</v>
      </c>
      <c r="GG26">
        <v>-199.05661912223101</v>
      </c>
      <c r="GH26">
        <v>-86.120799914311803</v>
      </c>
      <c r="GI26">
        <v>-427.46876069469403</v>
      </c>
      <c r="GJ26">
        <v>-328.41196563847097</v>
      </c>
      <c r="GK26">
        <v>-48.166178222387401</v>
      </c>
      <c r="GL26">
        <v>-268.28945098991198</v>
      </c>
      <c r="GM26">
        <v>-199.086068120026</v>
      </c>
      <c r="GN26">
        <v>-1.09323921484203</v>
      </c>
      <c r="GO26">
        <v>25.268403781627299</v>
      </c>
      <c r="GP26">
        <v>25.825369033598701</v>
      </c>
      <c r="GQ26">
        <v>69.074614547289201</v>
      </c>
      <c r="GR26">
        <v>-28.235404601924799</v>
      </c>
      <c r="GS26">
        <v>-464.21465644960301</v>
      </c>
      <c r="GT26">
        <v>-1.4838250483868101</v>
      </c>
      <c r="GU26">
        <v>25.3319003544207</v>
      </c>
      <c r="GV26">
        <v>25.872855697661301</v>
      </c>
      <c r="GW26">
        <v>43.6325554486139</v>
      </c>
      <c r="GX26">
        <v>-14.4111893187007</v>
      </c>
      <c r="GY26">
        <v>-267.86595937416098</v>
      </c>
      <c r="GZ26">
        <v>-2.6705572488440801</v>
      </c>
      <c r="HA26">
        <v>25.2842900203099</v>
      </c>
      <c r="HB26">
        <v>25.867823432677</v>
      </c>
      <c r="HC26">
        <v>72.703279488088299</v>
      </c>
      <c r="HD26">
        <v>-28.610331271250899</v>
      </c>
      <c r="HE26">
        <v>-472.02198315208301</v>
      </c>
      <c r="HF26">
        <v>-0.59604142323216502</v>
      </c>
      <c r="HG26">
        <v>25.5296366678769</v>
      </c>
      <c r="HH26">
        <v>26.0691964986603</v>
      </c>
      <c r="HI26">
        <v>43.630871413443003</v>
      </c>
      <c r="HJ26">
        <v>-14.5362358568525</v>
      </c>
      <c r="HK26">
        <v>-267.15150402522102</v>
      </c>
      <c r="HL26">
        <v>-70.701042159583295</v>
      </c>
      <c r="HM26">
        <v>27.292488298890898</v>
      </c>
      <c r="HN26">
        <v>27.510001139583899</v>
      </c>
      <c r="HO26">
        <v>-32.644987871522098</v>
      </c>
      <c r="HP26">
        <v>-243.393493514092</v>
      </c>
      <c r="HQ26">
        <v>26.6482915024188</v>
      </c>
      <c r="HR26">
        <v>-321.14124815134602</v>
      </c>
      <c r="HS26">
        <v>-48.175564154676202</v>
      </c>
      <c r="HT26">
        <v>27.3527052755684</v>
      </c>
      <c r="HU26">
        <v>27.559252187626999</v>
      </c>
      <c r="HV26">
        <v>-17.603112270182201</v>
      </c>
      <c r="HW26">
        <v>-150.007361473505</v>
      </c>
      <c r="HX26">
        <v>26.7195818559223</v>
      </c>
      <c r="HY26">
        <v>-196.30453869270201</v>
      </c>
      <c r="HZ26">
        <v>27.317936024081298</v>
      </c>
      <c r="IA26">
        <v>27.541914464409899</v>
      </c>
      <c r="IB26">
        <v>-37.8729229521118</v>
      </c>
      <c r="IC26">
        <v>-76.005402679879793</v>
      </c>
      <c r="ID26">
        <v>-246.596361463058</v>
      </c>
      <c r="IE26">
        <v>26.692286285083</v>
      </c>
      <c r="IF26">
        <v>-325.99676791681702</v>
      </c>
      <c r="IG26">
        <v>-9.3684558795373292</v>
      </c>
      <c r="IH26">
        <v>27.4973265101323</v>
      </c>
      <c r="II26">
        <v>27.6217789702829</v>
      </c>
      <c r="IJ26">
        <v>-23.5418939428396</v>
      </c>
      <c r="IK26">
        <v>-8.9012008166990295</v>
      </c>
      <c r="IL26">
        <v>-42.251100102278798</v>
      </c>
      <c r="IM26">
        <v>-149.646418478447</v>
      </c>
      <c r="IN26">
        <v>26.9297101285506</v>
      </c>
      <c r="IO26">
        <v>1.3462142677353901</v>
      </c>
      <c r="IP26">
        <v>-194.731271679668</v>
      </c>
      <c r="IQ26">
        <v>-210.970544002944</v>
      </c>
      <c r="IR26">
        <v>-119.327487423242</v>
      </c>
      <c r="IS26">
        <v>-203.83519910067699</v>
      </c>
      <c r="IT26">
        <v>-111.07280909001599</v>
      </c>
      <c r="IU26">
        <v>-3743.1335553369299</v>
      </c>
      <c r="IV26">
        <v>-2.69173413822667</v>
      </c>
      <c r="IW26">
        <v>25.786419130534998</v>
      </c>
      <c r="IX26">
        <v>26.6482915024188</v>
      </c>
      <c r="IY26">
        <v>116.956749212684</v>
      </c>
      <c r="IZ26">
        <v>-48.0533301521411</v>
      </c>
      <c r="JA26">
        <v>-709.29796711349604</v>
      </c>
      <c r="JB26">
        <v>-2.6578518830950602</v>
      </c>
      <c r="JC26">
        <v>25.866762765705801</v>
      </c>
      <c r="JD26">
        <v>26.7195818559223</v>
      </c>
      <c r="JE26">
        <v>74.735801190248296</v>
      </c>
      <c r="JF26">
        <v>-26.882196705525701</v>
      </c>
      <c r="JG26">
        <v>-425.55934027927901</v>
      </c>
      <c r="JH26">
        <v>-4.4117721720217498</v>
      </c>
      <c r="JI26">
        <v>25.8021913382184</v>
      </c>
      <c r="JJ26">
        <v>26.692286285083</v>
      </c>
      <c r="JK26">
        <v>121.34679573599701</v>
      </c>
      <c r="JL26">
        <v>-48.777267457315297</v>
      </c>
      <c r="JM26">
        <v>-719.88113864615798</v>
      </c>
      <c r="JN26">
        <v>-1.6961801083153201</v>
      </c>
      <c r="JO26">
        <v>26.078501036926198</v>
      </c>
      <c r="JP26">
        <v>26.9297101285506</v>
      </c>
      <c r="JQ26">
        <v>1.1582480939470099</v>
      </c>
      <c r="JR26">
        <v>74.635031378815697</v>
      </c>
      <c r="JS26">
        <v>0.90258967485246999</v>
      </c>
      <c r="JT26">
        <v>-26.3792155749966</v>
      </c>
      <c r="JU26">
        <v>-420.36738810153503</v>
      </c>
      <c r="JV26">
        <v>-68.504733405328395</v>
      </c>
      <c r="JW26">
        <v>-238.001677457189</v>
      </c>
      <c r="JX26">
        <v>-320.965665294985</v>
      </c>
      <c r="JY26">
        <v>-46.331323847423498</v>
      </c>
      <c r="JZ26">
        <v>-145.303718886555</v>
      </c>
      <c r="KA26">
        <v>-200.26526426056299</v>
      </c>
      <c r="KB26">
        <v>-73.508696075631605</v>
      </c>
      <c r="KC26">
        <v>-240.616745293278</v>
      </c>
      <c r="KD26">
        <v>-325.452616782679</v>
      </c>
      <c r="KE26">
        <v>-40.701081620940201</v>
      </c>
      <c r="KF26">
        <v>26.221044299819798</v>
      </c>
      <c r="KG26">
        <v>-125.072314616011</v>
      </c>
      <c r="KH26">
        <v>0.77021047565865597</v>
      </c>
      <c r="KI26">
        <v>-144.32240174938701</v>
      </c>
      <c r="KJ26">
        <v>-198.57288290104199</v>
      </c>
      <c r="KK26">
        <v>13.724233742081999</v>
      </c>
      <c r="KL26">
        <v>25.837873487199801</v>
      </c>
      <c r="KM26">
        <v>26.7658588337815</v>
      </c>
      <c r="KN26">
        <v>278.95553127136299</v>
      </c>
      <c r="KO26">
        <v>25.210253679981701</v>
      </c>
      <c r="KP26">
        <v>15.241646741052</v>
      </c>
      <c r="KQ26">
        <v>26.603083517567299</v>
      </c>
      <c r="KR26">
        <v>-591.06164523361394</v>
      </c>
      <c r="KS26">
        <v>7.9071552051218204</v>
      </c>
      <c r="KT26">
        <v>25.8384603463047</v>
      </c>
      <c r="KU26">
        <v>26.787773556917699</v>
      </c>
      <c r="KV26">
        <v>180.062640731084</v>
      </c>
      <c r="KW26">
        <v>25.201848372808399</v>
      </c>
      <c r="KX26">
        <v>15.335591200225201</v>
      </c>
      <c r="KY26">
        <v>17.051923980246102</v>
      </c>
      <c r="KZ26">
        <v>-373.02677169544802</v>
      </c>
      <c r="LA26">
        <v>11.2730554452906</v>
      </c>
      <c r="LB26">
        <v>25.8470867840065</v>
      </c>
      <c r="LC26">
        <v>26.803171607627998</v>
      </c>
      <c r="LD26">
        <v>285.11997189388097</v>
      </c>
      <c r="LE26">
        <v>25.207703540513201</v>
      </c>
      <c r="LF26">
        <v>15.241198819061999</v>
      </c>
      <c r="LG26">
        <v>26.981641878358499</v>
      </c>
      <c r="LH26">
        <v>-596.01886105944095</v>
      </c>
      <c r="LI26">
        <v>10.048265967417301</v>
      </c>
      <c r="LJ26">
        <v>26.0516499312671</v>
      </c>
      <c r="LK26">
        <v>26.999433787586799</v>
      </c>
      <c r="LL26">
        <v>185.19472587848699</v>
      </c>
      <c r="LM26">
        <v>25.424778168054701</v>
      </c>
      <c r="LN26">
        <v>15.7071585796841</v>
      </c>
      <c r="LO26">
        <v>19.659280532599301</v>
      </c>
      <c r="LP26">
        <v>-362.221347617135</v>
      </c>
      <c r="LQ26">
        <v>1.60341539313019</v>
      </c>
      <c r="LR26">
        <v>20.2254447547406</v>
      </c>
      <c r="LS26">
        <v>16.420999999999999</v>
      </c>
      <c r="LT26">
        <v>-323.36359753210201</v>
      </c>
      <c r="LU26">
        <v>-2084.61269242253</v>
      </c>
      <c r="LV26">
        <v>21.981890444350601</v>
      </c>
      <c r="LW26">
        <v>24.8077802391701</v>
      </c>
      <c r="LX26">
        <v>335.221988916638</v>
      </c>
      <c r="LY26">
        <v>0.59003645109375502</v>
      </c>
      <c r="LZ26">
        <v>20.270299134637199</v>
      </c>
      <c r="MA26">
        <v>16.420999999999999</v>
      </c>
      <c r="MB26">
        <v>-203.82954860170901</v>
      </c>
      <c r="MC26">
        <v>-1313.2259430408201</v>
      </c>
      <c r="MD26">
        <v>22.019849580030598</v>
      </c>
      <c r="ME26">
        <v>24.8543857595688</v>
      </c>
      <c r="MF26">
        <v>212.76968301273499</v>
      </c>
      <c r="MG26">
        <v>0.85395408266258399</v>
      </c>
      <c r="MH26">
        <v>20.227092328883099</v>
      </c>
      <c r="MI26">
        <v>16.420999999999999</v>
      </c>
      <c r="MJ26">
        <v>-322.79589126350402</v>
      </c>
      <c r="MK26">
        <v>-2085.2507421865098</v>
      </c>
      <c r="ML26">
        <v>21.987253662478899</v>
      </c>
      <c r="MM26">
        <v>24.8483706996264</v>
      </c>
      <c r="MN26">
        <v>337.18288917231001</v>
      </c>
      <c r="MO26">
        <v>1.19785164500209</v>
      </c>
      <c r="MP26">
        <v>20.326294971392802</v>
      </c>
      <c r="MQ26">
        <v>16.420999999999999</v>
      </c>
      <c r="MR26">
        <v>-212.94125539661499</v>
      </c>
      <c r="MS26">
        <v>-1367.4312284411999</v>
      </c>
      <c r="MT26">
        <v>22.144098203998801</v>
      </c>
      <c r="MU26">
        <v>25.035248577289501</v>
      </c>
      <c r="MV26">
        <v>219.91018476840401</v>
      </c>
      <c r="MW26">
        <v>-4.30771398111452</v>
      </c>
      <c r="MX26">
        <v>24.428839345927901</v>
      </c>
      <c r="MY26">
        <v>24.805288745281299</v>
      </c>
      <c r="MZ26">
        <v>-39.724074936095597</v>
      </c>
      <c r="NA26">
        <v>-489.34006702567399</v>
      </c>
      <c r="NB26">
        <v>24.891747207887001</v>
      </c>
      <c r="NC26">
        <v>26.311588782116701</v>
      </c>
      <c r="ND26">
        <v>133.84488170368101</v>
      </c>
      <c r="NE26">
        <v>-3.3895019253486498</v>
      </c>
      <c r="NF26">
        <v>24.527168787750998</v>
      </c>
      <c r="NG26">
        <v>24.8933911066541</v>
      </c>
      <c r="NH26">
        <v>-21.6511179307292</v>
      </c>
      <c r="NI26">
        <v>-290.68434222552099</v>
      </c>
      <c r="NJ26">
        <v>24.970938503943</v>
      </c>
      <c r="NK26">
        <v>26.385403122788201</v>
      </c>
      <c r="NL26">
        <v>84.018383206632507</v>
      </c>
      <c r="NM26">
        <v>-5.09799246794136</v>
      </c>
      <c r="NN26">
        <v>24.430963205763799</v>
      </c>
      <c r="NO26">
        <v>24.8072111405952</v>
      </c>
      <c r="NP26">
        <v>-39.227303049919499</v>
      </c>
      <c r="NQ26">
        <v>-491.70359743512199</v>
      </c>
      <c r="NR26">
        <v>24.898634219772902</v>
      </c>
      <c r="NS26">
        <v>26.353290479235898</v>
      </c>
      <c r="NT26">
        <v>136.12761446796901</v>
      </c>
      <c r="NU26">
        <v>-3.1234743716313198</v>
      </c>
      <c r="NV26">
        <v>24.708562669177802</v>
      </c>
      <c r="NW26">
        <v>25.091027521759401</v>
      </c>
      <c r="NX26">
        <v>1.7</v>
      </c>
      <c r="NY26">
        <v>-22.744060499574399</v>
      </c>
      <c r="NZ26">
        <v>-299.63816171473201</v>
      </c>
      <c r="OA26">
        <v>25.1666691806711</v>
      </c>
      <c r="OB26">
        <v>26.593001290952699</v>
      </c>
      <c r="OC26">
        <v>1.7</v>
      </c>
      <c r="OD26">
        <v>86.3392878475195</v>
      </c>
      <c r="OE26">
        <v>1.7</v>
      </c>
      <c r="OF26">
        <v>1.7</v>
      </c>
      <c r="OG26">
        <v>-4.5705764841103003</v>
      </c>
      <c r="OH26">
        <v>24.556102249015598</v>
      </c>
      <c r="OI26">
        <v>25.094940475880598</v>
      </c>
      <c r="OJ26">
        <v>-37.349153632717801</v>
      </c>
      <c r="OK26">
        <v>-490.60185517137</v>
      </c>
      <c r="OL26">
        <v>25.020520135865699</v>
      </c>
      <c r="OM26">
        <v>26.454099008388798</v>
      </c>
      <c r="ON26">
        <v>136.78599223469999</v>
      </c>
      <c r="OO26">
        <v>-3.5170193753820902</v>
      </c>
      <c r="OP26">
        <v>24.652817621764001</v>
      </c>
      <c r="OQ26">
        <v>25.1940735574907</v>
      </c>
      <c r="OR26">
        <v>-19.193921455160801</v>
      </c>
      <c r="OS26">
        <v>-284.97724834926203</v>
      </c>
      <c r="OT26">
        <v>25.089645676273999</v>
      </c>
      <c r="OU26">
        <v>26.5011168407543</v>
      </c>
      <c r="OV26">
        <v>84.822645964004096</v>
      </c>
      <c r="OW26">
        <v>-5.2994675940014</v>
      </c>
      <c r="OX26">
        <v>24.553520827421501</v>
      </c>
      <c r="OY26">
        <v>25.094971382436299</v>
      </c>
      <c r="OZ26">
        <v>-36.935608266434599</v>
      </c>
      <c r="PA26">
        <v>-493.247607746011</v>
      </c>
      <c r="PB26">
        <v>25.022650059739</v>
      </c>
      <c r="PC26">
        <v>26.4901338662937</v>
      </c>
      <c r="PD26">
        <v>138.96607341588299</v>
      </c>
      <c r="PE26">
        <v>-3.3265769060925998</v>
      </c>
      <c r="PF26">
        <v>24.857201696063701</v>
      </c>
      <c r="PG26">
        <v>25.409876472709801</v>
      </c>
      <c r="PH26">
        <v>1.7</v>
      </c>
      <c r="PI26">
        <v>-19.487318416837301</v>
      </c>
      <c r="PJ26">
        <v>-288.62068661465503</v>
      </c>
      <c r="PK26">
        <v>25.302153489505798</v>
      </c>
      <c r="PL26">
        <v>26.714356257563399</v>
      </c>
      <c r="PM26">
        <v>1.7</v>
      </c>
      <c r="PN26">
        <v>86.463656441614702</v>
      </c>
      <c r="PO26">
        <v>25.633067358252799</v>
      </c>
      <c r="PP26">
        <v>25.6969751661902</v>
      </c>
      <c r="PQ26">
        <v>25.678033007686199</v>
      </c>
      <c r="PR26">
        <v>25.888941435642401</v>
      </c>
      <c r="PS26">
        <v>25.790653265340701</v>
      </c>
      <c r="PT26">
        <v>26.670313225617701</v>
      </c>
      <c r="PU26">
        <v>26.751289925622</v>
      </c>
      <c r="PV26">
        <v>26.711892946513501</v>
      </c>
      <c r="PW26">
        <v>26.958561458102299</v>
      </c>
      <c r="PX26">
        <v>26.923033585757501</v>
      </c>
      <c r="PY26">
        <v>26.8252304397373</v>
      </c>
      <c r="PZ26">
        <v>26.8723989389343</v>
      </c>
      <c r="QA26">
        <v>26.858579518496299</v>
      </c>
      <c r="QB26">
        <v>27.0799107324647</v>
      </c>
      <c r="QC26">
        <v>27.438127297177001</v>
      </c>
      <c r="QD26">
        <v>24.2953442035775</v>
      </c>
      <c r="QE26">
        <v>26.096168082854302</v>
      </c>
      <c r="QF26">
        <v>26.1416087882323</v>
      </c>
      <c r="QG26">
        <v>26.1524457753411</v>
      </c>
      <c r="QH26">
        <v>26.330467660746699</v>
      </c>
      <c r="QI26">
        <v>26.774982404420701</v>
      </c>
      <c r="QJ26">
        <v>27.0210916650854</v>
      </c>
      <c r="QK26">
        <v>27.081048458153901</v>
      </c>
      <c r="QL26">
        <v>27.072776096824601</v>
      </c>
      <c r="QM26">
        <v>27.281389559818599</v>
      </c>
      <c r="QN26">
        <v>-660.92309088138597</v>
      </c>
      <c r="QO26">
        <v>27.871791689227301</v>
      </c>
      <c r="QP26">
        <v>-9732.9556084922297</v>
      </c>
      <c r="QQ26">
        <v>27.1531560235684</v>
      </c>
      <c r="QR26">
        <v>27.178461515621201</v>
      </c>
      <c r="QS26">
        <v>27.198642602470301</v>
      </c>
      <c r="QT26">
        <v>27.381006001786599</v>
      </c>
      <c r="QU26">
        <v>28.3891600795071</v>
      </c>
      <c r="QV26">
        <v>24.274075005988301</v>
      </c>
      <c r="QW26">
        <v>1304840.47394937</v>
      </c>
      <c r="QX26">
        <v>0</v>
      </c>
      <c r="QY26">
        <v>863385.91359502997</v>
      </c>
      <c r="QZ26">
        <v>0</v>
      </c>
      <c r="RA26">
        <v>74109.034480614398</v>
      </c>
      <c r="RB26">
        <v>0</v>
      </c>
      <c r="RC26">
        <v>50862.634801283501</v>
      </c>
      <c r="RD26">
        <v>0</v>
      </c>
      <c r="RE26">
        <v>273176.56223227398</v>
      </c>
      <c r="RF26">
        <v>0</v>
      </c>
      <c r="RG26">
        <v>183791.57183499</v>
      </c>
      <c r="RH26">
        <v>0</v>
      </c>
      <c r="RI26">
        <v>0</v>
      </c>
      <c r="RJ26">
        <v>0</v>
      </c>
      <c r="RK26">
        <v>26.559268807455702</v>
      </c>
      <c r="RL26">
        <v>0</v>
      </c>
      <c r="RM26">
        <v>-12285.702617856199</v>
      </c>
      <c r="RN26">
        <v>200.03736532094399</v>
      </c>
      <c r="RO26">
        <v>0</v>
      </c>
      <c r="RP26">
        <v>0</v>
      </c>
      <c r="RQ26">
        <v>26.586242410274401</v>
      </c>
      <c r="RR26">
        <v>0</v>
      </c>
      <c r="RS26">
        <v>-7837.6134511441296</v>
      </c>
      <c r="RT26">
        <v>100.65740155781501</v>
      </c>
      <c r="RU26">
        <v>0</v>
      </c>
      <c r="RV26">
        <v>0</v>
      </c>
      <c r="RW26">
        <v>26.626858542996001</v>
      </c>
      <c r="RX26">
        <v>0</v>
      </c>
      <c r="RY26">
        <v>-12387.2714924497</v>
      </c>
      <c r="RZ26">
        <v>95.821631782433499</v>
      </c>
      <c r="SA26">
        <v>0</v>
      </c>
      <c r="SB26">
        <v>0</v>
      </c>
      <c r="SC26">
        <v>26.771993885851099</v>
      </c>
      <c r="SD26">
        <v>-69.070472074575306</v>
      </c>
      <c r="SE26">
        <v>-8002.2113181813502</v>
      </c>
      <c r="SF26">
        <v>-69.070472074575306</v>
      </c>
      <c r="SG26">
        <v>0</v>
      </c>
      <c r="SH26">
        <v>0</v>
      </c>
      <c r="SI26">
        <v>27.759311543500601</v>
      </c>
      <c r="SJ26">
        <v>-8356.4718568203607</v>
      </c>
      <c r="SK26">
        <v>-50068.065448432397</v>
      </c>
      <c r="SL26">
        <v>-8356.4718568203607</v>
      </c>
      <c r="SM26">
        <v>21.1111</v>
      </c>
      <c r="SN26">
        <v>26.666699999999999</v>
      </c>
      <c r="SO26">
        <v>0</v>
      </c>
      <c r="SP26">
        <v>0</v>
      </c>
      <c r="SQ26">
        <v>24.948898172611301</v>
      </c>
      <c r="SR26">
        <v>0</v>
      </c>
      <c r="SS26">
        <v>0</v>
      </c>
      <c r="ST26">
        <v>0</v>
      </c>
      <c r="SU26">
        <v>0</v>
      </c>
      <c r="SV26">
        <v>0</v>
      </c>
      <c r="SW26">
        <v>25.013140547913899</v>
      </c>
      <c r="SX26">
        <v>0</v>
      </c>
      <c r="SY26">
        <v>0</v>
      </c>
      <c r="SZ26">
        <v>0</v>
      </c>
      <c r="TA26">
        <v>0</v>
      </c>
      <c r="TB26">
        <v>0</v>
      </c>
      <c r="TC26">
        <v>24.9545496555724</v>
      </c>
      <c r="TD26">
        <v>0</v>
      </c>
      <c r="TE26">
        <v>0</v>
      </c>
      <c r="TF26">
        <v>0</v>
      </c>
      <c r="TG26">
        <v>0</v>
      </c>
      <c r="TH26">
        <v>0</v>
      </c>
      <c r="TI26">
        <v>25.2068375205024</v>
      </c>
      <c r="TJ26">
        <v>0</v>
      </c>
      <c r="TK26">
        <v>0</v>
      </c>
      <c r="TL26">
        <v>0</v>
      </c>
      <c r="TM26">
        <v>0</v>
      </c>
      <c r="TN26">
        <v>0</v>
      </c>
      <c r="TO26">
        <v>24.616957916371799</v>
      </c>
      <c r="TP26">
        <v>0</v>
      </c>
      <c r="TQ26">
        <v>0</v>
      </c>
      <c r="TR26">
        <v>0</v>
      </c>
      <c r="TS26">
        <v>0</v>
      </c>
      <c r="TT26">
        <v>0</v>
      </c>
      <c r="TU26">
        <v>27.371870104553</v>
      </c>
      <c r="TV26">
        <v>-1055.0833607115801</v>
      </c>
      <c r="TW26">
        <v>-13599.569878341899</v>
      </c>
      <c r="TX26">
        <v>-1055.0833607115801</v>
      </c>
      <c r="TY26">
        <v>0</v>
      </c>
      <c r="TZ26">
        <v>0</v>
      </c>
      <c r="UA26">
        <v>27.410806990685799</v>
      </c>
      <c r="UB26">
        <v>-708.258927274043</v>
      </c>
      <c r="UC26">
        <v>-8686.3897344165107</v>
      </c>
      <c r="UD26">
        <v>-708.258927274043</v>
      </c>
      <c r="UE26">
        <v>0</v>
      </c>
      <c r="UF26">
        <v>0</v>
      </c>
      <c r="UG26">
        <v>27.433659247135701</v>
      </c>
      <c r="UH26">
        <v>-1149.5011550432801</v>
      </c>
      <c r="UI26">
        <v>-13691.5183304695</v>
      </c>
      <c r="UJ26">
        <v>-1149.5011550432801</v>
      </c>
      <c r="UK26">
        <v>0</v>
      </c>
      <c r="UL26">
        <v>0</v>
      </c>
      <c r="UM26">
        <v>27.604217661534999</v>
      </c>
      <c r="UN26">
        <v>-887.53520237197301</v>
      </c>
      <c r="UO26">
        <v>-8860.4449080037502</v>
      </c>
      <c r="UP26">
        <v>-887.53520237197301</v>
      </c>
      <c r="UQ26">
        <v>0</v>
      </c>
      <c r="UR26">
        <v>0</v>
      </c>
      <c r="US26">
        <v>28.820549792697001</v>
      </c>
      <c r="UT26">
        <v>-16501.043185110899</v>
      </c>
      <c r="UU26">
        <v>-58069.866907187403</v>
      </c>
      <c r="UV26">
        <v>-16501.043185110899</v>
      </c>
      <c r="UW26">
        <v>21.1111</v>
      </c>
      <c r="UX26">
        <v>26.666699999999999</v>
      </c>
      <c r="UY26">
        <v>0</v>
      </c>
      <c r="UZ26">
        <v>0</v>
      </c>
      <c r="VA26">
        <v>25.3310487074896</v>
      </c>
      <c r="VB26">
        <v>0</v>
      </c>
      <c r="VC26">
        <v>0</v>
      </c>
      <c r="VD26">
        <v>0</v>
      </c>
      <c r="VE26">
        <v>0</v>
      </c>
      <c r="VF26">
        <v>0</v>
      </c>
      <c r="VG26">
        <v>25.408772128594499</v>
      </c>
      <c r="VH26">
        <v>0</v>
      </c>
      <c r="VI26">
        <v>0</v>
      </c>
      <c r="VJ26">
        <v>0</v>
      </c>
      <c r="VK26">
        <v>0</v>
      </c>
      <c r="VL26">
        <v>0</v>
      </c>
      <c r="VM26">
        <v>25.3357892170954</v>
      </c>
      <c r="VN26">
        <v>0</v>
      </c>
      <c r="VO26">
        <v>0</v>
      </c>
      <c r="VP26">
        <v>0</v>
      </c>
      <c r="VQ26">
        <v>0</v>
      </c>
      <c r="VR26">
        <v>0</v>
      </c>
      <c r="VS26">
        <v>25.617970785737299</v>
      </c>
      <c r="VT26">
        <v>0</v>
      </c>
      <c r="VU26">
        <v>0</v>
      </c>
      <c r="VV26">
        <v>0</v>
      </c>
      <c r="VW26">
        <v>0</v>
      </c>
      <c r="VX26">
        <v>0</v>
      </c>
      <c r="VY26">
        <v>25.1706028511787</v>
      </c>
      <c r="VZ26">
        <v>0</v>
      </c>
      <c r="WA26">
        <v>0</v>
      </c>
      <c r="WB26">
        <v>0</v>
      </c>
      <c r="WC26">
        <v>0</v>
      </c>
      <c r="WD26">
        <v>0</v>
      </c>
      <c r="WE26">
        <v>27.481081607399599</v>
      </c>
      <c r="WF26">
        <v>-1217.9776142544799</v>
      </c>
      <c r="WG26">
        <v>-13802.5590741744</v>
      </c>
      <c r="WH26">
        <v>-1217.9776142544799</v>
      </c>
      <c r="WI26">
        <v>0</v>
      </c>
      <c r="WJ26">
        <v>0</v>
      </c>
      <c r="WK26">
        <v>0</v>
      </c>
      <c r="WL26">
        <v>27.484524092308099</v>
      </c>
      <c r="WM26">
        <v>-777.93138748931005</v>
      </c>
      <c r="WN26">
        <v>-8783.9713597168193</v>
      </c>
      <c r="WO26">
        <v>-777.93138748931005</v>
      </c>
      <c r="WP26">
        <v>18.333300000000001</v>
      </c>
      <c r="WQ26">
        <v>26.666699999999999</v>
      </c>
      <c r="WR26">
        <v>0</v>
      </c>
      <c r="WS26">
        <v>0</v>
      </c>
      <c r="WT26">
        <v>27.538705686444299</v>
      </c>
      <c r="WU26">
        <v>-1307.8032634594199</v>
      </c>
      <c r="WV26">
        <v>-13890.2115969182</v>
      </c>
      <c r="WW26">
        <v>-1307.8032634594199</v>
      </c>
      <c r="WX26">
        <v>0</v>
      </c>
      <c r="WY26">
        <v>0</v>
      </c>
      <c r="WZ26">
        <v>0</v>
      </c>
      <c r="XA26">
        <v>27.682101271108401</v>
      </c>
      <c r="XB26">
        <v>-962.13679776736205</v>
      </c>
      <c r="XC26">
        <v>-8962.8885582667899</v>
      </c>
      <c r="XD26">
        <v>-962.13679776736205</v>
      </c>
      <c r="XE26">
        <v>0</v>
      </c>
      <c r="XF26">
        <v>0</v>
      </c>
      <c r="XG26">
        <v>29.340192861837199</v>
      </c>
      <c r="XH26">
        <v>-20478.051428344399</v>
      </c>
      <c r="XI26">
        <v>-61964.566747733501</v>
      </c>
      <c r="XJ26">
        <v>-20478.051428344399</v>
      </c>
      <c r="XK26">
        <v>21.1111</v>
      </c>
      <c r="XL26">
        <v>26.666699999999999</v>
      </c>
      <c r="XM26">
        <v>0</v>
      </c>
      <c r="XN26">
        <v>0</v>
      </c>
      <c r="XO26">
        <v>24.9140365400268</v>
      </c>
      <c r="XP26">
        <v>0</v>
      </c>
      <c r="XQ26">
        <v>0</v>
      </c>
      <c r="XR26">
        <v>0</v>
      </c>
      <c r="XS26">
        <v>0</v>
      </c>
      <c r="XT26">
        <v>0</v>
      </c>
      <c r="XU26">
        <v>24.906304066560502</v>
      </c>
      <c r="XV26">
        <v>0</v>
      </c>
      <c r="XW26">
        <v>0</v>
      </c>
      <c r="XX26">
        <v>0</v>
      </c>
      <c r="XY26">
        <v>0</v>
      </c>
      <c r="XZ26">
        <v>0</v>
      </c>
      <c r="YA26">
        <v>24.9132475361804</v>
      </c>
      <c r="YB26">
        <v>0</v>
      </c>
      <c r="YC26">
        <v>0</v>
      </c>
      <c r="YD26">
        <v>0</v>
      </c>
      <c r="YE26">
        <v>0</v>
      </c>
      <c r="YF26">
        <v>0</v>
      </c>
      <c r="YG26">
        <v>25.094152891922899</v>
      </c>
      <c r="YH26">
        <v>0</v>
      </c>
      <c r="YI26">
        <v>0</v>
      </c>
      <c r="YJ26">
        <v>0</v>
      </c>
      <c r="YK26">
        <v>0</v>
      </c>
      <c r="YL26">
        <v>0</v>
      </c>
      <c r="YM26">
        <v>26.242622023216502</v>
      </c>
      <c r="YN26">
        <v>0</v>
      </c>
      <c r="YO26">
        <v>0</v>
      </c>
      <c r="YP26">
        <v>0</v>
      </c>
      <c r="YQ26">
        <v>0</v>
      </c>
      <c r="YR26">
        <v>0</v>
      </c>
      <c r="YS26">
        <v>21.103091257630801</v>
      </c>
      <c r="YT26">
        <v>0</v>
      </c>
      <c r="YU26">
        <v>0</v>
      </c>
      <c r="YV26">
        <v>0</v>
      </c>
      <c r="YW26">
        <v>0</v>
      </c>
      <c r="YX26">
        <v>0</v>
      </c>
      <c r="YY26">
        <v>21.142930604188599</v>
      </c>
      <c r="YZ26">
        <v>0</v>
      </c>
      <c r="ZA26">
        <v>0</v>
      </c>
      <c r="ZB26">
        <v>0</v>
      </c>
      <c r="ZC26">
        <v>0</v>
      </c>
      <c r="ZD26">
        <v>0</v>
      </c>
      <c r="ZE26">
        <v>21.105274743595</v>
      </c>
      <c r="ZF26">
        <v>0</v>
      </c>
      <c r="ZG26">
        <v>0</v>
      </c>
      <c r="ZH26">
        <v>0</v>
      </c>
      <c r="ZI26">
        <v>0</v>
      </c>
      <c r="ZJ26">
        <v>0</v>
      </c>
      <c r="ZK26">
        <v>21.2338051808396</v>
      </c>
      <c r="ZL26">
        <v>0</v>
      </c>
      <c r="ZM26">
        <v>0</v>
      </c>
      <c r="ZN26">
        <v>0</v>
      </c>
      <c r="ZO26">
        <v>0</v>
      </c>
      <c r="ZP26">
        <v>0</v>
      </c>
      <c r="ZQ26">
        <v>20.995249722263399</v>
      </c>
      <c r="ZR26">
        <v>0</v>
      </c>
      <c r="ZS26">
        <v>0</v>
      </c>
      <c r="ZT26">
        <v>0</v>
      </c>
      <c r="ZU26">
        <v>0</v>
      </c>
      <c r="ZV26">
        <v>0</v>
      </c>
      <c r="ZW26">
        <v>24.607613463597701</v>
      </c>
      <c r="ZX26">
        <v>0</v>
      </c>
      <c r="ZY26">
        <v>0</v>
      </c>
      <c r="ZZ26">
        <v>0</v>
      </c>
      <c r="AAA26">
        <v>0</v>
      </c>
      <c r="AAB26">
        <v>0</v>
      </c>
      <c r="AAC26">
        <v>24.691660909723499</v>
      </c>
      <c r="AAD26">
        <v>0</v>
      </c>
      <c r="AAE26">
        <v>0</v>
      </c>
      <c r="AAF26">
        <v>0</v>
      </c>
      <c r="AAG26">
        <v>0</v>
      </c>
      <c r="AAH26">
        <v>0</v>
      </c>
      <c r="AAI26">
        <v>24.610556834878299</v>
      </c>
      <c r="AAJ26">
        <v>0</v>
      </c>
      <c r="AAK26">
        <v>0</v>
      </c>
      <c r="AAL26">
        <v>0</v>
      </c>
      <c r="AAM26">
        <v>0</v>
      </c>
      <c r="AAN26">
        <v>0</v>
      </c>
      <c r="AAO26">
        <v>24.8774156208774</v>
      </c>
      <c r="AAP26">
        <v>0</v>
      </c>
      <c r="AAQ26">
        <v>0</v>
      </c>
      <c r="AAR26">
        <v>0</v>
      </c>
      <c r="AAS26">
        <v>0</v>
      </c>
      <c r="AAT26">
        <v>0</v>
      </c>
      <c r="AAU26">
        <v>23.9806044437643</v>
      </c>
      <c r="AAV26">
        <v>0</v>
      </c>
      <c r="AAW26">
        <v>0</v>
      </c>
      <c r="AAX26">
        <v>0</v>
      </c>
      <c r="AAY26">
        <v>0</v>
      </c>
      <c r="AAZ26">
        <v>0</v>
      </c>
      <c r="ABA26">
        <v>24.729900312467201</v>
      </c>
      <c r="ABB26">
        <v>0</v>
      </c>
      <c r="ABC26">
        <v>0</v>
      </c>
      <c r="ABD26">
        <v>0</v>
      </c>
      <c r="ABE26">
        <v>0</v>
      </c>
      <c r="ABF26">
        <v>0</v>
      </c>
      <c r="ABG26">
        <v>24.807906044191999</v>
      </c>
      <c r="ABH26">
        <v>0</v>
      </c>
      <c r="ABI26">
        <v>0</v>
      </c>
      <c r="ABJ26">
        <v>0</v>
      </c>
      <c r="ABK26">
        <v>0</v>
      </c>
      <c r="ABL26">
        <v>0</v>
      </c>
      <c r="ABM26">
        <v>24.728292677029899</v>
      </c>
      <c r="ABN26">
        <v>0</v>
      </c>
      <c r="ABO26">
        <v>0</v>
      </c>
      <c r="ABP26">
        <v>0</v>
      </c>
      <c r="ABQ26">
        <v>0</v>
      </c>
      <c r="ABR26">
        <v>0</v>
      </c>
      <c r="ABS26">
        <v>25.012922622604901</v>
      </c>
      <c r="ABT26">
        <v>0</v>
      </c>
      <c r="ABU26">
        <v>0</v>
      </c>
      <c r="ABV26">
        <v>0</v>
      </c>
      <c r="ABW26">
        <v>0</v>
      </c>
      <c r="ABX26">
        <v>0</v>
      </c>
      <c r="ABY26">
        <v>24.274075005988301</v>
      </c>
      <c r="ABZ26">
        <v>0</v>
      </c>
      <c r="ACA26">
        <v>0</v>
      </c>
      <c r="ACB26">
        <v>0</v>
      </c>
      <c r="ACC26">
        <v>0</v>
      </c>
      <c r="ACD26">
        <v>0</v>
      </c>
      <c r="ACE26">
        <v>0</v>
      </c>
      <c r="ACF26">
        <v>7.4572007059970504</v>
      </c>
      <c r="ACG26">
        <v>7.4572007059970504</v>
      </c>
      <c r="ACH26">
        <v>0</v>
      </c>
      <c r="ACI26">
        <v>0</v>
      </c>
      <c r="ACJ26">
        <v>0</v>
      </c>
      <c r="ACK26">
        <v>21.375950174090502</v>
      </c>
      <c r="ACL26">
        <v>21.375950174090502</v>
      </c>
      <c r="ACM26">
        <v>0</v>
      </c>
      <c r="ACN26">
        <v>105390.341415922</v>
      </c>
      <c r="ACP26">
        <v>0</v>
      </c>
      <c r="ACR26">
        <v>105390.341415922</v>
      </c>
      <c r="ACT26">
        <v>27.7606749992107</v>
      </c>
      <c r="ACU26">
        <v>27.7606749992107</v>
      </c>
      <c r="ACV26">
        <v>0</v>
      </c>
      <c r="ACW26">
        <v>0</v>
      </c>
      <c r="ACX26">
        <v>1</v>
      </c>
      <c r="ACY26">
        <v>28.821852279544299</v>
      </c>
      <c r="ACZ26">
        <v>28.821852279544299</v>
      </c>
      <c r="ADA26">
        <v>0</v>
      </c>
      <c r="ADB26">
        <v>0</v>
      </c>
      <c r="ADC26">
        <v>1</v>
      </c>
      <c r="ADD26">
        <v>29.341342122099501</v>
      </c>
      <c r="ADE26">
        <v>29.341342122099501</v>
      </c>
      <c r="ADF26">
        <v>0</v>
      </c>
      <c r="ADG26">
        <v>0</v>
      </c>
      <c r="ADH26">
        <v>1</v>
      </c>
      <c r="ADI26">
        <v>26.8452311570083</v>
      </c>
      <c r="ADJ26">
        <v>26.8452311570083</v>
      </c>
      <c r="ADK26">
        <v>0</v>
      </c>
      <c r="ADL26">
        <v>0</v>
      </c>
      <c r="ADM26">
        <v>1</v>
      </c>
      <c r="ADN26">
        <v>26.8772574824639</v>
      </c>
      <c r="ADO26">
        <v>26.8772574824639</v>
      </c>
      <c r="ADP26">
        <v>0</v>
      </c>
      <c r="ADQ26">
        <v>0</v>
      </c>
      <c r="ADR26">
        <v>1</v>
      </c>
      <c r="ADS26">
        <v>26.901853266014101</v>
      </c>
      <c r="ADT26">
        <v>26.901853266014101</v>
      </c>
      <c r="ADU26">
        <v>0</v>
      </c>
      <c r="ADV26">
        <v>0</v>
      </c>
      <c r="ADW26">
        <v>1</v>
      </c>
      <c r="ADX26">
        <v>27.067289316679101</v>
      </c>
      <c r="ADY26">
        <v>27.067289316679101</v>
      </c>
      <c r="ADZ26">
        <v>0</v>
      </c>
      <c r="AEA26">
        <v>0</v>
      </c>
      <c r="AEB26">
        <v>1</v>
      </c>
      <c r="AEC26">
        <v>27.700566424695101</v>
      </c>
      <c r="AED26">
        <v>27.700566424695101</v>
      </c>
      <c r="AEE26">
        <v>0</v>
      </c>
      <c r="AEF26">
        <v>0</v>
      </c>
      <c r="AEG26">
        <v>1</v>
      </c>
      <c r="AEH26">
        <v>27.746650492007401</v>
      </c>
      <c r="AEI26">
        <v>27.746650492007401</v>
      </c>
      <c r="AEJ26">
        <v>0</v>
      </c>
      <c r="AEK26">
        <v>0</v>
      </c>
      <c r="AEL26">
        <v>1</v>
      </c>
      <c r="AEM26">
        <v>27.753062991926299</v>
      </c>
      <c r="AEN26">
        <v>27.753062991926299</v>
      </c>
      <c r="AEO26">
        <v>0</v>
      </c>
      <c r="AEP26">
        <v>0</v>
      </c>
      <c r="AEQ26">
        <v>1</v>
      </c>
      <c r="AER26">
        <v>27.9468755227084</v>
      </c>
      <c r="AES26">
        <v>27.9468755227084</v>
      </c>
      <c r="AET26">
        <v>0</v>
      </c>
      <c r="AEU26">
        <v>0</v>
      </c>
      <c r="AEV26">
        <v>1</v>
      </c>
      <c r="AEW26">
        <v>27.8166520827934</v>
      </c>
      <c r="AEX26">
        <v>27.8166520827934</v>
      </c>
      <c r="AEY26">
        <v>0</v>
      </c>
      <c r="AEZ26">
        <v>0</v>
      </c>
      <c r="AFA26">
        <v>1</v>
      </c>
      <c r="AFB26">
        <v>27.827141416162299</v>
      </c>
      <c r="AFC26">
        <v>27.827141416162299</v>
      </c>
      <c r="AFD26">
        <v>0</v>
      </c>
      <c r="AFE26">
        <v>0</v>
      </c>
      <c r="AFF26">
        <v>1</v>
      </c>
      <c r="AFG26">
        <v>27.862341590425601</v>
      </c>
      <c r="AFH26">
        <v>27.862341590425601</v>
      </c>
      <c r="AFI26">
        <v>0</v>
      </c>
      <c r="AFJ26">
        <v>0</v>
      </c>
      <c r="AFK26">
        <v>1</v>
      </c>
      <c r="AFL26">
        <v>28.029065227376002</v>
      </c>
      <c r="AFM26">
        <v>28.029065227376002</v>
      </c>
      <c r="AFN26">
        <v>0</v>
      </c>
      <c r="AFO26">
        <v>0</v>
      </c>
      <c r="AFP26">
        <v>1</v>
      </c>
      <c r="AFQ26">
        <v>0.23013917100044001</v>
      </c>
      <c r="AFR26">
        <v>0.215924364190825</v>
      </c>
      <c r="AFS26">
        <v>0.28032457940410699</v>
      </c>
      <c r="AFT26">
        <v>0.22801630290168601</v>
      </c>
      <c r="AFU26">
        <v>0.48810114388401599</v>
      </c>
      <c r="AFV26">
        <v>0.47446205183057999</v>
      </c>
      <c r="AFW26">
        <v>0.55091217160885098</v>
      </c>
      <c r="AFX26">
        <v>0.49174615480265799</v>
      </c>
      <c r="AFY26">
        <v>0.52344779233649097</v>
      </c>
      <c r="AFZ26">
        <v>0.51175382480712694</v>
      </c>
      <c r="AGA26">
        <v>0.578898351694349</v>
      </c>
      <c r="AGB26">
        <v>0.51900521609766703</v>
      </c>
      <c r="AGC26">
        <v>0.39831550824531298</v>
      </c>
      <c r="AGD26">
        <v>0.711242208349534</v>
      </c>
      <c r="AGE26">
        <v>0.86647948426051002</v>
      </c>
      <c r="AGF26">
        <v>0</v>
      </c>
      <c r="AGG26">
        <v>0</v>
      </c>
      <c r="AGH26">
        <v>0</v>
      </c>
      <c r="AGI26">
        <v>0</v>
      </c>
      <c r="AGJ26">
        <v>0</v>
      </c>
      <c r="AGK26">
        <v>0</v>
      </c>
      <c r="AGL26">
        <v>0</v>
      </c>
      <c r="AGM26">
        <v>0</v>
      </c>
      <c r="AGN26">
        <v>0</v>
      </c>
      <c r="AGO26">
        <v>0</v>
      </c>
      <c r="AGP26">
        <v>0</v>
      </c>
      <c r="AGQ26">
        <v>0</v>
      </c>
      <c r="AGR26">
        <v>0</v>
      </c>
      <c r="AGS26">
        <v>0</v>
      </c>
      <c r="AGT26">
        <v>0</v>
      </c>
      <c r="AGU26">
        <v>0</v>
      </c>
      <c r="AGV26">
        <v>0</v>
      </c>
      <c r="AGW26">
        <v>0</v>
      </c>
      <c r="AGX26">
        <v>0</v>
      </c>
      <c r="AGY26">
        <v>0</v>
      </c>
      <c r="AGZ26">
        <v>0</v>
      </c>
      <c r="AHA26">
        <v>0</v>
      </c>
      <c r="AHB26">
        <v>0</v>
      </c>
      <c r="AHC26">
        <v>0</v>
      </c>
      <c r="AHD26">
        <v>0</v>
      </c>
      <c r="AHE26">
        <v>0</v>
      </c>
      <c r="AHF26">
        <v>0</v>
      </c>
      <c r="AHG26">
        <v>0</v>
      </c>
      <c r="AHH26">
        <v>0</v>
      </c>
      <c r="AHI26">
        <v>0</v>
      </c>
      <c r="AHJ26">
        <v>0</v>
      </c>
      <c r="AHK26">
        <v>0</v>
      </c>
      <c r="AHL26">
        <v>0</v>
      </c>
      <c r="AHM26">
        <v>0</v>
      </c>
      <c r="AHN26">
        <v>0</v>
      </c>
      <c r="AHO26">
        <v>0</v>
      </c>
      <c r="AHP26">
        <v>0</v>
      </c>
      <c r="AHQ26">
        <v>0</v>
      </c>
      <c r="AHR26">
        <v>0</v>
      </c>
      <c r="AHS26">
        <v>0</v>
      </c>
      <c r="AHT26">
        <v>0</v>
      </c>
      <c r="AHU26">
        <v>0</v>
      </c>
      <c r="AHV26">
        <v>0</v>
      </c>
      <c r="AHW26">
        <v>0</v>
      </c>
      <c r="AHX26">
        <v>0</v>
      </c>
      <c r="AHZ26">
        <v>0</v>
      </c>
      <c r="AIB26">
        <v>0</v>
      </c>
      <c r="AID26">
        <v>0</v>
      </c>
      <c r="AIF26">
        <v>0</v>
      </c>
      <c r="AIH26">
        <v>0</v>
      </c>
      <c r="AIJ26">
        <v>0</v>
      </c>
      <c r="AIL26">
        <v>0</v>
      </c>
      <c r="AIN26">
        <v>0</v>
      </c>
      <c r="AIP26">
        <v>0</v>
      </c>
      <c r="AIR26">
        <v>0</v>
      </c>
      <c r="AIT26">
        <v>0</v>
      </c>
      <c r="AIV26">
        <v>0</v>
      </c>
      <c r="AIX26">
        <v>0</v>
      </c>
      <c r="AIZ26">
        <v>0</v>
      </c>
      <c r="AJB26">
        <v>0</v>
      </c>
      <c r="AJC26">
        <v>0</v>
      </c>
      <c r="AJE26">
        <v>0</v>
      </c>
      <c r="AJH26">
        <v>0</v>
      </c>
      <c r="AJJ26">
        <v>0</v>
      </c>
      <c r="AJK26">
        <v>0</v>
      </c>
      <c r="AJL26">
        <v>0</v>
      </c>
      <c r="AJM26">
        <v>0</v>
      </c>
      <c r="AJN26">
        <v>0</v>
      </c>
      <c r="AJO26">
        <v>0</v>
      </c>
      <c r="AJP26">
        <v>0</v>
      </c>
      <c r="AJQ26">
        <v>0</v>
      </c>
      <c r="AJR26">
        <v>0</v>
      </c>
      <c r="AJS26">
        <v>0</v>
      </c>
      <c r="AJT26">
        <v>0</v>
      </c>
      <c r="AJU26">
        <v>0</v>
      </c>
      <c r="AJV26">
        <v>0</v>
      </c>
      <c r="AJW26">
        <v>0</v>
      </c>
      <c r="AJX26">
        <v>0</v>
      </c>
      <c r="AJY26">
        <v>0</v>
      </c>
      <c r="AJZ26">
        <v>0</v>
      </c>
      <c r="AKA26">
        <v>0</v>
      </c>
      <c r="AKB26">
        <v>0</v>
      </c>
      <c r="AKC26">
        <v>0</v>
      </c>
      <c r="AKD26">
        <v>0</v>
      </c>
      <c r="AKE26">
        <v>65.56</v>
      </c>
      <c r="AKF26">
        <v>65.56</v>
      </c>
      <c r="AKG26">
        <v>0</v>
      </c>
      <c r="AKH26">
        <v>0</v>
      </c>
      <c r="AKI26">
        <v>0</v>
      </c>
      <c r="AKJ26">
        <v>0</v>
      </c>
      <c r="AKK26">
        <v>0</v>
      </c>
      <c r="AKL26">
        <v>65.56</v>
      </c>
      <c r="AKM26">
        <v>65.56</v>
      </c>
      <c r="AKN26">
        <v>0</v>
      </c>
      <c r="AKO26">
        <v>0</v>
      </c>
      <c r="AKP26">
        <v>0</v>
      </c>
      <c r="AKT26">
        <v>0</v>
      </c>
      <c r="AKX26">
        <v>0</v>
      </c>
      <c r="ALB26">
        <v>21.375950174090502</v>
      </c>
      <c r="ALC26">
        <v>21.375950174090502</v>
      </c>
      <c r="ALD26">
        <v>0</v>
      </c>
      <c r="ALE26">
        <v>0</v>
      </c>
      <c r="ALF26">
        <v>0</v>
      </c>
      <c r="ALH26">
        <v>24.592803626624601</v>
      </c>
      <c r="ALI26">
        <v>9.8519407627397099E-3</v>
      </c>
      <c r="ALJ26">
        <v>0</v>
      </c>
      <c r="ALK26">
        <v>24.592803626624601</v>
      </c>
      <c r="ALL26">
        <v>0</v>
      </c>
      <c r="ALM26">
        <v>0</v>
      </c>
      <c r="ALN26">
        <v>24.592803626624601</v>
      </c>
      <c r="ALO26">
        <v>9.8519407627397099E-3</v>
      </c>
      <c r="ALP26">
        <v>51.048985797978197</v>
      </c>
      <c r="ALQ26">
        <v>0</v>
      </c>
      <c r="ALR26">
        <v>24.592803626624601</v>
      </c>
      <c r="ALS26">
        <v>0</v>
      </c>
      <c r="ALT26">
        <v>24.592803626624601</v>
      </c>
      <c r="ALU26">
        <v>0</v>
      </c>
      <c r="ALV26">
        <v>7.4572007059970504</v>
      </c>
      <c r="ALW26">
        <v>9.9999999999999897E-12</v>
      </c>
      <c r="ALX26">
        <v>7.4572007059970504</v>
      </c>
      <c r="ALY26">
        <v>9.9999999999999897E-12</v>
      </c>
      <c r="ALZ26">
        <v>0</v>
      </c>
      <c r="AMA26">
        <v>7.4572007059970504</v>
      </c>
      <c r="AMB26">
        <v>0</v>
      </c>
      <c r="AMC26">
        <v>7.4572007059970504</v>
      </c>
      <c r="AMD26">
        <v>0</v>
      </c>
      <c r="AME26">
        <v>7.4572007059970504</v>
      </c>
      <c r="AMF26">
        <v>0</v>
      </c>
      <c r="AMG26">
        <v>0</v>
      </c>
      <c r="AMH26">
        <v>0</v>
      </c>
      <c r="AMI26">
        <v>21.220563227188801</v>
      </c>
      <c r="AMJ26">
        <v>0</v>
      </c>
      <c r="AMK26" s="580">
        <v>20.952864481366401</v>
      </c>
      <c r="AML26">
        <v>0</v>
      </c>
      <c r="AMM26">
        <v>21.126301859746601</v>
      </c>
      <c r="AMN26">
        <v>0</v>
      </c>
      <c r="AMO26">
        <v>21.0878544532654</v>
      </c>
      <c r="AMP26">
        <v>0</v>
      </c>
      <c r="AMQ26">
        <v>21.0879879565735</v>
      </c>
      <c r="AMR26">
        <v>0</v>
      </c>
      <c r="AMS26">
        <v>23.865018765749799</v>
      </c>
      <c r="AMT26">
        <v>0</v>
      </c>
      <c r="AMU26">
        <v>24.6180948388437</v>
      </c>
      <c r="AMV26">
        <v>0</v>
      </c>
      <c r="AMW26">
        <v>24.804078642701999</v>
      </c>
      <c r="AMX26">
        <v>0</v>
      </c>
      <c r="AMY26">
        <v>24.534783328959001</v>
      </c>
      <c r="AMZ26">
        <v>0</v>
      </c>
      <c r="ANA26">
        <v>24.535582299735498</v>
      </c>
      <c r="ANB26">
        <v>0</v>
      </c>
      <c r="ANC26">
        <v>24.1494909494529</v>
      </c>
      <c r="AND26">
        <v>0</v>
      </c>
      <c r="ANE26">
        <v>24.733424428695901</v>
      </c>
      <c r="ANF26">
        <v>0</v>
      </c>
      <c r="ANG26">
        <v>24.939040653095802</v>
      </c>
      <c r="ANH26">
        <v>0</v>
      </c>
      <c r="ANI26">
        <v>24.6557123243932</v>
      </c>
      <c r="ANJ26">
        <v>0</v>
      </c>
      <c r="ANK26">
        <v>24.6520279786067</v>
      </c>
      <c r="ANL26">
        <v>0</v>
      </c>
      <c r="ANM26">
        <v>0</v>
      </c>
      <c r="ANN26">
        <v>0</v>
      </c>
      <c r="ANO26">
        <v>0</v>
      </c>
      <c r="ANP26">
        <v>20.952864481366401</v>
      </c>
      <c r="ANQ26">
        <v>21.126301859746601</v>
      </c>
      <c r="ANR26">
        <v>21.220563227188801</v>
      </c>
      <c r="ANS26">
        <v>21.0879879565735</v>
      </c>
      <c r="ANT26">
        <v>21.0878544532654</v>
      </c>
      <c r="ANU26">
        <v>23.865018765749799</v>
      </c>
      <c r="ANV26">
        <v>24.6180948388437</v>
      </c>
      <c r="ANW26">
        <v>24.804078642701999</v>
      </c>
      <c r="ANX26">
        <v>24.535582299735498</v>
      </c>
      <c r="ANY26">
        <v>24.534783328959001</v>
      </c>
      <c r="ANZ26">
        <v>24.1494909494529</v>
      </c>
      <c r="AOA26">
        <v>24.733424428695901</v>
      </c>
      <c r="AOB26">
        <v>24.939040653095802</v>
      </c>
      <c r="AOC26">
        <v>24.6520279786067</v>
      </c>
      <c r="AOD26">
        <v>24.6557123243932</v>
      </c>
      <c r="AOE26">
        <v>24.592803626624601</v>
      </c>
      <c r="AOF26">
        <v>0</v>
      </c>
      <c r="AOG26">
        <v>24.5685893003016</v>
      </c>
      <c r="AOH26">
        <v>0</v>
      </c>
    </row>
    <row r="27" spans="1:1074">
      <c r="A27" t="s">
        <v>2597</v>
      </c>
      <c r="B27">
        <v>20.186800000000002</v>
      </c>
      <c r="D27">
        <v>15.3098987870854</v>
      </c>
      <c r="F27">
        <v>9</v>
      </c>
      <c r="G27">
        <v>6988958.1450714003</v>
      </c>
      <c r="H27">
        <v>15006965.342177801</v>
      </c>
      <c r="I27">
        <v>4438405.1063184803</v>
      </c>
      <c r="J27">
        <v>9530317.7129537892</v>
      </c>
      <c r="K27">
        <v>6988958.1450714003</v>
      </c>
      <c r="L27">
        <v>15006965.342177801</v>
      </c>
      <c r="M27">
        <v>4438405.1063184803</v>
      </c>
      <c r="N27">
        <v>9530317.7129538003</v>
      </c>
      <c r="O27">
        <v>36043418.585661501</v>
      </c>
      <c r="P27">
        <v>77393843.588843703</v>
      </c>
      <c r="Q27">
        <v>6988958.1450714003</v>
      </c>
      <c r="R27">
        <v>15006965.342177801</v>
      </c>
      <c r="S27">
        <v>4438405.1063184803</v>
      </c>
      <c r="T27">
        <v>9530317.7129537892</v>
      </c>
      <c r="U27">
        <v>6988958.1450714003</v>
      </c>
      <c r="V27">
        <v>15006965.342177801</v>
      </c>
      <c r="W27">
        <v>4438405.1063184803</v>
      </c>
      <c r="X27">
        <v>9530317.7129538003</v>
      </c>
      <c r="Y27">
        <v>36043418.585661501</v>
      </c>
      <c r="Z27">
        <v>77393843.588843703</v>
      </c>
      <c r="AA27">
        <v>6988958.1450714003</v>
      </c>
      <c r="AB27">
        <v>15006965.342177801</v>
      </c>
      <c r="AC27">
        <v>4438405.1063184803</v>
      </c>
      <c r="AD27">
        <v>9530317.7129537892</v>
      </c>
      <c r="AE27">
        <v>6988958.1450714003</v>
      </c>
      <c r="AF27">
        <v>15006965.342177801</v>
      </c>
      <c r="AG27">
        <v>4438405.1063184803</v>
      </c>
      <c r="AH27">
        <v>9530317.7129538003</v>
      </c>
      <c r="AI27">
        <v>36043418.585661501</v>
      </c>
      <c r="AJ27">
        <v>77393843.588843703</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0</v>
      </c>
      <c r="BN27">
        <v>0</v>
      </c>
      <c r="BO27">
        <v>0</v>
      </c>
      <c r="BP27">
        <v>0</v>
      </c>
      <c r="BQ27">
        <v>0</v>
      </c>
      <c r="BR27">
        <v>0</v>
      </c>
      <c r="BS27">
        <v>0</v>
      </c>
      <c r="BT27">
        <v>0</v>
      </c>
      <c r="BU27">
        <v>0</v>
      </c>
      <c r="BV27">
        <v>0</v>
      </c>
      <c r="BW27">
        <v>0</v>
      </c>
      <c r="BX27">
        <v>0</v>
      </c>
      <c r="BY27">
        <v>0</v>
      </c>
      <c r="BZ27">
        <v>0</v>
      </c>
      <c r="CA27">
        <v>0</v>
      </c>
      <c r="CB27">
        <v>0</v>
      </c>
      <c r="CC27">
        <v>0</v>
      </c>
      <c r="CD27">
        <v>0</v>
      </c>
      <c r="CE27">
        <v>3773179.8574618599</v>
      </c>
      <c r="CF27">
        <v>8575408.7669587694</v>
      </c>
      <c r="CG27">
        <v>3773179.8574618599</v>
      </c>
      <c r="CH27">
        <v>8575408.7669587694</v>
      </c>
      <c r="CI27">
        <v>2396194.1678283801</v>
      </c>
      <c r="CJ27">
        <v>5445895.8359735999</v>
      </c>
      <c r="CK27">
        <v>2396194.1678283801</v>
      </c>
      <c r="CL27">
        <v>5445895.8359735999</v>
      </c>
      <c r="CM27">
        <v>3773179.8574618599</v>
      </c>
      <c r="CN27">
        <v>8575408.7669587694</v>
      </c>
      <c r="CO27">
        <v>3773179.8574618599</v>
      </c>
      <c r="CP27">
        <v>8575408.7669587694</v>
      </c>
      <c r="CQ27">
        <v>2396194.1678283801</v>
      </c>
      <c r="CR27">
        <v>5445895.8359735999</v>
      </c>
      <c r="CS27">
        <v>2396194.1678283801</v>
      </c>
      <c r="CT27">
        <v>5445895.8359735999</v>
      </c>
      <c r="CU27">
        <v>3773179.8574618599</v>
      </c>
      <c r="CV27">
        <v>8575408.7669587694</v>
      </c>
      <c r="CW27">
        <v>3773179.8574618599</v>
      </c>
      <c r="CX27">
        <v>8575408.7669587694</v>
      </c>
      <c r="CY27">
        <v>2396194.1678283801</v>
      </c>
      <c r="CZ27">
        <v>5445895.8359735999</v>
      </c>
      <c r="DA27">
        <v>2396194.1678283801</v>
      </c>
      <c r="DB27">
        <v>5445895.8359735999</v>
      </c>
      <c r="DC27">
        <v>19459023.5309093</v>
      </c>
      <c r="DD27">
        <v>44225053.479339302</v>
      </c>
      <c r="DE27">
        <v>19459023.5309093</v>
      </c>
      <c r="DF27">
        <v>44225053.479339302</v>
      </c>
      <c r="DG27">
        <v>19459023.5309093</v>
      </c>
      <c r="DH27">
        <v>44225053.479339302</v>
      </c>
      <c r="DI27">
        <v>3215778.2876095399</v>
      </c>
      <c r="DJ27">
        <v>6431556.5752190799</v>
      </c>
      <c r="DK27">
        <v>3215778.2876095399</v>
      </c>
      <c r="DL27">
        <v>6431556.5752190799</v>
      </c>
      <c r="DM27">
        <v>2042210.9384901</v>
      </c>
      <c r="DN27">
        <v>4084421.8769801999</v>
      </c>
      <c r="DO27">
        <v>2042210.9384901</v>
      </c>
      <c r="DP27">
        <v>4084421.8769801999</v>
      </c>
      <c r="DQ27">
        <v>3215778.2876095399</v>
      </c>
      <c r="DR27">
        <v>6431556.5752190799</v>
      </c>
      <c r="DS27">
        <v>3215778.2876095399</v>
      </c>
      <c r="DT27">
        <v>6431556.5752190799</v>
      </c>
      <c r="DU27">
        <v>2042210.9384901</v>
      </c>
      <c r="DV27">
        <v>4084421.8769801999</v>
      </c>
      <c r="DW27">
        <v>2042210.9384901</v>
      </c>
      <c r="DX27">
        <v>4084421.8769801999</v>
      </c>
      <c r="DY27">
        <v>3215778.2876095399</v>
      </c>
      <c r="DZ27">
        <v>6431556.5752190799</v>
      </c>
      <c r="EA27">
        <v>3215778.2876095399</v>
      </c>
      <c r="EB27">
        <v>6431556.5752190799</v>
      </c>
      <c r="EC27">
        <v>2042210.9384901</v>
      </c>
      <c r="ED27">
        <v>4084421.8769801999</v>
      </c>
      <c r="EE27">
        <v>2042210.9384901</v>
      </c>
      <c r="EF27">
        <v>4084421.8769801999</v>
      </c>
      <c r="EG27">
        <v>16584395.054752201</v>
      </c>
      <c r="EH27">
        <v>33168790.109504402</v>
      </c>
      <c r="EI27">
        <v>16584395.054752201</v>
      </c>
      <c r="EJ27">
        <v>33168790.109504402</v>
      </c>
      <c r="EK27">
        <v>16584395.054752201</v>
      </c>
      <c r="EL27">
        <v>33168790.109504402</v>
      </c>
      <c r="EM27">
        <v>0</v>
      </c>
      <c r="EN27">
        <v>0</v>
      </c>
      <c r="EO27">
        <v>0</v>
      </c>
      <c r="EP27">
        <v>0</v>
      </c>
      <c r="EQ27">
        <v>0</v>
      </c>
      <c r="ER27">
        <v>0</v>
      </c>
      <c r="ES27">
        <v>0</v>
      </c>
      <c r="ET27">
        <v>0</v>
      </c>
      <c r="EU27">
        <v>0</v>
      </c>
      <c r="EV27">
        <v>0</v>
      </c>
      <c r="EW27">
        <v>0</v>
      </c>
      <c r="EX27">
        <v>0</v>
      </c>
      <c r="EY27">
        <v>0</v>
      </c>
      <c r="EZ27">
        <v>0</v>
      </c>
      <c r="FA27">
        <v>0</v>
      </c>
      <c r="FB27">
        <v>0</v>
      </c>
      <c r="FC27">
        <v>0</v>
      </c>
      <c r="FD27">
        <v>0</v>
      </c>
      <c r="FE27">
        <v>0</v>
      </c>
      <c r="FF27">
        <v>0</v>
      </c>
      <c r="FG27">
        <v>0</v>
      </c>
      <c r="FH27">
        <v>0</v>
      </c>
      <c r="FI27">
        <v>0</v>
      </c>
      <c r="FJ27">
        <v>0</v>
      </c>
      <c r="FK27">
        <v>0</v>
      </c>
      <c r="FL27">
        <v>0</v>
      </c>
      <c r="FM27">
        <v>0</v>
      </c>
      <c r="FN27">
        <v>0</v>
      </c>
      <c r="FO27">
        <v>0</v>
      </c>
      <c r="FP27">
        <v>0</v>
      </c>
      <c r="FQ27">
        <v>0</v>
      </c>
      <c r="FR27">
        <v>0</v>
      </c>
      <c r="FS27">
        <v>0</v>
      </c>
      <c r="FT27">
        <v>0</v>
      </c>
      <c r="FU27">
        <v>0</v>
      </c>
      <c r="FV27">
        <v>0</v>
      </c>
      <c r="FW27">
        <v>0</v>
      </c>
      <c r="FX27">
        <v>0</v>
      </c>
      <c r="FY27">
        <v>0</v>
      </c>
      <c r="FZ27">
        <v>0</v>
      </c>
      <c r="GA27">
        <v>0</v>
      </c>
      <c r="GB27">
        <v>-83.297250453655394</v>
      </c>
      <c r="GC27">
        <v>-391.261033669379</v>
      </c>
      <c r="GD27">
        <v>-292.34424216916102</v>
      </c>
      <c r="GE27">
        <v>-54.462092581387502</v>
      </c>
      <c r="GF27">
        <v>-244.960493165439</v>
      </c>
      <c r="GG27">
        <v>-180.50628223728401</v>
      </c>
      <c r="GH27">
        <v>-84.464960144075803</v>
      </c>
      <c r="GI27">
        <v>-395.11628035677199</v>
      </c>
      <c r="GJ27">
        <v>-298.21629319302599</v>
      </c>
      <c r="GK27">
        <v>-50.161141249989001</v>
      </c>
      <c r="GL27">
        <v>-246.82042058909099</v>
      </c>
      <c r="GM27">
        <v>-178.95601197497001</v>
      </c>
      <c r="GN27">
        <v>-4.67644111250973</v>
      </c>
      <c r="GO27">
        <v>25.221798233511301</v>
      </c>
      <c r="GP27">
        <v>25.7592828641484</v>
      </c>
      <c r="GQ27">
        <v>73.299950101610307</v>
      </c>
      <c r="GR27">
        <v>-17.259906901694901</v>
      </c>
      <c r="GS27">
        <v>-405.79073638606798</v>
      </c>
      <c r="GT27">
        <v>-3.6146004377539298</v>
      </c>
      <c r="GU27">
        <v>25.285643187725501</v>
      </c>
      <c r="GV27">
        <v>25.809906683271901</v>
      </c>
      <c r="GW27">
        <v>46.825293641667002</v>
      </c>
      <c r="GX27">
        <v>-8.0880313104229309</v>
      </c>
      <c r="GY27">
        <v>-234.958612136787</v>
      </c>
      <c r="GZ27">
        <v>-5.8244543870502801</v>
      </c>
      <c r="HA27">
        <v>25.247890369684701</v>
      </c>
      <c r="HB27">
        <v>25.8131861683264</v>
      </c>
      <c r="HC27">
        <v>77.195409704437296</v>
      </c>
      <c r="HD27">
        <v>-18.341036752460099</v>
      </c>
      <c r="HE27">
        <v>-420.84506586731402</v>
      </c>
      <c r="HF27">
        <v>-2.9462411534072501</v>
      </c>
      <c r="HG27">
        <v>25.460526258112299</v>
      </c>
      <c r="HH27">
        <v>25.976038527760402</v>
      </c>
      <c r="HI27">
        <v>46.222274338670601</v>
      </c>
      <c r="HJ27">
        <v>-7.3064451055026103</v>
      </c>
      <c r="HK27">
        <v>-225.06042280626701</v>
      </c>
      <c r="HL27">
        <v>-67.563515935455698</v>
      </c>
      <c r="HM27">
        <v>27.421978603507299</v>
      </c>
      <c r="HN27">
        <v>27.7290389237452</v>
      </c>
      <c r="HO27">
        <v>-14.407097219732201</v>
      </c>
      <c r="HP27">
        <v>-202.155882262251</v>
      </c>
      <c r="HQ27">
        <v>26.696851273840998</v>
      </c>
      <c r="HR27">
        <v>-291.622478382645</v>
      </c>
      <c r="HS27">
        <v>-44.794403157588498</v>
      </c>
      <c r="HT27">
        <v>27.483008736315501</v>
      </c>
      <c r="HU27">
        <v>27.7750224361404</v>
      </c>
      <c r="HV27">
        <v>-7.4953208016907196</v>
      </c>
      <c r="HW27">
        <v>-123.328041514806</v>
      </c>
      <c r="HX27">
        <v>26.769414415794099</v>
      </c>
      <c r="HY27">
        <v>-177.093027871049</v>
      </c>
      <c r="HZ27">
        <v>27.447983626151299</v>
      </c>
      <c r="IA27">
        <v>27.757861530835399</v>
      </c>
      <c r="IB27">
        <v>-14.9837242563781</v>
      </c>
      <c r="IC27">
        <v>-70.611731023141999</v>
      </c>
      <c r="ID27">
        <v>-204.11706038729</v>
      </c>
      <c r="IE27">
        <v>26.749326982742701</v>
      </c>
      <c r="IF27">
        <v>-294.85976595109901</v>
      </c>
      <c r="IG27">
        <v>-7.1202506330468998</v>
      </c>
      <c r="IH27">
        <v>27.602871654651299</v>
      </c>
      <c r="II27">
        <v>27.8266723608136</v>
      </c>
      <c r="IJ27">
        <v>-8.8907073275697108</v>
      </c>
      <c r="IK27">
        <v>-6.5801856998449804</v>
      </c>
      <c r="IL27">
        <v>-41.163157214006297</v>
      </c>
      <c r="IM27">
        <v>-121.764362219313</v>
      </c>
      <c r="IN27">
        <v>26.954404453967499</v>
      </c>
      <c r="IO27">
        <v>1.2826874549097</v>
      </c>
      <c r="IP27">
        <v>-174.33545083523001</v>
      </c>
      <c r="IQ27">
        <v>-224.616464455765</v>
      </c>
      <c r="IR27">
        <v>-127.824824262272</v>
      </c>
      <c r="IS27">
        <v>-218.02172648298901</v>
      </c>
      <c r="IT27">
        <v>-120.853725402121</v>
      </c>
      <c r="IU27">
        <v>-3796.8932294986298</v>
      </c>
      <c r="IV27">
        <v>-6.58946753623791</v>
      </c>
      <c r="IW27">
        <v>25.824429216157601</v>
      </c>
      <c r="IX27">
        <v>26.696851273840998</v>
      </c>
      <c r="IY27">
        <v>125.990378439102</v>
      </c>
      <c r="IZ27">
        <v>-39.651677339131702</v>
      </c>
      <c r="JA27">
        <v>-683.56345613467295</v>
      </c>
      <c r="JB27">
        <v>-4.8931580452268602</v>
      </c>
      <c r="JC27">
        <v>25.903690432691299</v>
      </c>
      <c r="JD27">
        <v>26.769414415794099</v>
      </c>
      <c r="JE27">
        <v>80.906617966939805</v>
      </c>
      <c r="JF27">
        <v>-22.031704578972199</v>
      </c>
      <c r="JG27">
        <v>-412.94232942593698</v>
      </c>
      <c r="JH27">
        <v>-7.7019349015166103</v>
      </c>
      <c r="JI27">
        <v>25.848683518795202</v>
      </c>
      <c r="JJ27">
        <v>26.749326982742701</v>
      </c>
      <c r="JK27">
        <v>130.359043768003</v>
      </c>
      <c r="JL27">
        <v>-41.195473640399896</v>
      </c>
      <c r="JM27">
        <v>-700.14164964004794</v>
      </c>
      <c r="JN27">
        <v>-4.3810525471005501</v>
      </c>
      <c r="JO27">
        <v>26.0964025595643</v>
      </c>
      <c r="JP27">
        <v>26.954404453967499</v>
      </c>
      <c r="JQ27">
        <v>1.1815773678845201</v>
      </c>
      <c r="JR27">
        <v>80.245375075444102</v>
      </c>
      <c r="JS27">
        <v>0.85425291770323097</v>
      </c>
      <c r="JT27">
        <v>-20.694555792421699</v>
      </c>
      <c r="JU27">
        <v>-400.56099875403999</v>
      </c>
      <c r="JV27">
        <v>-62.514738912511397</v>
      </c>
      <c r="JW27">
        <v>-191.28609373581</v>
      </c>
      <c r="JX27">
        <v>-302.120338118642</v>
      </c>
      <c r="JY27">
        <v>-41.118263913767798</v>
      </c>
      <c r="JZ27">
        <v>-115.399345300102</v>
      </c>
      <c r="KA27">
        <v>-186.913658102363</v>
      </c>
      <c r="KB27">
        <v>-65.542067343631402</v>
      </c>
      <c r="KC27">
        <v>-193.36073091813199</v>
      </c>
      <c r="KD27">
        <v>-304.38337791139202</v>
      </c>
      <c r="KE27">
        <v>-37.677942040038801</v>
      </c>
      <c r="KF27">
        <v>26.090581984451202</v>
      </c>
      <c r="KG27">
        <v>-129.728353898986</v>
      </c>
      <c r="KH27">
        <v>0.70354158058693395</v>
      </c>
      <c r="KI27">
        <v>-113.251172581115</v>
      </c>
      <c r="KJ27">
        <v>-185.18436991459799</v>
      </c>
      <c r="KK27">
        <v>13.579742275808099</v>
      </c>
      <c r="KL27">
        <v>25.728455505472098</v>
      </c>
      <c r="KM27">
        <v>26.746401202966201</v>
      </c>
      <c r="KN27">
        <v>328.07536594542398</v>
      </c>
      <c r="KO27">
        <v>25.050117062526201</v>
      </c>
      <c r="KP27">
        <v>14.2841299202126</v>
      </c>
      <c r="KQ27">
        <v>35.687767339061203</v>
      </c>
      <c r="KR27">
        <v>-632.293381471099</v>
      </c>
      <c r="KS27">
        <v>8.3570515410243509</v>
      </c>
      <c r="KT27">
        <v>25.736976216838801</v>
      </c>
      <c r="KU27">
        <v>26.7728339793616</v>
      </c>
      <c r="KV27">
        <v>210.93986097211399</v>
      </c>
      <c r="KW27">
        <v>25.050856465783198</v>
      </c>
      <c r="KX27">
        <v>14.3789350199891</v>
      </c>
      <c r="KY27">
        <v>22.7998081791883</v>
      </c>
      <c r="KZ27">
        <v>-398.61101583870499</v>
      </c>
      <c r="LA27">
        <v>12.217258905012899</v>
      </c>
      <c r="LB27">
        <v>25.757790850773599</v>
      </c>
      <c r="LC27">
        <v>26.799996821257999</v>
      </c>
      <c r="LD27">
        <v>334.22802241926598</v>
      </c>
      <c r="LE27">
        <v>25.069270087655902</v>
      </c>
      <c r="LF27">
        <v>14.2843405127237</v>
      </c>
      <c r="LG27">
        <v>36.251917409085003</v>
      </c>
      <c r="LH27">
        <v>-637.15965610077296</v>
      </c>
      <c r="LI27">
        <v>9.7363098919729598</v>
      </c>
      <c r="LJ27">
        <v>25.916749320988799</v>
      </c>
      <c r="LK27">
        <v>26.953270514308699</v>
      </c>
      <c r="LL27">
        <v>215.74398361803799</v>
      </c>
      <c r="LM27">
        <v>25.239723431119799</v>
      </c>
      <c r="LN27">
        <v>14.7515948968567</v>
      </c>
      <c r="LO27">
        <v>25.3455962492989</v>
      </c>
      <c r="LP27">
        <v>-387.65802440334602</v>
      </c>
      <c r="LQ27">
        <v>5.37977384072734E-2</v>
      </c>
      <c r="LR27">
        <v>20.2592788965705</v>
      </c>
      <c r="LS27">
        <v>16.420999999999999</v>
      </c>
      <c r="LT27">
        <v>-328.219024737783</v>
      </c>
      <c r="LU27">
        <v>-2104.3217230773098</v>
      </c>
      <c r="LV27">
        <v>22.034321204675699</v>
      </c>
      <c r="LW27">
        <v>24.786714764567201</v>
      </c>
      <c r="LX27">
        <v>337.339430254533</v>
      </c>
      <c r="LY27">
        <v>-0.143414526567711</v>
      </c>
      <c r="LZ27">
        <v>20.3047522098943</v>
      </c>
      <c r="MA27">
        <v>16.420999999999999</v>
      </c>
      <c r="MB27">
        <v>-207.88338478552799</v>
      </c>
      <c r="MC27">
        <v>-1330.7687690560499</v>
      </c>
      <c r="MD27">
        <v>22.078852522506999</v>
      </c>
      <c r="ME27">
        <v>24.8391359947829</v>
      </c>
      <c r="MF27">
        <v>214.56160900555099</v>
      </c>
      <c r="MG27">
        <v>-0.18409019398020399</v>
      </c>
      <c r="MH27">
        <v>20.263325878557001</v>
      </c>
      <c r="MI27">
        <v>16.420999999999999</v>
      </c>
      <c r="MJ27">
        <v>-329.54581445417301</v>
      </c>
      <c r="MK27">
        <v>-2115.4969703792899</v>
      </c>
      <c r="ML27">
        <v>22.0496151579136</v>
      </c>
      <c r="MM27">
        <v>24.839708832884401</v>
      </c>
      <c r="MN27">
        <v>340.22973259011701</v>
      </c>
      <c r="MO27">
        <v>5.9973191550056898E-2</v>
      </c>
      <c r="MP27">
        <v>20.357340952914999</v>
      </c>
      <c r="MQ27">
        <v>16.420999999999999</v>
      </c>
      <c r="MR27">
        <v>-214.82591817346099</v>
      </c>
      <c r="MS27">
        <v>-1372.4147156771601</v>
      </c>
      <c r="MT27">
        <v>22.1844957248158</v>
      </c>
      <c r="MU27">
        <v>24.989520288606101</v>
      </c>
      <c r="MV27">
        <v>220.25229064227801</v>
      </c>
      <c r="MW27">
        <v>-6.2068079770048303</v>
      </c>
      <c r="MX27">
        <v>24.644653522554901</v>
      </c>
      <c r="MY27">
        <v>24.794325111289901</v>
      </c>
      <c r="MZ27">
        <v>-55.149617936195</v>
      </c>
      <c r="NA27">
        <v>-562.64833015408897</v>
      </c>
      <c r="NB27">
        <v>25.163729159075402</v>
      </c>
      <c r="NC27">
        <v>26.461172029327599</v>
      </c>
      <c r="ND27">
        <v>139.47964644203</v>
      </c>
      <c r="NE27">
        <v>-4.4574898829683596</v>
      </c>
      <c r="NF27">
        <v>24.7405298416348</v>
      </c>
      <c r="NG27">
        <v>24.8787733718429</v>
      </c>
      <c r="NH27">
        <v>-32.428445881426903</v>
      </c>
      <c r="NI27">
        <v>-342.94203130436301</v>
      </c>
      <c r="NJ27">
        <v>25.247327532132701</v>
      </c>
      <c r="NK27">
        <v>26.538624309297202</v>
      </c>
      <c r="NL27">
        <v>88.249142467799302</v>
      </c>
      <c r="NM27">
        <v>-6.6172018228051899</v>
      </c>
      <c r="NN27">
        <v>24.651033927848299</v>
      </c>
      <c r="NO27">
        <v>24.802377489237699</v>
      </c>
      <c r="NP27">
        <v>-56.022138199754899</v>
      </c>
      <c r="NQ27">
        <v>-572.94282330721796</v>
      </c>
      <c r="NR27">
        <v>25.180302022327201</v>
      </c>
      <c r="NS27">
        <v>26.512556654772801</v>
      </c>
      <c r="NT27">
        <v>142.42882470382301</v>
      </c>
      <c r="NU27">
        <v>-4.3623667185328001</v>
      </c>
      <c r="NV27">
        <v>24.9236913853169</v>
      </c>
      <c r="NW27">
        <v>25.063764968673301</v>
      </c>
      <c r="NX27">
        <v>1.7</v>
      </c>
      <c r="NY27">
        <v>-32.633522925313301</v>
      </c>
      <c r="NZ27">
        <v>-345.06866990628299</v>
      </c>
      <c r="OA27">
        <v>25.436200841463201</v>
      </c>
      <c r="OB27">
        <v>26.7245566918569</v>
      </c>
      <c r="OC27">
        <v>1.7</v>
      </c>
      <c r="OD27">
        <v>89.404138913952295</v>
      </c>
      <c r="OE27">
        <v>1.7</v>
      </c>
      <c r="OF27">
        <v>1.7</v>
      </c>
      <c r="OG27">
        <v>-6.3951242806056596</v>
      </c>
      <c r="OH27">
        <v>24.7807880200859</v>
      </c>
      <c r="OI27">
        <v>25.1398360103674</v>
      </c>
      <c r="OJ27">
        <v>-51.431406411551997</v>
      </c>
      <c r="OK27">
        <v>-558.60109511191001</v>
      </c>
      <c r="OL27">
        <v>25.296842787384701</v>
      </c>
      <c r="OM27">
        <v>26.5861041052008</v>
      </c>
      <c r="ON27">
        <v>142.06517225956301</v>
      </c>
      <c r="OO27">
        <v>-4.5428036168841297</v>
      </c>
      <c r="OP27">
        <v>24.8739460450176</v>
      </c>
      <c r="OQ27">
        <v>25.234228025360501</v>
      </c>
      <c r="OR27">
        <v>-29.0290731310408</v>
      </c>
      <c r="OS27">
        <v>-333.50749791090402</v>
      </c>
      <c r="OT27">
        <v>25.368935466655898</v>
      </c>
      <c r="OU27">
        <v>26.6360939836757</v>
      </c>
      <c r="OV27">
        <v>88.836755347779999</v>
      </c>
      <c r="OW27">
        <v>-6.7616884786810303</v>
      </c>
      <c r="OX27">
        <v>24.7827128722701</v>
      </c>
      <c r="OY27">
        <v>25.145539868948902</v>
      </c>
      <c r="OZ27">
        <v>-52.295693781600797</v>
      </c>
      <c r="PA27">
        <v>-569.09402497837402</v>
      </c>
      <c r="PB27">
        <v>25.3089922942799</v>
      </c>
      <c r="PC27">
        <v>26.635501050228601</v>
      </c>
      <c r="PD27">
        <v>145.03465570230301</v>
      </c>
      <c r="PE27">
        <v>-4.4903029586430199</v>
      </c>
      <c r="PF27">
        <v>25.077914459895201</v>
      </c>
      <c r="PG27">
        <v>25.438831604078199</v>
      </c>
      <c r="PH27">
        <v>1.7</v>
      </c>
      <c r="PI27">
        <v>-28.551290985437301</v>
      </c>
      <c r="PJ27">
        <v>-330.84182256753297</v>
      </c>
      <c r="PK27">
        <v>25.572881253416099</v>
      </c>
      <c r="PL27">
        <v>26.825942614532</v>
      </c>
      <c r="PM27">
        <v>1.7</v>
      </c>
      <c r="PN27">
        <v>89.309149334191403</v>
      </c>
      <c r="PO27">
        <v>25.575235387939099</v>
      </c>
      <c r="PP27">
        <v>25.641516017021701</v>
      </c>
      <c r="PQ27">
        <v>25.6297003054196</v>
      </c>
      <c r="PR27">
        <v>25.800914450126701</v>
      </c>
      <c r="PS27">
        <v>25.913355044515502</v>
      </c>
      <c r="PT27">
        <v>26.745180518617499</v>
      </c>
      <c r="PU27">
        <v>26.825622517074201</v>
      </c>
      <c r="PV27">
        <v>26.792295634547301</v>
      </c>
      <c r="PW27">
        <v>27.005378478809199</v>
      </c>
      <c r="PX27">
        <v>27.2033082597206</v>
      </c>
      <c r="PY27">
        <v>26.871958427670702</v>
      </c>
      <c r="PZ27">
        <v>26.918627844013201</v>
      </c>
      <c r="QA27">
        <v>26.915780919620499</v>
      </c>
      <c r="QB27">
        <v>27.0970018121068</v>
      </c>
      <c r="QC27">
        <v>27.784559709644899</v>
      </c>
      <c r="QD27">
        <v>24.7280042058443</v>
      </c>
      <c r="QE27">
        <v>25.999545429466298</v>
      </c>
      <c r="QF27">
        <v>26.0465885464275</v>
      </c>
      <c r="QG27">
        <v>26.063895996569499</v>
      </c>
      <c r="QH27">
        <v>26.202512706985601</v>
      </c>
      <c r="QI27">
        <v>26.896875049078101</v>
      </c>
      <c r="QJ27">
        <v>27.0431430287694</v>
      </c>
      <c r="QK27">
        <v>27.101171791495702</v>
      </c>
      <c r="QL27">
        <v>27.100777198460701</v>
      </c>
      <c r="QM27">
        <v>27.275828738902501</v>
      </c>
      <c r="QN27">
        <v>-592.38026938317</v>
      </c>
      <c r="QO27">
        <v>28.149788991161401</v>
      </c>
      <c r="QP27">
        <v>-9755.3134455505005</v>
      </c>
      <c r="QQ27">
        <v>27.138513635776199</v>
      </c>
      <c r="QR27">
        <v>27.164280241666301</v>
      </c>
      <c r="QS27">
        <v>27.1915246846972</v>
      </c>
      <c r="QT27">
        <v>27.33466216419</v>
      </c>
      <c r="QU27">
        <v>28.737127551147299</v>
      </c>
      <c r="QV27">
        <v>24.710973711483302</v>
      </c>
      <c r="QW27">
        <v>1420482.92522604</v>
      </c>
      <c r="QX27">
        <v>0</v>
      </c>
      <c r="QY27">
        <v>938916.03941672598</v>
      </c>
      <c r="QZ27">
        <v>0</v>
      </c>
      <c r="RA27">
        <v>104244.309742887</v>
      </c>
      <c r="RB27">
        <v>0</v>
      </c>
      <c r="RC27">
        <v>70876.530791470504</v>
      </c>
      <c r="RD27">
        <v>0</v>
      </c>
      <c r="RE27">
        <v>316413.53620323102</v>
      </c>
      <c r="RF27">
        <v>0</v>
      </c>
      <c r="RG27">
        <v>212152.01830645499</v>
      </c>
      <c r="RH27">
        <v>0</v>
      </c>
      <c r="RI27">
        <v>0</v>
      </c>
      <c r="RJ27">
        <v>0</v>
      </c>
      <c r="RK27">
        <v>26.423855470993601</v>
      </c>
      <c r="RL27">
        <v>0</v>
      </c>
      <c r="RM27">
        <v>-12102.416654111799</v>
      </c>
      <c r="RN27">
        <v>389.98339899073699</v>
      </c>
      <c r="RO27">
        <v>0</v>
      </c>
      <c r="RP27">
        <v>0</v>
      </c>
      <c r="RQ27">
        <v>26.4516610758333</v>
      </c>
      <c r="RR27">
        <v>0</v>
      </c>
      <c r="RS27">
        <v>-7720.9121799873501</v>
      </c>
      <c r="RT27">
        <v>221.55734161394</v>
      </c>
      <c r="RU27">
        <v>0</v>
      </c>
      <c r="RV27">
        <v>0</v>
      </c>
      <c r="RW27">
        <v>26.498091687719501</v>
      </c>
      <c r="RX27">
        <v>0</v>
      </c>
      <c r="RY27">
        <v>-12212.1194122625</v>
      </c>
      <c r="RZ27">
        <v>277.30748719298799</v>
      </c>
      <c r="SA27">
        <v>0</v>
      </c>
      <c r="SB27">
        <v>0</v>
      </c>
      <c r="SC27">
        <v>26.604110963844501</v>
      </c>
      <c r="SD27">
        <v>0</v>
      </c>
      <c r="SE27">
        <v>-7857.3833316947603</v>
      </c>
      <c r="SF27">
        <v>80.905817206509695</v>
      </c>
      <c r="SG27">
        <v>0</v>
      </c>
      <c r="SH27">
        <v>0</v>
      </c>
      <c r="SI27">
        <v>27.8803950536408</v>
      </c>
      <c r="SJ27">
        <v>-9262.93803834137</v>
      </c>
      <c r="SK27">
        <v>-50957.798034583902</v>
      </c>
      <c r="SL27">
        <v>-9262.93803834137</v>
      </c>
      <c r="SM27">
        <v>21.1111</v>
      </c>
      <c r="SN27">
        <v>26.666699999999999</v>
      </c>
      <c r="SO27">
        <v>0</v>
      </c>
      <c r="SP27">
        <v>0</v>
      </c>
      <c r="SQ27">
        <v>24.8898852890364</v>
      </c>
      <c r="SR27">
        <v>0</v>
      </c>
      <c r="SS27">
        <v>0</v>
      </c>
      <c r="ST27">
        <v>0</v>
      </c>
      <c r="SU27">
        <v>0</v>
      </c>
      <c r="SV27">
        <v>0</v>
      </c>
      <c r="SW27">
        <v>24.951569436526398</v>
      </c>
      <c r="SX27">
        <v>0</v>
      </c>
      <c r="SY27">
        <v>0</v>
      </c>
      <c r="SZ27">
        <v>0</v>
      </c>
      <c r="TA27">
        <v>0</v>
      </c>
      <c r="TB27">
        <v>0</v>
      </c>
      <c r="TC27">
        <v>24.904966152070401</v>
      </c>
      <c r="TD27">
        <v>0</v>
      </c>
      <c r="TE27">
        <v>0</v>
      </c>
      <c r="TF27">
        <v>0</v>
      </c>
      <c r="TG27">
        <v>0</v>
      </c>
      <c r="TH27">
        <v>0</v>
      </c>
      <c r="TI27">
        <v>25.126404164070799</v>
      </c>
      <c r="TJ27">
        <v>0</v>
      </c>
      <c r="TK27">
        <v>0</v>
      </c>
      <c r="TL27">
        <v>0</v>
      </c>
      <c r="TM27">
        <v>0</v>
      </c>
      <c r="TN27">
        <v>0</v>
      </c>
      <c r="TO27">
        <v>24.713825510074798</v>
      </c>
      <c r="TP27">
        <v>0</v>
      </c>
      <c r="TQ27">
        <v>0</v>
      </c>
      <c r="TR27">
        <v>0</v>
      </c>
      <c r="TS27">
        <v>0</v>
      </c>
      <c r="TT27">
        <v>0</v>
      </c>
      <c r="TU27">
        <v>27.341105538921202</v>
      </c>
      <c r="TV27">
        <v>-1014.45223852237</v>
      </c>
      <c r="TW27">
        <v>-13561.332987396099</v>
      </c>
      <c r="TX27">
        <v>-1014.45223852237</v>
      </c>
      <c r="TY27">
        <v>0</v>
      </c>
      <c r="TZ27">
        <v>0</v>
      </c>
      <c r="UA27">
        <v>27.376721065917302</v>
      </c>
      <c r="UB27">
        <v>-678.30028601925403</v>
      </c>
      <c r="UC27">
        <v>-8658.0190815142105</v>
      </c>
      <c r="UD27">
        <v>-678.30028601925403</v>
      </c>
      <c r="UE27">
        <v>0</v>
      </c>
      <c r="UF27">
        <v>0</v>
      </c>
      <c r="UG27">
        <v>27.409258762374101</v>
      </c>
      <c r="UH27">
        <v>-1118.81403130234</v>
      </c>
      <c r="UI27">
        <v>-13663.035918727899</v>
      </c>
      <c r="UJ27">
        <v>-1118.81403130234</v>
      </c>
      <c r="UK27">
        <v>0</v>
      </c>
      <c r="UL27">
        <v>0</v>
      </c>
      <c r="UM27">
        <v>27.546278998995799</v>
      </c>
      <c r="UN27">
        <v>-837.74078386902204</v>
      </c>
      <c r="UO27">
        <v>-8812.9786180334504</v>
      </c>
      <c r="UP27">
        <v>-837.74078386902204</v>
      </c>
      <c r="UQ27">
        <v>0</v>
      </c>
      <c r="UR27">
        <v>0</v>
      </c>
      <c r="US27">
        <v>29.096269722602099</v>
      </c>
      <c r="UT27">
        <v>-18507.1991500037</v>
      </c>
      <c r="UU27">
        <v>-60037.087334612399</v>
      </c>
      <c r="UV27">
        <v>-18507.1991500037</v>
      </c>
      <c r="UW27">
        <v>21.1111</v>
      </c>
      <c r="UX27">
        <v>26.666699999999999</v>
      </c>
      <c r="UY27">
        <v>0</v>
      </c>
      <c r="UZ27">
        <v>0</v>
      </c>
      <c r="VA27">
        <v>25.344038681144902</v>
      </c>
      <c r="VB27">
        <v>0</v>
      </c>
      <c r="VC27">
        <v>0</v>
      </c>
      <c r="VD27">
        <v>0</v>
      </c>
      <c r="VE27">
        <v>0</v>
      </c>
      <c r="VF27">
        <v>0</v>
      </c>
      <c r="VG27">
        <v>25.418347293605098</v>
      </c>
      <c r="VH27">
        <v>0</v>
      </c>
      <c r="VI27">
        <v>0</v>
      </c>
      <c r="VJ27">
        <v>0</v>
      </c>
      <c r="VK27">
        <v>0</v>
      </c>
      <c r="VL27">
        <v>0</v>
      </c>
      <c r="VM27">
        <v>25.3571742591331</v>
      </c>
      <c r="VN27">
        <v>0</v>
      </c>
      <c r="VO27">
        <v>0</v>
      </c>
      <c r="VP27">
        <v>0</v>
      </c>
      <c r="VQ27">
        <v>0</v>
      </c>
      <c r="VR27">
        <v>0</v>
      </c>
      <c r="VS27">
        <v>25.611127907186901</v>
      </c>
      <c r="VT27">
        <v>0</v>
      </c>
      <c r="VU27">
        <v>0</v>
      </c>
      <c r="VV27">
        <v>0</v>
      </c>
      <c r="VW27">
        <v>0</v>
      </c>
      <c r="VX27">
        <v>0</v>
      </c>
      <c r="VY27">
        <v>25.3487176503175</v>
      </c>
      <c r="VZ27">
        <v>0</v>
      </c>
      <c r="WA27">
        <v>0</v>
      </c>
      <c r="WB27">
        <v>0</v>
      </c>
      <c r="WC27">
        <v>0</v>
      </c>
      <c r="WD27">
        <v>0</v>
      </c>
      <c r="WE27">
        <v>27.4050688438818</v>
      </c>
      <c r="WF27">
        <v>-1103.4254967597799</v>
      </c>
      <c r="WG27">
        <v>-13692.357538972499</v>
      </c>
      <c r="WH27">
        <v>-1103.4254967597799</v>
      </c>
      <c r="WI27">
        <v>0</v>
      </c>
      <c r="WJ27">
        <v>0</v>
      </c>
      <c r="WK27">
        <v>0</v>
      </c>
      <c r="WL27">
        <v>27.4099326393194</v>
      </c>
      <c r="WM27">
        <v>-706.66946248083298</v>
      </c>
      <c r="WN27">
        <v>-8715.5008205651702</v>
      </c>
      <c r="WO27">
        <v>-706.66946248083298</v>
      </c>
      <c r="WP27">
        <v>18.333300000000001</v>
      </c>
      <c r="WQ27">
        <v>26.666699999999999</v>
      </c>
      <c r="WR27">
        <v>0</v>
      </c>
      <c r="WS27">
        <v>0</v>
      </c>
      <c r="WT27">
        <v>27.467268449773901</v>
      </c>
      <c r="WU27">
        <v>-1197.80452126915</v>
      </c>
      <c r="WV27">
        <v>-13784.177649601401</v>
      </c>
      <c r="WW27">
        <v>-1197.80452126915</v>
      </c>
      <c r="WX27">
        <v>0</v>
      </c>
      <c r="WY27">
        <v>0</v>
      </c>
      <c r="WZ27">
        <v>0</v>
      </c>
      <c r="XA27">
        <v>27.5723225162732</v>
      </c>
      <c r="XB27">
        <v>-857.56585510485604</v>
      </c>
      <c r="XC27">
        <v>-8861.9631388266007</v>
      </c>
      <c r="XD27">
        <v>-857.56585510485604</v>
      </c>
      <c r="XE27">
        <v>0</v>
      </c>
      <c r="XF27">
        <v>0</v>
      </c>
      <c r="XG27">
        <v>29.6896953926496</v>
      </c>
      <c r="XH27">
        <v>-22967.554075212</v>
      </c>
      <c r="XI27">
        <v>-64403.787897788898</v>
      </c>
      <c r="XJ27">
        <v>-22967.554075212</v>
      </c>
      <c r="XK27">
        <v>21.1111</v>
      </c>
      <c r="XL27">
        <v>26.666699999999999</v>
      </c>
      <c r="XM27">
        <v>0</v>
      </c>
      <c r="XN27">
        <v>0</v>
      </c>
      <c r="XO27">
        <v>24.693007025492999</v>
      </c>
      <c r="XP27">
        <v>0</v>
      </c>
      <c r="XQ27">
        <v>0</v>
      </c>
      <c r="XR27">
        <v>0</v>
      </c>
      <c r="XS27">
        <v>0</v>
      </c>
      <c r="XT27">
        <v>0</v>
      </c>
      <c r="XU27">
        <v>24.6934079008204</v>
      </c>
      <c r="XV27">
        <v>0</v>
      </c>
      <c r="XW27">
        <v>0</v>
      </c>
      <c r="XX27">
        <v>0</v>
      </c>
      <c r="XY27">
        <v>0</v>
      </c>
      <c r="XZ27">
        <v>0</v>
      </c>
      <c r="YA27">
        <v>24.711694047303698</v>
      </c>
      <c r="YB27">
        <v>0</v>
      </c>
      <c r="YC27">
        <v>0</v>
      </c>
      <c r="YD27">
        <v>0</v>
      </c>
      <c r="YE27">
        <v>0</v>
      </c>
      <c r="YF27">
        <v>0</v>
      </c>
      <c r="YG27">
        <v>24.851316462290701</v>
      </c>
      <c r="YH27">
        <v>0</v>
      </c>
      <c r="YI27">
        <v>0</v>
      </c>
      <c r="YJ27">
        <v>0</v>
      </c>
      <c r="YK27">
        <v>0</v>
      </c>
      <c r="YL27">
        <v>0</v>
      </c>
      <c r="YM27">
        <v>26.5392642967984</v>
      </c>
      <c r="YN27">
        <v>0</v>
      </c>
      <c r="YO27">
        <v>0</v>
      </c>
      <c r="YP27">
        <v>0</v>
      </c>
      <c r="YQ27">
        <v>0</v>
      </c>
      <c r="YR27">
        <v>0</v>
      </c>
      <c r="YS27">
        <v>21.141589653465701</v>
      </c>
      <c r="YT27">
        <v>0</v>
      </c>
      <c r="YU27">
        <v>0</v>
      </c>
      <c r="YV27">
        <v>0</v>
      </c>
      <c r="YW27">
        <v>0</v>
      </c>
      <c r="YX27">
        <v>0</v>
      </c>
      <c r="YY27">
        <v>21.185467970829801</v>
      </c>
      <c r="YZ27">
        <v>0</v>
      </c>
      <c r="ZA27">
        <v>0</v>
      </c>
      <c r="ZB27">
        <v>0</v>
      </c>
      <c r="ZC27">
        <v>0</v>
      </c>
      <c r="ZD27">
        <v>0</v>
      </c>
      <c r="ZE27">
        <v>21.150652208546301</v>
      </c>
      <c r="ZF27">
        <v>0</v>
      </c>
      <c r="ZG27">
        <v>0</v>
      </c>
      <c r="ZH27">
        <v>0</v>
      </c>
      <c r="ZI27">
        <v>0</v>
      </c>
      <c r="ZJ27">
        <v>0</v>
      </c>
      <c r="ZK27">
        <v>21.264605980077299</v>
      </c>
      <c r="ZL27">
        <v>0</v>
      </c>
      <c r="ZM27">
        <v>0</v>
      </c>
      <c r="ZN27">
        <v>0</v>
      </c>
      <c r="ZO27">
        <v>0</v>
      </c>
      <c r="ZP27">
        <v>0</v>
      </c>
      <c r="ZQ27">
        <v>21.131793276221501</v>
      </c>
      <c r="ZR27">
        <v>0</v>
      </c>
      <c r="ZS27">
        <v>0</v>
      </c>
      <c r="ZT27">
        <v>0</v>
      </c>
      <c r="ZU27">
        <v>0</v>
      </c>
      <c r="ZV27">
        <v>0</v>
      </c>
      <c r="ZW27">
        <v>24.843594577848499</v>
      </c>
      <c r="ZX27">
        <v>0</v>
      </c>
      <c r="ZY27">
        <v>0</v>
      </c>
      <c r="ZZ27">
        <v>0</v>
      </c>
      <c r="AAA27">
        <v>0</v>
      </c>
      <c r="AAB27">
        <v>0</v>
      </c>
      <c r="AAC27">
        <v>24.928555662149201</v>
      </c>
      <c r="AAD27">
        <v>0</v>
      </c>
      <c r="AAE27">
        <v>0</v>
      </c>
      <c r="AAF27">
        <v>0</v>
      </c>
      <c r="AAG27">
        <v>0</v>
      </c>
      <c r="AAH27">
        <v>0</v>
      </c>
      <c r="AAI27">
        <v>24.854016441456999</v>
      </c>
      <c r="AAJ27">
        <v>0</v>
      </c>
      <c r="AAK27">
        <v>0</v>
      </c>
      <c r="AAL27">
        <v>0</v>
      </c>
      <c r="AAM27">
        <v>0</v>
      </c>
      <c r="AAN27">
        <v>0</v>
      </c>
      <c r="AAO27">
        <v>25.111688303265598</v>
      </c>
      <c r="AAP27">
        <v>0</v>
      </c>
      <c r="AAQ27">
        <v>0</v>
      </c>
      <c r="AAR27">
        <v>0</v>
      </c>
      <c r="AAS27">
        <v>0</v>
      </c>
      <c r="AAT27">
        <v>0</v>
      </c>
      <c r="AAU27">
        <v>24.37948283647</v>
      </c>
      <c r="AAV27">
        <v>0</v>
      </c>
      <c r="AAW27">
        <v>0</v>
      </c>
      <c r="AAX27">
        <v>0</v>
      </c>
      <c r="AAY27">
        <v>0</v>
      </c>
      <c r="AAZ27">
        <v>0</v>
      </c>
      <c r="ABA27">
        <v>24.970968491217199</v>
      </c>
      <c r="ABB27">
        <v>0</v>
      </c>
      <c r="ABC27">
        <v>0</v>
      </c>
      <c r="ABD27">
        <v>0</v>
      </c>
      <c r="ABE27">
        <v>0</v>
      </c>
      <c r="ABF27">
        <v>0</v>
      </c>
      <c r="ABG27">
        <v>25.048559582030499</v>
      </c>
      <c r="ABH27">
        <v>0</v>
      </c>
      <c r="ABI27">
        <v>0</v>
      </c>
      <c r="ABJ27">
        <v>0</v>
      </c>
      <c r="ABK27">
        <v>0</v>
      </c>
      <c r="ABL27">
        <v>0</v>
      </c>
      <c r="ABM27">
        <v>24.977054329562701</v>
      </c>
      <c r="ABN27">
        <v>0</v>
      </c>
      <c r="ABO27">
        <v>0</v>
      </c>
      <c r="ABP27">
        <v>0</v>
      </c>
      <c r="ABQ27">
        <v>0</v>
      </c>
      <c r="ABR27">
        <v>0</v>
      </c>
      <c r="ABS27">
        <v>25.249204899529602</v>
      </c>
      <c r="ABT27">
        <v>0</v>
      </c>
      <c r="ABU27">
        <v>0</v>
      </c>
      <c r="ABV27">
        <v>0</v>
      </c>
      <c r="ABW27">
        <v>0</v>
      </c>
      <c r="ABX27">
        <v>0</v>
      </c>
      <c r="ABY27">
        <v>24.710973711483302</v>
      </c>
      <c r="ABZ27">
        <v>0</v>
      </c>
      <c r="ACA27">
        <v>0</v>
      </c>
      <c r="ACB27">
        <v>0</v>
      </c>
      <c r="ACC27">
        <v>0</v>
      </c>
      <c r="ACD27">
        <v>0</v>
      </c>
      <c r="ACE27">
        <v>0</v>
      </c>
      <c r="ACF27">
        <v>7.4572007059970504</v>
      </c>
      <c r="ACG27">
        <v>7.4572007059970504</v>
      </c>
      <c r="ACH27">
        <v>0</v>
      </c>
      <c r="ACI27">
        <v>0</v>
      </c>
      <c r="ACJ27">
        <v>0</v>
      </c>
      <c r="ACK27">
        <v>21.375950174090502</v>
      </c>
      <c r="ACL27">
        <v>21.375950174090502</v>
      </c>
      <c r="ACM27">
        <v>0</v>
      </c>
      <c r="ACN27">
        <v>105390.341415922</v>
      </c>
      <c r="ACP27">
        <v>0</v>
      </c>
      <c r="ACR27">
        <v>105390.341415922</v>
      </c>
      <c r="ACT27">
        <v>27.8802509220696</v>
      </c>
      <c r="ACU27">
        <v>27.8802509220696</v>
      </c>
      <c r="ACV27">
        <v>0</v>
      </c>
      <c r="ACW27">
        <v>0</v>
      </c>
      <c r="ACX27">
        <v>1</v>
      </c>
      <c r="ACY27">
        <v>29.096016876787498</v>
      </c>
      <c r="ACZ27">
        <v>29.096016876787498</v>
      </c>
      <c r="ADA27">
        <v>0</v>
      </c>
      <c r="ADB27">
        <v>0</v>
      </c>
      <c r="ADC27">
        <v>1</v>
      </c>
      <c r="ADD27">
        <v>29.6891167536964</v>
      </c>
      <c r="ADE27">
        <v>29.6891167536964</v>
      </c>
      <c r="ADF27">
        <v>0</v>
      </c>
      <c r="ADG27">
        <v>0</v>
      </c>
      <c r="ADH27">
        <v>1</v>
      </c>
      <c r="ADI27">
        <v>26.732071144709401</v>
      </c>
      <c r="ADJ27">
        <v>26.732071144709401</v>
      </c>
      <c r="ADK27">
        <v>0</v>
      </c>
      <c r="ADL27">
        <v>0</v>
      </c>
      <c r="ADM27">
        <v>1</v>
      </c>
      <c r="ADN27">
        <v>26.765808472830301</v>
      </c>
      <c r="ADO27">
        <v>26.765808472830301</v>
      </c>
      <c r="ADP27">
        <v>0</v>
      </c>
      <c r="ADQ27">
        <v>0</v>
      </c>
      <c r="ADR27">
        <v>1</v>
      </c>
      <c r="ADS27">
        <v>26.797237609010502</v>
      </c>
      <c r="ADT27">
        <v>26.797237609010502</v>
      </c>
      <c r="ADU27">
        <v>0</v>
      </c>
      <c r="ADV27">
        <v>0</v>
      </c>
      <c r="ADW27">
        <v>1</v>
      </c>
      <c r="ADX27">
        <v>26.922604794257602</v>
      </c>
      <c r="ADY27">
        <v>26.922604794257602</v>
      </c>
      <c r="ADZ27">
        <v>0</v>
      </c>
      <c r="AEA27">
        <v>0</v>
      </c>
      <c r="AEB27">
        <v>1</v>
      </c>
      <c r="AEC27">
        <v>27.699185095539899</v>
      </c>
      <c r="AED27">
        <v>27.699185095539899</v>
      </c>
      <c r="AEE27">
        <v>0</v>
      </c>
      <c r="AEF27">
        <v>0</v>
      </c>
      <c r="AEG27">
        <v>1</v>
      </c>
      <c r="AEH27">
        <v>27.743547175315399</v>
      </c>
      <c r="AEI27">
        <v>27.743547175315399</v>
      </c>
      <c r="AEJ27">
        <v>0</v>
      </c>
      <c r="AEK27">
        <v>0</v>
      </c>
      <c r="AEL27">
        <v>1</v>
      </c>
      <c r="AEM27">
        <v>27.7574644516035</v>
      </c>
      <c r="AEN27">
        <v>27.7574644516035</v>
      </c>
      <c r="AEO27">
        <v>0</v>
      </c>
      <c r="AEP27">
        <v>0</v>
      </c>
      <c r="AEQ27">
        <v>1</v>
      </c>
      <c r="AER27">
        <v>27.9175195727878</v>
      </c>
      <c r="AES27">
        <v>27.9175195727878</v>
      </c>
      <c r="AET27">
        <v>0</v>
      </c>
      <c r="AEU27">
        <v>0</v>
      </c>
      <c r="AEV27">
        <v>1</v>
      </c>
      <c r="AEW27">
        <v>27.771524789453998</v>
      </c>
      <c r="AEX27">
        <v>27.771524789453998</v>
      </c>
      <c r="AEY27">
        <v>0</v>
      </c>
      <c r="AEZ27">
        <v>0</v>
      </c>
      <c r="AFA27">
        <v>1</v>
      </c>
      <c r="AFB27">
        <v>27.782109963986201</v>
      </c>
      <c r="AFC27">
        <v>27.782109963986201</v>
      </c>
      <c r="AFD27">
        <v>0</v>
      </c>
      <c r="AFE27">
        <v>0</v>
      </c>
      <c r="AFF27">
        <v>1</v>
      </c>
      <c r="AFG27">
        <v>27.826899552286001</v>
      </c>
      <c r="AFH27">
        <v>27.826899552286001</v>
      </c>
      <c r="AFI27">
        <v>0</v>
      </c>
      <c r="AFJ27">
        <v>0</v>
      </c>
      <c r="AFK27">
        <v>1</v>
      </c>
      <c r="AFL27">
        <v>27.953016223863099</v>
      </c>
      <c r="AFM27">
        <v>27.953016223863099</v>
      </c>
      <c r="AFN27">
        <v>0</v>
      </c>
      <c r="AFO27">
        <v>0</v>
      </c>
      <c r="AFP27">
        <v>1</v>
      </c>
      <c r="AFQ27">
        <v>0.20356790867868299</v>
      </c>
      <c r="AFR27">
        <v>0.186865241166975</v>
      </c>
      <c r="AFS27">
        <v>0.24251964658942701</v>
      </c>
      <c r="AFT27">
        <v>0.19937707267632801</v>
      </c>
      <c r="AFU27">
        <v>0.49546257852363501</v>
      </c>
      <c r="AFV27">
        <v>0.48038349099477001</v>
      </c>
      <c r="AFW27">
        <v>0.54855682380346604</v>
      </c>
      <c r="AFX27">
        <v>0.49728320620456501</v>
      </c>
      <c r="AFY27">
        <v>0.52115033549464196</v>
      </c>
      <c r="AFZ27">
        <v>0.50676852941027895</v>
      </c>
      <c r="AGA27">
        <v>0.56473411813123098</v>
      </c>
      <c r="AGB27">
        <v>0.51421180991583704</v>
      </c>
      <c r="AGC27">
        <v>0.43307013151059698</v>
      </c>
      <c r="AGD27">
        <v>0.79477500246751498</v>
      </c>
      <c r="AGE27">
        <v>0.97319840088256604</v>
      </c>
      <c r="AGF27">
        <v>0</v>
      </c>
      <c r="AGG27">
        <v>0</v>
      </c>
      <c r="AGH27">
        <v>0</v>
      </c>
      <c r="AGI27">
        <v>0</v>
      </c>
      <c r="AGJ27">
        <v>0</v>
      </c>
      <c r="AGK27">
        <v>0</v>
      </c>
      <c r="AGL27">
        <v>0</v>
      </c>
      <c r="AGM27">
        <v>0</v>
      </c>
      <c r="AGN27">
        <v>0</v>
      </c>
      <c r="AGO27">
        <v>0</v>
      </c>
      <c r="AGP27">
        <v>0</v>
      </c>
      <c r="AGQ27">
        <v>0</v>
      </c>
      <c r="AGR27">
        <v>0</v>
      </c>
      <c r="AGS27">
        <v>0</v>
      </c>
      <c r="AGT27">
        <v>0</v>
      </c>
      <c r="AGU27">
        <v>0</v>
      </c>
      <c r="AGV27">
        <v>0</v>
      </c>
      <c r="AGW27">
        <v>0</v>
      </c>
      <c r="AGX27">
        <v>0</v>
      </c>
      <c r="AGY27">
        <v>0</v>
      </c>
      <c r="AGZ27">
        <v>0</v>
      </c>
      <c r="AHA27">
        <v>0</v>
      </c>
      <c r="AHB27">
        <v>0</v>
      </c>
      <c r="AHC27">
        <v>0</v>
      </c>
      <c r="AHD27">
        <v>0</v>
      </c>
      <c r="AHE27">
        <v>0</v>
      </c>
      <c r="AHF27">
        <v>0</v>
      </c>
      <c r="AHG27">
        <v>0</v>
      </c>
      <c r="AHH27">
        <v>0</v>
      </c>
      <c r="AHI27">
        <v>0</v>
      </c>
      <c r="AHJ27">
        <v>0</v>
      </c>
      <c r="AHK27">
        <v>0</v>
      </c>
      <c r="AHL27">
        <v>0</v>
      </c>
      <c r="AHM27">
        <v>0</v>
      </c>
      <c r="AHN27">
        <v>0</v>
      </c>
      <c r="AHO27">
        <v>0</v>
      </c>
      <c r="AHP27">
        <v>0</v>
      </c>
      <c r="AHQ27">
        <v>0</v>
      </c>
      <c r="AHR27">
        <v>0</v>
      </c>
      <c r="AHS27">
        <v>0</v>
      </c>
      <c r="AHT27">
        <v>0</v>
      </c>
      <c r="AHU27">
        <v>0</v>
      </c>
      <c r="AHV27">
        <v>0</v>
      </c>
      <c r="AHW27">
        <v>0</v>
      </c>
      <c r="AHX27">
        <v>0</v>
      </c>
      <c r="AHZ27">
        <v>0</v>
      </c>
      <c r="AIB27">
        <v>0</v>
      </c>
      <c r="AID27">
        <v>0</v>
      </c>
      <c r="AIF27">
        <v>0</v>
      </c>
      <c r="AIH27">
        <v>0</v>
      </c>
      <c r="AIJ27">
        <v>0</v>
      </c>
      <c r="AIL27">
        <v>0</v>
      </c>
      <c r="AIN27">
        <v>0</v>
      </c>
      <c r="AIP27">
        <v>0</v>
      </c>
      <c r="AIR27">
        <v>0</v>
      </c>
      <c r="AIT27">
        <v>0</v>
      </c>
      <c r="AIV27">
        <v>0</v>
      </c>
      <c r="AIX27">
        <v>0</v>
      </c>
      <c r="AIZ27">
        <v>0</v>
      </c>
      <c r="AJB27">
        <v>0</v>
      </c>
      <c r="AJC27">
        <v>0</v>
      </c>
      <c r="AJE27">
        <v>0</v>
      </c>
      <c r="AJH27">
        <v>0</v>
      </c>
      <c r="AJJ27">
        <v>0</v>
      </c>
      <c r="AJK27">
        <v>0</v>
      </c>
      <c r="AJL27">
        <v>0</v>
      </c>
      <c r="AJM27">
        <v>0</v>
      </c>
      <c r="AJN27">
        <v>0</v>
      </c>
      <c r="AJO27">
        <v>0</v>
      </c>
      <c r="AJP27">
        <v>0</v>
      </c>
      <c r="AJQ27">
        <v>0</v>
      </c>
      <c r="AJR27">
        <v>0</v>
      </c>
      <c r="AJS27">
        <v>0</v>
      </c>
      <c r="AJT27">
        <v>0</v>
      </c>
      <c r="AJU27">
        <v>0</v>
      </c>
      <c r="AJV27">
        <v>0</v>
      </c>
      <c r="AJW27">
        <v>0</v>
      </c>
      <c r="AJX27">
        <v>0</v>
      </c>
      <c r="AJY27">
        <v>0</v>
      </c>
      <c r="AJZ27">
        <v>0</v>
      </c>
      <c r="AKA27">
        <v>0</v>
      </c>
      <c r="AKB27">
        <v>0</v>
      </c>
      <c r="AKC27">
        <v>0</v>
      </c>
      <c r="AKD27">
        <v>0</v>
      </c>
      <c r="AKE27">
        <v>65.56</v>
      </c>
      <c r="AKF27">
        <v>65.56</v>
      </c>
      <c r="AKG27">
        <v>0</v>
      </c>
      <c r="AKH27">
        <v>0</v>
      </c>
      <c r="AKI27">
        <v>0</v>
      </c>
      <c r="AKJ27">
        <v>0</v>
      </c>
      <c r="AKK27">
        <v>0</v>
      </c>
      <c r="AKL27">
        <v>65.56</v>
      </c>
      <c r="AKM27">
        <v>65.56</v>
      </c>
      <c r="AKN27">
        <v>0</v>
      </c>
      <c r="AKO27">
        <v>0</v>
      </c>
      <c r="AKP27">
        <v>0</v>
      </c>
      <c r="AKT27">
        <v>0</v>
      </c>
      <c r="AKX27">
        <v>0</v>
      </c>
      <c r="ALB27">
        <v>21.375950174090502</v>
      </c>
      <c r="ALC27">
        <v>21.375950174090502</v>
      </c>
      <c r="ALD27">
        <v>0</v>
      </c>
      <c r="ALE27">
        <v>0</v>
      </c>
      <c r="ALF27">
        <v>0</v>
      </c>
      <c r="ALH27">
        <v>24.688026699316602</v>
      </c>
      <c r="ALI27">
        <v>9.8519434618575697E-3</v>
      </c>
      <c r="ALJ27">
        <v>0</v>
      </c>
      <c r="ALK27">
        <v>24.688026699316602</v>
      </c>
      <c r="ALL27">
        <v>0</v>
      </c>
      <c r="ALM27">
        <v>0</v>
      </c>
      <c r="ALN27">
        <v>24.688026699316602</v>
      </c>
      <c r="ALO27">
        <v>9.8519434618575697E-3</v>
      </c>
      <c r="ALP27">
        <v>50.759243876436202</v>
      </c>
      <c r="ALQ27">
        <v>0</v>
      </c>
      <c r="ALR27">
        <v>24.688026699316602</v>
      </c>
      <c r="ALS27">
        <v>0</v>
      </c>
      <c r="ALT27">
        <v>24.688026699316602</v>
      </c>
      <c r="ALU27">
        <v>0</v>
      </c>
      <c r="ALV27">
        <v>7.4572007059970504</v>
      </c>
      <c r="ALW27">
        <v>9.9999999999999897E-12</v>
      </c>
      <c r="ALX27">
        <v>7.4572007059970504</v>
      </c>
      <c r="ALY27">
        <v>9.9999999999999897E-12</v>
      </c>
      <c r="ALZ27">
        <v>0</v>
      </c>
      <c r="AMA27">
        <v>7.4572007059970504</v>
      </c>
      <c r="AMB27">
        <v>0</v>
      </c>
      <c r="AMC27">
        <v>7.4572007059970504</v>
      </c>
      <c r="AMD27">
        <v>0</v>
      </c>
      <c r="AME27">
        <v>7.4572007059970504</v>
      </c>
      <c r="AMF27">
        <v>0</v>
      </c>
      <c r="AMG27">
        <v>0</v>
      </c>
      <c r="AMH27">
        <v>0</v>
      </c>
      <c r="AMI27">
        <v>21.259524039921398</v>
      </c>
      <c r="AMJ27">
        <v>0</v>
      </c>
      <c r="AMK27" s="580">
        <v>21.101795800876101</v>
      </c>
      <c r="AML27">
        <v>0</v>
      </c>
      <c r="AMM27">
        <v>21.177779428480299</v>
      </c>
      <c r="AMN27">
        <v>0</v>
      </c>
      <c r="AMO27">
        <v>21.1346380041958</v>
      </c>
      <c r="AMP27">
        <v>0</v>
      </c>
      <c r="AMQ27">
        <v>21.142223530186801</v>
      </c>
      <c r="AMR27">
        <v>0</v>
      </c>
      <c r="AMS27">
        <v>24.288056040990298</v>
      </c>
      <c r="AMT27">
        <v>0</v>
      </c>
      <c r="AMU27">
        <v>24.8767163672686</v>
      </c>
      <c r="AMV27">
        <v>0</v>
      </c>
      <c r="AMW27">
        <v>25.060739152658002</v>
      </c>
      <c r="AMX27">
        <v>0</v>
      </c>
      <c r="AMY27">
        <v>24.791737380296201</v>
      </c>
      <c r="AMZ27">
        <v>0</v>
      </c>
      <c r="ANA27">
        <v>24.800444794390799</v>
      </c>
      <c r="ANB27">
        <v>0</v>
      </c>
      <c r="ANC27">
        <v>24.609899299278901</v>
      </c>
      <c r="AND27">
        <v>0</v>
      </c>
      <c r="ANE27">
        <v>24.995856562300499</v>
      </c>
      <c r="ANF27">
        <v>0</v>
      </c>
      <c r="ANG27">
        <v>25.197818482921299</v>
      </c>
      <c r="ANH27">
        <v>0</v>
      </c>
      <c r="ANI27">
        <v>24.917955419374501</v>
      </c>
      <c r="ANJ27">
        <v>0</v>
      </c>
      <c r="ANK27">
        <v>24.922185323258802</v>
      </c>
      <c r="ANL27">
        <v>0</v>
      </c>
      <c r="ANM27">
        <v>0</v>
      </c>
      <c r="ANN27">
        <v>0</v>
      </c>
      <c r="ANO27">
        <v>0</v>
      </c>
      <c r="ANP27">
        <v>21.101795800876101</v>
      </c>
      <c r="ANQ27">
        <v>21.177779428480299</v>
      </c>
      <c r="ANR27">
        <v>21.259524039921398</v>
      </c>
      <c r="ANS27">
        <v>21.142223530186801</v>
      </c>
      <c r="ANT27">
        <v>21.1346380041958</v>
      </c>
      <c r="ANU27">
        <v>24.288056040990298</v>
      </c>
      <c r="ANV27">
        <v>24.8767163672686</v>
      </c>
      <c r="ANW27">
        <v>25.060739152658002</v>
      </c>
      <c r="ANX27">
        <v>24.800444794390799</v>
      </c>
      <c r="ANY27">
        <v>24.791737380296201</v>
      </c>
      <c r="ANZ27">
        <v>24.609899299278901</v>
      </c>
      <c r="AOA27">
        <v>24.995856562300499</v>
      </c>
      <c r="AOB27">
        <v>25.197818482921299</v>
      </c>
      <c r="AOC27">
        <v>24.922185323258802</v>
      </c>
      <c r="AOD27">
        <v>24.917955419374501</v>
      </c>
      <c r="AOE27">
        <v>24.688026699316602</v>
      </c>
      <c r="AOF27">
        <v>0</v>
      </c>
      <c r="AOG27">
        <v>24.663641902453399</v>
      </c>
      <c r="AOH27">
        <v>0</v>
      </c>
    </row>
    <row r="28" spans="1:1074">
      <c r="A28" t="s">
        <v>2598</v>
      </c>
      <c r="B28">
        <v>19.5307</v>
      </c>
      <c r="D28">
        <v>15.0676290056188</v>
      </c>
      <c r="F28">
        <v>9</v>
      </c>
      <c r="G28">
        <v>6988958.1450714003</v>
      </c>
      <c r="H28">
        <v>15006965.342177801</v>
      </c>
      <c r="I28">
        <v>4438405.1063184803</v>
      </c>
      <c r="J28">
        <v>9530317.7129537892</v>
      </c>
      <c r="K28">
        <v>6988958.1450714003</v>
      </c>
      <c r="L28">
        <v>15006965.342177801</v>
      </c>
      <c r="M28">
        <v>4438405.1063184803</v>
      </c>
      <c r="N28">
        <v>9530317.7129538003</v>
      </c>
      <c r="O28">
        <v>36043418.585661501</v>
      </c>
      <c r="P28">
        <v>77393843.588843703</v>
      </c>
      <c r="Q28">
        <v>6988958.1450714003</v>
      </c>
      <c r="R28">
        <v>15006965.342177801</v>
      </c>
      <c r="S28">
        <v>4438405.1063184803</v>
      </c>
      <c r="T28">
        <v>9530317.7129537892</v>
      </c>
      <c r="U28">
        <v>6988958.1450714003</v>
      </c>
      <c r="V28">
        <v>15006965.342177801</v>
      </c>
      <c r="W28">
        <v>4438405.1063184803</v>
      </c>
      <c r="X28">
        <v>9530317.7129538003</v>
      </c>
      <c r="Y28">
        <v>36043418.585661501</v>
      </c>
      <c r="Z28">
        <v>77393843.588843703</v>
      </c>
      <c r="AA28">
        <v>6988958.1450714003</v>
      </c>
      <c r="AB28">
        <v>15006965.342177801</v>
      </c>
      <c r="AC28">
        <v>4438405.1063184803</v>
      </c>
      <c r="AD28">
        <v>9530317.7129537892</v>
      </c>
      <c r="AE28">
        <v>6988958.1450714003</v>
      </c>
      <c r="AF28">
        <v>15006965.342177801</v>
      </c>
      <c r="AG28">
        <v>4438405.1063184803</v>
      </c>
      <c r="AH28">
        <v>9530317.7129538003</v>
      </c>
      <c r="AI28">
        <v>36043418.585661501</v>
      </c>
      <c r="AJ28">
        <v>77393843.588843703</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c r="BM28">
        <v>0</v>
      </c>
      <c r="BN28">
        <v>0</v>
      </c>
      <c r="BO28">
        <v>0</v>
      </c>
      <c r="BP28">
        <v>0</v>
      </c>
      <c r="BQ28">
        <v>0</v>
      </c>
      <c r="BR28">
        <v>0</v>
      </c>
      <c r="BS28">
        <v>0</v>
      </c>
      <c r="BT28">
        <v>0</v>
      </c>
      <c r="BU28">
        <v>0</v>
      </c>
      <c r="BV28">
        <v>0</v>
      </c>
      <c r="BW28">
        <v>0</v>
      </c>
      <c r="BX28">
        <v>0</v>
      </c>
      <c r="BY28">
        <v>0</v>
      </c>
      <c r="BZ28">
        <v>0</v>
      </c>
      <c r="CA28">
        <v>0</v>
      </c>
      <c r="CB28">
        <v>0</v>
      </c>
      <c r="CC28">
        <v>0</v>
      </c>
      <c r="CD28">
        <v>0</v>
      </c>
      <c r="CE28">
        <v>3773179.8574618599</v>
      </c>
      <c r="CF28">
        <v>8575408.7669587694</v>
      </c>
      <c r="CG28">
        <v>3773179.8574618599</v>
      </c>
      <c r="CH28">
        <v>8575408.7669587694</v>
      </c>
      <c r="CI28">
        <v>2396194.1678283801</v>
      </c>
      <c r="CJ28">
        <v>5445895.8359735999</v>
      </c>
      <c r="CK28">
        <v>2396194.1678283801</v>
      </c>
      <c r="CL28">
        <v>5445895.8359735999</v>
      </c>
      <c r="CM28">
        <v>3773179.8574618599</v>
      </c>
      <c r="CN28">
        <v>8575408.7669587694</v>
      </c>
      <c r="CO28">
        <v>3773179.8574618599</v>
      </c>
      <c r="CP28">
        <v>8575408.7669587694</v>
      </c>
      <c r="CQ28">
        <v>2396194.1678283801</v>
      </c>
      <c r="CR28">
        <v>5445895.8359735999</v>
      </c>
      <c r="CS28">
        <v>2396194.1678283801</v>
      </c>
      <c r="CT28">
        <v>5445895.8359735999</v>
      </c>
      <c r="CU28">
        <v>3773179.8574618599</v>
      </c>
      <c r="CV28">
        <v>8575408.7669587694</v>
      </c>
      <c r="CW28">
        <v>3773179.8574618599</v>
      </c>
      <c r="CX28">
        <v>8575408.7669587694</v>
      </c>
      <c r="CY28">
        <v>2396194.1678283801</v>
      </c>
      <c r="CZ28">
        <v>5445895.8359735999</v>
      </c>
      <c r="DA28">
        <v>2396194.1678283801</v>
      </c>
      <c r="DB28">
        <v>5445895.8359735999</v>
      </c>
      <c r="DC28">
        <v>19459023.5309093</v>
      </c>
      <c r="DD28">
        <v>44225053.479339302</v>
      </c>
      <c r="DE28">
        <v>19459023.5309093</v>
      </c>
      <c r="DF28">
        <v>44225053.479339302</v>
      </c>
      <c r="DG28">
        <v>19459023.5309093</v>
      </c>
      <c r="DH28">
        <v>44225053.479339302</v>
      </c>
      <c r="DI28">
        <v>3215778.2876095399</v>
      </c>
      <c r="DJ28">
        <v>6431556.5752190799</v>
      </c>
      <c r="DK28">
        <v>3215778.2876095399</v>
      </c>
      <c r="DL28">
        <v>6431556.5752190799</v>
      </c>
      <c r="DM28">
        <v>2042210.9384901</v>
      </c>
      <c r="DN28">
        <v>4084421.8769801999</v>
      </c>
      <c r="DO28">
        <v>2042210.9384901</v>
      </c>
      <c r="DP28">
        <v>4084421.8769801999</v>
      </c>
      <c r="DQ28">
        <v>3215778.2876095399</v>
      </c>
      <c r="DR28">
        <v>6431556.5752190799</v>
      </c>
      <c r="DS28">
        <v>3215778.2876095399</v>
      </c>
      <c r="DT28">
        <v>6431556.5752190799</v>
      </c>
      <c r="DU28">
        <v>2042210.9384901</v>
      </c>
      <c r="DV28">
        <v>4084421.8769801999</v>
      </c>
      <c r="DW28">
        <v>2042210.9384901</v>
      </c>
      <c r="DX28">
        <v>4084421.8769801999</v>
      </c>
      <c r="DY28">
        <v>3215778.2876095399</v>
      </c>
      <c r="DZ28">
        <v>6431556.5752190799</v>
      </c>
      <c r="EA28">
        <v>3215778.2876095399</v>
      </c>
      <c r="EB28">
        <v>6431556.5752190799</v>
      </c>
      <c r="EC28">
        <v>2042210.9384901</v>
      </c>
      <c r="ED28">
        <v>4084421.8769801999</v>
      </c>
      <c r="EE28">
        <v>2042210.9384901</v>
      </c>
      <c r="EF28">
        <v>4084421.8769801999</v>
      </c>
      <c r="EG28">
        <v>16584395.054752201</v>
      </c>
      <c r="EH28">
        <v>33168790.109504402</v>
      </c>
      <c r="EI28">
        <v>16584395.054752201</v>
      </c>
      <c r="EJ28">
        <v>33168790.109504402</v>
      </c>
      <c r="EK28">
        <v>16584395.054752201</v>
      </c>
      <c r="EL28">
        <v>33168790.109504402</v>
      </c>
      <c r="EM28">
        <v>0</v>
      </c>
      <c r="EN28">
        <v>0</v>
      </c>
      <c r="EO28">
        <v>0</v>
      </c>
      <c r="EP28">
        <v>0</v>
      </c>
      <c r="EQ28">
        <v>0</v>
      </c>
      <c r="ER28">
        <v>0</v>
      </c>
      <c r="ES28">
        <v>0</v>
      </c>
      <c r="ET28">
        <v>0</v>
      </c>
      <c r="EU28">
        <v>0</v>
      </c>
      <c r="EV28">
        <v>0</v>
      </c>
      <c r="EW28">
        <v>0</v>
      </c>
      <c r="EX28">
        <v>0</v>
      </c>
      <c r="EY28">
        <v>0</v>
      </c>
      <c r="EZ28">
        <v>0</v>
      </c>
      <c r="FA28">
        <v>0</v>
      </c>
      <c r="FB28">
        <v>0</v>
      </c>
      <c r="FC28">
        <v>0</v>
      </c>
      <c r="FD28">
        <v>0</v>
      </c>
      <c r="FE28">
        <v>0</v>
      </c>
      <c r="FF28">
        <v>0</v>
      </c>
      <c r="FG28">
        <v>0</v>
      </c>
      <c r="FH28">
        <v>0</v>
      </c>
      <c r="FI28">
        <v>0</v>
      </c>
      <c r="FJ28">
        <v>0</v>
      </c>
      <c r="FK28">
        <v>0</v>
      </c>
      <c r="FL28">
        <v>0</v>
      </c>
      <c r="FM28">
        <v>0</v>
      </c>
      <c r="FN28">
        <v>0</v>
      </c>
      <c r="FO28">
        <v>0</v>
      </c>
      <c r="FP28">
        <v>0</v>
      </c>
      <c r="FQ28">
        <v>0</v>
      </c>
      <c r="FR28">
        <v>0</v>
      </c>
      <c r="FS28">
        <v>0</v>
      </c>
      <c r="FT28">
        <v>0</v>
      </c>
      <c r="FU28">
        <v>0</v>
      </c>
      <c r="FV28">
        <v>0</v>
      </c>
      <c r="FW28">
        <v>0</v>
      </c>
      <c r="FX28">
        <v>0</v>
      </c>
      <c r="FY28">
        <v>0</v>
      </c>
      <c r="FZ28">
        <v>0</v>
      </c>
      <c r="GA28">
        <v>0</v>
      </c>
      <c r="GB28">
        <v>-88.846383958016204</v>
      </c>
      <c r="GC28">
        <v>-372.29258497385098</v>
      </c>
      <c r="GD28">
        <v>-271.69921723650901</v>
      </c>
      <c r="GE28">
        <v>-57.090452483054399</v>
      </c>
      <c r="GF28">
        <v>-232.42343004741701</v>
      </c>
      <c r="GG28">
        <v>-167.23645496580801</v>
      </c>
      <c r="GH28">
        <v>-88.007156948278507</v>
      </c>
      <c r="GI28">
        <v>-375.171169967286</v>
      </c>
      <c r="GJ28">
        <v>-276.29663427050599</v>
      </c>
      <c r="GK28">
        <v>-54.319945149968802</v>
      </c>
      <c r="GL28">
        <v>-233.67536653568001</v>
      </c>
      <c r="GM28">
        <v>-164.59685571169399</v>
      </c>
      <c r="GN28">
        <v>-8.3142715884370997</v>
      </c>
      <c r="GO28">
        <v>25.190890635499201</v>
      </c>
      <c r="GP28">
        <v>25.704023972293101</v>
      </c>
      <c r="GQ28">
        <v>77.040272628284796</v>
      </c>
      <c r="GR28">
        <v>-7.4005170099055997</v>
      </c>
      <c r="GS28">
        <v>-347.30107245596702</v>
      </c>
      <c r="GT28">
        <v>-5.7306283268348901</v>
      </c>
      <c r="GU28">
        <v>25.2524259949978</v>
      </c>
      <c r="GV28">
        <v>25.754001880915201</v>
      </c>
      <c r="GW28">
        <v>49.628539843028697</v>
      </c>
      <c r="GX28">
        <v>-2.46764576289991</v>
      </c>
      <c r="GY28">
        <v>-200.06042221380901</v>
      </c>
      <c r="GZ28">
        <v>-8.9534030158396707</v>
      </c>
      <c r="HA28">
        <v>25.224636253490502</v>
      </c>
      <c r="HB28">
        <v>25.7659068449118</v>
      </c>
      <c r="HC28">
        <v>80.797600591922006</v>
      </c>
      <c r="HD28">
        <v>-8.7904951324554705</v>
      </c>
      <c r="HE28">
        <v>-366.45570821868802</v>
      </c>
      <c r="HF28">
        <v>-5.2774947027777603</v>
      </c>
      <c r="HG28">
        <v>25.4109283821475</v>
      </c>
      <c r="HH28">
        <v>25.898703069256999</v>
      </c>
      <c r="HI28">
        <v>48.956232791208301</v>
      </c>
      <c r="HJ28">
        <v>-1.4545839014203099</v>
      </c>
      <c r="HK28">
        <v>-185.020510100422</v>
      </c>
      <c r="HL28">
        <v>-68.363981277419896</v>
      </c>
      <c r="HM28">
        <v>27.540170898091699</v>
      </c>
      <c r="HN28">
        <v>27.920443734105401</v>
      </c>
      <c r="HO28">
        <v>-13.5894955502259</v>
      </c>
      <c r="HP28">
        <v>-173.18587170674201</v>
      </c>
      <c r="HQ28">
        <v>26.734910727029099</v>
      </c>
      <c r="HR28">
        <v>-265.53223047583498</v>
      </c>
      <c r="HS28">
        <v>-44.387386784819299</v>
      </c>
      <c r="HT28">
        <v>27.598780107825601</v>
      </c>
      <c r="HU28">
        <v>27.962991758091299</v>
      </c>
      <c r="HV28">
        <v>-7.40198821790064</v>
      </c>
      <c r="HW28">
        <v>-104.259439426295</v>
      </c>
      <c r="HX28">
        <v>26.803977862815</v>
      </c>
      <c r="HY28">
        <v>-159.61860971051499</v>
      </c>
      <c r="HZ28">
        <v>27.570936838793401</v>
      </c>
      <c r="IA28">
        <v>27.949140083337198</v>
      </c>
      <c r="IB28">
        <v>-15.161538668736201</v>
      </c>
      <c r="IC28">
        <v>-70.075476297103904</v>
      </c>
      <c r="ID28">
        <v>-174.34289106739101</v>
      </c>
      <c r="IE28">
        <v>26.7947705645085</v>
      </c>
      <c r="IF28">
        <v>-267.54338115178803</v>
      </c>
      <c r="IG28">
        <v>-5.0598238242844502</v>
      </c>
      <c r="IH28">
        <v>27.707625996662902</v>
      </c>
      <c r="II28">
        <v>28.009753125563101</v>
      </c>
      <c r="IJ28">
        <v>-9.5449090622665906</v>
      </c>
      <c r="IK28">
        <v>-4.3611910790549802</v>
      </c>
      <c r="IL28">
        <v>-41.949721644561798</v>
      </c>
      <c r="IM28">
        <v>-102.049955409426</v>
      </c>
      <c r="IN28">
        <v>26.971467863243799</v>
      </c>
      <c r="IO28">
        <v>1.2152694695567099</v>
      </c>
      <c r="IP28">
        <v>-155.97172967531901</v>
      </c>
      <c r="IQ28">
        <v>-236.68376135308799</v>
      </c>
      <c r="IR28">
        <v>-135.39660949619599</v>
      </c>
      <c r="IS28">
        <v>-230.096596679122</v>
      </c>
      <c r="IT28">
        <v>-129.03065159297799</v>
      </c>
      <c r="IU28">
        <v>-3834.3057901196498</v>
      </c>
      <c r="IV28">
        <v>-10.533609816033501</v>
      </c>
      <c r="IW28">
        <v>25.8658601180855</v>
      </c>
      <c r="IX28">
        <v>26.734910727029099</v>
      </c>
      <c r="IY28">
        <v>132.030833709566</v>
      </c>
      <c r="IZ28">
        <v>-30.833818485736501</v>
      </c>
      <c r="JA28">
        <v>-648.15259326122498</v>
      </c>
      <c r="JB28">
        <v>-7.2323361164831601</v>
      </c>
      <c r="JC28">
        <v>25.941043959980998</v>
      </c>
      <c r="JD28">
        <v>26.803977862815</v>
      </c>
      <c r="JE28">
        <v>84.955667988114001</v>
      </c>
      <c r="JF28">
        <v>-16.7183333051902</v>
      </c>
      <c r="JG28">
        <v>-392.03596591764</v>
      </c>
      <c r="JH28">
        <v>-11.1048941280973</v>
      </c>
      <c r="JI28">
        <v>25.8971363512054</v>
      </c>
      <c r="JJ28">
        <v>26.7947705645085</v>
      </c>
      <c r="JK28">
        <v>136.404493950789</v>
      </c>
      <c r="JL28">
        <v>-32.789570563251303</v>
      </c>
      <c r="JM28">
        <v>-668.44420997751001</v>
      </c>
      <c r="JN28">
        <v>-6.8924726362062696</v>
      </c>
      <c r="JO28">
        <v>26.119956016395601</v>
      </c>
      <c r="JP28">
        <v>26.971467863243799</v>
      </c>
      <c r="JQ28">
        <v>1.1957364230764</v>
      </c>
      <c r="JR28">
        <v>84.380535123158893</v>
      </c>
      <c r="JS28">
        <v>0.79192126541373098</v>
      </c>
      <c r="JT28">
        <v>-14.688502693455099</v>
      </c>
      <c r="JU28">
        <v>-375.540472016389</v>
      </c>
      <c r="JV28">
        <v>-62.957677962790399</v>
      </c>
      <c r="JW28">
        <v>-160.55933471692899</v>
      </c>
      <c r="JX28">
        <v>-295.86137917814801</v>
      </c>
      <c r="JY28">
        <v>-40.8236214502462</v>
      </c>
      <c r="JZ28">
        <v>-96.058227194640097</v>
      </c>
      <c r="KA28">
        <v>-182.51106667179701</v>
      </c>
      <c r="KB28">
        <v>-63.965951864116398</v>
      </c>
      <c r="KC28">
        <v>-160.93946754116899</v>
      </c>
      <c r="KD28">
        <v>-294.36052211074099</v>
      </c>
      <c r="KE28">
        <v>-38.092542471239803</v>
      </c>
      <c r="KF28">
        <v>25.969522412152699</v>
      </c>
      <c r="KG28">
        <v>-132.81858581321001</v>
      </c>
      <c r="KH28">
        <v>0.65091812856472797</v>
      </c>
      <c r="KI28">
        <v>-92.520782098260895</v>
      </c>
      <c r="KJ28">
        <v>-179.40879619167001</v>
      </c>
      <c r="KK28">
        <v>12.2400247487312</v>
      </c>
      <c r="KL28">
        <v>25.6013651108318</v>
      </c>
      <c r="KM28">
        <v>26.698678806749001</v>
      </c>
      <c r="KN28">
        <v>364.597098145421</v>
      </c>
      <c r="KO28">
        <v>24.879632177017399</v>
      </c>
      <c r="KP28">
        <v>13.5929394301643</v>
      </c>
      <c r="KQ28">
        <v>41.5057374343493</v>
      </c>
      <c r="KR28">
        <v>-667.96503169812104</v>
      </c>
      <c r="KS28">
        <v>7.8014956295265003</v>
      </c>
      <c r="KT28">
        <v>25.612361185660799</v>
      </c>
      <c r="KU28">
        <v>26.725507030436098</v>
      </c>
      <c r="KV28">
        <v>233.87292639568901</v>
      </c>
      <c r="KW28">
        <v>24.883585382226201</v>
      </c>
      <c r="KX28">
        <v>13.688777888311</v>
      </c>
      <c r="KY28">
        <v>26.459453525593698</v>
      </c>
      <c r="KZ28">
        <v>-420.73948412658802</v>
      </c>
      <c r="LA28">
        <v>11.651080825020699</v>
      </c>
      <c r="LB28">
        <v>25.644214253992601</v>
      </c>
      <c r="LC28">
        <v>26.762094650410699</v>
      </c>
      <c r="LD28">
        <v>370.47956619095999</v>
      </c>
      <c r="LE28">
        <v>24.913760202546499</v>
      </c>
      <c r="LF28">
        <v>13.5936224156073</v>
      </c>
      <c r="LG28">
        <v>42.168313108367599</v>
      </c>
      <c r="LH28">
        <v>-672.52961070310596</v>
      </c>
      <c r="LI28">
        <v>8.8159799056600701</v>
      </c>
      <c r="LJ28">
        <v>25.766658169015699</v>
      </c>
      <c r="LK28">
        <v>26.880450173352202</v>
      </c>
      <c r="LL28">
        <v>238.287144088898</v>
      </c>
      <c r="LM28">
        <v>25.047277644778301</v>
      </c>
      <c r="LN28">
        <v>14.0640878899637</v>
      </c>
      <c r="LO28">
        <v>28.948215390007899</v>
      </c>
      <c r="LP28">
        <v>-409.64557769521502</v>
      </c>
      <c r="LQ28">
        <v>-1.1699033607700899</v>
      </c>
      <c r="LR28">
        <v>20.282971366059702</v>
      </c>
      <c r="LS28">
        <v>16.420999999999999</v>
      </c>
      <c r="LT28">
        <v>-327.04019627445302</v>
      </c>
      <c r="LU28">
        <v>-2091.9547992439102</v>
      </c>
      <c r="LV28">
        <v>22.0505959911237</v>
      </c>
      <c r="LW28">
        <v>24.752047151845002</v>
      </c>
      <c r="LX28">
        <v>335.73697196094901</v>
      </c>
      <c r="LY28">
        <v>-0.97336346160549803</v>
      </c>
      <c r="LZ28">
        <v>20.328707238429999</v>
      </c>
      <c r="MA28">
        <v>16.420999999999999</v>
      </c>
      <c r="MB28">
        <v>-207.535447533276</v>
      </c>
      <c r="MC28">
        <v>-1325.4178747702799</v>
      </c>
      <c r="MD28">
        <v>22.098360478969301</v>
      </c>
      <c r="ME28">
        <v>24.806092294208799</v>
      </c>
      <c r="MF28">
        <v>213.850618912436</v>
      </c>
      <c r="MG28">
        <v>-1.3239962859591701</v>
      </c>
      <c r="MH28">
        <v>20.2892462548451</v>
      </c>
      <c r="MI28">
        <v>16.420999999999999</v>
      </c>
      <c r="MJ28">
        <v>-329.45396851392599</v>
      </c>
      <c r="MK28">
        <v>-2109.9914251932</v>
      </c>
      <c r="ML28">
        <v>22.073030264047901</v>
      </c>
      <c r="MM28">
        <v>24.813659756862499</v>
      </c>
      <c r="MN28">
        <v>339.38221853578898</v>
      </c>
      <c r="MO28">
        <v>-0.73848634664248403</v>
      </c>
      <c r="MP28">
        <v>20.378149151389199</v>
      </c>
      <c r="MQ28">
        <v>16.420999999999999</v>
      </c>
      <c r="MR28">
        <v>-213.032978014181</v>
      </c>
      <c r="MS28">
        <v>-1358.05677566338</v>
      </c>
      <c r="MT28">
        <v>22.189541428730401</v>
      </c>
      <c r="MU28">
        <v>24.93429598609</v>
      </c>
      <c r="MV28">
        <v>218.29189911616001</v>
      </c>
      <c r="MW28">
        <v>-8.0861397087850193</v>
      </c>
      <c r="MX28">
        <v>24.815018355532199</v>
      </c>
      <c r="MY28">
        <v>24.802643764038098</v>
      </c>
      <c r="MZ28">
        <v>-61.000635942155398</v>
      </c>
      <c r="NA28">
        <v>-586.97104237547705</v>
      </c>
      <c r="NB28">
        <v>25.352459648521599</v>
      </c>
      <c r="NC28">
        <v>26.562027085251099</v>
      </c>
      <c r="ND28">
        <v>140.51489694278101</v>
      </c>
      <c r="NE28">
        <v>-5.5838336703892102</v>
      </c>
      <c r="NF28">
        <v>24.907851872202802</v>
      </c>
      <c r="NG28">
        <v>24.883015308864302</v>
      </c>
      <c r="NH28">
        <v>-36.668013640439298</v>
      </c>
      <c r="NI28">
        <v>-361.33461830931498</v>
      </c>
      <c r="NJ28">
        <v>25.4365580095963</v>
      </c>
      <c r="NK28">
        <v>26.637956042381902</v>
      </c>
      <c r="NL28">
        <v>89.226367494962503</v>
      </c>
      <c r="NM28">
        <v>-8.2131454562357007</v>
      </c>
      <c r="NN28">
        <v>24.825783532828499</v>
      </c>
      <c r="NO28">
        <v>24.816078993198499</v>
      </c>
      <c r="NP28">
        <v>-62.642827369544698</v>
      </c>
      <c r="NQ28">
        <v>-601.74103499319904</v>
      </c>
      <c r="NR28">
        <v>25.376402986484798</v>
      </c>
      <c r="NS28">
        <v>26.6213996959513</v>
      </c>
      <c r="NT28">
        <v>143.813903938115</v>
      </c>
      <c r="NU28">
        <v>-5.5311775714170803</v>
      </c>
      <c r="NV28">
        <v>25.089682460373599</v>
      </c>
      <c r="NW28">
        <v>25.0583260869425</v>
      </c>
      <c r="NX28">
        <v>1.7</v>
      </c>
      <c r="NY28">
        <v>-36.212694978629798</v>
      </c>
      <c r="NZ28">
        <v>-358.54598018639803</v>
      </c>
      <c r="OA28">
        <v>25.617672073374202</v>
      </c>
      <c r="OB28">
        <v>26.807853989051502</v>
      </c>
      <c r="OC28">
        <v>1.7</v>
      </c>
      <c r="OD28">
        <v>89.511068892031801</v>
      </c>
      <c r="OE28">
        <v>1.7</v>
      </c>
      <c r="OF28">
        <v>1.7</v>
      </c>
      <c r="OG28">
        <v>-8.2080255021707398</v>
      </c>
      <c r="OH28">
        <v>24.960777772815401</v>
      </c>
      <c r="OI28">
        <v>25.199393004157301</v>
      </c>
      <c r="OJ28">
        <v>-55.023942563155401</v>
      </c>
      <c r="OK28">
        <v>-570.09968486652099</v>
      </c>
      <c r="OL28">
        <v>25.4843375717833</v>
      </c>
      <c r="OM28">
        <v>26.6560870002067</v>
      </c>
      <c r="ON28">
        <v>141.286674544954</v>
      </c>
      <c r="OO28">
        <v>-5.6326047719448198</v>
      </c>
      <c r="OP28">
        <v>25.0499754340984</v>
      </c>
      <c r="OQ28">
        <v>25.2883803880516</v>
      </c>
      <c r="OR28">
        <v>-31.815361803980402</v>
      </c>
      <c r="OS28">
        <v>-343.713881646716</v>
      </c>
      <c r="OT28">
        <v>25.5560190138503</v>
      </c>
      <c r="OU28">
        <v>26.7052360966142</v>
      </c>
      <c r="OV28">
        <v>88.682659298033101</v>
      </c>
      <c r="OW28">
        <v>-8.3099766800951205</v>
      </c>
      <c r="OX28">
        <v>24.967626952501799</v>
      </c>
      <c r="OY28">
        <v>25.210253715821501</v>
      </c>
      <c r="OZ28">
        <v>-56.721753672393703</v>
      </c>
      <c r="PA28">
        <v>-585.52976929348199</v>
      </c>
      <c r="PB28">
        <v>25.5048306532772</v>
      </c>
      <c r="PC28">
        <v>26.714236273681799</v>
      </c>
      <c r="PD28">
        <v>144.704693163044</v>
      </c>
      <c r="PE28">
        <v>-5.6053969354320596</v>
      </c>
      <c r="PF28">
        <v>25.2506203999083</v>
      </c>
      <c r="PG28">
        <v>25.483991273113801</v>
      </c>
      <c r="PH28">
        <v>1.7</v>
      </c>
      <c r="PI28">
        <v>-30.738097511742598</v>
      </c>
      <c r="PJ28">
        <v>-336.13789067756602</v>
      </c>
      <c r="PK28">
        <v>25.7501076426041</v>
      </c>
      <c r="PL28">
        <v>26.874724010538401</v>
      </c>
      <c r="PM28">
        <v>1.7</v>
      </c>
      <c r="PN28">
        <v>88.198742552605495</v>
      </c>
      <c r="PO28">
        <v>25.5201328401096</v>
      </c>
      <c r="PP28">
        <v>25.5851229546723</v>
      </c>
      <c r="PQ28">
        <v>25.580789848953401</v>
      </c>
      <c r="PR28">
        <v>25.7216203777927</v>
      </c>
      <c r="PS28">
        <v>26.016473143133901</v>
      </c>
      <c r="PT28">
        <v>26.799443696383701</v>
      </c>
      <c r="PU28">
        <v>26.874691493433499</v>
      </c>
      <c r="PV28">
        <v>26.8514091522283</v>
      </c>
      <c r="PW28">
        <v>27.035958505927201</v>
      </c>
      <c r="PX28">
        <v>27.444095294566001</v>
      </c>
      <c r="PY28">
        <v>26.879716245481401</v>
      </c>
      <c r="PZ28">
        <v>26.922822091911801</v>
      </c>
      <c r="QA28">
        <v>26.929283912471799</v>
      </c>
      <c r="QB28">
        <v>27.077760672133</v>
      </c>
      <c r="QC28">
        <v>28.054649005503599</v>
      </c>
      <c r="QD28">
        <v>25.088323926250101</v>
      </c>
      <c r="QE28">
        <v>25.916869381012699</v>
      </c>
      <c r="QF28">
        <v>25.962368327865502</v>
      </c>
      <c r="QG28">
        <v>25.986155186516498</v>
      </c>
      <c r="QH28">
        <v>26.094714424221198</v>
      </c>
      <c r="QI28">
        <v>27.0001314295585</v>
      </c>
      <c r="QJ28">
        <v>27.050505288872301</v>
      </c>
      <c r="QK28">
        <v>27.103298136070801</v>
      </c>
      <c r="QL28">
        <v>27.109818678951299</v>
      </c>
      <c r="QM28">
        <v>27.2557233030143</v>
      </c>
      <c r="QN28">
        <v>-542.82761229346795</v>
      </c>
      <c r="QO28">
        <v>28.388973823013298</v>
      </c>
      <c r="QP28">
        <v>-9782.8176718917694</v>
      </c>
      <c r="QQ28">
        <v>27.1064330668796</v>
      </c>
      <c r="QR28">
        <v>27.129985481538899</v>
      </c>
      <c r="QS28">
        <v>27.162749542791499</v>
      </c>
      <c r="QT28">
        <v>27.274776867280298</v>
      </c>
      <c r="QU28">
        <v>29.0073308718462</v>
      </c>
      <c r="QV28">
        <v>25.074329908362301</v>
      </c>
      <c r="QW28">
        <v>1495814.4477921</v>
      </c>
      <c r="QX28">
        <v>0</v>
      </c>
      <c r="QY28">
        <v>988634.77839261596</v>
      </c>
      <c r="QZ28">
        <v>0</v>
      </c>
      <c r="RA28">
        <v>126106.15553517699</v>
      </c>
      <c r="RB28">
        <v>0</v>
      </c>
      <c r="RC28">
        <v>85340.500163975594</v>
      </c>
      <c r="RD28">
        <v>0</v>
      </c>
      <c r="RE28">
        <v>347729.35870865698</v>
      </c>
      <c r="RF28">
        <v>0</v>
      </c>
      <c r="RG28">
        <v>232614.162350609</v>
      </c>
      <c r="RH28">
        <v>0</v>
      </c>
      <c r="RI28">
        <v>0</v>
      </c>
      <c r="RJ28">
        <v>0</v>
      </c>
      <c r="RK28">
        <v>26.313605921915698</v>
      </c>
      <c r="RL28">
        <v>0</v>
      </c>
      <c r="RM28">
        <v>-11946.749669284</v>
      </c>
      <c r="RN28">
        <v>550.75119331756105</v>
      </c>
      <c r="RO28">
        <v>0</v>
      </c>
      <c r="RP28">
        <v>0</v>
      </c>
      <c r="RQ28">
        <v>26.339613701058799</v>
      </c>
      <c r="RR28">
        <v>0</v>
      </c>
      <c r="RS28">
        <v>-7620.0484076025195</v>
      </c>
      <c r="RT28">
        <v>325.718190678555</v>
      </c>
      <c r="RU28">
        <v>0</v>
      </c>
      <c r="RV28">
        <v>0</v>
      </c>
      <c r="RW28">
        <v>26.391520524079599</v>
      </c>
      <c r="RX28">
        <v>0</v>
      </c>
      <c r="RY28">
        <v>-12061.2432441049</v>
      </c>
      <c r="RZ28">
        <v>433.11094213394603</v>
      </c>
      <c r="SA28">
        <v>0</v>
      </c>
      <c r="SB28">
        <v>0</v>
      </c>
      <c r="SC28">
        <v>26.4678084706497</v>
      </c>
      <c r="SD28">
        <v>0</v>
      </c>
      <c r="SE28">
        <v>-7735.6426363084302</v>
      </c>
      <c r="SF28">
        <v>206.62955840734099</v>
      </c>
      <c r="SG28">
        <v>0</v>
      </c>
      <c r="SH28">
        <v>0</v>
      </c>
      <c r="SI28">
        <v>27.983789715983001</v>
      </c>
      <c r="SJ28">
        <v>-10011.6115533557</v>
      </c>
      <c r="SK28">
        <v>-51691.548509002299</v>
      </c>
      <c r="SL28">
        <v>-10011.6115533557</v>
      </c>
      <c r="SM28">
        <v>21.1111</v>
      </c>
      <c r="SN28">
        <v>26.666699999999999</v>
      </c>
      <c r="SO28">
        <v>0</v>
      </c>
      <c r="SP28">
        <v>0</v>
      </c>
      <c r="SQ28">
        <v>24.850715312395401</v>
      </c>
      <c r="SR28">
        <v>0</v>
      </c>
      <c r="SS28">
        <v>0</v>
      </c>
      <c r="ST28">
        <v>0</v>
      </c>
      <c r="SU28">
        <v>0</v>
      </c>
      <c r="SV28">
        <v>0</v>
      </c>
      <c r="SW28">
        <v>24.9073499128165</v>
      </c>
      <c r="SX28">
        <v>0</v>
      </c>
      <c r="SY28">
        <v>0</v>
      </c>
      <c r="SZ28">
        <v>0</v>
      </c>
      <c r="TA28">
        <v>0</v>
      </c>
      <c r="TB28">
        <v>0</v>
      </c>
      <c r="TC28">
        <v>24.873817269798799</v>
      </c>
      <c r="TD28">
        <v>0</v>
      </c>
      <c r="TE28">
        <v>0</v>
      </c>
      <c r="TF28">
        <v>0</v>
      </c>
      <c r="TG28">
        <v>0</v>
      </c>
      <c r="TH28">
        <v>0</v>
      </c>
      <c r="TI28">
        <v>25.065853960584899</v>
      </c>
      <c r="TJ28">
        <v>0</v>
      </c>
      <c r="TK28">
        <v>0</v>
      </c>
      <c r="TL28">
        <v>0</v>
      </c>
      <c r="TM28">
        <v>0</v>
      </c>
      <c r="TN28">
        <v>0</v>
      </c>
      <c r="TO28">
        <v>24.828183864252701</v>
      </c>
      <c r="TP28">
        <v>0</v>
      </c>
      <c r="TQ28">
        <v>0</v>
      </c>
      <c r="TR28">
        <v>0</v>
      </c>
      <c r="TS28">
        <v>0</v>
      </c>
      <c r="TT28">
        <v>0</v>
      </c>
      <c r="TU28">
        <v>27.301566881360898</v>
      </c>
      <c r="TV28">
        <v>-953.866996893232</v>
      </c>
      <c r="TW28">
        <v>-13503.0787657857</v>
      </c>
      <c r="TX28">
        <v>-953.866996893232</v>
      </c>
      <c r="TY28">
        <v>0</v>
      </c>
      <c r="TZ28">
        <v>0</v>
      </c>
      <c r="UA28">
        <v>27.3319047787082</v>
      </c>
      <c r="UB28">
        <v>-635.22204733834894</v>
      </c>
      <c r="UC28">
        <v>-8616.6314206391799</v>
      </c>
      <c r="UD28">
        <v>-635.22204733834894</v>
      </c>
      <c r="UE28">
        <v>0</v>
      </c>
      <c r="UF28">
        <v>0</v>
      </c>
      <c r="UG28">
        <v>27.3682282056742</v>
      </c>
      <c r="UH28">
        <v>-1053.29696867182</v>
      </c>
      <c r="UI28">
        <v>-13599.7432490258</v>
      </c>
      <c r="UJ28">
        <v>-1053.29696867182</v>
      </c>
      <c r="UK28">
        <v>0</v>
      </c>
      <c r="UL28">
        <v>0</v>
      </c>
      <c r="UM28">
        <v>27.475488100101401</v>
      </c>
      <c r="UN28">
        <v>-768.82458010348398</v>
      </c>
      <c r="UO28">
        <v>-8746.3527498584499</v>
      </c>
      <c r="UP28">
        <v>-768.82458010348398</v>
      </c>
      <c r="UQ28">
        <v>0</v>
      </c>
      <c r="UR28">
        <v>0</v>
      </c>
      <c r="US28">
        <v>29.333852351460699</v>
      </c>
      <c r="UT28">
        <v>-20223.358730461401</v>
      </c>
      <c r="UU28">
        <v>-61719.498986605802</v>
      </c>
      <c r="UV28">
        <v>-20223.358730461401</v>
      </c>
      <c r="UW28">
        <v>21.1111</v>
      </c>
      <c r="UX28">
        <v>26.666699999999999</v>
      </c>
      <c r="UY28">
        <v>0</v>
      </c>
      <c r="UZ28">
        <v>0</v>
      </c>
      <c r="VA28">
        <v>25.371274627965199</v>
      </c>
      <c r="VB28">
        <v>0</v>
      </c>
      <c r="VC28">
        <v>0</v>
      </c>
      <c r="VD28">
        <v>0</v>
      </c>
      <c r="VE28">
        <v>0</v>
      </c>
      <c r="VF28">
        <v>0</v>
      </c>
      <c r="VG28">
        <v>25.440354993588802</v>
      </c>
      <c r="VH28">
        <v>0</v>
      </c>
      <c r="VI28">
        <v>0</v>
      </c>
      <c r="VJ28">
        <v>0</v>
      </c>
      <c r="VK28">
        <v>0</v>
      </c>
      <c r="VL28">
        <v>0</v>
      </c>
      <c r="VM28">
        <v>25.391476502024702</v>
      </c>
      <c r="VN28">
        <v>0</v>
      </c>
      <c r="VO28">
        <v>0</v>
      </c>
      <c r="VP28">
        <v>0</v>
      </c>
      <c r="VQ28">
        <v>0</v>
      </c>
      <c r="VR28">
        <v>0</v>
      </c>
      <c r="VS28">
        <v>25.619661098149301</v>
      </c>
      <c r="VT28">
        <v>0</v>
      </c>
      <c r="VU28">
        <v>0</v>
      </c>
      <c r="VV28">
        <v>0</v>
      </c>
      <c r="VW28">
        <v>0</v>
      </c>
      <c r="VX28">
        <v>0</v>
      </c>
      <c r="VY28">
        <v>25.5388192326545</v>
      </c>
      <c r="VZ28">
        <v>0</v>
      </c>
      <c r="WA28">
        <v>0</v>
      </c>
      <c r="WB28">
        <v>0</v>
      </c>
      <c r="WC28">
        <v>0</v>
      </c>
      <c r="WD28">
        <v>0</v>
      </c>
      <c r="WE28">
        <v>27.333149888277699</v>
      </c>
      <c r="WF28">
        <v>-993.73211848327105</v>
      </c>
      <c r="WG28">
        <v>-13586.3424529932</v>
      </c>
      <c r="WH28">
        <v>-993.73211848327105</v>
      </c>
      <c r="WI28">
        <v>0</v>
      </c>
      <c r="WJ28">
        <v>0</v>
      </c>
      <c r="WK28">
        <v>0</v>
      </c>
      <c r="WL28">
        <v>27.337148871166001</v>
      </c>
      <c r="WM28">
        <v>-635.94669910020696</v>
      </c>
      <c r="WN28">
        <v>-8647.1463964385293</v>
      </c>
      <c r="WO28">
        <v>-635.94669910020696</v>
      </c>
      <c r="WP28">
        <v>18.333300000000001</v>
      </c>
      <c r="WQ28">
        <v>26.666699999999999</v>
      </c>
      <c r="WR28">
        <v>0</v>
      </c>
      <c r="WS28">
        <v>0</v>
      </c>
      <c r="WT28">
        <v>27.396215173111202</v>
      </c>
      <c r="WU28">
        <v>-1089.5958236742199</v>
      </c>
      <c r="WV28">
        <v>-13679.678658070099</v>
      </c>
      <c r="WW28">
        <v>-1089.5958236742199</v>
      </c>
      <c r="WX28">
        <v>0</v>
      </c>
      <c r="WY28">
        <v>0</v>
      </c>
      <c r="WZ28">
        <v>0</v>
      </c>
      <c r="XA28">
        <v>27.4717930624277</v>
      </c>
      <c r="XB28">
        <v>-761.92390126036105</v>
      </c>
      <c r="XC28">
        <v>-8769.5267692708603</v>
      </c>
      <c r="XD28">
        <v>-761.92390126036105</v>
      </c>
      <c r="XE28">
        <v>0</v>
      </c>
      <c r="XF28">
        <v>0</v>
      </c>
      <c r="XG28">
        <v>29.960012738188802</v>
      </c>
      <c r="XH28">
        <v>-24869.610518579899</v>
      </c>
      <c r="XI28">
        <v>-66266.526168815893</v>
      </c>
      <c r="XJ28">
        <v>-24869.610518579899</v>
      </c>
      <c r="XK28">
        <v>21.1111</v>
      </c>
      <c r="XL28">
        <v>26.666699999999999</v>
      </c>
      <c r="XM28">
        <v>0</v>
      </c>
      <c r="XN28">
        <v>0</v>
      </c>
      <c r="XO28">
        <v>24.490342205873901</v>
      </c>
      <c r="XP28">
        <v>0</v>
      </c>
      <c r="XQ28">
        <v>0</v>
      </c>
      <c r="XR28">
        <v>0</v>
      </c>
      <c r="XS28">
        <v>0</v>
      </c>
      <c r="XT28">
        <v>0</v>
      </c>
      <c r="XU28">
        <v>24.493501415583399</v>
      </c>
      <c r="XV28">
        <v>0</v>
      </c>
      <c r="XW28">
        <v>0</v>
      </c>
      <c r="XX28">
        <v>0</v>
      </c>
      <c r="XY28">
        <v>0</v>
      </c>
      <c r="XZ28">
        <v>0</v>
      </c>
      <c r="YA28">
        <v>24.522410712063401</v>
      </c>
      <c r="YB28">
        <v>0</v>
      </c>
      <c r="YC28">
        <v>0</v>
      </c>
      <c r="YD28">
        <v>0</v>
      </c>
      <c r="YE28">
        <v>0</v>
      </c>
      <c r="YF28">
        <v>0</v>
      </c>
      <c r="YG28">
        <v>24.628966961610399</v>
      </c>
      <c r="YH28">
        <v>0</v>
      </c>
      <c r="YI28">
        <v>0</v>
      </c>
      <c r="YJ28">
        <v>0</v>
      </c>
      <c r="YK28">
        <v>0</v>
      </c>
      <c r="YL28">
        <v>0</v>
      </c>
      <c r="YM28">
        <v>26.744751127333998</v>
      </c>
      <c r="YN28">
        <v>0</v>
      </c>
      <c r="YO28">
        <v>0</v>
      </c>
      <c r="YP28">
        <v>0</v>
      </c>
      <c r="YQ28">
        <v>0</v>
      </c>
      <c r="YR28">
        <v>0</v>
      </c>
      <c r="YS28">
        <v>21.157841543779199</v>
      </c>
      <c r="YT28">
        <v>0</v>
      </c>
      <c r="YU28">
        <v>0</v>
      </c>
      <c r="YV28">
        <v>0</v>
      </c>
      <c r="YW28">
        <v>0</v>
      </c>
      <c r="YX28">
        <v>0</v>
      </c>
      <c r="YY28">
        <v>21.203169287843998</v>
      </c>
      <c r="YZ28">
        <v>0</v>
      </c>
      <c r="ZA28">
        <v>0</v>
      </c>
      <c r="ZB28">
        <v>0</v>
      </c>
      <c r="ZC28">
        <v>0</v>
      </c>
      <c r="ZD28">
        <v>0</v>
      </c>
      <c r="ZE28">
        <v>21.171657576543002</v>
      </c>
      <c r="ZF28">
        <v>0</v>
      </c>
      <c r="ZG28">
        <v>0</v>
      </c>
      <c r="ZH28">
        <v>0</v>
      </c>
      <c r="ZI28">
        <v>0</v>
      </c>
      <c r="ZJ28">
        <v>0</v>
      </c>
      <c r="ZK28">
        <v>21.273704351158301</v>
      </c>
      <c r="ZL28">
        <v>0</v>
      </c>
      <c r="ZM28">
        <v>0</v>
      </c>
      <c r="ZN28">
        <v>0</v>
      </c>
      <c r="ZO28">
        <v>0</v>
      </c>
      <c r="ZP28">
        <v>0</v>
      </c>
      <c r="ZQ28">
        <v>21.233535996548198</v>
      </c>
      <c r="ZR28">
        <v>0</v>
      </c>
      <c r="ZS28">
        <v>0</v>
      </c>
      <c r="ZT28">
        <v>0</v>
      </c>
      <c r="ZU28">
        <v>0</v>
      </c>
      <c r="ZV28">
        <v>0</v>
      </c>
      <c r="ZW28">
        <v>25.016498561844202</v>
      </c>
      <c r="ZX28">
        <v>0</v>
      </c>
      <c r="ZY28">
        <v>0</v>
      </c>
      <c r="ZZ28">
        <v>0</v>
      </c>
      <c r="AAA28">
        <v>0</v>
      </c>
      <c r="AAB28">
        <v>0</v>
      </c>
      <c r="AAC28">
        <v>25.100121787378299</v>
      </c>
      <c r="AAD28">
        <v>0</v>
      </c>
      <c r="AAE28">
        <v>0</v>
      </c>
      <c r="AAF28">
        <v>0</v>
      </c>
      <c r="AAG28">
        <v>0</v>
      </c>
      <c r="AAH28">
        <v>0</v>
      </c>
      <c r="AAI28">
        <v>25.033135805850499</v>
      </c>
      <c r="AAJ28">
        <v>0</v>
      </c>
      <c r="AAK28">
        <v>0</v>
      </c>
      <c r="AAL28">
        <v>0</v>
      </c>
      <c r="AAM28">
        <v>0</v>
      </c>
      <c r="AAN28">
        <v>0</v>
      </c>
      <c r="AAO28">
        <v>25.2788787890272</v>
      </c>
      <c r="AAP28">
        <v>0</v>
      </c>
      <c r="AAQ28">
        <v>0</v>
      </c>
      <c r="AAR28">
        <v>0</v>
      </c>
      <c r="AAS28">
        <v>0</v>
      </c>
      <c r="AAT28">
        <v>0</v>
      </c>
      <c r="AAU28">
        <v>24.705296800392201</v>
      </c>
      <c r="AAV28">
        <v>0</v>
      </c>
      <c r="AAW28">
        <v>0</v>
      </c>
      <c r="AAX28">
        <v>0</v>
      </c>
      <c r="AAY28">
        <v>0</v>
      </c>
      <c r="AAZ28">
        <v>0</v>
      </c>
      <c r="ABA28">
        <v>25.1468338493275</v>
      </c>
      <c r="ABB28">
        <v>0</v>
      </c>
      <c r="ABC28">
        <v>0</v>
      </c>
      <c r="ABD28">
        <v>0</v>
      </c>
      <c r="ABE28">
        <v>0</v>
      </c>
      <c r="ABF28">
        <v>0</v>
      </c>
      <c r="ABG28">
        <v>25.2221884902143</v>
      </c>
      <c r="ABH28">
        <v>0</v>
      </c>
      <c r="ABI28">
        <v>0</v>
      </c>
      <c r="ABJ28">
        <v>0</v>
      </c>
      <c r="ABK28">
        <v>0</v>
      </c>
      <c r="ABL28">
        <v>0</v>
      </c>
      <c r="ABM28">
        <v>25.159859476207</v>
      </c>
      <c r="ABN28">
        <v>0</v>
      </c>
      <c r="ABO28">
        <v>0</v>
      </c>
      <c r="ABP28">
        <v>0</v>
      </c>
      <c r="ABQ28">
        <v>0</v>
      </c>
      <c r="ABR28">
        <v>0</v>
      </c>
      <c r="ABS28">
        <v>25.416684829323898</v>
      </c>
      <c r="ABT28">
        <v>0</v>
      </c>
      <c r="ABU28">
        <v>0</v>
      </c>
      <c r="ABV28">
        <v>0</v>
      </c>
      <c r="ABW28">
        <v>0</v>
      </c>
      <c r="ABX28">
        <v>0</v>
      </c>
      <c r="ABY28">
        <v>25.074329908362301</v>
      </c>
      <c r="ABZ28">
        <v>0</v>
      </c>
      <c r="ACA28">
        <v>0</v>
      </c>
      <c r="ACB28">
        <v>0</v>
      </c>
      <c r="ACC28">
        <v>0</v>
      </c>
      <c r="ACD28">
        <v>0</v>
      </c>
      <c r="ACE28">
        <v>0</v>
      </c>
      <c r="ACF28">
        <v>7.4572007059970504</v>
      </c>
      <c r="ACG28">
        <v>7.4572007059970504</v>
      </c>
      <c r="ACH28">
        <v>0</v>
      </c>
      <c r="ACI28">
        <v>0</v>
      </c>
      <c r="ACJ28">
        <v>0</v>
      </c>
      <c r="ACK28">
        <v>21.375950174090502</v>
      </c>
      <c r="ACL28">
        <v>21.375950174090502</v>
      </c>
      <c r="ACM28">
        <v>0</v>
      </c>
      <c r="ACN28">
        <v>105390.341415922</v>
      </c>
      <c r="ACP28">
        <v>0</v>
      </c>
      <c r="ACR28">
        <v>105390.341415922</v>
      </c>
      <c r="ACT28">
        <v>27.9837451203251</v>
      </c>
      <c r="ACU28">
        <v>27.9837451203251</v>
      </c>
      <c r="ACV28">
        <v>0</v>
      </c>
      <c r="ACW28">
        <v>0</v>
      </c>
      <c r="ACX28">
        <v>1</v>
      </c>
      <c r="ACY28">
        <v>29.333753888274799</v>
      </c>
      <c r="ACZ28">
        <v>29.333753888274799</v>
      </c>
      <c r="ADA28">
        <v>0</v>
      </c>
      <c r="ADB28">
        <v>0</v>
      </c>
      <c r="ADC28">
        <v>1</v>
      </c>
      <c r="ADD28">
        <v>29.959766753259998</v>
      </c>
      <c r="ADE28">
        <v>29.959766753259998</v>
      </c>
      <c r="ADF28">
        <v>0</v>
      </c>
      <c r="ADG28">
        <v>0</v>
      </c>
      <c r="ADH28">
        <v>1</v>
      </c>
      <c r="ADI28">
        <v>26.6381800034866</v>
      </c>
      <c r="ADJ28">
        <v>26.6381800034866</v>
      </c>
      <c r="ADK28">
        <v>0</v>
      </c>
      <c r="ADL28">
        <v>0</v>
      </c>
      <c r="ADM28">
        <v>1</v>
      </c>
      <c r="ADN28">
        <v>26.670313143385599</v>
      </c>
      <c r="ADO28">
        <v>26.670313143385599</v>
      </c>
      <c r="ADP28">
        <v>0</v>
      </c>
      <c r="ADQ28">
        <v>0</v>
      </c>
      <c r="ADR28">
        <v>1</v>
      </c>
      <c r="ADS28">
        <v>26.708615577682501</v>
      </c>
      <c r="ADT28">
        <v>26.708615577682501</v>
      </c>
      <c r="ADU28">
        <v>0</v>
      </c>
      <c r="ADV28">
        <v>0</v>
      </c>
      <c r="ADW28">
        <v>1</v>
      </c>
      <c r="ADX28">
        <v>26.803248951236899</v>
      </c>
      <c r="ADY28">
        <v>26.803248951236899</v>
      </c>
      <c r="ADZ28">
        <v>0</v>
      </c>
      <c r="AEA28">
        <v>0</v>
      </c>
      <c r="AEB28">
        <v>1</v>
      </c>
      <c r="AEC28">
        <v>27.687386062404201</v>
      </c>
      <c r="AED28">
        <v>27.687386062404201</v>
      </c>
      <c r="AEE28">
        <v>0</v>
      </c>
      <c r="AEF28">
        <v>0</v>
      </c>
      <c r="AEG28">
        <v>1</v>
      </c>
      <c r="AEH28">
        <v>27.725869304627501</v>
      </c>
      <c r="AEI28">
        <v>27.725869304627501</v>
      </c>
      <c r="AEJ28">
        <v>0</v>
      </c>
      <c r="AEK28">
        <v>0</v>
      </c>
      <c r="AEL28">
        <v>1</v>
      </c>
      <c r="AEM28">
        <v>27.748343873122799</v>
      </c>
      <c r="AEN28">
        <v>27.748343873122799</v>
      </c>
      <c r="AEO28">
        <v>0</v>
      </c>
      <c r="AEP28">
        <v>0</v>
      </c>
      <c r="AEQ28">
        <v>1</v>
      </c>
      <c r="AER28">
        <v>27.877917700685298</v>
      </c>
      <c r="AES28">
        <v>27.877917700685298</v>
      </c>
      <c r="AET28">
        <v>0</v>
      </c>
      <c r="AEU28">
        <v>0</v>
      </c>
      <c r="AEV28">
        <v>1</v>
      </c>
      <c r="AEW28">
        <v>27.7158074291128</v>
      </c>
      <c r="AEX28">
        <v>27.7158074291128</v>
      </c>
      <c r="AEY28">
        <v>0</v>
      </c>
      <c r="AEZ28">
        <v>0</v>
      </c>
      <c r="AFA28">
        <v>1</v>
      </c>
      <c r="AFB28">
        <v>27.724725731881598</v>
      </c>
      <c r="AFC28">
        <v>27.724725731881598</v>
      </c>
      <c r="AFD28">
        <v>0</v>
      </c>
      <c r="AFE28">
        <v>0</v>
      </c>
      <c r="AFF28">
        <v>1</v>
      </c>
      <c r="AFG28">
        <v>27.774201766606701</v>
      </c>
      <c r="AFH28">
        <v>27.774201766606701</v>
      </c>
      <c r="AFI28">
        <v>0</v>
      </c>
      <c r="AFJ28">
        <v>0</v>
      </c>
      <c r="AFK28">
        <v>1</v>
      </c>
      <c r="AFL28">
        <v>27.868144908550398</v>
      </c>
      <c r="AFM28">
        <v>27.868144908550398</v>
      </c>
      <c r="AFN28">
        <v>0</v>
      </c>
      <c r="AFO28">
        <v>0</v>
      </c>
      <c r="AFP28">
        <v>1</v>
      </c>
      <c r="AFQ28">
        <v>0.17997773975039</v>
      </c>
      <c r="AFR28">
        <v>0.16170748447506</v>
      </c>
      <c r="AFS28">
        <v>0.21040294227855899</v>
      </c>
      <c r="AFT28">
        <v>0.173734006321519</v>
      </c>
      <c r="AFU28">
        <v>0.49916054793564602</v>
      </c>
      <c r="AFV28">
        <v>0.483267890144437</v>
      </c>
      <c r="AFW28">
        <v>0.54312676884761102</v>
      </c>
      <c r="AFX28">
        <v>0.49857777611414</v>
      </c>
      <c r="AFY28">
        <v>0.51188464240245601</v>
      </c>
      <c r="AFZ28">
        <v>0.49621880900899001</v>
      </c>
      <c r="AGA28">
        <v>0.54562726505987003</v>
      </c>
      <c r="AGB28">
        <v>0.50256858528517201</v>
      </c>
      <c r="AGC28">
        <v>0.46273977392405802</v>
      </c>
      <c r="AGD28">
        <v>0.86750426820572002</v>
      </c>
      <c r="AGE28">
        <v>1.0571202952410299</v>
      </c>
      <c r="AGF28">
        <v>0</v>
      </c>
      <c r="AGG28">
        <v>0</v>
      </c>
      <c r="AGH28">
        <v>0</v>
      </c>
      <c r="AGI28">
        <v>0</v>
      </c>
      <c r="AGJ28">
        <v>0</v>
      </c>
      <c r="AGK28">
        <v>0</v>
      </c>
      <c r="AGL28">
        <v>0</v>
      </c>
      <c r="AGM28">
        <v>0</v>
      </c>
      <c r="AGN28">
        <v>0</v>
      </c>
      <c r="AGO28">
        <v>0</v>
      </c>
      <c r="AGP28">
        <v>0</v>
      </c>
      <c r="AGQ28">
        <v>0</v>
      </c>
      <c r="AGR28">
        <v>0</v>
      </c>
      <c r="AGS28">
        <v>0</v>
      </c>
      <c r="AGT28">
        <v>0</v>
      </c>
      <c r="AGU28">
        <v>0</v>
      </c>
      <c r="AGV28">
        <v>0</v>
      </c>
      <c r="AGW28">
        <v>0</v>
      </c>
      <c r="AGX28">
        <v>0</v>
      </c>
      <c r="AGY28">
        <v>0</v>
      </c>
      <c r="AGZ28">
        <v>0</v>
      </c>
      <c r="AHA28">
        <v>0</v>
      </c>
      <c r="AHB28">
        <v>0</v>
      </c>
      <c r="AHC28">
        <v>0</v>
      </c>
      <c r="AHD28">
        <v>0</v>
      </c>
      <c r="AHE28">
        <v>0</v>
      </c>
      <c r="AHF28">
        <v>0</v>
      </c>
      <c r="AHG28">
        <v>0</v>
      </c>
      <c r="AHH28">
        <v>0</v>
      </c>
      <c r="AHI28">
        <v>0</v>
      </c>
      <c r="AHJ28">
        <v>0</v>
      </c>
      <c r="AHK28">
        <v>0</v>
      </c>
      <c r="AHL28">
        <v>0</v>
      </c>
      <c r="AHM28">
        <v>0</v>
      </c>
      <c r="AHN28">
        <v>0</v>
      </c>
      <c r="AHO28">
        <v>0</v>
      </c>
      <c r="AHP28">
        <v>0</v>
      </c>
      <c r="AHQ28">
        <v>0</v>
      </c>
      <c r="AHR28">
        <v>0</v>
      </c>
      <c r="AHS28">
        <v>0</v>
      </c>
      <c r="AHT28">
        <v>0</v>
      </c>
      <c r="AHU28">
        <v>0</v>
      </c>
      <c r="AHV28">
        <v>0</v>
      </c>
      <c r="AHW28">
        <v>0</v>
      </c>
      <c r="AHX28">
        <v>0</v>
      </c>
      <c r="AHZ28">
        <v>0</v>
      </c>
      <c r="AIB28">
        <v>0</v>
      </c>
      <c r="AID28">
        <v>0</v>
      </c>
      <c r="AIF28">
        <v>0</v>
      </c>
      <c r="AIH28">
        <v>0</v>
      </c>
      <c r="AIJ28">
        <v>0</v>
      </c>
      <c r="AIL28">
        <v>0</v>
      </c>
      <c r="AIN28">
        <v>0</v>
      </c>
      <c r="AIP28">
        <v>0</v>
      </c>
      <c r="AIR28">
        <v>0</v>
      </c>
      <c r="AIT28">
        <v>0</v>
      </c>
      <c r="AIV28">
        <v>0</v>
      </c>
      <c r="AIX28">
        <v>0</v>
      </c>
      <c r="AIZ28">
        <v>0</v>
      </c>
      <c r="AJB28">
        <v>0</v>
      </c>
      <c r="AJC28">
        <v>0</v>
      </c>
      <c r="AJE28">
        <v>0</v>
      </c>
      <c r="AJH28">
        <v>0</v>
      </c>
      <c r="AJJ28">
        <v>0</v>
      </c>
      <c r="AJK28">
        <v>0</v>
      </c>
      <c r="AJL28">
        <v>0</v>
      </c>
      <c r="AJM28">
        <v>0</v>
      </c>
      <c r="AJN28">
        <v>0</v>
      </c>
      <c r="AJO28">
        <v>0</v>
      </c>
      <c r="AJP28">
        <v>0</v>
      </c>
      <c r="AJQ28">
        <v>0</v>
      </c>
      <c r="AJR28">
        <v>0</v>
      </c>
      <c r="AJS28">
        <v>0</v>
      </c>
      <c r="AJT28">
        <v>0</v>
      </c>
      <c r="AJU28">
        <v>0</v>
      </c>
      <c r="AJV28">
        <v>0</v>
      </c>
      <c r="AJW28">
        <v>0</v>
      </c>
      <c r="AJX28">
        <v>0</v>
      </c>
      <c r="AJY28">
        <v>0</v>
      </c>
      <c r="AJZ28">
        <v>0</v>
      </c>
      <c r="AKA28">
        <v>0</v>
      </c>
      <c r="AKB28">
        <v>0</v>
      </c>
      <c r="AKC28">
        <v>0</v>
      </c>
      <c r="AKD28">
        <v>0</v>
      </c>
      <c r="AKE28">
        <v>65.56</v>
      </c>
      <c r="AKF28">
        <v>65.56</v>
      </c>
      <c r="AKG28">
        <v>0</v>
      </c>
      <c r="AKH28">
        <v>0</v>
      </c>
      <c r="AKI28">
        <v>0</v>
      </c>
      <c r="AKJ28">
        <v>0</v>
      </c>
      <c r="AKK28">
        <v>0</v>
      </c>
      <c r="AKL28">
        <v>65.56</v>
      </c>
      <c r="AKM28">
        <v>65.56</v>
      </c>
      <c r="AKN28">
        <v>0</v>
      </c>
      <c r="AKO28">
        <v>0</v>
      </c>
      <c r="AKP28">
        <v>0</v>
      </c>
      <c r="AKT28">
        <v>0</v>
      </c>
      <c r="AKX28">
        <v>0</v>
      </c>
      <c r="ALB28">
        <v>21.375950174090502</v>
      </c>
      <c r="ALC28">
        <v>21.375950174090502</v>
      </c>
      <c r="ALD28">
        <v>0</v>
      </c>
      <c r="ALE28">
        <v>0</v>
      </c>
      <c r="ALF28">
        <v>0</v>
      </c>
      <c r="ALH28">
        <v>24.7981888867373</v>
      </c>
      <c r="ALI28">
        <v>9.8519433621688506E-3</v>
      </c>
      <c r="ALJ28">
        <v>0</v>
      </c>
      <c r="ALK28">
        <v>24.7981888867373</v>
      </c>
      <c r="ALL28">
        <v>0</v>
      </c>
      <c r="ALM28">
        <v>0</v>
      </c>
      <c r="ALN28">
        <v>24.7981888867373</v>
      </c>
      <c r="ALO28">
        <v>9.8519433621688506E-3</v>
      </c>
      <c r="ALP28">
        <v>50.426368664973502</v>
      </c>
      <c r="ALQ28">
        <v>0</v>
      </c>
      <c r="ALR28">
        <v>24.7981888867373</v>
      </c>
      <c r="ALS28">
        <v>0</v>
      </c>
      <c r="ALT28">
        <v>24.7981888867373</v>
      </c>
      <c r="ALU28">
        <v>0</v>
      </c>
      <c r="ALV28">
        <v>7.4572007059970504</v>
      </c>
      <c r="ALW28">
        <v>9.9999999999999897E-12</v>
      </c>
      <c r="ALX28">
        <v>7.4572007059970504</v>
      </c>
      <c r="ALY28">
        <v>9.9999999999999897E-12</v>
      </c>
      <c r="ALZ28">
        <v>0</v>
      </c>
      <c r="AMA28">
        <v>7.4572007059970504</v>
      </c>
      <c r="AMB28">
        <v>0</v>
      </c>
      <c r="AMC28">
        <v>7.4572007059970504</v>
      </c>
      <c r="AMD28">
        <v>0</v>
      </c>
      <c r="AME28">
        <v>7.4572007059970504</v>
      </c>
      <c r="AMF28">
        <v>0</v>
      </c>
      <c r="AMG28">
        <v>0</v>
      </c>
      <c r="AMH28">
        <v>0</v>
      </c>
      <c r="AMI28">
        <v>21.272802605558699</v>
      </c>
      <c r="AMJ28">
        <v>0</v>
      </c>
      <c r="AMK28" s="580">
        <v>21.210363906157699</v>
      </c>
      <c r="AML28">
        <v>0</v>
      </c>
      <c r="AMM28">
        <v>21.200273259470599</v>
      </c>
      <c r="AMN28">
        <v>0</v>
      </c>
      <c r="AMO28">
        <v>21.155186541877601</v>
      </c>
      <c r="AMP28">
        <v>0</v>
      </c>
      <c r="AMQ28">
        <v>21.167898953640901</v>
      </c>
      <c r="AMR28">
        <v>0</v>
      </c>
      <c r="AMS28">
        <v>24.628949453706198</v>
      </c>
      <c r="AMT28">
        <v>0</v>
      </c>
      <c r="AMU28">
        <v>25.061842889775601</v>
      </c>
      <c r="AMV28">
        <v>0</v>
      </c>
      <c r="AMW28">
        <v>25.2417613213529</v>
      </c>
      <c r="AMX28">
        <v>0</v>
      </c>
      <c r="AMY28">
        <v>24.977706859909901</v>
      </c>
      <c r="AMZ28">
        <v>0</v>
      </c>
      <c r="ANA28">
        <v>24.992851756582901</v>
      </c>
      <c r="ANB28">
        <v>0</v>
      </c>
      <c r="ANC28">
        <v>24.988861222235101</v>
      </c>
      <c r="AND28">
        <v>0</v>
      </c>
      <c r="ANE28">
        <v>25.183587251380899</v>
      </c>
      <c r="ANF28">
        <v>0</v>
      </c>
      <c r="ANG28">
        <v>25.379708137261598</v>
      </c>
      <c r="ANH28">
        <v>0</v>
      </c>
      <c r="ANI28">
        <v>25.107526454731701</v>
      </c>
      <c r="ANJ28">
        <v>0</v>
      </c>
      <c r="ANK28">
        <v>25.118903691311498</v>
      </c>
      <c r="ANL28">
        <v>0</v>
      </c>
      <c r="ANM28">
        <v>0</v>
      </c>
      <c r="ANN28">
        <v>0</v>
      </c>
      <c r="ANO28">
        <v>0</v>
      </c>
      <c r="ANP28">
        <v>21.210363906157699</v>
      </c>
      <c r="ANQ28">
        <v>21.200273259470599</v>
      </c>
      <c r="ANR28">
        <v>21.272802605558699</v>
      </c>
      <c r="ANS28">
        <v>21.167898953640901</v>
      </c>
      <c r="ANT28">
        <v>21.155186541877601</v>
      </c>
      <c r="ANU28">
        <v>24.628949453706198</v>
      </c>
      <c r="ANV28">
        <v>25.061842889775601</v>
      </c>
      <c r="ANW28">
        <v>25.2417613213529</v>
      </c>
      <c r="ANX28">
        <v>24.992851756582901</v>
      </c>
      <c r="ANY28">
        <v>24.977706859909901</v>
      </c>
      <c r="ANZ28">
        <v>24.988861222235101</v>
      </c>
      <c r="AOA28">
        <v>25.183587251380899</v>
      </c>
      <c r="AOB28">
        <v>25.379708137261598</v>
      </c>
      <c r="AOC28">
        <v>25.118903691311498</v>
      </c>
      <c r="AOD28">
        <v>25.107526454731701</v>
      </c>
      <c r="AOE28">
        <v>24.7981888867373</v>
      </c>
      <c r="AOF28">
        <v>0</v>
      </c>
      <c r="AOG28">
        <v>24.7690767584531</v>
      </c>
      <c r="AOH28">
        <v>0</v>
      </c>
    </row>
    <row r="29" spans="1:1074">
      <c r="A29" t="s">
        <v>2599</v>
      </c>
      <c r="B29">
        <v>18.947500000000002</v>
      </c>
      <c r="D29">
        <v>14.850452752441599</v>
      </c>
      <c r="F29">
        <v>9</v>
      </c>
      <c r="G29">
        <v>6988958.1450714003</v>
      </c>
      <c r="H29">
        <v>15006965.342177801</v>
      </c>
      <c r="I29">
        <v>4438405.1063184803</v>
      </c>
      <c r="J29">
        <v>9530317.7129537892</v>
      </c>
      <c r="K29">
        <v>6988958.1450714003</v>
      </c>
      <c r="L29">
        <v>15006965.342177801</v>
      </c>
      <c r="M29">
        <v>4438405.1063184803</v>
      </c>
      <c r="N29">
        <v>9530317.7129538003</v>
      </c>
      <c r="O29">
        <v>36043418.585661501</v>
      </c>
      <c r="P29">
        <v>77393843.588843703</v>
      </c>
      <c r="Q29">
        <v>6988958.1450714003</v>
      </c>
      <c r="R29">
        <v>15006965.342177801</v>
      </c>
      <c r="S29">
        <v>4438405.1063184803</v>
      </c>
      <c r="T29">
        <v>9530317.7129537892</v>
      </c>
      <c r="U29">
        <v>6988958.1450714003</v>
      </c>
      <c r="V29">
        <v>15006965.342177801</v>
      </c>
      <c r="W29">
        <v>4438405.1063184803</v>
      </c>
      <c r="X29">
        <v>9530317.7129538003</v>
      </c>
      <c r="Y29">
        <v>36043418.585661501</v>
      </c>
      <c r="Z29">
        <v>77393843.588843703</v>
      </c>
      <c r="AA29">
        <v>6988958.1450714003</v>
      </c>
      <c r="AB29">
        <v>15006965.342177801</v>
      </c>
      <c r="AC29">
        <v>4438405.1063184803</v>
      </c>
      <c r="AD29">
        <v>9530317.7129537892</v>
      </c>
      <c r="AE29">
        <v>6988958.1450714003</v>
      </c>
      <c r="AF29">
        <v>15006965.342177801</v>
      </c>
      <c r="AG29">
        <v>4438405.1063184803</v>
      </c>
      <c r="AH29">
        <v>9530317.7129538003</v>
      </c>
      <c r="AI29">
        <v>36043418.585661501</v>
      </c>
      <c r="AJ29">
        <v>77393843.588843703</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v>0</v>
      </c>
      <c r="BN29">
        <v>0</v>
      </c>
      <c r="BO29">
        <v>0</v>
      </c>
      <c r="BP29">
        <v>0</v>
      </c>
      <c r="BQ29">
        <v>0</v>
      </c>
      <c r="BR29">
        <v>0</v>
      </c>
      <c r="BS29">
        <v>0</v>
      </c>
      <c r="BT29">
        <v>0</v>
      </c>
      <c r="BU29">
        <v>0</v>
      </c>
      <c r="BV29">
        <v>0</v>
      </c>
      <c r="BW29">
        <v>0</v>
      </c>
      <c r="BX29">
        <v>0</v>
      </c>
      <c r="BY29">
        <v>0</v>
      </c>
      <c r="BZ29">
        <v>0</v>
      </c>
      <c r="CA29">
        <v>0</v>
      </c>
      <c r="CB29">
        <v>0</v>
      </c>
      <c r="CC29">
        <v>0</v>
      </c>
      <c r="CD29">
        <v>0</v>
      </c>
      <c r="CE29">
        <v>3773179.8574618599</v>
      </c>
      <c r="CF29">
        <v>8575408.7669587694</v>
      </c>
      <c r="CG29">
        <v>3773179.8574618599</v>
      </c>
      <c r="CH29">
        <v>8575408.7669587694</v>
      </c>
      <c r="CI29">
        <v>2396194.1678283801</v>
      </c>
      <c r="CJ29">
        <v>5445895.8359735999</v>
      </c>
      <c r="CK29">
        <v>2396194.1678283801</v>
      </c>
      <c r="CL29">
        <v>5445895.8359735999</v>
      </c>
      <c r="CM29">
        <v>3773179.8574618599</v>
      </c>
      <c r="CN29">
        <v>8575408.7669587694</v>
      </c>
      <c r="CO29">
        <v>3773179.8574618599</v>
      </c>
      <c r="CP29">
        <v>8575408.7669587694</v>
      </c>
      <c r="CQ29">
        <v>2396194.1678283801</v>
      </c>
      <c r="CR29">
        <v>5445895.8359735999</v>
      </c>
      <c r="CS29">
        <v>2396194.1678283801</v>
      </c>
      <c r="CT29">
        <v>5445895.8359735999</v>
      </c>
      <c r="CU29">
        <v>3773179.8574618599</v>
      </c>
      <c r="CV29">
        <v>8575408.7669587694</v>
      </c>
      <c r="CW29">
        <v>3773179.8574618599</v>
      </c>
      <c r="CX29">
        <v>8575408.7669587694</v>
      </c>
      <c r="CY29">
        <v>2396194.1678283801</v>
      </c>
      <c r="CZ29">
        <v>5445895.8359735999</v>
      </c>
      <c r="DA29">
        <v>2396194.1678283801</v>
      </c>
      <c r="DB29">
        <v>5445895.8359735999</v>
      </c>
      <c r="DC29">
        <v>19459023.5309093</v>
      </c>
      <c r="DD29">
        <v>44225053.479339302</v>
      </c>
      <c r="DE29">
        <v>19459023.5309093</v>
      </c>
      <c r="DF29">
        <v>44225053.479339302</v>
      </c>
      <c r="DG29">
        <v>19459023.5309093</v>
      </c>
      <c r="DH29">
        <v>44225053.479339302</v>
      </c>
      <c r="DI29">
        <v>3215778.2876095399</v>
      </c>
      <c r="DJ29">
        <v>6431556.5752190799</v>
      </c>
      <c r="DK29">
        <v>3215778.2876095399</v>
      </c>
      <c r="DL29">
        <v>6431556.5752190799</v>
      </c>
      <c r="DM29">
        <v>2042210.9384901</v>
      </c>
      <c r="DN29">
        <v>4084421.8769801999</v>
      </c>
      <c r="DO29">
        <v>2042210.9384901</v>
      </c>
      <c r="DP29">
        <v>4084421.8769801999</v>
      </c>
      <c r="DQ29">
        <v>3215778.2876095399</v>
      </c>
      <c r="DR29">
        <v>6431556.5752190799</v>
      </c>
      <c r="DS29">
        <v>3215778.2876095399</v>
      </c>
      <c r="DT29">
        <v>6431556.5752190799</v>
      </c>
      <c r="DU29">
        <v>2042210.9384901</v>
      </c>
      <c r="DV29">
        <v>4084421.8769801999</v>
      </c>
      <c r="DW29">
        <v>2042210.9384901</v>
      </c>
      <c r="DX29">
        <v>4084421.8769801999</v>
      </c>
      <c r="DY29">
        <v>3215778.2876095399</v>
      </c>
      <c r="DZ29">
        <v>6431556.5752190799</v>
      </c>
      <c r="EA29">
        <v>3215778.2876095399</v>
      </c>
      <c r="EB29">
        <v>6431556.5752190799</v>
      </c>
      <c r="EC29">
        <v>2042210.9384901</v>
      </c>
      <c r="ED29">
        <v>4084421.8769801999</v>
      </c>
      <c r="EE29">
        <v>2042210.9384901</v>
      </c>
      <c r="EF29">
        <v>4084421.8769801999</v>
      </c>
      <c r="EG29">
        <v>16584395.054752201</v>
      </c>
      <c r="EH29">
        <v>33168790.109504402</v>
      </c>
      <c r="EI29">
        <v>16584395.054752201</v>
      </c>
      <c r="EJ29">
        <v>33168790.109504402</v>
      </c>
      <c r="EK29">
        <v>16584395.054752201</v>
      </c>
      <c r="EL29">
        <v>33168790.109504402</v>
      </c>
      <c r="EM29">
        <v>0</v>
      </c>
      <c r="EN29">
        <v>0</v>
      </c>
      <c r="EO29">
        <v>0</v>
      </c>
      <c r="EP29">
        <v>0</v>
      </c>
      <c r="EQ29">
        <v>0</v>
      </c>
      <c r="ER29">
        <v>0</v>
      </c>
      <c r="ES29">
        <v>0</v>
      </c>
      <c r="ET29">
        <v>0</v>
      </c>
      <c r="EU29">
        <v>0</v>
      </c>
      <c r="EV29">
        <v>0</v>
      </c>
      <c r="EW29">
        <v>0</v>
      </c>
      <c r="EX29">
        <v>0</v>
      </c>
      <c r="EY29">
        <v>0</v>
      </c>
      <c r="EZ29">
        <v>0</v>
      </c>
      <c r="FA29">
        <v>0</v>
      </c>
      <c r="FB29">
        <v>0</v>
      </c>
      <c r="FC29">
        <v>0</v>
      </c>
      <c r="FD29">
        <v>0</v>
      </c>
      <c r="FE29">
        <v>0</v>
      </c>
      <c r="FF29">
        <v>0</v>
      </c>
      <c r="FG29">
        <v>0</v>
      </c>
      <c r="FH29">
        <v>0</v>
      </c>
      <c r="FI29">
        <v>0</v>
      </c>
      <c r="FJ29">
        <v>0</v>
      </c>
      <c r="FK29">
        <v>0</v>
      </c>
      <c r="FL29">
        <v>0</v>
      </c>
      <c r="FM29">
        <v>0</v>
      </c>
      <c r="FN29">
        <v>0</v>
      </c>
      <c r="FO29">
        <v>0</v>
      </c>
      <c r="FP29">
        <v>0</v>
      </c>
      <c r="FQ29">
        <v>0</v>
      </c>
      <c r="FR29">
        <v>0</v>
      </c>
      <c r="FS29">
        <v>0</v>
      </c>
      <c r="FT29">
        <v>0</v>
      </c>
      <c r="FU29">
        <v>0</v>
      </c>
      <c r="FV29">
        <v>0</v>
      </c>
      <c r="FW29">
        <v>0</v>
      </c>
      <c r="FX29">
        <v>0</v>
      </c>
      <c r="FY29">
        <v>0</v>
      </c>
      <c r="FZ29">
        <v>0</v>
      </c>
      <c r="GA29">
        <v>0</v>
      </c>
      <c r="GB29">
        <v>-93.966142010199405</v>
      </c>
      <c r="GC29">
        <v>-358.565641072235</v>
      </c>
      <c r="GD29">
        <v>-253.506377767364</v>
      </c>
      <c r="GE29">
        <v>-59.894494664169599</v>
      </c>
      <c r="GF29">
        <v>-223.45024638766199</v>
      </c>
      <c r="GG29">
        <v>-155.77416348454901</v>
      </c>
      <c r="GH29">
        <v>-91.547108894268106</v>
      </c>
      <c r="GI29">
        <v>-360.48671275787899</v>
      </c>
      <c r="GJ29">
        <v>-256.66297177001297</v>
      </c>
      <c r="GK29">
        <v>-57.8234772804892</v>
      </c>
      <c r="GL29">
        <v>-224.20018518280099</v>
      </c>
      <c r="GM29">
        <v>-152.24694001647899</v>
      </c>
      <c r="GN29">
        <v>-11.328966055039301</v>
      </c>
      <c r="GO29">
        <v>25.173677939525501</v>
      </c>
      <c r="GP29">
        <v>25.658157857395601</v>
      </c>
      <c r="GQ29">
        <v>80.139195485693307</v>
      </c>
      <c r="GR29">
        <v>-0.76961255554030705</v>
      </c>
      <c r="GS29">
        <v>-293.46627182175399</v>
      </c>
      <c r="GT29">
        <v>-7.43104382662899</v>
      </c>
      <c r="GU29">
        <v>25.231595203189698</v>
      </c>
      <c r="GV29">
        <v>25.7062176270462</v>
      </c>
      <c r="GW29">
        <v>52.448266220436302</v>
      </c>
      <c r="GX29">
        <v>0.65196804338298497</v>
      </c>
      <c r="GY29">
        <v>-167.366108114111</v>
      </c>
      <c r="GZ29">
        <v>-11.5768107483898</v>
      </c>
      <c r="HA29">
        <v>25.213818885399501</v>
      </c>
      <c r="HB29">
        <v>25.7263002194031</v>
      </c>
      <c r="HC29">
        <v>83.493011036758105</v>
      </c>
      <c r="HD29">
        <v>-1.7269707556502401</v>
      </c>
      <c r="HE29">
        <v>-314.724414029618</v>
      </c>
      <c r="HF29">
        <v>-6.8976857833747003</v>
      </c>
      <c r="HG29">
        <v>25.3775284561817</v>
      </c>
      <c r="HH29">
        <v>25.8347771938435</v>
      </c>
      <c r="HI29">
        <v>52.440791355297499</v>
      </c>
      <c r="HJ29">
        <v>1.5546442636970701</v>
      </c>
      <c r="HK29">
        <v>-149.36001884120401</v>
      </c>
      <c r="HL29">
        <v>-70.0389050453187</v>
      </c>
      <c r="HM29">
        <v>27.6338579627127</v>
      </c>
      <c r="HN29">
        <v>28.086122555961801</v>
      </c>
      <c r="HO29">
        <v>-4.8473214011903103</v>
      </c>
      <c r="HP29">
        <v>-152.33466196611599</v>
      </c>
      <c r="HQ29">
        <v>26.768395552671301</v>
      </c>
      <c r="HR29">
        <v>-243.30455313253501</v>
      </c>
      <c r="HS29">
        <v>-45.223095232182402</v>
      </c>
      <c r="HT29">
        <v>27.688070900148499</v>
      </c>
      <c r="HU29">
        <v>28.125030156627201</v>
      </c>
      <c r="HV29">
        <v>-1.6887958854084</v>
      </c>
      <c r="HW29">
        <v>-91.074954375179502</v>
      </c>
      <c r="HX29">
        <v>26.833091350700801</v>
      </c>
      <c r="HY29">
        <v>-145.75220068319501</v>
      </c>
      <c r="HZ29">
        <v>27.6676948804947</v>
      </c>
      <c r="IA29">
        <v>28.114590310370801</v>
      </c>
      <c r="IB29">
        <v>-7.5502325668866996</v>
      </c>
      <c r="IC29">
        <v>-70.302768297167404</v>
      </c>
      <c r="ID29">
        <v>-152.00388953690501</v>
      </c>
      <c r="IE29">
        <v>26.832695355304299</v>
      </c>
      <c r="IF29">
        <v>-242.86511968787599</v>
      </c>
      <c r="IG29">
        <v>-2.5876286729264901</v>
      </c>
      <c r="IH29">
        <v>27.787848993754501</v>
      </c>
      <c r="II29">
        <v>28.1677747124169</v>
      </c>
      <c r="IJ29">
        <v>-4.1972274212836496</v>
      </c>
      <c r="IK29">
        <v>-2.3469759747962602</v>
      </c>
      <c r="IL29">
        <v>-43.119822101160501</v>
      </c>
      <c r="IM29">
        <v>-88.062971389099303</v>
      </c>
      <c r="IN29">
        <v>26.986350887950898</v>
      </c>
      <c r="IO29">
        <v>1.15871838176521</v>
      </c>
      <c r="IP29">
        <v>-140.80113695031201</v>
      </c>
      <c r="IQ29">
        <v>-248.82918707854699</v>
      </c>
      <c r="IR29">
        <v>-143.07940068760701</v>
      </c>
      <c r="IS29">
        <v>-242.19719752059899</v>
      </c>
      <c r="IT29">
        <v>-137.17366419883299</v>
      </c>
      <c r="IU29">
        <v>-3847.8870810251701</v>
      </c>
      <c r="IV29">
        <v>-13.928925104429601</v>
      </c>
      <c r="IW29">
        <v>25.912314622797901</v>
      </c>
      <c r="IX29">
        <v>26.768395552671301</v>
      </c>
      <c r="IY29">
        <v>135.95439780056299</v>
      </c>
      <c r="IZ29">
        <v>-22.684833535123399</v>
      </c>
      <c r="JA29">
        <v>-610.34110577562603</v>
      </c>
      <c r="JB29">
        <v>-9.2872985443009295</v>
      </c>
      <c r="JC29">
        <v>25.982432962805898</v>
      </c>
      <c r="JD29">
        <v>26.833091350700801</v>
      </c>
      <c r="JE29">
        <v>87.671990807026404</v>
      </c>
      <c r="JF29">
        <v>-11.718061705837201</v>
      </c>
      <c r="JG29">
        <v>-368.73587969828998</v>
      </c>
      <c r="JH29">
        <v>-14.052925634045399</v>
      </c>
      <c r="JI29">
        <v>25.948843368380199</v>
      </c>
      <c r="JJ29">
        <v>26.832695355304299</v>
      </c>
      <c r="JK29">
        <v>140.07564993374001</v>
      </c>
      <c r="JL29">
        <v>-24.8247712204892</v>
      </c>
      <c r="JM29">
        <v>-632.38011761535802</v>
      </c>
      <c r="JN29">
        <v>-8.9485324924073595</v>
      </c>
      <c r="JO29">
        <v>26.1504039397303</v>
      </c>
      <c r="JP29">
        <v>26.986350887950898</v>
      </c>
      <c r="JQ29">
        <v>1.2041959034377301</v>
      </c>
      <c r="JR29">
        <v>87.074308521387593</v>
      </c>
      <c r="JS29">
        <v>0.71870551307864905</v>
      </c>
      <c r="JT29">
        <v>-9.4253948692026697</v>
      </c>
      <c r="JU29">
        <v>-349.91105417135702</v>
      </c>
      <c r="JV29">
        <v>-64.084921858598193</v>
      </c>
      <c r="JW29">
        <v>-137.12744890588399</v>
      </c>
      <c r="JX29">
        <v>-290.98738766990198</v>
      </c>
      <c r="JY29">
        <v>-40.960384070097</v>
      </c>
      <c r="JZ29">
        <v>-80.943333390795104</v>
      </c>
      <c r="KA29">
        <v>-178.40520088707001</v>
      </c>
      <c r="KB29">
        <v>-63.715686713143</v>
      </c>
      <c r="KC29">
        <v>-136.477999468147</v>
      </c>
      <c r="KD29">
        <v>-287.11369644643599</v>
      </c>
      <c r="KE29">
        <v>-38.957443329547999</v>
      </c>
      <c r="KF29">
        <v>25.849737679863001</v>
      </c>
      <c r="KG29">
        <v>-135.93024267950801</v>
      </c>
      <c r="KH29">
        <v>0.60471353875814005</v>
      </c>
      <c r="KI29">
        <v>-77.354472787335993</v>
      </c>
      <c r="KJ29">
        <v>-175.70615839346499</v>
      </c>
      <c r="KK29">
        <v>10.852682064233401</v>
      </c>
      <c r="KL29">
        <v>25.4782008932156</v>
      </c>
      <c r="KM29">
        <v>26.641343801602599</v>
      </c>
      <c r="KN29">
        <v>394.67189859528997</v>
      </c>
      <c r="KO29">
        <v>24.721428240589098</v>
      </c>
      <c r="KP29">
        <v>13.028259962718399</v>
      </c>
      <c r="KQ29">
        <v>46.330107756611298</v>
      </c>
      <c r="KR29">
        <v>-695.98159967021104</v>
      </c>
      <c r="KS29">
        <v>7.0727556971819201</v>
      </c>
      <c r="KT29">
        <v>25.4883266991474</v>
      </c>
      <c r="KU29">
        <v>26.666035211934801</v>
      </c>
      <c r="KV29">
        <v>252.76934686292</v>
      </c>
      <c r="KW29">
        <v>24.724917458700599</v>
      </c>
      <c r="KX29">
        <v>13.1243898078644</v>
      </c>
      <c r="KY29">
        <v>29.4800146770616</v>
      </c>
      <c r="KZ29">
        <v>-438.12151639267398</v>
      </c>
      <c r="LA29">
        <v>10.8239731254072</v>
      </c>
      <c r="LB29">
        <v>25.530991571851299</v>
      </c>
      <c r="LC29">
        <v>26.712742794474799</v>
      </c>
      <c r="LD29">
        <v>400.55766541839301</v>
      </c>
      <c r="LE29">
        <v>24.7662844476191</v>
      </c>
      <c r="LF29">
        <v>13.029274629393299</v>
      </c>
      <c r="LG29">
        <v>47.100296878712101</v>
      </c>
      <c r="LH29">
        <v>-700.56122287787798</v>
      </c>
      <c r="LI29">
        <v>7.9476381087728001</v>
      </c>
      <c r="LJ29">
        <v>25.624805561336199</v>
      </c>
      <c r="LK29">
        <v>26.803383603859999</v>
      </c>
      <c r="LL29">
        <v>256.98363463902501</v>
      </c>
      <c r="LM29">
        <v>24.870920097112101</v>
      </c>
      <c r="LN29">
        <v>13.5000494132456</v>
      </c>
      <c r="LO29">
        <v>31.951099163514101</v>
      </c>
      <c r="LP29">
        <v>-427.16815919742101</v>
      </c>
      <c r="LQ29">
        <v>-2.6195585439090401</v>
      </c>
      <c r="LR29">
        <v>20.299665630023402</v>
      </c>
      <c r="LS29">
        <v>16.420999999999999</v>
      </c>
      <c r="LT29">
        <v>-323.333400816064</v>
      </c>
      <c r="LU29">
        <v>-2068.71222782106</v>
      </c>
      <c r="LV29">
        <v>22.0508690375651</v>
      </c>
      <c r="LW29">
        <v>24.713827383322599</v>
      </c>
      <c r="LX29">
        <v>333.28657324240902</v>
      </c>
      <c r="LY29">
        <v>-1.88686544933374</v>
      </c>
      <c r="LZ29">
        <v>20.345324223078499</v>
      </c>
      <c r="MA29">
        <v>16.420999999999999</v>
      </c>
      <c r="MB29">
        <v>-205.34499938342199</v>
      </c>
      <c r="MC29">
        <v>-1311.6797324173001</v>
      </c>
      <c r="MD29">
        <v>22.099751088905599</v>
      </c>
      <c r="ME29">
        <v>24.767748207594</v>
      </c>
      <c r="MF29">
        <v>212.415395094914</v>
      </c>
      <c r="MG29">
        <v>-2.5804580045240399</v>
      </c>
      <c r="MH29">
        <v>20.307972431615902</v>
      </c>
      <c r="MI29">
        <v>16.420999999999999</v>
      </c>
      <c r="MJ29">
        <v>-326.53021937483101</v>
      </c>
      <c r="MK29">
        <v>-2091.4569809272598</v>
      </c>
      <c r="ML29">
        <v>22.0786477905685</v>
      </c>
      <c r="MM29">
        <v>24.781973196878202</v>
      </c>
      <c r="MN29">
        <v>337.39083243123503</v>
      </c>
      <c r="MO29">
        <v>-1.6525601775752199</v>
      </c>
      <c r="MP29">
        <v>20.3919988408094</v>
      </c>
      <c r="MQ29">
        <v>16.420999999999999</v>
      </c>
      <c r="MR29">
        <v>-209.74768021596</v>
      </c>
      <c r="MS29">
        <v>-1337.96577237211</v>
      </c>
      <c r="MT29">
        <v>22.180045030076599</v>
      </c>
      <c r="MU29">
        <v>24.879310947138599</v>
      </c>
      <c r="MV29">
        <v>216.01807606797601</v>
      </c>
      <c r="MW29">
        <v>-9.7334831115263203</v>
      </c>
      <c r="MX29">
        <v>24.9531419898282</v>
      </c>
      <c r="MY29">
        <v>24.825619497192001</v>
      </c>
      <c r="MZ29">
        <v>-62.079085086308403</v>
      </c>
      <c r="NA29">
        <v>-588.75683573218305</v>
      </c>
      <c r="NB29">
        <v>25.491599358131602</v>
      </c>
      <c r="NC29">
        <v>26.6347116962197</v>
      </c>
      <c r="ND29">
        <v>139.817428867682</v>
      </c>
      <c r="NE29">
        <v>-6.6013891232033997</v>
      </c>
      <c r="NF29">
        <v>25.042351304236799</v>
      </c>
      <c r="NG29">
        <v>24.9020169766886</v>
      </c>
      <c r="NH29">
        <v>-37.598588223096698</v>
      </c>
      <c r="NI29">
        <v>-363.76227704763397</v>
      </c>
      <c r="NJ29">
        <v>25.573637084439898</v>
      </c>
      <c r="NK29">
        <v>26.707264835121901</v>
      </c>
      <c r="NL29">
        <v>88.910051972470399</v>
      </c>
      <c r="NM29">
        <v>-9.6385039144568605</v>
      </c>
      <c r="NN29">
        <v>24.9683732144441</v>
      </c>
      <c r="NO29">
        <v>24.843950126765598</v>
      </c>
      <c r="NP29">
        <v>-64.187098650685201</v>
      </c>
      <c r="NQ29">
        <v>-606.05987897209104</v>
      </c>
      <c r="NR29">
        <v>25.521601216531302</v>
      </c>
      <c r="NS29">
        <v>26.699390361066001</v>
      </c>
      <c r="NT29">
        <v>143.24771721051499</v>
      </c>
      <c r="NU29">
        <v>-6.5212076754141899</v>
      </c>
      <c r="NV29">
        <v>25.221080856215298</v>
      </c>
      <c r="NW29">
        <v>25.069594187297799</v>
      </c>
      <c r="NX29">
        <v>1.7</v>
      </c>
      <c r="NY29">
        <v>-36.725297078154398</v>
      </c>
      <c r="NZ29">
        <v>-357.74125560990802</v>
      </c>
      <c r="OA29">
        <v>25.747233945243799</v>
      </c>
      <c r="OB29">
        <v>26.863886106925801</v>
      </c>
      <c r="OC29">
        <v>1.7</v>
      </c>
      <c r="OD29">
        <v>88.561157609662104</v>
      </c>
      <c r="OE29">
        <v>1.7</v>
      </c>
      <c r="OF29">
        <v>1.7</v>
      </c>
      <c r="OG29">
        <v>-9.7900779035242298</v>
      </c>
      <c r="OH29">
        <v>25.108268238927401</v>
      </c>
      <c r="OI29">
        <v>25.269451780935899</v>
      </c>
      <c r="OJ29">
        <v>-53.156571787616699</v>
      </c>
      <c r="OK29">
        <v>-554.03797231518695</v>
      </c>
      <c r="OL29">
        <v>25.6180832478471</v>
      </c>
      <c r="OM29">
        <v>26.6918334165047</v>
      </c>
      <c r="ON29">
        <v>138.00038718687199</v>
      </c>
      <c r="OO29">
        <v>-6.6092178284088297</v>
      </c>
      <c r="OP29">
        <v>25.193155603541602</v>
      </c>
      <c r="OQ29">
        <v>25.352814251084599</v>
      </c>
      <c r="OR29">
        <v>-30.851911518745599</v>
      </c>
      <c r="OS29">
        <v>-335.05632887729701</v>
      </c>
      <c r="OT29">
        <v>25.6873623053215</v>
      </c>
      <c r="OU29">
        <v>26.7382136784605</v>
      </c>
      <c r="OV29">
        <v>86.827537371880396</v>
      </c>
      <c r="OW29">
        <v>-9.6793198972737908</v>
      </c>
      <c r="OX29">
        <v>25.120134938202899</v>
      </c>
      <c r="OY29">
        <v>25.285014901289401</v>
      </c>
      <c r="OZ29">
        <v>-55.350931528565503</v>
      </c>
      <c r="PA29">
        <v>-572.41998810724704</v>
      </c>
      <c r="PB29">
        <v>25.6455741401548</v>
      </c>
      <c r="PC29">
        <v>26.7573721385162</v>
      </c>
      <c r="PD29">
        <v>141.664374442813</v>
      </c>
      <c r="PE29">
        <v>-6.5443251186867499</v>
      </c>
      <c r="PF29">
        <v>25.388855104181101</v>
      </c>
      <c r="PG29">
        <v>25.540878845441402</v>
      </c>
      <c r="PH29">
        <v>1.7</v>
      </c>
      <c r="PI29">
        <v>-29.341909628664698</v>
      </c>
      <c r="PJ29">
        <v>-324.02866220020502</v>
      </c>
      <c r="PK29">
        <v>25.871684129385201</v>
      </c>
      <c r="PL29">
        <v>26.8922477969105</v>
      </c>
      <c r="PM29">
        <v>1.7</v>
      </c>
      <c r="PN29">
        <v>85.628311110511106</v>
      </c>
      <c r="PO29">
        <v>25.469690486672</v>
      </c>
      <c r="PP29">
        <v>25.532471005746999</v>
      </c>
      <c r="PQ29">
        <v>25.535070617948399</v>
      </c>
      <c r="PR29">
        <v>25.651687715258898</v>
      </c>
      <c r="PS29">
        <v>26.108324071019201</v>
      </c>
      <c r="PT29">
        <v>26.840682714115601</v>
      </c>
      <c r="PU29">
        <v>26.909590502798601</v>
      </c>
      <c r="PV29">
        <v>26.895147799630699</v>
      </c>
      <c r="PW29">
        <v>27.056322138879899</v>
      </c>
      <c r="PX29">
        <v>27.659151898998701</v>
      </c>
      <c r="PY29">
        <v>26.868932843244298</v>
      </c>
      <c r="PZ29">
        <v>26.9078503363985</v>
      </c>
      <c r="QA29">
        <v>26.923453123323299</v>
      </c>
      <c r="QB29">
        <v>27.045637276630298</v>
      </c>
      <c r="QC29">
        <v>28.275943332576698</v>
      </c>
      <c r="QD29">
        <v>25.400067586851002</v>
      </c>
      <c r="QE29">
        <v>25.8435939872194</v>
      </c>
      <c r="QF29">
        <v>25.8857158995494</v>
      </c>
      <c r="QG29">
        <v>25.915565384429399</v>
      </c>
      <c r="QH29">
        <v>26.001018287601401</v>
      </c>
      <c r="QI29">
        <v>27.092493431717699</v>
      </c>
      <c r="QJ29">
        <v>27.054111087736601</v>
      </c>
      <c r="QK29">
        <v>27.101930973877501</v>
      </c>
      <c r="QL29">
        <v>27.1137444871277</v>
      </c>
      <c r="QM29">
        <v>27.239057871951101</v>
      </c>
      <c r="QN29">
        <v>-500.42026753637901</v>
      </c>
      <c r="QO29">
        <v>28.603406895706399</v>
      </c>
      <c r="QP29">
        <v>-9804.62981522072</v>
      </c>
      <c r="QQ29">
        <v>27.059614776285699</v>
      </c>
      <c r="QR29">
        <v>27.076463141244801</v>
      </c>
      <c r="QS29">
        <v>27.119199057166199</v>
      </c>
      <c r="QT29">
        <v>27.205893502756801</v>
      </c>
      <c r="QU29">
        <v>29.2284917726145</v>
      </c>
      <c r="QV29">
        <v>25.3885481061</v>
      </c>
      <c r="QW29">
        <v>1566760.4298620401</v>
      </c>
      <c r="QX29">
        <v>0</v>
      </c>
      <c r="QY29">
        <v>1035896.16564852</v>
      </c>
      <c r="QZ29">
        <v>0</v>
      </c>
      <c r="RA29">
        <v>144969.77467456099</v>
      </c>
      <c r="RB29">
        <v>0</v>
      </c>
      <c r="RC29">
        <v>97779.520444495298</v>
      </c>
      <c r="RD29">
        <v>0</v>
      </c>
      <c r="RE29">
        <v>377173.390165638</v>
      </c>
      <c r="RF29">
        <v>0</v>
      </c>
      <c r="RG29">
        <v>251879.35745131399</v>
      </c>
      <c r="RH29">
        <v>0</v>
      </c>
      <c r="RI29">
        <v>0</v>
      </c>
      <c r="RJ29">
        <v>0</v>
      </c>
      <c r="RK29">
        <v>26.2174974877667</v>
      </c>
      <c r="RL29">
        <v>0</v>
      </c>
      <c r="RM29">
        <v>-11809.9414950271</v>
      </c>
      <c r="RN29">
        <v>691.92329135226998</v>
      </c>
      <c r="RO29">
        <v>0</v>
      </c>
      <c r="RP29">
        <v>0</v>
      </c>
      <c r="RQ29">
        <v>26.238960793351801</v>
      </c>
      <c r="RR29">
        <v>0</v>
      </c>
      <c r="RS29">
        <v>-7528.3707790039898</v>
      </c>
      <c r="RT29">
        <v>420.234037525443</v>
      </c>
      <c r="RU29">
        <v>0</v>
      </c>
      <c r="RV29">
        <v>0</v>
      </c>
      <c r="RW29">
        <v>26.296060150910499</v>
      </c>
      <c r="RX29">
        <v>0</v>
      </c>
      <c r="RY29">
        <v>-11924.254130675101</v>
      </c>
      <c r="RZ29">
        <v>574.40604331591896</v>
      </c>
      <c r="SA29">
        <v>0</v>
      </c>
      <c r="SB29">
        <v>0</v>
      </c>
      <c r="SC29">
        <v>26.3503488599438</v>
      </c>
      <c r="SD29">
        <v>0</v>
      </c>
      <c r="SE29">
        <v>-7629.63152096253</v>
      </c>
      <c r="SF29">
        <v>316.00508016681903</v>
      </c>
      <c r="SG29">
        <v>0</v>
      </c>
      <c r="SH29">
        <v>0</v>
      </c>
      <c r="SI29">
        <v>28.0766627924163</v>
      </c>
      <c r="SJ29">
        <v>-10693.846305298899</v>
      </c>
      <c r="SK29">
        <v>-52360.635719059203</v>
      </c>
      <c r="SL29">
        <v>-10693.846305298899</v>
      </c>
      <c r="SM29">
        <v>21.1111</v>
      </c>
      <c r="SN29">
        <v>26.666699999999999</v>
      </c>
      <c r="SO29">
        <v>0</v>
      </c>
      <c r="SP29">
        <v>0</v>
      </c>
      <c r="SQ29">
        <v>24.824639238886199</v>
      </c>
      <c r="SR29">
        <v>0</v>
      </c>
      <c r="SS29">
        <v>0</v>
      </c>
      <c r="ST29">
        <v>0</v>
      </c>
      <c r="SU29">
        <v>0</v>
      </c>
      <c r="SV29">
        <v>0</v>
      </c>
      <c r="SW29">
        <v>24.872974054102102</v>
      </c>
      <c r="SX29">
        <v>0</v>
      </c>
      <c r="SY29">
        <v>0</v>
      </c>
      <c r="SZ29">
        <v>0</v>
      </c>
      <c r="TA29">
        <v>0</v>
      </c>
      <c r="TB29">
        <v>0</v>
      </c>
      <c r="TC29">
        <v>24.855974246636301</v>
      </c>
      <c r="TD29">
        <v>0</v>
      </c>
      <c r="TE29">
        <v>0</v>
      </c>
      <c r="TF29">
        <v>0</v>
      </c>
      <c r="TG29">
        <v>0</v>
      </c>
      <c r="TH29">
        <v>0</v>
      </c>
      <c r="TI29">
        <v>25.017151271288299</v>
      </c>
      <c r="TJ29">
        <v>0</v>
      </c>
      <c r="TK29">
        <v>0</v>
      </c>
      <c r="TL29">
        <v>0</v>
      </c>
      <c r="TM29">
        <v>0</v>
      </c>
      <c r="TN29">
        <v>0</v>
      </c>
      <c r="TO29">
        <v>24.955596146763401</v>
      </c>
      <c r="TP29">
        <v>0</v>
      </c>
      <c r="TQ29">
        <v>0</v>
      </c>
      <c r="TR29">
        <v>0</v>
      </c>
      <c r="TS29">
        <v>0</v>
      </c>
      <c r="TT29">
        <v>0</v>
      </c>
      <c r="TU29">
        <v>27.2675394613576</v>
      </c>
      <c r="TV29">
        <v>-901.077603791407</v>
      </c>
      <c r="TW29">
        <v>-13452.1931292225</v>
      </c>
      <c r="TX29">
        <v>-901.077603791407</v>
      </c>
      <c r="TY29">
        <v>0</v>
      </c>
      <c r="TZ29">
        <v>0</v>
      </c>
      <c r="UA29">
        <v>27.2942714449565</v>
      </c>
      <c r="UB29">
        <v>-597.99982808456502</v>
      </c>
      <c r="UC29">
        <v>-8580.7075389392194</v>
      </c>
      <c r="UD29">
        <v>-597.99982808456502</v>
      </c>
      <c r="UE29">
        <v>0</v>
      </c>
      <c r="UF29">
        <v>0</v>
      </c>
      <c r="UG29">
        <v>27.332341174624801</v>
      </c>
      <c r="UH29">
        <v>-998.63434104702696</v>
      </c>
      <c r="UI29">
        <v>-13547.0993039732</v>
      </c>
      <c r="UJ29">
        <v>-998.63434104702696</v>
      </c>
      <c r="UK29">
        <v>0</v>
      </c>
      <c r="UL29">
        <v>0</v>
      </c>
      <c r="UM29">
        <v>27.421793605022302</v>
      </c>
      <c r="UN29">
        <v>-718.18727879014398</v>
      </c>
      <c r="UO29">
        <v>-8697.5375949932804</v>
      </c>
      <c r="UP29">
        <v>-718.18727879014398</v>
      </c>
      <c r="UQ29">
        <v>0</v>
      </c>
      <c r="UR29">
        <v>0</v>
      </c>
      <c r="US29">
        <v>29.547661892414101</v>
      </c>
      <c r="UT29">
        <v>-21776.243137639201</v>
      </c>
      <c r="UU29">
        <v>-63242.320874959398</v>
      </c>
      <c r="UV29">
        <v>-21776.243137639201</v>
      </c>
      <c r="UW29">
        <v>21.1111</v>
      </c>
      <c r="UX29">
        <v>26.666699999999999</v>
      </c>
      <c r="UY29">
        <v>0</v>
      </c>
      <c r="UZ29">
        <v>0</v>
      </c>
      <c r="VA29">
        <v>25.408208709148099</v>
      </c>
      <c r="VB29">
        <v>0</v>
      </c>
      <c r="VC29">
        <v>0</v>
      </c>
      <c r="VD29">
        <v>0</v>
      </c>
      <c r="VE29">
        <v>0</v>
      </c>
      <c r="VF29">
        <v>0</v>
      </c>
      <c r="VG29">
        <v>25.471169736294598</v>
      </c>
      <c r="VH29">
        <v>0</v>
      </c>
      <c r="VI29">
        <v>0</v>
      </c>
      <c r="VJ29">
        <v>0</v>
      </c>
      <c r="VK29">
        <v>0</v>
      </c>
      <c r="VL29">
        <v>0</v>
      </c>
      <c r="VM29">
        <v>25.434243457580401</v>
      </c>
      <c r="VN29">
        <v>0</v>
      </c>
      <c r="VO29">
        <v>0</v>
      </c>
      <c r="VP29">
        <v>0</v>
      </c>
      <c r="VQ29">
        <v>0</v>
      </c>
      <c r="VR29">
        <v>0</v>
      </c>
      <c r="VS29">
        <v>25.640050412375199</v>
      </c>
      <c r="VT29">
        <v>0</v>
      </c>
      <c r="VU29">
        <v>0</v>
      </c>
      <c r="VV29">
        <v>0</v>
      </c>
      <c r="VW29">
        <v>0</v>
      </c>
      <c r="VX29">
        <v>0</v>
      </c>
      <c r="VY29">
        <v>25.739150926996501</v>
      </c>
      <c r="VZ29">
        <v>0</v>
      </c>
      <c r="WA29">
        <v>0</v>
      </c>
      <c r="WB29">
        <v>0</v>
      </c>
      <c r="WC29">
        <v>0</v>
      </c>
      <c r="WD29">
        <v>0</v>
      </c>
      <c r="WE29">
        <v>27.250296709327099</v>
      </c>
      <c r="WF29">
        <v>-866.20178788953103</v>
      </c>
      <c r="WG29">
        <v>-13462.696715107901</v>
      </c>
      <c r="WH29">
        <v>-866.20178788953103</v>
      </c>
      <c r="WI29">
        <v>0</v>
      </c>
      <c r="WJ29">
        <v>0</v>
      </c>
      <c r="WK29">
        <v>0</v>
      </c>
      <c r="WL29">
        <v>27.245075946091099</v>
      </c>
      <c r="WM29">
        <v>-545.01604670214101</v>
      </c>
      <c r="WN29">
        <v>-8558.8983805944499</v>
      </c>
      <c r="WO29">
        <v>-545.01604670214101</v>
      </c>
      <c r="WP29">
        <v>18.333300000000001</v>
      </c>
      <c r="WQ29">
        <v>26.666699999999999</v>
      </c>
      <c r="WR29">
        <v>0</v>
      </c>
      <c r="WS29">
        <v>0</v>
      </c>
      <c r="WT29">
        <v>27.314944991009099</v>
      </c>
      <c r="WU29">
        <v>-964.13359846981302</v>
      </c>
      <c r="WV29">
        <v>-13558.0264282729</v>
      </c>
      <c r="WW29">
        <v>-964.13359846981302</v>
      </c>
      <c r="WX29">
        <v>0</v>
      </c>
      <c r="WY29">
        <v>0</v>
      </c>
      <c r="WZ29">
        <v>0</v>
      </c>
      <c r="XA29">
        <v>27.3661497288834</v>
      </c>
      <c r="XB29">
        <v>-659.51446693630896</v>
      </c>
      <c r="XC29">
        <v>-8670.1766913315005</v>
      </c>
      <c r="XD29">
        <v>-659.51446693630896</v>
      </c>
      <c r="XE29">
        <v>0</v>
      </c>
      <c r="XF29">
        <v>0</v>
      </c>
      <c r="XG29">
        <v>30.181040212652199</v>
      </c>
      <c r="XH29">
        <v>-26439.041172883699</v>
      </c>
      <c r="XI29">
        <v>-67804.292899821899</v>
      </c>
      <c r="XJ29">
        <v>-26439.041172883699</v>
      </c>
      <c r="XK29">
        <v>21.1111</v>
      </c>
      <c r="XL29">
        <v>26.666699999999999</v>
      </c>
      <c r="XM29">
        <v>0</v>
      </c>
      <c r="XN29">
        <v>0</v>
      </c>
      <c r="XO29">
        <v>24.3031330020697</v>
      </c>
      <c r="XP29">
        <v>0</v>
      </c>
      <c r="XQ29">
        <v>0</v>
      </c>
      <c r="XR29">
        <v>0</v>
      </c>
      <c r="XS29">
        <v>0</v>
      </c>
      <c r="XT29">
        <v>0</v>
      </c>
      <c r="XU29">
        <v>24.305770221513001</v>
      </c>
      <c r="XV29">
        <v>0</v>
      </c>
      <c r="XW29">
        <v>0</v>
      </c>
      <c r="XX29">
        <v>0</v>
      </c>
      <c r="XY29">
        <v>0</v>
      </c>
      <c r="XZ29">
        <v>0</v>
      </c>
      <c r="YA29">
        <v>24.344849305417199</v>
      </c>
      <c r="YB29">
        <v>0</v>
      </c>
      <c r="YC29">
        <v>0</v>
      </c>
      <c r="YD29">
        <v>0</v>
      </c>
      <c r="YE29">
        <v>0</v>
      </c>
      <c r="YF29">
        <v>0</v>
      </c>
      <c r="YG29">
        <v>24.425592369112501</v>
      </c>
      <c r="YH29">
        <v>0</v>
      </c>
      <c r="YI29">
        <v>0</v>
      </c>
      <c r="YJ29">
        <v>0</v>
      </c>
      <c r="YK29">
        <v>0</v>
      </c>
      <c r="YL29">
        <v>0</v>
      </c>
      <c r="YM29">
        <v>26.901153560729501</v>
      </c>
      <c r="YN29">
        <v>0</v>
      </c>
      <c r="YO29">
        <v>0</v>
      </c>
      <c r="YP29">
        <v>0</v>
      </c>
      <c r="YQ29">
        <v>0</v>
      </c>
      <c r="YR29">
        <v>0</v>
      </c>
      <c r="YS29">
        <v>21.162435802383801</v>
      </c>
      <c r="YT29">
        <v>0</v>
      </c>
      <c r="YU29">
        <v>0</v>
      </c>
      <c r="YV29">
        <v>0</v>
      </c>
      <c r="YW29">
        <v>0</v>
      </c>
      <c r="YX29">
        <v>0</v>
      </c>
      <c r="YY29">
        <v>21.208144163118</v>
      </c>
      <c r="YZ29">
        <v>0</v>
      </c>
      <c r="ZA29">
        <v>0</v>
      </c>
      <c r="ZB29">
        <v>0</v>
      </c>
      <c r="ZC29">
        <v>0</v>
      </c>
      <c r="ZD29">
        <v>0</v>
      </c>
      <c r="ZE29">
        <v>21.180178540399201</v>
      </c>
      <c r="ZF29">
        <v>0</v>
      </c>
      <c r="ZG29">
        <v>0</v>
      </c>
      <c r="ZH29">
        <v>0</v>
      </c>
      <c r="ZI29">
        <v>0</v>
      </c>
      <c r="ZJ29">
        <v>0</v>
      </c>
      <c r="ZK29">
        <v>21.271744825418601</v>
      </c>
      <c r="ZL29">
        <v>0</v>
      </c>
      <c r="ZM29">
        <v>0</v>
      </c>
      <c r="ZN29">
        <v>0</v>
      </c>
      <c r="ZO29">
        <v>0</v>
      </c>
      <c r="ZP29">
        <v>0</v>
      </c>
      <c r="ZQ29">
        <v>21.315583345203201</v>
      </c>
      <c r="ZR29">
        <v>0</v>
      </c>
      <c r="ZS29">
        <v>0</v>
      </c>
      <c r="ZT29">
        <v>0</v>
      </c>
      <c r="ZU29">
        <v>0</v>
      </c>
      <c r="ZV29">
        <v>0</v>
      </c>
      <c r="ZW29">
        <v>25.148789905248599</v>
      </c>
      <c r="ZX29">
        <v>0</v>
      </c>
      <c r="ZY29">
        <v>0</v>
      </c>
      <c r="ZZ29">
        <v>0</v>
      </c>
      <c r="AAA29">
        <v>0</v>
      </c>
      <c r="AAB29">
        <v>0</v>
      </c>
      <c r="AAC29">
        <v>25.229508933149301</v>
      </c>
      <c r="AAD29">
        <v>0</v>
      </c>
      <c r="AAE29">
        <v>0</v>
      </c>
      <c r="AAF29">
        <v>0</v>
      </c>
      <c r="AAG29">
        <v>0</v>
      </c>
      <c r="AAH29">
        <v>0</v>
      </c>
      <c r="AAI29">
        <v>25.170968730130799</v>
      </c>
      <c r="AAJ29">
        <v>0</v>
      </c>
      <c r="AAK29">
        <v>0</v>
      </c>
      <c r="AAL29">
        <v>0</v>
      </c>
      <c r="AAM29">
        <v>0</v>
      </c>
      <c r="AAN29">
        <v>0</v>
      </c>
      <c r="AAO29">
        <v>25.4032946184258</v>
      </c>
      <c r="AAP29">
        <v>0</v>
      </c>
      <c r="AAQ29">
        <v>0</v>
      </c>
      <c r="AAR29">
        <v>0</v>
      </c>
      <c r="AAS29">
        <v>0</v>
      </c>
      <c r="AAT29">
        <v>0</v>
      </c>
      <c r="AAU29">
        <v>24.9853673996111</v>
      </c>
      <c r="AAV29">
        <v>0</v>
      </c>
      <c r="AAW29">
        <v>0</v>
      </c>
      <c r="AAX29">
        <v>0</v>
      </c>
      <c r="AAY29">
        <v>0</v>
      </c>
      <c r="AAZ29">
        <v>0</v>
      </c>
      <c r="ABA29">
        <v>25.280303105705698</v>
      </c>
      <c r="ABB29">
        <v>0</v>
      </c>
      <c r="ABC29">
        <v>0</v>
      </c>
      <c r="ABD29">
        <v>0</v>
      </c>
      <c r="ABE29">
        <v>0</v>
      </c>
      <c r="ABF29">
        <v>0</v>
      </c>
      <c r="ABG29">
        <v>25.351977846199802</v>
      </c>
      <c r="ABH29">
        <v>0</v>
      </c>
      <c r="ABI29">
        <v>0</v>
      </c>
      <c r="ABJ29">
        <v>0</v>
      </c>
      <c r="ABK29">
        <v>0</v>
      </c>
      <c r="ABL29">
        <v>0</v>
      </c>
      <c r="ABM29">
        <v>25.299522187290101</v>
      </c>
      <c r="ABN29">
        <v>0</v>
      </c>
      <c r="ABO29">
        <v>0</v>
      </c>
      <c r="ABP29">
        <v>0</v>
      </c>
      <c r="ABQ29">
        <v>0</v>
      </c>
      <c r="ABR29">
        <v>0</v>
      </c>
      <c r="ABS29">
        <v>25.539496285666701</v>
      </c>
      <c r="ABT29">
        <v>0</v>
      </c>
      <c r="ABU29">
        <v>0</v>
      </c>
      <c r="ABV29">
        <v>0</v>
      </c>
      <c r="ABW29">
        <v>0</v>
      </c>
      <c r="ABX29">
        <v>0</v>
      </c>
      <c r="ABY29">
        <v>25.3885481061</v>
      </c>
      <c r="ABZ29">
        <v>0</v>
      </c>
      <c r="ACA29">
        <v>0</v>
      </c>
      <c r="ACB29">
        <v>0</v>
      </c>
      <c r="ACC29">
        <v>0</v>
      </c>
      <c r="ACD29">
        <v>0</v>
      </c>
      <c r="ACE29">
        <v>0</v>
      </c>
      <c r="ACF29">
        <v>7.4572007059970504</v>
      </c>
      <c r="ACG29">
        <v>7.4572007059970504</v>
      </c>
      <c r="ACH29">
        <v>0</v>
      </c>
      <c r="ACI29">
        <v>0</v>
      </c>
      <c r="ACJ29">
        <v>0</v>
      </c>
      <c r="ACK29">
        <v>21.375950174090502</v>
      </c>
      <c r="ACL29">
        <v>21.375950174090502</v>
      </c>
      <c r="ACM29">
        <v>0</v>
      </c>
      <c r="ACN29">
        <v>105390.341415922</v>
      </c>
      <c r="ACP29">
        <v>0</v>
      </c>
      <c r="ACR29">
        <v>105390.341415922</v>
      </c>
      <c r="ACT29">
        <v>28.076656987264698</v>
      </c>
      <c r="ACU29">
        <v>28.076656987264698</v>
      </c>
      <c r="ACV29">
        <v>0</v>
      </c>
      <c r="ACW29">
        <v>0</v>
      </c>
      <c r="ACX29">
        <v>1</v>
      </c>
      <c r="ACY29">
        <v>29.5475980417445</v>
      </c>
      <c r="ACZ29">
        <v>29.5475980417445</v>
      </c>
      <c r="ADA29">
        <v>0</v>
      </c>
      <c r="ADB29">
        <v>0</v>
      </c>
      <c r="ADC29">
        <v>1</v>
      </c>
      <c r="ADD29">
        <v>30.180845012953199</v>
      </c>
      <c r="ADE29">
        <v>30.180845012953199</v>
      </c>
      <c r="ADF29">
        <v>0</v>
      </c>
      <c r="ADG29">
        <v>0</v>
      </c>
      <c r="ADH29">
        <v>1</v>
      </c>
      <c r="ADI29">
        <v>26.5559093827335</v>
      </c>
      <c r="ADJ29">
        <v>26.5559093827335</v>
      </c>
      <c r="ADK29">
        <v>0</v>
      </c>
      <c r="ADL29">
        <v>0</v>
      </c>
      <c r="ADM29">
        <v>1</v>
      </c>
      <c r="ADN29">
        <v>26.5855857802778</v>
      </c>
      <c r="ADO29">
        <v>26.5855857802778</v>
      </c>
      <c r="ADP29">
        <v>0</v>
      </c>
      <c r="ADQ29">
        <v>0</v>
      </c>
      <c r="ADR29">
        <v>1</v>
      </c>
      <c r="ADS29">
        <v>26.6292747811287</v>
      </c>
      <c r="ADT29">
        <v>26.6292747811287</v>
      </c>
      <c r="ADU29">
        <v>0</v>
      </c>
      <c r="ADV29">
        <v>0</v>
      </c>
      <c r="ADW29">
        <v>1</v>
      </c>
      <c r="ADX29">
        <v>26.700473451245202</v>
      </c>
      <c r="ADY29">
        <v>26.700473451245202</v>
      </c>
      <c r="ADZ29">
        <v>0</v>
      </c>
      <c r="AEA29">
        <v>0</v>
      </c>
      <c r="AEB29">
        <v>1</v>
      </c>
      <c r="AEC29">
        <v>27.675057825535301</v>
      </c>
      <c r="AED29">
        <v>27.675057825535301</v>
      </c>
      <c r="AEE29">
        <v>0</v>
      </c>
      <c r="AEF29">
        <v>0</v>
      </c>
      <c r="AEG29">
        <v>1</v>
      </c>
      <c r="AEH29">
        <v>27.708640444049401</v>
      </c>
      <c r="AEI29">
        <v>27.708640444049401</v>
      </c>
      <c r="AEJ29">
        <v>0</v>
      </c>
      <c r="AEK29">
        <v>0</v>
      </c>
      <c r="AEL29">
        <v>1</v>
      </c>
      <c r="AEM29">
        <v>27.736574375226599</v>
      </c>
      <c r="AEN29">
        <v>27.736574375226599</v>
      </c>
      <c r="AEO29">
        <v>0</v>
      </c>
      <c r="AEP29">
        <v>0</v>
      </c>
      <c r="AEQ29">
        <v>1</v>
      </c>
      <c r="AER29">
        <v>27.844780900532498</v>
      </c>
      <c r="AES29">
        <v>27.844780900532498</v>
      </c>
      <c r="AET29">
        <v>0</v>
      </c>
      <c r="AEU29">
        <v>0</v>
      </c>
      <c r="AEV29">
        <v>1</v>
      </c>
      <c r="AEW29">
        <v>27.651089780222101</v>
      </c>
      <c r="AEX29">
        <v>27.651089780222101</v>
      </c>
      <c r="AEY29">
        <v>0</v>
      </c>
      <c r="AEZ29">
        <v>0</v>
      </c>
      <c r="AFA29">
        <v>1</v>
      </c>
      <c r="AFB29">
        <v>27.6538576880302</v>
      </c>
      <c r="AFC29">
        <v>27.6538576880302</v>
      </c>
      <c r="AFD29">
        <v>0</v>
      </c>
      <c r="AFE29">
        <v>0</v>
      </c>
      <c r="AFF29">
        <v>1</v>
      </c>
      <c r="AFG29">
        <v>27.712351386862601</v>
      </c>
      <c r="AFH29">
        <v>27.712351386862601</v>
      </c>
      <c r="AFI29">
        <v>0</v>
      </c>
      <c r="AFJ29">
        <v>0</v>
      </c>
      <c r="AFK29">
        <v>1</v>
      </c>
      <c r="AFL29">
        <v>27.7814812766171</v>
      </c>
      <c r="AFM29">
        <v>27.7814812766171</v>
      </c>
      <c r="AFN29">
        <v>0</v>
      </c>
      <c r="AFO29">
        <v>0</v>
      </c>
      <c r="AFP29">
        <v>1</v>
      </c>
      <c r="AFQ29">
        <v>0.158866163712549</v>
      </c>
      <c r="AFR29">
        <v>0.139573872514789</v>
      </c>
      <c r="AFS29">
        <v>0.18271490690887601</v>
      </c>
      <c r="AFT29">
        <v>0.15090251316355699</v>
      </c>
      <c r="AFU29">
        <v>0.50106288971192403</v>
      </c>
      <c r="AFV29">
        <v>0.48407917900774</v>
      </c>
      <c r="AFW29">
        <v>0.53887460285220701</v>
      </c>
      <c r="AFX29">
        <v>0.49777007371531501</v>
      </c>
      <c r="AFY29">
        <v>0.49872868207134802</v>
      </c>
      <c r="AFZ29">
        <v>0.48171444002464697</v>
      </c>
      <c r="AGA29">
        <v>0.52526134207619302</v>
      </c>
      <c r="AGB29">
        <v>0.48655219673511801</v>
      </c>
      <c r="AGC29">
        <v>0.48943708630090499</v>
      </c>
      <c r="AGD29">
        <v>0.93331365458042403</v>
      </c>
      <c r="AGE29">
        <v>1.12644020512221</v>
      </c>
      <c r="AGF29">
        <v>0</v>
      </c>
      <c r="AGG29">
        <v>0</v>
      </c>
      <c r="AGH29">
        <v>0</v>
      </c>
      <c r="AGI29">
        <v>0</v>
      </c>
      <c r="AGJ29">
        <v>0</v>
      </c>
      <c r="AGK29">
        <v>0</v>
      </c>
      <c r="AGL29">
        <v>0</v>
      </c>
      <c r="AGM29">
        <v>0</v>
      </c>
      <c r="AGN29">
        <v>0</v>
      </c>
      <c r="AGO29">
        <v>0</v>
      </c>
      <c r="AGP29">
        <v>0</v>
      </c>
      <c r="AGQ29">
        <v>0</v>
      </c>
      <c r="AGR29">
        <v>0</v>
      </c>
      <c r="AGS29">
        <v>0</v>
      </c>
      <c r="AGT29">
        <v>0</v>
      </c>
      <c r="AGU29">
        <v>0</v>
      </c>
      <c r="AGV29">
        <v>0</v>
      </c>
      <c r="AGW29">
        <v>0</v>
      </c>
      <c r="AGX29">
        <v>0</v>
      </c>
      <c r="AGY29">
        <v>0</v>
      </c>
      <c r="AGZ29">
        <v>0</v>
      </c>
      <c r="AHA29">
        <v>0</v>
      </c>
      <c r="AHB29">
        <v>0</v>
      </c>
      <c r="AHC29">
        <v>0</v>
      </c>
      <c r="AHD29">
        <v>0</v>
      </c>
      <c r="AHE29">
        <v>0</v>
      </c>
      <c r="AHF29">
        <v>0</v>
      </c>
      <c r="AHG29">
        <v>0</v>
      </c>
      <c r="AHH29">
        <v>0</v>
      </c>
      <c r="AHI29">
        <v>0</v>
      </c>
      <c r="AHJ29">
        <v>0</v>
      </c>
      <c r="AHK29">
        <v>0</v>
      </c>
      <c r="AHL29">
        <v>0</v>
      </c>
      <c r="AHM29">
        <v>0</v>
      </c>
      <c r="AHN29">
        <v>0</v>
      </c>
      <c r="AHO29">
        <v>0</v>
      </c>
      <c r="AHP29">
        <v>0</v>
      </c>
      <c r="AHQ29">
        <v>0</v>
      </c>
      <c r="AHR29">
        <v>0</v>
      </c>
      <c r="AHS29">
        <v>0</v>
      </c>
      <c r="AHT29">
        <v>0</v>
      </c>
      <c r="AHU29">
        <v>0</v>
      </c>
      <c r="AHV29">
        <v>0</v>
      </c>
      <c r="AHW29">
        <v>0</v>
      </c>
      <c r="AHX29">
        <v>0</v>
      </c>
      <c r="AHZ29">
        <v>0</v>
      </c>
      <c r="AIB29">
        <v>0</v>
      </c>
      <c r="AID29">
        <v>0</v>
      </c>
      <c r="AIF29">
        <v>0</v>
      </c>
      <c r="AIH29">
        <v>0</v>
      </c>
      <c r="AIJ29">
        <v>0</v>
      </c>
      <c r="AIL29">
        <v>0</v>
      </c>
      <c r="AIN29">
        <v>0</v>
      </c>
      <c r="AIP29">
        <v>0</v>
      </c>
      <c r="AIR29">
        <v>0</v>
      </c>
      <c r="AIT29">
        <v>0</v>
      </c>
      <c r="AIV29">
        <v>0</v>
      </c>
      <c r="AIX29">
        <v>0</v>
      </c>
      <c r="AIZ29">
        <v>0</v>
      </c>
      <c r="AJB29">
        <v>0</v>
      </c>
      <c r="AJC29">
        <v>0</v>
      </c>
      <c r="AJE29">
        <v>0</v>
      </c>
      <c r="AJH29">
        <v>0</v>
      </c>
      <c r="AJJ29">
        <v>0</v>
      </c>
      <c r="AJK29">
        <v>0</v>
      </c>
      <c r="AJL29">
        <v>0</v>
      </c>
      <c r="AJM29">
        <v>0</v>
      </c>
      <c r="AJN29">
        <v>0</v>
      </c>
      <c r="AJO29">
        <v>0</v>
      </c>
      <c r="AJP29">
        <v>0</v>
      </c>
      <c r="AJQ29">
        <v>0</v>
      </c>
      <c r="AJR29">
        <v>0</v>
      </c>
      <c r="AJS29">
        <v>0</v>
      </c>
      <c r="AJT29">
        <v>0</v>
      </c>
      <c r="AJU29">
        <v>0</v>
      </c>
      <c r="AJV29">
        <v>0</v>
      </c>
      <c r="AJW29">
        <v>0</v>
      </c>
      <c r="AJX29">
        <v>0</v>
      </c>
      <c r="AJY29">
        <v>0</v>
      </c>
      <c r="AJZ29">
        <v>0</v>
      </c>
      <c r="AKA29">
        <v>0</v>
      </c>
      <c r="AKB29">
        <v>0</v>
      </c>
      <c r="AKC29">
        <v>0</v>
      </c>
      <c r="AKD29">
        <v>0</v>
      </c>
      <c r="AKE29">
        <v>65.56</v>
      </c>
      <c r="AKF29">
        <v>65.56</v>
      </c>
      <c r="AKG29">
        <v>0</v>
      </c>
      <c r="AKH29">
        <v>0</v>
      </c>
      <c r="AKI29">
        <v>0</v>
      </c>
      <c r="AKJ29">
        <v>0</v>
      </c>
      <c r="AKK29">
        <v>0</v>
      </c>
      <c r="AKL29">
        <v>65.56</v>
      </c>
      <c r="AKM29">
        <v>65.56</v>
      </c>
      <c r="AKN29">
        <v>0</v>
      </c>
      <c r="AKO29">
        <v>0</v>
      </c>
      <c r="AKP29">
        <v>0</v>
      </c>
      <c r="AKT29">
        <v>0</v>
      </c>
      <c r="AKX29">
        <v>0</v>
      </c>
      <c r="ALB29">
        <v>21.375950174090502</v>
      </c>
      <c r="ALC29">
        <v>21.375950174090502</v>
      </c>
      <c r="ALD29">
        <v>0</v>
      </c>
      <c r="ALE29">
        <v>0</v>
      </c>
      <c r="ALF29">
        <v>0</v>
      </c>
      <c r="ALH29">
        <v>24.922784843669699</v>
      </c>
      <c r="ALI29">
        <v>9.8519433656399698E-3</v>
      </c>
      <c r="ALJ29">
        <v>0</v>
      </c>
      <c r="ALK29">
        <v>24.922784843669699</v>
      </c>
      <c r="ALL29">
        <v>0</v>
      </c>
      <c r="ALM29">
        <v>0</v>
      </c>
      <c r="ALN29">
        <v>24.922784843669699</v>
      </c>
      <c r="ALO29">
        <v>9.8519433656399698E-3</v>
      </c>
      <c r="ALP29">
        <v>50.052831348846098</v>
      </c>
      <c r="ALQ29">
        <v>0</v>
      </c>
      <c r="ALR29">
        <v>24.922784843669699</v>
      </c>
      <c r="ALS29">
        <v>0</v>
      </c>
      <c r="ALT29">
        <v>24.922784843669699</v>
      </c>
      <c r="ALU29">
        <v>0</v>
      </c>
      <c r="ALV29">
        <v>7.4572007059970504</v>
      </c>
      <c r="ALW29">
        <v>9.9999999999999897E-12</v>
      </c>
      <c r="ALX29">
        <v>7.4572007059970504</v>
      </c>
      <c r="ALY29">
        <v>9.9999999999999897E-12</v>
      </c>
      <c r="ALZ29">
        <v>0</v>
      </c>
      <c r="AMA29">
        <v>7.4572007059970504</v>
      </c>
      <c r="AMB29">
        <v>0</v>
      </c>
      <c r="AMC29">
        <v>7.4572007059970504</v>
      </c>
      <c r="AMD29">
        <v>0</v>
      </c>
      <c r="AME29">
        <v>7.4572007059970504</v>
      </c>
      <c r="AMF29">
        <v>0</v>
      </c>
      <c r="AMG29">
        <v>0</v>
      </c>
      <c r="AMH29">
        <v>0</v>
      </c>
      <c r="AMI29">
        <v>21.272855355882601</v>
      </c>
      <c r="AMJ29">
        <v>0</v>
      </c>
      <c r="AMK29" s="580">
        <v>21.2964097271445</v>
      </c>
      <c r="AML29">
        <v>0</v>
      </c>
      <c r="AMM29">
        <v>21.2076912364269</v>
      </c>
      <c r="AMN29">
        <v>0</v>
      </c>
      <c r="AMO29">
        <v>21.161994794001501</v>
      </c>
      <c r="AMP29">
        <v>0</v>
      </c>
      <c r="AMQ29">
        <v>21.1788275006449</v>
      </c>
      <c r="AMR29">
        <v>0</v>
      </c>
      <c r="AMS29">
        <v>24.918635841791499</v>
      </c>
      <c r="AMT29">
        <v>0</v>
      </c>
      <c r="AMU29">
        <v>25.2002503635245</v>
      </c>
      <c r="AMV29">
        <v>0</v>
      </c>
      <c r="AMW29">
        <v>25.375312441356002</v>
      </c>
      <c r="AMX29">
        <v>0</v>
      </c>
      <c r="AMY29">
        <v>25.118706714684599</v>
      </c>
      <c r="AMZ29">
        <v>0</v>
      </c>
      <c r="ANA29">
        <v>25.139560004852701</v>
      </c>
      <c r="ANB29">
        <v>0</v>
      </c>
      <c r="ANC29">
        <v>25.313649025030202</v>
      </c>
      <c r="AND29">
        <v>0</v>
      </c>
      <c r="ANE29">
        <v>25.322721314283999</v>
      </c>
      <c r="ANF29">
        <v>0</v>
      </c>
      <c r="ANG29">
        <v>25.5120794098539</v>
      </c>
      <c r="ANH29">
        <v>0</v>
      </c>
      <c r="ANI29">
        <v>25.250036648853101</v>
      </c>
      <c r="ANJ29">
        <v>0</v>
      </c>
      <c r="ANK29">
        <v>25.267755698662398</v>
      </c>
      <c r="ANL29">
        <v>0</v>
      </c>
      <c r="ANM29">
        <v>0</v>
      </c>
      <c r="ANN29">
        <v>0</v>
      </c>
      <c r="ANO29">
        <v>0</v>
      </c>
      <c r="ANP29">
        <v>21.2964097271445</v>
      </c>
      <c r="ANQ29">
        <v>21.2076912364269</v>
      </c>
      <c r="ANR29">
        <v>21.272855355882601</v>
      </c>
      <c r="ANS29">
        <v>21.1788275006449</v>
      </c>
      <c r="ANT29">
        <v>21.161994794001501</v>
      </c>
      <c r="ANU29">
        <v>24.918635841791499</v>
      </c>
      <c r="ANV29">
        <v>25.2002503635245</v>
      </c>
      <c r="ANW29">
        <v>25.375312441356002</v>
      </c>
      <c r="ANX29">
        <v>25.139560004852701</v>
      </c>
      <c r="ANY29">
        <v>25.118706714684599</v>
      </c>
      <c r="ANZ29">
        <v>25.313649025030202</v>
      </c>
      <c r="AOA29">
        <v>25.322721314283999</v>
      </c>
      <c r="AOB29">
        <v>25.5120794098539</v>
      </c>
      <c r="AOC29">
        <v>25.267755698662398</v>
      </c>
      <c r="AOD29">
        <v>25.250036648853101</v>
      </c>
      <c r="AOE29">
        <v>24.922784843669699</v>
      </c>
      <c r="AOF29">
        <v>0</v>
      </c>
      <c r="AOG29">
        <v>24.890563099639401</v>
      </c>
      <c r="AOH29">
        <v>0</v>
      </c>
    </row>
    <row r="30" spans="1:1074">
      <c r="A30" t="s">
        <v>2600</v>
      </c>
      <c r="B30">
        <v>18.485800000000001</v>
      </c>
      <c r="D30">
        <v>14.6773561035782</v>
      </c>
      <c r="F30">
        <v>9</v>
      </c>
      <c r="G30">
        <v>6988958.1450714003</v>
      </c>
      <c r="H30">
        <v>15006965.342177801</v>
      </c>
      <c r="I30">
        <v>4438405.1063184803</v>
      </c>
      <c r="J30">
        <v>9530317.7129537892</v>
      </c>
      <c r="K30">
        <v>6988958.1450714003</v>
      </c>
      <c r="L30">
        <v>15006965.342177801</v>
      </c>
      <c r="M30">
        <v>4438405.1063184803</v>
      </c>
      <c r="N30">
        <v>9530317.7129538003</v>
      </c>
      <c r="O30">
        <v>36043418.585661501</v>
      </c>
      <c r="P30">
        <v>77393843.588843703</v>
      </c>
      <c r="Q30">
        <v>6988958.1450714003</v>
      </c>
      <c r="R30">
        <v>15006965.342177801</v>
      </c>
      <c r="S30">
        <v>4438405.1063184803</v>
      </c>
      <c r="T30">
        <v>9530317.7129537892</v>
      </c>
      <c r="U30">
        <v>6988958.1450714003</v>
      </c>
      <c r="V30">
        <v>15006965.342177801</v>
      </c>
      <c r="W30">
        <v>4438405.1063184803</v>
      </c>
      <c r="X30">
        <v>9530317.7129538003</v>
      </c>
      <c r="Y30">
        <v>36043418.585661501</v>
      </c>
      <c r="Z30">
        <v>77393843.588843703</v>
      </c>
      <c r="AA30">
        <v>6988958.1450714003</v>
      </c>
      <c r="AB30">
        <v>15006965.342177801</v>
      </c>
      <c r="AC30">
        <v>4438405.1063184803</v>
      </c>
      <c r="AD30">
        <v>9530317.7129537892</v>
      </c>
      <c r="AE30">
        <v>6988958.1450714003</v>
      </c>
      <c r="AF30">
        <v>15006965.342177801</v>
      </c>
      <c r="AG30">
        <v>4438405.1063184803</v>
      </c>
      <c r="AH30">
        <v>9530317.7129538003</v>
      </c>
      <c r="AI30">
        <v>36043418.585661501</v>
      </c>
      <c r="AJ30">
        <v>77393843.588843703</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0</v>
      </c>
      <c r="BM30">
        <v>0</v>
      </c>
      <c r="BN30">
        <v>0</v>
      </c>
      <c r="BO30">
        <v>0</v>
      </c>
      <c r="BP30">
        <v>0</v>
      </c>
      <c r="BQ30">
        <v>0</v>
      </c>
      <c r="BR30">
        <v>0</v>
      </c>
      <c r="BS30">
        <v>0</v>
      </c>
      <c r="BT30">
        <v>0</v>
      </c>
      <c r="BU30">
        <v>0</v>
      </c>
      <c r="BV30">
        <v>0</v>
      </c>
      <c r="BW30">
        <v>0</v>
      </c>
      <c r="BX30">
        <v>0</v>
      </c>
      <c r="BY30">
        <v>0</v>
      </c>
      <c r="BZ30">
        <v>0</v>
      </c>
      <c r="CA30">
        <v>0</v>
      </c>
      <c r="CB30">
        <v>0</v>
      </c>
      <c r="CC30">
        <v>0</v>
      </c>
      <c r="CD30">
        <v>0</v>
      </c>
      <c r="CE30">
        <v>3773179.8574618599</v>
      </c>
      <c r="CF30">
        <v>8575408.7669587694</v>
      </c>
      <c r="CG30">
        <v>3773179.8574618599</v>
      </c>
      <c r="CH30">
        <v>8575408.7669587694</v>
      </c>
      <c r="CI30">
        <v>2396194.1678283801</v>
      </c>
      <c r="CJ30">
        <v>5445895.8359735999</v>
      </c>
      <c r="CK30">
        <v>2396194.1678283801</v>
      </c>
      <c r="CL30">
        <v>5445895.8359735999</v>
      </c>
      <c r="CM30">
        <v>3773179.8574618599</v>
      </c>
      <c r="CN30">
        <v>8575408.7669587694</v>
      </c>
      <c r="CO30">
        <v>3773179.8574618599</v>
      </c>
      <c r="CP30">
        <v>8575408.7669587694</v>
      </c>
      <c r="CQ30">
        <v>2396194.1678283801</v>
      </c>
      <c r="CR30">
        <v>5445895.8359735999</v>
      </c>
      <c r="CS30">
        <v>2396194.1678283801</v>
      </c>
      <c r="CT30">
        <v>5445895.8359735999</v>
      </c>
      <c r="CU30">
        <v>3773179.8574618599</v>
      </c>
      <c r="CV30">
        <v>8575408.7669587694</v>
      </c>
      <c r="CW30">
        <v>3773179.8574618599</v>
      </c>
      <c r="CX30">
        <v>8575408.7669587694</v>
      </c>
      <c r="CY30">
        <v>2396194.1678283801</v>
      </c>
      <c r="CZ30">
        <v>5445895.8359735999</v>
      </c>
      <c r="DA30">
        <v>2396194.1678283801</v>
      </c>
      <c r="DB30">
        <v>5445895.8359735999</v>
      </c>
      <c r="DC30">
        <v>19459023.5309093</v>
      </c>
      <c r="DD30">
        <v>44225053.479339302</v>
      </c>
      <c r="DE30">
        <v>19459023.5309093</v>
      </c>
      <c r="DF30">
        <v>44225053.479339302</v>
      </c>
      <c r="DG30">
        <v>19459023.5309093</v>
      </c>
      <c r="DH30">
        <v>44225053.479339302</v>
      </c>
      <c r="DI30">
        <v>3215778.2876095399</v>
      </c>
      <c r="DJ30">
        <v>6431556.5752190799</v>
      </c>
      <c r="DK30">
        <v>3215778.2876095399</v>
      </c>
      <c r="DL30">
        <v>6431556.5752190799</v>
      </c>
      <c r="DM30">
        <v>2042210.9384901</v>
      </c>
      <c r="DN30">
        <v>4084421.8769801999</v>
      </c>
      <c r="DO30">
        <v>2042210.9384901</v>
      </c>
      <c r="DP30">
        <v>4084421.8769801999</v>
      </c>
      <c r="DQ30">
        <v>3215778.2876095399</v>
      </c>
      <c r="DR30">
        <v>6431556.5752190799</v>
      </c>
      <c r="DS30">
        <v>3215778.2876095399</v>
      </c>
      <c r="DT30">
        <v>6431556.5752190799</v>
      </c>
      <c r="DU30">
        <v>2042210.9384901</v>
      </c>
      <c r="DV30">
        <v>4084421.8769801999</v>
      </c>
      <c r="DW30">
        <v>2042210.9384901</v>
      </c>
      <c r="DX30">
        <v>4084421.8769801999</v>
      </c>
      <c r="DY30">
        <v>3215778.2876095399</v>
      </c>
      <c r="DZ30">
        <v>6431556.5752190799</v>
      </c>
      <c r="EA30">
        <v>3215778.2876095399</v>
      </c>
      <c r="EB30">
        <v>6431556.5752190799</v>
      </c>
      <c r="EC30">
        <v>2042210.9384901</v>
      </c>
      <c r="ED30">
        <v>4084421.8769801999</v>
      </c>
      <c r="EE30">
        <v>2042210.9384901</v>
      </c>
      <c r="EF30">
        <v>4084421.8769801999</v>
      </c>
      <c r="EG30">
        <v>16584395.054752201</v>
      </c>
      <c r="EH30">
        <v>33168790.109504402</v>
      </c>
      <c r="EI30">
        <v>16584395.054752201</v>
      </c>
      <c r="EJ30">
        <v>33168790.109504402</v>
      </c>
      <c r="EK30">
        <v>16584395.054752201</v>
      </c>
      <c r="EL30">
        <v>33168790.109504402</v>
      </c>
      <c r="EM30">
        <v>0</v>
      </c>
      <c r="EN30">
        <v>0</v>
      </c>
      <c r="EO30">
        <v>0</v>
      </c>
      <c r="EP30">
        <v>0</v>
      </c>
      <c r="EQ30">
        <v>0</v>
      </c>
      <c r="ER30">
        <v>0</v>
      </c>
      <c r="ES30">
        <v>0</v>
      </c>
      <c r="ET30">
        <v>0</v>
      </c>
      <c r="EU30">
        <v>0</v>
      </c>
      <c r="EV30">
        <v>0</v>
      </c>
      <c r="EW30">
        <v>0</v>
      </c>
      <c r="EX30">
        <v>0</v>
      </c>
      <c r="EY30">
        <v>0</v>
      </c>
      <c r="EZ30">
        <v>0</v>
      </c>
      <c r="FA30">
        <v>0</v>
      </c>
      <c r="FB30">
        <v>0</v>
      </c>
      <c r="FC30">
        <v>0</v>
      </c>
      <c r="FD30">
        <v>0</v>
      </c>
      <c r="FE30">
        <v>0</v>
      </c>
      <c r="FF30">
        <v>0</v>
      </c>
      <c r="FG30">
        <v>0</v>
      </c>
      <c r="FH30">
        <v>0</v>
      </c>
      <c r="FI30">
        <v>0</v>
      </c>
      <c r="FJ30">
        <v>0</v>
      </c>
      <c r="FK30">
        <v>0</v>
      </c>
      <c r="FL30">
        <v>0</v>
      </c>
      <c r="FM30">
        <v>0</v>
      </c>
      <c r="FN30">
        <v>0</v>
      </c>
      <c r="FO30">
        <v>0</v>
      </c>
      <c r="FP30">
        <v>0</v>
      </c>
      <c r="FQ30">
        <v>0</v>
      </c>
      <c r="FR30">
        <v>0</v>
      </c>
      <c r="FS30">
        <v>0</v>
      </c>
      <c r="FT30">
        <v>0</v>
      </c>
      <c r="FU30">
        <v>0</v>
      </c>
      <c r="FV30">
        <v>0</v>
      </c>
      <c r="FW30">
        <v>0</v>
      </c>
      <c r="FX30">
        <v>0</v>
      </c>
      <c r="FY30">
        <v>0</v>
      </c>
      <c r="FZ30">
        <v>0</v>
      </c>
      <c r="GA30">
        <v>0</v>
      </c>
      <c r="GB30">
        <v>-96.111799785714794</v>
      </c>
      <c r="GC30">
        <v>-343.90195906383201</v>
      </c>
      <c r="GD30">
        <v>-230.80768859391401</v>
      </c>
      <c r="GE30">
        <v>-60.4465995880349</v>
      </c>
      <c r="GF30">
        <v>-213.068119185645</v>
      </c>
      <c r="GG30">
        <v>-140.11200473179201</v>
      </c>
      <c r="GH30">
        <v>-93.384252113268005</v>
      </c>
      <c r="GI30">
        <v>-346.65837678388999</v>
      </c>
      <c r="GJ30">
        <v>-235.36299094293699</v>
      </c>
      <c r="GK30">
        <v>-59.131377614944697</v>
      </c>
      <c r="GL30">
        <v>-214.266375943225</v>
      </c>
      <c r="GM30">
        <v>-137.185522218606</v>
      </c>
      <c r="GN30">
        <v>-13.4290979572546</v>
      </c>
      <c r="GO30">
        <v>25.1663245860769</v>
      </c>
      <c r="GP30">
        <v>25.621314056259699</v>
      </c>
      <c r="GQ30">
        <v>84.267602492600105</v>
      </c>
      <c r="GR30">
        <v>2.8219468673327199</v>
      </c>
      <c r="GS30">
        <v>-244.77563390275</v>
      </c>
      <c r="GT30">
        <v>-8.7142143228258302</v>
      </c>
      <c r="GU30">
        <v>25.219613252978899</v>
      </c>
      <c r="GV30">
        <v>25.6645663940463</v>
      </c>
      <c r="GW30">
        <v>55.081400207459801</v>
      </c>
      <c r="GX30">
        <v>3.23455566389321</v>
      </c>
      <c r="GY30">
        <v>-136.31619702390401</v>
      </c>
      <c r="GZ30">
        <v>-13.4098177581689</v>
      </c>
      <c r="HA30">
        <v>25.2116422193928</v>
      </c>
      <c r="HB30">
        <v>25.693794137057701</v>
      </c>
      <c r="HC30">
        <v>86.955126683143007</v>
      </c>
      <c r="HD30">
        <v>1.78284959779373</v>
      </c>
      <c r="HE30">
        <v>-267.34934096940498</v>
      </c>
      <c r="HF30">
        <v>-8.1705297791734104</v>
      </c>
      <c r="HG30">
        <v>25.356791911989099</v>
      </c>
      <c r="HH30">
        <v>25.7823527882504</v>
      </c>
      <c r="HI30">
        <v>54.852058415367303</v>
      </c>
      <c r="HJ30">
        <v>4.6313013967068501</v>
      </c>
      <c r="HK30">
        <v>-116.67003932659</v>
      </c>
      <c r="HL30">
        <v>-69.930397020289206</v>
      </c>
      <c r="HM30">
        <v>27.715106441555601</v>
      </c>
      <c r="HN30">
        <v>28.235868445127402</v>
      </c>
      <c r="HO30">
        <v>6.8031643448080503</v>
      </c>
      <c r="HP30">
        <v>-133.349171767097</v>
      </c>
      <c r="HQ30">
        <v>26.798665754950399</v>
      </c>
      <c r="HR30">
        <v>-218.099729697405</v>
      </c>
      <c r="HS30">
        <v>-44.718239415231601</v>
      </c>
      <c r="HT30">
        <v>27.7649381001563</v>
      </c>
      <c r="HU30">
        <v>28.271454274331699</v>
      </c>
      <c r="HV30">
        <v>5.7899006857784299</v>
      </c>
      <c r="HW30">
        <v>-78.595678871260304</v>
      </c>
      <c r="HX30">
        <v>26.858128233973598</v>
      </c>
      <c r="HY30">
        <v>-129.025240737004</v>
      </c>
      <c r="HZ30">
        <v>27.751386855835801</v>
      </c>
      <c r="IA30">
        <v>28.2641367044675</v>
      </c>
      <c r="IB30">
        <v>3.0313413219107699</v>
      </c>
      <c r="IC30">
        <v>-70.128241906285993</v>
      </c>
      <c r="ID30">
        <v>-133.70674218797399</v>
      </c>
      <c r="IE30">
        <v>26.867980407500799</v>
      </c>
      <c r="IF30">
        <v>-219.04279884165601</v>
      </c>
      <c r="IG30">
        <v>-3.0859054968880701</v>
      </c>
      <c r="IH30">
        <v>27.857778827888499</v>
      </c>
      <c r="II30">
        <v>28.311134225484299</v>
      </c>
      <c r="IJ30">
        <v>2.7609498875789402</v>
      </c>
      <c r="IK30">
        <v>-3.4512107940505898</v>
      </c>
      <c r="IL30">
        <v>-43.561258036967402</v>
      </c>
      <c r="IM30">
        <v>-76.6566528139507</v>
      </c>
      <c r="IN30">
        <v>27.001981102763398</v>
      </c>
      <c r="IO30">
        <v>1.0995016525188199</v>
      </c>
      <c r="IP30">
        <v>-126.01350621746199</v>
      </c>
      <c r="IQ30">
        <v>-260.45822476487899</v>
      </c>
      <c r="IR30">
        <v>-150.42064471874701</v>
      </c>
      <c r="IS30">
        <v>-253.804420877734</v>
      </c>
      <c r="IT30">
        <v>-144.87696626859099</v>
      </c>
      <c r="IU30">
        <v>-3844.26244489898</v>
      </c>
      <c r="IV30">
        <v>-16.6812088774094</v>
      </c>
      <c r="IW30">
        <v>25.961842103880102</v>
      </c>
      <c r="IX30">
        <v>26.798665754950399</v>
      </c>
      <c r="IY30">
        <v>138.43127857503501</v>
      </c>
      <c r="IZ30">
        <v>-15.4820548767893</v>
      </c>
      <c r="JA30">
        <v>-572.91625205298305</v>
      </c>
      <c r="JB30">
        <v>-10.976154009233101</v>
      </c>
      <c r="JC30">
        <v>26.0263729019333</v>
      </c>
      <c r="JD30">
        <v>26.858128233973598</v>
      </c>
      <c r="JE30">
        <v>89.458096747639402</v>
      </c>
      <c r="JF30">
        <v>-7.3124791905355</v>
      </c>
      <c r="JG30">
        <v>-345.22163387468902</v>
      </c>
      <c r="JH30">
        <v>-16.462270119352301</v>
      </c>
      <c r="JI30">
        <v>26.003400454654201</v>
      </c>
      <c r="JJ30">
        <v>26.867980407500799</v>
      </c>
      <c r="JK30">
        <v>142.43608544153199</v>
      </c>
      <c r="JL30">
        <v>-17.606320881220199</v>
      </c>
      <c r="JM30">
        <v>-596.01811876696399</v>
      </c>
      <c r="JN30">
        <v>-10.552816342689599</v>
      </c>
      <c r="JO30">
        <v>26.186287582980601</v>
      </c>
      <c r="JP30">
        <v>27.001981102763398</v>
      </c>
      <c r="JQ30">
        <v>1.2099909699698299</v>
      </c>
      <c r="JR30">
        <v>88.972424861287095</v>
      </c>
      <c r="JS30">
        <v>0.63004834733244397</v>
      </c>
      <c r="JT30">
        <v>-5.0408402057529598</v>
      </c>
      <c r="JU30">
        <v>-325.535724258995</v>
      </c>
      <c r="JV30">
        <v>-63.8414566005114</v>
      </c>
      <c r="JW30">
        <v>-116.07258427491</v>
      </c>
      <c r="JX30">
        <v>-283.17246398309999</v>
      </c>
      <c r="JY30">
        <v>-40.396565789262702</v>
      </c>
      <c r="JZ30">
        <v>-67.436927095715404</v>
      </c>
      <c r="KA30">
        <v>-172.81663923585501</v>
      </c>
      <c r="KB30">
        <v>-62.383393828559498</v>
      </c>
      <c r="KC30">
        <v>-114.600740696611</v>
      </c>
      <c r="KD30">
        <v>-277.45680455267501</v>
      </c>
      <c r="KE30">
        <v>-38.5598191131389</v>
      </c>
      <c r="KF30">
        <v>25.751923571124902</v>
      </c>
      <c r="KG30">
        <v>-136.168790053528</v>
      </c>
      <c r="KH30">
        <v>0.55348066564380705</v>
      </c>
      <c r="KI30">
        <v>-63.655998573414898</v>
      </c>
      <c r="KJ30">
        <v>-169.87074803560299</v>
      </c>
      <c r="KK30">
        <v>9.8599478162718999</v>
      </c>
      <c r="KL30">
        <v>25.358242862309101</v>
      </c>
      <c r="KM30">
        <v>26.577591646694799</v>
      </c>
      <c r="KN30">
        <v>420.646702079401</v>
      </c>
      <c r="KO30">
        <v>24.571875030087099</v>
      </c>
      <c r="KP30">
        <v>12.552806049587399</v>
      </c>
      <c r="KQ30">
        <v>50.554750020744599</v>
      </c>
      <c r="KR30">
        <v>-719.71603826896705</v>
      </c>
      <c r="KS30">
        <v>6.52334144995001</v>
      </c>
      <c r="KT30">
        <v>25.364857453444401</v>
      </c>
      <c r="KU30">
        <v>26.5976951244287</v>
      </c>
      <c r="KV30">
        <v>269.02032314454999</v>
      </c>
      <c r="KW30">
        <v>24.572249790244499</v>
      </c>
      <c r="KX30">
        <v>12.649139548269201</v>
      </c>
      <c r="KY30">
        <v>32.109062858621201</v>
      </c>
      <c r="KZ30">
        <v>-452.80407334076199</v>
      </c>
      <c r="LA30">
        <v>10.220376043864499</v>
      </c>
      <c r="LB30">
        <v>25.418406931320099</v>
      </c>
      <c r="LC30">
        <v>26.654933452072999</v>
      </c>
      <c r="LD30">
        <v>426.54090672670299</v>
      </c>
      <c r="LE30">
        <v>24.6246814078109</v>
      </c>
      <c r="LF30">
        <v>12.554065215321099</v>
      </c>
      <c r="LG30">
        <v>51.407693933941403</v>
      </c>
      <c r="LH30">
        <v>-724.29711505731802</v>
      </c>
      <c r="LI30">
        <v>7.3588618007592599</v>
      </c>
      <c r="LJ30">
        <v>25.488512154186001</v>
      </c>
      <c r="LK30">
        <v>26.721007342527798</v>
      </c>
      <c r="LL30">
        <v>272.914162449478</v>
      </c>
      <c r="LM30">
        <v>24.705970309608301</v>
      </c>
      <c r="LN30">
        <v>13.025371024022601</v>
      </c>
      <c r="LO30">
        <v>34.549378008356101</v>
      </c>
      <c r="LP30">
        <v>-441.85782020496401</v>
      </c>
      <c r="LQ30">
        <v>-3.93999529320554</v>
      </c>
      <c r="LR30">
        <v>20.311603114389701</v>
      </c>
      <c r="LS30">
        <v>16.420999999999999</v>
      </c>
      <c r="LT30">
        <v>-318.95508103974902</v>
      </c>
      <c r="LU30">
        <v>-2043.60663841171</v>
      </c>
      <c r="LV30">
        <v>22.044528298221</v>
      </c>
      <c r="LW30">
        <v>24.678776784787999</v>
      </c>
      <c r="LX30">
        <v>330.81140773722001</v>
      </c>
      <c r="LY30">
        <v>-2.7237247056196701</v>
      </c>
      <c r="LZ30">
        <v>20.356922126090002</v>
      </c>
      <c r="MA30">
        <v>16.420999999999999</v>
      </c>
      <c r="MB30">
        <v>-202.60636052698999</v>
      </c>
      <c r="MC30">
        <v>-1295.96534861077</v>
      </c>
      <c r="MD30">
        <v>22.093321170302701</v>
      </c>
      <c r="ME30">
        <v>24.7298008738343</v>
      </c>
      <c r="MF30">
        <v>210.86128740492001</v>
      </c>
      <c r="MG30">
        <v>-3.7272953928900101</v>
      </c>
      <c r="MH30">
        <v>20.321726996347</v>
      </c>
      <c r="MI30">
        <v>16.420999999999999</v>
      </c>
      <c r="MJ30">
        <v>-322.70969462884398</v>
      </c>
      <c r="MK30">
        <v>-2069.4306254236599</v>
      </c>
      <c r="ML30">
        <v>22.076225496774999</v>
      </c>
      <c r="MM30">
        <v>24.750895432111101</v>
      </c>
      <c r="MN30">
        <v>335.14578627952699</v>
      </c>
      <c r="MO30">
        <v>-2.4647794558736802</v>
      </c>
      <c r="MP30">
        <v>20.401192875071999</v>
      </c>
      <c r="MQ30">
        <v>16.420999999999999</v>
      </c>
      <c r="MR30">
        <v>-206.21567116544301</v>
      </c>
      <c r="MS30">
        <v>-1317.6751898780101</v>
      </c>
      <c r="MT30">
        <v>22.165254124156501</v>
      </c>
      <c r="MU30">
        <v>24.829715989452598</v>
      </c>
      <c r="MV30">
        <v>213.838842166489</v>
      </c>
      <c r="MW30">
        <v>-11.1308221344299</v>
      </c>
      <c r="MX30">
        <v>25.068100360767701</v>
      </c>
      <c r="MY30">
        <v>24.858155338125002</v>
      </c>
      <c r="MZ30">
        <v>-60.749147888381898</v>
      </c>
      <c r="NA30">
        <v>-580.32857980464701</v>
      </c>
      <c r="NB30">
        <v>25.599788445540799</v>
      </c>
      <c r="NC30">
        <v>26.690893144751499</v>
      </c>
      <c r="ND30">
        <v>138.60919902175999</v>
      </c>
      <c r="NE30">
        <v>-7.4839494893299099</v>
      </c>
      <c r="NF30">
        <v>25.153330024626399</v>
      </c>
      <c r="NG30">
        <v>24.929868450616301</v>
      </c>
      <c r="NH30">
        <v>-36.8576714293579</v>
      </c>
      <c r="NI30">
        <v>-358.94320437442599</v>
      </c>
      <c r="NJ30">
        <v>25.678503105710899</v>
      </c>
      <c r="NK30">
        <v>26.759160603626601</v>
      </c>
      <c r="NL30">
        <v>88.195425850839101</v>
      </c>
      <c r="NM30">
        <v>-10.8692362352628</v>
      </c>
      <c r="NN30">
        <v>25.087740231790299</v>
      </c>
      <c r="NO30">
        <v>24.881156931452999</v>
      </c>
      <c r="NP30">
        <v>-63.109005406916701</v>
      </c>
      <c r="NQ30">
        <v>-598.89392459439296</v>
      </c>
      <c r="NR30">
        <v>25.634898114139698</v>
      </c>
      <c r="NS30">
        <v>26.760428727563902</v>
      </c>
      <c r="NT30">
        <v>142.04979737232401</v>
      </c>
      <c r="NU30">
        <v>-7.3524799363222497</v>
      </c>
      <c r="NV30">
        <v>25.327909004334199</v>
      </c>
      <c r="NW30">
        <v>25.0907774205367</v>
      </c>
      <c r="NX30">
        <v>1.7</v>
      </c>
      <c r="NY30">
        <v>-35.743049135152802</v>
      </c>
      <c r="NZ30">
        <v>-350.81894095501701</v>
      </c>
      <c r="OA30">
        <v>25.844954723578901</v>
      </c>
      <c r="OB30">
        <v>26.905690220148301</v>
      </c>
      <c r="OC30">
        <v>1.7</v>
      </c>
      <c r="OD30">
        <v>87.374778026703098</v>
      </c>
      <c r="OE30">
        <v>1.7</v>
      </c>
      <c r="OF30">
        <v>1.7</v>
      </c>
      <c r="OG30">
        <v>-11.143787914929</v>
      </c>
      <c r="OH30">
        <v>25.2319159295795</v>
      </c>
      <c r="OI30">
        <v>25.3452226790079</v>
      </c>
      <c r="OJ30">
        <v>-48.7036843299963</v>
      </c>
      <c r="OK30">
        <v>-524.97535433669395</v>
      </c>
      <c r="OL30">
        <v>25.717925317051101</v>
      </c>
      <c r="OM30">
        <v>26.706660865244601</v>
      </c>
      <c r="ON30">
        <v>133.527271833886</v>
      </c>
      <c r="OO30">
        <v>-7.4614895170186504</v>
      </c>
      <c r="OP30">
        <v>25.312125141658999</v>
      </c>
      <c r="OQ30">
        <v>25.422919375586101</v>
      </c>
      <c r="OR30">
        <v>-28.1113516809061</v>
      </c>
      <c r="OS30">
        <v>-317.29087460590802</v>
      </c>
      <c r="OT30">
        <v>25.783409601053499</v>
      </c>
      <c r="OU30">
        <v>26.748169360130401</v>
      </c>
      <c r="OV30">
        <v>84.109901597351396</v>
      </c>
      <c r="OW30">
        <v>-10.873244582942901</v>
      </c>
      <c r="OX30">
        <v>25.248779286278701</v>
      </c>
      <c r="OY30">
        <v>25.365354551661301</v>
      </c>
      <c r="OZ30">
        <v>-51.199423742434</v>
      </c>
      <c r="PA30">
        <v>-545.07409499874097</v>
      </c>
      <c r="PB30">
        <v>25.751532829117501</v>
      </c>
      <c r="PC30">
        <v>26.777994615449501</v>
      </c>
      <c r="PD30">
        <v>137.30981329704599</v>
      </c>
      <c r="PE30">
        <v>-7.3296664006816501</v>
      </c>
      <c r="PF30">
        <v>25.5020708303547</v>
      </c>
      <c r="PG30">
        <v>25.604588135271399</v>
      </c>
      <c r="PH30">
        <v>1.7</v>
      </c>
      <c r="PI30">
        <v>-26.197825854227801</v>
      </c>
      <c r="PJ30">
        <v>-303.96670471912398</v>
      </c>
      <c r="PK30">
        <v>25.958739171069102</v>
      </c>
      <c r="PL30">
        <v>26.889113148756898</v>
      </c>
      <c r="PM30">
        <v>1.7</v>
      </c>
      <c r="PN30">
        <v>82.543068325298705</v>
      </c>
      <c r="PO30">
        <v>25.430531507631901</v>
      </c>
      <c r="PP30">
        <v>25.488244157505601</v>
      </c>
      <c r="PQ30">
        <v>25.496781910414001</v>
      </c>
      <c r="PR30">
        <v>25.595452949696998</v>
      </c>
      <c r="PS30">
        <v>26.195867483114899</v>
      </c>
      <c r="PT30">
        <v>26.876504585507501</v>
      </c>
      <c r="PU30">
        <v>26.939486460476001</v>
      </c>
      <c r="PV30">
        <v>26.932837601908901</v>
      </c>
      <c r="PW30">
        <v>27.074479353541498</v>
      </c>
      <c r="PX30">
        <v>27.8562386902151</v>
      </c>
      <c r="PY30">
        <v>26.847646069348698</v>
      </c>
      <c r="PZ30">
        <v>26.880312027399299</v>
      </c>
      <c r="QA30">
        <v>26.905711037890502</v>
      </c>
      <c r="QB30">
        <v>27.003829833579701</v>
      </c>
      <c r="QC30">
        <v>28.461902980819101</v>
      </c>
      <c r="QD30">
        <v>25.6779943744469</v>
      </c>
      <c r="QE30">
        <v>25.768229089086301</v>
      </c>
      <c r="QF30">
        <v>25.804357485255402</v>
      </c>
      <c r="QG30">
        <v>25.848053785255399</v>
      </c>
      <c r="QH30">
        <v>25.908769489499999</v>
      </c>
      <c r="QI30">
        <v>27.180490988388598</v>
      </c>
      <c r="QJ30">
        <v>27.051051813274</v>
      </c>
      <c r="QK30">
        <v>27.090889995760101</v>
      </c>
      <c r="QL30">
        <v>27.119311803202699</v>
      </c>
      <c r="QM30">
        <v>27.224726328318699</v>
      </c>
      <c r="QN30">
        <v>-464.33069316571402</v>
      </c>
      <c r="QO30">
        <v>28.800081464104402</v>
      </c>
      <c r="QP30">
        <v>-9819.1389490923102</v>
      </c>
      <c r="QQ30">
        <v>27.0029143886733</v>
      </c>
      <c r="QR30">
        <v>27.0140472754169</v>
      </c>
      <c r="QS30">
        <v>27.0646766685812</v>
      </c>
      <c r="QT30">
        <v>27.130274716269899</v>
      </c>
      <c r="QU30">
        <v>29.4137727426988</v>
      </c>
      <c r="QV30">
        <v>25.668564240187798</v>
      </c>
      <c r="QW30">
        <v>1623608.6299737999</v>
      </c>
      <c r="QX30">
        <v>0</v>
      </c>
      <c r="QY30">
        <v>1071138.8503616301</v>
      </c>
      <c r="QZ30">
        <v>0</v>
      </c>
      <c r="RA30">
        <v>160011.431363768</v>
      </c>
      <c r="RB30">
        <v>0</v>
      </c>
      <c r="RC30">
        <v>107659.028982815</v>
      </c>
      <c r="RD30">
        <v>0</v>
      </c>
      <c r="RE30">
        <v>401531.11744637799</v>
      </c>
      <c r="RF30">
        <v>0</v>
      </c>
      <c r="RG30">
        <v>267772.99585504801</v>
      </c>
      <c r="RH30">
        <v>0</v>
      </c>
      <c r="RI30">
        <v>0</v>
      </c>
      <c r="RJ30">
        <v>0</v>
      </c>
      <c r="RK30">
        <v>26.1059266705407</v>
      </c>
      <c r="RL30">
        <v>0</v>
      </c>
      <c r="RM30">
        <v>-11645.443829907599</v>
      </c>
      <c r="RN30">
        <v>861.16090191074204</v>
      </c>
      <c r="RO30">
        <v>0</v>
      </c>
      <c r="RP30">
        <v>0</v>
      </c>
      <c r="RQ30">
        <v>26.120470813005198</v>
      </c>
      <c r="RR30">
        <v>0</v>
      </c>
      <c r="RS30">
        <v>-7417.7031527381996</v>
      </c>
      <c r="RT30">
        <v>534.21421086244095</v>
      </c>
      <c r="RU30">
        <v>0</v>
      </c>
      <c r="RV30">
        <v>0</v>
      </c>
      <c r="RW30">
        <v>26.199325660096701</v>
      </c>
      <c r="RX30">
        <v>0</v>
      </c>
      <c r="RY30">
        <v>-11784.916397515401</v>
      </c>
      <c r="RZ30">
        <v>718.00778946410003</v>
      </c>
      <c r="SA30">
        <v>0</v>
      </c>
      <c r="SB30">
        <v>0</v>
      </c>
      <c r="SC30">
        <v>26.222086029303</v>
      </c>
      <c r="SD30">
        <v>0</v>
      </c>
      <c r="SE30">
        <v>-7510.6133524993102</v>
      </c>
      <c r="SF30">
        <v>438.52973375932601</v>
      </c>
      <c r="SG30">
        <v>0</v>
      </c>
      <c r="SH30">
        <v>0</v>
      </c>
      <c r="SI30">
        <v>28.165114493662301</v>
      </c>
      <c r="SJ30">
        <v>-11351.019538775599</v>
      </c>
      <c r="SK30">
        <v>-53005.505250316601</v>
      </c>
      <c r="SL30">
        <v>-11351.019538775599</v>
      </c>
      <c r="SM30">
        <v>21.1111</v>
      </c>
      <c r="SN30">
        <v>26.666699999999999</v>
      </c>
      <c r="SO30">
        <v>0</v>
      </c>
      <c r="SP30">
        <v>0</v>
      </c>
      <c r="SQ30">
        <v>24.806843131055398</v>
      </c>
      <c r="SR30">
        <v>0</v>
      </c>
      <c r="SS30">
        <v>0</v>
      </c>
      <c r="ST30">
        <v>0</v>
      </c>
      <c r="SU30">
        <v>0</v>
      </c>
      <c r="SV30">
        <v>0</v>
      </c>
      <c r="SW30">
        <v>24.851911481750101</v>
      </c>
      <c r="SX30">
        <v>0</v>
      </c>
      <c r="SY30">
        <v>0</v>
      </c>
      <c r="SZ30">
        <v>0</v>
      </c>
      <c r="TA30">
        <v>0</v>
      </c>
      <c r="TB30">
        <v>0</v>
      </c>
      <c r="TC30">
        <v>24.8443081756505</v>
      </c>
      <c r="TD30">
        <v>0</v>
      </c>
      <c r="TE30">
        <v>0</v>
      </c>
      <c r="TF30">
        <v>0</v>
      </c>
      <c r="TG30">
        <v>0</v>
      </c>
      <c r="TH30">
        <v>0</v>
      </c>
      <c r="TI30">
        <v>24.9890941662503</v>
      </c>
      <c r="TJ30">
        <v>0</v>
      </c>
      <c r="TK30">
        <v>0</v>
      </c>
      <c r="TL30">
        <v>0</v>
      </c>
      <c r="TM30">
        <v>0</v>
      </c>
      <c r="TN30">
        <v>0</v>
      </c>
      <c r="TO30">
        <v>25.0915961018766</v>
      </c>
      <c r="TP30">
        <v>0</v>
      </c>
      <c r="TQ30">
        <v>0</v>
      </c>
      <c r="TR30">
        <v>0</v>
      </c>
      <c r="TS30">
        <v>0</v>
      </c>
      <c r="TT30">
        <v>0</v>
      </c>
      <c r="TU30">
        <v>27.2255990410405</v>
      </c>
      <c r="TV30">
        <v>-838.11888679612503</v>
      </c>
      <c r="TW30">
        <v>-13391.5413075328</v>
      </c>
      <c r="TX30">
        <v>-838.11888679612503</v>
      </c>
      <c r="TY30">
        <v>0</v>
      </c>
      <c r="TZ30">
        <v>0</v>
      </c>
      <c r="UA30">
        <v>27.2422935310443</v>
      </c>
      <c r="UB30">
        <v>-548.042388237149</v>
      </c>
      <c r="UC30">
        <v>-8532.4751817364795</v>
      </c>
      <c r="UD30">
        <v>-548.042388237149</v>
      </c>
      <c r="UE30">
        <v>0</v>
      </c>
      <c r="UF30">
        <v>0</v>
      </c>
      <c r="UG30">
        <v>27.3057860044965</v>
      </c>
      <c r="UH30">
        <v>-961.64414656331803</v>
      </c>
      <c r="UI30">
        <v>-13511.9216518261</v>
      </c>
      <c r="UJ30">
        <v>-961.64414656331803</v>
      </c>
      <c r="UK30">
        <v>0</v>
      </c>
      <c r="UL30">
        <v>0</v>
      </c>
      <c r="UM30">
        <v>27.3749733030958</v>
      </c>
      <c r="UN30">
        <v>-675.04061785692602</v>
      </c>
      <c r="UO30">
        <v>-8656.0347098490492</v>
      </c>
      <c r="UP30">
        <v>-675.04061785692602</v>
      </c>
      <c r="UQ30">
        <v>0</v>
      </c>
      <c r="UR30">
        <v>0</v>
      </c>
      <c r="US30">
        <v>29.7439242379936</v>
      </c>
      <c r="UT30">
        <v>-23206.393501855498</v>
      </c>
      <c r="UU30">
        <v>-64645.088210210299</v>
      </c>
      <c r="UV30">
        <v>-23206.393501855498</v>
      </c>
      <c r="UW30">
        <v>21.1111</v>
      </c>
      <c r="UX30">
        <v>26.666699999999999</v>
      </c>
      <c r="UY30">
        <v>0</v>
      </c>
      <c r="UZ30">
        <v>0</v>
      </c>
      <c r="VA30">
        <v>25.452632705223099</v>
      </c>
      <c r="VB30">
        <v>0</v>
      </c>
      <c r="VC30">
        <v>0</v>
      </c>
      <c r="VD30">
        <v>0</v>
      </c>
      <c r="VE30">
        <v>0</v>
      </c>
      <c r="VF30">
        <v>0</v>
      </c>
      <c r="VG30">
        <v>25.5090479447341</v>
      </c>
      <c r="VH30">
        <v>0</v>
      </c>
      <c r="VI30">
        <v>0</v>
      </c>
      <c r="VJ30">
        <v>0</v>
      </c>
      <c r="VK30">
        <v>0</v>
      </c>
      <c r="VL30">
        <v>0</v>
      </c>
      <c r="VM30">
        <v>25.484060472383</v>
      </c>
      <c r="VN30">
        <v>0</v>
      </c>
      <c r="VO30">
        <v>0</v>
      </c>
      <c r="VP30">
        <v>0</v>
      </c>
      <c r="VQ30">
        <v>0</v>
      </c>
      <c r="VR30">
        <v>0</v>
      </c>
      <c r="VS30">
        <v>25.669725534248201</v>
      </c>
      <c r="VT30">
        <v>0</v>
      </c>
      <c r="VU30">
        <v>0</v>
      </c>
      <c r="VV30">
        <v>0</v>
      </c>
      <c r="VW30">
        <v>0</v>
      </c>
      <c r="VX30">
        <v>0</v>
      </c>
      <c r="VY30">
        <v>25.944834971314702</v>
      </c>
      <c r="VZ30">
        <v>0</v>
      </c>
      <c r="WA30">
        <v>0</v>
      </c>
      <c r="WB30">
        <v>0</v>
      </c>
      <c r="WC30">
        <v>0</v>
      </c>
      <c r="WD30">
        <v>0</v>
      </c>
      <c r="WE30">
        <v>27.158182707997799</v>
      </c>
      <c r="WF30">
        <v>-727.65644354819597</v>
      </c>
      <c r="WG30">
        <v>-13328.577939105</v>
      </c>
      <c r="WH30">
        <v>-727.65644354819597</v>
      </c>
      <c r="WI30">
        <v>0</v>
      </c>
      <c r="WJ30">
        <v>0</v>
      </c>
      <c r="WK30">
        <v>0</v>
      </c>
      <c r="WL30">
        <v>27.147782523434401</v>
      </c>
      <c r="WM30">
        <v>-452.45438037583699</v>
      </c>
      <c r="WN30">
        <v>-8469.3457276417594</v>
      </c>
      <c r="WO30">
        <v>-452.45438037583699</v>
      </c>
      <c r="WP30">
        <v>18.333300000000001</v>
      </c>
      <c r="WQ30">
        <v>26.666699999999999</v>
      </c>
      <c r="WR30">
        <v>0</v>
      </c>
      <c r="WS30">
        <v>0</v>
      </c>
      <c r="WT30">
        <v>27.223642299272001</v>
      </c>
      <c r="WU30">
        <v>-826.65284758233599</v>
      </c>
      <c r="WV30">
        <v>-13424.9278901746</v>
      </c>
      <c r="WW30">
        <v>-826.65284758233599</v>
      </c>
      <c r="WX30">
        <v>0</v>
      </c>
      <c r="WY30">
        <v>0</v>
      </c>
      <c r="WZ30">
        <v>0</v>
      </c>
      <c r="XA30">
        <v>27.2567195989601</v>
      </c>
      <c r="XB30">
        <v>-555.99243674302795</v>
      </c>
      <c r="XC30">
        <v>-8570.0422046526601</v>
      </c>
      <c r="XD30">
        <v>-555.99243674302795</v>
      </c>
      <c r="XE30">
        <v>0</v>
      </c>
      <c r="XF30">
        <v>0</v>
      </c>
      <c r="XG30">
        <v>30.365642504578499</v>
      </c>
      <c r="XH30">
        <v>-27754.2322193984</v>
      </c>
      <c r="XI30">
        <v>-69093.238713529296</v>
      </c>
      <c r="XJ30">
        <v>-27754.2322193984</v>
      </c>
      <c r="XK30">
        <v>21.1111</v>
      </c>
      <c r="XL30">
        <v>26.666699999999999</v>
      </c>
      <c r="XM30">
        <v>0</v>
      </c>
      <c r="XN30">
        <v>0</v>
      </c>
      <c r="XO30">
        <v>24.134588950263801</v>
      </c>
      <c r="XP30">
        <v>0</v>
      </c>
      <c r="XQ30">
        <v>0</v>
      </c>
      <c r="XR30">
        <v>0</v>
      </c>
      <c r="XS30">
        <v>0</v>
      </c>
      <c r="XT30">
        <v>0</v>
      </c>
      <c r="XU30">
        <v>24.134275661781501</v>
      </c>
      <c r="XV30">
        <v>0</v>
      </c>
      <c r="XW30">
        <v>0</v>
      </c>
      <c r="XX30">
        <v>0</v>
      </c>
      <c r="XY30">
        <v>0</v>
      </c>
      <c r="XZ30">
        <v>0</v>
      </c>
      <c r="YA30">
        <v>24.183428862639399</v>
      </c>
      <c r="YB30">
        <v>0</v>
      </c>
      <c r="YC30">
        <v>0</v>
      </c>
      <c r="YD30">
        <v>0</v>
      </c>
      <c r="YE30">
        <v>0</v>
      </c>
      <c r="YF30">
        <v>0</v>
      </c>
      <c r="YG30">
        <v>24.243191448673802</v>
      </c>
      <c r="YH30">
        <v>0</v>
      </c>
      <c r="YI30">
        <v>0</v>
      </c>
      <c r="YJ30">
        <v>0</v>
      </c>
      <c r="YK30">
        <v>0</v>
      </c>
      <c r="YL30">
        <v>0</v>
      </c>
      <c r="YM30">
        <v>27.024471729090301</v>
      </c>
      <c r="YN30">
        <v>0</v>
      </c>
      <c r="YO30">
        <v>0</v>
      </c>
      <c r="YP30">
        <v>0</v>
      </c>
      <c r="YQ30">
        <v>0</v>
      </c>
      <c r="YR30">
        <v>0</v>
      </c>
      <c r="YS30">
        <v>21.161886652704599</v>
      </c>
      <c r="YT30">
        <v>0</v>
      </c>
      <c r="YU30">
        <v>0</v>
      </c>
      <c r="YV30">
        <v>0</v>
      </c>
      <c r="YW30">
        <v>0</v>
      </c>
      <c r="YX30">
        <v>0</v>
      </c>
      <c r="YY30">
        <v>21.207265359011799</v>
      </c>
      <c r="YZ30">
        <v>0</v>
      </c>
      <c r="ZA30">
        <v>0</v>
      </c>
      <c r="ZB30">
        <v>0</v>
      </c>
      <c r="ZC30">
        <v>0</v>
      </c>
      <c r="ZD30">
        <v>0</v>
      </c>
      <c r="ZE30">
        <v>21.182717464727599</v>
      </c>
      <c r="ZF30">
        <v>0</v>
      </c>
      <c r="ZG30">
        <v>0</v>
      </c>
      <c r="ZH30">
        <v>0</v>
      </c>
      <c r="ZI30">
        <v>0</v>
      </c>
      <c r="ZJ30">
        <v>0</v>
      </c>
      <c r="ZK30">
        <v>21.265486308627398</v>
      </c>
      <c r="ZL30">
        <v>0</v>
      </c>
      <c r="ZM30">
        <v>0</v>
      </c>
      <c r="ZN30">
        <v>0</v>
      </c>
      <c r="ZO30">
        <v>0</v>
      </c>
      <c r="ZP30">
        <v>0</v>
      </c>
      <c r="ZQ30">
        <v>21.385819379970201</v>
      </c>
      <c r="ZR30">
        <v>0</v>
      </c>
      <c r="ZS30">
        <v>0</v>
      </c>
      <c r="ZT30">
        <v>0</v>
      </c>
      <c r="ZU30">
        <v>0</v>
      </c>
      <c r="ZV30">
        <v>0</v>
      </c>
      <c r="ZW30">
        <v>25.2547978405529</v>
      </c>
      <c r="ZX30">
        <v>0</v>
      </c>
      <c r="ZY30">
        <v>0</v>
      </c>
      <c r="ZZ30">
        <v>0</v>
      </c>
      <c r="AAA30">
        <v>0</v>
      </c>
      <c r="AAB30">
        <v>0</v>
      </c>
      <c r="AAC30">
        <v>25.3317824168474</v>
      </c>
      <c r="AAD30">
        <v>0</v>
      </c>
      <c r="AAE30">
        <v>0</v>
      </c>
      <c r="AAF30">
        <v>0</v>
      </c>
      <c r="AAG30">
        <v>0</v>
      </c>
      <c r="AAH30">
        <v>0</v>
      </c>
      <c r="AAI30">
        <v>25.281919073344898</v>
      </c>
      <c r="AAJ30">
        <v>0</v>
      </c>
      <c r="AAK30">
        <v>0</v>
      </c>
      <c r="AAL30">
        <v>0</v>
      </c>
      <c r="AAM30">
        <v>0</v>
      </c>
      <c r="AAN30">
        <v>0</v>
      </c>
      <c r="AAO30">
        <v>25.5003960444092</v>
      </c>
      <c r="AAP30">
        <v>0</v>
      </c>
      <c r="AAQ30">
        <v>0</v>
      </c>
      <c r="AAR30">
        <v>0</v>
      </c>
      <c r="AAS30">
        <v>0</v>
      </c>
      <c r="AAT30">
        <v>0</v>
      </c>
      <c r="AAU30">
        <v>25.235479289375402</v>
      </c>
      <c r="AAV30">
        <v>0</v>
      </c>
      <c r="AAW30">
        <v>0</v>
      </c>
      <c r="AAX30">
        <v>0</v>
      </c>
      <c r="AAY30">
        <v>0</v>
      </c>
      <c r="AAZ30">
        <v>0</v>
      </c>
      <c r="ABA30">
        <v>25.386386348202901</v>
      </c>
      <c r="ABB30">
        <v>0</v>
      </c>
      <c r="ABC30">
        <v>0</v>
      </c>
      <c r="ABD30">
        <v>0</v>
      </c>
      <c r="ABE30">
        <v>0</v>
      </c>
      <c r="ABF30">
        <v>0</v>
      </c>
      <c r="ABG30">
        <v>25.453570087135901</v>
      </c>
      <c r="ABH30">
        <v>0</v>
      </c>
      <c r="ABI30">
        <v>0</v>
      </c>
      <c r="ABJ30">
        <v>0</v>
      </c>
      <c r="ABK30">
        <v>0</v>
      </c>
      <c r="ABL30">
        <v>0</v>
      </c>
      <c r="ABM30">
        <v>25.411273962264399</v>
      </c>
      <c r="ABN30">
        <v>0</v>
      </c>
      <c r="ABO30">
        <v>0</v>
      </c>
      <c r="ABP30">
        <v>0</v>
      </c>
      <c r="ABQ30">
        <v>0</v>
      </c>
      <c r="ABR30">
        <v>0</v>
      </c>
      <c r="ABS30">
        <v>25.633638988587499</v>
      </c>
      <c r="ABT30">
        <v>0</v>
      </c>
      <c r="ABU30">
        <v>0</v>
      </c>
      <c r="ABV30">
        <v>0</v>
      </c>
      <c r="ABW30">
        <v>0</v>
      </c>
      <c r="ABX30">
        <v>0</v>
      </c>
      <c r="ABY30">
        <v>25.668564240187798</v>
      </c>
      <c r="ABZ30">
        <v>0</v>
      </c>
      <c r="ACA30">
        <v>0</v>
      </c>
      <c r="ACB30">
        <v>0</v>
      </c>
      <c r="ACC30">
        <v>0</v>
      </c>
      <c r="ACD30">
        <v>0</v>
      </c>
      <c r="ACE30">
        <v>0</v>
      </c>
      <c r="ACF30">
        <v>7.4572007059970504</v>
      </c>
      <c r="ACG30">
        <v>7.4572007059970504</v>
      </c>
      <c r="ACH30">
        <v>0</v>
      </c>
      <c r="ACI30">
        <v>0</v>
      </c>
      <c r="ACJ30">
        <v>0</v>
      </c>
      <c r="ACK30">
        <v>21.375950174090502</v>
      </c>
      <c r="ACL30">
        <v>21.375950174090502</v>
      </c>
      <c r="ACM30">
        <v>0</v>
      </c>
      <c r="ACN30">
        <v>105390.341415922</v>
      </c>
      <c r="ACP30">
        <v>0</v>
      </c>
      <c r="ACR30">
        <v>105390.341415922</v>
      </c>
      <c r="ACT30">
        <v>28.165115191914001</v>
      </c>
      <c r="ACU30">
        <v>28.165115191914001</v>
      </c>
      <c r="ACV30">
        <v>0</v>
      </c>
      <c r="ACW30">
        <v>0</v>
      </c>
      <c r="ACX30">
        <v>1</v>
      </c>
      <c r="ACY30">
        <v>29.7438974553991</v>
      </c>
      <c r="ACZ30">
        <v>29.7438974553991</v>
      </c>
      <c r="ADA30">
        <v>0</v>
      </c>
      <c r="ADB30">
        <v>0</v>
      </c>
      <c r="ADC30">
        <v>1</v>
      </c>
      <c r="ADD30">
        <v>30.3655148956129</v>
      </c>
      <c r="ADE30">
        <v>30.3655148956129</v>
      </c>
      <c r="ADF30">
        <v>0</v>
      </c>
      <c r="ADG30">
        <v>0</v>
      </c>
      <c r="ADH30">
        <v>1</v>
      </c>
      <c r="ADI30">
        <v>26.4728016561183</v>
      </c>
      <c r="ADJ30">
        <v>26.4728016561183</v>
      </c>
      <c r="ADK30">
        <v>0</v>
      </c>
      <c r="ADL30">
        <v>0</v>
      </c>
      <c r="ADM30">
        <v>1</v>
      </c>
      <c r="ADN30">
        <v>26.494732650154099</v>
      </c>
      <c r="ADO30">
        <v>26.494732650154099</v>
      </c>
      <c r="ADP30">
        <v>0</v>
      </c>
      <c r="ADQ30">
        <v>0</v>
      </c>
      <c r="ADR30">
        <v>1</v>
      </c>
      <c r="ADS30">
        <v>26.554190149943299</v>
      </c>
      <c r="ADT30">
        <v>26.554190149943299</v>
      </c>
      <c r="ADU30">
        <v>0</v>
      </c>
      <c r="ADV30">
        <v>0</v>
      </c>
      <c r="ADW30">
        <v>1</v>
      </c>
      <c r="ADX30">
        <v>26.600182148462402</v>
      </c>
      <c r="ADY30">
        <v>26.600182148462402</v>
      </c>
      <c r="ADZ30">
        <v>0</v>
      </c>
      <c r="AEA30">
        <v>0</v>
      </c>
      <c r="AEB30">
        <v>1</v>
      </c>
      <c r="AEC30">
        <v>27.6552481239783</v>
      </c>
      <c r="AED30">
        <v>27.6552481239783</v>
      </c>
      <c r="AEE30">
        <v>0</v>
      </c>
      <c r="AEF30">
        <v>0</v>
      </c>
      <c r="AEG30">
        <v>1</v>
      </c>
      <c r="AEH30">
        <v>27.6810104791561</v>
      </c>
      <c r="AEI30">
        <v>27.6810104791561</v>
      </c>
      <c r="AEJ30">
        <v>0</v>
      </c>
      <c r="AEK30">
        <v>0</v>
      </c>
      <c r="AEL30">
        <v>1</v>
      </c>
      <c r="AEM30">
        <v>27.725188027607199</v>
      </c>
      <c r="AEN30">
        <v>27.725188027607199</v>
      </c>
      <c r="AEO30">
        <v>0</v>
      </c>
      <c r="AEP30">
        <v>0</v>
      </c>
      <c r="AEQ30">
        <v>1</v>
      </c>
      <c r="AER30">
        <v>27.813869957902099</v>
      </c>
      <c r="AES30">
        <v>27.813869957902099</v>
      </c>
      <c r="AET30">
        <v>0</v>
      </c>
      <c r="AEU30">
        <v>0</v>
      </c>
      <c r="AEV30">
        <v>1</v>
      </c>
      <c r="AEW30">
        <v>27.577846252367401</v>
      </c>
      <c r="AEX30">
        <v>27.577846252367401</v>
      </c>
      <c r="AEY30">
        <v>0</v>
      </c>
      <c r="AEZ30">
        <v>0</v>
      </c>
      <c r="AFA30">
        <v>1</v>
      </c>
      <c r="AFB30">
        <v>27.574711067916201</v>
      </c>
      <c r="AFC30">
        <v>27.574711067916201</v>
      </c>
      <c r="AFD30">
        <v>0</v>
      </c>
      <c r="AFE30">
        <v>0</v>
      </c>
      <c r="AFF30">
        <v>1</v>
      </c>
      <c r="AFG30">
        <v>27.6412342825083</v>
      </c>
      <c r="AFH30">
        <v>27.6412342825083</v>
      </c>
      <c r="AFI30">
        <v>0</v>
      </c>
      <c r="AFJ30">
        <v>0</v>
      </c>
      <c r="AFK30">
        <v>1</v>
      </c>
      <c r="AFL30">
        <v>27.687817102233801</v>
      </c>
      <c r="AFM30">
        <v>27.687817102233801</v>
      </c>
      <c r="AFN30">
        <v>0</v>
      </c>
      <c r="AFO30">
        <v>0</v>
      </c>
      <c r="AFP30">
        <v>1</v>
      </c>
      <c r="AFQ30">
        <v>0.14000963910197101</v>
      </c>
      <c r="AFR30">
        <v>0.119431721297066</v>
      </c>
      <c r="AFS30">
        <v>0.15787113648561901</v>
      </c>
      <c r="AFT30">
        <v>0.12898865694013101</v>
      </c>
      <c r="AFU30">
        <v>0.50223105831139303</v>
      </c>
      <c r="AFV30">
        <v>0.483635777791037</v>
      </c>
      <c r="AFW30">
        <v>0.53465348839786597</v>
      </c>
      <c r="AFX30">
        <v>0.495358359215819</v>
      </c>
      <c r="AFY30">
        <v>0.48306495059348697</v>
      </c>
      <c r="AFZ30">
        <v>0.46526246840484498</v>
      </c>
      <c r="AGA30">
        <v>0.50272939961778296</v>
      </c>
      <c r="AGB30">
        <v>0.46839642172448698</v>
      </c>
      <c r="AGC30">
        <v>0.51499239963931498</v>
      </c>
      <c r="AGD30">
        <v>0.99416172240282497</v>
      </c>
      <c r="AGE30">
        <v>1.18494439399108</v>
      </c>
      <c r="AGF30">
        <v>0</v>
      </c>
      <c r="AGG30">
        <v>0</v>
      </c>
      <c r="AGH30">
        <v>0</v>
      </c>
      <c r="AGI30">
        <v>0</v>
      </c>
      <c r="AGJ30">
        <v>0</v>
      </c>
      <c r="AGK30">
        <v>0</v>
      </c>
      <c r="AGL30">
        <v>0</v>
      </c>
      <c r="AGM30">
        <v>0</v>
      </c>
      <c r="AGN30">
        <v>0</v>
      </c>
      <c r="AGO30">
        <v>0</v>
      </c>
      <c r="AGP30">
        <v>0</v>
      </c>
      <c r="AGQ30">
        <v>0</v>
      </c>
      <c r="AGR30">
        <v>0</v>
      </c>
      <c r="AGS30">
        <v>0</v>
      </c>
      <c r="AGT30">
        <v>0</v>
      </c>
      <c r="AGU30">
        <v>0</v>
      </c>
      <c r="AGV30">
        <v>0</v>
      </c>
      <c r="AGW30">
        <v>0</v>
      </c>
      <c r="AGX30">
        <v>0</v>
      </c>
      <c r="AGY30">
        <v>0</v>
      </c>
      <c r="AGZ30">
        <v>0</v>
      </c>
      <c r="AHA30">
        <v>0</v>
      </c>
      <c r="AHB30">
        <v>0</v>
      </c>
      <c r="AHC30">
        <v>0</v>
      </c>
      <c r="AHD30">
        <v>0</v>
      </c>
      <c r="AHE30">
        <v>0</v>
      </c>
      <c r="AHF30">
        <v>0</v>
      </c>
      <c r="AHG30">
        <v>0</v>
      </c>
      <c r="AHH30">
        <v>0</v>
      </c>
      <c r="AHI30">
        <v>0</v>
      </c>
      <c r="AHJ30">
        <v>0</v>
      </c>
      <c r="AHK30">
        <v>0</v>
      </c>
      <c r="AHL30">
        <v>0</v>
      </c>
      <c r="AHM30">
        <v>0</v>
      </c>
      <c r="AHN30">
        <v>0</v>
      </c>
      <c r="AHO30">
        <v>0</v>
      </c>
      <c r="AHP30">
        <v>0</v>
      </c>
      <c r="AHQ30">
        <v>0</v>
      </c>
      <c r="AHR30">
        <v>0</v>
      </c>
      <c r="AHS30">
        <v>0</v>
      </c>
      <c r="AHT30">
        <v>0</v>
      </c>
      <c r="AHU30">
        <v>0</v>
      </c>
      <c r="AHV30">
        <v>0</v>
      </c>
      <c r="AHW30">
        <v>0</v>
      </c>
      <c r="AHX30">
        <v>0</v>
      </c>
      <c r="AHZ30">
        <v>0</v>
      </c>
      <c r="AIB30">
        <v>0</v>
      </c>
      <c r="AID30">
        <v>0</v>
      </c>
      <c r="AIF30">
        <v>0</v>
      </c>
      <c r="AIH30">
        <v>0</v>
      </c>
      <c r="AIJ30">
        <v>0</v>
      </c>
      <c r="AIL30">
        <v>0</v>
      </c>
      <c r="AIN30">
        <v>0</v>
      </c>
      <c r="AIP30">
        <v>0</v>
      </c>
      <c r="AIR30">
        <v>0</v>
      </c>
      <c r="AIT30">
        <v>0</v>
      </c>
      <c r="AIV30">
        <v>0</v>
      </c>
      <c r="AIX30">
        <v>0</v>
      </c>
      <c r="AIZ30">
        <v>0</v>
      </c>
      <c r="AJB30">
        <v>0</v>
      </c>
      <c r="AJC30">
        <v>0</v>
      </c>
      <c r="AJE30">
        <v>0</v>
      </c>
      <c r="AJH30">
        <v>0</v>
      </c>
      <c r="AJJ30">
        <v>0</v>
      </c>
      <c r="AJK30">
        <v>0</v>
      </c>
      <c r="AJL30">
        <v>0</v>
      </c>
      <c r="AJM30">
        <v>0</v>
      </c>
      <c r="AJN30">
        <v>0</v>
      </c>
      <c r="AJO30">
        <v>0</v>
      </c>
      <c r="AJP30">
        <v>0</v>
      </c>
      <c r="AJQ30">
        <v>0</v>
      </c>
      <c r="AJR30">
        <v>0</v>
      </c>
      <c r="AJS30">
        <v>0</v>
      </c>
      <c r="AJT30">
        <v>0</v>
      </c>
      <c r="AJU30">
        <v>0</v>
      </c>
      <c r="AJV30">
        <v>0</v>
      </c>
      <c r="AJW30">
        <v>0</v>
      </c>
      <c r="AJX30">
        <v>0</v>
      </c>
      <c r="AJY30">
        <v>0</v>
      </c>
      <c r="AJZ30">
        <v>0</v>
      </c>
      <c r="AKA30">
        <v>0</v>
      </c>
      <c r="AKB30">
        <v>0</v>
      </c>
      <c r="AKC30">
        <v>0</v>
      </c>
      <c r="AKD30">
        <v>0</v>
      </c>
      <c r="AKE30">
        <v>65.56</v>
      </c>
      <c r="AKF30">
        <v>65.56</v>
      </c>
      <c r="AKG30">
        <v>0</v>
      </c>
      <c r="AKH30">
        <v>0</v>
      </c>
      <c r="AKI30">
        <v>0</v>
      </c>
      <c r="AKJ30">
        <v>0</v>
      </c>
      <c r="AKK30">
        <v>0</v>
      </c>
      <c r="AKL30">
        <v>65.56</v>
      </c>
      <c r="AKM30">
        <v>65.56</v>
      </c>
      <c r="AKN30">
        <v>0</v>
      </c>
      <c r="AKO30">
        <v>0</v>
      </c>
      <c r="AKP30">
        <v>0</v>
      </c>
      <c r="AKT30">
        <v>0</v>
      </c>
      <c r="AKX30">
        <v>0</v>
      </c>
      <c r="ALB30">
        <v>21.375950174090502</v>
      </c>
      <c r="ALC30">
        <v>21.375950174090502</v>
      </c>
      <c r="ALD30">
        <v>0</v>
      </c>
      <c r="ALE30">
        <v>0</v>
      </c>
      <c r="ALF30">
        <v>0</v>
      </c>
      <c r="ALH30">
        <v>25.057006818684599</v>
      </c>
      <c r="ALI30">
        <v>9.8519433655253497E-3</v>
      </c>
      <c r="ALJ30">
        <v>0</v>
      </c>
      <c r="ALK30">
        <v>25.057006818684599</v>
      </c>
      <c r="ALL30">
        <v>0</v>
      </c>
      <c r="ALM30">
        <v>0</v>
      </c>
      <c r="ALN30">
        <v>25.057006818684599</v>
      </c>
      <c r="ALO30">
        <v>9.8519433655253497E-3</v>
      </c>
      <c r="ALP30">
        <v>49.653913325373601</v>
      </c>
      <c r="ALQ30">
        <v>0</v>
      </c>
      <c r="ALR30">
        <v>25.057006818684599</v>
      </c>
      <c r="ALS30">
        <v>0</v>
      </c>
      <c r="ALT30">
        <v>25.057006818684599</v>
      </c>
      <c r="ALU30">
        <v>0</v>
      </c>
      <c r="ALV30">
        <v>7.4572007059970504</v>
      </c>
      <c r="ALW30">
        <v>9.9999999999999897E-12</v>
      </c>
      <c r="ALX30">
        <v>7.4572007059970504</v>
      </c>
      <c r="ALY30">
        <v>9.9999999999999897E-12</v>
      </c>
      <c r="ALZ30">
        <v>0</v>
      </c>
      <c r="AMA30">
        <v>7.4572007059970504</v>
      </c>
      <c r="AMB30">
        <v>0</v>
      </c>
      <c r="AMC30">
        <v>7.4572007059970504</v>
      </c>
      <c r="AMD30">
        <v>0</v>
      </c>
      <c r="AME30">
        <v>7.4572007059970504</v>
      </c>
      <c r="AMF30">
        <v>0</v>
      </c>
      <c r="AMG30">
        <v>0</v>
      </c>
      <c r="AMH30">
        <v>0</v>
      </c>
      <c r="AMI30">
        <v>21.267216362288899</v>
      </c>
      <c r="AMJ30">
        <v>0</v>
      </c>
      <c r="AMK30" s="580">
        <v>21.369079080948499</v>
      </c>
      <c r="AML30">
        <v>0</v>
      </c>
      <c r="AMM30">
        <v>21.207787949643901</v>
      </c>
      <c r="AMN30">
        <v>0</v>
      </c>
      <c r="AMO30">
        <v>21.162255313282099</v>
      </c>
      <c r="AMP30">
        <v>0</v>
      </c>
      <c r="AMQ30">
        <v>21.1823927378835</v>
      </c>
      <c r="AMR30">
        <v>0</v>
      </c>
      <c r="AMS30">
        <v>25.175167797115702</v>
      </c>
      <c r="AMT30">
        <v>0</v>
      </c>
      <c r="AMU30">
        <v>25.308117529191598</v>
      </c>
      <c r="AMV30">
        <v>0</v>
      </c>
      <c r="AMW30">
        <v>25.478015540277099</v>
      </c>
      <c r="AMX30">
        <v>0</v>
      </c>
      <c r="AMY30">
        <v>25.230118147296199</v>
      </c>
      <c r="AMZ30">
        <v>0</v>
      </c>
      <c r="ANA30">
        <v>25.256051750905499</v>
      </c>
      <c r="ANB30">
        <v>0</v>
      </c>
      <c r="ANC30">
        <v>25.601203142998301</v>
      </c>
      <c r="AND30">
        <v>0</v>
      </c>
      <c r="ANE30">
        <v>25.430181595251899</v>
      </c>
      <c r="ANF30">
        <v>0</v>
      </c>
      <c r="ANG30">
        <v>25.612091239451399</v>
      </c>
      <c r="ANH30">
        <v>0</v>
      </c>
      <c r="ANI30">
        <v>25.361808502647801</v>
      </c>
      <c r="ANJ30">
        <v>0</v>
      </c>
      <c r="ANK30">
        <v>25.385327988517801</v>
      </c>
      <c r="ANL30">
        <v>0</v>
      </c>
      <c r="ANM30">
        <v>0</v>
      </c>
      <c r="ANN30">
        <v>0</v>
      </c>
      <c r="ANO30">
        <v>0</v>
      </c>
      <c r="ANP30">
        <v>21.369079080948499</v>
      </c>
      <c r="ANQ30">
        <v>21.207787949643901</v>
      </c>
      <c r="ANR30">
        <v>21.267216362288899</v>
      </c>
      <c r="ANS30">
        <v>21.1823927378835</v>
      </c>
      <c r="ANT30">
        <v>21.162255313282099</v>
      </c>
      <c r="ANU30">
        <v>25.175167797115702</v>
      </c>
      <c r="ANV30">
        <v>25.308117529191598</v>
      </c>
      <c r="ANW30">
        <v>25.478015540277099</v>
      </c>
      <c r="ANX30">
        <v>25.256051750905499</v>
      </c>
      <c r="ANY30">
        <v>25.230118147296199</v>
      </c>
      <c r="ANZ30">
        <v>25.601203142998301</v>
      </c>
      <c r="AOA30">
        <v>25.430181595251899</v>
      </c>
      <c r="AOB30">
        <v>25.612091239451399</v>
      </c>
      <c r="AOC30">
        <v>25.385327988517801</v>
      </c>
      <c r="AOD30">
        <v>25.361808502647801</v>
      </c>
      <c r="AOE30">
        <v>25.057006818684599</v>
      </c>
      <c r="AOF30">
        <v>0</v>
      </c>
      <c r="AOG30">
        <v>25.022764990039501</v>
      </c>
      <c r="AOH30">
        <v>0</v>
      </c>
    </row>
    <row r="31" spans="1:1074">
      <c r="A31" t="s">
        <v>2601</v>
      </c>
      <c r="B31">
        <v>18.582999999999998</v>
      </c>
      <c r="D31">
        <v>14.7138941582306</v>
      </c>
      <c r="F31">
        <v>9</v>
      </c>
      <c r="G31">
        <v>6988958.1450714003</v>
      </c>
      <c r="H31">
        <v>15006965.342177801</v>
      </c>
      <c r="I31">
        <v>4438405.1063184803</v>
      </c>
      <c r="J31">
        <v>9530317.7129537892</v>
      </c>
      <c r="K31">
        <v>6988958.1450714003</v>
      </c>
      <c r="L31">
        <v>15006965.342177801</v>
      </c>
      <c r="M31">
        <v>4438405.1063184803</v>
      </c>
      <c r="N31">
        <v>9530317.7129538003</v>
      </c>
      <c r="O31">
        <v>36043418.585661501</v>
      </c>
      <c r="P31">
        <v>77393843.588843703</v>
      </c>
      <c r="Q31">
        <v>6988958.1450714003</v>
      </c>
      <c r="R31">
        <v>15006965.342177801</v>
      </c>
      <c r="S31">
        <v>4438405.1063184803</v>
      </c>
      <c r="T31">
        <v>9530317.7129537892</v>
      </c>
      <c r="U31">
        <v>6988958.1450714003</v>
      </c>
      <c r="V31">
        <v>15006965.342177801</v>
      </c>
      <c r="W31">
        <v>4438405.1063184803</v>
      </c>
      <c r="X31">
        <v>9530317.7129538003</v>
      </c>
      <c r="Y31">
        <v>36043418.585661501</v>
      </c>
      <c r="Z31">
        <v>77393843.588843703</v>
      </c>
      <c r="AA31">
        <v>6988958.1450714003</v>
      </c>
      <c r="AB31">
        <v>15006965.342177801</v>
      </c>
      <c r="AC31">
        <v>4438405.1063184803</v>
      </c>
      <c r="AD31">
        <v>9530317.7129537892</v>
      </c>
      <c r="AE31">
        <v>6988958.1450714003</v>
      </c>
      <c r="AF31">
        <v>15006965.342177801</v>
      </c>
      <c r="AG31">
        <v>4438405.1063184803</v>
      </c>
      <c r="AH31">
        <v>9530317.7129538003</v>
      </c>
      <c r="AI31">
        <v>36043418.585661501</v>
      </c>
      <c r="AJ31">
        <v>77393843.588843703</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c r="BM31">
        <v>0</v>
      </c>
      <c r="BN31">
        <v>0</v>
      </c>
      <c r="BO31">
        <v>0</v>
      </c>
      <c r="BP31">
        <v>0</v>
      </c>
      <c r="BQ31">
        <v>0</v>
      </c>
      <c r="BR31">
        <v>0</v>
      </c>
      <c r="BS31">
        <v>0</v>
      </c>
      <c r="BT31">
        <v>0</v>
      </c>
      <c r="BU31">
        <v>0</v>
      </c>
      <c r="BV31">
        <v>0</v>
      </c>
      <c r="BW31">
        <v>0</v>
      </c>
      <c r="BX31">
        <v>0</v>
      </c>
      <c r="BY31">
        <v>0</v>
      </c>
      <c r="BZ31">
        <v>0</v>
      </c>
      <c r="CA31">
        <v>0</v>
      </c>
      <c r="CB31">
        <v>0</v>
      </c>
      <c r="CC31">
        <v>0</v>
      </c>
      <c r="CD31">
        <v>0</v>
      </c>
      <c r="CE31">
        <v>3773179.8574618599</v>
      </c>
      <c r="CF31">
        <v>8575408.7669587694</v>
      </c>
      <c r="CG31">
        <v>3773179.8574618599</v>
      </c>
      <c r="CH31">
        <v>8575408.7669587694</v>
      </c>
      <c r="CI31">
        <v>2396194.1678283801</v>
      </c>
      <c r="CJ31">
        <v>5445895.8359735999</v>
      </c>
      <c r="CK31">
        <v>2396194.1678283801</v>
      </c>
      <c r="CL31">
        <v>5445895.8359735999</v>
      </c>
      <c r="CM31">
        <v>3773179.8574618599</v>
      </c>
      <c r="CN31">
        <v>8575408.7669587694</v>
      </c>
      <c r="CO31">
        <v>3773179.8574618599</v>
      </c>
      <c r="CP31">
        <v>8575408.7669587694</v>
      </c>
      <c r="CQ31">
        <v>2396194.1678283801</v>
      </c>
      <c r="CR31">
        <v>5445895.8359735999</v>
      </c>
      <c r="CS31">
        <v>2396194.1678283801</v>
      </c>
      <c r="CT31">
        <v>5445895.8359735999</v>
      </c>
      <c r="CU31">
        <v>3773179.8574618599</v>
      </c>
      <c r="CV31">
        <v>8575408.7669587694</v>
      </c>
      <c r="CW31">
        <v>3773179.8574618599</v>
      </c>
      <c r="CX31">
        <v>8575408.7669587694</v>
      </c>
      <c r="CY31">
        <v>2396194.1678283801</v>
      </c>
      <c r="CZ31">
        <v>5445895.8359735999</v>
      </c>
      <c r="DA31">
        <v>2396194.1678283801</v>
      </c>
      <c r="DB31">
        <v>5445895.8359735999</v>
      </c>
      <c r="DC31">
        <v>19459023.5309093</v>
      </c>
      <c r="DD31">
        <v>44225053.479339302</v>
      </c>
      <c r="DE31">
        <v>19459023.5309093</v>
      </c>
      <c r="DF31">
        <v>44225053.479339302</v>
      </c>
      <c r="DG31">
        <v>19459023.5309093</v>
      </c>
      <c r="DH31">
        <v>44225053.479339302</v>
      </c>
      <c r="DI31">
        <v>3215778.2876095399</v>
      </c>
      <c r="DJ31">
        <v>6431556.5752190799</v>
      </c>
      <c r="DK31">
        <v>3215778.2876095399</v>
      </c>
      <c r="DL31">
        <v>6431556.5752190799</v>
      </c>
      <c r="DM31">
        <v>2042210.9384901</v>
      </c>
      <c r="DN31">
        <v>4084421.8769801999</v>
      </c>
      <c r="DO31">
        <v>2042210.9384901</v>
      </c>
      <c r="DP31">
        <v>4084421.8769801999</v>
      </c>
      <c r="DQ31">
        <v>3215778.2876095399</v>
      </c>
      <c r="DR31">
        <v>6431556.5752190799</v>
      </c>
      <c r="DS31">
        <v>3215778.2876095399</v>
      </c>
      <c r="DT31">
        <v>6431556.5752190799</v>
      </c>
      <c r="DU31">
        <v>2042210.9384901</v>
      </c>
      <c r="DV31">
        <v>4084421.8769801999</v>
      </c>
      <c r="DW31">
        <v>2042210.9384901</v>
      </c>
      <c r="DX31">
        <v>4084421.8769801999</v>
      </c>
      <c r="DY31">
        <v>3215778.2876095399</v>
      </c>
      <c r="DZ31">
        <v>6431556.5752190799</v>
      </c>
      <c r="EA31">
        <v>3215778.2876095399</v>
      </c>
      <c r="EB31">
        <v>6431556.5752190799</v>
      </c>
      <c r="EC31">
        <v>2042210.9384901</v>
      </c>
      <c r="ED31">
        <v>4084421.8769801999</v>
      </c>
      <c r="EE31">
        <v>2042210.9384901</v>
      </c>
      <c r="EF31">
        <v>4084421.8769801999</v>
      </c>
      <c r="EG31">
        <v>16584395.054752201</v>
      </c>
      <c r="EH31">
        <v>33168790.109504402</v>
      </c>
      <c r="EI31">
        <v>16584395.054752201</v>
      </c>
      <c r="EJ31">
        <v>33168790.109504402</v>
      </c>
      <c r="EK31">
        <v>16584395.054752201</v>
      </c>
      <c r="EL31">
        <v>33168790.109504402</v>
      </c>
      <c r="EM31">
        <v>36.0904168519045</v>
      </c>
      <c r="EN31">
        <v>581.22739094344399</v>
      </c>
      <c r="EO31">
        <v>0</v>
      </c>
      <c r="EP31">
        <v>0</v>
      </c>
      <c r="EQ31">
        <v>0</v>
      </c>
      <c r="ER31">
        <v>0</v>
      </c>
      <c r="ES31">
        <v>531.97972005439101</v>
      </c>
      <c r="ET31">
        <v>0</v>
      </c>
      <c r="EU31">
        <v>0.270610479969911</v>
      </c>
      <c r="EV31">
        <v>0</v>
      </c>
      <c r="EW31">
        <v>0</v>
      </c>
      <c r="EX31">
        <v>0</v>
      </c>
      <c r="EY31">
        <v>4.2290052219421099</v>
      </c>
      <c r="EZ31">
        <v>533.10010570958605</v>
      </c>
      <c r="FA31">
        <v>0</v>
      </c>
      <c r="FB31">
        <v>0.27065425139020799</v>
      </c>
      <c r="FC31">
        <v>0</v>
      </c>
      <c r="FD31">
        <v>0</v>
      </c>
      <c r="FE31">
        <v>0</v>
      </c>
      <c r="FF31">
        <v>0</v>
      </c>
      <c r="FG31">
        <v>0</v>
      </c>
      <c r="FH31">
        <v>0</v>
      </c>
      <c r="FI31">
        <v>0</v>
      </c>
      <c r="FJ31">
        <v>0</v>
      </c>
      <c r="FK31">
        <v>0</v>
      </c>
      <c r="FL31">
        <v>0</v>
      </c>
      <c r="FM31">
        <v>0</v>
      </c>
      <c r="FN31">
        <v>0</v>
      </c>
      <c r="FO31">
        <v>1.22625686253081E-2</v>
      </c>
      <c r="FP31">
        <v>0</v>
      </c>
      <c r="FQ31">
        <v>1.88562322025512E-3</v>
      </c>
      <c r="FR31">
        <v>0</v>
      </c>
      <c r="FS31">
        <v>0</v>
      </c>
      <c r="FT31">
        <v>0</v>
      </c>
      <c r="FU31">
        <v>22.820187086681401</v>
      </c>
      <c r="FV31">
        <v>0</v>
      </c>
      <c r="FW31">
        <v>0</v>
      </c>
      <c r="FX31">
        <v>0</v>
      </c>
      <c r="FY31">
        <v>1.22625686253081E-2</v>
      </c>
      <c r="FZ31">
        <v>0</v>
      </c>
      <c r="GA31">
        <v>1.88562322025512E-3</v>
      </c>
      <c r="GB31">
        <v>-103.74010871745701</v>
      </c>
      <c r="GC31">
        <v>-335.640707767675</v>
      </c>
      <c r="GD31">
        <v>-217.15168199655201</v>
      </c>
      <c r="GE31">
        <v>-66.522108313247799</v>
      </c>
      <c r="GF31">
        <v>-200.80709607696099</v>
      </c>
      <c r="GG31">
        <v>-120.0952112904</v>
      </c>
      <c r="GH31">
        <v>-99.239190140185698</v>
      </c>
      <c r="GI31">
        <v>-341.67077235914502</v>
      </c>
      <c r="GJ31">
        <v>-226.22315432525099</v>
      </c>
      <c r="GK31">
        <v>-63.629328584321897</v>
      </c>
      <c r="GL31">
        <v>-211.22611565735301</v>
      </c>
      <c r="GM31">
        <v>-132.13903749814801</v>
      </c>
      <c r="GN31">
        <v>-15.362547949407499</v>
      </c>
      <c r="GO31">
        <v>25.1936846788848</v>
      </c>
      <c r="GP31">
        <v>25.662498254381902</v>
      </c>
      <c r="GQ31">
        <v>90.533811959633695</v>
      </c>
      <c r="GR31">
        <v>6.4698504299561197</v>
      </c>
      <c r="GS31">
        <v>-218.712751881363</v>
      </c>
      <c r="GT31">
        <v>-9.8085061017603401</v>
      </c>
      <c r="GU31">
        <v>25.284566148000899</v>
      </c>
      <c r="GV31">
        <v>25.8186641179094</v>
      </c>
      <c r="GW31">
        <v>65.247679890023704</v>
      </c>
      <c r="GX31">
        <v>6.0733830821541597</v>
      </c>
      <c r="GY31">
        <v>-137.07357224785</v>
      </c>
      <c r="GZ31">
        <v>-15.1452062692005</v>
      </c>
      <c r="HA31">
        <v>25.229100051298001</v>
      </c>
      <c r="HB31">
        <v>25.6976215518002</v>
      </c>
      <c r="HC31">
        <v>89.915770775404596</v>
      </c>
      <c r="HD31">
        <v>4.9770429905729303</v>
      </c>
      <c r="HE31">
        <v>-232.37552082029799</v>
      </c>
      <c r="HF31">
        <v>-9.4228651190953396</v>
      </c>
      <c r="HG31">
        <v>25.358327754124002</v>
      </c>
      <c r="HH31">
        <v>25.769585151019001</v>
      </c>
      <c r="HI31">
        <v>56.274855422262299</v>
      </c>
      <c r="HJ31">
        <v>7.2197688016842703</v>
      </c>
      <c r="HK31">
        <v>-93.324561824938002</v>
      </c>
      <c r="HL31">
        <v>-78.058079468868897</v>
      </c>
      <c r="HM31">
        <v>27.872126635986898</v>
      </c>
      <c r="HN31">
        <v>28.414976281246901</v>
      </c>
      <c r="HO31">
        <v>19.0843905501739</v>
      </c>
      <c r="HP31">
        <v>-126.602782027969</v>
      </c>
      <c r="HQ31">
        <v>26.912371596047201</v>
      </c>
      <c r="HR31">
        <v>-209.99534818505001</v>
      </c>
      <c r="HS31">
        <v>-50.662765157027003</v>
      </c>
      <c r="HT31">
        <v>28.0511006250312</v>
      </c>
      <c r="HU31">
        <v>28.505862098176099</v>
      </c>
      <c r="HV31">
        <v>16.519124012365602</v>
      </c>
      <c r="HW31">
        <v>-67.782056230501396</v>
      </c>
      <c r="HX31">
        <v>27.089850093693201</v>
      </c>
      <c r="HY31">
        <v>-110.57193684044201</v>
      </c>
      <c r="HZ31">
        <v>27.8623974480541</v>
      </c>
      <c r="IA31">
        <v>28.4220570551702</v>
      </c>
      <c r="IB31">
        <v>12.606793958836199</v>
      </c>
      <c r="IC31">
        <v>-74.759059260797898</v>
      </c>
      <c r="ID31">
        <v>-125.86063194965899</v>
      </c>
      <c r="IE31">
        <v>26.937673137136301</v>
      </c>
      <c r="IF31">
        <v>-209.49321002151601</v>
      </c>
      <c r="IG31">
        <v>-2.8610501852500998</v>
      </c>
      <c r="IH31">
        <v>27.955771149686701</v>
      </c>
      <c r="II31">
        <v>28.463272039643002</v>
      </c>
      <c r="IJ31">
        <v>9.0168983794407804</v>
      </c>
      <c r="IK31">
        <v>-3.0542004085416998</v>
      </c>
      <c r="IL31">
        <v>-46.970408475608103</v>
      </c>
      <c r="IM31">
        <v>-71.849010308522693</v>
      </c>
      <c r="IN31">
        <v>27.054198526459199</v>
      </c>
      <c r="IO31">
        <v>1.10170046237077</v>
      </c>
      <c r="IP31">
        <v>-120.353005473656</v>
      </c>
      <c r="IQ31">
        <v>-263.987901794582</v>
      </c>
      <c r="IR31">
        <v>-146.213381557703</v>
      </c>
      <c r="IS31">
        <v>-261.46195170365701</v>
      </c>
      <c r="IT31">
        <v>-150.206960043061</v>
      </c>
      <c r="IU31">
        <v>-3823.4672364754701</v>
      </c>
      <c r="IV31">
        <v>-19.0828148175728</v>
      </c>
      <c r="IW31">
        <v>26.0458253649204</v>
      </c>
      <c r="IX31">
        <v>26.912371596047201</v>
      </c>
      <c r="IY31">
        <v>145.366821000193</v>
      </c>
      <c r="IZ31">
        <v>-10.158713803352899</v>
      </c>
      <c r="JA31">
        <v>-560.59625581528701</v>
      </c>
      <c r="JB31">
        <v>-12.314386805437699</v>
      </c>
      <c r="JC31">
        <v>26.147850154041699</v>
      </c>
      <c r="JD31">
        <v>27.089850093693201</v>
      </c>
      <c r="JE31">
        <v>101.302533515159</v>
      </c>
      <c r="JF31">
        <v>-3.5165280402257899</v>
      </c>
      <c r="JG31">
        <v>-355.25742230091498</v>
      </c>
      <c r="JH31">
        <v>-18.732435146156099</v>
      </c>
      <c r="JI31">
        <v>26.075415242584199</v>
      </c>
      <c r="JJ31">
        <v>26.937673137136301</v>
      </c>
      <c r="JK31">
        <v>144.74854385729</v>
      </c>
      <c r="JL31">
        <v>-12.7231650648623</v>
      </c>
      <c r="JM31">
        <v>-573.33050201345804</v>
      </c>
      <c r="JN31">
        <v>-12.0259531004859</v>
      </c>
      <c r="JO31">
        <v>26.241119185914599</v>
      </c>
      <c r="JP31">
        <v>27.054198526459199</v>
      </c>
      <c r="JQ31">
        <v>1.2104502971525599</v>
      </c>
      <c r="JR31">
        <v>90.748371435430897</v>
      </c>
      <c r="JS31">
        <v>0.55346012891357599</v>
      </c>
      <c r="JT31">
        <v>-2.3082624202356499</v>
      </c>
      <c r="JU31">
        <v>-310.57756953780699</v>
      </c>
      <c r="JV31">
        <v>-71.174781397447703</v>
      </c>
      <c r="JW31">
        <v>-106.11223689406199</v>
      </c>
      <c r="JX31">
        <v>-285.32925256185899</v>
      </c>
      <c r="JY31">
        <v>-46.169019445411401</v>
      </c>
      <c r="JZ31">
        <v>-55.7368939030208</v>
      </c>
      <c r="KA31">
        <v>-160.712831060431</v>
      </c>
      <c r="KB31">
        <v>-67.362173643186296</v>
      </c>
      <c r="KC31">
        <v>-105.581001830384</v>
      </c>
      <c r="KD31">
        <v>-282.89083825865902</v>
      </c>
      <c r="KE31">
        <v>-42.5738122446879</v>
      </c>
      <c r="KF31">
        <v>25.8496739725671</v>
      </c>
      <c r="KG31">
        <v>-124.59277143827001</v>
      </c>
      <c r="KH31">
        <v>0.55006866752560202</v>
      </c>
      <c r="KI31">
        <v>-58.796320548123902</v>
      </c>
      <c r="KJ31">
        <v>-174.53039075077501</v>
      </c>
      <c r="KK31">
        <v>7.7022848572651004</v>
      </c>
      <c r="KL31">
        <v>25.3061431510306</v>
      </c>
      <c r="KM31">
        <v>26.605258418953799</v>
      </c>
      <c r="KN31">
        <v>441.69604173494997</v>
      </c>
      <c r="KO31">
        <v>24.495753815907001</v>
      </c>
      <c r="KP31">
        <v>13.044766679642301</v>
      </c>
      <c r="KQ31">
        <v>53.904874911033303</v>
      </c>
      <c r="KR31">
        <v>-734.46463642019501</v>
      </c>
      <c r="KS31">
        <v>5.3005213286147903</v>
      </c>
      <c r="KT31">
        <v>25.3556608429463</v>
      </c>
      <c r="KU31">
        <v>26.7461200497386</v>
      </c>
      <c r="KV31">
        <v>292.46230623950697</v>
      </c>
      <c r="KW31">
        <v>24.515981998002999</v>
      </c>
      <c r="KX31">
        <v>13.138694940175901</v>
      </c>
      <c r="KY31">
        <v>35.730668355356698</v>
      </c>
      <c r="KZ31">
        <v>-471.922100317689</v>
      </c>
      <c r="LA31">
        <v>8.2178575750803606</v>
      </c>
      <c r="LB31">
        <v>25.354560192038701</v>
      </c>
      <c r="LC31">
        <v>26.6409422515815</v>
      </c>
      <c r="LD31">
        <v>441.74207393230898</v>
      </c>
      <c r="LE31">
        <v>24.545660306790801</v>
      </c>
      <c r="LF31">
        <v>13.046178636168801</v>
      </c>
      <c r="LG31">
        <v>53.914367481346503</v>
      </c>
      <c r="LH31">
        <v>-733.13181541201698</v>
      </c>
      <c r="LI31">
        <v>5.8969776523130104</v>
      </c>
      <c r="LJ31">
        <v>25.406030653908601</v>
      </c>
      <c r="LK31">
        <v>26.6892785025107</v>
      </c>
      <c r="LL31">
        <v>282.28274410575898</v>
      </c>
      <c r="LM31">
        <v>24.608048168409699</v>
      </c>
      <c r="LN31">
        <v>13.504698661072601</v>
      </c>
      <c r="LO31">
        <v>36.042390862375903</v>
      </c>
      <c r="LP31">
        <v>-447.36581983007301</v>
      </c>
      <c r="LQ31">
        <v>-5.06778041220229</v>
      </c>
      <c r="LR31">
        <v>20.320659847042101</v>
      </c>
      <c r="LS31">
        <v>16.420999999999999</v>
      </c>
      <c r="LT31">
        <v>-315.20062650862701</v>
      </c>
      <c r="LU31">
        <v>-2022.9622314732901</v>
      </c>
      <c r="LV31">
        <v>22.038501004908699</v>
      </c>
      <c r="LW31">
        <v>24.7111441994895</v>
      </c>
      <c r="LX31">
        <v>328.91005284322603</v>
      </c>
      <c r="LY31">
        <v>-3.4223802886676502</v>
      </c>
      <c r="LZ31">
        <v>20.3658558842417</v>
      </c>
      <c r="MA31">
        <v>16.420999999999999</v>
      </c>
      <c r="MB31">
        <v>-200.11604504166101</v>
      </c>
      <c r="MC31">
        <v>-1284.8033144261201</v>
      </c>
      <c r="MD31">
        <v>22.0904531646074</v>
      </c>
      <c r="ME31">
        <v>24.8708752192851</v>
      </c>
      <c r="MF31">
        <v>210.54139197961899</v>
      </c>
      <c r="MG31">
        <v>-4.7321779443411804</v>
      </c>
      <c r="MH31">
        <v>20.332289913874099</v>
      </c>
      <c r="MI31">
        <v>16.420999999999999</v>
      </c>
      <c r="MJ31">
        <v>-319.38471033180298</v>
      </c>
      <c r="MK31">
        <v>-2049.90625524199</v>
      </c>
      <c r="ML31">
        <v>22.072113377957201</v>
      </c>
      <c r="MM31">
        <v>24.747722611431598</v>
      </c>
      <c r="MN31">
        <v>332.96831327057902</v>
      </c>
      <c r="MO31">
        <v>-3.15964865204913</v>
      </c>
      <c r="MP31">
        <v>20.407487885727502</v>
      </c>
      <c r="MQ31">
        <v>16.420999999999999</v>
      </c>
      <c r="MR31">
        <v>-203.25734795205099</v>
      </c>
      <c r="MS31">
        <v>-1300.2785615108101</v>
      </c>
      <c r="MT31">
        <v>22.150558183674601</v>
      </c>
      <c r="MU31">
        <v>24.8107538906218</v>
      </c>
      <c r="MV31">
        <v>211.79884473259099</v>
      </c>
      <c r="MW31">
        <v>-12.3390713668344</v>
      </c>
      <c r="MX31">
        <v>25.167557035859101</v>
      </c>
      <c r="MY31">
        <v>24.9029166119197</v>
      </c>
      <c r="MZ31">
        <v>-59.189372395138101</v>
      </c>
      <c r="NA31">
        <v>-571.04735640693104</v>
      </c>
      <c r="NB31">
        <v>25.6916348813781</v>
      </c>
      <c r="NC31">
        <v>26.811765576218701</v>
      </c>
      <c r="ND31">
        <v>137.31548811813701</v>
      </c>
      <c r="NE31">
        <v>-8.2256348152043497</v>
      </c>
      <c r="NF31">
        <v>25.249709777369301</v>
      </c>
      <c r="NG31">
        <v>24.980529220609601</v>
      </c>
      <c r="NH31">
        <v>-35.656859221131697</v>
      </c>
      <c r="NI31">
        <v>-355.12156165094098</v>
      </c>
      <c r="NJ31">
        <v>25.770787283624799</v>
      </c>
      <c r="NK31">
        <v>26.994076143286101</v>
      </c>
      <c r="NL31">
        <v>88.4210084900743</v>
      </c>
      <c r="NM31">
        <v>-11.971605898953401</v>
      </c>
      <c r="NN31">
        <v>25.1912478064921</v>
      </c>
      <c r="NO31">
        <v>24.926876972046301</v>
      </c>
      <c r="NP31">
        <v>-61.799540950372702</v>
      </c>
      <c r="NQ31">
        <v>-589.329511548862</v>
      </c>
      <c r="NR31">
        <v>25.730076023599601</v>
      </c>
      <c r="NS31">
        <v>26.8408653822001</v>
      </c>
      <c r="NT31">
        <v>140.23602408758899</v>
      </c>
      <c r="NU31">
        <v>-8.0816101287999906</v>
      </c>
      <c r="NV31">
        <v>25.418199528209801</v>
      </c>
      <c r="NW31">
        <v>25.1214342057688</v>
      </c>
      <c r="NX31">
        <v>1.7</v>
      </c>
      <c r="NY31">
        <v>-34.701674897572801</v>
      </c>
      <c r="NZ31">
        <v>-343.28890173732799</v>
      </c>
      <c r="OA31">
        <v>25.924916755911699</v>
      </c>
      <c r="OB31">
        <v>26.968882604012599</v>
      </c>
      <c r="OC31">
        <v>1.7</v>
      </c>
      <c r="OD31">
        <v>85.956753821785895</v>
      </c>
      <c r="OE31">
        <v>1.7</v>
      </c>
      <c r="OF31">
        <v>1.7</v>
      </c>
      <c r="OG31">
        <v>-12.324341939528701</v>
      </c>
      <c r="OH31">
        <v>25.3391932198682</v>
      </c>
      <c r="OI31">
        <v>25.432353990190901</v>
      </c>
      <c r="OJ31">
        <v>-43.964456317882501</v>
      </c>
      <c r="OK31">
        <v>-493.78536041431602</v>
      </c>
      <c r="OL31">
        <v>25.799344001591201</v>
      </c>
      <c r="OM31">
        <v>26.784596825382799</v>
      </c>
      <c r="ON31">
        <v>128.57072323734599</v>
      </c>
      <c r="OO31">
        <v>-8.1868162414069605</v>
      </c>
      <c r="OP31">
        <v>25.415619311977999</v>
      </c>
      <c r="OQ31">
        <v>25.515228081901501</v>
      </c>
      <c r="OR31">
        <v>-24.9223948710281</v>
      </c>
      <c r="OS31">
        <v>-299.75279957198399</v>
      </c>
      <c r="OT31">
        <v>25.864846871732201</v>
      </c>
      <c r="OU31">
        <v>26.9411923152715</v>
      </c>
      <c r="OV31">
        <v>82.046716369170298</v>
      </c>
      <c r="OW31">
        <v>-11.9508958111246</v>
      </c>
      <c r="OX31">
        <v>25.360520925017202</v>
      </c>
      <c r="OY31">
        <v>25.452900464643399</v>
      </c>
      <c r="OZ31">
        <v>-46.748445328353199</v>
      </c>
      <c r="PA31">
        <v>-513.65722663834504</v>
      </c>
      <c r="PB31">
        <v>25.8367482008649</v>
      </c>
      <c r="PC31">
        <v>26.8168706181864</v>
      </c>
      <c r="PD31">
        <v>131.81467313428399</v>
      </c>
      <c r="PE31">
        <v>-8.0319915975318104</v>
      </c>
      <c r="PF31">
        <v>25.59780195958</v>
      </c>
      <c r="PG31">
        <v>25.6761691280478</v>
      </c>
      <c r="PH31">
        <v>1.7</v>
      </c>
      <c r="PI31">
        <v>-23.045380163233901</v>
      </c>
      <c r="PJ31">
        <v>-282.21503261498202</v>
      </c>
      <c r="PK31">
        <v>26.0256302260225</v>
      </c>
      <c r="PL31">
        <v>26.909537317324101</v>
      </c>
      <c r="PM31">
        <v>1.7</v>
      </c>
      <c r="PN31">
        <v>78.828176859455994</v>
      </c>
      <c r="PO31">
        <v>25.501759125030201</v>
      </c>
      <c r="PP31">
        <v>25.753817934334201</v>
      </c>
      <c r="PQ31">
        <v>25.503899897331099</v>
      </c>
      <c r="PR31">
        <v>25.585605434856902</v>
      </c>
      <c r="PS31">
        <v>26.286460322073999</v>
      </c>
      <c r="PT31">
        <v>27.0272800565944</v>
      </c>
      <c r="PU31">
        <v>27.295193586415198</v>
      </c>
      <c r="PV31">
        <v>27.013038643525999</v>
      </c>
      <c r="PW31">
        <v>27.1369825690591</v>
      </c>
      <c r="PX31">
        <v>28.049044673472601</v>
      </c>
      <c r="PY31">
        <v>26.9417660669627</v>
      </c>
      <c r="PZ31">
        <v>27.180927478194199</v>
      </c>
      <c r="QA31">
        <v>26.930133981063801</v>
      </c>
      <c r="QB31">
        <v>27.010803267193999</v>
      </c>
      <c r="QC31">
        <v>28.633382698525399</v>
      </c>
      <c r="QD31">
        <v>25.931660779802101</v>
      </c>
      <c r="QE31">
        <v>25.935161131623399</v>
      </c>
      <c r="QF31">
        <v>26.266297831605002</v>
      </c>
      <c r="QG31">
        <v>25.8858670368177</v>
      </c>
      <c r="QH31">
        <v>25.933673212207299</v>
      </c>
      <c r="QI31">
        <v>27.270394413734401</v>
      </c>
      <c r="QJ31">
        <v>27.30826222132</v>
      </c>
      <c r="QK31">
        <v>27.653421991053602</v>
      </c>
      <c r="QL31">
        <v>27.222101644510101</v>
      </c>
      <c r="QM31">
        <v>27.312410783669101</v>
      </c>
      <c r="QN31">
        <v>-460.19125912103499</v>
      </c>
      <c r="QO31">
        <v>28.990864295271901</v>
      </c>
      <c r="QP31">
        <v>-9809.2588670321802</v>
      </c>
      <c r="QQ31">
        <v>27.199126167292501</v>
      </c>
      <c r="QR31">
        <v>27.515589384286599</v>
      </c>
      <c r="QS31">
        <v>27.120086409639999</v>
      </c>
      <c r="QT31">
        <v>27.169382071419001</v>
      </c>
      <c r="QU31">
        <v>29.581960703410999</v>
      </c>
      <c r="QV31">
        <v>25.923808480697101</v>
      </c>
      <c r="QW31">
        <v>1610997.7499615401</v>
      </c>
      <c r="QX31">
        <v>0</v>
      </c>
      <c r="QY31">
        <v>1138039.64312823</v>
      </c>
      <c r="QZ31">
        <v>0</v>
      </c>
      <c r="RA31">
        <v>160811.70818387601</v>
      </c>
      <c r="RB31">
        <v>0</v>
      </c>
      <c r="RC31">
        <v>108082.37836222201</v>
      </c>
      <c r="RD31">
        <v>0</v>
      </c>
      <c r="RE31">
        <v>396694.000866524</v>
      </c>
      <c r="RF31">
        <v>0</v>
      </c>
      <c r="RG31">
        <v>265172.63508593902</v>
      </c>
      <c r="RH31">
        <v>0</v>
      </c>
      <c r="RI31">
        <v>0</v>
      </c>
      <c r="RJ31">
        <v>0</v>
      </c>
      <c r="RK31">
        <v>26.368563138216601</v>
      </c>
      <c r="RL31">
        <v>-156.461218464019</v>
      </c>
      <c r="RM31">
        <v>-12156.237324604999</v>
      </c>
      <c r="RN31">
        <v>348.49135670604801</v>
      </c>
      <c r="RO31">
        <v>0</v>
      </c>
      <c r="RP31">
        <v>0</v>
      </c>
      <c r="RQ31">
        <v>26.778777728875799</v>
      </c>
      <c r="RR31">
        <v>-548.60679140059096</v>
      </c>
      <c r="RS31">
        <v>-8229.7674470600105</v>
      </c>
      <c r="RT31">
        <v>-281.66204038833899</v>
      </c>
      <c r="RU31">
        <v>0</v>
      </c>
      <c r="RV31">
        <v>0</v>
      </c>
      <c r="RW31">
        <v>26.267834176304302</v>
      </c>
      <c r="RX31">
        <v>0</v>
      </c>
      <c r="RY31">
        <v>-11930.425786612999</v>
      </c>
      <c r="RZ31">
        <v>572.616108063203</v>
      </c>
      <c r="SA31">
        <v>0</v>
      </c>
      <c r="SB31">
        <v>0</v>
      </c>
      <c r="SC31">
        <v>26.281740989557601</v>
      </c>
      <c r="SD31">
        <v>0</v>
      </c>
      <c r="SE31">
        <v>-7597.3512939088596</v>
      </c>
      <c r="SF31">
        <v>352.20334386012598</v>
      </c>
      <c r="SG31">
        <v>0</v>
      </c>
      <c r="SH31">
        <v>0</v>
      </c>
      <c r="SI31">
        <v>28.2543285053947</v>
      </c>
      <c r="SJ31">
        <v>-12026.8160697446</v>
      </c>
      <c r="SK31">
        <v>-53669.225059189601</v>
      </c>
      <c r="SL31">
        <v>-12026.8160697446</v>
      </c>
      <c r="SM31">
        <v>21.1111</v>
      </c>
      <c r="SN31">
        <v>26.666699999999999</v>
      </c>
      <c r="SO31">
        <v>0</v>
      </c>
      <c r="SP31">
        <v>0</v>
      </c>
      <c r="SQ31">
        <v>24.825688155820099</v>
      </c>
      <c r="SR31">
        <v>0</v>
      </c>
      <c r="SS31">
        <v>0</v>
      </c>
      <c r="ST31">
        <v>0</v>
      </c>
      <c r="SU31">
        <v>0</v>
      </c>
      <c r="SV31">
        <v>0</v>
      </c>
      <c r="SW31">
        <v>24.885060915052399</v>
      </c>
      <c r="SX31">
        <v>0</v>
      </c>
      <c r="SY31">
        <v>0</v>
      </c>
      <c r="SZ31">
        <v>0</v>
      </c>
      <c r="TA31">
        <v>0</v>
      </c>
      <c r="TB31">
        <v>0</v>
      </c>
      <c r="TC31">
        <v>24.8617152611398</v>
      </c>
      <c r="TD31">
        <v>0</v>
      </c>
      <c r="TE31">
        <v>0</v>
      </c>
      <c r="TF31">
        <v>0</v>
      </c>
      <c r="TG31">
        <v>0</v>
      </c>
      <c r="TH31">
        <v>0</v>
      </c>
      <c r="TI31">
        <v>24.9925806984864</v>
      </c>
      <c r="TJ31">
        <v>0</v>
      </c>
      <c r="TK31">
        <v>0</v>
      </c>
      <c r="TL31">
        <v>0</v>
      </c>
      <c r="TM31">
        <v>0</v>
      </c>
      <c r="TN31">
        <v>0</v>
      </c>
      <c r="TO31">
        <v>25.232955693466799</v>
      </c>
      <c r="TP31">
        <v>0</v>
      </c>
      <c r="TQ31">
        <v>0</v>
      </c>
      <c r="TR31">
        <v>0</v>
      </c>
      <c r="TS31">
        <v>0</v>
      </c>
      <c r="TT31">
        <v>0</v>
      </c>
      <c r="TU31">
        <v>27.5892443860456</v>
      </c>
      <c r="TV31">
        <v>-1506.4927297567999</v>
      </c>
      <c r="TW31">
        <v>-14054.4104363878</v>
      </c>
      <c r="TX31">
        <v>-1506.4927297567999</v>
      </c>
      <c r="TY31">
        <v>0</v>
      </c>
      <c r="TZ31">
        <v>0</v>
      </c>
      <c r="UA31">
        <v>28.011650395692001</v>
      </c>
      <c r="UB31">
        <v>-1467.0724927799599</v>
      </c>
      <c r="UC31">
        <v>-9445.5427440229596</v>
      </c>
      <c r="UD31">
        <v>-1467.0724927799599</v>
      </c>
      <c r="UE31">
        <v>0</v>
      </c>
      <c r="UF31">
        <v>0</v>
      </c>
      <c r="UG31">
        <v>27.431164645494199</v>
      </c>
      <c r="UH31">
        <v>-1189.96949114476</v>
      </c>
      <c r="UI31">
        <v>-13737.922206998899</v>
      </c>
      <c r="UJ31">
        <v>-1189.96949114476</v>
      </c>
      <c r="UK31">
        <v>0</v>
      </c>
      <c r="UL31">
        <v>0</v>
      </c>
      <c r="UM31">
        <v>27.487838998279202</v>
      </c>
      <c r="UN31">
        <v>-808.26612394609504</v>
      </c>
      <c r="UO31">
        <v>-8788.2124893181808</v>
      </c>
      <c r="UP31">
        <v>-808.26612394609504</v>
      </c>
      <c r="UQ31">
        <v>0</v>
      </c>
      <c r="UR31">
        <v>0</v>
      </c>
      <c r="US31">
        <v>29.932683917071198</v>
      </c>
      <c r="UT31">
        <v>-24603.8022112445</v>
      </c>
      <c r="UU31">
        <v>-66016.782820241802</v>
      </c>
      <c r="UV31">
        <v>-24603.8022112445</v>
      </c>
      <c r="UW31">
        <v>21.1111</v>
      </c>
      <c r="UX31">
        <v>26.666699999999999</v>
      </c>
      <c r="UY31">
        <v>0</v>
      </c>
      <c r="UZ31">
        <v>0</v>
      </c>
      <c r="VA31">
        <v>25.5273134609366</v>
      </c>
      <c r="VB31">
        <v>0</v>
      </c>
      <c r="VC31">
        <v>0</v>
      </c>
      <c r="VD31">
        <v>0</v>
      </c>
      <c r="VE31">
        <v>0</v>
      </c>
      <c r="VF31">
        <v>0</v>
      </c>
      <c r="VG31">
        <v>25.596291564021801</v>
      </c>
      <c r="VH31">
        <v>0</v>
      </c>
      <c r="VI31">
        <v>0</v>
      </c>
      <c r="VJ31">
        <v>0</v>
      </c>
      <c r="VK31">
        <v>0</v>
      </c>
      <c r="VL31">
        <v>0</v>
      </c>
      <c r="VM31">
        <v>25.556950805409102</v>
      </c>
      <c r="VN31">
        <v>0</v>
      </c>
      <c r="VO31">
        <v>0</v>
      </c>
      <c r="VP31">
        <v>0</v>
      </c>
      <c r="VQ31">
        <v>0</v>
      </c>
      <c r="VR31">
        <v>0</v>
      </c>
      <c r="VS31">
        <v>25.724802651384401</v>
      </c>
      <c r="VT31">
        <v>0</v>
      </c>
      <c r="VU31">
        <v>0</v>
      </c>
      <c r="VV31">
        <v>0</v>
      </c>
      <c r="VW31">
        <v>0</v>
      </c>
      <c r="VX31">
        <v>0</v>
      </c>
      <c r="VY31">
        <v>26.153685211084301</v>
      </c>
      <c r="VZ31">
        <v>0</v>
      </c>
      <c r="WA31">
        <v>0</v>
      </c>
      <c r="WB31">
        <v>0</v>
      </c>
      <c r="WC31">
        <v>0</v>
      </c>
      <c r="WD31">
        <v>0</v>
      </c>
      <c r="WE31">
        <v>27.4564862676222</v>
      </c>
      <c r="WF31">
        <v>-1300.1875384734701</v>
      </c>
      <c r="WG31">
        <v>-13898.1181387497</v>
      </c>
      <c r="WH31">
        <v>-1300.1875384734701</v>
      </c>
      <c r="WI31">
        <v>0</v>
      </c>
      <c r="WJ31">
        <v>0</v>
      </c>
      <c r="WK31">
        <v>0</v>
      </c>
      <c r="WL31">
        <v>27.850251290378999</v>
      </c>
      <c r="WM31">
        <v>-1314.5089067732999</v>
      </c>
      <c r="WN31">
        <v>-9326.8430465133497</v>
      </c>
      <c r="WO31">
        <v>-1314.5089067732999</v>
      </c>
      <c r="WP31">
        <v>18.333300000000001</v>
      </c>
      <c r="WQ31">
        <v>26.666699999999999</v>
      </c>
      <c r="WR31">
        <v>0</v>
      </c>
      <c r="WS31">
        <v>0</v>
      </c>
      <c r="WT31">
        <v>27.310038838216201</v>
      </c>
      <c r="WU31">
        <v>-1002.84500260692</v>
      </c>
      <c r="WV31">
        <v>-13600.5344083333</v>
      </c>
      <c r="WW31">
        <v>-1002.84500260692</v>
      </c>
      <c r="WX31">
        <v>0</v>
      </c>
      <c r="WY31">
        <v>0</v>
      </c>
      <c r="WZ31">
        <v>0</v>
      </c>
      <c r="XA31">
        <v>27.3279608756439</v>
      </c>
      <c r="XB31">
        <v>-652.04676220573401</v>
      </c>
      <c r="XC31">
        <v>-8666.0534914733507</v>
      </c>
      <c r="XD31">
        <v>-652.04676220573401</v>
      </c>
      <c r="XE31">
        <v>0</v>
      </c>
      <c r="XF31">
        <v>0</v>
      </c>
      <c r="XG31">
        <v>30.5305387082966</v>
      </c>
      <c r="XH31">
        <v>-28961.1576631756</v>
      </c>
      <c r="XI31">
        <v>-70277.562756532498</v>
      </c>
      <c r="XJ31">
        <v>-28961.1576631756</v>
      </c>
      <c r="XK31">
        <v>21.1111</v>
      </c>
      <c r="XL31">
        <v>26.666699999999999</v>
      </c>
      <c r="XM31">
        <v>0</v>
      </c>
      <c r="XN31">
        <v>0</v>
      </c>
      <c r="XO31">
        <v>24.0782551401789</v>
      </c>
      <c r="XP31">
        <v>0</v>
      </c>
      <c r="XQ31">
        <v>0</v>
      </c>
      <c r="XR31">
        <v>0</v>
      </c>
      <c r="XS31">
        <v>0</v>
      </c>
      <c r="XT31">
        <v>0</v>
      </c>
      <c r="XU31">
        <v>24.097112854542001</v>
      </c>
      <c r="XV31">
        <v>0</v>
      </c>
      <c r="XW31">
        <v>0</v>
      </c>
      <c r="XX31">
        <v>0</v>
      </c>
      <c r="XY31">
        <v>0</v>
      </c>
      <c r="XZ31">
        <v>0</v>
      </c>
      <c r="YA31">
        <v>24.123988641779</v>
      </c>
      <c r="YB31">
        <v>0</v>
      </c>
      <c r="YC31">
        <v>0</v>
      </c>
      <c r="YD31">
        <v>0</v>
      </c>
      <c r="YE31">
        <v>0</v>
      </c>
      <c r="YF31">
        <v>0</v>
      </c>
      <c r="YG31">
        <v>24.1668386335175</v>
      </c>
      <c r="YH31">
        <v>0</v>
      </c>
      <c r="YI31">
        <v>0</v>
      </c>
      <c r="YJ31">
        <v>0</v>
      </c>
      <c r="YK31">
        <v>0</v>
      </c>
      <c r="YL31">
        <v>0</v>
      </c>
      <c r="YM31">
        <v>27.143395831387998</v>
      </c>
      <c r="YN31">
        <v>0</v>
      </c>
      <c r="YO31">
        <v>0</v>
      </c>
      <c r="YP31">
        <v>0</v>
      </c>
      <c r="YQ31">
        <v>0</v>
      </c>
      <c r="YR31">
        <v>0</v>
      </c>
      <c r="YS31">
        <v>21.162338252223702</v>
      </c>
      <c r="YT31">
        <v>0</v>
      </c>
      <c r="YU31">
        <v>0</v>
      </c>
      <c r="YV31">
        <v>0</v>
      </c>
      <c r="YW31">
        <v>0</v>
      </c>
      <c r="YX31">
        <v>0</v>
      </c>
      <c r="YY31">
        <v>21.2087608723104</v>
      </c>
      <c r="YZ31">
        <v>0</v>
      </c>
      <c r="ZA31">
        <v>0</v>
      </c>
      <c r="ZB31">
        <v>0</v>
      </c>
      <c r="ZC31">
        <v>0</v>
      </c>
      <c r="ZD31">
        <v>0</v>
      </c>
      <c r="ZE31">
        <v>21.185189628665</v>
      </c>
      <c r="ZF31">
        <v>0</v>
      </c>
      <c r="ZG31">
        <v>0</v>
      </c>
      <c r="ZH31">
        <v>0</v>
      </c>
      <c r="ZI31">
        <v>0</v>
      </c>
      <c r="ZJ31">
        <v>0</v>
      </c>
      <c r="ZK31">
        <v>21.260415608096999</v>
      </c>
      <c r="ZL31">
        <v>0</v>
      </c>
      <c r="ZM31">
        <v>0</v>
      </c>
      <c r="ZN31">
        <v>0</v>
      </c>
      <c r="ZO31">
        <v>0</v>
      </c>
      <c r="ZP31">
        <v>0</v>
      </c>
      <c r="ZQ31">
        <v>21.448762590541602</v>
      </c>
      <c r="ZR31">
        <v>0</v>
      </c>
      <c r="ZS31">
        <v>0</v>
      </c>
      <c r="ZT31">
        <v>0</v>
      </c>
      <c r="ZU31">
        <v>0</v>
      </c>
      <c r="ZV31">
        <v>0</v>
      </c>
      <c r="ZW31">
        <v>25.349464029921101</v>
      </c>
      <c r="ZX31">
        <v>0</v>
      </c>
      <c r="ZY31">
        <v>0</v>
      </c>
      <c r="ZZ31">
        <v>0</v>
      </c>
      <c r="AAA31">
        <v>0</v>
      </c>
      <c r="AAB31">
        <v>0</v>
      </c>
      <c r="AAC31">
        <v>25.4244737838257</v>
      </c>
      <c r="AAD31">
        <v>0</v>
      </c>
      <c r="AAE31">
        <v>0</v>
      </c>
      <c r="AAF31">
        <v>0</v>
      </c>
      <c r="AAG31">
        <v>0</v>
      </c>
      <c r="AAH31">
        <v>0</v>
      </c>
      <c r="AAI31">
        <v>25.3805375839543</v>
      </c>
      <c r="AAJ31">
        <v>0</v>
      </c>
      <c r="AAK31">
        <v>0</v>
      </c>
      <c r="AAL31">
        <v>0</v>
      </c>
      <c r="AAM31">
        <v>0</v>
      </c>
      <c r="AAN31">
        <v>0</v>
      </c>
      <c r="AAO31">
        <v>25.584847438948199</v>
      </c>
      <c r="AAP31">
        <v>0</v>
      </c>
      <c r="AAQ31">
        <v>0</v>
      </c>
      <c r="AAR31">
        <v>0</v>
      </c>
      <c r="AAS31">
        <v>0</v>
      </c>
      <c r="AAT31">
        <v>0</v>
      </c>
      <c r="AAU31">
        <v>25.465231037360699</v>
      </c>
      <c r="AAV31">
        <v>0</v>
      </c>
      <c r="AAW31">
        <v>0</v>
      </c>
      <c r="AAX31">
        <v>0</v>
      </c>
      <c r="AAY31">
        <v>0</v>
      </c>
      <c r="AAZ31">
        <v>0</v>
      </c>
      <c r="ABA31">
        <v>25.480271658453301</v>
      </c>
      <c r="ABB31">
        <v>0</v>
      </c>
      <c r="ABC31">
        <v>0</v>
      </c>
      <c r="ABD31">
        <v>0</v>
      </c>
      <c r="ABE31">
        <v>0</v>
      </c>
      <c r="ABF31">
        <v>0</v>
      </c>
      <c r="ABG31">
        <v>25.544975026301799</v>
      </c>
      <c r="ABH31">
        <v>0</v>
      </c>
      <c r="ABI31">
        <v>0</v>
      </c>
      <c r="ABJ31">
        <v>0</v>
      </c>
      <c r="ABK31">
        <v>0</v>
      </c>
      <c r="ABL31">
        <v>0</v>
      </c>
      <c r="ABM31">
        <v>25.509558054586801</v>
      </c>
      <c r="ABN31">
        <v>0</v>
      </c>
      <c r="ABO31">
        <v>0</v>
      </c>
      <c r="ABP31">
        <v>0</v>
      </c>
      <c r="ABQ31">
        <v>0</v>
      </c>
      <c r="ABR31">
        <v>0</v>
      </c>
      <c r="ABS31">
        <v>25.714757389714499</v>
      </c>
      <c r="ABT31">
        <v>0</v>
      </c>
      <c r="ABU31">
        <v>0</v>
      </c>
      <c r="ABV31">
        <v>0</v>
      </c>
      <c r="ABW31">
        <v>0</v>
      </c>
      <c r="ABX31">
        <v>0</v>
      </c>
      <c r="ABY31">
        <v>25.923808480697101</v>
      </c>
      <c r="ABZ31">
        <v>0</v>
      </c>
      <c r="ACA31">
        <v>0</v>
      </c>
      <c r="ACB31">
        <v>0</v>
      </c>
      <c r="ACC31">
        <v>0</v>
      </c>
      <c r="ACD31">
        <v>0</v>
      </c>
      <c r="ACE31">
        <v>0</v>
      </c>
      <c r="ACF31">
        <v>7.4572007059970504</v>
      </c>
      <c r="ACG31">
        <v>7.4572007059970504</v>
      </c>
      <c r="ACH31">
        <v>0</v>
      </c>
      <c r="ACI31">
        <v>0</v>
      </c>
      <c r="ACJ31">
        <v>0</v>
      </c>
      <c r="ACK31">
        <v>21.375950174090502</v>
      </c>
      <c r="ACL31">
        <v>21.375950174090502</v>
      </c>
      <c r="ACM31">
        <v>0</v>
      </c>
      <c r="ACN31">
        <v>105390.341415922</v>
      </c>
      <c r="ACP31">
        <v>0</v>
      </c>
      <c r="ACR31">
        <v>105390.341415922</v>
      </c>
      <c r="ACT31">
        <v>28.2546682260434</v>
      </c>
      <c r="ACU31">
        <v>28.2546682260434</v>
      </c>
      <c r="ACV31">
        <v>0</v>
      </c>
      <c r="ACW31">
        <v>0</v>
      </c>
      <c r="ACX31">
        <v>1</v>
      </c>
      <c r="ACY31">
        <v>29.933078946933399</v>
      </c>
      <c r="ACZ31">
        <v>29.933078946933399</v>
      </c>
      <c r="ADA31">
        <v>0</v>
      </c>
      <c r="ADB31">
        <v>0</v>
      </c>
      <c r="ADC31">
        <v>1</v>
      </c>
      <c r="ADD31">
        <v>30.531055851967601</v>
      </c>
      <c r="ADE31">
        <v>30.531055851967601</v>
      </c>
      <c r="ADF31">
        <v>0</v>
      </c>
      <c r="ADG31">
        <v>0</v>
      </c>
      <c r="ADH31">
        <v>1</v>
      </c>
      <c r="ADI31">
        <v>26.565845753138301</v>
      </c>
      <c r="ADJ31">
        <v>26.565845753138301</v>
      </c>
      <c r="ADK31">
        <v>0</v>
      </c>
      <c r="ADL31">
        <v>0</v>
      </c>
      <c r="ADM31">
        <v>1</v>
      </c>
      <c r="ADN31">
        <v>26.763577144217901</v>
      </c>
      <c r="ADO31">
        <v>26.763577144217901</v>
      </c>
      <c r="ADP31">
        <v>0</v>
      </c>
      <c r="ADQ31">
        <v>0</v>
      </c>
      <c r="ADR31">
        <v>1</v>
      </c>
      <c r="ADS31">
        <v>26.567381326042</v>
      </c>
      <c r="ADT31">
        <v>26.567381326042</v>
      </c>
      <c r="ADU31">
        <v>0</v>
      </c>
      <c r="ADV31">
        <v>0</v>
      </c>
      <c r="ADW31">
        <v>1</v>
      </c>
      <c r="ADX31">
        <v>26.6002458168226</v>
      </c>
      <c r="ADY31">
        <v>26.6002458168226</v>
      </c>
      <c r="ADZ31">
        <v>0</v>
      </c>
      <c r="AEA31">
        <v>0</v>
      </c>
      <c r="AEB31">
        <v>1</v>
      </c>
      <c r="AEC31">
        <v>27.835201033614801</v>
      </c>
      <c r="AED31">
        <v>27.835201033614801</v>
      </c>
      <c r="AEE31">
        <v>0</v>
      </c>
      <c r="AEF31">
        <v>0</v>
      </c>
      <c r="AEG31">
        <v>1</v>
      </c>
      <c r="AEH31">
        <v>28.041574081409699</v>
      </c>
      <c r="AEI31">
        <v>28.041574081409699</v>
      </c>
      <c r="AEJ31">
        <v>0</v>
      </c>
      <c r="AEK31">
        <v>0</v>
      </c>
      <c r="AEL31">
        <v>1</v>
      </c>
      <c r="AEM31">
        <v>27.8016038081293</v>
      </c>
      <c r="AEN31">
        <v>27.8016038081293</v>
      </c>
      <c r="AEO31">
        <v>0</v>
      </c>
      <c r="AEP31">
        <v>0</v>
      </c>
      <c r="AEQ31">
        <v>1</v>
      </c>
      <c r="AER31">
        <v>27.874666106655699</v>
      </c>
      <c r="AES31">
        <v>27.874666106655699</v>
      </c>
      <c r="AET31">
        <v>0</v>
      </c>
      <c r="AEU31">
        <v>0</v>
      </c>
      <c r="AEV31">
        <v>1</v>
      </c>
      <c r="AEW31">
        <v>27.696159670153499</v>
      </c>
      <c r="AEX31">
        <v>27.696159670153499</v>
      </c>
      <c r="AEY31">
        <v>0</v>
      </c>
      <c r="AEZ31">
        <v>0</v>
      </c>
      <c r="AFA31">
        <v>1</v>
      </c>
      <c r="AFB31">
        <v>27.8780514726372</v>
      </c>
      <c r="AFC31">
        <v>27.8780514726372</v>
      </c>
      <c r="AFD31">
        <v>0</v>
      </c>
      <c r="AFE31">
        <v>0</v>
      </c>
      <c r="AFF31">
        <v>1</v>
      </c>
      <c r="AFG31">
        <v>27.670018942240699</v>
      </c>
      <c r="AFH31">
        <v>27.670018942240699</v>
      </c>
      <c r="AFI31">
        <v>0</v>
      </c>
      <c r="AFJ31">
        <v>0</v>
      </c>
      <c r="AFK31">
        <v>1</v>
      </c>
      <c r="AFL31">
        <v>27.702008212953999</v>
      </c>
      <c r="AFM31">
        <v>27.702008212953999</v>
      </c>
      <c r="AFN31">
        <v>0</v>
      </c>
      <c r="AFO31">
        <v>0</v>
      </c>
      <c r="AFP31">
        <v>1</v>
      </c>
      <c r="AFQ31">
        <v>0.14118513708724101</v>
      </c>
      <c r="AFR31">
        <v>0.14165311709289799</v>
      </c>
      <c r="AFS31">
        <v>0.15508792700572799</v>
      </c>
      <c r="AFT31">
        <v>0.20447550462536901</v>
      </c>
      <c r="AFU31">
        <v>0.52391093638570396</v>
      </c>
      <c r="AFV31">
        <v>0.53224530385268798</v>
      </c>
      <c r="AFW31">
        <v>0.55164739444418598</v>
      </c>
      <c r="AFX31">
        <v>0.60348972001118695</v>
      </c>
      <c r="AFY31">
        <v>0.48992397192294501</v>
      </c>
      <c r="AFZ31">
        <v>0.49633887098426599</v>
      </c>
      <c r="AGA31">
        <v>0.50503057141581797</v>
      </c>
      <c r="AGB31">
        <v>0.55942633457508195</v>
      </c>
      <c r="AGC31">
        <v>0.54126073669549901</v>
      </c>
      <c r="AGD31">
        <v>1.05370551709259</v>
      </c>
      <c r="AGE31">
        <v>1.2385239467942699</v>
      </c>
      <c r="AGF31">
        <v>0</v>
      </c>
      <c r="AGG31">
        <v>0</v>
      </c>
      <c r="AGH31">
        <v>0</v>
      </c>
      <c r="AGI31">
        <v>0</v>
      </c>
      <c r="AGJ31">
        <v>0</v>
      </c>
      <c r="AGK31">
        <v>0</v>
      </c>
      <c r="AGL31">
        <v>0</v>
      </c>
      <c r="AGM31">
        <v>0</v>
      </c>
      <c r="AGN31">
        <v>0</v>
      </c>
      <c r="AGO31">
        <v>0</v>
      </c>
      <c r="AGP31">
        <v>0</v>
      </c>
      <c r="AGQ31">
        <v>0</v>
      </c>
      <c r="AGR31">
        <v>0</v>
      </c>
      <c r="AGS31">
        <v>0</v>
      </c>
      <c r="AGT31">
        <v>0</v>
      </c>
      <c r="AGU31">
        <v>0</v>
      </c>
      <c r="AGV31">
        <v>0</v>
      </c>
      <c r="AGW31">
        <v>0</v>
      </c>
      <c r="AGX31">
        <v>0</v>
      </c>
      <c r="AGY31">
        <v>0</v>
      </c>
      <c r="AGZ31">
        <v>0</v>
      </c>
      <c r="AHA31">
        <v>0</v>
      </c>
      <c r="AHB31">
        <v>0</v>
      </c>
      <c r="AHC31">
        <v>0</v>
      </c>
      <c r="AHD31">
        <v>0</v>
      </c>
      <c r="AHE31">
        <v>0</v>
      </c>
      <c r="AHF31">
        <v>0</v>
      </c>
      <c r="AHG31">
        <v>0</v>
      </c>
      <c r="AHH31">
        <v>0</v>
      </c>
      <c r="AHI31">
        <v>0</v>
      </c>
      <c r="AHJ31">
        <v>0</v>
      </c>
      <c r="AHK31">
        <v>0</v>
      </c>
      <c r="AHL31">
        <v>0</v>
      </c>
      <c r="AHM31">
        <v>0</v>
      </c>
      <c r="AHN31">
        <v>0</v>
      </c>
      <c r="AHO31">
        <v>0</v>
      </c>
      <c r="AHP31">
        <v>0</v>
      </c>
      <c r="AHQ31">
        <v>0</v>
      </c>
      <c r="AHR31">
        <v>0</v>
      </c>
      <c r="AHS31">
        <v>0</v>
      </c>
      <c r="AHT31">
        <v>0</v>
      </c>
      <c r="AHU31">
        <v>0</v>
      </c>
      <c r="AHV31">
        <v>0</v>
      </c>
      <c r="AHW31">
        <v>0</v>
      </c>
      <c r="AHX31">
        <v>0</v>
      </c>
      <c r="AHZ31">
        <v>0</v>
      </c>
      <c r="AIB31">
        <v>0</v>
      </c>
      <c r="AID31">
        <v>0</v>
      </c>
      <c r="AIF31">
        <v>0</v>
      </c>
      <c r="AIH31">
        <v>0</v>
      </c>
      <c r="AIJ31">
        <v>0</v>
      </c>
      <c r="AIL31">
        <v>0</v>
      </c>
      <c r="AIN31">
        <v>0</v>
      </c>
      <c r="AIP31">
        <v>0</v>
      </c>
      <c r="AIR31">
        <v>0</v>
      </c>
      <c r="AIT31">
        <v>0</v>
      </c>
      <c r="AIV31">
        <v>0</v>
      </c>
      <c r="AIX31">
        <v>0</v>
      </c>
      <c r="AIZ31">
        <v>0</v>
      </c>
      <c r="AJB31">
        <v>0</v>
      </c>
      <c r="AJC31">
        <v>0</v>
      </c>
      <c r="AJE31">
        <v>0</v>
      </c>
      <c r="AJH31">
        <v>0</v>
      </c>
      <c r="AJJ31">
        <v>0</v>
      </c>
      <c r="AJK31">
        <v>0</v>
      </c>
      <c r="AJL31">
        <v>0</v>
      </c>
      <c r="AJM31">
        <v>0</v>
      </c>
      <c r="AJN31">
        <v>0</v>
      </c>
      <c r="AJO31">
        <v>0</v>
      </c>
      <c r="AJP31">
        <v>0</v>
      </c>
      <c r="AJQ31">
        <v>0</v>
      </c>
      <c r="AJR31">
        <v>0</v>
      </c>
      <c r="AJS31">
        <v>0</v>
      </c>
      <c r="AJT31">
        <v>0</v>
      </c>
      <c r="AJU31">
        <v>0</v>
      </c>
      <c r="AJV31">
        <v>0</v>
      </c>
      <c r="AJW31">
        <v>0</v>
      </c>
      <c r="AJX31">
        <v>0</v>
      </c>
      <c r="AJY31">
        <v>0</v>
      </c>
      <c r="AJZ31">
        <v>0</v>
      </c>
      <c r="AKA31">
        <v>0</v>
      </c>
      <c r="AKB31">
        <v>0</v>
      </c>
      <c r="AKC31">
        <v>0</v>
      </c>
      <c r="AKD31">
        <v>0</v>
      </c>
      <c r="AKE31">
        <v>65.56</v>
      </c>
      <c r="AKF31">
        <v>65.56</v>
      </c>
      <c r="AKG31">
        <v>0</v>
      </c>
      <c r="AKH31">
        <v>0</v>
      </c>
      <c r="AKI31">
        <v>0</v>
      </c>
      <c r="AKJ31">
        <v>0</v>
      </c>
      <c r="AKK31">
        <v>0</v>
      </c>
      <c r="AKL31">
        <v>65.56</v>
      </c>
      <c r="AKM31">
        <v>65.56</v>
      </c>
      <c r="AKN31">
        <v>0</v>
      </c>
      <c r="AKO31">
        <v>0</v>
      </c>
      <c r="AKP31">
        <v>0</v>
      </c>
      <c r="AKT31">
        <v>0</v>
      </c>
      <c r="AKX31">
        <v>0</v>
      </c>
      <c r="ALB31">
        <v>21.375950174090502</v>
      </c>
      <c r="ALC31">
        <v>21.375950174090502</v>
      </c>
      <c r="ALD31">
        <v>0</v>
      </c>
      <c r="ALE31">
        <v>0</v>
      </c>
      <c r="ALF31">
        <v>0</v>
      </c>
      <c r="ALH31">
        <v>25.196968953808199</v>
      </c>
      <c r="ALI31">
        <v>9.8519433655289493E-3</v>
      </c>
      <c r="ALJ31">
        <v>0</v>
      </c>
      <c r="ALK31">
        <v>25.196968953808199</v>
      </c>
      <c r="ALL31">
        <v>0</v>
      </c>
      <c r="ALM31">
        <v>0</v>
      </c>
      <c r="ALN31">
        <v>25.196968953808199</v>
      </c>
      <c r="ALO31">
        <v>9.8519433655289493E-3</v>
      </c>
      <c r="ALP31">
        <v>49.241742203840303</v>
      </c>
      <c r="ALQ31">
        <v>0</v>
      </c>
      <c r="ALR31">
        <v>25.196968953808199</v>
      </c>
      <c r="ALS31">
        <v>0</v>
      </c>
      <c r="ALT31">
        <v>25.196968953808199</v>
      </c>
      <c r="ALU31">
        <v>0</v>
      </c>
      <c r="ALV31">
        <v>7.4572007059970504</v>
      </c>
      <c r="ALW31">
        <v>9.9999999999999897E-12</v>
      </c>
      <c r="ALX31">
        <v>7.4572007059970504</v>
      </c>
      <c r="ALY31">
        <v>9.9999999999999897E-12</v>
      </c>
      <c r="ALZ31">
        <v>0</v>
      </c>
      <c r="AMA31">
        <v>7.4572007059970504</v>
      </c>
      <c r="AMB31">
        <v>0</v>
      </c>
      <c r="AMC31">
        <v>7.4572007059970504</v>
      </c>
      <c r="AMD31">
        <v>0</v>
      </c>
      <c r="AME31">
        <v>7.4572007059970504</v>
      </c>
      <c r="AMF31">
        <v>0</v>
      </c>
      <c r="AMG31">
        <v>0</v>
      </c>
      <c r="AMH31">
        <v>0</v>
      </c>
      <c r="AMI31">
        <v>21.261087596559701</v>
      </c>
      <c r="AMJ31">
        <v>0</v>
      </c>
      <c r="AMK31" s="580">
        <v>21.433524529718401</v>
      </c>
      <c r="AML31">
        <v>0</v>
      </c>
      <c r="AMM31">
        <v>21.206263377016601</v>
      </c>
      <c r="AMN31">
        <v>0</v>
      </c>
      <c r="AMO31">
        <v>21.161298927497601</v>
      </c>
      <c r="AMP31">
        <v>0</v>
      </c>
      <c r="AMQ31">
        <v>21.1840879327384</v>
      </c>
      <c r="AMR31">
        <v>0</v>
      </c>
      <c r="AMS31">
        <v>25.4092811284094</v>
      </c>
      <c r="AMT31">
        <v>0</v>
      </c>
      <c r="AMU31">
        <v>25.399454350084699</v>
      </c>
      <c r="AMV31">
        <v>0</v>
      </c>
      <c r="AMW31">
        <v>25.5639327081239</v>
      </c>
      <c r="AMX31">
        <v>0</v>
      </c>
      <c r="AMY31">
        <v>25.325414906048401</v>
      </c>
      <c r="AMZ31">
        <v>0</v>
      </c>
      <c r="ANA31">
        <v>25.356066988016401</v>
      </c>
      <c r="ANB31">
        <v>0</v>
      </c>
      <c r="ANC31">
        <v>25.861868409649698</v>
      </c>
      <c r="AND31">
        <v>0</v>
      </c>
      <c r="ANE31">
        <v>25.520283420161501</v>
      </c>
      <c r="ANF31">
        <v>0</v>
      </c>
      <c r="ANG31">
        <v>25.6945833553896</v>
      </c>
      <c r="ANH31">
        <v>0</v>
      </c>
      <c r="ANI31">
        <v>25.456446286720201</v>
      </c>
      <c r="ANJ31">
        <v>0</v>
      </c>
      <c r="ANK31">
        <v>25.485198881812099</v>
      </c>
      <c r="ANL31">
        <v>0</v>
      </c>
      <c r="ANM31">
        <v>0</v>
      </c>
      <c r="ANN31">
        <v>0</v>
      </c>
      <c r="ANO31">
        <v>0</v>
      </c>
      <c r="ANP31">
        <v>21.433524529718401</v>
      </c>
      <c r="ANQ31">
        <v>21.206263377016601</v>
      </c>
      <c r="ANR31">
        <v>21.261087596559701</v>
      </c>
      <c r="ANS31">
        <v>21.1840879327384</v>
      </c>
      <c r="ANT31">
        <v>21.161298927497601</v>
      </c>
      <c r="ANU31">
        <v>25.4092811284094</v>
      </c>
      <c r="ANV31">
        <v>25.399454350084699</v>
      </c>
      <c r="ANW31">
        <v>25.5639327081239</v>
      </c>
      <c r="ANX31">
        <v>25.356066988016401</v>
      </c>
      <c r="ANY31">
        <v>25.325414906048401</v>
      </c>
      <c r="ANZ31">
        <v>25.861868409649698</v>
      </c>
      <c r="AOA31">
        <v>25.520283420161501</v>
      </c>
      <c r="AOB31">
        <v>25.6945833553896</v>
      </c>
      <c r="AOC31">
        <v>25.485198881812099</v>
      </c>
      <c r="AOD31">
        <v>25.456446286720201</v>
      </c>
      <c r="AOE31">
        <v>25.196968953808199</v>
      </c>
      <c r="AOF31">
        <v>0</v>
      </c>
      <c r="AOG31">
        <v>25.1615462773633</v>
      </c>
      <c r="AOH31">
        <v>0</v>
      </c>
    </row>
    <row r="32" spans="1:1074">
      <c r="A32" t="s">
        <v>2602</v>
      </c>
      <c r="B32">
        <v>19.5793</v>
      </c>
      <c r="D32">
        <v>15.085360250616899</v>
      </c>
      <c r="F32">
        <v>9</v>
      </c>
      <c r="G32">
        <v>10945018.5837641</v>
      </c>
      <c r="H32">
        <v>25252376.055390202</v>
      </c>
      <c r="I32">
        <v>6950739.3466344699</v>
      </c>
      <c r="J32">
        <v>16036764.3509151</v>
      </c>
      <c r="K32">
        <v>10945018.5837641</v>
      </c>
      <c r="L32">
        <v>25252376.055390202</v>
      </c>
      <c r="M32">
        <v>6950739.3466344699</v>
      </c>
      <c r="N32">
        <v>16036764.3509151</v>
      </c>
      <c r="O32">
        <v>56445592.898657002</v>
      </c>
      <c r="P32">
        <v>130231422.417206</v>
      </c>
      <c r="Q32">
        <v>10945018.5837641</v>
      </c>
      <c r="R32">
        <v>25252376.055390202</v>
      </c>
      <c r="S32">
        <v>6950739.3466344699</v>
      </c>
      <c r="T32">
        <v>16036764.3509151</v>
      </c>
      <c r="U32">
        <v>10945018.5837641</v>
      </c>
      <c r="V32">
        <v>25252376.055390202</v>
      </c>
      <c r="W32">
        <v>6950739.3466344699</v>
      </c>
      <c r="X32">
        <v>16036764.3509151</v>
      </c>
      <c r="Y32">
        <v>56445592.898657002</v>
      </c>
      <c r="Z32">
        <v>130231422.417206</v>
      </c>
      <c r="AA32">
        <v>10945018.5837641</v>
      </c>
      <c r="AB32">
        <v>25252376.055390202</v>
      </c>
      <c r="AC32">
        <v>6950739.3466344699</v>
      </c>
      <c r="AD32">
        <v>16036764.3509151</v>
      </c>
      <c r="AE32">
        <v>10945018.5837641</v>
      </c>
      <c r="AF32">
        <v>25252376.055390202</v>
      </c>
      <c r="AG32">
        <v>6950739.3466344699</v>
      </c>
      <c r="AH32">
        <v>16036764.3509151</v>
      </c>
      <c r="AI32">
        <v>56445592.898657002</v>
      </c>
      <c r="AJ32">
        <v>130231422.417206</v>
      </c>
      <c r="AK32">
        <v>23.716228502806501</v>
      </c>
      <c r="AL32">
        <v>3956060.4386927001</v>
      </c>
      <c r="AM32">
        <v>10245410.713212401</v>
      </c>
      <c r="AN32">
        <v>23.716228502806501</v>
      </c>
      <c r="AO32">
        <v>3956060.4386927001</v>
      </c>
      <c r="AP32">
        <v>10245410.713212401</v>
      </c>
      <c r="AQ32">
        <v>15.0612190693548</v>
      </c>
      <c r="AR32">
        <v>2512334.2403159901</v>
      </c>
      <c r="AS32">
        <v>6506446.6379612898</v>
      </c>
      <c r="AT32">
        <v>15.0612190693548</v>
      </c>
      <c r="AU32">
        <v>2512334.2403159901</v>
      </c>
      <c r="AV32">
        <v>6506446.6379612898</v>
      </c>
      <c r="AW32">
        <v>23.716228502806501</v>
      </c>
      <c r="AX32">
        <v>3956060.4386927001</v>
      </c>
      <c r="AY32">
        <v>10245410.713212401</v>
      </c>
      <c r="AZ32">
        <v>23.716228502806501</v>
      </c>
      <c r="BA32">
        <v>3956060.4386927001</v>
      </c>
      <c r="BB32">
        <v>10245410.713212401</v>
      </c>
      <c r="BC32">
        <v>15.0612190693548</v>
      </c>
      <c r="BD32">
        <v>2512334.2403159901</v>
      </c>
      <c r="BE32">
        <v>6506446.6379612898</v>
      </c>
      <c r="BF32">
        <v>15.0612190693548</v>
      </c>
      <c r="BG32">
        <v>2512334.2403159901</v>
      </c>
      <c r="BH32">
        <v>6506446.6379612898</v>
      </c>
      <c r="BI32">
        <v>23.716228502806501</v>
      </c>
      <c r="BJ32">
        <v>3956060.4386927001</v>
      </c>
      <c r="BK32">
        <v>10245410.713212401</v>
      </c>
      <c r="BL32">
        <v>23.716228502806501</v>
      </c>
      <c r="BM32">
        <v>3956060.4386927001</v>
      </c>
      <c r="BN32">
        <v>10245410.713212401</v>
      </c>
      <c r="BO32">
        <v>15.0612190693548</v>
      </c>
      <c r="BP32">
        <v>2512334.2403159901</v>
      </c>
      <c r="BQ32">
        <v>6506446.6379612898</v>
      </c>
      <c r="BR32">
        <v>15.0612190693548</v>
      </c>
      <c r="BS32">
        <v>2512334.2403159901</v>
      </c>
      <c r="BT32">
        <v>6506446.6379612898</v>
      </c>
      <c r="BU32">
        <v>52837578.828362301</v>
      </c>
      <c r="BV32">
        <v>122.309210250839</v>
      </c>
      <c r="BW32">
        <v>20402174.312995501</v>
      </c>
      <c r="BX32">
        <v>52837578.828362301</v>
      </c>
      <c r="BY32">
        <v>122.309210250839</v>
      </c>
      <c r="BZ32">
        <v>20402174.312995501</v>
      </c>
      <c r="CA32">
        <v>52837578.828362301</v>
      </c>
      <c r="CB32">
        <v>122.309210250839</v>
      </c>
      <c r="CC32">
        <v>20402174.312995501</v>
      </c>
      <c r="CD32">
        <v>52837578.828362301</v>
      </c>
      <c r="CE32">
        <v>3773179.8574618599</v>
      </c>
      <c r="CF32">
        <v>8575408.7669587694</v>
      </c>
      <c r="CG32">
        <v>3773179.8574618599</v>
      </c>
      <c r="CH32">
        <v>8575408.7669587694</v>
      </c>
      <c r="CI32">
        <v>2396194.1678283801</v>
      </c>
      <c r="CJ32">
        <v>5445895.8359735999</v>
      </c>
      <c r="CK32">
        <v>2396194.1678283801</v>
      </c>
      <c r="CL32">
        <v>5445895.8359735999</v>
      </c>
      <c r="CM32">
        <v>3773179.8574618599</v>
      </c>
      <c r="CN32">
        <v>8575408.7669587694</v>
      </c>
      <c r="CO32">
        <v>3773179.8574618599</v>
      </c>
      <c r="CP32">
        <v>8575408.7669587694</v>
      </c>
      <c r="CQ32">
        <v>2396194.1678283801</v>
      </c>
      <c r="CR32">
        <v>5445895.8359735999</v>
      </c>
      <c r="CS32">
        <v>2396194.1678283801</v>
      </c>
      <c r="CT32">
        <v>5445895.8359735999</v>
      </c>
      <c r="CU32">
        <v>3773179.8574618599</v>
      </c>
      <c r="CV32">
        <v>8575408.7669587694</v>
      </c>
      <c r="CW32">
        <v>3773179.8574618599</v>
      </c>
      <c r="CX32">
        <v>8575408.7669587694</v>
      </c>
      <c r="CY32">
        <v>2396194.1678283801</v>
      </c>
      <c r="CZ32">
        <v>5445895.8359735999</v>
      </c>
      <c r="DA32">
        <v>2396194.1678283801</v>
      </c>
      <c r="DB32">
        <v>5445895.8359735999</v>
      </c>
      <c r="DC32">
        <v>19459023.5309093</v>
      </c>
      <c r="DD32">
        <v>44225053.479339302</v>
      </c>
      <c r="DE32">
        <v>19459023.5309093</v>
      </c>
      <c r="DF32">
        <v>44225053.479339302</v>
      </c>
      <c r="DG32">
        <v>19459023.5309093</v>
      </c>
      <c r="DH32">
        <v>44225053.479339302</v>
      </c>
      <c r="DI32">
        <v>3215778.2876095399</v>
      </c>
      <c r="DJ32">
        <v>6431556.5752190799</v>
      </c>
      <c r="DK32">
        <v>3215778.2876095399</v>
      </c>
      <c r="DL32">
        <v>6431556.5752190799</v>
      </c>
      <c r="DM32">
        <v>2042210.9384901</v>
      </c>
      <c r="DN32">
        <v>4084421.8769801999</v>
      </c>
      <c r="DO32">
        <v>2042210.9384901</v>
      </c>
      <c r="DP32">
        <v>4084421.8769801999</v>
      </c>
      <c r="DQ32">
        <v>3215778.2876095399</v>
      </c>
      <c r="DR32">
        <v>6431556.5752190799</v>
      </c>
      <c r="DS32">
        <v>3215778.2876095399</v>
      </c>
      <c r="DT32">
        <v>6431556.5752190799</v>
      </c>
      <c r="DU32">
        <v>2042210.9384901</v>
      </c>
      <c r="DV32">
        <v>4084421.8769801999</v>
      </c>
      <c r="DW32">
        <v>2042210.9384901</v>
      </c>
      <c r="DX32">
        <v>4084421.8769801999</v>
      </c>
      <c r="DY32">
        <v>3215778.2876095399</v>
      </c>
      <c r="DZ32">
        <v>6431556.5752190799</v>
      </c>
      <c r="EA32">
        <v>3215778.2876095399</v>
      </c>
      <c r="EB32">
        <v>6431556.5752190799</v>
      </c>
      <c r="EC32">
        <v>2042210.9384901</v>
      </c>
      <c r="ED32">
        <v>4084421.8769801999</v>
      </c>
      <c r="EE32">
        <v>2042210.9384901</v>
      </c>
      <c r="EF32">
        <v>4084421.8769801999</v>
      </c>
      <c r="EG32">
        <v>16584395.054752201</v>
      </c>
      <c r="EH32">
        <v>33168790.109504402</v>
      </c>
      <c r="EI32">
        <v>16584395.054752201</v>
      </c>
      <c r="EJ32">
        <v>33168790.109504402</v>
      </c>
      <c r="EK32">
        <v>16584395.054752201</v>
      </c>
      <c r="EL32">
        <v>33168790.109504402</v>
      </c>
      <c r="EM32">
        <v>617.11640434578396</v>
      </c>
      <c r="EN32">
        <v>4313.4705875259697</v>
      </c>
      <c r="EO32">
        <v>0</v>
      </c>
      <c r="EP32">
        <v>0</v>
      </c>
      <c r="EQ32">
        <v>0</v>
      </c>
      <c r="ER32">
        <v>481.58702400903502</v>
      </c>
      <c r="ES32">
        <v>4426.6471482188999</v>
      </c>
      <c r="ET32">
        <v>0</v>
      </c>
      <c r="EU32">
        <v>2.05281856883777</v>
      </c>
      <c r="EV32">
        <v>0</v>
      </c>
      <c r="EW32">
        <v>0</v>
      </c>
      <c r="EX32">
        <v>478.04382613042401</v>
      </c>
      <c r="EY32">
        <v>22.563469637581498</v>
      </c>
      <c r="EZ32">
        <v>4397.6799541575401</v>
      </c>
      <c r="FA32">
        <v>0</v>
      </c>
      <c r="FB32">
        <v>2.0530584783941501</v>
      </c>
      <c r="FC32">
        <v>0</v>
      </c>
      <c r="FD32">
        <v>0</v>
      </c>
      <c r="FE32">
        <v>0</v>
      </c>
      <c r="FF32">
        <v>0</v>
      </c>
      <c r="FG32">
        <v>0</v>
      </c>
      <c r="FH32">
        <v>0</v>
      </c>
      <c r="FI32">
        <v>0</v>
      </c>
      <c r="FJ32">
        <v>0</v>
      </c>
      <c r="FK32">
        <v>0</v>
      </c>
      <c r="FL32">
        <v>0</v>
      </c>
      <c r="FM32">
        <v>0</v>
      </c>
      <c r="FN32">
        <v>0</v>
      </c>
      <c r="FO32">
        <v>2.45251372506161E-2</v>
      </c>
      <c r="FP32">
        <v>0</v>
      </c>
      <c r="FQ32">
        <v>3.7712464405102401E-3</v>
      </c>
      <c r="FR32">
        <v>0</v>
      </c>
      <c r="FS32">
        <v>0</v>
      </c>
      <c r="FT32">
        <v>0</v>
      </c>
      <c r="FU32">
        <v>145.96815170849399</v>
      </c>
      <c r="FV32">
        <v>0</v>
      </c>
      <c r="FW32">
        <v>0</v>
      </c>
      <c r="FX32">
        <v>0</v>
      </c>
      <c r="FY32">
        <v>2.45251372506161E-2</v>
      </c>
      <c r="FZ32">
        <v>0</v>
      </c>
      <c r="GA32">
        <v>3.7712464405102401E-3</v>
      </c>
      <c r="GB32">
        <v>-112.21945066773399</v>
      </c>
      <c r="GC32">
        <v>-240.65064588570399</v>
      </c>
      <c r="GD32">
        <v>-419.89131913238299</v>
      </c>
      <c r="GE32">
        <v>-13.762736781678999</v>
      </c>
      <c r="GF32">
        <v>-28.572338918644601</v>
      </c>
      <c r="GG32">
        <v>-87.399959931939307</v>
      </c>
      <c r="GH32">
        <v>-109.318775809133</v>
      </c>
      <c r="GI32">
        <v>-261.66728318655203</v>
      </c>
      <c r="GJ32">
        <v>-392.71773608929198</v>
      </c>
      <c r="GK32">
        <v>-70.284116632773006</v>
      </c>
      <c r="GL32">
        <v>-159.44097170483701</v>
      </c>
      <c r="GM32">
        <v>-236.05312710846701</v>
      </c>
      <c r="GN32">
        <v>-55.083209076452498</v>
      </c>
      <c r="GO32">
        <v>25.619115877976299</v>
      </c>
      <c r="GP32">
        <v>26.284643929865499</v>
      </c>
      <c r="GQ32">
        <v>11.353046885544</v>
      </c>
      <c r="GR32">
        <v>-169.606179861203</v>
      </c>
      <c r="GS32">
        <v>-595.84107283168203</v>
      </c>
      <c r="GT32">
        <v>-50.941004878718999</v>
      </c>
      <c r="GU32">
        <v>26.036327731731198</v>
      </c>
      <c r="GV32">
        <v>26.897514912123899</v>
      </c>
      <c r="GW32">
        <v>-9.3012851890178894</v>
      </c>
      <c r="GX32">
        <v>-211.82647170624401</v>
      </c>
      <c r="GY32">
        <v>-589.67492280186696</v>
      </c>
      <c r="GZ32">
        <v>-49.916106524177998</v>
      </c>
      <c r="HA32">
        <v>25.540299619980999</v>
      </c>
      <c r="HB32">
        <v>26.135092880722901</v>
      </c>
      <c r="HC32">
        <v>11.724246743976501</v>
      </c>
      <c r="HD32">
        <v>-131.86625119114899</v>
      </c>
      <c r="HE32">
        <v>-503.32907082026497</v>
      </c>
      <c r="HF32">
        <v>-32.323771343550597</v>
      </c>
      <c r="HG32">
        <v>25.651852293356601</v>
      </c>
      <c r="HH32">
        <v>26.190511611080801</v>
      </c>
      <c r="HI32">
        <v>6.96385053684038</v>
      </c>
      <c r="HJ32">
        <v>-72.229265960686504</v>
      </c>
      <c r="HK32">
        <v>-258.25422543675899</v>
      </c>
      <c r="HL32">
        <v>-34.987809300050799</v>
      </c>
      <c r="HM32">
        <v>28.115660070993101</v>
      </c>
      <c r="HN32">
        <v>28.3745973982012</v>
      </c>
      <c r="HO32">
        <v>89.660946695777398</v>
      </c>
      <c r="HP32">
        <v>-19.642289622769901</v>
      </c>
      <c r="HQ32">
        <v>27.413480408856799</v>
      </c>
      <c r="HR32">
        <v>-107.727825065337</v>
      </c>
      <c r="HS32">
        <v>-6.83316751266808</v>
      </c>
      <c r="HT32">
        <v>28.9110493971944</v>
      </c>
      <c r="HU32">
        <v>28.7383087017115</v>
      </c>
      <c r="HV32">
        <v>79.127243211516401</v>
      </c>
      <c r="HW32">
        <v>45.024196466656498</v>
      </c>
      <c r="HX32">
        <v>28.3235370591463</v>
      </c>
      <c r="HY32">
        <v>-10.003804428693099</v>
      </c>
      <c r="HZ32">
        <v>27.953554145872499</v>
      </c>
      <c r="IA32">
        <v>28.309998989577</v>
      </c>
      <c r="IB32">
        <v>81.533677506061395</v>
      </c>
      <c r="IC32">
        <v>-33.093470019229002</v>
      </c>
      <c r="ID32">
        <v>-14.3037407810695</v>
      </c>
      <c r="IE32">
        <v>27.237213393896401</v>
      </c>
      <c r="IF32">
        <v>-96.513929639013597</v>
      </c>
      <c r="IG32">
        <v>10.727705397883801</v>
      </c>
      <c r="IH32">
        <v>27.995259993047501</v>
      </c>
      <c r="II32">
        <v>28.329884997933501</v>
      </c>
      <c r="IJ32">
        <v>60.277803597469401</v>
      </c>
      <c r="IK32">
        <v>9.4107442197646503</v>
      </c>
      <c r="IL32">
        <v>-15.184937941461</v>
      </c>
      <c r="IM32">
        <v>5.7598566145321302</v>
      </c>
      <c r="IN32">
        <v>27.3125016614609</v>
      </c>
      <c r="IO32">
        <v>0.67705594318084605</v>
      </c>
      <c r="IP32">
        <v>-46.803322348547198</v>
      </c>
      <c r="IQ32">
        <v>-8.8412699000930708</v>
      </c>
      <c r="IR32">
        <v>31.686402834078098</v>
      </c>
      <c r="IS32">
        <v>-18.150708261413499</v>
      </c>
      <c r="IT32">
        <v>-8.6701811539724005</v>
      </c>
      <c r="IU32">
        <v>-1367.27088797073</v>
      </c>
      <c r="IV32">
        <v>-89.144293983612599</v>
      </c>
      <c r="IW32">
        <v>26.541742288929601</v>
      </c>
      <c r="IX32">
        <v>27.413480408856799</v>
      </c>
      <c r="IY32">
        <v>-24.051656187726099</v>
      </c>
      <c r="IZ32">
        <v>-393.21155842879199</v>
      </c>
      <c r="JA32">
        <v>-1110.48025975319</v>
      </c>
      <c r="JB32">
        <v>-70.775211024010204</v>
      </c>
      <c r="JC32">
        <v>27.082894371378</v>
      </c>
      <c r="JD32">
        <v>28.3235370591463</v>
      </c>
      <c r="JE32">
        <v>-19.4440280240267</v>
      </c>
      <c r="JF32">
        <v>-344.50456749222002</v>
      </c>
      <c r="JG32">
        <v>-959.17955040318304</v>
      </c>
      <c r="JH32">
        <v>-84.619044275357993</v>
      </c>
      <c r="JI32">
        <v>26.444849523258</v>
      </c>
      <c r="JJ32">
        <v>27.237213393896401</v>
      </c>
      <c r="JK32">
        <v>-21.825658128451099</v>
      </c>
      <c r="JL32">
        <v>-353.341437739372</v>
      </c>
      <c r="JM32">
        <v>-1007.36694529878</v>
      </c>
      <c r="JN32">
        <v>-52.6807120543385</v>
      </c>
      <c r="JO32">
        <v>26.5716838771026</v>
      </c>
      <c r="JP32">
        <v>27.3125016614609</v>
      </c>
      <c r="JQ32">
        <v>0.76827583963472501</v>
      </c>
      <c r="JR32">
        <v>-9.0863572423843006</v>
      </c>
      <c r="JS32">
        <v>1.3455766690250099</v>
      </c>
      <c r="JT32">
        <v>-195.10415142975199</v>
      </c>
      <c r="JU32">
        <v>-559.74572065863504</v>
      </c>
      <c r="JV32">
        <v>-34.2837149661854</v>
      </c>
      <c r="JW32">
        <v>-17.449901796248401</v>
      </c>
      <c r="JX32">
        <v>-134.103548429174</v>
      </c>
      <c r="JY32">
        <v>-12.592533137995201</v>
      </c>
      <c r="JZ32">
        <v>36.141884460794799</v>
      </c>
      <c r="KA32">
        <v>-24.188629923772702</v>
      </c>
      <c r="KB32">
        <v>-34.150358885136299</v>
      </c>
      <c r="KC32">
        <v>-5.7133936361405802</v>
      </c>
      <c r="KD32">
        <v>-131.32497559042801</v>
      </c>
      <c r="KE32">
        <v>-16.586404021823601</v>
      </c>
      <c r="KF32">
        <v>26.6963859036637</v>
      </c>
      <c r="KG32">
        <v>-21.537241076086001</v>
      </c>
      <c r="KH32">
        <v>0.59215013990515597</v>
      </c>
      <c r="KI32">
        <v>11.0564809301673</v>
      </c>
      <c r="KJ32">
        <v>-71.865248897111201</v>
      </c>
      <c r="KK32">
        <v>-94.891761404518604</v>
      </c>
      <c r="KL32">
        <v>26.349355508700601</v>
      </c>
      <c r="KM32">
        <v>27.3004739673347</v>
      </c>
      <c r="KN32">
        <v>73.607241122244403</v>
      </c>
      <c r="KO32">
        <v>25.743222374654401</v>
      </c>
      <c r="KP32">
        <v>20.289049600182899</v>
      </c>
      <c r="KQ32">
        <v>-253.59660966672001</v>
      </c>
      <c r="KR32">
        <v>-795.92414562961699</v>
      </c>
      <c r="KS32">
        <v>-74.205963053578202</v>
      </c>
      <c r="KT32">
        <v>26.984601380088101</v>
      </c>
      <c r="KU32">
        <v>28.2521320048733</v>
      </c>
      <c r="KV32">
        <v>62.897162546798803</v>
      </c>
      <c r="KW32">
        <v>26.252476924625299</v>
      </c>
      <c r="KX32">
        <v>20.322941479664301</v>
      </c>
      <c r="KY32">
        <v>-199.83862322472501</v>
      </c>
      <c r="KZ32">
        <v>-594.74134070589798</v>
      </c>
      <c r="LA32">
        <v>-91.637903711311907</v>
      </c>
      <c r="LB32">
        <v>26.2364818100516</v>
      </c>
      <c r="LC32">
        <v>27.1278077619341</v>
      </c>
      <c r="LD32">
        <v>70.382841743748102</v>
      </c>
      <c r="LE32">
        <v>25.656966653573001</v>
      </c>
      <c r="LF32">
        <v>20.288560436525799</v>
      </c>
      <c r="LG32">
        <v>-241.86326942073299</v>
      </c>
      <c r="LH32">
        <v>-763.76984492269503</v>
      </c>
      <c r="LI32">
        <v>-60.307677754793701</v>
      </c>
      <c r="LJ32">
        <v>26.252122628061102</v>
      </c>
      <c r="LK32">
        <v>27.134242197561999</v>
      </c>
      <c r="LL32">
        <v>44.129493010462802</v>
      </c>
      <c r="LM32">
        <v>25.679728225346999</v>
      </c>
      <c r="LN32">
        <v>20.414186424044399</v>
      </c>
      <c r="LO32">
        <v>-152.395784925105</v>
      </c>
      <c r="LP32">
        <v>-471.513742620828</v>
      </c>
      <c r="LQ32">
        <v>-8.2866949901139103E-2</v>
      </c>
      <c r="LR32">
        <v>20.321211153184301</v>
      </c>
      <c r="LS32">
        <v>16.420999999999999</v>
      </c>
      <c r="LT32">
        <v>-223.158311361838</v>
      </c>
      <c r="LU32">
        <v>-1953.3167139817599</v>
      </c>
      <c r="LV32">
        <v>22.070850857878199</v>
      </c>
      <c r="LW32">
        <v>25.1048703471027</v>
      </c>
      <c r="LX32">
        <v>433.05576332164497</v>
      </c>
      <c r="LY32">
        <v>7.9883033012507996</v>
      </c>
      <c r="LZ32">
        <v>20.361103556751999</v>
      </c>
      <c r="MA32">
        <v>16.420999999999999</v>
      </c>
      <c r="MB32">
        <v>-75.174572375230596</v>
      </c>
      <c r="MC32">
        <v>-1214.20692974705</v>
      </c>
      <c r="MD32">
        <v>22.179123491156901</v>
      </c>
      <c r="ME32">
        <v>25.675714822623</v>
      </c>
      <c r="MF32">
        <v>357.68305859519</v>
      </c>
      <c r="MG32">
        <v>-0.58375124490652097</v>
      </c>
      <c r="MH32">
        <v>20.3291355698484</v>
      </c>
      <c r="MI32">
        <v>16.420999999999999</v>
      </c>
      <c r="MJ32">
        <v>-222.34158004008501</v>
      </c>
      <c r="MK32">
        <v>-1945.7610166474301</v>
      </c>
      <c r="ML32">
        <v>22.0732879298629</v>
      </c>
      <c r="MM32">
        <v>25.004098975293299</v>
      </c>
      <c r="MN32">
        <v>431.79140593026199</v>
      </c>
      <c r="MO32">
        <v>-9.5085075641480193E-2</v>
      </c>
      <c r="MP32">
        <v>20.399254505974401</v>
      </c>
      <c r="MQ32">
        <v>16.420999999999999</v>
      </c>
      <c r="MR32">
        <v>-136.229293314686</v>
      </c>
      <c r="MS32">
        <v>-1224.9657007645999</v>
      </c>
      <c r="MT32">
        <v>22.140623223077899</v>
      </c>
      <c r="MU32">
        <v>25.054445182352101</v>
      </c>
      <c r="MV32">
        <v>278.51024082736598</v>
      </c>
      <c r="MW32">
        <v>41.455380484825902</v>
      </c>
      <c r="MX32">
        <v>24.800068169050402</v>
      </c>
      <c r="MY32">
        <v>25.1322501325891</v>
      </c>
      <c r="MZ32">
        <v>1004.7615243241</v>
      </c>
      <c r="NA32">
        <v>529.13836418029098</v>
      </c>
      <c r="NB32">
        <v>25.323353444193302</v>
      </c>
      <c r="NC32">
        <v>27.153637376341202</v>
      </c>
      <c r="ND32">
        <v>1377.2626898723499</v>
      </c>
      <c r="NE32">
        <v>40.571361707581197</v>
      </c>
      <c r="NF32">
        <v>24.822240581290401</v>
      </c>
      <c r="NG32">
        <v>25.371509564069999</v>
      </c>
      <c r="NH32">
        <v>777.95840484663404</v>
      </c>
      <c r="NI32">
        <v>433.25260775906497</v>
      </c>
      <c r="NJ32">
        <v>25.415075792756902</v>
      </c>
      <c r="NK32">
        <v>27.954172039055099</v>
      </c>
      <c r="NL32">
        <v>1050.3129446640601</v>
      </c>
      <c r="NM32">
        <v>46.446716949556503</v>
      </c>
      <c r="NN32">
        <v>24.775455824547201</v>
      </c>
      <c r="NO32">
        <v>25.107728038363099</v>
      </c>
      <c r="NP32">
        <v>1093.4673856817999</v>
      </c>
      <c r="NQ32">
        <v>631.884929992053</v>
      </c>
      <c r="NR32">
        <v>25.2868381381729</v>
      </c>
      <c r="NS32">
        <v>27.013045930416698</v>
      </c>
      <c r="NT32">
        <v>1464.0436108313299</v>
      </c>
      <c r="NU32">
        <v>32.050395504845902</v>
      </c>
      <c r="NV32">
        <v>24.974944372237101</v>
      </c>
      <c r="NW32">
        <v>25.283114622758799</v>
      </c>
      <c r="NX32">
        <v>2.62403203507183</v>
      </c>
      <c r="NY32">
        <v>717.95425918468902</v>
      </c>
      <c r="NZ32">
        <v>452.179947648623</v>
      </c>
      <c r="OA32">
        <v>25.4519790095814</v>
      </c>
      <c r="OB32">
        <v>27.103478484306901</v>
      </c>
      <c r="OC32">
        <v>2.69472241896259</v>
      </c>
      <c r="OD32">
        <v>941.64742403120795</v>
      </c>
      <c r="OE32">
        <v>2.62403203507183</v>
      </c>
      <c r="OF32">
        <v>2.69472241896259</v>
      </c>
      <c r="OG32">
        <v>46.676264997236402</v>
      </c>
      <c r="OH32">
        <v>24.881999389343701</v>
      </c>
      <c r="OI32">
        <v>25.7820932923204</v>
      </c>
      <c r="OJ32">
        <v>1249.9002363229999</v>
      </c>
      <c r="OK32">
        <v>866.72839542567101</v>
      </c>
      <c r="OL32">
        <v>25.312341272515599</v>
      </c>
      <c r="OM32">
        <v>27.1588693982503</v>
      </c>
      <c r="ON32">
        <v>1670.9901747296899</v>
      </c>
      <c r="OO32">
        <v>44.521545132091703</v>
      </c>
      <c r="OP32">
        <v>24.8817933136887</v>
      </c>
      <c r="OQ32">
        <v>26.055439873607298</v>
      </c>
      <c r="OR32">
        <v>956.255914847334</v>
      </c>
      <c r="OS32">
        <v>676.899620198516</v>
      </c>
      <c r="OT32">
        <v>25.370804614301299</v>
      </c>
      <c r="OU32">
        <v>27.971334812308299</v>
      </c>
      <c r="OV32">
        <v>1269.9946139957599</v>
      </c>
      <c r="OW32">
        <v>49.2203271149003</v>
      </c>
      <c r="OX32">
        <v>24.870764832110702</v>
      </c>
      <c r="OY32">
        <v>25.748231537732099</v>
      </c>
      <c r="OZ32">
        <v>1306.01421982695</v>
      </c>
      <c r="PA32">
        <v>933.50404365149598</v>
      </c>
      <c r="PB32">
        <v>25.2921671438733</v>
      </c>
      <c r="PC32">
        <v>27.022636260794801</v>
      </c>
      <c r="PD32">
        <v>1724.2876267019799</v>
      </c>
      <c r="PE32">
        <v>40.787057241357502</v>
      </c>
      <c r="PF32">
        <v>25.005157466746301</v>
      </c>
      <c r="PG32">
        <v>25.937600221015401</v>
      </c>
      <c r="PH32">
        <v>2.9263443394495101</v>
      </c>
      <c r="PI32">
        <v>959.15572516306895</v>
      </c>
      <c r="PJ32">
        <v>763.84460797611803</v>
      </c>
      <c r="PK32">
        <v>25.3719278825101</v>
      </c>
      <c r="PL32">
        <v>27.072058392601299</v>
      </c>
      <c r="PM32">
        <v>3.1135466076346501</v>
      </c>
      <c r="PN32">
        <v>1214.2933026225001</v>
      </c>
      <c r="PO32">
        <v>26.064626126531302</v>
      </c>
      <c r="PP32">
        <v>26.997614841416802</v>
      </c>
      <c r="PQ32">
        <v>25.871968420231202</v>
      </c>
      <c r="PR32">
        <v>25.938936263633799</v>
      </c>
      <c r="PS32">
        <v>26.3445049238994</v>
      </c>
      <c r="PT32">
        <v>27.5053561345708</v>
      </c>
      <c r="PU32">
        <v>28.7376869031878</v>
      </c>
      <c r="PV32">
        <v>27.265490472327802</v>
      </c>
      <c r="PW32">
        <v>27.342649780008799</v>
      </c>
      <c r="PX32">
        <v>27.934178063481799</v>
      </c>
      <c r="PY32">
        <v>27.4902947283217</v>
      </c>
      <c r="PZ32">
        <v>28.7495738589475</v>
      </c>
      <c r="QA32">
        <v>27.254604310831201</v>
      </c>
      <c r="QB32">
        <v>27.2894325319334</v>
      </c>
      <c r="QC32">
        <v>28.443793115698501</v>
      </c>
      <c r="QD32">
        <v>24.832302068371401</v>
      </c>
      <c r="QE32">
        <v>26.783206714228299</v>
      </c>
      <c r="QF32">
        <v>28.1345598684671</v>
      </c>
      <c r="QG32">
        <v>26.442240507732802</v>
      </c>
      <c r="QH32">
        <v>26.477201376076302</v>
      </c>
      <c r="QI32">
        <v>27.016647385297301</v>
      </c>
      <c r="QJ32">
        <v>27.520393364786301</v>
      </c>
      <c r="QK32">
        <v>28.857165709247202</v>
      </c>
      <c r="QL32">
        <v>27.241374839373901</v>
      </c>
      <c r="QM32">
        <v>27.264786078299</v>
      </c>
      <c r="QN32">
        <v>150.33618820852001</v>
      </c>
      <c r="QO32">
        <v>28.010878117255899</v>
      </c>
      <c r="QP32">
        <v>397.78815982818497</v>
      </c>
      <c r="QQ32">
        <v>27.476298273129402</v>
      </c>
      <c r="QR32">
        <v>28.803887294841399</v>
      </c>
      <c r="QS32">
        <v>27.240457008931202</v>
      </c>
      <c r="QT32">
        <v>27.2130436207072</v>
      </c>
      <c r="QU32">
        <v>28.3465502430826</v>
      </c>
      <c r="QV32">
        <v>19.668700637510099</v>
      </c>
      <c r="QW32">
        <v>357056.77670046099</v>
      </c>
      <c r="QX32">
        <v>0</v>
      </c>
      <c r="QY32">
        <v>282848.75786221499</v>
      </c>
      <c r="QZ32">
        <v>0</v>
      </c>
      <c r="RA32">
        <v>19690.346514521501</v>
      </c>
      <c r="RB32">
        <v>0</v>
      </c>
      <c r="RC32">
        <v>11715.872102208699</v>
      </c>
      <c r="RD32">
        <v>0</v>
      </c>
      <c r="RE32">
        <v>106631.70035926699</v>
      </c>
      <c r="RF32">
        <v>0</v>
      </c>
      <c r="RG32">
        <v>77973.157621943305</v>
      </c>
      <c r="RH32">
        <v>0</v>
      </c>
      <c r="RI32">
        <v>0</v>
      </c>
      <c r="RJ32">
        <v>2095.4324785915901</v>
      </c>
      <c r="RK32">
        <v>27.5017873019254</v>
      </c>
      <c r="RL32">
        <v>-1977.9579611357401</v>
      </c>
      <c r="RM32">
        <v>-14934.0251761699</v>
      </c>
      <c r="RN32">
        <v>-1977.9579611357401</v>
      </c>
      <c r="RO32">
        <v>0</v>
      </c>
      <c r="RP32">
        <v>3547.1137660600598</v>
      </c>
      <c r="RQ32">
        <v>29.271504895517399</v>
      </c>
      <c r="RR32">
        <v>-3704.0653756292299</v>
      </c>
      <c r="RS32">
        <v>-10340.411091993399</v>
      </c>
      <c r="RT32">
        <v>-3704.0653756292299</v>
      </c>
      <c r="RU32">
        <v>0</v>
      </c>
      <c r="RV32">
        <v>1696.1659820198299</v>
      </c>
      <c r="RW32">
        <v>27.012512595234298</v>
      </c>
      <c r="RX32">
        <v>-1571.2052939215</v>
      </c>
      <c r="RY32">
        <v>-15297.0982649773</v>
      </c>
      <c r="RZ32">
        <v>-1571.2052939215</v>
      </c>
      <c r="SA32">
        <v>0</v>
      </c>
      <c r="SB32">
        <v>1115.36444805986</v>
      </c>
      <c r="SC32">
        <v>27.015466488518801</v>
      </c>
      <c r="SD32">
        <v>-1033.8495125621801</v>
      </c>
      <c r="SE32">
        <v>-9774.7189273561999</v>
      </c>
      <c r="SF32">
        <v>-1033.8495125621801</v>
      </c>
      <c r="SG32">
        <v>0</v>
      </c>
      <c r="SH32">
        <v>12811.5189004857</v>
      </c>
      <c r="SI32">
        <v>27.688789846695201</v>
      </c>
      <c r="SJ32">
        <v>-13009.667646337601</v>
      </c>
      <c r="SK32">
        <v>-56771.948256005497</v>
      </c>
      <c r="SL32">
        <v>-13009.667646337601</v>
      </c>
      <c r="SM32">
        <v>21.1111</v>
      </c>
      <c r="SN32">
        <v>26.666699999999999</v>
      </c>
      <c r="SO32">
        <v>459.92568189610603</v>
      </c>
      <c r="SP32">
        <v>0</v>
      </c>
      <c r="SQ32">
        <v>25.969227256679702</v>
      </c>
      <c r="SR32">
        <v>0</v>
      </c>
      <c r="SS32">
        <v>0</v>
      </c>
      <c r="ST32">
        <v>0</v>
      </c>
      <c r="SU32">
        <v>454.450949897979</v>
      </c>
      <c r="SV32">
        <v>0</v>
      </c>
      <c r="SW32">
        <v>26.616798479996799</v>
      </c>
      <c r="SX32">
        <v>0</v>
      </c>
      <c r="SY32">
        <v>0</v>
      </c>
      <c r="SZ32">
        <v>0</v>
      </c>
      <c r="TA32">
        <v>380.02526885782498</v>
      </c>
      <c r="TB32">
        <v>0</v>
      </c>
      <c r="TC32">
        <v>25.817632946631502</v>
      </c>
      <c r="TD32">
        <v>0</v>
      </c>
      <c r="TE32">
        <v>0</v>
      </c>
      <c r="TF32">
        <v>0</v>
      </c>
      <c r="TG32">
        <v>234.56869512693001</v>
      </c>
      <c r="TH32">
        <v>0</v>
      </c>
      <c r="TI32">
        <v>25.9320056871261</v>
      </c>
      <c r="TJ32">
        <v>0</v>
      </c>
      <c r="TK32">
        <v>0</v>
      </c>
      <c r="TL32">
        <v>0</v>
      </c>
      <c r="TM32">
        <v>2508.7960625082101</v>
      </c>
      <c r="TN32">
        <v>0</v>
      </c>
      <c r="TO32">
        <v>26.25456142142</v>
      </c>
      <c r="TP32">
        <v>0</v>
      </c>
      <c r="TQ32">
        <v>0</v>
      </c>
      <c r="TR32">
        <v>0</v>
      </c>
      <c r="TS32">
        <v>0</v>
      </c>
      <c r="TT32">
        <v>3693.5627754389402</v>
      </c>
      <c r="TU32">
        <v>27.535430595001898</v>
      </c>
      <c r="TV32">
        <v>-3859.8441627396601</v>
      </c>
      <c r="TW32">
        <v>-16762.439143794199</v>
      </c>
      <c r="TX32">
        <v>-3859.8441627396601</v>
      </c>
      <c r="TY32">
        <v>0</v>
      </c>
      <c r="TZ32">
        <v>4177.0598998652604</v>
      </c>
      <c r="UA32">
        <v>28.976644515306699</v>
      </c>
      <c r="UB32">
        <v>-4901.4340833283604</v>
      </c>
      <c r="UC32">
        <v>-11557.320653016201</v>
      </c>
      <c r="UD32">
        <v>-4901.4340833283604</v>
      </c>
      <c r="UE32">
        <v>0</v>
      </c>
      <c r="UF32">
        <v>3300.0486321192702</v>
      </c>
      <c r="UG32">
        <v>27.21725920642</v>
      </c>
      <c r="UH32">
        <v>-3575.2314067889602</v>
      </c>
      <c r="UI32">
        <v>-17560.0273791494</v>
      </c>
      <c r="UJ32">
        <v>-3575.2314067889602</v>
      </c>
      <c r="UK32">
        <v>0</v>
      </c>
      <c r="UL32">
        <v>2227.58153476908</v>
      </c>
      <c r="UM32">
        <v>27.186922376589202</v>
      </c>
      <c r="UN32">
        <v>-2250.9361846994598</v>
      </c>
      <c r="UO32">
        <v>-11169.014629679999</v>
      </c>
      <c r="UP32">
        <v>-2250.9361846994598</v>
      </c>
      <c r="UQ32">
        <v>0</v>
      </c>
      <c r="UR32">
        <v>19490.259585038999</v>
      </c>
      <c r="US32">
        <v>28.087578171030099</v>
      </c>
      <c r="UT32">
        <v>-21680.7393517565</v>
      </c>
      <c r="UU32">
        <v>-65599.391628330704</v>
      </c>
      <c r="UV32">
        <v>-21680.7393517565</v>
      </c>
      <c r="UW32">
        <v>21.1111</v>
      </c>
      <c r="UX32">
        <v>26.666699999999999</v>
      </c>
      <c r="UY32">
        <v>799.49758197702704</v>
      </c>
      <c r="UZ32">
        <v>0</v>
      </c>
      <c r="VA32">
        <v>27.1436320631149</v>
      </c>
      <c r="VB32">
        <v>0</v>
      </c>
      <c r="VC32">
        <v>0</v>
      </c>
      <c r="VD32">
        <v>0</v>
      </c>
      <c r="VE32">
        <v>694.95645502786601</v>
      </c>
      <c r="VF32">
        <v>0</v>
      </c>
      <c r="VG32">
        <v>27.811994535070099</v>
      </c>
      <c r="VH32">
        <v>0</v>
      </c>
      <c r="VI32">
        <v>0</v>
      </c>
      <c r="VJ32">
        <v>0</v>
      </c>
      <c r="VK32">
        <v>714.717220121693</v>
      </c>
      <c r="VL32">
        <v>0</v>
      </c>
      <c r="VM32">
        <v>26.992388779594801</v>
      </c>
      <c r="VN32">
        <v>0</v>
      </c>
      <c r="VO32">
        <v>0</v>
      </c>
      <c r="VP32">
        <v>0</v>
      </c>
      <c r="VQ32">
        <v>409.519602480336</v>
      </c>
      <c r="VR32">
        <v>0</v>
      </c>
      <c r="VS32">
        <v>27.062127076879499</v>
      </c>
      <c r="VT32">
        <v>0</v>
      </c>
      <c r="VU32">
        <v>0</v>
      </c>
      <c r="VV32">
        <v>0</v>
      </c>
      <c r="VW32">
        <v>3345.2047119732401</v>
      </c>
      <c r="VX32">
        <v>0</v>
      </c>
      <c r="VY32">
        <v>27.388200614187301</v>
      </c>
      <c r="VZ32">
        <v>0</v>
      </c>
      <c r="WA32">
        <v>0</v>
      </c>
      <c r="WB32">
        <v>0</v>
      </c>
      <c r="WC32">
        <v>0</v>
      </c>
      <c r="WD32">
        <v>3662.5301463636902</v>
      </c>
      <c r="WE32">
        <v>27.462301817937099</v>
      </c>
      <c r="WF32">
        <v>-3827.1242102134602</v>
      </c>
      <c r="WG32">
        <v>-16726.1979109444</v>
      </c>
      <c r="WH32">
        <v>-3827.1242102134602</v>
      </c>
      <c r="WI32">
        <v>14572700.117765101</v>
      </c>
      <c r="WJ32">
        <v>0</v>
      </c>
      <c r="WK32">
        <v>4047.9722549347498</v>
      </c>
      <c r="WL32">
        <v>28.858200730735302</v>
      </c>
      <c r="WM32">
        <v>-4849.9200594406002</v>
      </c>
      <c r="WN32">
        <v>-11419.4648066027</v>
      </c>
      <c r="WO32">
        <v>-4849.9200594406002</v>
      </c>
      <c r="WP32">
        <v>18.333300000000001</v>
      </c>
      <c r="WQ32">
        <v>26.666699999999999</v>
      </c>
      <c r="WR32">
        <v>0</v>
      </c>
      <c r="WS32">
        <v>3233.4301409773302</v>
      </c>
      <c r="WT32">
        <v>27.226309707031199</v>
      </c>
      <c r="WU32">
        <v>-3568.8156925541598</v>
      </c>
      <c r="WV32">
        <v>-17601.265604694901</v>
      </c>
      <c r="WW32">
        <v>-3568.8156925541598</v>
      </c>
      <c r="WX32">
        <v>7739801.7067105398</v>
      </c>
      <c r="WY32">
        <v>0</v>
      </c>
      <c r="WZ32">
        <v>2149.9449185306999</v>
      </c>
      <c r="XA32">
        <v>27.136654709481</v>
      </c>
      <c r="XB32">
        <v>-2225.36523575604</v>
      </c>
      <c r="XC32">
        <v>-11101.3705352243</v>
      </c>
      <c r="XD32">
        <v>-2225.36523575604</v>
      </c>
      <c r="XE32">
        <v>0</v>
      </c>
      <c r="XF32">
        <v>21631.491391830299</v>
      </c>
      <c r="XG32">
        <v>28.249307370466699</v>
      </c>
      <c r="XH32">
        <v>-24547.5790802882</v>
      </c>
      <c r="XI32">
        <v>-68530.706102359196</v>
      </c>
      <c r="XJ32">
        <v>-24547.5790802882</v>
      </c>
      <c r="XK32">
        <v>21.1111</v>
      </c>
      <c r="XL32">
        <v>26.666699999999999</v>
      </c>
      <c r="XM32">
        <v>1040.7641217016001</v>
      </c>
      <c r="XN32">
        <v>0</v>
      </c>
      <c r="XO32">
        <v>26.974260595281699</v>
      </c>
      <c r="XP32">
        <v>0</v>
      </c>
      <c r="XQ32">
        <v>0</v>
      </c>
      <c r="XR32">
        <v>0</v>
      </c>
      <c r="XS32">
        <v>835.88362975879897</v>
      </c>
      <c r="XT32">
        <v>0</v>
      </c>
      <c r="XU32">
        <v>27.7375248184036</v>
      </c>
      <c r="XV32">
        <v>0</v>
      </c>
      <c r="XW32">
        <v>0</v>
      </c>
      <c r="XX32">
        <v>0</v>
      </c>
      <c r="XY32">
        <v>986.20086298927401</v>
      </c>
      <c r="XZ32">
        <v>0</v>
      </c>
      <c r="YA32">
        <v>26.837680347873999</v>
      </c>
      <c r="YB32">
        <v>0</v>
      </c>
      <c r="YC32">
        <v>0</v>
      </c>
      <c r="YD32">
        <v>0</v>
      </c>
      <c r="YE32">
        <v>623.14316147897898</v>
      </c>
      <c r="YF32">
        <v>0</v>
      </c>
      <c r="YG32">
        <v>26.8326272473047</v>
      </c>
      <c r="YH32">
        <v>0</v>
      </c>
      <c r="YI32">
        <v>0</v>
      </c>
      <c r="YJ32">
        <v>0</v>
      </c>
      <c r="YK32">
        <v>505.937960658968</v>
      </c>
      <c r="YL32">
        <v>87.463749704576898</v>
      </c>
      <c r="YM32">
        <v>27.628473988756401</v>
      </c>
      <c r="YN32">
        <v>0</v>
      </c>
      <c r="YO32">
        <v>0</v>
      </c>
      <c r="YP32">
        <v>0</v>
      </c>
      <c r="YQ32">
        <v>23.088931673503801</v>
      </c>
      <c r="YR32">
        <v>337.79572948688599</v>
      </c>
      <c r="YS32">
        <v>20.7964628572783</v>
      </c>
      <c r="YT32">
        <v>0</v>
      </c>
      <c r="YU32">
        <v>0</v>
      </c>
      <c r="YV32">
        <v>0</v>
      </c>
      <c r="YW32">
        <v>18.166525949628099</v>
      </c>
      <c r="YX32">
        <v>464.64164599336902</v>
      </c>
      <c r="YY32">
        <v>20.411689279172801</v>
      </c>
      <c r="YZ32">
        <v>0</v>
      </c>
      <c r="ZA32">
        <v>0</v>
      </c>
      <c r="ZB32">
        <v>0</v>
      </c>
      <c r="ZC32">
        <v>14.617886200693199</v>
      </c>
      <c r="ZD32">
        <v>323.15422839678303</v>
      </c>
      <c r="ZE32">
        <v>20.809326839994</v>
      </c>
      <c r="ZF32">
        <v>0</v>
      </c>
      <c r="ZG32">
        <v>0</v>
      </c>
      <c r="ZH32">
        <v>0</v>
      </c>
      <c r="ZI32">
        <v>6.9861225287826301</v>
      </c>
      <c r="ZJ32">
        <v>217.90267197737401</v>
      </c>
      <c r="ZK32">
        <v>20.849758604882499</v>
      </c>
      <c r="ZL32">
        <v>0</v>
      </c>
      <c r="ZM32">
        <v>0</v>
      </c>
      <c r="ZN32">
        <v>0</v>
      </c>
      <c r="ZO32">
        <v>0</v>
      </c>
      <c r="ZP32">
        <v>9665.6310169934695</v>
      </c>
      <c r="ZQ32">
        <v>18.973849401564198</v>
      </c>
      <c r="ZR32">
        <v>0</v>
      </c>
      <c r="ZS32">
        <v>0</v>
      </c>
      <c r="ZT32">
        <v>0</v>
      </c>
      <c r="ZU32">
        <v>15.4836862133961</v>
      </c>
      <c r="ZV32">
        <v>2167.3802551963199</v>
      </c>
      <c r="ZW32">
        <v>23.212142859743899</v>
      </c>
      <c r="ZX32">
        <v>0</v>
      </c>
      <c r="ZY32">
        <v>0</v>
      </c>
      <c r="ZZ32">
        <v>0</v>
      </c>
      <c r="AAA32">
        <v>0</v>
      </c>
      <c r="AAB32">
        <v>1808.1410844013201</v>
      </c>
      <c r="AAC32">
        <v>22.751227580882802</v>
      </c>
      <c r="AAD32">
        <v>0</v>
      </c>
      <c r="AAE32">
        <v>0</v>
      </c>
      <c r="AAF32">
        <v>0</v>
      </c>
      <c r="AAG32">
        <v>11.9787450360582</v>
      </c>
      <c r="AAH32">
        <v>2211.5685946772901</v>
      </c>
      <c r="AAI32">
        <v>23.107246276708199</v>
      </c>
      <c r="AAJ32">
        <v>0</v>
      </c>
      <c r="AAK32">
        <v>0</v>
      </c>
      <c r="AAL32">
        <v>0</v>
      </c>
      <c r="AAM32">
        <v>0</v>
      </c>
      <c r="AAN32">
        <v>1454.7800546307601</v>
      </c>
      <c r="AAO32">
        <v>23.2039292101462</v>
      </c>
      <c r="AAP32">
        <v>0</v>
      </c>
      <c r="AAQ32">
        <v>0</v>
      </c>
      <c r="AAR32">
        <v>0</v>
      </c>
      <c r="AAS32">
        <v>0</v>
      </c>
      <c r="AAT32">
        <v>26227.840700122299</v>
      </c>
      <c r="AAU32">
        <v>19.599946589439899</v>
      </c>
      <c r="AAV32">
        <v>0</v>
      </c>
      <c r="AAW32">
        <v>0</v>
      </c>
      <c r="AAX32">
        <v>0</v>
      </c>
      <c r="AAY32">
        <v>70.981428077535398</v>
      </c>
      <c r="AAZ32">
        <v>2374.3347400303501</v>
      </c>
      <c r="ABA32">
        <v>23.2380610276402</v>
      </c>
      <c r="ABB32">
        <v>0</v>
      </c>
      <c r="ABC32">
        <v>0</v>
      </c>
      <c r="ABD32">
        <v>0</v>
      </c>
      <c r="ABE32">
        <v>39.618875543121199</v>
      </c>
      <c r="ABF32">
        <v>1944.2775641425901</v>
      </c>
      <c r="ABG32">
        <v>22.780337473660499</v>
      </c>
      <c r="ABH32">
        <v>0</v>
      </c>
      <c r="ABI32">
        <v>0</v>
      </c>
      <c r="ABJ32">
        <v>0</v>
      </c>
      <c r="ABK32">
        <v>71.660529107523004</v>
      </c>
      <c r="ABL32">
        <v>2392.5900416784102</v>
      </c>
      <c r="ABM32">
        <v>23.188606913727401</v>
      </c>
      <c r="ABN32">
        <v>0</v>
      </c>
      <c r="ABO32">
        <v>0</v>
      </c>
      <c r="ABP32">
        <v>0</v>
      </c>
      <c r="ABQ32">
        <v>22.0611314910748</v>
      </c>
      <c r="ABR32">
        <v>1610.4354522799599</v>
      </c>
      <c r="ABS32">
        <v>23.054291441413199</v>
      </c>
      <c r="ABT32">
        <v>0</v>
      </c>
      <c r="ABU32">
        <v>0</v>
      </c>
      <c r="ABV32">
        <v>0</v>
      </c>
      <c r="ABW32">
        <v>0</v>
      </c>
      <c r="ABX32">
        <v>28973.293807275099</v>
      </c>
      <c r="ABY32">
        <v>19.668700637510099</v>
      </c>
      <c r="ABZ32">
        <v>0</v>
      </c>
      <c r="ACA32">
        <v>0</v>
      </c>
      <c r="ACB32">
        <v>0</v>
      </c>
      <c r="ACC32">
        <v>0.15</v>
      </c>
      <c r="ACD32">
        <v>7163609.2197233904</v>
      </c>
      <c r="ACE32">
        <v>10630.219531131601</v>
      </c>
      <c r="ACF32">
        <v>10.302309506538201</v>
      </c>
      <c r="ACG32">
        <v>10.113930688792401</v>
      </c>
      <c r="ACH32">
        <v>6.7500018069949999</v>
      </c>
      <c r="ACI32">
        <v>12620.1109810547</v>
      </c>
      <c r="ACJ32">
        <v>2.6675209218989702</v>
      </c>
      <c r="ACK32">
        <v>21.316850135403701</v>
      </c>
      <c r="ACL32">
        <v>21.508300008468598</v>
      </c>
      <c r="ACM32">
        <v>7.8850021108378598</v>
      </c>
      <c r="ACN32">
        <v>105390.341415922</v>
      </c>
      <c r="ACP32">
        <v>19396.367905630301</v>
      </c>
      <c r="ACR32">
        <v>124786.709321553</v>
      </c>
      <c r="ACT32">
        <v>28.118140259177</v>
      </c>
      <c r="ACU32">
        <v>26.491517556246102</v>
      </c>
      <c r="ACV32">
        <v>1.7</v>
      </c>
      <c r="ACW32">
        <v>0.89800053653623801</v>
      </c>
      <c r="ACX32">
        <v>0.81152029439017304</v>
      </c>
      <c r="ACY32">
        <v>28.658607809044199</v>
      </c>
      <c r="ACZ32">
        <v>27.082297895126501</v>
      </c>
      <c r="ADA32">
        <v>1.7</v>
      </c>
      <c r="ADB32">
        <v>2.7418097638836398</v>
      </c>
      <c r="ADC32">
        <v>0.79099291469629096</v>
      </c>
      <c r="ADD32">
        <v>28.9133309824641</v>
      </c>
      <c r="ADE32">
        <v>27.278644463265302</v>
      </c>
      <c r="ADF32">
        <v>1.7</v>
      </c>
      <c r="ADG32">
        <v>3.1274663992157801</v>
      </c>
      <c r="ADH32">
        <v>0.787406008420513</v>
      </c>
      <c r="ADI32">
        <v>27.880533340660001</v>
      </c>
      <c r="ADJ32">
        <v>26.0319577063783</v>
      </c>
      <c r="ADK32">
        <v>1.7</v>
      </c>
      <c r="ADL32">
        <v>0.89614353223342402</v>
      </c>
      <c r="ADM32">
        <v>0.73537203309787902</v>
      </c>
      <c r="ADN32">
        <v>27.1459038594727</v>
      </c>
      <c r="ADO32">
        <v>25.2673928865972</v>
      </c>
      <c r="ADP32">
        <v>1.7</v>
      </c>
      <c r="ADQ32">
        <v>1.93318170367265</v>
      </c>
      <c r="ADR32">
        <v>0.70524234072067005</v>
      </c>
      <c r="ADS32">
        <v>27.853219706736599</v>
      </c>
      <c r="ADT32">
        <v>26.156882325561</v>
      </c>
      <c r="ADU32">
        <v>1.7</v>
      </c>
      <c r="ADV32">
        <v>2.0859702065053098</v>
      </c>
      <c r="ADW32">
        <v>0.75780472704777901</v>
      </c>
      <c r="ADX32">
        <v>27.864291357608298</v>
      </c>
      <c r="ADY32">
        <v>26.157829978444301</v>
      </c>
      <c r="ADZ32">
        <v>1.7</v>
      </c>
      <c r="AEA32">
        <v>0.80051586902358696</v>
      </c>
      <c r="AEB32">
        <v>0.75583806507936502</v>
      </c>
      <c r="AEC32">
        <v>27.857363183575501</v>
      </c>
      <c r="AED32">
        <v>26.701776876397101</v>
      </c>
      <c r="AEE32">
        <v>1.7</v>
      </c>
      <c r="AEF32">
        <v>2.9480233814355699</v>
      </c>
      <c r="AEG32">
        <v>0.70445528990168305</v>
      </c>
      <c r="AEH32">
        <v>27.957820231735599</v>
      </c>
      <c r="AEI32">
        <v>26.690559740318399</v>
      </c>
      <c r="AEJ32">
        <v>1.7</v>
      </c>
      <c r="AEK32">
        <v>4.0706095988392503</v>
      </c>
      <c r="AEL32">
        <v>0.69687320629028404</v>
      </c>
      <c r="AEM32">
        <v>27.7626673390726</v>
      </c>
      <c r="AEN32">
        <v>26.754381563487001</v>
      </c>
      <c r="AEO32">
        <v>1.7</v>
      </c>
      <c r="AEP32">
        <v>5.2812923664031199</v>
      </c>
      <c r="AEQ32">
        <v>0.75246947676964604</v>
      </c>
      <c r="AER32">
        <v>27.7304834428876</v>
      </c>
      <c r="AES32">
        <v>26.6318473155596</v>
      </c>
      <c r="AET32">
        <v>1.7</v>
      </c>
      <c r="AEU32">
        <v>3.2624346548813699</v>
      </c>
      <c r="AEV32">
        <v>0.70604402884473005</v>
      </c>
      <c r="AEW32">
        <v>27.809278391332199</v>
      </c>
      <c r="AEX32">
        <v>26.6975664799137</v>
      </c>
      <c r="AEY32">
        <v>1.7</v>
      </c>
      <c r="AEZ32">
        <v>3.2543503013763799</v>
      </c>
      <c r="AFA32">
        <v>0.70374899190228601</v>
      </c>
      <c r="AFB32">
        <v>28.003205945031201</v>
      </c>
      <c r="AFC32">
        <v>26.845913604344901</v>
      </c>
      <c r="AFD32">
        <v>1.7</v>
      </c>
      <c r="AFE32">
        <v>4.77380166884757</v>
      </c>
      <c r="AFF32">
        <v>0.72635196863816598</v>
      </c>
      <c r="AFG32">
        <v>27.770038217358401</v>
      </c>
      <c r="AFH32">
        <v>26.765525449465802</v>
      </c>
      <c r="AFI32">
        <v>1.7</v>
      </c>
      <c r="AFJ32">
        <v>5.1877489395723702</v>
      </c>
      <c r="AFK32">
        <v>0.753955793595805</v>
      </c>
      <c r="AFL32">
        <v>27.694778210069199</v>
      </c>
      <c r="AFM32">
        <v>26.666933859814701</v>
      </c>
      <c r="AFN32">
        <v>1.7</v>
      </c>
      <c r="AFO32">
        <v>4.5449357677614897</v>
      </c>
      <c r="AFP32">
        <v>0.72951029276347701</v>
      </c>
      <c r="AFQ32">
        <v>-2.3144956647789299E-2</v>
      </c>
      <c r="AFR32">
        <v>-3.3445636515634397E-2</v>
      </c>
      <c r="AFS32">
        <v>-1.56258857733876E-2</v>
      </c>
      <c r="AFT32">
        <v>-9.2787147555138394E-2</v>
      </c>
      <c r="AFU32">
        <v>0.24591033605520601</v>
      </c>
      <c r="AFV32">
        <v>0.26150637787537401</v>
      </c>
      <c r="AFW32">
        <v>0.232836830198143</v>
      </c>
      <c r="AFX32">
        <v>0.40172050822625099</v>
      </c>
      <c r="AFY32">
        <v>0.24637991078546501</v>
      </c>
      <c r="AFZ32">
        <v>0.25932024239631801</v>
      </c>
      <c r="AGA32">
        <v>0.23189159277558999</v>
      </c>
      <c r="AGB32">
        <v>0.43545390349736601</v>
      </c>
      <c r="AGC32">
        <v>0.101028832126448</v>
      </c>
      <c r="AGD32">
        <v>0.395219529968378</v>
      </c>
      <c r="AGE32">
        <v>0.49672846297049</v>
      </c>
      <c r="AGF32">
        <v>0</v>
      </c>
      <c r="AGG32">
        <v>0</v>
      </c>
      <c r="AGH32">
        <v>0</v>
      </c>
      <c r="AGI32">
        <v>0</v>
      </c>
      <c r="AGJ32">
        <v>0</v>
      </c>
      <c r="AGK32">
        <v>0</v>
      </c>
      <c r="AGL32">
        <v>0</v>
      </c>
      <c r="AGM32">
        <v>0</v>
      </c>
      <c r="AGN32">
        <v>0</v>
      </c>
      <c r="AGO32">
        <v>0</v>
      </c>
      <c r="AGP32">
        <v>0.5</v>
      </c>
      <c r="AGQ32">
        <v>1</v>
      </c>
      <c r="AGR32">
        <v>0.5</v>
      </c>
      <c r="AGS32">
        <v>0.25</v>
      </c>
      <c r="AGT32">
        <v>1</v>
      </c>
      <c r="AGU32">
        <v>0</v>
      </c>
      <c r="AGV32">
        <v>0</v>
      </c>
      <c r="AGW32">
        <v>0</v>
      </c>
      <c r="AGX32">
        <v>0</v>
      </c>
      <c r="AGY32">
        <v>0</v>
      </c>
      <c r="AGZ32">
        <v>0.5</v>
      </c>
      <c r="AHA32">
        <v>1</v>
      </c>
      <c r="AHB32">
        <v>0.5</v>
      </c>
      <c r="AHC32">
        <v>0.5</v>
      </c>
      <c r="AHD32">
        <v>1</v>
      </c>
      <c r="AHE32">
        <v>0</v>
      </c>
      <c r="AHF32">
        <v>0</v>
      </c>
      <c r="AHG32">
        <v>0</v>
      </c>
      <c r="AHH32">
        <v>0</v>
      </c>
      <c r="AHI32">
        <v>0</v>
      </c>
      <c r="AHJ32">
        <v>0</v>
      </c>
      <c r="AHK32">
        <v>0</v>
      </c>
      <c r="AHL32">
        <v>0</v>
      </c>
      <c r="AHM32">
        <v>0</v>
      </c>
      <c r="AHN32">
        <v>0</v>
      </c>
      <c r="AHO32">
        <v>0</v>
      </c>
      <c r="AHP32">
        <v>0</v>
      </c>
      <c r="AHQ32">
        <v>0</v>
      </c>
      <c r="AHR32">
        <v>0</v>
      </c>
      <c r="AHS32">
        <v>0</v>
      </c>
      <c r="AHT32">
        <v>0</v>
      </c>
      <c r="AHU32">
        <v>0</v>
      </c>
      <c r="AHV32">
        <v>0</v>
      </c>
      <c r="AHW32">
        <v>0</v>
      </c>
      <c r="AHX32">
        <v>0</v>
      </c>
      <c r="AHZ32">
        <v>0</v>
      </c>
      <c r="AIB32">
        <v>0</v>
      </c>
      <c r="AID32">
        <v>0</v>
      </c>
      <c r="AIF32">
        <v>0</v>
      </c>
      <c r="AIH32">
        <v>0</v>
      </c>
      <c r="AIJ32">
        <v>0</v>
      </c>
      <c r="AIL32">
        <v>0</v>
      </c>
      <c r="AIN32">
        <v>0</v>
      </c>
      <c r="AIP32">
        <v>0</v>
      </c>
      <c r="AIR32">
        <v>0</v>
      </c>
      <c r="AIT32">
        <v>0</v>
      </c>
      <c r="AIV32">
        <v>0</v>
      </c>
      <c r="AIX32">
        <v>0</v>
      </c>
      <c r="AIZ32">
        <v>0</v>
      </c>
      <c r="AJB32">
        <v>0</v>
      </c>
      <c r="AJC32">
        <v>0</v>
      </c>
      <c r="AJE32">
        <v>88202.982169077499</v>
      </c>
      <c r="AJH32">
        <v>8327.1933345109392</v>
      </c>
      <c r="AJJ32">
        <v>2748.3183381086501</v>
      </c>
      <c r="AJK32">
        <v>281.37177142703098</v>
      </c>
      <c r="AJL32">
        <v>129.75971583489701</v>
      </c>
      <c r="AJM32">
        <v>739.56482497390402</v>
      </c>
      <c r="AJN32">
        <v>159.573875191806</v>
      </c>
      <c r="AJO32">
        <v>567.59376737998105</v>
      </c>
      <c r="AJP32">
        <v>505.554508807996</v>
      </c>
      <c r="AJQ32">
        <v>847.81754469941495</v>
      </c>
      <c r="AJR32">
        <v>222.01098061496501</v>
      </c>
      <c r="AJS32">
        <v>48.288994783139799</v>
      </c>
      <c r="AJT32">
        <v>8.4219906920719794</v>
      </c>
      <c r="AJU32">
        <v>18.8256306295612</v>
      </c>
      <c r="AJV32">
        <v>18.181033471305799</v>
      </c>
      <c r="AJW32">
        <v>0</v>
      </c>
      <c r="AJX32">
        <v>0</v>
      </c>
      <c r="AJY32">
        <v>0</v>
      </c>
      <c r="AJZ32">
        <v>9970.6751792016694</v>
      </c>
      <c r="AKA32">
        <v>7179.6179532956903</v>
      </c>
      <c r="AKB32">
        <v>0</v>
      </c>
      <c r="AKC32">
        <v>0</v>
      </c>
      <c r="AKD32">
        <v>0</v>
      </c>
      <c r="AKE32">
        <v>65.56</v>
      </c>
      <c r="AKF32">
        <v>65.56</v>
      </c>
      <c r="AKG32">
        <v>0</v>
      </c>
      <c r="AKH32">
        <v>0</v>
      </c>
      <c r="AKI32">
        <v>0</v>
      </c>
      <c r="AKJ32">
        <v>0</v>
      </c>
      <c r="AKK32">
        <v>0</v>
      </c>
      <c r="AKL32">
        <v>65.56</v>
      </c>
      <c r="AKM32">
        <v>65.56</v>
      </c>
      <c r="AKN32">
        <v>0</v>
      </c>
      <c r="AKO32">
        <v>0</v>
      </c>
      <c r="AKP32">
        <v>0</v>
      </c>
      <c r="AKT32">
        <v>6734795.2483461499</v>
      </c>
      <c r="AKX32">
        <v>3039178.89687692</v>
      </c>
      <c r="ALB32">
        <v>21.519826262376</v>
      </c>
      <c r="ALC32">
        <v>21.213425067701898</v>
      </c>
      <c r="ALD32">
        <v>7.8850021108378598</v>
      </c>
      <c r="ALE32">
        <v>20197.5431981865</v>
      </c>
      <c r="ALF32">
        <v>69.007326463993394</v>
      </c>
      <c r="ALH32">
        <v>15.1835837531564</v>
      </c>
      <c r="ALI32">
        <v>8.7862248778929897E-3</v>
      </c>
      <c r="ALJ32">
        <v>15.8855187928904</v>
      </c>
      <c r="ALK32">
        <v>19.582683630325999</v>
      </c>
      <c r="ALL32">
        <v>15.8855187928904</v>
      </c>
      <c r="ALM32">
        <v>0</v>
      </c>
      <c r="ALN32">
        <v>27.089250733465398</v>
      </c>
      <c r="ALO32">
        <v>9.3671754115997301E-3</v>
      </c>
      <c r="ALP32">
        <v>41.916295760264298</v>
      </c>
      <c r="ALQ32">
        <v>15.8855187928904</v>
      </c>
      <c r="ALR32">
        <v>15.1835837531564</v>
      </c>
      <c r="ALS32">
        <v>15.8855187928904</v>
      </c>
      <c r="ALT32">
        <v>15.559998461907</v>
      </c>
      <c r="ALU32">
        <v>15.8855187928904</v>
      </c>
      <c r="ALV32">
        <v>8.7094217355255896</v>
      </c>
      <c r="ALW32">
        <v>1.98511636551314E-3</v>
      </c>
      <c r="ALX32">
        <v>19.219782032393798</v>
      </c>
      <c r="ALY32">
        <v>1.98511636551314E-3</v>
      </c>
      <c r="ALZ32">
        <v>0</v>
      </c>
      <c r="AMA32">
        <v>10.302309506538201</v>
      </c>
      <c r="AMB32">
        <v>6.7499999999999999E-3</v>
      </c>
      <c r="AMC32">
        <v>10.272472569423901</v>
      </c>
      <c r="AMD32">
        <v>1.35E-2</v>
      </c>
      <c r="AME32">
        <v>10.113930688792401</v>
      </c>
      <c r="AMF32">
        <v>1.35E-2</v>
      </c>
      <c r="AMG32">
        <v>7.8849999999999996E-3</v>
      </c>
      <c r="AMH32">
        <v>15.873253028900001</v>
      </c>
      <c r="AMI32">
        <v>21.020891025197901</v>
      </c>
      <c r="AMJ32">
        <v>0.13415548499843499</v>
      </c>
      <c r="AMK32" s="580">
        <v>19.5494696504215</v>
      </c>
      <c r="AML32">
        <v>1.2892514492829901</v>
      </c>
      <c r="AMM32">
        <v>20.7634938182483</v>
      </c>
      <c r="AMN32">
        <v>0.45222124379908102</v>
      </c>
      <c r="AMO32">
        <v>20.9717845765453</v>
      </c>
      <c r="AMP32">
        <v>0.25227872860476502</v>
      </c>
      <c r="AMQ32">
        <v>20.996415929143001</v>
      </c>
      <c r="AMR32">
        <v>0.20367451088122299</v>
      </c>
      <c r="AMS32">
        <v>20.808221562300101</v>
      </c>
      <c r="AMT32">
        <v>2.6454420025232701</v>
      </c>
      <c r="AMU32">
        <v>23.568812408388101</v>
      </c>
      <c r="AMV32">
        <v>0.96549903738756504</v>
      </c>
      <c r="AMW32">
        <v>23.771201606395302</v>
      </c>
      <c r="AMX32">
        <v>0.65074201405737697</v>
      </c>
      <c r="AMY32">
        <v>23.748584565672001</v>
      </c>
      <c r="AMZ32">
        <v>0.95169993332650205</v>
      </c>
      <c r="ANA32">
        <v>23.890999344150899</v>
      </c>
      <c r="ANB32">
        <v>1.0770759490061099</v>
      </c>
      <c r="ANC32">
        <v>20.8559631969766</v>
      </c>
      <c r="AND32">
        <v>2.91284024049035</v>
      </c>
      <c r="ANE32">
        <v>23.65325282949</v>
      </c>
      <c r="ANF32">
        <v>1.1463804744327399</v>
      </c>
      <c r="ANG32">
        <v>23.728750666630901</v>
      </c>
      <c r="ANH32">
        <v>0.91777243849715495</v>
      </c>
      <c r="ANI32">
        <v>23.774715099161298</v>
      </c>
      <c r="ANJ32">
        <v>1.0786529283864501</v>
      </c>
      <c r="ANK32">
        <v>23.955773675949999</v>
      </c>
      <c r="ANL32">
        <v>1.20783235721643</v>
      </c>
      <c r="ANM32">
        <v>2.3315814175664902</v>
      </c>
      <c r="ANN32">
        <v>6.2904589363008201</v>
      </c>
      <c r="ANO32">
        <v>7.2634784390231202</v>
      </c>
      <c r="ANP32">
        <v>19.5494696504215</v>
      </c>
      <c r="ANQ32">
        <v>20.676997450141901</v>
      </c>
      <c r="ANR32">
        <v>20.970991406912901</v>
      </c>
      <c r="ANS32">
        <v>20.921701607048799</v>
      </c>
      <c r="ANT32">
        <v>20.915892497874299</v>
      </c>
      <c r="ANU32">
        <v>20.808221562300101</v>
      </c>
      <c r="ANV32">
        <v>23.3662659530805</v>
      </c>
      <c r="ANW32">
        <v>23.6398663035562</v>
      </c>
      <c r="ANX32">
        <v>23.503459070637799</v>
      </c>
      <c r="ANY32">
        <v>23.6317463424515</v>
      </c>
      <c r="ANZ32">
        <v>20.8559631969766</v>
      </c>
      <c r="AOA32">
        <v>23.3604192178876</v>
      </c>
      <c r="AOB32">
        <v>23.471639946815401</v>
      </c>
      <c r="AOC32">
        <v>23.571461867837598</v>
      </c>
      <c r="AOD32">
        <v>23.6399075564801</v>
      </c>
      <c r="AOE32">
        <v>27.089250733465398</v>
      </c>
      <c r="AOF32">
        <v>15.873253028900001</v>
      </c>
      <c r="AOG32">
        <v>27.195582457962701</v>
      </c>
      <c r="AOH32">
        <v>15.873253028900001</v>
      </c>
    </row>
    <row r="33" spans="1:1074">
      <c r="A33" t="s">
        <v>2603</v>
      </c>
      <c r="B33">
        <v>22.155100000000001</v>
      </c>
      <c r="D33">
        <v>16.022531141919298</v>
      </c>
      <c r="F33">
        <v>9</v>
      </c>
      <c r="G33">
        <v>10945018.5837641</v>
      </c>
      <c r="H33">
        <v>25252376.055390202</v>
      </c>
      <c r="I33">
        <v>6950739.3466344699</v>
      </c>
      <c r="J33">
        <v>16036764.3509151</v>
      </c>
      <c r="K33">
        <v>10945018.5837641</v>
      </c>
      <c r="L33">
        <v>25252376.055390202</v>
      </c>
      <c r="M33">
        <v>6950739.3466344699</v>
      </c>
      <c r="N33">
        <v>16036764.3509151</v>
      </c>
      <c r="O33">
        <v>56445592.898657002</v>
      </c>
      <c r="P33">
        <v>130231422.417206</v>
      </c>
      <c r="Q33">
        <v>10945018.5837641</v>
      </c>
      <c r="R33">
        <v>25252376.055390202</v>
      </c>
      <c r="S33">
        <v>6950739.3466344699</v>
      </c>
      <c r="T33">
        <v>16036764.3509151</v>
      </c>
      <c r="U33">
        <v>10945018.5837641</v>
      </c>
      <c r="V33">
        <v>25252376.055390202</v>
      </c>
      <c r="W33">
        <v>6950739.3466344699</v>
      </c>
      <c r="X33">
        <v>16036764.3509151</v>
      </c>
      <c r="Y33">
        <v>56445592.898657002</v>
      </c>
      <c r="Z33">
        <v>130231422.417206</v>
      </c>
      <c r="AA33">
        <v>10945018.5837641</v>
      </c>
      <c r="AB33">
        <v>25252376.055390202</v>
      </c>
      <c r="AC33">
        <v>6950739.3466344699</v>
      </c>
      <c r="AD33">
        <v>16036764.3509151</v>
      </c>
      <c r="AE33">
        <v>10945018.5837641</v>
      </c>
      <c r="AF33">
        <v>25252376.055390202</v>
      </c>
      <c r="AG33">
        <v>6950739.3466344699</v>
      </c>
      <c r="AH33">
        <v>16036764.3509151</v>
      </c>
      <c r="AI33">
        <v>56445592.898657002</v>
      </c>
      <c r="AJ33">
        <v>130231422.417206</v>
      </c>
      <c r="AK33">
        <v>23.716228502806501</v>
      </c>
      <c r="AL33">
        <v>3956060.4386927001</v>
      </c>
      <c r="AM33">
        <v>10245410.713212401</v>
      </c>
      <c r="AN33">
        <v>23.716228502806501</v>
      </c>
      <c r="AO33">
        <v>3956060.4386927001</v>
      </c>
      <c r="AP33">
        <v>10245410.713212401</v>
      </c>
      <c r="AQ33">
        <v>15.0612190693548</v>
      </c>
      <c r="AR33">
        <v>2512334.2403159901</v>
      </c>
      <c r="AS33">
        <v>6506446.6379612898</v>
      </c>
      <c r="AT33">
        <v>15.0612190693548</v>
      </c>
      <c r="AU33">
        <v>2512334.2403159901</v>
      </c>
      <c r="AV33">
        <v>6506446.6379612898</v>
      </c>
      <c r="AW33">
        <v>23.716228502806501</v>
      </c>
      <c r="AX33">
        <v>3956060.4386927001</v>
      </c>
      <c r="AY33">
        <v>10245410.713212401</v>
      </c>
      <c r="AZ33">
        <v>23.716228502806501</v>
      </c>
      <c r="BA33">
        <v>3956060.4386927001</v>
      </c>
      <c r="BB33">
        <v>10245410.713212401</v>
      </c>
      <c r="BC33">
        <v>15.0612190693548</v>
      </c>
      <c r="BD33">
        <v>2512334.2403159901</v>
      </c>
      <c r="BE33">
        <v>6506446.6379612898</v>
      </c>
      <c r="BF33">
        <v>15.0612190693548</v>
      </c>
      <c r="BG33">
        <v>2512334.2403159901</v>
      </c>
      <c r="BH33">
        <v>6506446.6379612898</v>
      </c>
      <c r="BI33">
        <v>23.716228502806501</v>
      </c>
      <c r="BJ33">
        <v>3956060.4386927001</v>
      </c>
      <c r="BK33">
        <v>10245410.713212401</v>
      </c>
      <c r="BL33">
        <v>23.716228502806501</v>
      </c>
      <c r="BM33">
        <v>3956060.4386927001</v>
      </c>
      <c r="BN33">
        <v>10245410.713212401</v>
      </c>
      <c r="BO33">
        <v>15.0612190693548</v>
      </c>
      <c r="BP33">
        <v>2512334.2403159901</v>
      </c>
      <c r="BQ33">
        <v>6506446.6379612898</v>
      </c>
      <c r="BR33">
        <v>15.0612190693548</v>
      </c>
      <c r="BS33">
        <v>2512334.2403159901</v>
      </c>
      <c r="BT33">
        <v>6506446.6379612898</v>
      </c>
      <c r="BU33">
        <v>52837578.828362301</v>
      </c>
      <c r="BV33">
        <v>122.309210250839</v>
      </c>
      <c r="BW33">
        <v>20402174.312995501</v>
      </c>
      <c r="BX33">
        <v>52837578.828362301</v>
      </c>
      <c r="BY33">
        <v>122.309210250839</v>
      </c>
      <c r="BZ33">
        <v>20402174.312995501</v>
      </c>
      <c r="CA33">
        <v>52837578.828362301</v>
      </c>
      <c r="CB33">
        <v>122.309210250839</v>
      </c>
      <c r="CC33">
        <v>20402174.312995501</v>
      </c>
      <c r="CD33">
        <v>52837578.828362301</v>
      </c>
      <c r="CE33">
        <v>3773179.8574618599</v>
      </c>
      <c r="CF33">
        <v>8575408.7669587694</v>
      </c>
      <c r="CG33">
        <v>3773179.8574618599</v>
      </c>
      <c r="CH33">
        <v>8575408.7669587694</v>
      </c>
      <c r="CI33">
        <v>2396194.1678283801</v>
      </c>
      <c r="CJ33">
        <v>5445895.8359735999</v>
      </c>
      <c r="CK33">
        <v>2396194.1678283801</v>
      </c>
      <c r="CL33">
        <v>5445895.8359735999</v>
      </c>
      <c r="CM33">
        <v>3773179.8574618599</v>
      </c>
      <c r="CN33">
        <v>8575408.7669587694</v>
      </c>
      <c r="CO33">
        <v>3773179.8574618599</v>
      </c>
      <c r="CP33">
        <v>8575408.7669587694</v>
      </c>
      <c r="CQ33">
        <v>2396194.1678283801</v>
      </c>
      <c r="CR33">
        <v>5445895.8359735999</v>
      </c>
      <c r="CS33">
        <v>2396194.1678283801</v>
      </c>
      <c r="CT33">
        <v>5445895.8359735999</v>
      </c>
      <c r="CU33">
        <v>3773179.8574618599</v>
      </c>
      <c r="CV33">
        <v>8575408.7669587694</v>
      </c>
      <c r="CW33">
        <v>3773179.8574618599</v>
      </c>
      <c r="CX33">
        <v>8575408.7669587694</v>
      </c>
      <c r="CY33">
        <v>2396194.1678283801</v>
      </c>
      <c r="CZ33">
        <v>5445895.8359735999</v>
      </c>
      <c r="DA33">
        <v>2396194.1678283801</v>
      </c>
      <c r="DB33">
        <v>5445895.8359735999</v>
      </c>
      <c r="DC33">
        <v>19459023.5309093</v>
      </c>
      <c r="DD33">
        <v>44225053.479339302</v>
      </c>
      <c r="DE33">
        <v>19459023.5309093</v>
      </c>
      <c r="DF33">
        <v>44225053.479339302</v>
      </c>
      <c r="DG33">
        <v>19459023.5309093</v>
      </c>
      <c r="DH33">
        <v>44225053.479339302</v>
      </c>
      <c r="DI33">
        <v>3215778.2876095399</v>
      </c>
      <c r="DJ33">
        <v>6431556.5752190799</v>
      </c>
      <c r="DK33">
        <v>3215778.2876095399</v>
      </c>
      <c r="DL33">
        <v>6431556.5752190799</v>
      </c>
      <c r="DM33">
        <v>2042210.9384901</v>
      </c>
      <c r="DN33">
        <v>4084421.8769801999</v>
      </c>
      <c r="DO33">
        <v>2042210.9384901</v>
      </c>
      <c r="DP33">
        <v>4084421.8769801999</v>
      </c>
      <c r="DQ33">
        <v>3215778.2876095399</v>
      </c>
      <c r="DR33">
        <v>6431556.5752190799</v>
      </c>
      <c r="DS33">
        <v>3215778.2876095399</v>
      </c>
      <c r="DT33">
        <v>6431556.5752190799</v>
      </c>
      <c r="DU33">
        <v>2042210.9384901</v>
      </c>
      <c r="DV33">
        <v>4084421.8769801999</v>
      </c>
      <c r="DW33">
        <v>2042210.9384901</v>
      </c>
      <c r="DX33">
        <v>4084421.8769801999</v>
      </c>
      <c r="DY33">
        <v>3215778.2876095399</v>
      </c>
      <c r="DZ33">
        <v>6431556.5752190799</v>
      </c>
      <c r="EA33">
        <v>3215778.2876095399</v>
      </c>
      <c r="EB33">
        <v>6431556.5752190799</v>
      </c>
      <c r="EC33">
        <v>2042210.9384901</v>
      </c>
      <c r="ED33">
        <v>4084421.8769801999</v>
      </c>
      <c r="EE33">
        <v>2042210.9384901</v>
      </c>
      <c r="EF33">
        <v>4084421.8769801999</v>
      </c>
      <c r="EG33">
        <v>16584395.054752201</v>
      </c>
      <c r="EH33">
        <v>33168790.109504402</v>
      </c>
      <c r="EI33">
        <v>16584395.054752201</v>
      </c>
      <c r="EJ33">
        <v>33168790.109504402</v>
      </c>
      <c r="EK33">
        <v>16584395.054752201</v>
      </c>
      <c r="EL33">
        <v>33168790.109504402</v>
      </c>
      <c r="EM33">
        <v>724.13733274631102</v>
      </c>
      <c r="EN33">
        <v>7284.8243608493904</v>
      </c>
      <c r="EO33">
        <v>596.132713575857</v>
      </c>
      <c r="EP33">
        <v>390.36753611687402</v>
      </c>
      <c r="EQ33">
        <v>0</v>
      </c>
      <c r="ER33">
        <v>671.67837301148097</v>
      </c>
      <c r="ES33">
        <v>7682.3007926394203</v>
      </c>
      <c r="ET33">
        <v>514.29018031778799</v>
      </c>
      <c r="EU33">
        <v>4.4141373541815101</v>
      </c>
      <c r="EV33">
        <v>342.36468449651102</v>
      </c>
      <c r="EW33">
        <v>0</v>
      </c>
      <c r="EX33">
        <v>651.92824716438702</v>
      </c>
      <c r="EY33">
        <v>33.055076403808599</v>
      </c>
      <c r="EZ33">
        <v>7634.4445631665203</v>
      </c>
      <c r="FA33">
        <v>493.10519870467101</v>
      </c>
      <c r="FB33">
        <v>4.4145098246857497</v>
      </c>
      <c r="FC33">
        <v>328.66264254764201</v>
      </c>
      <c r="FD33">
        <v>0</v>
      </c>
      <c r="FE33">
        <v>0</v>
      </c>
      <c r="FF33">
        <v>0</v>
      </c>
      <c r="FG33">
        <v>0</v>
      </c>
      <c r="FH33">
        <v>0</v>
      </c>
      <c r="FI33">
        <v>0</v>
      </c>
      <c r="FJ33">
        <v>0</v>
      </c>
      <c r="FK33">
        <v>0</v>
      </c>
      <c r="FL33">
        <v>0</v>
      </c>
      <c r="FM33">
        <v>0</v>
      </c>
      <c r="FN33">
        <v>0</v>
      </c>
      <c r="FO33">
        <v>2.45251372506161E-2</v>
      </c>
      <c r="FP33">
        <v>0</v>
      </c>
      <c r="FQ33">
        <v>3.7712464405102401E-3</v>
      </c>
      <c r="FR33">
        <v>0</v>
      </c>
      <c r="FS33">
        <v>328.66264254764201</v>
      </c>
      <c r="FT33">
        <v>0</v>
      </c>
      <c r="FU33">
        <v>271.626167948736</v>
      </c>
      <c r="FV33">
        <v>0</v>
      </c>
      <c r="FW33">
        <v>0</v>
      </c>
      <c r="FX33">
        <v>0</v>
      </c>
      <c r="FY33">
        <v>2.45251372506161E-2</v>
      </c>
      <c r="FZ33">
        <v>0</v>
      </c>
      <c r="GA33">
        <v>3.7712464405102401E-3</v>
      </c>
      <c r="GB33">
        <v>4.9097902104225</v>
      </c>
      <c r="GC33">
        <v>-20.9548700140564</v>
      </c>
      <c r="GD33">
        <v>-267.753843472835</v>
      </c>
      <c r="GE33">
        <v>184.21937487824999</v>
      </c>
      <c r="GF33">
        <v>236.08035994887899</v>
      </c>
      <c r="GG33">
        <v>211.530083121469</v>
      </c>
      <c r="GH33">
        <v>-7.3509078386851296</v>
      </c>
      <c r="GI33">
        <v>-14.617389831913499</v>
      </c>
      <c r="GJ33">
        <v>-217.48684898885799</v>
      </c>
      <c r="GK33">
        <v>-4.75705802063574</v>
      </c>
      <c r="GL33">
        <v>-4.5082241356457002</v>
      </c>
      <c r="GM33">
        <v>-129.72141278581401</v>
      </c>
      <c r="GN33">
        <v>-69.199963563373203</v>
      </c>
      <c r="GO33">
        <v>25.9217217205765</v>
      </c>
      <c r="GP33">
        <v>26.362504912854501</v>
      </c>
      <c r="GQ33">
        <v>-76.228951304446596</v>
      </c>
      <c r="GR33">
        <v>-360.85338105760798</v>
      </c>
      <c r="GS33">
        <v>-848.75213120484</v>
      </c>
      <c r="GT33">
        <v>-9.4254513808255194</v>
      </c>
      <c r="GU33">
        <v>26.329216977642901</v>
      </c>
      <c r="GV33">
        <v>27.037808439793899</v>
      </c>
      <c r="GW33">
        <v>3.1323285701336001</v>
      </c>
      <c r="GX33">
        <v>-145.44098523468301</v>
      </c>
      <c r="GY33">
        <v>-607.32967497034497</v>
      </c>
      <c r="GZ33">
        <v>-78.946486894023195</v>
      </c>
      <c r="HA33">
        <v>25.845931009846399</v>
      </c>
      <c r="HB33">
        <v>26.262034160325001</v>
      </c>
      <c r="HC33">
        <v>-78.496221480656004</v>
      </c>
      <c r="HD33">
        <v>-346.58352572766501</v>
      </c>
      <c r="HE33">
        <v>-779.19811791286202</v>
      </c>
      <c r="HF33">
        <v>-50.830273529304598</v>
      </c>
      <c r="HG33">
        <v>25.947123633978901</v>
      </c>
      <c r="HH33">
        <v>26.318511562192</v>
      </c>
      <c r="HI33">
        <v>-47.673747145571198</v>
      </c>
      <c r="HJ33">
        <v>-199.568511651184</v>
      </c>
      <c r="HK33">
        <v>-431.34269104815797</v>
      </c>
      <c r="HL33">
        <v>107.390697841804</v>
      </c>
      <c r="HM33">
        <v>27.241730820951801</v>
      </c>
      <c r="HN33">
        <v>27.266332095995001</v>
      </c>
      <c r="HO33">
        <v>211.90786303950901</v>
      </c>
      <c r="HP33">
        <v>311.374625745728</v>
      </c>
      <c r="HQ33">
        <v>27.105017303260599</v>
      </c>
      <c r="HR33">
        <v>54.648437733675898</v>
      </c>
      <c r="HS33">
        <v>119.75112299611099</v>
      </c>
      <c r="HT33">
        <v>28.542997074418199</v>
      </c>
      <c r="HU33">
        <v>27.8332955624312</v>
      </c>
      <c r="HV33">
        <v>143.11693127061099</v>
      </c>
      <c r="HW33">
        <v>207.510558476287</v>
      </c>
      <c r="HX33">
        <v>28.543711112135</v>
      </c>
      <c r="HY33">
        <v>167.18509949195999</v>
      </c>
      <c r="HZ33">
        <v>27.194484083876599</v>
      </c>
      <c r="IA33">
        <v>27.258696168346699</v>
      </c>
      <c r="IB33">
        <v>208.30374768279901</v>
      </c>
      <c r="IC33">
        <v>82.103498173178707</v>
      </c>
      <c r="ID33">
        <v>272.46993155456198</v>
      </c>
      <c r="IE33">
        <v>27.025120304226402</v>
      </c>
      <c r="IF33">
        <v>62.209139157028403</v>
      </c>
      <c r="IG33">
        <v>33.745515678364001</v>
      </c>
      <c r="IH33">
        <v>27.1884822657839</v>
      </c>
      <c r="II33">
        <v>27.2570134474411</v>
      </c>
      <c r="IJ33">
        <v>137.40156871013801</v>
      </c>
      <c r="IK33">
        <v>32.974971599665203</v>
      </c>
      <c r="IL33">
        <v>64.2098153500568</v>
      </c>
      <c r="IM33">
        <v>222.575744994286</v>
      </c>
      <c r="IN33">
        <v>27.045909439465401</v>
      </c>
      <c r="IO33">
        <v>0.63422629966717103</v>
      </c>
      <c r="IP33">
        <v>64.310592762566998</v>
      </c>
      <c r="IQ33">
        <v>238.23296560872501</v>
      </c>
      <c r="IR33">
        <v>224.375488278565</v>
      </c>
      <c r="IS33">
        <v>234.016193318707</v>
      </c>
      <c r="IT33">
        <v>139.68780527531101</v>
      </c>
      <c r="IU33">
        <v>296.48474625289498</v>
      </c>
      <c r="IV33">
        <v>-54.353007653856402</v>
      </c>
      <c r="IW33">
        <v>26.556428496237</v>
      </c>
      <c r="IX33">
        <v>27.105017303260599</v>
      </c>
      <c r="IY33">
        <v>-40.959602891944101</v>
      </c>
      <c r="IZ33">
        <v>-321.80373720273701</v>
      </c>
      <c r="JA33">
        <v>-938.42260093671598</v>
      </c>
      <c r="JB33">
        <v>-10.2107612183021</v>
      </c>
      <c r="JC33">
        <v>27.3625962174957</v>
      </c>
      <c r="JD33">
        <v>28.543711112135</v>
      </c>
      <c r="JE33">
        <v>52.3898650435276</v>
      </c>
      <c r="JF33">
        <v>-173.940082367542</v>
      </c>
      <c r="JG33">
        <v>-859.65397714832795</v>
      </c>
      <c r="JH33">
        <v>-64.6623803131817</v>
      </c>
      <c r="JI33">
        <v>26.4900669574204</v>
      </c>
      <c r="JJ33">
        <v>27.025120304226402</v>
      </c>
      <c r="JK33">
        <v>-46.526718391549899</v>
      </c>
      <c r="JL33">
        <v>-317.32112956104498</v>
      </c>
      <c r="JM33">
        <v>-886.25691005650901</v>
      </c>
      <c r="JN33">
        <v>-37.969245344214201</v>
      </c>
      <c r="JO33">
        <v>26.5665398667015</v>
      </c>
      <c r="JP33">
        <v>27.045909439465401</v>
      </c>
      <c r="JQ33">
        <v>0.66986476266540396</v>
      </c>
      <c r="JR33">
        <v>-18.059389025212401</v>
      </c>
      <c r="JS33">
        <v>1.2707637542122201</v>
      </c>
      <c r="JT33">
        <v>-161.84897081631601</v>
      </c>
      <c r="JU33">
        <v>-466.82210166108501</v>
      </c>
      <c r="JV33">
        <v>115.291598044689</v>
      </c>
      <c r="JW33">
        <v>339.971482972405</v>
      </c>
      <c r="JX33">
        <v>131.52811100449401</v>
      </c>
      <c r="JY33">
        <v>138.72646434332299</v>
      </c>
      <c r="JZ33">
        <v>238.859625722967</v>
      </c>
      <c r="KA33">
        <v>204.225522924784</v>
      </c>
      <c r="KB33">
        <v>90.779686826882298</v>
      </c>
      <c r="KC33">
        <v>318.66867839622898</v>
      </c>
      <c r="KD33">
        <v>132.11181375071499</v>
      </c>
      <c r="KE33">
        <v>63.8930446452231</v>
      </c>
      <c r="KF33">
        <v>27.410934296834998</v>
      </c>
      <c r="KG33">
        <v>147.433302225039</v>
      </c>
      <c r="KH33">
        <v>1.13270469540997</v>
      </c>
      <c r="KI33">
        <v>219.18141121570599</v>
      </c>
      <c r="KJ33">
        <v>83.8076920785645</v>
      </c>
      <c r="KK33">
        <v>-45.731560407910699</v>
      </c>
      <c r="KL33">
        <v>27.243123048110299</v>
      </c>
      <c r="KM33">
        <v>27.411986386552101</v>
      </c>
      <c r="KN33">
        <v>63.639420670374598</v>
      </c>
      <c r="KO33">
        <v>27.238414357856101</v>
      </c>
      <c r="KP33">
        <v>33.515617767693698</v>
      </c>
      <c r="KQ33">
        <v>4.8946761488649999</v>
      </c>
      <c r="KR33">
        <v>84.343649021822799</v>
      </c>
      <c r="KS33">
        <v>-0.38213530114632599</v>
      </c>
      <c r="KT33">
        <v>28.267267353819001</v>
      </c>
      <c r="KU33">
        <v>28.963542354371398</v>
      </c>
      <c r="KV33">
        <v>172.72378074708701</v>
      </c>
      <c r="KW33">
        <v>28.0426589108163</v>
      </c>
      <c r="KX33">
        <v>33.4218540748913</v>
      </c>
      <c r="KY33">
        <v>63.762881244012902</v>
      </c>
      <c r="KZ33">
        <v>-13.2995955397017</v>
      </c>
      <c r="LA33">
        <v>-55.672758883573003</v>
      </c>
      <c r="LB33">
        <v>27.1406887375359</v>
      </c>
      <c r="LC33">
        <v>27.316462595165099</v>
      </c>
      <c r="LD33">
        <v>55.597528501543103</v>
      </c>
      <c r="LE33">
        <v>27.140362866955101</v>
      </c>
      <c r="LF33">
        <v>33.513682614388003</v>
      </c>
      <c r="LG33">
        <v>-5.8241724782437201</v>
      </c>
      <c r="LH33">
        <v>88.224456457515103</v>
      </c>
      <c r="LI33">
        <v>-35.260213699952097</v>
      </c>
      <c r="LJ33">
        <v>27.090397044508901</v>
      </c>
      <c r="LK33">
        <v>27.280911754242801</v>
      </c>
      <c r="LL33">
        <v>38.4378449368755</v>
      </c>
      <c r="LM33">
        <v>27.077170330175299</v>
      </c>
      <c r="LN33">
        <v>32.972492314144901</v>
      </c>
      <c r="LO33">
        <v>-2.6706811714071499</v>
      </c>
      <c r="LP33">
        <v>51.457158813322998</v>
      </c>
      <c r="LQ33">
        <v>24.213060809824999</v>
      </c>
      <c r="LR33">
        <v>20.2801506792777</v>
      </c>
      <c r="LS33">
        <v>16.420999999999999</v>
      </c>
      <c r="LT33">
        <v>71.415692151163796</v>
      </c>
      <c r="LU33">
        <v>-1640.79678088234</v>
      </c>
      <c r="LV33">
        <v>22.0183950431732</v>
      </c>
      <c r="LW33">
        <v>25.031171399266999</v>
      </c>
      <c r="LX33">
        <v>731.30265393364402</v>
      </c>
      <c r="LY33">
        <v>41.448509172299097</v>
      </c>
      <c r="LZ33">
        <v>20.308466932282698</v>
      </c>
      <c r="MA33">
        <v>16.420999999999999</v>
      </c>
      <c r="MB33">
        <v>167.91974273663701</v>
      </c>
      <c r="MC33">
        <v>-1001.20959671285</v>
      </c>
      <c r="MD33">
        <v>22.161916050894099</v>
      </c>
      <c r="ME33">
        <v>25.754556732831599</v>
      </c>
      <c r="MF33">
        <v>607.53221498202299</v>
      </c>
      <c r="MG33">
        <v>20.095123535138999</v>
      </c>
      <c r="MH33">
        <v>20.280871054967498</v>
      </c>
      <c r="MI33">
        <v>16.420999999999999</v>
      </c>
      <c r="MJ33">
        <v>82.277554114320395</v>
      </c>
      <c r="MK33">
        <v>-1596.5586364041901</v>
      </c>
      <c r="ML33">
        <v>21.993708652214501</v>
      </c>
      <c r="MM33">
        <v>24.9692014466338</v>
      </c>
      <c r="MN33">
        <v>731.05822563697905</v>
      </c>
      <c r="MO33">
        <v>13.919149485759601</v>
      </c>
      <c r="MP33">
        <v>20.345592453416501</v>
      </c>
      <c r="MQ33">
        <v>16.420999999999999</v>
      </c>
      <c r="MR33">
        <v>60.869771954493601</v>
      </c>
      <c r="MS33">
        <v>-996.33318422119305</v>
      </c>
      <c r="MT33">
        <v>22.0510830273818</v>
      </c>
      <c r="MU33">
        <v>25.020385473195699</v>
      </c>
      <c r="MV33">
        <v>470.552657826489</v>
      </c>
      <c r="MW33">
        <v>76.115047991408403</v>
      </c>
      <c r="MX33">
        <v>24.355415120689301</v>
      </c>
      <c r="MY33">
        <v>25.414199990692101</v>
      </c>
      <c r="MZ33">
        <v>1433.0148115475699</v>
      </c>
      <c r="NA33">
        <v>1095.6172760391801</v>
      </c>
      <c r="NB33">
        <v>24.76703055946</v>
      </c>
      <c r="NC33">
        <v>26.580046161744701</v>
      </c>
      <c r="ND33">
        <v>1652.5616131377799</v>
      </c>
      <c r="NE33">
        <v>79.821460366536996</v>
      </c>
      <c r="NF33">
        <v>24.368499368163501</v>
      </c>
      <c r="NG33">
        <v>25.619084095994701</v>
      </c>
      <c r="NH33">
        <v>1078.11756627202</v>
      </c>
      <c r="NI33">
        <v>748.82792729779806</v>
      </c>
      <c r="NJ33">
        <v>24.9486170981104</v>
      </c>
      <c r="NK33">
        <v>27.932133984612602</v>
      </c>
      <c r="NL33">
        <v>1277.4367001351</v>
      </c>
      <c r="NM33">
        <v>70.623975612371893</v>
      </c>
      <c r="NN33">
        <v>24.322902341144601</v>
      </c>
      <c r="NO33">
        <v>25.379153731322301</v>
      </c>
      <c r="NP33">
        <v>1448.6714460477999</v>
      </c>
      <c r="NQ33">
        <v>1152.7380343300199</v>
      </c>
      <c r="NR33">
        <v>24.701216911857902</v>
      </c>
      <c r="NS33">
        <v>26.517005716917598</v>
      </c>
      <c r="NT33">
        <v>1651.6484469418001</v>
      </c>
      <c r="NU33">
        <v>49.879528622392002</v>
      </c>
      <c r="NV33">
        <v>24.483346309467599</v>
      </c>
      <c r="NW33">
        <v>25.536048473605</v>
      </c>
      <c r="NX33">
        <v>2.5222837725749199</v>
      </c>
      <c r="NY33">
        <v>963.32469263428595</v>
      </c>
      <c r="NZ33">
        <v>809.47922190040799</v>
      </c>
      <c r="OA33">
        <v>24.8185280487962</v>
      </c>
      <c r="OB33">
        <v>26.544136825654501</v>
      </c>
      <c r="OC33">
        <v>2.4918250469146401</v>
      </c>
      <c r="OD33">
        <v>1076.2422857535901</v>
      </c>
      <c r="OE33">
        <v>2.5222837725749199</v>
      </c>
      <c r="OF33">
        <v>2.4918250469146401</v>
      </c>
      <c r="OG33">
        <v>74.253828471310399</v>
      </c>
      <c r="OH33">
        <v>24.437204969434699</v>
      </c>
      <c r="OI33">
        <v>25.9334425373854</v>
      </c>
      <c r="OJ33">
        <v>1566.8342872482699</v>
      </c>
      <c r="OK33">
        <v>1338.34413613881</v>
      </c>
      <c r="OL33">
        <v>24.7404800331052</v>
      </c>
      <c r="OM33">
        <v>26.656172656335499</v>
      </c>
      <c r="ON33">
        <v>1780.45185898414</v>
      </c>
      <c r="OO33">
        <v>76.766593229891996</v>
      </c>
      <c r="OP33">
        <v>24.444992142580301</v>
      </c>
      <c r="OQ33">
        <v>26.29658129756</v>
      </c>
      <c r="OR33">
        <v>1159.6648369018301</v>
      </c>
      <c r="OS33">
        <v>898.89469374960299</v>
      </c>
      <c r="OT33">
        <v>24.916977119851701</v>
      </c>
      <c r="OU33">
        <v>28.027011709415302</v>
      </c>
      <c r="OV33">
        <v>1364.61786284344</v>
      </c>
      <c r="OW33">
        <v>69.554902238264106</v>
      </c>
      <c r="OX33">
        <v>24.409345620797499</v>
      </c>
      <c r="OY33">
        <v>25.899483440032299</v>
      </c>
      <c r="OZ33">
        <v>1585.1897989731599</v>
      </c>
      <c r="PA33">
        <v>1394.7813077943999</v>
      </c>
      <c r="PB33">
        <v>24.6823307398124</v>
      </c>
      <c r="PC33">
        <v>26.586114434780601</v>
      </c>
      <c r="PD33">
        <v>1781.7434986444</v>
      </c>
      <c r="PE33">
        <v>46.636711048793003</v>
      </c>
      <c r="PF33">
        <v>24.543643753023801</v>
      </c>
      <c r="PG33">
        <v>26.0497676922285</v>
      </c>
      <c r="PH33">
        <v>2.7032735833217001</v>
      </c>
      <c r="PI33">
        <v>1035.92161538244</v>
      </c>
      <c r="PJ33">
        <v>966.520650468133</v>
      </c>
      <c r="PK33">
        <v>24.746562344339299</v>
      </c>
      <c r="PL33">
        <v>26.581180870810201</v>
      </c>
      <c r="PM33">
        <v>2.71796756563353</v>
      </c>
      <c r="PN33">
        <v>1135.0876342955</v>
      </c>
      <c r="PO33">
        <v>26.004823745627</v>
      </c>
      <c r="PP33">
        <v>27.224181489128</v>
      </c>
      <c r="PQ33">
        <v>25.926813397609699</v>
      </c>
      <c r="PR33">
        <v>25.991093772557502</v>
      </c>
      <c r="PS33">
        <v>25.950117648954802</v>
      </c>
      <c r="PT33">
        <v>27.001808921067401</v>
      </c>
      <c r="PU33">
        <v>28.977625106633401</v>
      </c>
      <c r="PV33">
        <v>26.927303645986601</v>
      </c>
      <c r="PW33">
        <v>26.947521043321299</v>
      </c>
      <c r="PX33">
        <v>26.957463803735099</v>
      </c>
      <c r="PY33">
        <v>27.159625042611701</v>
      </c>
      <c r="PZ33">
        <v>29.165156257558198</v>
      </c>
      <c r="QA33">
        <v>27.074540890775001</v>
      </c>
      <c r="QB33">
        <v>27.060881060954401</v>
      </c>
      <c r="QC33">
        <v>27.4231731225257</v>
      </c>
      <c r="QD33">
        <v>23.9339332015732</v>
      </c>
      <c r="QE33">
        <v>26.332174075058099</v>
      </c>
      <c r="QF33">
        <v>28.908179533267202</v>
      </c>
      <c r="QG33">
        <v>26.074754485687301</v>
      </c>
      <c r="QH33">
        <v>26.102997433635402</v>
      </c>
      <c r="QI33">
        <v>25.998542573327899</v>
      </c>
      <c r="QJ33">
        <v>26.452066818688099</v>
      </c>
      <c r="QK33">
        <v>28.587651411666201</v>
      </c>
      <c r="QL33">
        <v>26.378388206304901</v>
      </c>
      <c r="QM33">
        <v>26.349337596972799</v>
      </c>
      <c r="QN33">
        <v>1270.3892747289401</v>
      </c>
      <c r="QO33">
        <v>26.302901705496801</v>
      </c>
      <c r="QP33">
        <v>7605.0061263512298</v>
      </c>
      <c r="QQ33">
        <v>26.5269598983501</v>
      </c>
      <c r="QR33">
        <v>28.6182667832432</v>
      </c>
      <c r="QS33">
        <v>26.453037838235399</v>
      </c>
      <c r="QT33">
        <v>26.426840606785699</v>
      </c>
      <c r="QU33">
        <v>26.526195284270798</v>
      </c>
      <c r="QV33">
        <v>18.580100908585901</v>
      </c>
      <c r="QW33">
        <v>186417.37423853501</v>
      </c>
      <c r="QX33">
        <v>0</v>
      </c>
      <c r="QY33">
        <v>186131.98472246301</v>
      </c>
      <c r="QZ33">
        <v>0</v>
      </c>
      <c r="RA33">
        <v>1558.9664632009101</v>
      </c>
      <c r="RB33">
        <v>6694.7615031943596</v>
      </c>
      <c r="RC33">
        <v>842.82435762923797</v>
      </c>
      <c r="RD33">
        <v>5392.6811040662196</v>
      </c>
      <c r="RE33">
        <v>71373.8495788578</v>
      </c>
      <c r="RF33">
        <v>0</v>
      </c>
      <c r="RG33">
        <v>47369.1490797105</v>
      </c>
      <c r="RH33">
        <v>0</v>
      </c>
      <c r="RI33">
        <v>0</v>
      </c>
      <c r="RJ33">
        <v>4365.7565869234704</v>
      </c>
      <c r="RK33">
        <v>26.6595244044893</v>
      </c>
      <c r="RL33">
        <v>-4733.9104806737496</v>
      </c>
      <c r="RM33">
        <v>-12831.616578478701</v>
      </c>
      <c r="RN33">
        <v>-4733.9104806737496</v>
      </c>
      <c r="RO33">
        <v>0</v>
      </c>
      <c r="RP33">
        <v>5075.96051162609</v>
      </c>
      <c r="RQ33">
        <v>30.5921775774064</v>
      </c>
      <c r="RR33">
        <v>-5314.9198821269902</v>
      </c>
      <c r="RS33">
        <v>-8392.9396228027308</v>
      </c>
      <c r="RT33">
        <v>-5314.9198821269902</v>
      </c>
      <c r="RU33">
        <v>0</v>
      </c>
      <c r="RV33">
        <v>4448.3235519896398</v>
      </c>
      <c r="RW33">
        <v>26.222695573764799</v>
      </c>
      <c r="RX33">
        <v>-4864.2555137019199</v>
      </c>
      <c r="RY33">
        <v>-13395.2620723612</v>
      </c>
      <c r="RZ33">
        <v>-4864.2555137019199</v>
      </c>
      <c r="SA33">
        <v>0</v>
      </c>
      <c r="SB33">
        <v>2890.71478759721</v>
      </c>
      <c r="SC33">
        <v>26.214901094713301</v>
      </c>
      <c r="SD33">
        <v>-3155.7983110114801</v>
      </c>
      <c r="SE33">
        <v>-8594.8236715168605</v>
      </c>
      <c r="SF33">
        <v>-3155.7983110114801</v>
      </c>
      <c r="SG33">
        <v>0</v>
      </c>
      <c r="SH33">
        <v>21646.502447835901</v>
      </c>
      <c r="SI33">
        <v>26.046967497700901</v>
      </c>
      <c r="SJ33">
        <v>-23460.0775526299</v>
      </c>
      <c r="SK33">
        <v>-44954.1021594868</v>
      </c>
      <c r="SL33">
        <v>-23460.0775526299</v>
      </c>
      <c r="SM33">
        <v>21.1111</v>
      </c>
      <c r="SN33">
        <v>23.8889</v>
      </c>
      <c r="SO33">
        <v>509.94259862671998</v>
      </c>
      <c r="SP33">
        <v>0</v>
      </c>
      <c r="SQ33">
        <v>26.4196908433881</v>
      </c>
      <c r="SR33">
        <v>0</v>
      </c>
      <c r="SS33">
        <v>0</v>
      </c>
      <c r="ST33">
        <v>0</v>
      </c>
      <c r="SU33">
        <v>116.849774178662</v>
      </c>
      <c r="SV33">
        <v>0</v>
      </c>
      <c r="SW33">
        <v>26.238892899910802</v>
      </c>
      <c r="SX33">
        <v>0</v>
      </c>
      <c r="SY33">
        <v>0</v>
      </c>
      <c r="SZ33">
        <v>0</v>
      </c>
      <c r="TA33">
        <v>495.62088562306297</v>
      </c>
      <c r="TB33">
        <v>0</v>
      </c>
      <c r="TC33">
        <v>26.337252865450299</v>
      </c>
      <c r="TD33">
        <v>0</v>
      </c>
      <c r="TE33">
        <v>0</v>
      </c>
      <c r="TF33">
        <v>0</v>
      </c>
      <c r="TG33">
        <v>293.01593062632799</v>
      </c>
      <c r="TH33">
        <v>0</v>
      </c>
      <c r="TI33">
        <v>26.413071075476399</v>
      </c>
      <c r="TJ33">
        <v>0</v>
      </c>
      <c r="TK33">
        <v>0</v>
      </c>
      <c r="TL33">
        <v>0</v>
      </c>
      <c r="TM33">
        <v>2007.7599890925401</v>
      </c>
      <c r="TN33">
        <v>0</v>
      </c>
      <c r="TO33">
        <v>26.325129900735</v>
      </c>
      <c r="TP33">
        <v>0</v>
      </c>
      <c r="TQ33">
        <v>0</v>
      </c>
      <c r="TR33">
        <v>0</v>
      </c>
      <c r="TS33">
        <v>0</v>
      </c>
      <c r="TT33">
        <v>5894.4743492764701</v>
      </c>
      <c r="TU33">
        <v>25.902324716308801</v>
      </c>
      <c r="TV33">
        <v>-6958.1593881387198</v>
      </c>
      <c r="TW33">
        <v>-15784.919355315</v>
      </c>
      <c r="TX33">
        <v>-6958.1593881387198</v>
      </c>
      <c r="TY33">
        <v>0</v>
      </c>
      <c r="TZ33">
        <v>6342.1281690983096</v>
      </c>
      <c r="UA33">
        <v>28.197677716699001</v>
      </c>
      <c r="UB33">
        <v>-6921.4071936309401</v>
      </c>
      <c r="UC33">
        <v>-10729.1714061197</v>
      </c>
      <c r="UD33">
        <v>-6921.4071936309401</v>
      </c>
      <c r="UE33">
        <v>0</v>
      </c>
      <c r="UF33">
        <v>5738.71360640288</v>
      </c>
      <c r="UG33">
        <v>25.829472766623201</v>
      </c>
      <c r="UH33">
        <v>-7153.3276175002402</v>
      </c>
      <c r="UI33">
        <v>-16264.025853864299</v>
      </c>
      <c r="UJ33">
        <v>-7153.3276175002402</v>
      </c>
      <c r="UK33">
        <v>0</v>
      </c>
      <c r="UL33">
        <v>3839.02665993042</v>
      </c>
      <c r="UM33">
        <v>25.751154150624199</v>
      </c>
      <c r="UN33">
        <v>-4590.15269421635</v>
      </c>
      <c r="UO33">
        <v>-10353.0620245142</v>
      </c>
      <c r="UP33">
        <v>-4590.15269421635</v>
      </c>
      <c r="UQ33">
        <v>0</v>
      </c>
      <c r="UR33">
        <v>28288.835343971899</v>
      </c>
      <c r="US33">
        <v>25.648339607258499</v>
      </c>
      <c r="UT33">
        <v>-31606.631044952701</v>
      </c>
      <c r="UU33">
        <v>-54355.592405471398</v>
      </c>
      <c r="UV33">
        <v>-31606.631044952701</v>
      </c>
      <c r="UW33">
        <v>21.1111</v>
      </c>
      <c r="UX33">
        <v>23.8889</v>
      </c>
      <c r="UY33">
        <v>268.44124956900902</v>
      </c>
      <c r="UZ33">
        <v>12.5537510662871</v>
      </c>
      <c r="VA33">
        <v>26.6499403352983</v>
      </c>
      <c r="VB33">
        <v>0</v>
      </c>
      <c r="VC33">
        <v>0</v>
      </c>
      <c r="VD33">
        <v>0</v>
      </c>
      <c r="VE33">
        <v>71.060310778892003</v>
      </c>
      <c r="VF33">
        <v>28.644042067740902</v>
      </c>
      <c r="VG33">
        <v>26.925836174197698</v>
      </c>
      <c r="VH33">
        <v>0</v>
      </c>
      <c r="VI33">
        <v>0</v>
      </c>
      <c r="VJ33">
        <v>0</v>
      </c>
      <c r="VK33">
        <v>297.44758582089298</v>
      </c>
      <c r="VL33">
        <v>10.7417913390709</v>
      </c>
      <c r="VM33">
        <v>26.631244592021599</v>
      </c>
      <c r="VN33">
        <v>0</v>
      </c>
      <c r="VO33">
        <v>0</v>
      </c>
      <c r="VP33">
        <v>0</v>
      </c>
      <c r="VQ33">
        <v>160.80850987626599</v>
      </c>
      <c r="VR33">
        <v>45.9337643665258</v>
      </c>
      <c r="VS33">
        <v>26.586452752857902</v>
      </c>
      <c r="VT33">
        <v>0</v>
      </c>
      <c r="VU33">
        <v>0</v>
      </c>
      <c r="VV33">
        <v>0</v>
      </c>
      <c r="VW33">
        <v>1161.59963728245</v>
      </c>
      <c r="VX33">
        <v>29.877345470886201</v>
      </c>
      <c r="VY33">
        <v>26.806429569315601</v>
      </c>
      <c r="VZ33">
        <v>0</v>
      </c>
      <c r="WA33">
        <v>0</v>
      </c>
      <c r="WB33">
        <v>0</v>
      </c>
      <c r="WC33">
        <v>0</v>
      </c>
      <c r="WD33">
        <v>6107.5132253729898</v>
      </c>
      <c r="WE33">
        <v>25.894294754088399</v>
      </c>
      <c r="WF33">
        <v>-7274.45989504305</v>
      </c>
      <c r="WG33">
        <v>-16170.5143116161</v>
      </c>
      <c r="WH33">
        <v>-7274.45989504305</v>
      </c>
      <c r="WI33">
        <v>23519309.183316901</v>
      </c>
      <c r="WJ33">
        <v>0</v>
      </c>
      <c r="WK33">
        <v>6533.1414398102397</v>
      </c>
      <c r="WL33">
        <v>28.071377308928099</v>
      </c>
      <c r="WM33">
        <v>-7250.96481662105</v>
      </c>
      <c r="WN33">
        <v>-11147.6062753673</v>
      </c>
      <c r="WO33">
        <v>-7250.96481662105</v>
      </c>
      <c r="WP33">
        <v>18.333300000000001</v>
      </c>
      <c r="WQ33">
        <v>23.8889</v>
      </c>
      <c r="WR33">
        <v>0</v>
      </c>
      <c r="WS33">
        <v>5972.6224705705099</v>
      </c>
      <c r="WT33">
        <v>25.831534785695801</v>
      </c>
      <c r="WU33">
        <v>-7381.2549708079196</v>
      </c>
      <c r="WV33">
        <v>-16472.098840248502</v>
      </c>
      <c r="WW33">
        <v>-7381.2549708079196</v>
      </c>
      <c r="WX33">
        <v>14009016.216622399</v>
      </c>
      <c r="WY33">
        <v>0</v>
      </c>
      <c r="WZ33">
        <v>3891.39339350621</v>
      </c>
      <c r="XA33">
        <v>25.792800152617001</v>
      </c>
      <c r="XB33">
        <v>-4712.7250352562896</v>
      </c>
      <c r="XC33">
        <v>-10494.380692151</v>
      </c>
      <c r="XD33">
        <v>-4712.7250352562896</v>
      </c>
      <c r="XE33">
        <v>0</v>
      </c>
      <c r="XF33">
        <v>31277.037775888199</v>
      </c>
      <c r="XG33">
        <v>25.6292174460159</v>
      </c>
      <c r="XH33">
        <v>-35262.634468921598</v>
      </c>
      <c r="XI33">
        <v>-58345.4050599861</v>
      </c>
      <c r="XJ33">
        <v>-35262.634468921598</v>
      </c>
      <c r="XK33">
        <v>21.1111</v>
      </c>
      <c r="XL33">
        <v>23.8889</v>
      </c>
      <c r="XM33">
        <v>205.94676448017501</v>
      </c>
      <c r="XN33">
        <v>281.09477598494198</v>
      </c>
      <c r="XO33">
        <v>26.868315298725399</v>
      </c>
      <c r="XP33">
        <v>0</v>
      </c>
      <c r="XQ33">
        <v>0</v>
      </c>
      <c r="XR33">
        <v>0</v>
      </c>
      <c r="XS33">
        <v>3.5572189176909901</v>
      </c>
      <c r="XT33">
        <v>293.92405100036399</v>
      </c>
      <c r="XU33">
        <v>27.2189282542253</v>
      </c>
      <c r="XV33">
        <v>0</v>
      </c>
      <c r="XW33">
        <v>0</v>
      </c>
      <c r="XX33">
        <v>0</v>
      </c>
      <c r="XY33">
        <v>251.29435972966201</v>
      </c>
      <c r="XZ33">
        <v>271.277151489321</v>
      </c>
      <c r="YA33">
        <v>26.821337777111101</v>
      </c>
      <c r="YB33">
        <v>0</v>
      </c>
      <c r="YC33">
        <v>0</v>
      </c>
      <c r="YD33">
        <v>0</v>
      </c>
      <c r="YE33">
        <v>161.36565058346099</v>
      </c>
      <c r="YF33">
        <v>171.583098471623</v>
      </c>
      <c r="YG33">
        <v>26.761297455125298</v>
      </c>
      <c r="YH33">
        <v>0</v>
      </c>
      <c r="YI33">
        <v>0</v>
      </c>
      <c r="YJ33">
        <v>0</v>
      </c>
      <c r="YK33">
        <v>0</v>
      </c>
      <c r="YL33">
        <v>2016.4891048616601</v>
      </c>
      <c r="YM33">
        <v>27.237879716491499</v>
      </c>
      <c r="YN33">
        <v>0</v>
      </c>
      <c r="YO33">
        <v>0</v>
      </c>
      <c r="YP33">
        <v>0</v>
      </c>
      <c r="YQ33">
        <v>0</v>
      </c>
      <c r="YR33">
        <v>1065.8691280713599</v>
      </c>
      <c r="YS33">
        <v>19.902342681578801</v>
      </c>
      <c r="YT33">
        <v>0</v>
      </c>
      <c r="YU33">
        <v>0</v>
      </c>
      <c r="YV33">
        <v>0</v>
      </c>
      <c r="YW33">
        <v>0</v>
      </c>
      <c r="YX33">
        <v>958.39858349599695</v>
      </c>
      <c r="YY33">
        <v>19.504736661210401</v>
      </c>
      <c r="YZ33">
        <v>0</v>
      </c>
      <c r="ZA33">
        <v>0</v>
      </c>
      <c r="ZB33">
        <v>0</v>
      </c>
      <c r="ZC33">
        <v>0</v>
      </c>
      <c r="ZD33">
        <v>1089.109710301</v>
      </c>
      <c r="ZE33">
        <v>19.8582797058286</v>
      </c>
      <c r="ZF33">
        <v>0</v>
      </c>
      <c r="ZG33">
        <v>0</v>
      </c>
      <c r="ZH33">
        <v>0</v>
      </c>
      <c r="ZI33">
        <v>0</v>
      </c>
      <c r="ZJ33">
        <v>713.78433679741602</v>
      </c>
      <c r="ZK33">
        <v>19.884032365798099</v>
      </c>
      <c r="ZL33">
        <v>0</v>
      </c>
      <c r="ZM33">
        <v>0</v>
      </c>
      <c r="ZN33">
        <v>0</v>
      </c>
      <c r="ZO33">
        <v>0</v>
      </c>
      <c r="ZP33">
        <v>13051.4597157681</v>
      </c>
      <c r="ZQ33">
        <v>17.999880959031199</v>
      </c>
      <c r="ZR33">
        <v>0</v>
      </c>
      <c r="ZS33">
        <v>0</v>
      </c>
      <c r="ZT33">
        <v>0</v>
      </c>
      <c r="ZU33">
        <v>0</v>
      </c>
      <c r="ZV33">
        <v>3466.25836804654</v>
      </c>
      <c r="ZW33">
        <v>21.4908334382093</v>
      </c>
      <c r="ZX33">
        <v>0</v>
      </c>
      <c r="ZY33">
        <v>0</v>
      </c>
      <c r="ZZ33">
        <v>0</v>
      </c>
      <c r="AAA33">
        <v>0</v>
      </c>
      <c r="AAB33">
        <v>2582.7317619016198</v>
      </c>
      <c r="AAC33">
        <v>21.104792448171299</v>
      </c>
      <c r="AAD33">
        <v>0</v>
      </c>
      <c r="AAE33">
        <v>0</v>
      </c>
      <c r="AAF33">
        <v>0</v>
      </c>
      <c r="AAG33">
        <v>0</v>
      </c>
      <c r="AAH33">
        <v>3514.8006028951299</v>
      </c>
      <c r="AAI33">
        <v>21.388787542256999</v>
      </c>
      <c r="AAJ33">
        <v>0</v>
      </c>
      <c r="AAK33">
        <v>0</v>
      </c>
      <c r="AAL33">
        <v>0</v>
      </c>
      <c r="AAM33">
        <v>0</v>
      </c>
      <c r="AAN33">
        <v>2296.4481133259901</v>
      </c>
      <c r="AAO33">
        <v>21.441126469074501</v>
      </c>
      <c r="AAP33">
        <v>0</v>
      </c>
      <c r="AAQ33">
        <v>0</v>
      </c>
      <c r="AAR33">
        <v>0</v>
      </c>
      <c r="AAS33">
        <v>0</v>
      </c>
      <c r="AAT33">
        <v>28222.137675892998</v>
      </c>
      <c r="AAU33">
        <v>18.558982819757201</v>
      </c>
      <c r="AAV33">
        <v>0</v>
      </c>
      <c r="AAW33">
        <v>0</v>
      </c>
      <c r="AAX33">
        <v>0</v>
      </c>
      <c r="AAY33">
        <v>0</v>
      </c>
      <c r="AAZ33">
        <v>3625.1373017574601</v>
      </c>
      <c r="ABA33">
        <v>21.575898462415399</v>
      </c>
      <c r="ABB33">
        <v>0</v>
      </c>
      <c r="ABC33">
        <v>0</v>
      </c>
      <c r="ABD33">
        <v>0</v>
      </c>
      <c r="ABE33">
        <v>0</v>
      </c>
      <c r="ABF33">
        <v>2706.0783531811799</v>
      </c>
      <c r="ABG33">
        <v>21.204205651290501</v>
      </c>
      <c r="ABH33">
        <v>0</v>
      </c>
      <c r="ABI33">
        <v>0</v>
      </c>
      <c r="ABJ33">
        <v>0</v>
      </c>
      <c r="ABK33">
        <v>0</v>
      </c>
      <c r="ABL33">
        <v>3658.8272160292199</v>
      </c>
      <c r="ABM33">
        <v>21.4865066304985</v>
      </c>
      <c r="ABN33">
        <v>0</v>
      </c>
      <c r="ABO33">
        <v>0</v>
      </c>
      <c r="ABP33">
        <v>0</v>
      </c>
      <c r="ABQ33">
        <v>0</v>
      </c>
      <c r="ABR33">
        <v>2355.7070388871798</v>
      </c>
      <c r="ABS33">
        <v>21.548966247893201</v>
      </c>
      <c r="ABT33">
        <v>0</v>
      </c>
      <c r="ABU33">
        <v>0</v>
      </c>
      <c r="ABV33">
        <v>0</v>
      </c>
      <c r="ABW33">
        <v>0</v>
      </c>
      <c r="ABX33">
        <v>31014.8057406515</v>
      </c>
      <c r="ABY33">
        <v>18.580100908585901</v>
      </c>
      <c r="ABZ33">
        <v>0</v>
      </c>
      <c r="ACA33">
        <v>0</v>
      </c>
      <c r="ACB33">
        <v>0</v>
      </c>
      <c r="ACC33">
        <v>0.45079140285825198</v>
      </c>
      <c r="ACD33">
        <v>131118050.90268999</v>
      </c>
      <c r="ACE33">
        <v>215864.53246823</v>
      </c>
      <c r="ACF33">
        <v>12.7685761851181</v>
      </c>
      <c r="ACG33">
        <v>8.9432266426642695</v>
      </c>
      <c r="ACH33">
        <v>13.50000361399</v>
      </c>
      <c r="ACI33">
        <v>252286.21327453299</v>
      </c>
      <c r="ACJ33">
        <v>5.9050947155033402</v>
      </c>
      <c r="ACK33">
        <v>21.1517735755845</v>
      </c>
      <c r="ACL33">
        <v>24.979011194963299</v>
      </c>
      <c r="ACM33">
        <v>15.7700042216757</v>
      </c>
      <c r="ACN33">
        <v>105390.341415922</v>
      </c>
      <c r="ACP33">
        <v>61170.561354885598</v>
      </c>
      <c r="ACR33">
        <v>166560.902770808</v>
      </c>
      <c r="ACT33">
        <v>26.336860882126501</v>
      </c>
      <c r="ACU33" s="35">
        <v>24.575512012507598</v>
      </c>
      <c r="ACV33">
        <v>1.7</v>
      </c>
      <c r="ACW33">
        <v>1.66921194737802</v>
      </c>
      <c r="ACX33">
        <v>0.78026275989736005</v>
      </c>
      <c r="ACY33">
        <v>26.1803755955744</v>
      </c>
      <c r="ACZ33">
        <v>24.643347707494801</v>
      </c>
      <c r="ADA33">
        <v>1.7</v>
      </c>
      <c r="ADB33">
        <v>2.9276096827823102</v>
      </c>
      <c r="ADC33">
        <v>0.780299616895748</v>
      </c>
      <c r="ADD33">
        <v>26.188617136239401</v>
      </c>
      <c r="ADE33">
        <v>24.682583507307399</v>
      </c>
      <c r="ADF33">
        <v>1.7</v>
      </c>
      <c r="ADG33">
        <v>3.4462754338077701</v>
      </c>
      <c r="ADH33">
        <v>0.78036103731999296</v>
      </c>
      <c r="ADI33">
        <v>26.6173144614439</v>
      </c>
      <c r="ADJ33">
        <v>24.6274887422354</v>
      </c>
      <c r="ADK33">
        <v>1.7</v>
      </c>
      <c r="ADL33">
        <v>1.6064205575127699</v>
      </c>
      <c r="ADM33">
        <v>0.68944865796979105</v>
      </c>
      <c r="ADN33">
        <v>26.0890252160318</v>
      </c>
      <c r="ADO33">
        <v>24.1848493796296</v>
      </c>
      <c r="ADP33">
        <v>1.7</v>
      </c>
      <c r="ADQ33">
        <v>2.4367234080154101</v>
      </c>
      <c r="ADR33">
        <v>0.696783593247985</v>
      </c>
      <c r="ADS33">
        <v>26.435057966260601</v>
      </c>
      <c r="ADT33">
        <v>24.516305432411901</v>
      </c>
      <c r="ADU33">
        <v>1.7</v>
      </c>
      <c r="ADV33">
        <v>4.5853722028243</v>
      </c>
      <c r="ADW33">
        <v>0.68973901889911504</v>
      </c>
      <c r="ADX33">
        <v>26.461347571783801</v>
      </c>
      <c r="ADY33">
        <v>24.5275311543699</v>
      </c>
      <c r="ADZ33">
        <v>1.7</v>
      </c>
      <c r="AEA33">
        <v>1.7235864080168699</v>
      </c>
      <c r="AEB33">
        <v>0.69000605196484799</v>
      </c>
      <c r="AEC33">
        <v>26.133652125764002</v>
      </c>
      <c r="AED33">
        <v>24.896904288102</v>
      </c>
      <c r="AEE33">
        <v>1.7</v>
      </c>
      <c r="AEF33">
        <v>3.2802815463331698</v>
      </c>
      <c r="AEG33">
        <v>0.68510297507237405</v>
      </c>
      <c r="AEH33">
        <v>26.582710795989598</v>
      </c>
      <c r="AEI33">
        <v>25.127053471688601</v>
      </c>
      <c r="AEJ33">
        <v>1.7</v>
      </c>
      <c r="AEK33">
        <v>3.83327206206897</v>
      </c>
      <c r="AEL33">
        <v>0.69628834885611901</v>
      </c>
      <c r="AEM33">
        <v>26.0974998226297</v>
      </c>
      <c r="AEN33">
        <v>24.950016770866299</v>
      </c>
      <c r="AEO33">
        <v>1.7</v>
      </c>
      <c r="AEP33">
        <v>5.4832428754152902</v>
      </c>
      <c r="AEQ33">
        <v>0.68009524084164197</v>
      </c>
      <c r="AER33">
        <v>25.998288067169501</v>
      </c>
      <c r="AES33">
        <v>24.809621721433999</v>
      </c>
      <c r="AET33">
        <v>1.7</v>
      </c>
      <c r="AEU33">
        <v>3.5775434572461702</v>
      </c>
      <c r="AEV33">
        <v>0.68471774355946202</v>
      </c>
      <c r="AEW33">
        <v>26.1251601141823</v>
      </c>
      <c r="AEX33">
        <v>24.923950572188101</v>
      </c>
      <c r="AEY33">
        <v>1.7</v>
      </c>
      <c r="AEZ33">
        <v>3.3846584695437198</v>
      </c>
      <c r="AFA33">
        <v>0.68427698518941604</v>
      </c>
      <c r="AFB33">
        <v>26.571488926961202</v>
      </c>
      <c r="AFC33">
        <v>25.160382145513999</v>
      </c>
      <c r="AFD33">
        <v>1.7</v>
      </c>
      <c r="AFE33">
        <v>3.94045064688726</v>
      </c>
      <c r="AFF33">
        <v>0.69537901067744001</v>
      </c>
      <c r="AFG33">
        <v>26.071994756786001</v>
      </c>
      <c r="AFH33">
        <v>24.952985610813101</v>
      </c>
      <c r="AFI33">
        <v>1.7</v>
      </c>
      <c r="AFJ33">
        <v>5.0977168432473396</v>
      </c>
      <c r="AFK33">
        <v>0.68034241192596601</v>
      </c>
      <c r="AFL33">
        <v>26.028812688767498</v>
      </c>
      <c r="AFM33">
        <v>24.867929750360201</v>
      </c>
      <c r="AFN33">
        <v>1.7</v>
      </c>
      <c r="AFO33">
        <v>3.63585197721331</v>
      </c>
      <c r="AFP33">
        <v>0.68278354667988095</v>
      </c>
      <c r="AFQ33">
        <v>-0.31743703431230502</v>
      </c>
      <c r="AFR33">
        <v>-0.29624632418528302</v>
      </c>
      <c r="AFS33">
        <v>-0.30829379299933601</v>
      </c>
      <c r="AFT33">
        <v>-0.29771000542829401</v>
      </c>
      <c r="AFU33">
        <v>-0.12229740364064499</v>
      </c>
      <c r="AFV33">
        <v>-0.125420315880058</v>
      </c>
      <c r="AFW33">
        <v>-0.14562862156793299</v>
      </c>
      <c r="AFX33">
        <v>0.13412782987361499</v>
      </c>
      <c r="AFY33">
        <v>-0.104062356194546</v>
      </c>
      <c r="AFZ33">
        <v>-0.10064105837482799</v>
      </c>
      <c r="AGA33">
        <v>-0.12155293099992</v>
      </c>
      <c r="AGB33">
        <v>0.167919679462319</v>
      </c>
      <c r="AGC33">
        <v>-0.29478263468840099</v>
      </c>
      <c r="AGD33">
        <v>-0.165908273082015</v>
      </c>
      <c r="AGE33">
        <v>-0.1005842295458</v>
      </c>
      <c r="AGF33">
        <v>0</v>
      </c>
      <c r="AGG33">
        <v>0</v>
      </c>
      <c r="AGH33">
        <v>0</v>
      </c>
      <c r="AGI33">
        <v>0</v>
      </c>
      <c r="AGJ33">
        <v>0</v>
      </c>
      <c r="AGK33">
        <v>0</v>
      </c>
      <c r="AGL33">
        <v>0</v>
      </c>
      <c r="AGM33">
        <v>0</v>
      </c>
      <c r="AGN33">
        <v>0</v>
      </c>
      <c r="AGO33">
        <v>0</v>
      </c>
      <c r="AGP33">
        <v>0</v>
      </c>
      <c r="AGQ33">
        <v>0.5</v>
      </c>
      <c r="AGR33">
        <v>0</v>
      </c>
      <c r="AGS33">
        <v>0</v>
      </c>
      <c r="AGT33">
        <v>0</v>
      </c>
      <c r="AGU33">
        <v>0</v>
      </c>
      <c r="AGV33">
        <v>0</v>
      </c>
      <c r="AGW33">
        <v>0</v>
      </c>
      <c r="AGX33">
        <v>0</v>
      </c>
      <c r="AGY33">
        <v>0</v>
      </c>
      <c r="AGZ33">
        <v>0</v>
      </c>
      <c r="AHA33">
        <v>0.5</v>
      </c>
      <c r="AHB33">
        <v>0</v>
      </c>
      <c r="AHC33">
        <v>0</v>
      </c>
      <c r="AHD33">
        <v>0</v>
      </c>
      <c r="AHE33">
        <v>0</v>
      </c>
      <c r="AHF33">
        <v>0</v>
      </c>
      <c r="AHG33">
        <v>0</v>
      </c>
      <c r="AHH33">
        <v>0</v>
      </c>
      <c r="AHI33">
        <v>0</v>
      </c>
      <c r="AHJ33">
        <v>0</v>
      </c>
      <c r="AHK33">
        <v>0</v>
      </c>
      <c r="AHL33">
        <v>0</v>
      </c>
      <c r="AHM33">
        <v>0</v>
      </c>
      <c r="AHN33">
        <v>0</v>
      </c>
      <c r="AHO33">
        <v>0</v>
      </c>
      <c r="AHP33">
        <v>0</v>
      </c>
      <c r="AHQ33">
        <v>0</v>
      </c>
      <c r="AHR33">
        <v>0</v>
      </c>
      <c r="AHS33">
        <v>0</v>
      </c>
      <c r="AHT33">
        <v>0</v>
      </c>
      <c r="AHU33">
        <v>0</v>
      </c>
      <c r="AHV33">
        <v>0</v>
      </c>
      <c r="AHW33">
        <v>0</v>
      </c>
      <c r="AHX33">
        <v>0</v>
      </c>
      <c r="AHZ33">
        <v>0</v>
      </c>
      <c r="AIB33">
        <v>0</v>
      </c>
      <c r="AID33">
        <v>0</v>
      </c>
      <c r="AIF33">
        <v>0</v>
      </c>
      <c r="AIH33">
        <v>0</v>
      </c>
      <c r="AIJ33">
        <v>0</v>
      </c>
      <c r="AIL33">
        <v>0</v>
      </c>
      <c r="AIN33">
        <v>0</v>
      </c>
      <c r="AIP33">
        <v>0</v>
      </c>
      <c r="AIR33">
        <v>0</v>
      </c>
      <c r="AIT33">
        <v>0</v>
      </c>
      <c r="AIV33">
        <v>0</v>
      </c>
      <c r="AIX33">
        <v>0</v>
      </c>
      <c r="AIZ33">
        <v>0</v>
      </c>
      <c r="AJB33">
        <v>0</v>
      </c>
      <c r="AJC33">
        <v>0</v>
      </c>
      <c r="AJE33">
        <v>182314.76965941899</v>
      </c>
      <c r="AJH33">
        <v>10763.678040385499</v>
      </c>
      <c r="AJJ33">
        <v>3787.3175237139799</v>
      </c>
      <c r="AJK33">
        <v>316.78613196962198</v>
      </c>
      <c r="AJL33">
        <v>165.989506518003</v>
      </c>
      <c r="AJM33">
        <v>771.58068854801002</v>
      </c>
      <c r="AJN33">
        <v>212.68883487954199</v>
      </c>
      <c r="AJO33">
        <v>360.94645174964899</v>
      </c>
      <c r="AJP33">
        <v>180.871633065054</v>
      </c>
      <c r="AJQ33">
        <v>769.45620915968505</v>
      </c>
      <c r="AJR33">
        <v>241.995947942719</v>
      </c>
      <c r="AJS33">
        <v>88.450326500008998</v>
      </c>
      <c r="AJT33">
        <v>37.445335769349597</v>
      </c>
      <c r="AJU33">
        <v>101.887637908862</v>
      </c>
      <c r="AJV33">
        <v>53.907130670855103</v>
      </c>
      <c r="AJW33">
        <v>0</v>
      </c>
      <c r="AJX33">
        <v>0</v>
      </c>
      <c r="AJY33">
        <v>0</v>
      </c>
      <c r="AJZ33">
        <v>214180.83365614401</v>
      </c>
      <c r="AKA33">
        <v>0</v>
      </c>
      <c r="AKB33">
        <v>0</v>
      </c>
      <c r="AKC33">
        <v>0</v>
      </c>
      <c r="AKD33">
        <v>0</v>
      </c>
      <c r="AKE33">
        <v>65.56</v>
      </c>
      <c r="AKF33">
        <v>65.56</v>
      </c>
      <c r="AKG33">
        <v>0</v>
      </c>
      <c r="AKH33">
        <v>0</v>
      </c>
      <c r="AKI33">
        <v>0</v>
      </c>
      <c r="AKJ33">
        <v>0</v>
      </c>
      <c r="AKK33">
        <v>0</v>
      </c>
      <c r="AKL33">
        <v>65.56</v>
      </c>
      <c r="AKM33">
        <v>65.56</v>
      </c>
      <c r="AKN33">
        <v>0</v>
      </c>
      <c r="AKO33">
        <v>0</v>
      </c>
      <c r="AKP33">
        <v>0</v>
      </c>
      <c r="AKT33">
        <v>6734795.2483461499</v>
      </c>
      <c r="AKX33">
        <v>6078357.7937538503</v>
      </c>
      <c r="ALB33">
        <v>25.002063702778099</v>
      </c>
      <c r="ALC33">
        <v>21.262723825564098</v>
      </c>
      <c r="ALD33">
        <v>15.7700042216757</v>
      </c>
      <c r="ALE33">
        <v>246492.11561677299</v>
      </c>
      <c r="ALF33">
        <v>3336.66997144077</v>
      </c>
      <c r="ALH33">
        <v>15.156614319165501</v>
      </c>
      <c r="ALI33">
        <v>8.8011515410574403E-3</v>
      </c>
      <c r="ALJ33">
        <v>20.8617968417188</v>
      </c>
      <c r="ALK33">
        <v>22.155100000000001</v>
      </c>
      <c r="ALL33">
        <v>20.8617968417188</v>
      </c>
      <c r="ALM33">
        <v>0</v>
      </c>
      <c r="ALN33">
        <v>27.1405997862785</v>
      </c>
      <c r="ALO33">
        <v>9.3768701369083395E-3</v>
      </c>
      <c r="ALP33">
        <v>41.820954856751598</v>
      </c>
      <c r="ALQ33">
        <v>20.8617968417188</v>
      </c>
      <c r="ALR33">
        <v>15.156614319165501</v>
      </c>
      <c r="ALS33">
        <v>20.8617968417188</v>
      </c>
      <c r="ALT33">
        <v>15.560008380068799</v>
      </c>
      <c r="ALU33">
        <v>20.8617968417188</v>
      </c>
      <c r="ALV33">
        <v>9.5079272534402293</v>
      </c>
      <c r="ALW33">
        <v>4.1809699328173699E-3</v>
      </c>
      <c r="ALX33">
        <v>20.049817481700401</v>
      </c>
      <c r="ALY33">
        <v>4.1809699328173699E-3</v>
      </c>
      <c r="ALZ33">
        <v>0</v>
      </c>
      <c r="AMA33">
        <v>12.7685761851181</v>
      </c>
      <c r="AMB33">
        <v>1.35E-2</v>
      </c>
      <c r="AMC33">
        <v>12.738739248003901</v>
      </c>
      <c r="AMD33">
        <v>1.35E-2</v>
      </c>
      <c r="AME33">
        <v>8.9432266426642695</v>
      </c>
      <c r="AMF33">
        <v>1.35E-2</v>
      </c>
      <c r="AMG33">
        <v>1.5769999999999999E-2</v>
      </c>
      <c r="AMH33">
        <v>20.8617968417188</v>
      </c>
      <c r="AMI33">
        <v>20.222814659349599</v>
      </c>
      <c r="AMJ33">
        <v>0.37612174824794598</v>
      </c>
      <c r="AMK33" s="580">
        <v>18.3145592130019</v>
      </c>
      <c r="AML33">
        <v>2.2010357382695398</v>
      </c>
      <c r="AMM33">
        <v>19.805018999315401</v>
      </c>
      <c r="AMN33">
        <v>0.657018578976856</v>
      </c>
      <c r="AMO33">
        <v>20.212486453791598</v>
      </c>
      <c r="AMP33">
        <v>0.55316536233042501</v>
      </c>
      <c r="AMQ33">
        <v>20.250751902815701</v>
      </c>
      <c r="AMR33">
        <v>0.58379103715291103</v>
      </c>
      <c r="AMS33">
        <v>19.097535615475199</v>
      </c>
      <c r="AMT33">
        <v>3.33624304780865</v>
      </c>
      <c r="AMU33">
        <v>21.7547901490965</v>
      </c>
      <c r="AMV33">
        <v>1.1040153971109901</v>
      </c>
      <c r="AMW33">
        <v>22.148805002427199</v>
      </c>
      <c r="AMX33">
        <v>0.848489094157441</v>
      </c>
      <c r="AMY33">
        <v>22.140793100939099</v>
      </c>
      <c r="AMZ33">
        <v>1.2382667855248899</v>
      </c>
      <c r="ANA33">
        <v>22.399165054513499</v>
      </c>
      <c r="ANB33">
        <v>1.3358822565336199</v>
      </c>
      <c r="ANC33">
        <v>19.221777957955101</v>
      </c>
      <c r="AND33">
        <v>3.7790233843070502</v>
      </c>
      <c r="ANE33">
        <v>21.9008418485238</v>
      </c>
      <c r="ANF33">
        <v>1.18062584878562</v>
      </c>
      <c r="ANG33">
        <v>22.270074232083701</v>
      </c>
      <c r="ANH33">
        <v>0.89120512541769503</v>
      </c>
      <c r="ANI33">
        <v>22.2444390462679</v>
      </c>
      <c r="ANJ33">
        <v>1.33109047436446</v>
      </c>
      <c r="ANK33">
        <v>22.446440801542501</v>
      </c>
      <c r="ANL33">
        <v>1.44582296273069</v>
      </c>
      <c r="ANM33">
        <v>4.3711324649776797</v>
      </c>
      <c r="ANN33">
        <v>7.8628965811355904</v>
      </c>
      <c r="ANO33">
        <v>8.6277677956055108</v>
      </c>
      <c r="ANP33">
        <v>18.3145592130019</v>
      </c>
      <c r="ANQ33">
        <v>19.695570257795499</v>
      </c>
      <c r="ANR33">
        <v>20.142010925484001</v>
      </c>
      <c r="ANS33">
        <v>20.110183175667299</v>
      </c>
      <c r="ANT33">
        <v>20.133323912912999</v>
      </c>
      <c r="ANU33">
        <v>19.097535615475199</v>
      </c>
      <c r="ANV33">
        <v>21.530423196188099</v>
      </c>
      <c r="ANW33">
        <v>21.997495877594101</v>
      </c>
      <c r="ANX33">
        <v>21.963982735789099</v>
      </c>
      <c r="ANY33">
        <v>22.005308777926501</v>
      </c>
      <c r="ANZ33">
        <v>19.221777957955101</v>
      </c>
      <c r="AOA33">
        <v>21.661768833457899</v>
      </c>
      <c r="AOB33">
        <v>22.114078157843299</v>
      </c>
      <c r="AOC33">
        <v>22.056413960339899</v>
      </c>
      <c r="AOD33">
        <v>22.1014286498282</v>
      </c>
      <c r="AOE33">
        <v>27.1405997862785</v>
      </c>
      <c r="AOF33">
        <v>20.8617968417188</v>
      </c>
      <c r="AOG33">
        <v>27.280261903542801</v>
      </c>
      <c r="AOH33">
        <v>20.8617968417188</v>
      </c>
    </row>
    <row r="34" spans="1:1074">
      <c r="A34" t="s">
        <v>2604</v>
      </c>
      <c r="B34">
        <v>25.7029</v>
      </c>
      <c r="D34">
        <v>17.264887567765101</v>
      </c>
      <c r="F34">
        <v>9</v>
      </c>
      <c r="G34">
        <v>10945018.5837641</v>
      </c>
      <c r="H34">
        <v>25252376.055390202</v>
      </c>
      <c r="I34">
        <v>6950739.3466344699</v>
      </c>
      <c r="J34">
        <v>16036764.3509151</v>
      </c>
      <c r="K34">
        <v>10945018.5837641</v>
      </c>
      <c r="L34">
        <v>25252376.055390202</v>
      </c>
      <c r="M34">
        <v>6950739.3466344699</v>
      </c>
      <c r="N34">
        <v>16036764.3509151</v>
      </c>
      <c r="O34">
        <v>56445592.898657002</v>
      </c>
      <c r="P34">
        <v>130231422.417206</v>
      </c>
      <c r="Q34">
        <v>10945018.5837641</v>
      </c>
      <c r="R34">
        <v>25252376.055390202</v>
      </c>
      <c r="S34">
        <v>6950739.3466344699</v>
      </c>
      <c r="T34">
        <v>16036764.3509151</v>
      </c>
      <c r="U34">
        <v>10945018.5837641</v>
      </c>
      <c r="V34">
        <v>25252376.055390202</v>
      </c>
      <c r="W34">
        <v>6950739.3466344699</v>
      </c>
      <c r="X34">
        <v>16036764.3509151</v>
      </c>
      <c r="Y34">
        <v>56445592.898657002</v>
      </c>
      <c r="Z34">
        <v>130231422.417206</v>
      </c>
      <c r="AA34">
        <v>10945018.5837641</v>
      </c>
      <c r="AB34">
        <v>25252376.055390202</v>
      </c>
      <c r="AC34">
        <v>6950739.3466344699</v>
      </c>
      <c r="AD34">
        <v>16036764.3509151</v>
      </c>
      <c r="AE34">
        <v>10945018.5837641</v>
      </c>
      <c r="AF34">
        <v>25252376.055390202</v>
      </c>
      <c r="AG34">
        <v>6950739.3466344699</v>
      </c>
      <c r="AH34">
        <v>16036764.3509151</v>
      </c>
      <c r="AI34">
        <v>56445592.898657002</v>
      </c>
      <c r="AJ34">
        <v>130231422.417206</v>
      </c>
      <c r="AK34">
        <v>23.716228502806501</v>
      </c>
      <c r="AL34">
        <v>3956060.4386927001</v>
      </c>
      <c r="AM34">
        <v>10245410.713212401</v>
      </c>
      <c r="AN34">
        <v>23.716228502806501</v>
      </c>
      <c r="AO34">
        <v>3956060.4386927001</v>
      </c>
      <c r="AP34">
        <v>10245410.713212401</v>
      </c>
      <c r="AQ34">
        <v>15.0612190693548</v>
      </c>
      <c r="AR34">
        <v>2512334.2403159901</v>
      </c>
      <c r="AS34">
        <v>6506446.6379612898</v>
      </c>
      <c r="AT34">
        <v>15.0612190693548</v>
      </c>
      <c r="AU34">
        <v>2512334.2403159901</v>
      </c>
      <c r="AV34">
        <v>6506446.6379612898</v>
      </c>
      <c r="AW34">
        <v>23.716228502806501</v>
      </c>
      <c r="AX34">
        <v>3956060.4386927001</v>
      </c>
      <c r="AY34">
        <v>10245410.713212401</v>
      </c>
      <c r="AZ34">
        <v>23.716228502806501</v>
      </c>
      <c r="BA34">
        <v>3956060.4386927001</v>
      </c>
      <c r="BB34">
        <v>10245410.713212401</v>
      </c>
      <c r="BC34">
        <v>15.0612190693548</v>
      </c>
      <c r="BD34">
        <v>2512334.2403159901</v>
      </c>
      <c r="BE34">
        <v>6506446.6379612898</v>
      </c>
      <c r="BF34">
        <v>15.0612190693548</v>
      </c>
      <c r="BG34">
        <v>2512334.2403159901</v>
      </c>
      <c r="BH34">
        <v>6506446.6379612898</v>
      </c>
      <c r="BI34">
        <v>23.716228502806501</v>
      </c>
      <c r="BJ34">
        <v>3956060.4386927001</v>
      </c>
      <c r="BK34">
        <v>10245410.713212401</v>
      </c>
      <c r="BL34">
        <v>23.716228502806501</v>
      </c>
      <c r="BM34">
        <v>3956060.4386927001</v>
      </c>
      <c r="BN34">
        <v>10245410.713212401</v>
      </c>
      <c r="BO34">
        <v>15.0612190693548</v>
      </c>
      <c r="BP34">
        <v>2512334.2403159901</v>
      </c>
      <c r="BQ34">
        <v>6506446.6379612898</v>
      </c>
      <c r="BR34">
        <v>15.0612190693548</v>
      </c>
      <c r="BS34">
        <v>2512334.2403159901</v>
      </c>
      <c r="BT34">
        <v>6506446.6379612898</v>
      </c>
      <c r="BU34">
        <v>52837578.828362301</v>
      </c>
      <c r="BV34">
        <v>122.309210250839</v>
      </c>
      <c r="BW34">
        <v>20402174.312995501</v>
      </c>
      <c r="BX34">
        <v>52837578.828362301</v>
      </c>
      <c r="BY34">
        <v>122.309210250839</v>
      </c>
      <c r="BZ34">
        <v>20402174.312995501</v>
      </c>
      <c r="CA34">
        <v>52837578.828362301</v>
      </c>
      <c r="CB34">
        <v>122.309210250839</v>
      </c>
      <c r="CC34">
        <v>20402174.312995501</v>
      </c>
      <c r="CD34">
        <v>52837578.828362301</v>
      </c>
      <c r="CE34">
        <v>3773179.8574618599</v>
      </c>
      <c r="CF34">
        <v>8575408.7669587694</v>
      </c>
      <c r="CG34">
        <v>3773179.8574618599</v>
      </c>
      <c r="CH34">
        <v>8575408.7669587694</v>
      </c>
      <c r="CI34">
        <v>2396194.1678283801</v>
      </c>
      <c r="CJ34">
        <v>5445895.8359735999</v>
      </c>
      <c r="CK34">
        <v>2396194.1678283801</v>
      </c>
      <c r="CL34">
        <v>5445895.8359735999</v>
      </c>
      <c r="CM34">
        <v>3773179.8574618599</v>
      </c>
      <c r="CN34">
        <v>8575408.7669587694</v>
      </c>
      <c r="CO34">
        <v>3773179.8574618599</v>
      </c>
      <c r="CP34">
        <v>8575408.7669587694</v>
      </c>
      <c r="CQ34">
        <v>2396194.1678283801</v>
      </c>
      <c r="CR34">
        <v>5445895.8359735999</v>
      </c>
      <c r="CS34">
        <v>2396194.1678283801</v>
      </c>
      <c r="CT34">
        <v>5445895.8359735999</v>
      </c>
      <c r="CU34">
        <v>3773179.8574618599</v>
      </c>
      <c r="CV34">
        <v>8575408.7669587694</v>
      </c>
      <c r="CW34">
        <v>3773179.8574618599</v>
      </c>
      <c r="CX34">
        <v>8575408.7669587694</v>
      </c>
      <c r="CY34">
        <v>2396194.1678283801</v>
      </c>
      <c r="CZ34">
        <v>5445895.8359735999</v>
      </c>
      <c r="DA34">
        <v>2396194.1678283801</v>
      </c>
      <c r="DB34">
        <v>5445895.8359735999</v>
      </c>
      <c r="DC34">
        <v>19459023.5309093</v>
      </c>
      <c r="DD34">
        <v>44225053.479339302</v>
      </c>
      <c r="DE34">
        <v>19459023.5309093</v>
      </c>
      <c r="DF34">
        <v>44225053.479339302</v>
      </c>
      <c r="DG34">
        <v>19459023.5309093</v>
      </c>
      <c r="DH34">
        <v>44225053.479339302</v>
      </c>
      <c r="DI34">
        <v>3215778.2876095399</v>
      </c>
      <c r="DJ34">
        <v>6431556.5752190799</v>
      </c>
      <c r="DK34">
        <v>3215778.2876095399</v>
      </c>
      <c r="DL34">
        <v>6431556.5752190799</v>
      </c>
      <c r="DM34">
        <v>2042210.9384901</v>
      </c>
      <c r="DN34">
        <v>4084421.8769801999</v>
      </c>
      <c r="DO34">
        <v>2042210.9384901</v>
      </c>
      <c r="DP34">
        <v>4084421.8769801999</v>
      </c>
      <c r="DQ34">
        <v>3215778.2876095399</v>
      </c>
      <c r="DR34">
        <v>6431556.5752190799</v>
      </c>
      <c r="DS34">
        <v>3215778.2876095399</v>
      </c>
      <c r="DT34">
        <v>6431556.5752190799</v>
      </c>
      <c r="DU34">
        <v>2042210.9384901</v>
      </c>
      <c r="DV34">
        <v>4084421.8769801999</v>
      </c>
      <c r="DW34">
        <v>2042210.9384901</v>
      </c>
      <c r="DX34">
        <v>4084421.8769801999</v>
      </c>
      <c r="DY34">
        <v>3215778.2876095399</v>
      </c>
      <c r="DZ34">
        <v>6431556.5752190799</v>
      </c>
      <c r="EA34">
        <v>3215778.2876095399</v>
      </c>
      <c r="EB34">
        <v>6431556.5752190799</v>
      </c>
      <c r="EC34">
        <v>2042210.9384901</v>
      </c>
      <c r="ED34">
        <v>4084421.8769801999</v>
      </c>
      <c r="EE34">
        <v>2042210.9384901</v>
      </c>
      <c r="EF34">
        <v>4084421.8769801999</v>
      </c>
      <c r="EG34">
        <v>16584395.054752201</v>
      </c>
      <c r="EH34">
        <v>33168790.109504402</v>
      </c>
      <c r="EI34">
        <v>16584395.054752201</v>
      </c>
      <c r="EJ34">
        <v>33168790.109504402</v>
      </c>
      <c r="EK34">
        <v>16584395.054752201</v>
      </c>
      <c r="EL34">
        <v>33168790.109504402</v>
      </c>
      <c r="EM34">
        <v>1634.8165441257299</v>
      </c>
      <c r="EN34">
        <v>7896.3634819826702</v>
      </c>
      <c r="EO34">
        <v>1860.4908522599301</v>
      </c>
      <c r="EP34">
        <v>1031.2698134115301</v>
      </c>
      <c r="EQ34">
        <v>0</v>
      </c>
      <c r="ER34">
        <v>1714.8202321108599</v>
      </c>
      <c r="ES34">
        <v>8399.2877870904595</v>
      </c>
      <c r="ET34">
        <v>1927.1990103534499</v>
      </c>
      <c r="EU34">
        <v>6.3884751752433502</v>
      </c>
      <c r="EV34">
        <v>1061.16338271687</v>
      </c>
      <c r="EW34">
        <v>0</v>
      </c>
      <c r="EX34">
        <v>1687.7078200337801</v>
      </c>
      <c r="EY34">
        <v>32.210223737315197</v>
      </c>
      <c r="EZ34">
        <v>8361.3443784982392</v>
      </c>
      <c r="FA34">
        <v>1892.71660736901</v>
      </c>
      <c r="FB34">
        <v>6.3889007453050901</v>
      </c>
      <c r="FC34">
        <v>1040.8403297157699</v>
      </c>
      <c r="FD34">
        <v>0</v>
      </c>
      <c r="FE34">
        <v>0</v>
      </c>
      <c r="FF34">
        <v>0</v>
      </c>
      <c r="FG34">
        <v>0</v>
      </c>
      <c r="FH34">
        <v>0</v>
      </c>
      <c r="FI34">
        <v>0</v>
      </c>
      <c r="FJ34">
        <v>0</v>
      </c>
      <c r="FK34">
        <v>0</v>
      </c>
      <c r="FL34">
        <v>0</v>
      </c>
      <c r="FM34">
        <v>0</v>
      </c>
      <c r="FN34">
        <v>0</v>
      </c>
      <c r="FO34">
        <v>2.45251372506161E-2</v>
      </c>
      <c r="FP34">
        <v>0</v>
      </c>
      <c r="FQ34">
        <v>3.7712464405102401E-3</v>
      </c>
      <c r="FR34">
        <v>0</v>
      </c>
      <c r="FS34">
        <v>1040.8403297157699</v>
      </c>
      <c r="FT34">
        <v>0</v>
      </c>
      <c r="FU34">
        <v>359.68163094190197</v>
      </c>
      <c r="FV34">
        <v>0</v>
      </c>
      <c r="FW34">
        <v>0</v>
      </c>
      <c r="FX34">
        <v>0</v>
      </c>
      <c r="FY34">
        <v>2.45251372506161E-2</v>
      </c>
      <c r="FZ34">
        <v>0</v>
      </c>
      <c r="GA34">
        <v>3.7712464405102401E-3</v>
      </c>
      <c r="GB34">
        <v>70.117727117375793</v>
      </c>
      <c r="GC34">
        <v>118.04363906753299</v>
      </c>
      <c r="GD34">
        <v>11.017333284100699</v>
      </c>
      <c r="GE34">
        <v>298.51963209014298</v>
      </c>
      <c r="GF34">
        <v>320.56530824118698</v>
      </c>
      <c r="GG34">
        <v>356.72177285772898</v>
      </c>
      <c r="GH34">
        <v>57.016094313286999</v>
      </c>
      <c r="GI34">
        <v>123.41471176163201</v>
      </c>
      <c r="GJ34">
        <v>24.1844742872137</v>
      </c>
      <c r="GK34">
        <v>40.9814076406754</v>
      </c>
      <c r="GL34">
        <v>79.0877510586771</v>
      </c>
      <c r="GM34">
        <v>16.554768771142601</v>
      </c>
      <c r="GN34">
        <v>-14.862775001351601</v>
      </c>
      <c r="GO34">
        <v>25.717220442914801</v>
      </c>
      <c r="GP34">
        <v>26.035694845120499</v>
      </c>
      <c r="GQ34">
        <v>-13.098493039031601</v>
      </c>
      <c r="GR34">
        <v>-132.709704431425</v>
      </c>
      <c r="GS34">
        <v>-481.69015798690202</v>
      </c>
      <c r="GT34">
        <v>40.710968073294303</v>
      </c>
      <c r="GU34">
        <v>26.2727439895727</v>
      </c>
      <c r="GV34">
        <v>26.874620190115898</v>
      </c>
      <c r="GW34">
        <v>55.6978199136909</v>
      </c>
      <c r="GX34">
        <v>-34.110331853446901</v>
      </c>
      <c r="GY34">
        <v>-491.81100910615999</v>
      </c>
      <c r="GZ34">
        <v>-21.3085658605292</v>
      </c>
      <c r="HA34">
        <v>25.637947687449898</v>
      </c>
      <c r="HB34">
        <v>25.955004429507198</v>
      </c>
      <c r="HC34">
        <v>-7.9944652365901501</v>
      </c>
      <c r="HD34">
        <v>-105.559634629603</v>
      </c>
      <c r="HE34">
        <v>-408.052160937851</v>
      </c>
      <c r="HF34">
        <v>-12.8710880568102</v>
      </c>
      <c r="HG34">
        <v>25.722367475718301</v>
      </c>
      <c r="HH34">
        <v>25.986765606363999</v>
      </c>
      <c r="HI34">
        <v>-3.2972746942163602</v>
      </c>
      <c r="HJ34">
        <v>-50.690309973612401</v>
      </c>
      <c r="HK34">
        <v>-199.07460542441601</v>
      </c>
      <c r="HL34">
        <v>212.491280828583</v>
      </c>
      <c r="HM34">
        <v>26.414048913263098</v>
      </c>
      <c r="HN34">
        <v>26.361013967037898</v>
      </c>
      <c r="HO34">
        <v>321.604884129342</v>
      </c>
      <c r="HP34">
        <v>525.795740583937</v>
      </c>
      <c r="HQ34">
        <v>26.4676934879169</v>
      </c>
      <c r="HR34">
        <v>229.10053713697101</v>
      </c>
      <c r="HS34">
        <v>304.54125550324198</v>
      </c>
      <c r="HT34">
        <v>27.866174209393801</v>
      </c>
      <c r="HU34">
        <v>26.993277184766299</v>
      </c>
      <c r="HV34">
        <v>228.335564325137</v>
      </c>
      <c r="HW34">
        <v>382.06766210134299</v>
      </c>
      <c r="HX34">
        <v>28.234688840066699</v>
      </c>
      <c r="HY34">
        <v>252.12185509308199</v>
      </c>
      <c r="HZ34">
        <v>26.395289107728299</v>
      </c>
      <c r="IA34">
        <v>26.373105066554899</v>
      </c>
      <c r="IB34">
        <v>327.05901767689897</v>
      </c>
      <c r="IC34">
        <v>184.908595559189</v>
      </c>
      <c r="ID34">
        <v>515.05401380221895</v>
      </c>
      <c r="IE34">
        <v>26.4213353261317</v>
      </c>
      <c r="IF34">
        <v>238.63587435326201</v>
      </c>
      <c r="IG34">
        <v>49.192790393076798</v>
      </c>
      <c r="IH34">
        <v>26.391592975576302</v>
      </c>
      <c r="II34">
        <v>26.3724814056316</v>
      </c>
      <c r="IJ34">
        <v>193.80116257688499</v>
      </c>
      <c r="IK34">
        <v>48.761810369233999</v>
      </c>
      <c r="IL34">
        <v>121.496629465987</v>
      </c>
      <c r="IM34">
        <v>337.75817810430902</v>
      </c>
      <c r="IN34">
        <v>26.4369224257753</v>
      </c>
      <c r="IO34">
        <v>0.83078039728525199</v>
      </c>
      <c r="IP34">
        <v>147.425132368633</v>
      </c>
      <c r="IQ34">
        <v>325.07489750702098</v>
      </c>
      <c r="IR34">
        <v>294.99663028681903</v>
      </c>
      <c r="IS34">
        <v>327.50017894269098</v>
      </c>
      <c r="IT34">
        <v>195.39397077838001</v>
      </c>
      <c r="IU34">
        <v>1010.38658403401</v>
      </c>
      <c r="IV34">
        <v>13.030288178137701</v>
      </c>
      <c r="IW34">
        <v>26.0547081427253</v>
      </c>
      <c r="IX34">
        <v>26.4676934879169</v>
      </c>
      <c r="IY34">
        <v>135.54793641222901</v>
      </c>
      <c r="IZ34">
        <v>14.5889587796893</v>
      </c>
      <c r="JA34">
        <v>-321.99989261419699</v>
      </c>
      <c r="JB34">
        <v>58.619820890086103</v>
      </c>
      <c r="JC34">
        <v>27.1592164573023</v>
      </c>
      <c r="JD34">
        <v>28.234688840066699</v>
      </c>
      <c r="JE34">
        <v>187.87361903751699</v>
      </c>
      <c r="JF34">
        <v>-10.4854488863397</v>
      </c>
      <c r="JG34">
        <v>-629.86304069363905</v>
      </c>
      <c r="JH34">
        <v>6.3447902999733703</v>
      </c>
      <c r="JI34">
        <v>25.997276904237999</v>
      </c>
      <c r="JJ34">
        <v>26.4213353261317</v>
      </c>
      <c r="JK34">
        <v>144.850294756349</v>
      </c>
      <c r="JL34">
        <v>21.5434358072343</v>
      </c>
      <c r="JM34">
        <v>-275.69983939890898</v>
      </c>
      <c r="JN34">
        <v>5.5154873560966804</v>
      </c>
      <c r="JO34">
        <v>26.060504873426702</v>
      </c>
      <c r="JP34">
        <v>26.4369224257753</v>
      </c>
      <c r="JQ34">
        <v>1.3027838633530799</v>
      </c>
      <c r="JR34">
        <v>99.964343404393105</v>
      </c>
      <c r="JS34">
        <v>0.52034430298531198</v>
      </c>
      <c r="JT34">
        <v>24.020784651229299</v>
      </c>
      <c r="JU34">
        <v>-108.728910016161</v>
      </c>
      <c r="JV34">
        <v>233.80211723691201</v>
      </c>
      <c r="JW34">
        <v>583.46643546346502</v>
      </c>
      <c r="JX34">
        <v>349.53123538774202</v>
      </c>
      <c r="JY34">
        <v>323.65836170262298</v>
      </c>
      <c r="JZ34">
        <v>455.83715874545101</v>
      </c>
      <c r="KA34">
        <v>361.76811775995401</v>
      </c>
      <c r="KB34">
        <v>202.935695458689</v>
      </c>
      <c r="KC34">
        <v>569.47810433498205</v>
      </c>
      <c r="KD34">
        <v>350.441130868556</v>
      </c>
      <c r="KE34">
        <v>131.62108235283901</v>
      </c>
      <c r="KF34">
        <v>27.686933746569199</v>
      </c>
      <c r="KG34">
        <v>293.85785828740399</v>
      </c>
      <c r="KH34">
        <v>1.3958176724809199</v>
      </c>
      <c r="KI34">
        <v>362.68937908138798</v>
      </c>
      <c r="KJ34">
        <v>209.690787036551</v>
      </c>
      <c r="KK34">
        <v>48.163795120038401</v>
      </c>
      <c r="KL34">
        <v>27.072665374568199</v>
      </c>
      <c r="KM34">
        <v>26.9471614221473</v>
      </c>
      <c r="KN34">
        <v>411.663589059088</v>
      </c>
      <c r="KO34">
        <v>27.640911612817401</v>
      </c>
      <c r="KP34">
        <v>46.092387378762901</v>
      </c>
      <c r="KQ34">
        <v>344.606397296865</v>
      </c>
      <c r="KR34">
        <v>1006.9569690069</v>
      </c>
      <c r="KS34">
        <v>106.458075626199</v>
      </c>
      <c r="KT34">
        <v>28.3598486077716</v>
      </c>
      <c r="KU34">
        <v>28.745574065804</v>
      </c>
      <c r="KV34">
        <v>462.45654333133001</v>
      </c>
      <c r="KW34">
        <v>28.725311864486901</v>
      </c>
      <c r="KX34">
        <v>45.902244855722699</v>
      </c>
      <c r="KY34">
        <v>293.02820237546098</v>
      </c>
      <c r="KZ34">
        <v>566.075953525724</v>
      </c>
      <c r="LA34">
        <v>36.980597980496803</v>
      </c>
      <c r="LB34">
        <v>26.984044598511399</v>
      </c>
      <c r="LC34">
        <v>26.889842427152502</v>
      </c>
      <c r="LD34">
        <v>413.55392276768299</v>
      </c>
      <c r="LE34">
        <v>27.543731632005102</v>
      </c>
      <c r="LF34">
        <v>46.090650562086402</v>
      </c>
      <c r="LG34">
        <v>343.59225496777901</v>
      </c>
      <c r="LH34">
        <v>1011.8644812279</v>
      </c>
      <c r="LI34">
        <v>21.970503359376199</v>
      </c>
      <c r="LJ34">
        <v>26.924820225815999</v>
      </c>
      <c r="LK34">
        <v>26.8426802707409</v>
      </c>
      <c r="LL34">
        <v>244.53756546002199</v>
      </c>
      <c r="LM34">
        <v>27.452497840593299</v>
      </c>
      <c r="LN34">
        <v>45.050312587237002</v>
      </c>
      <c r="LO34">
        <v>202.569618409252</v>
      </c>
      <c r="LP34">
        <v>607.15997690325003</v>
      </c>
      <c r="LQ34">
        <v>44.732103841276199</v>
      </c>
      <c r="LR34">
        <v>20.211906284523099</v>
      </c>
      <c r="LS34">
        <v>16.420999999999999</v>
      </c>
      <c r="LT34">
        <v>277.33594400699502</v>
      </c>
      <c r="LU34">
        <v>-1333.9730370063</v>
      </c>
      <c r="LV34">
        <v>21.851451808788301</v>
      </c>
      <c r="LW34">
        <v>24.783160154854301</v>
      </c>
      <c r="LX34">
        <v>849.53026988217596</v>
      </c>
      <c r="LY34">
        <v>75.302478588783998</v>
      </c>
      <c r="LZ34">
        <v>20.2533939299549</v>
      </c>
      <c r="MA34">
        <v>16.420999999999999</v>
      </c>
      <c r="MB34">
        <v>283.04332529502898</v>
      </c>
      <c r="MC34">
        <v>-890.056081443994</v>
      </c>
      <c r="MD34">
        <v>22.083997500915199</v>
      </c>
      <c r="ME34">
        <v>25.635292449423801</v>
      </c>
      <c r="MF34">
        <v>676.01490612464102</v>
      </c>
      <c r="MG34">
        <v>39.241191394095402</v>
      </c>
      <c r="MH34">
        <v>20.205608360081499</v>
      </c>
      <c r="MI34">
        <v>16.420999999999999</v>
      </c>
      <c r="MJ34">
        <v>302.14928119228301</v>
      </c>
      <c r="MK34">
        <v>-1269.0439083681299</v>
      </c>
      <c r="ML34">
        <v>21.814824933620201</v>
      </c>
      <c r="MM34">
        <v>24.723732959172501</v>
      </c>
      <c r="MN34">
        <v>859.09340576241004</v>
      </c>
      <c r="MO34">
        <v>26.418583551345801</v>
      </c>
      <c r="MP34">
        <v>20.266083214254799</v>
      </c>
      <c r="MQ34">
        <v>16.420999999999999</v>
      </c>
      <c r="MR34">
        <v>199.71688828522099</v>
      </c>
      <c r="MS34">
        <v>-787.69295778826404</v>
      </c>
      <c r="MT34">
        <v>21.866251910888799</v>
      </c>
      <c r="MU34">
        <v>24.750067701101599</v>
      </c>
      <c r="MV34">
        <v>550.17230438279205</v>
      </c>
      <c r="MW34">
        <v>86.229824589933301</v>
      </c>
      <c r="MX34">
        <v>23.851541731822099</v>
      </c>
      <c r="MY34">
        <v>25.368454016119699</v>
      </c>
      <c r="MZ34">
        <v>1795.3174110228299</v>
      </c>
      <c r="NA34">
        <v>1666.85848530061</v>
      </c>
      <c r="NB34">
        <v>24.057997027636102</v>
      </c>
      <c r="NC34">
        <v>25.853023923268001</v>
      </c>
      <c r="ND34">
        <v>1918.0233936100899</v>
      </c>
      <c r="NE34">
        <v>107.571356693711</v>
      </c>
      <c r="NF34">
        <v>23.914935073522599</v>
      </c>
      <c r="NG34">
        <v>25.6573875750402</v>
      </c>
      <c r="NH34">
        <v>1344.97642897845</v>
      </c>
      <c r="NI34">
        <v>1050.4842440909399</v>
      </c>
      <c r="NJ34">
        <v>24.415847587827901</v>
      </c>
      <c r="NK34">
        <v>27.483291411000199</v>
      </c>
      <c r="NL34">
        <v>1548.10819190699</v>
      </c>
      <c r="NM34">
        <v>82.617417589227301</v>
      </c>
      <c r="NN34">
        <v>23.7918051334448</v>
      </c>
      <c r="NO34">
        <v>25.316697301894902</v>
      </c>
      <c r="NP34">
        <v>1857.29227459813</v>
      </c>
      <c r="NQ34">
        <v>1758.27500288888</v>
      </c>
      <c r="NR34">
        <v>23.9778235802609</v>
      </c>
      <c r="NS34">
        <v>25.810864964909399</v>
      </c>
      <c r="NT34">
        <v>1965.6473190045999</v>
      </c>
      <c r="NU34">
        <v>53.791560858698197</v>
      </c>
      <c r="NV34">
        <v>23.951305616327801</v>
      </c>
      <c r="NW34">
        <v>25.458688268681399</v>
      </c>
      <c r="NX34">
        <v>3.0974576937884901</v>
      </c>
      <c r="NY34">
        <v>1180.9035750636799</v>
      </c>
      <c r="NZ34">
        <v>1155.2928171537701</v>
      </c>
      <c r="OA34">
        <v>24.087621438799399</v>
      </c>
      <c r="OB34">
        <v>25.831454280214398</v>
      </c>
      <c r="OC34">
        <v>3.0651736876790698</v>
      </c>
      <c r="OD34">
        <v>1228.291453283</v>
      </c>
      <c r="OE34">
        <v>3.0974576937884901</v>
      </c>
      <c r="OF34">
        <v>3.0651736876790698</v>
      </c>
      <c r="OG34">
        <v>84.174278041802097</v>
      </c>
      <c r="OH34">
        <v>23.939450064408899</v>
      </c>
      <c r="OI34">
        <v>25.719255313672299</v>
      </c>
      <c r="OJ34">
        <v>1927.1993567152999</v>
      </c>
      <c r="OK34">
        <v>1891.2165941758401</v>
      </c>
      <c r="OL34">
        <v>24.054914021749301</v>
      </c>
      <c r="OM34">
        <v>25.9738241093097</v>
      </c>
      <c r="ON34">
        <v>2043.7829062155099</v>
      </c>
      <c r="OO34">
        <v>104.89283352210801</v>
      </c>
      <c r="OP34">
        <v>23.994430776329501</v>
      </c>
      <c r="OQ34">
        <v>26.2697519458372</v>
      </c>
      <c r="OR34">
        <v>1433.1524170689499</v>
      </c>
      <c r="OS34">
        <v>1206.1298973262799</v>
      </c>
      <c r="OT34">
        <v>24.390226713994299</v>
      </c>
      <c r="OU34">
        <v>27.563296340575501</v>
      </c>
      <c r="OV34">
        <v>1642.63782698163</v>
      </c>
      <c r="OW34">
        <v>79.486736453465596</v>
      </c>
      <c r="OX34">
        <v>23.891327379580702</v>
      </c>
      <c r="OY34">
        <v>25.681676195641</v>
      </c>
      <c r="OZ34">
        <v>1971.84958134832</v>
      </c>
      <c r="PA34">
        <v>1963.98159882308</v>
      </c>
      <c r="PB34">
        <v>23.987064763870499</v>
      </c>
      <c r="PC34">
        <v>25.934275485444399</v>
      </c>
      <c r="PD34">
        <v>2074.7472111195302</v>
      </c>
      <c r="PE34">
        <v>51.798224003160897</v>
      </c>
      <c r="PF34">
        <v>24.029151822273001</v>
      </c>
      <c r="PG34">
        <v>25.8178736988305</v>
      </c>
      <c r="PH34">
        <v>3.3072384377310402</v>
      </c>
      <c r="PI34">
        <v>1259.4674954115201</v>
      </c>
      <c r="PJ34">
        <v>1297.31639546786</v>
      </c>
      <c r="PK34">
        <v>24.0663513285627</v>
      </c>
      <c r="PL34">
        <v>25.9275116303263</v>
      </c>
      <c r="PM34">
        <v>3.35580443147769</v>
      </c>
      <c r="PN34">
        <v>1297.3849304987</v>
      </c>
      <c r="PO34">
        <v>25.773995759420501</v>
      </c>
      <c r="PP34">
        <v>27.1367000219015</v>
      </c>
      <c r="PQ34">
        <v>25.717232886659399</v>
      </c>
      <c r="PR34">
        <v>25.733521624104299</v>
      </c>
      <c r="PS34">
        <v>25.451584413282902</v>
      </c>
      <c r="PT34">
        <v>26.380325892020998</v>
      </c>
      <c r="PU34">
        <v>28.641794003408801</v>
      </c>
      <c r="PV34">
        <v>26.3637835960497</v>
      </c>
      <c r="PW34">
        <v>26.3558242939277</v>
      </c>
      <c r="PX34">
        <v>26.1217740249107</v>
      </c>
      <c r="PY34">
        <v>26.612528286590202</v>
      </c>
      <c r="PZ34">
        <v>28.847295507328901</v>
      </c>
      <c r="QA34">
        <v>26.591510288438599</v>
      </c>
      <c r="QB34">
        <v>26.549703073247301</v>
      </c>
      <c r="QC34">
        <v>26.577670215104</v>
      </c>
      <c r="QD34">
        <v>23.0301395657632</v>
      </c>
      <c r="QE34">
        <v>25.763361038845499</v>
      </c>
      <c r="QF34">
        <v>28.922682079932098</v>
      </c>
      <c r="QG34">
        <v>25.6684352994513</v>
      </c>
      <c r="QH34">
        <v>25.667532064737099</v>
      </c>
      <c r="QI34">
        <v>25.2502530486125</v>
      </c>
      <c r="QJ34">
        <v>25.8058934125864</v>
      </c>
      <c r="QK34">
        <v>27.9655650947876</v>
      </c>
      <c r="QL34">
        <v>25.7643885401645</v>
      </c>
      <c r="QM34">
        <v>25.774437777440099</v>
      </c>
      <c r="QN34">
        <v>1639.52417764862</v>
      </c>
      <c r="QO34">
        <v>25.546191011391201</v>
      </c>
      <c r="QP34">
        <v>7823.6884159527599</v>
      </c>
      <c r="QQ34">
        <v>25.919093385188201</v>
      </c>
      <c r="QR34">
        <v>28.038185564937301</v>
      </c>
      <c r="QS34">
        <v>25.884704290174302</v>
      </c>
      <c r="QT34">
        <v>25.869615879885199</v>
      </c>
      <c r="QU34">
        <v>25.7864465236892</v>
      </c>
      <c r="QV34">
        <v>18.640820788225799</v>
      </c>
      <c r="QW34">
        <v>18400.320742127002</v>
      </c>
      <c r="QX34">
        <v>24039.514927091099</v>
      </c>
      <c r="QY34">
        <v>52219.603606500503</v>
      </c>
      <c r="QZ34">
        <v>0</v>
      </c>
      <c r="RA34">
        <v>0</v>
      </c>
      <c r="RB34">
        <v>29139.164803601401</v>
      </c>
      <c r="RC34">
        <v>0</v>
      </c>
      <c r="RD34">
        <v>20326.334158695401</v>
      </c>
      <c r="RE34">
        <v>7946.2438510993898</v>
      </c>
      <c r="RF34">
        <v>6623.2111629625097</v>
      </c>
      <c r="RG34">
        <v>8303.4286357516303</v>
      </c>
      <c r="RH34">
        <v>2274.0682025515598</v>
      </c>
      <c r="RI34">
        <v>0</v>
      </c>
      <c r="RJ34">
        <v>4814.4315728568199</v>
      </c>
      <c r="RK34">
        <v>25.752726318270501</v>
      </c>
      <c r="RL34">
        <v>-4918.7648154129902</v>
      </c>
      <c r="RM34">
        <v>-13245.949116936201</v>
      </c>
      <c r="RN34">
        <v>-4918.7648154129902</v>
      </c>
      <c r="RO34">
        <v>0</v>
      </c>
      <c r="RP34">
        <v>5291.36502259604</v>
      </c>
      <c r="RQ34">
        <v>30.7086641379626</v>
      </c>
      <c r="RR34">
        <v>-5311.8518998608097</v>
      </c>
      <c r="RS34">
        <v>-8214.8985165457998</v>
      </c>
      <c r="RT34">
        <v>-5311.8518998608097</v>
      </c>
      <c r="RU34">
        <v>0</v>
      </c>
      <c r="RV34">
        <v>4998.0013496103702</v>
      </c>
      <c r="RW34">
        <v>25.6196377122432</v>
      </c>
      <c r="RX34">
        <v>-5121.47940926509</v>
      </c>
      <c r="RY34">
        <v>-13507.4214832736</v>
      </c>
      <c r="RZ34">
        <v>-5121.47940926509</v>
      </c>
      <c r="SA34">
        <v>0</v>
      </c>
      <c r="SB34">
        <v>3158.1349142221802</v>
      </c>
      <c r="SC34">
        <v>25.601542505369899</v>
      </c>
      <c r="SD34">
        <v>-3222.70930044529</v>
      </c>
      <c r="SE34">
        <v>-8581.8071318461498</v>
      </c>
      <c r="SF34">
        <v>-3222.70930044529</v>
      </c>
      <c r="SG34">
        <v>0</v>
      </c>
      <c r="SH34">
        <v>20394.879527928599</v>
      </c>
      <c r="SI34">
        <v>25.048921683942201</v>
      </c>
      <c r="SJ34">
        <v>-20753.097984732602</v>
      </c>
      <c r="SK34">
        <v>-43271.535835320101</v>
      </c>
      <c r="SL34">
        <v>-20753.097984732602</v>
      </c>
      <c r="SM34">
        <v>21.1111</v>
      </c>
      <c r="SN34">
        <v>23.8889</v>
      </c>
      <c r="SO34">
        <v>119.201594059104</v>
      </c>
      <c r="SP34">
        <v>0</v>
      </c>
      <c r="SQ34">
        <v>25.791390245589099</v>
      </c>
      <c r="SR34">
        <v>0</v>
      </c>
      <c r="SS34">
        <v>0</v>
      </c>
      <c r="ST34">
        <v>0</v>
      </c>
      <c r="SU34">
        <v>0</v>
      </c>
      <c r="SV34">
        <v>74.438664393641403</v>
      </c>
      <c r="SW34">
        <v>25.881720460774499</v>
      </c>
      <c r="SX34">
        <v>0</v>
      </c>
      <c r="SY34">
        <v>0</v>
      </c>
      <c r="SZ34">
        <v>0</v>
      </c>
      <c r="TA34">
        <v>83.609092930125399</v>
      </c>
      <c r="TB34">
        <v>0</v>
      </c>
      <c r="TC34">
        <v>25.650799160308399</v>
      </c>
      <c r="TD34">
        <v>0</v>
      </c>
      <c r="TE34">
        <v>0</v>
      </c>
      <c r="TF34">
        <v>0</v>
      </c>
      <c r="TG34">
        <v>35.411825007738997</v>
      </c>
      <c r="TH34">
        <v>0</v>
      </c>
      <c r="TI34">
        <v>25.7098799122194</v>
      </c>
      <c r="TJ34">
        <v>0</v>
      </c>
      <c r="TK34">
        <v>0</v>
      </c>
      <c r="TL34">
        <v>0</v>
      </c>
      <c r="TM34">
        <v>601.70903072963097</v>
      </c>
      <c r="TN34">
        <v>0</v>
      </c>
      <c r="TO34">
        <v>25.642971117064601</v>
      </c>
      <c r="TP34">
        <v>0</v>
      </c>
      <c r="TQ34">
        <v>0</v>
      </c>
      <c r="TR34">
        <v>0</v>
      </c>
      <c r="TS34">
        <v>0</v>
      </c>
      <c r="TT34">
        <v>6135.8632839928396</v>
      </c>
      <c r="TU34">
        <v>25.231460933151698</v>
      </c>
      <c r="TV34">
        <v>-6351.7001273016704</v>
      </c>
      <c r="TW34">
        <v>-14434.785076153599</v>
      </c>
      <c r="TX34">
        <v>-6351.7001273016704</v>
      </c>
      <c r="TY34">
        <v>0</v>
      </c>
      <c r="TZ34">
        <v>7082.8536319922496</v>
      </c>
      <c r="UA34">
        <v>27.289336186166398</v>
      </c>
      <c r="UB34">
        <v>-7371.6882653633502</v>
      </c>
      <c r="UC34">
        <v>-11208.5725985756</v>
      </c>
      <c r="UD34">
        <v>-7371.6882653633502</v>
      </c>
      <c r="UE34">
        <v>0</v>
      </c>
      <c r="UF34">
        <v>6190.4342776099502</v>
      </c>
      <c r="UG34">
        <v>25.1649934842794</v>
      </c>
      <c r="UH34">
        <v>-6472.6756613561201</v>
      </c>
      <c r="UI34">
        <v>-14486.0184282918</v>
      </c>
      <c r="UJ34">
        <v>-6472.6756613561201</v>
      </c>
      <c r="UK34">
        <v>0</v>
      </c>
      <c r="UL34">
        <v>3932.8179669531601</v>
      </c>
      <c r="UM34">
        <v>25.193051260952501</v>
      </c>
      <c r="UN34">
        <v>-4051.0236597969101</v>
      </c>
      <c r="UO34">
        <v>-9186.7495459409292</v>
      </c>
      <c r="UP34">
        <v>-4051.0236597969101</v>
      </c>
      <c r="UQ34">
        <v>0</v>
      </c>
      <c r="UR34">
        <v>25018.450441301698</v>
      </c>
      <c r="US34">
        <v>24.970607997871699</v>
      </c>
      <c r="UT34">
        <v>-25337.4185876423</v>
      </c>
      <c r="UU34">
        <v>-47489.164447417497</v>
      </c>
      <c r="UV34">
        <v>-25337.4185876423</v>
      </c>
      <c r="UW34">
        <v>21.1111</v>
      </c>
      <c r="UX34">
        <v>23.8889</v>
      </c>
      <c r="UY34">
        <v>0</v>
      </c>
      <c r="UZ34">
        <v>304.574238571926</v>
      </c>
      <c r="VA34">
        <v>25.399316531430799</v>
      </c>
      <c r="VB34">
        <v>0</v>
      </c>
      <c r="VC34">
        <v>0</v>
      </c>
      <c r="VD34">
        <v>0</v>
      </c>
      <c r="VE34">
        <v>0</v>
      </c>
      <c r="VF34">
        <v>368.399236644496</v>
      </c>
      <c r="VG34">
        <v>26.0371970419646</v>
      </c>
      <c r="VH34">
        <v>0</v>
      </c>
      <c r="VI34">
        <v>0</v>
      </c>
      <c r="VJ34">
        <v>0</v>
      </c>
      <c r="VK34">
        <v>0</v>
      </c>
      <c r="VL34">
        <v>332.76939349343797</v>
      </c>
      <c r="VM34">
        <v>25.299300374429102</v>
      </c>
      <c r="VN34">
        <v>0</v>
      </c>
      <c r="VO34">
        <v>0</v>
      </c>
      <c r="VP34">
        <v>0</v>
      </c>
      <c r="VQ34">
        <v>0</v>
      </c>
      <c r="VR34">
        <v>209.95373966989899</v>
      </c>
      <c r="VS34">
        <v>25.3660915285908</v>
      </c>
      <c r="VT34">
        <v>0</v>
      </c>
      <c r="VU34">
        <v>0</v>
      </c>
      <c r="VV34">
        <v>0</v>
      </c>
      <c r="VW34">
        <v>0</v>
      </c>
      <c r="VX34">
        <v>703.87379251016</v>
      </c>
      <c r="VY34">
        <v>25.6539478671911</v>
      </c>
      <c r="VZ34">
        <v>0</v>
      </c>
      <c r="WA34">
        <v>0</v>
      </c>
      <c r="WB34">
        <v>0</v>
      </c>
      <c r="WC34">
        <v>0</v>
      </c>
      <c r="WD34">
        <v>6482.8286448916497</v>
      </c>
      <c r="WE34">
        <v>25.225658483786201</v>
      </c>
      <c r="WF34">
        <v>-6724.44466275797</v>
      </c>
      <c r="WG34">
        <v>-14809.962517961099</v>
      </c>
      <c r="WH34">
        <v>-6724.44466275797</v>
      </c>
      <c r="WI34">
        <v>26281476.368770301</v>
      </c>
      <c r="WJ34">
        <v>0</v>
      </c>
      <c r="WK34">
        <v>7300.4101024361898</v>
      </c>
      <c r="WL34">
        <v>27.2290756225457</v>
      </c>
      <c r="WM34">
        <v>-7558.5870513587397</v>
      </c>
      <c r="WN34">
        <v>-11374.129098986999</v>
      </c>
      <c r="WO34">
        <v>-7558.5870513587397</v>
      </c>
      <c r="WP34">
        <v>18.333300000000001</v>
      </c>
      <c r="WQ34">
        <v>23.8889</v>
      </c>
      <c r="WR34">
        <v>0</v>
      </c>
      <c r="WS34">
        <v>6519.7362580131903</v>
      </c>
      <c r="WT34">
        <v>25.1778982919101</v>
      </c>
      <c r="WU34">
        <v>-6822.5907992081902</v>
      </c>
      <c r="WV34">
        <v>-14859.891094749501</v>
      </c>
      <c r="WW34">
        <v>-6822.5907992081902</v>
      </c>
      <c r="WX34">
        <v>14803488.1233692</v>
      </c>
      <c r="WY34">
        <v>0</v>
      </c>
      <c r="WZ34">
        <v>4112.0800342692301</v>
      </c>
      <c r="XA34">
        <v>25.189528686523001</v>
      </c>
      <c r="XB34">
        <v>-4255.4560286978103</v>
      </c>
      <c r="XC34">
        <v>-9405.1172880968606</v>
      </c>
      <c r="XD34">
        <v>-4255.4560286978103</v>
      </c>
      <c r="XE34">
        <v>0</v>
      </c>
      <c r="XF34">
        <v>27872.081363606299</v>
      </c>
      <c r="XG34">
        <v>24.995222832274301</v>
      </c>
      <c r="XH34">
        <v>-28178.4263017626</v>
      </c>
      <c r="XI34">
        <v>-50173.494232417099</v>
      </c>
      <c r="XJ34">
        <v>-28178.4263017626</v>
      </c>
      <c r="XK34">
        <v>21.1111</v>
      </c>
      <c r="XL34">
        <v>23.8889</v>
      </c>
      <c r="XM34">
        <v>0</v>
      </c>
      <c r="XN34">
        <v>1009.63744426763</v>
      </c>
      <c r="XO34">
        <v>25.779014348279102</v>
      </c>
      <c r="XP34">
        <v>0</v>
      </c>
      <c r="XQ34">
        <v>0</v>
      </c>
      <c r="XR34">
        <v>0</v>
      </c>
      <c r="XS34">
        <v>0</v>
      </c>
      <c r="XT34">
        <v>1035.3865441508301</v>
      </c>
      <c r="XU34">
        <v>26.370879852324801</v>
      </c>
      <c r="XV34">
        <v>0</v>
      </c>
      <c r="XW34">
        <v>0</v>
      </c>
      <c r="XX34">
        <v>0</v>
      </c>
      <c r="XY34">
        <v>0</v>
      </c>
      <c r="XZ34">
        <v>1022.9230902980599</v>
      </c>
      <c r="YA34">
        <v>25.6689415551871</v>
      </c>
      <c r="YB34">
        <v>0</v>
      </c>
      <c r="YC34">
        <v>0</v>
      </c>
      <c r="YD34">
        <v>0</v>
      </c>
      <c r="YE34">
        <v>0</v>
      </c>
      <c r="YF34">
        <v>593.92802951510203</v>
      </c>
      <c r="YG34">
        <v>25.700959349614699</v>
      </c>
      <c r="YH34">
        <v>0</v>
      </c>
      <c r="YI34">
        <v>0</v>
      </c>
      <c r="YJ34">
        <v>0</v>
      </c>
      <c r="YK34">
        <v>0</v>
      </c>
      <c r="YL34">
        <v>4689.8055591934599</v>
      </c>
      <c r="YM34">
        <v>26.1990676498718</v>
      </c>
      <c r="YN34">
        <v>0</v>
      </c>
      <c r="YO34">
        <v>0</v>
      </c>
      <c r="YP34">
        <v>0</v>
      </c>
      <c r="YQ34">
        <v>0</v>
      </c>
      <c r="YR34">
        <v>1287.44263975325</v>
      </c>
      <c r="YS34">
        <v>19.505008549714901</v>
      </c>
      <c r="YT34">
        <v>0</v>
      </c>
      <c r="YU34">
        <v>0</v>
      </c>
      <c r="YV34">
        <v>0</v>
      </c>
      <c r="YW34">
        <v>0</v>
      </c>
      <c r="YX34">
        <v>1101.65742672376</v>
      </c>
      <c r="YY34">
        <v>19.1947484068099</v>
      </c>
      <c r="YZ34">
        <v>0</v>
      </c>
      <c r="ZA34">
        <v>0</v>
      </c>
      <c r="ZB34">
        <v>0</v>
      </c>
      <c r="ZC34">
        <v>0</v>
      </c>
      <c r="ZD34">
        <v>1328.81478661079</v>
      </c>
      <c r="ZE34">
        <v>19.4318328457523</v>
      </c>
      <c r="ZF34">
        <v>0</v>
      </c>
      <c r="ZG34">
        <v>0</v>
      </c>
      <c r="ZH34">
        <v>0</v>
      </c>
      <c r="ZI34">
        <v>0</v>
      </c>
      <c r="ZJ34">
        <v>849.84777721904698</v>
      </c>
      <c r="ZK34">
        <v>19.479607120888701</v>
      </c>
      <c r="ZL34">
        <v>0</v>
      </c>
      <c r="ZM34">
        <v>0</v>
      </c>
      <c r="ZN34">
        <v>0</v>
      </c>
      <c r="ZO34">
        <v>0</v>
      </c>
      <c r="ZP34">
        <v>12785.399300118301</v>
      </c>
      <c r="ZQ34">
        <v>17.8329938267022</v>
      </c>
      <c r="ZR34">
        <v>0</v>
      </c>
      <c r="ZS34">
        <v>0</v>
      </c>
      <c r="ZT34">
        <v>0</v>
      </c>
      <c r="ZU34">
        <v>0</v>
      </c>
      <c r="ZV34">
        <v>4046.0173411498499</v>
      </c>
      <c r="ZW34">
        <v>21.080842413159701</v>
      </c>
      <c r="ZX34">
        <v>0</v>
      </c>
      <c r="ZY34">
        <v>0</v>
      </c>
      <c r="ZZ34">
        <v>0</v>
      </c>
      <c r="AAA34">
        <v>0</v>
      </c>
      <c r="AAB34">
        <v>3186.8181484259399</v>
      </c>
      <c r="AAC34">
        <v>20.6659098220968</v>
      </c>
      <c r="AAD34">
        <v>0</v>
      </c>
      <c r="AAE34">
        <v>0</v>
      </c>
      <c r="AAF34">
        <v>0</v>
      </c>
      <c r="AAG34">
        <v>0</v>
      </c>
      <c r="AAH34">
        <v>4199.4178614634502</v>
      </c>
      <c r="AAI34">
        <v>20.896757435043</v>
      </c>
      <c r="AAJ34">
        <v>0</v>
      </c>
      <c r="AAK34">
        <v>0</v>
      </c>
      <c r="AAL34">
        <v>0</v>
      </c>
      <c r="AAM34">
        <v>0</v>
      </c>
      <c r="AAN34">
        <v>2624.29711883955</v>
      </c>
      <c r="AAO34">
        <v>21.086711425975299</v>
      </c>
      <c r="AAP34">
        <v>0</v>
      </c>
      <c r="AAQ34">
        <v>0</v>
      </c>
      <c r="AAR34">
        <v>0</v>
      </c>
      <c r="AAS34">
        <v>0</v>
      </c>
      <c r="AAT34">
        <v>30106.055278604399</v>
      </c>
      <c r="AAU34">
        <v>18.597095544582999</v>
      </c>
      <c r="AAV34">
        <v>0</v>
      </c>
      <c r="AAW34">
        <v>0</v>
      </c>
      <c r="AAX34">
        <v>0</v>
      </c>
      <c r="AAY34">
        <v>0</v>
      </c>
      <c r="AAZ34">
        <v>4346.96109154841</v>
      </c>
      <c r="ABA34">
        <v>21.131664683269499</v>
      </c>
      <c r="ABB34">
        <v>0</v>
      </c>
      <c r="ABC34">
        <v>0</v>
      </c>
      <c r="ABD34">
        <v>0</v>
      </c>
      <c r="ABE34">
        <v>0</v>
      </c>
      <c r="ABF34">
        <v>3385.52235494161</v>
      </c>
      <c r="ABG34">
        <v>20.739839236009601</v>
      </c>
      <c r="ABH34">
        <v>0</v>
      </c>
      <c r="ABI34">
        <v>0</v>
      </c>
      <c r="ABJ34">
        <v>0</v>
      </c>
      <c r="ABK34">
        <v>0</v>
      </c>
      <c r="ABL34">
        <v>4465.2627672203498</v>
      </c>
      <c r="ABM34">
        <v>20.990982498545801</v>
      </c>
      <c r="ABN34">
        <v>0</v>
      </c>
      <c r="ABO34">
        <v>0</v>
      </c>
      <c r="ABP34">
        <v>0</v>
      </c>
      <c r="ABQ34">
        <v>0</v>
      </c>
      <c r="ABR34">
        <v>2799.2183982217398</v>
      </c>
      <c r="ABS34">
        <v>21.143584929369499</v>
      </c>
      <c r="ABT34">
        <v>0</v>
      </c>
      <c r="ABU34">
        <v>0</v>
      </c>
      <c r="ABV34">
        <v>0</v>
      </c>
      <c r="ABW34">
        <v>0</v>
      </c>
      <c r="ABX34">
        <v>33264.8755306362</v>
      </c>
      <c r="ABY34">
        <v>18.640820788225799</v>
      </c>
      <c r="ABZ34">
        <v>0</v>
      </c>
      <c r="ACA34">
        <v>0</v>
      </c>
      <c r="ACB34">
        <v>0</v>
      </c>
      <c r="ACC34">
        <v>0.75481466224812999</v>
      </c>
      <c r="ACD34">
        <v>216823394.01968801</v>
      </c>
      <c r="ACE34">
        <v>340586.32470482303</v>
      </c>
      <c r="ACF34">
        <v>13.2679767279214</v>
      </c>
      <c r="ACG34">
        <v>7.2324241224122403</v>
      </c>
      <c r="ACH34">
        <v>13.50000361399</v>
      </c>
      <c r="ACI34">
        <v>400815.04526584799</v>
      </c>
      <c r="ACJ34">
        <v>5.6777986445909603</v>
      </c>
      <c r="ACK34">
        <v>21.9946448301014</v>
      </c>
      <c r="ACL34">
        <v>28.0750976608123</v>
      </c>
      <c r="ACM34">
        <v>15.7700042216757</v>
      </c>
      <c r="ACN34">
        <v>105390.341415922</v>
      </c>
      <c r="ACP34">
        <v>84814.548907303193</v>
      </c>
      <c r="ACR34">
        <v>190204.89032322599</v>
      </c>
      <c r="ACT34">
        <v>25.5510919727996</v>
      </c>
      <c r="ACU34">
        <v>23.981612269527002</v>
      </c>
      <c r="ACV34">
        <v>1.7</v>
      </c>
      <c r="ACW34">
        <v>1.5702032002585899</v>
      </c>
      <c r="ACX34">
        <v>0.79597425803108601</v>
      </c>
      <c r="ACY34">
        <v>25.2944894100821</v>
      </c>
      <c r="ACZ34">
        <v>23.965269628708398</v>
      </c>
      <c r="ADA34">
        <v>1.7</v>
      </c>
      <c r="ADB34">
        <v>2.5270117447977398</v>
      </c>
      <c r="ADC34">
        <v>0.80022445513628804</v>
      </c>
      <c r="ADD34">
        <v>25.288625955097899</v>
      </c>
      <c r="ADE34">
        <v>23.978285054227801</v>
      </c>
      <c r="ADF34">
        <v>1.7</v>
      </c>
      <c r="ADG34">
        <v>2.9458617715136302</v>
      </c>
      <c r="ADH34">
        <v>0.80078750049268199</v>
      </c>
      <c r="ADI34">
        <v>25.812440543762001</v>
      </c>
      <c r="ADJ34">
        <v>23.970987491440201</v>
      </c>
      <c r="ADK34">
        <v>1.7</v>
      </c>
      <c r="ADL34">
        <v>1.74386061689769</v>
      </c>
      <c r="ADM34">
        <v>0.70029105323892504</v>
      </c>
      <c r="ADN34">
        <v>25.7668259777255</v>
      </c>
      <c r="ADO34">
        <v>23.857889315497701</v>
      </c>
      <c r="ADP34">
        <v>1.7</v>
      </c>
      <c r="ADQ34">
        <v>2.4310866384684502</v>
      </c>
      <c r="ADR34">
        <v>0.70219274272370302</v>
      </c>
      <c r="ADS34">
        <v>25.604565845437602</v>
      </c>
      <c r="ADT34">
        <v>23.8320600767073</v>
      </c>
      <c r="ADU34">
        <v>1.7</v>
      </c>
      <c r="ADV34">
        <v>5.0612266230324199</v>
      </c>
      <c r="ADW34">
        <v>0.69983407774817996</v>
      </c>
      <c r="ADX34">
        <v>25.654217824162298</v>
      </c>
      <c r="ADY34">
        <v>23.855204884650501</v>
      </c>
      <c r="ADZ34">
        <v>1.7</v>
      </c>
      <c r="AEA34">
        <v>1.8469081297024701</v>
      </c>
      <c r="AEB34">
        <v>0.70087119809031995</v>
      </c>
      <c r="AEC34">
        <v>25.092663211407402</v>
      </c>
      <c r="AED34">
        <v>23.9904690893778</v>
      </c>
      <c r="AEE34">
        <v>1.7</v>
      </c>
      <c r="AEF34">
        <v>3.4330610817017999</v>
      </c>
      <c r="AEG34">
        <v>0.70220051406878803</v>
      </c>
      <c r="AEH34">
        <v>25.624228224586901</v>
      </c>
      <c r="AEI34">
        <v>24.279738614526199</v>
      </c>
      <c r="AEJ34">
        <v>1.7</v>
      </c>
      <c r="AEK34">
        <v>4.2532819435958498</v>
      </c>
      <c r="AEL34">
        <v>0.70145141759441398</v>
      </c>
      <c r="AEM34">
        <v>24.983323407122601</v>
      </c>
      <c r="AEN34">
        <v>23.992270088187201</v>
      </c>
      <c r="AEO34">
        <v>1.7</v>
      </c>
      <c r="AEP34">
        <v>5.9125847426225304</v>
      </c>
      <c r="AEQ34">
        <v>0.70222647949468997</v>
      </c>
      <c r="AER34">
        <v>25.067004332941199</v>
      </c>
      <c r="AES34">
        <v>23.976817487575001</v>
      </c>
      <c r="AET34">
        <v>1.7</v>
      </c>
      <c r="AEU34">
        <v>3.54382188190139</v>
      </c>
      <c r="AEV34">
        <v>0.70269558659150599</v>
      </c>
      <c r="AEW34">
        <v>25.091952923610599</v>
      </c>
      <c r="AEX34">
        <v>24.017117272178702</v>
      </c>
      <c r="AEY34">
        <v>1.7</v>
      </c>
      <c r="AEZ34">
        <v>3.5486963642125402</v>
      </c>
      <c r="AFA34">
        <v>0.70227483005500702</v>
      </c>
      <c r="AFB34">
        <v>25.6027613575076</v>
      </c>
      <c r="AFC34">
        <v>24.298346006384801</v>
      </c>
      <c r="AFD34">
        <v>1.7</v>
      </c>
      <c r="AFE34">
        <v>4.3337644327286702</v>
      </c>
      <c r="AFF34">
        <v>0.70203352454435497</v>
      </c>
      <c r="AFG34">
        <v>25.009328138077802</v>
      </c>
      <c r="AFH34">
        <v>24.017493703792798</v>
      </c>
      <c r="AFI34">
        <v>1.7</v>
      </c>
      <c r="AFJ34">
        <v>5.3097364077065601</v>
      </c>
      <c r="AFK34">
        <v>0.70215703537603602</v>
      </c>
      <c r="AFL34">
        <v>25.070029642298501</v>
      </c>
      <c r="AFM34">
        <v>24.007375804287602</v>
      </c>
      <c r="AFN34">
        <v>1.7</v>
      </c>
      <c r="AFO34">
        <v>3.64104534285338</v>
      </c>
      <c r="AFP34">
        <v>0.70266363898408102</v>
      </c>
      <c r="AFQ34">
        <v>-0.46330457355738602</v>
      </c>
      <c r="AFR34">
        <v>-0.43352527798003099</v>
      </c>
      <c r="AFS34">
        <v>-0.456776191214537</v>
      </c>
      <c r="AFT34">
        <v>-0.37025728503644301</v>
      </c>
      <c r="AFU34">
        <v>-0.35870227170046998</v>
      </c>
      <c r="AFV34">
        <v>-0.35754371203499502</v>
      </c>
      <c r="AFW34">
        <v>-0.36246664783791099</v>
      </c>
      <c r="AFX34">
        <v>-5.5363231082187797E-2</v>
      </c>
      <c r="AFY34">
        <v>-0.32626805559042998</v>
      </c>
      <c r="AFZ34">
        <v>-0.32451247882346901</v>
      </c>
      <c r="AGA34">
        <v>-0.33339254369371202</v>
      </c>
      <c r="AGB34">
        <v>-2.4101114090738701E-2</v>
      </c>
      <c r="AGC34">
        <v>-0.44782218471819502</v>
      </c>
      <c r="AGD34">
        <v>-0.37868510783687098</v>
      </c>
      <c r="AGE34">
        <v>-0.32345374546761602</v>
      </c>
      <c r="AGF34">
        <v>0</v>
      </c>
      <c r="AGG34">
        <v>0</v>
      </c>
      <c r="AGH34">
        <v>0</v>
      </c>
      <c r="AGI34">
        <v>0</v>
      </c>
      <c r="AGJ34">
        <v>0</v>
      </c>
      <c r="AGK34">
        <v>0</v>
      </c>
      <c r="AGL34">
        <v>0</v>
      </c>
      <c r="AGM34">
        <v>0</v>
      </c>
      <c r="AGN34">
        <v>0</v>
      </c>
      <c r="AGO34">
        <v>0</v>
      </c>
      <c r="AGP34">
        <v>0</v>
      </c>
      <c r="AGQ34">
        <v>0</v>
      </c>
      <c r="AGR34">
        <v>0</v>
      </c>
      <c r="AGS34">
        <v>0</v>
      </c>
      <c r="AGT34">
        <v>0</v>
      </c>
      <c r="AGU34">
        <v>0</v>
      </c>
      <c r="AGV34">
        <v>0</v>
      </c>
      <c r="AGW34">
        <v>0</v>
      </c>
      <c r="AGX34">
        <v>0</v>
      </c>
      <c r="AGY34">
        <v>0</v>
      </c>
      <c r="AGZ34">
        <v>0</v>
      </c>
      <c r="AHA34">
        <v>0</v>
      </c>
      <c r="AHB34">
        <v>0</v>
      </c>
      <c r="AHC34">
        <v>0</v>
      </c>
      <c r="AHD34">
        <v>0</v>
      </c>
      <c r="AHE34">
        <v>0</v>
      </c>
      <c r="AHF34">
        <v>0</v>
      </c>
      <c r="AHG34">
        <v>0</v>
      </c>
      <c r="AHH34">
        <v>0</v>
      </c>
      <c r="AHI34">
        <v>0</v>
      </c>
      <c r="AHJ34">
        <v>0</v>
      </c>
      <c r="AHK34">
        <v>0</v>
      </c>
      <c r="AHL34">
        <v>0</v>
      </c>
      <c r="AHM34">
        <v>0</v>
      </c>
      <c r="AHN34">
        <v>0</v>
      </c>
      <c r="AHO34">
        <v>0</v>
      </c>
      <c r="AHP34">
        <v>0</v>
      </c>
      <c r="AHQ34">
        <v>0</v>
      </c>
      <c r="AHR34">
        <v>0</v>
      </c>
      <c r="AHS34">
        <v>0</v>
      </c>
      <c r="AHT34">
        <v>0</v>
      </c>
      <c r="AHU34">
        <v>0</v>
      </c>
      <c r="AHV34">
        <v>0</v>
      </c>
      <c r="AHW34">
        <v>0</v>
      </c>
      <c r="AHX34">
        <v>0</v>
      </c>
      <c r="AHZ34">
        <v>0</v>
      </c>
      <c r="AIB34">
        <v>0</v>
      </c>
      <c r="AID34">
        <v>0</v>
      </c>
      <c r="AIF34">
        <v>0</v>
      </c>
      <c r="AIH34">
        <v>0</v>
      </c>
      <c r="AIJ34">
        <v>0</v>
      </c>
      <c r="AIL34">
        <v>0</v>
      </c>
      <c r="AIN34">
        <v>0</v>
      </c>
      <c r="AIP34">
        <v>0</v>
      </c>
      <c r="AIR34">
        <v>0</v>
      </c>
      <c r="AIT34">
        <v>0</v>
      </c>
      <c r="AIV34">
        <v>0</v>
      </c>
      <c r="AIX34">
        <v>0</v>
      </c>
      <c r="AIZ34">
        <v>0</v>
      </c>
      <c r="AJB34">
        <v>0</v>
      </c>
      <c r="AJC34">
        <v>0</v>
      </c>
      <c r="AJE34">
        <v>283438.59265672899</v>
      </c>
      <c r="AJH34">
        <v>10979.5364025074</v>
      </c>
      <c r="AJJ34">
        <v>1933.14856803507</v>
      </c>
      <c r="AJK34">
        <v>454.93391801496603</v>
      </c>
      <c r="AJL34">
        <v>166.18101849727</v>
      </c>
      <c r="AJM34">
        <v>1079.09528015975</v>
      </c>
      <c r="AJN34">
        <v>249.90354310962601</v>
      </c>
      <c r="AJO34">
        <v>511.88864693983101</v>
      </c>
      <c r="AJP34">
        <v>190.430406765052</v>
      </c>
      <c r="AJQ34">
        <v>942.36895352915701</v>
      </c>
      <c r="AJR34">
        <v>292.80710399223102</v>
      </c>
      <c r="AJS34">
        <v>92.047479327820398</v>
      </c>
      <c r="AJT34">
        <v>44.194380555586797</v>
      </c>
      <c r="AJU34">
        <v>149.31773977482101</v>
      </c>
      <c r="AJV34">
        <v>64.751009088626304</v>
      </c>
      <c r="AJW34">
        <v>0</v>
      </c>
      <c r="AJX34">
        <v>0</v>
      </c>
      <c r="AJY34">
        <v>0</v>
      </c>
      <c r="AJZ34">
        <v>338902.62589273701</v>
      </c>
      <c r="AKA34">
        <v>0</v>
      </c>
      <c r="AKB34">
        <v>0</v>
      </c>
      <c r="AKC34">
        <v>0</v>
      </c>
      <c r="AKD34">
        <v>0</v>
      </c>
      <c r="AKE34">
        <v>65.56</v>
      </c>
      <c r="AKF34">
        <v>65.56</v>
      </c>
      <c r="AKG34">
        <v>0</v>
      </c>
      <c r="AKH34">
        <v>0</v>
      </c>
      <c r="AKI34">
        <v>0</v>
      </c>
      <c r="AKJ34">
        <v>0</v>
      </c>
      <c r="AKK34">
        <v>0</v>
      </c>
      <c r="AKL34">
        <v>65.56</v>
      </c>
      <c r="AKM34">
        <v>65.56</v>
      </c>
      <c r="AKN34">
        <v>0</v>
      </c>
      <c r="AKO34">
        <v>0</v>
      </c>
      <c r="AKP34">
        <v>0</v>
      </c>
      <c r="AKT34">
        <v>6734795.2483461499</v>
      </c>
      <c r="AKX34">
        <v>6078357.7937538503</v>
      </c>
      <c r="ALB34">
        <v>28.0981501686271</v>
      </c>
      <c r="ALC34">
        <v>22.966997909184901</v>
      </c>
      <c r="ALD34">
        <v>15.7700042216757</v>
      </c>
      <c r="ALE34">
        <v>338238.46387667803</v>
      </c>
      <c r="ALF34">
        <v>3876.01471762034</v>
      </c>
      <c r="ALH34">
        <v>15.1463393236071</v>
      </c>
      <c r="ALI34">
        <v>8.8240964009987204E-3</v>
      </c>
      <c r="ALJ34">
        <v>21.517614917767101</v>
      </c>
      <c r="ALK34">
        <v>25.387449197600201</v>
      </c>
      <c r="ALL34">
        <v>21.517614917767101</v>
      </c>
      <c r="ALM34">
        <v>0</v>
      </c>
      <c r="ALN34">
        <v>26.0110741425441</v>
      </c>
      <c r="ALO34">
        <v>9.2739493825118504E-3</v>
      </c>
      <c r="ALP34">
        <v>44.208278161828801</v>
      </c>
      <c r="ALQ34">
        <v>21.517614917767101</v>
      </c>
      <c r="ALR34">
        <v>15.1463393236071</v>
      </c>
      <c r="ALS34">
        <v>21.517614917767101</v>
      </c>
      <c r="ALT34">
        <v>15.560002860254899</v>
      </c>
      <c r="ALU34">
        <v>21.517614917767101</v>
      </c>
      <c r="ALV34">
        <v>8.2153058943088499</v>
      </c>
      <c r="ALW34">
        <v>5.0924649116379003E-3</v>
      </c>
      <c r="ALX34">
        <v>21.5384292291204</v>
      </c>
      <c r="ALY34">
        <v>5.0924649116379003E-3</v>
      </c>
      <c r="ALZ34">
        <v>0</v>
      </c>
      <c r="AMA34">
        <v>13.2679767279214</v>
      </c>
      <c r="AMB34">
        <v>1.35E-2</v>
      </c>
      <c r="AMC34">
        <v>13.2381397908071</v>
      </c>
      <c r="AMD34">
        <v>1.35E-2</v>
      </c>
      <c r="AME34">
        <v>7.2324241224122403</v>
      </c>
      <c r="AMF34">
        <v>1.35E-2</v>
      </c>
      <c r="AMG34">
        <v>1.5769999999999999E-2</v>
      </c>
      <c r="AMH34">
        <v>12.739123864311701</v>
      </c>
      <c r="AMI34">
        <v>19.6399975650749</v>
      </c>
      <c r="AMJ34">
        <v>0.42678213636691897</v>
      </c>
      <c r="AMK34" s="580">
        <v>17.859238195213901</v>
      </c>
      <c r="AML34">
        <v>2.1536998087398098</v>
      </c>
      <c r="AMM34">
        <v>19.3565745130274</v>
      </c>
      <c r="AMN34">
        <v>0.67123309710645596</v>
      </c>
      <c r="AMO34">
        <v>19.668427518121799</v>
      </c>
      <c r="AMP34">
        <v>0.63697130821811998</v>
      </c>
      <c r="AMQ34">
        <v>19.699777891819199</v>
      </c>
      <c r="AMR34">
        <v>0.68809469388878197</v>
      </c>
      <c r="AMS34">
        <v>18.635710345610999</v>
      </c>
      <c r="AMT34">
        <v>3.0558570490660699</v>
      </c>
      <c r="AMU34">
        <v>21.118360070425901</v>
      </c>
      <c r="AMV34">
        <v>1.2836908653746599</v>
      </c>
      <c r="AMW34">
        <v>21.395953896309798</v>
      </c>
      <c r="AMX34">
        <v>0.87688407065580198</v>
      </c>
      <c r="AMY34">
        <v>21.3867796689428</v>
      </c>
      <c r="AMZ34">
        <v>1.3547263883946601</v>
      </c>
      <c r="ANA34">
        <v>21.645157058408699</v>
      </c>
      <c r="ANB34">
        <v>1.53355166113889</v>
      </c>
      <c r="ANC34">
        <v>18.705423765442401</v>
      </c>
      <c r="AND34">
        <v>3.4456539820299001</v>
      </c>
      <c r="ANE34">
        <v>21.223146719765499</v>
      </c>
      <c r="ANF34">
        <v>1.3629300155844</v>
      </c>
      <c r="ANG34">
        <v>21.490388071647899</v>
      </c>
      <c r="ANH34">
        <v>0.94242587327982397</v>
      </c>
      <c r="ANI34">
        <v>21.4757037665395</v>
      </c>
      <c r="ANJ34">
        <v>1.47017447251068</v>
      </c>
      <c r="ANK34">
        <v>21.668602551312102</v>
      </c>
      <c r="ANL34">
        <v>1.6149394954121099</v>
      </c>
      <c r="ANM34">
        <v>4.5767810443200903</v>
      </c>
      <c r="ANN34">
        <v>8.1047100346300809</v>
      </c>
      <c r="ANO34">
        <v>8.8361238388169205</v>
      </c>
      <c r="ANP34">
        <v>17.859238195213901</v>
      </c>
      <c r="ANQ34">
        <v>19.245004794376602</v>
      </c>
      <c r="ANR34">
        <v>19.555747888963801</v>
      </c>
      <c r="ANS34">
        <v>19.523625519948801</v>
      </c>
      <c r="ANT34">
        <v>19.585757248459601</v>
      </c>
      <c r="ANU34">
        <v>18.635710345610999</v>
      </c>
      <c r="ANV34">
        <v>20.831538780251499</v>
      </c>
      <c r="ANW34">
        <v>21.242885992101101</v>
      </c>
      <c r="ANX34">
        <v>21.0876353023083</v>
      </c>
      <c r="ANY34">
        <v>21.237712253481099</v>
      </c>
      <c r="ANZ34">
        <v>18.705423765442401</v>
      </c>
      <c r="AOA34">
        <v>20.919673051780201</v>
      </c>
      <c r="AOB34">
        <v>21.3276762721928</v>
      </c>
      <c r="AOC34">
        <v>21.206606564455502</v>
      </c>
      <c r="AOD34">
        <v>21.315247065825499</v>
      </c>
      <c r="AOE34">
        <v>26.0110741425441</v>
      </c>
      <c r="AOF34">
        <v>12.739123864311701</v>
      </c>
      <c r="AOG34">
        <v>26.098569815962399</v>
      </c>
      <c r="AOH34">
        <v>12.739123864311701</v>
      </c>
    </row>
    <row r="35" spans="1:1074">
      <c r="A35" t="s">
        <v>2605</v>
      </c>
      <c r="B35">
        <v>29.153500000000001</v>
      </c>
      <c r="D35">
        <v>18.421645736705401</v>
      </c>
      <c r="F35">
        <v>9</v>
      </c>
      <c r="G35">
        <v>10945018.5837641</v>
      </c>
      <c r="H35">
        <v>25252376.055390202</v>
      </c>
      <c r="I35">
        <v>6950739.3466344699</v>
      </c>
      <c r="J35">
        <v>16036764.3509151</v>
      </c>
      <c r="K35">
        <v>10945018.5837641</v>
      </c>
      <c r="L35">
        <v>25252376.055390202</v>
      </c>
      <c r="M35">
        <v>6950739.3466344699</v>
      </c>
      <c r="N35">
        <v>16036764.3509151</v>
      </c>
      <c r="O35">
        <v>56445592.898657002</v>
      </c>
      <c r="P35">
        <v>130231422.417206</v>
      </c>
      <c r="Q35">
        <v>10945018.5837641</v>
      </c>
      <c r="R35">
        <v>25252376.055390202</v>
      </c>
      <c r="S35">
        <v>6950739.3466344699</v>
      </c>
      <c r="T35">
        <v>16036764.3509151</v>
      </c>
      <c r="U35">
        <v>10945018.5837641</v>
      </c>
      <c r="V35">
        <v>25252376.055390202</v>
      </c>
      <c r="W35">
        <v>6950739.3466344699</v>
      </c>
      <c r="X35">
        <v>16036764.3509151</v>
      </c>
      <c r="Y35">
        <v>56445592.898657002</v>
      </c>
      <c r="Z35">
        <v>130231422.417206</v>
      </c>
      <c r="AA35">
        <v>10945018.5837641</v>
      </c>
      <c r="AB35">
        <v>25252376.055390202</v>
      </c>
      <c r="AC35">
        <v>6950739.3466344699</v>
      </c>
      <c r="AD35">
        <v>16036764.3509151</v>
      </c>
      <c r="AE35">
        <v>10945018.5837641</v>
      </c>
      <c r="AF35">
        <v>25252376.055390202</v>
      </c>
      <c r="AG35">
        <v>6950739.3466344699</v>
      </c>
      <c r="AH35">
        <v>16036764.3509151</v>
      </c>
      <c r="AI35">
        <v>56445592.898657002</v>
      </c>
      <c r="AJ35">
        <v>130231422.417206</v>
      </c>
      <c r="AK35">
        <v>23.716228502806501</v>
      </c>
      <c r="AL35">
        <v>3956060.4386927001</v>
      </c>
      <c r="AM35">
        <v>10245410.713212401</v>
      </c>
      <c r="AN35">
        <v>23.716228502806501</v>
      </c>
      <c r="AO35">
        <v>3956060.4386927001</v>
      </c>
      <c r="AP35">
        <v>10245410.713212401</v>
      </c>
      <c r="AQ35">
        <v>15.0612190693548</v>
      </c>
      <c r="AR35">
        <v>2512334.2403159901</v>
      </c>
      <c r="AS35">
        <v>6506446.6379612898</v>
      </c>
      <c r="AT35">
        <v>15.0612190693548</v>
      </c>
      <c r="AU35">
        <v>2512334.2403159901</v>
      </c>
      <c r="AV35">
        <v>6506446.6379612898</v>
      </c>
      <c r="AW35">
        <v>23.716228502806501</v>
      </c>
      <c r="AX35">
        <v>3956060.4386927001</v>
      </c>
      <c r="AY35">
        <v>10245410.713212401</v>
      </c>
      <c r="AZ35">
        <v>23.716228502806501</v>
      </c>
      <c r="BA35">
        <v>3956060.4386927001</v>
      </c>
      <c r="BB35">
        <v>10245410.713212401</v>
      </c>
      <c r="BC35">
        <v>15.0612190693548</v>
      </c>
      <c r="BD35">
        <v>2512334.2403159901</v>
      </c>
      <c r="BE35">
        <v>6506446.6379612898</v>
      </c>
      <c r="BF35">
        <v>15.0612190693548</v>
      </c>
      <c r="BG35">
        <v>2512334.2403159901</v>
      </c>
      <c r="BH35">
        <v>6506446.6379612898</v>
      </c>
      <c r="BI35">
        <v>23.716228502806501</v>
      </c>
      <c r="BJ35">
        <v>3956060.4386927001</v>
      </c>
      <c r="BK35">
        <v>10245410.713212401</v>
      </c>
      <c r="BL35">
        <v>23.716228502806501</v>
      </c>
      <c r="BM35">
        <v>3956060.4386927001</v>
      </c>
      <c r="BN35">
        <v>10245410.713212401</v>
      </c>
      <c r="BO35">
        <v>15.0612190693548</v>
      </c>
      <c r="BP35">
        <v>2512334.2403159901</v>
      </c>
      <c r="BQ35">
        <v>6506446.6379612898</v>
      </c>
      <c r="BR35">
        <v>15.0612190693548</v>
      </c>
      <c r="BS35">
        <v>2512334.2403159901</v>
      </c>
      <c r="BT35">
        <v>6506446.6379612898</v>
      </c>
      <c r="BU35">
        <v>52837578.828362301</v>
      </c>
      <c r="BV35">
        <v>122.309210250839</v>
      </c>
      <c r="BW35">
        <v>20402174.312995501</v>
      </c>
      <c r="BX35">
        <v>52837578.828362301</v>
      </c>
      <c r="BY35">
        <v>122.309210250839</v>
      </c>
      <c r="BZ35">
        <v>20402174.312995501</v>
      </c>
      <c r="CA35">
        <v>52837578.828362301</v>
      </c>
      <c r="CB35">
        <v>122.309210250839</v>
      </c>
      <c r="CC35">
        <v>20402174.312995501</v>
      </c>
      <c r="CD35">
        <v>52837578.828362301</v>
      </c>
      <c r="CE35">
        <v>3773179.8574618599</v>
      </c>
      <c r="CF35">
        <v>8575408.7669587694</v>
      </c>
      <c r="CG35">
        <v>3773179.8574618599</v>
      </c>
      <c r="CH35">
        <v>8575408.7669587694</v>
      </c>
      <c r="CI35">
        <v>2396194.1678283801</v>
      </c>
      <c r="CJ35">
        <v>5445895.8359735999</v>
      </c>
      <c r="CK35">
        <v>2396194.1678283801</v>
      </c>
      <c r="CL35">
        <v>5445895.8359735999</v>
      </c>
      <c r="CM35">
        <v>3773179.8574618599</v>
      </c>
      <c r="CN35">
        <v>8575408.7669587694</v>
      </c>
      <c r="CO35">
        <v>3773179.8574618599</v>
      </c>
      <c r="CP35">
        <v>8575408.7669587694</v>
      </c>
      <c r="CQ35">
        <v>2396194.1678283801</v>
      </c>
      <c r="CR35">
        <v>5445895.8359735999</v>
      </c>
      <c r="CS35">
        <v>2396194.1678283801</v>
      </c>
      <c r="CT35">
        <v>5445895.8359735999</v>
      </c>
      <c r="CU35">
        <v>3773179.8574618599</v>
      </c>
      <c r="CV35">
        <v>8575408.7669587694</v>
      </c>
      <c r="CW35">
        <v>3773179.8574618599</v>
      </c>
      <c r="CX35">
        <v>8575408.7669587694</v>
      </c>
      <c r="CY35">
        <v>2396194.1678283801</v>
      </c>
      <c r="CZ35">
        <v>5445895.8359735999</v>
      </c>
      <c r="DA35">
        <v>2396194.1678283801</v>
      </c>
      <c r="DB35">
        <v>5445895.8359735999</v>
      </c>
      <c r="DC35">
        <v>19459023.5309093</v>
      </c>
      <c r="DD35">
        <v>44225053.479339302</v>
      </c>
      <c r="DE35">
        <v>19459023.5309093</v>
      </c>
      <c r="DF35">
        <v>44225053.479339302</v>
      </c>
      <c r="DG35">
        <v>19459023.5309093</v>
      </c>
      <c r="DH35">
        <v>44225053.479339302</v>
      </c>
      <c r="DI35">
        <v>3215778.2876095399</v>
      </c>
      <c r="DJ35">
        <v>6431556.5752190799</v>
      </c>
      <c r="DK35">
        <v>3215778.2876095399</v>
      </c>
      <c r="DL35">
        <v>6431556.5752190799</v>
      </c>
      <c r="DM35">
        <v>2042210.9384901</v>
      </c>
      <c r="DN35">
        <v>4084421.8769801999</v>
      </c>
      <c r="DO35">
        <v>2042210.9384901</v>
      </c>
      <c r="DP35">
        <v>4084421.8769801999</v>
      </c>
      <c r="DQ35">
        <v>3215778.2876095399</v>
      </c>
      <c r="DR35">
        <v>6431556.5752190799</v>
      </c>
      <c r="DS35">
        <v>3215778.2876095399</v>
      </c>
      <c r="DT35">
        <v>6431556.5752190799</v>
      </c>
      <c r="DU35">
        <v>2042210.9384901</v>
      </c>
      <c r="DV35">
        <v>4084421.8769801999</v>
      </c>
      <c r="DW35">
        <v>2042210.9384901</v>
      </c>
      <c r="DX35">
        <v>4084421.8769801999</v>
      </c>
      <c r="DY35">
        <v>3215778.2876095399</v>
      </c>
      <c r="DZ35">
        <v>6431556.5752190799</v>
      </c>
      <c r="EA35">
        <v>3215778.2876095399</v>
      </c>
      <c r="EB35">
        <v>6431556.5752190799</v>
      </c>
      <c r="EC35">
        <v>2042210.9384901</v>
      </c>
      <c r="ED35">
        <v>4084421.8769801999</v>
      </c>
      <c r="EE35">
        <v>2042210.9384901</v>
      </c>
      <c r="EF35">
        <v>4084421.8769801999</v>
      </c>
      <c r="EG35">
        <v>16584395.054752201</v>
      </c>
      <c r="EH35">
        <v>33168790.109504402</v>
      </c>
      <c r="EI35">
        <v>16584395.054752201</v>
      </c>
      <c r="EJ35">
        <v>33168790.109504402</v>
      </c>
      <c r="EK35">
        <v>16584395.054752201</v>
      </c>
      <c r="EL35">
        <v>33168790.109504402</v>
      </c>
      <c r="EM35">
        <v>2433.0484069416798</v>
      </c>
      <c r="EN35">
        <v>6929.7257901069297</v>
      </c>
      <c r="EO35">
        <v>3701.5554854134998</v>
      </c>
      <c r="EP35">
        <v>1556.9574887083199</v>
      </c>
      <c r="EQ35">
        <v>0</v>
      </c>
      <c r="ER35">
        <v>2585.7685208727698</v>
      </c>
      <c r="ES35">
        <v>7410.6461770936403</v>
      </c>
      <c r="ET35">
        <v>3925.0200561520101</v>
      </c>
      <c r="EU35">
        <v>7.8969073138257002</v>
      </c>
      <c r="EV35">
        <v>1644.3679806318301</v>
      </c>
      <c r="EW35">
        <v>0</v>
      </c>
      <c r="EX35">
        <v>2557.5840551657002</v>
      </c>
      <c r="EY35">
        <v>25.5087209988681</v>
      </c>
      <c r="EZ35">
        <v>7372.4801322858302</v>
      </c>
      <c r="FA35">
        <v>3880.9628368799099</v>
      </c>
      <c r="FB35">
        <v>7.8973366191197298</v>
      </c>
      <c r="FC35">
        <v>1623.90941696186</v>
      </c>
      <c r="FD35">
        <v>0</v>
      </c>
      <c r="FE35">
        <v>0</v>
      </c>
      <c r="FF35">
        <v>0</v>
      </c>
      <c r="FG35">
        <v>0</v>
      </c>
      <c r="FH35">
        <v>0</v>
      </c>
      <c r="FI35">
        <v>0</v>
      </c>
      <c r="FJ35">
        <v>0</v>
      </c>
      <c r="FK35">
        <v>0</v>
      </c>
      <c r="FL35">
        <v>0</v>
      </c>
      <c r="FM35">
        <v>0</v>
      </c>
      <c r="FN35">
        <v>0</v>
      </c>
      <c r="FO35">
        <v>2.45251372506161E-2</v>
      </c>
      <c r="FP35">
        <v>0</v>
      </c>
      <c r="FQ35">
        <v>3.7712464405102401E-3</v>
      </c>
      <c r="FR35">
        <v>0</v>
      </c>
      <c r="FS35">
        <v>1623.90941696186</v>
      </c>
      <c r="FT35">
        <v>0</v>
      </c>
      <c r="FU35">
        <v>416.10643984053002</v>
      </c>
      <c r="FV35">
        <v>0</v>
      </c>
      <c r="FW35">
        <v>0</v>
      </c>
      <c r="FX35">
        <v>0</v>
      </c>
      <c r="FY35">
        <v>2.45251372506161E-2</v>
      </c>
      <c r="FZ35">
        <v>0</v>
      </c>
      <c r="GA35">
        <v>3.7712464405102401E-3</v>
      </c>
      <c r="GB35">
        <v>91.237062178933897</v>
      </c>
      <c r="GC35">
        <v>156.98897114902101</v>
      </c>
      <c r="GD35">
        <v>36.6499622651152</v>
      </c>
      <c r="GE35">
        <v>336.28937424545097</v>
      </c>
      <c r="GF35">
        <v>307.02963025622103</v>
      </c>
      <c r="GG35">
        <v>337.545969152579</v>
      </c>
      <c r="GH35">
        <v>53.120390481159198</v>
      </c>
      <c r="GI35">
        <v>189.88791268596</v>
      </c>
      <c r="GJ35">
        <v>45.281744863256897</v>
      </c>
      <c r="GK35">
        <v>37.323163857784799</v>
      </c>
      <c r="GL35">
        <v>100.591698427776</v>
      </c>
      <c r="GM35">
        <v>24.167314315191501</v>
      </c>
      <c r="GN35">
        <v>0.24760940173607099</v>
      </c>
      <c r="GO35">
        <v>25.6504231224385</v>
      </c>
      <c r="GP35">
        <v>25.993538530219698</v>
      </c>
      <c r="GQ35">
        <v>9.5833471744638299</v>
      </c>
      <c r="GR35">
        <v>-58.806750886253603</v>
      </c>
      <c r="GS35">
        <v>-409.71707981788097</v>
      </c>
      <c r="GT35">
        <v>75.977347193472298</v>
      </c>
      <c r="GU35">
        <v>26.2957828623755</v>
      </c>
      <c r="GV35">
        <v>26.827552089555901</v>
      </c>
      <c r="GW35">
        <v>58.5890121092812</v>
      </c>
      <c r="GX35">
        <v>-27.5982501417032</v>
      </c>
      <c r="GY35">
        <v>-515.84508815477602</v>
      </c>
      <c r="GZ35">
        <v>1.05042856657858</v>
      </c>
      <c r="HA35">
        <v>25.634863543780799</v>
      </c>
      <c r="HB35">
        <v>26.055678045828198</v>
      </c>
      <c r="HC35">
        <v>34.121534335198596</v>
      </c>
      <c r="HD35">
        <v>-33.105986936590902</v>
      </c>
      <c r="HE35">
        <v>-398.96024203818502</v>
      </c>
      <c r="HF35">
        <v>-1.2035923619087601</v>
      </c>
      <c r="HG35">
        <v>25.663164618564799</v>
      </c>
      <c r="HH35">
        <v>25.974451271877601</v>
      </c>
      <c r="HI35">
        <v>11.136370421092099</v>
      </c>
      <c r="HJ35">
        <v>-18.3664831643305</v>
      </c>
      <c r="HK35">
        <v>-183.58159768717999</v>
      </c>
      <c r="HL35">
        <v>204.51460710774501</v>
      </c>
      <c r="HM35">
        <v>26.242600812364699</v>
      </c>
      <c r="HN35">
        <v>26.1357379410356</v>
      </c>
      <c r="HO35">
        <v>311.21227823813803</v>
      </c>
      <c r="HP35">
        <v>419.40168285031899</v>
      </c>
      <c r="HQ35">
        <v>26.279658565466001</v>
      </c>
      <c r="HR35">
        <v>225.811885739952</v>
      </c>
      <c r="HS35">
        <v>380.74733039681701</v>
      </c>
      <c r="HT35">
        <v>27.523928479866399</v>
      </c>
      <c r="HU35">
        <v>26.706148462907102</v>
      </c>
      <c r="HV35">
        <v>224.89355446806201</v>
      </c>
      <c r="HW35">
        <v>326.25386282863701</v>
      </c>
      <c r="HX35">
        <v>27.880040221533001</v>
      </c>
      <c r="HY35">
        <v>253.69252322614801</v>
      </c>
      <c r="HZ35">
        <v>26.300056836833399</v>
      </c>
      <c r="IA35">
        <v>26.187652080517399</v>
      </c>
      <c r="IB35">
        <v>340.60757468165798</v>
      </c>
      <c r="IC35">
        <v>207.71096299088001</v>
      </c>
      <c r="ID35">
        <v>441.67339075494903</v>
      </c>
      <c r="IE35">
        <v>26.313018339815802</v>
      </c>
      <c r="IF35">
        <v>262.82545477292001</v>
      </c>
      <c r="IG35">
        <v>48.810963646994601</v>
      </c>
      <c r="IH35">
        <v>26.237369928679101</v>
      </c>
      <c r="II35">
        <v>26.161929162139899</v>
      </c>
      <c r="IJ35">
        <v>187.29040280931201</v>
      </c>
      <c r="IK35">
        <v>49.386439717807299</v>
      </c>
      <c r="IL35">
        <v>122.548569698569</v>
      </c>
      <c r="IM35">
        <v>269.50390053884098</v>
      </c>
      <c r="IN35">
        <v>26.268676918358</v>
      </c>
      <c r="IO35">
        <v>0.776302187153459</v>
      </c>
      <c r="IP35">
        <v>144.51540820945499</v>
      </c>
      <c r="IQ35">
        <v>291.04657205546999</v>
      </c>
      <c r="IR35">
        <v>262.989316316616</v>
      </c>
      <c r="IS35">
        <v>302.99109936658198</v>
      </c>
      <c r="IT35">
        <v>177.43871834017199</v>
      </c>
      <c r="IU35">
        <v>759.24696021872103</v>
      </c>
      <c r="IV35">
        <v>28.1712004704811</v>
      </c>
      <c r="IW35">
        <v>25.8344802396619</v>
      </c>
      <c r="IX35">
        <v>26.279658565466001</v>
      </c>
      <c r="IY35">
        <v>188.817737267875</v>
      </c>
      <c r="IZ35">
        <v>46.948540156289297</v>
      </c>
      <c r="JA35">
        <v>-226.776768576851</v>
      </c>
      <c r="JB35">
        <v>111.605957849628</v>
      </c>
      <c r="JC35">
        <v>26.900130267841799</v>
      </c>
      <c r="JD35">
        <v>27.880040221533001</v>
      </c>
      <c r="JE35">
        <v>256.96939015159001</v>
      </c>
      <c r="JF35">
        <v>34.258245523169499</v>
      </c>
      <c r="JG35">
        <v>-513.19150053686803</v>
      </c>
      <c r="JH35">
        <v>31.284858464856899</v>
      </c>
      <c r="JI35">
        <v>25.801897957641199</v>
      </c>
      <c r="JJ35">
        <v>26.313018339815802</v>
      </c>
      <c r="JK35">
        <v>234.60111247846299</v>
      </c>
      <c r="JL35">
        <v>66.2872082898744</v>
      </c>
      <c r="JM35">
        <v>-203.57336104840601</v>
      </c>
      <c r="JN35">
        <v>15.120948355685901</v>
      </c>
      <c r="JO35">
        <v>25.8553471776506</v>
      </c>
      <c r="JP35">
        <v>26.268676918358</v>
      </c>
      <c r="JQ35">
        <v>1.3426439619752299</v>
      </c>
      <c r="JR35">
        <v>127.009814280988</v>
      </c>
      <c r="JS35">
        <v>0.60650038689957297</v>
      </c>
      <c r="JT35">
        <v>40.278062059119499</v>
      </c>
      <c r="JU35">
        <v>-73.878213571117996</v>
      </c>
      <c r="JV35">
        <v>236.88642030999699</v>
      </c>
      <c r="JW35">
        <v>514.46091333318395</v>
      </c>
      <c r="JX35">
        <v>387.55980766280601</v>
      </c>
      <c r="JY35">
        <v>403.94140082467698</v>
      </c>
      <c r="JZ35">
        <v>433.95446163119198</v>
      </c>
      <c r="KA35">
        <v>385.45792384724399</v>
      </c>
      <c r="KB35">
        <v>237.11212228144899</v>
      </c>
      <c r="KC35">
        <v>535.48098082292904</v>
      </c>
      <c r="KD35">
        <v>419.09634439751699</v>
      </c>
      <c r="KE35">
        <v>140.45003019254</v>
      </c>
      <c r="KF35">
        <v>28.2042221580293</v>
      </c>
      <c r="KG35">
        <v>370.85920260399701</v>
      </c>
      <c r="KH35">
        <v>1.2307068381717099</v>
      </c>
      <c r="KI35">
        <v>321.30820585088298</v>
      </c>
      <c r="KJ35">
        <v>234.617044967212</v>
      </c>
      <c r="KK35">
        <v>85.647183061790599</v>
      </c>
      <c r="KL35">
        <v>27.170222499735299</v>
      </c>
      <c r="KM35">
        <v>26.8998113621094</v>
      </c>
      <c r="KN35">
        <v>553.73939794709804</v>
      </c>
      <c r="KO35">
        <v>28.0927374707917</v>
      </c>
      <c r="KP35">
        <v>56.194181513195197</v>
      </c>
      <c r="KQ35">
        <v>528.90870795799196</v>
      </c>
      <c r="KR35">
        <v>1573.4811596326399</v>
      </c>
      <c r="KS35">
        <v>176.295038671828</v>
      </c>
      <c r="KT35">
        <v>28.379962294313898</v>
      </c>
      <c r="KU35">
        <v>28.521048717374502</v>
      </c>
      <c r="KV35">
        <v>583.16859667536005</v>
      </c>
      <c r="KW35">
        <v>29.152647796203102</v>
      </c>
      <c r="KX35">
        <v>55.942731385143603</v>
      </c>
      <c r="KY35">
        <v>438.19873987094502</v>
      </c>
      <c r="KZ35">
        <v>956.19227039094596</v>
      </c>
      <c r="LA35">
        <v>89.376824152508604</v>
      </c>
      <c r="LB35">
        <v>27.097869110005998</v>
      </c>
      <c r="LC35">
        <v>26.9172203484612</v>
      </c>
      <c r="LD35">
        <v>608.47715630027301</v>
      </c>
      <c r="LE35">
        <v>27.998110134919401</v>
      </c>
      <c r="LF35">
        <v>56.192580013286801</v>
      </c>
      <c r="LG35">
        <v>554.72152716835797</v>
      </c>
      <c r="LH35">
        <v>1579.9581478016401</v>
      </c>
      <c r="LI35">
        <v>47.219319882586902</v>
      </c>
      <c r="LJ35">
        <v>27.042683623036002</v>
      </c>
      <c r="LK35">
        <v>26.815297367033399</v>
      </c>
      <c r="LL35">
        <v>332.39350978057701</v>
      </c>
      <c r="LM35">
        <v>27.916725546804599</v>
      </c>
      <c r="LN35">
        <v>54.843777914828102</v>
      </c>
      <c r="LO35">
        <v>315.47978497440698</v>
      </c>
      <c r="LP35">
        <v>953.06463355687902</v>
      </c>
      <c r="LQ35">
        <v>53.988384620333399</v>
      </c>
      <c r="LR35">
        <v>20.156511483614999</v>
      </c>
      <c r="LS35">
        <v>16.420999999999999</v>
      </c>
      <c r="LT35">
        <v>342.25879899141302</v>
      </c>
      <c r="LU35">
        <v>-1202.0291298035099</v>
      </c>
      <c r="LV35">
        <v>21.724462675511401</v>
      </c>
      <c r="LW35">
        <v>24.7089755353161</v>
      </c>
      <c r="LX35">
        <v>869.40110346469203</v>
      </c>
      <c r="LY35">
        <v>95.261168125669002</v>
      </c>
      <c r="LZ35">
        <v>20.2238686596394</v>
      </c>
      <c r="MA35">
        <v>16.420999999999999</v>
      </c>
      <c r="MB35">
        <v>294.60603693083902</v>
      </c>
      <c r="MC35">
        <v>-884.28718570569504</v>
      </c>
      <c r="MD35">
        <v>22.034511599257499</v>
      </c>
      <c r="ME35">
        <v>25.551457100194099</v>
      </c>
      <c r="MF35">
        <v>673.44741460083401</v>
      </c>
      <c r="MG35">
        <v>54.924169716426398</v>
      </c>
      <c r="MH35">
        <v>20.145860100479499</v>
      </c>
      <c r="MI35">
        <v>16.420999999999999</v>
      </c>
      <c r="MJ35">
        <v>382.43614255350002</v>
      </c>
      <c r="MK35">
        <v>-1137.85187159872</v>
      </c>
      <c r="ML35">
        <v>21.6930596491801</v>
      </c>
      <c r="MM35">
        <v>24.763784284540101</v>
      </c>
      <c r="MN35">
        <v>894.66305672743204</v>
      </c>
      <c r="MO35">
        <v>32.977671073725702</v>
      </c>
      <c r="MP35">
        <v>20.206093598672599</v>
      </c>
      <c r="MQ35">
        <v>16.420999999999999</v>
      </c>
      <c r="MR35">
        <v>231.73625335045401</v>
      </c>
      <c r="MS35">
        <v>-716.48764356096001</v>
      </c>
      <c r="MT35">
        <v>21.736072323303901</v>
      </c>
      <c r="MU35">
        <v>24.697746590685</v>
      </c>
      <c r="MV35">
        <v>554.90835754240402</v>
      </c>
      <c r="MW35">
        <v>87.589168014071504</v>
      </c>
      <c r="MX35">
        <v>23.542311737885701</v>
      </c>
      <c r="MY35">
        <v>25.311116508152001</v>
      </c>
      <c r="MZ35">
        <v>1800.4511175622199</v>
      </c>
      <c r="NA35">
        <v>1797.64165080004</v>
      </c>
      <c r="NB35">
        <v>23.616839042994801</v>
      </c>
      <c r="NC35">
        <v>25.5895153519456</v>
      </c>
      <c r="ND35">
        <v>1851.8369240090799</v>
      </c>
      <c r="NE35">
        <v>123.38145911682101</v>
      </c>
      <c r="NF35">
        <v>23.652451045182399</v>
      </c>
      <c r="NG35">
        <v>25.6971983944687</v>
      </c>
      <c r="NH35">
        <v>1348.7737612175299</v>
      </c>
      <c r="NI35">
        <v>1103.6932075433999</v>
      </c>
      <c r="NJ35">
        <v>24.049352785497099</v>
      </c>
      <c r="NK35">
        <v>27.094747827829799</v>
      </c>
      <c r="NL35">
        <v>1524.60681636556</v>
      </c>
      <c r="NM35">
        <v>93.469043463781105</v>
      </c>
      <c r="NN35">
        <v>23.446153631402499</v>
      </c>
      <c r="NO35">
        <v>25.2722089994801</v>
      </c>
      <c r="NP35">
        <v>1917.74611059983</v>
      </c>
      <c r="NQ35">
        <v>1927.2820661732401</v>
      </c>
      <c r="NR35">
        <v>23.5108497393161</v>
      </c>
      <c r="NS35">
        <v>25.616485532406699</v>
      </c>
      <c r="NT35">
        <v>1961.9466641072299</v>
      </c>
      <c r="NU35">
        <v>56.2545179932319</v>
      </c>
      <c r="NV35">
        <v>23.624440839212902</v>
      </c>
      <c r="NW35">
        <v>25.389875515917598</v>
      </c>
      <c r="NX35">
        <v>3.17476861219169</v>
      </c>
      <c r="NY35">
        <v>1179.86526283082</v>
      </c>
      <c r="NZ35">
        <v>1221.89975961185</v>
      </c>
      <c r="OA35">
        <v>23.6431777728722</v>
      </c>
      <c r="OB35">
        <v>25.582180950818501</v>
      </c>
      <c r="OC35">
        <v>3.1722804187212099</v>
      </c>
      <c r="OD35">
        <v>1187.6518049674701</v>
      </c>
      <c r="OE35">
        <v>3.17476861219169</v>
      </c>
      <c r="OF35">
        <v>3.1722804187212099</v>
      </c>
      <c r="OG35">
        <v>87.578460277505499</v>
      </c>
      <c r="OH35">
        <v>23.619708108444598</v>
      </c>
      <c r="OI35">
        <v>25.565506739487599</v>
      </c>
      <c r="OJ35">
        <v>1969.4281042699299</v>
      </c>
      <c r="OK35">
        <v>2040.53095269339</v>
      </c>
      <c r="OL35">
        <v>23.621968248460501</v>
      </c>
      <c r="OM35">
        <v>25.744780284231702</v>
      </c>
      <c r="ON35">
        <v>2024.33910684994</v>
      </c>
      <c r="OO35">
        <v>121.530126687013</v>
      </c>
      <c r="OP35">
        <v>23.728590644878398</v>
      </c>
      <c r="OQ35">
        <v>26.175917619215799</v>
      </c>
      <c r="OR35">
        <v>1460.1434005809999</v>
      </c>
      <c r="OS35">
        <v>1279.4799071166001</v>
      </c>
      <c r="OT35">
        <v>24.0260136810139</v>
      </c>
      <c r="OU35">
        <v>27.200472024315399</v>
      </c>
      <c r="OV35">
        <v>1645.8418103192701</v>
      </c>
      <c r="OW35">
        <v>92.214573252232896</v>
      </c>
      <c r="OX35">
        <v>23.538119073631599</v>
      </c>
      <c r="OY35">
        <v>25.529385211132301</v>
      </c>
      <c r="OZ35">
        <v>2070.9315675376101</v>
      </c>
      <c r="PA35">
        <v>2152.7369254570899</v>
      </c>
      <c r="PB35">
        <v>23.5315543812432</v>
      </c>
      <c r="PC35">
        <v>25.774162202302499</v>
      </c>
      <c r="PD35">
        <v>2121.5571542064799</v>
      </c>
      <c r="PE35">
        <v>55.927703545234799</v>
      </c>
      <c r="PF35">
        <v>23.695532276119401</v>
      </c>
      <c r="PG35">
        <v>25.653961679659901</v>
      </c>
      <c r="PH35">
        <v>3.41829128287179</v>
      </c>
      <c r="PI35">
        <v>1283.9999366872801</v>
      </c>
      <c r="PJ35">
        <v>1375.2894857871099</v>
      </c>
      <c r="PK35">
        <v>23.6376356367124</v>
      </c>
      <c r="PL35">
        <v>25.715645076734098</v>
      </c>
      <c r="PM35">
        <v>3.5096573084273901</v>
      </c>
      <c r="PN35">
        <v>1290.1572569361001</v>
      </c>
      <c r="PO35">
        <v>25.774061351588202</v>
      </c>
      <c r="PP35">
        <v>27.045639678243599</v>
      </c>
      <c r="PQ35">
        <v>25.9298407285516</v>
      </c>
      <c r="PR35">
        <v>25.781684247571501</v>
      </c>
      <c r="PS35">
        <v>25.2705082498195</v>
      </c>
      <c r="PT35">
        <v>26.237021082185699</v>
      </c>
      <c r="PU35">
        <v>28.259703951133801</v>
      </c>
      <c r="PV35">
        <v>26.365751669591301</v>
      </c>
      <c r="PW35">
        <v>26.2403891566304</v>
      </c>
      <c r="PX35">
        <v>25.813155365536399</v>
      </c>
      <c r="PY35">
        <v>26.529973083104</v>
      </c>
      <c r="PZ35">
        <v>28.524629833860899</v>
      </c>
      <c r="QA35">
        <v>26.650924952738201</v>
      </c>
      <c r="QB35">
        <v>26.493339116471599</v>
      </c>
      <c r="QC35">
        <v>26.342890167114501</v>
      </c>
      <c r="QD35">
        <v>22.5127612696188</v>
      </c>
      <c r="QE35">
        <v>25.818119254825</v>
      </c>
      <c r="QF35">
        <v>28.887450891542599</v>
      </c>
      <c r="QG35">
        <v>25.9769476294755</v>
      </c>
      <c r="QH35">
        <v>25.814383549738402</v>
      </c>
      <c r="QI35">
        <v>25.1238870868935</v>
      </c>
      <c r="QJ35">
        <v>25.753465023150302</v>
      </c>
      <c r="QK35">
        <v>27.623100674088299</v>
      </c>
      <c r="QL35">
        <v>25.833385440063001</v>
      </c>
      <c r="QM35">
        <v>25.746023823771601</v>
      </c>
      <c r="QN35">
        <v>1609.5612370777701</v>
      </c>
      <c r="QO35">
        <v>25.3424982320612</v>
      </c>
      <c r="QP35">
        <v>6106.3307943055397</v>
      </c>
      <c r="QQ35">
        <v>25.8872701309264</v>
      </c>
      <c r="QR35">
        <v>27.7279675836132</v>
      </c>
      <c r="QS35">
        <v>25.9718977043321</v>
      </c>
      <c r="QT35">
        <v>25.8588316547748</v>
      </c>
      <c r="QU35">
        <v>25.618384232550099</v>
      </c>
      <c r="QV35">
        <v>18.563151442703202</v>
      </c>
      <c r="QW35">
        <v>0</v>
      </c>
      <c r="QX35">
        <v>138397.102934397</v>
      </c>
      <c r="QY35">
        <v>0</v>
      </c>
      <c r="QZ35">
        <v>47211.710802562797</v>
      </c>
      <c r="RA35">
        <v>0</v>
      </c>
      <c r="RB35">
        <v>49370.720763127203</v>
      </c>
      <c r="RC35">
        <v>0</v>
      </c>
      <c r="RD35">
        <v>33096.884366893501</v>
      </c>
      <c r="RE35">
        <v>0</v>
      </c>
      <c r="RF35">
        <v>48391.418190654302</v>
      </c>
      <c r="RG35">
        <v>0</v>
      </c>
      <c r="RH35">
        <v>26631.7119790291</v>
      </c>
      <c r="RI35">
        <v>0</v>
      </c>
      <c r="RJ35">
        <v>5074.6553053195303</v>
      </c>
      <c r="RK35">
        <v>25.862177158061801</v>
      </c>
      <c r="RL35">
        <v>-5075.4252017340104</v>
      </c>
      <c r="RM35">
        <v>-12997.745758442101</v>
      </c>
      <c r="RN35">
        <v>-5075.4252017340104</v>
      </c>
      <c r="RO35">
        <v>0</v>
      </c>
      <c r="RP35">
        <v>4995.6262632200196</v>
      </c>
      <c r="RQ35">
        <v>30.729262104841499</v>
      </c>
      <c r="RR35">
        <v>-4965.5438306492897</v>
      </c>
      <c r="RS35">
        <v>-7875.1496025734396</v>
      </c>
      <c r="RT35">
        <v>-4965.5438306492897</v>
      </c>
      <c r="RU35">
        <v>0</v>
      </c>
      <c r="RV35">
        <v>5627.8529614912804</v>
      </c>
      <c r="RW35">
        <v>26.0240545303994</v>
      </c>
      <c r="RX35">
        <v>-5619.2793063592198</v>
      </c>
      <c r="RY35">
        <v>-13201.0556205992</v>
      </c>
      <c r="RZ35">
        <v>-5619.2793063592198</v>
      </c>
      <c r="SA35">
        <v>0</v>
      </c>
      <c r="SB35">
        <v>3286.0151858958998</v>
      </c>
      <c r="SC35">
        <v>25.847082851905199</v>
      </c>
      <c r="SD35">
        <v>-3279.16595896019</v>
      </c>
      <c r="SE35">
        <v>-8302.9385387774491</v>
      </c>
      <c r="SF35">
        <v>-3279.16595896019</v>
      </c>
      <c r="SG35">
        <v>0</v>
      </c>
      <c r="SH35">
        <v>19741.201689992598</v>
      </c>
      <c r="SI35">
        <v>24.9772659239676</v>
      </c>
      <c r="SJ35">
        <v>-19834.457735886499</v>
      </c>
      <c r="SK35">
        <v>-42205.8715586506</v>
      </c>
      <c r="SL35">
        <v>-19834.457735886499</v>
      </c>
      <c r="SM35">
        <v>21.1111</v>
      </c>
      <c r="SN35">
        <v>23.8889</v>
      </c>
      <c r="SO35">
        <v>30.5231812143365</v>
      </c>
      <c r="SP35">
        <v>0</v>
      </c>
      <c r="SQ35">
        <v>25.5615802135707</v>
      </c>
      <c r="SR35">
        <v>0</v>
      </c>
      <c r="SS35">
        <v>0</v>
      </c>
      <c r="ST35">
        <v>0</v>
      </c>
      <c r="SU35">
        <v>0</v>
      </c>
      <c r="SV35">
        <v>96.952319644489805</v>
      </c>
      <c r="SW35">
        <v>25.941293977516199</v>
      </c>
      <c r="SX35">
        <v>0</v>
      </c>
      <c r="SY35">
        <v>0</v>
      </c>
      <c r="SZ35">
        <v>0</v>
      </c>
      <c r="TA35">
        <v>0</v>
      </c>
      <c r="TB35">
        <v>13.4134246890198</v>
      </c>
      <c r="TC35">
        <v>25.444852800349398</v>
      </c>
      <c r="TD35">
        <v>0</v>
      </c>
      <c r="TE35">
        <v>0</v>
      </c>
      <c r="TF35">
        <v>0</v>
      </c>
      <c r="TG35">
        <v>4.3688119880321201</v>
      </c>
      <c r="TH35">
        <v>0</v>
      </c>
      <c r="TI35">
        <v>25.554561803049701</v>
      </c>
      <c r="TJ35">
        <v>0</v>
      </c>
      <c r="TK35">
        <v>0</v>
      </c>
      <c r="TL35">
        <v>0</v>
      </c>
      <c r="TM35">
        <v>519.06159891017205</v>
      </c>
      <c r="TN35">
        <v>0</v>
      </c>
      <c r="TO35">
        <v>25.440086361889101</v>
      </c>
      <c r="TP35">
        <v>0</v>
      </c>
      <c r="TQ35">
        <v>0</v>
      </c>
      <c r="TR35">
        <v>0</v>
      </c>
      <c r="TS35">
        <v>0</v>
      </c>
      <c r="TT35">
        <v>6197.2201156281599</v>
      </c>
      <c r="TU35">
        <v>25.269908964115</v>
      </c>
      <c r="TV35">
        <v>-6205.1750010383603</v>
      </c>
      <c r="TW35">
        <v>-13848.0799833581</v>
      </c>
      <c r="TX35">
        <v>-6205.1750010383603</v>
      </c>
      <c r="TY35">
        <v>0</v>
      </c>
      <c r="TZ35">
        <v>6728.73583176583</v>
      </c>
      <c r="UA35">
        <v>26.986497397042701</v>
      </c>
      <c r="UB35">
        <v>-6741.6263568864897</v>
      </c>
      <c r="UC35">
        <v>-10553.639573149399</v>
      </c>
      <c r="UD35">
        <v>-6741.6263568864897</v>
      </c>
      <c r="UE35">
        <v>0</v>
      </c>
      <c r="UF35">
        <v>6762.5922092672699</v>
      </c>
      <c r="UG35">
        <v>25.301019210534601</v>
      </c>
      <c r="UH35">
        <v>-6798.4519296837198</v>
      </c>
      <c r="UI35">
        <v>-14033.2498673794</v>
      </c>
      <c r="UJ35">
        <v>-6798.4519296837198</v>
      </c>
      <c r="UK35">
        <v>0</v>
      </c>
      <c r="UL35">
        <v>4003.3439878843701</v>
      </c>
      <c r="UM35">
        <v>25.2516584909127</v>
      </c>
      <c r="UN35">
        <v>-4006.4001042619998</v>
      </c>
      <c r="UO35">
        <v>-8865.86064743114</v>
      </c>
      <c r="UP35">
        <v>-4006.4001042619998</v>
      </c>
      <c r="UQ35">
        <v>0</v>
      </c>
      <c r="UR35">
        <v>23141.653657825598</v>
      </c>
      <c r="US35">
        <v>24.8718410985859</v>
      </c>
      <c r="UT35">
        <v>-23209.080286772602</v>
      </c>
      <c r="UU35">
        <v>-45478.184268071796</v>
      </c>
      <c r="UV35">
        <v>-23209.080286772602</v>
      </c>
      <c r="UW35">
        <v>21.1111</v>
      </c>
      <c r="UX35">
        <v>23.8889</v>
      </c>
      <c r="UY35">
        <v>0</v>
      </c>
      <c r="UZ35">
        <v>322.19476782182397</v>
      </c>
      <c r="VA35">
        <v>25.157175045054899</v>
      </c>
      <c r="VB35">
        <v>0</v>
      </c>
      <c r="VC35">
        <v>0</v>
      </c>
      <c r="VD35">
        <v>0</v>
      </c>
      <c r="VE35">
        <v>0</v>
      </c>
      <c r="VF35">
        <v>438.94657620044399</v>
      </c>
      <c r="VG35">
        <v>25.724539996393801</v>
      </c>
      <c r="VH35">
        <v>0</v>
      </c>
      <c r="VI35">
        <v>0</v>
      </c>
      <c r="VJ35">
        <v>0</v>
      </c>
      <c r="VK35">
        <v>0</v>
      </c>
      <c r="VL35">
        <v>410.55176595098197</v>
      </c>
      <c r="VM35">
        <v>24.989326035691601</v>
      </c>
      <c r="VN35">
        <v>0</v>
      </c>
      <c r="VO35">
        <v>0</v>
      </c>
      <c r="VP35">
        <v>0</v>
      </c>
      <c r="VQ35">
        <v>0</v>
      </c>
      <c r="VR35">
        <v>220.35989288648699</v>
      </c>
      <c r="VS35">
        <v>25.150014838005401</v>
      </c>
      <c r="VT35">
        <v>0</v>
      </c>
      <c r="VU35">
        <v>0</v>
      </c>
      <c r="VV35">
        <v>0</v>
      </c>
      <c r="VW35">
        <v>0</v>
      </c>
      <c r="VX35">
        <v>692.14995816849103</v>
      </c>
      <c r="VY35">
        <v>25.339519471321299</v>
      </c>
      <c r="VZ35">
        <v>0</v>
      </c>
      <c r="WA35">
        <v>0</v>
      </c>
      <c r="WB35">
        <v>0</v>
      </c>
      <c r="WC35">
        <v>0</v>
      </c>
      <c r="WD35">
        <v>6683.1240332157104</v>
      </c>
      <c r="WE35">
        <v>25.244567178748799</v>
      </c>
      <c r="WF35">
        <v>-6695.1709360546902</v>
      </c>
      <c r="WG35">
        <v>-14355.7381719202</v>
      </c>
      <c r="WH35">
        <v>-6695.1709360546902</v>
      </c>
      <c r="WI35">
        <v>25363393.730409</v>
      </c>
      <c r="WJ35">
        <v>0</v>
      </c>
      <c r="WK35">
        <v>7045.3871473358304</v>
      </c>
      <c r="WL35">
        <v>26.931305333365401</v>
      </c>
      <c r="WM35">
        <v>-7059.9579857347298</v>
      </c>
      <c r="WN35">
        <v>-10878.3096705608</v>
      </c>
      <c r="WO35">
        <v>-7059.9579857347298</v>
      </c>
      <c r="WP35">
        <v>18.333300000000001</v>
      </c>
      <c r="WQ35">
        <v>23.8889</v>
      </c>
      <c r="WR35">
        <v>0</v>
      </c>
      <c r="WS35">
        <v>7230.39678804918</v>
      </c>
      <c r="WT35">
        <v>25.292870455926</v>
      </c>
      <c r="WU35">
        <v>-7272.4290689588297</v>
      </c>
      <c r="WV35">
        <v>-14561.2640882782</v>
      </c>
      <c r="WW35">
        <v>-7272.4290689588297</v>
      </c>
      <c r="WX35">
        <v>15388109.695446501</v>
      </c>
      <c r="WY35">
        <v>0</v>
      </c>
      <c r="WZ35">
        <v>4274.47491540179</v>
      </c>
      <c r="XA35">
        <v>25.224324193078001</v>
      </c>
      <c r="XB35">
        <v>-4280.7818418507104</v>
      </c>
      <c r="XC35">
        <v>-9152.9701658750091</v>
      </c>
      <c r="XD35">
        <v>-4280.7818418507104</v>
      </c>
      <c r="XE35">
        <v>0</v>
      </c>
      <c r="XF35">
        <v>26359.0690648167</v>
      </c>
      <c r="XG35">
        <v>24.893878297985701</v>
      </c>
      <c r="XH35">
        <v>-26431.608123795799</v>
      </c>
      <c r="XI35">
        <v>-48589.979444771699</v>
      </c>
      <c r="XJ35">
        <v>-26431.608123795799</v>
      </c>
      <c r="XK35">
        <v>21.1111</v>
      </c>
      <c r="XL35">
        <v>23.8889</v>
      </c>
      <c r="XM35">
        <v>0</v>
      </c>
      <c r="XN35">
        <v>1345.8498404126699</v>
      </c>
      <c r="XO35">
        <v>25.707892223865802</v>
      </c>
      <c r="XP35">
        <v>0</v>
      </c>
      <c r="XQ35">
        <v>0</v>
      </c>
      <c r="XR35">
        <v>0</v>
      </c>
      <c r="XS35">
        <v>0</v>
      </c>
      <c r="XT35">
        <v>1316.5006185827399</v>
      </c>
      <c r="XU35">
        <v>26.245337974380199</v>
      </c>
      <c r="XV35">
        <v>0</v>
      </c>
      <c r="XW35">
        <v>0</v>
      </c>
      <c r="XX35">
        <v>0</v>
      </c>
      <c r="XY35">
        <v>0</v>
      </c>
      <c r="XZ35">
        <v>1466.0945286814001</v>
      </c>
      <c r="YA35">
        <v>25.503783389012401</v>
      </c>
      <c r="YB35">
        <v>0</v>
      </c>
      <c r="YC35">
        <v>0</v>
      </c>
      <c r="YD35">
        <v>0</v>
      </c>
      <c r="YE35">
        <v>0</v>
      </c>
      <c r="YF35">
        <v>810.41347856521702</v>
      </c>
      <c r="YG35">
        <v>25.640418544016899</v>
      </c>
      <c r="YH35">
        <v>0</v>
      </c>
      <c r="YI35">
        <v>0</v>
      </c>
      <c r="YJ35">
        <v>0</v>
      </c>
      <c r="YK35">
        <v>0</v>
      </c>
      <c r="YL35">
        <v>5735.8035303791803</v>
      </c>
      <c r="YM35">
        <v>26.106027179149901</v>
      </c>
      <c r="YN35">
        <v>0</v>
      </c>
      <c r="YO35">
        <v>0</v>
      </c>
      <c r="YP35">
        <v>0</v>
      </c>
      <c r="YQ35">
        <v>0</v>
      </c>
      <c r="YR35">
        <v>1325.2742992480801</v>
      </c>
      <c r="YS35">
        <v>19.3869864842104</v>
      </c>
      <c r="YT35">
        <v>0</v>
      </c>
      <c r="YU35">
        <v>0</v>
      </c>
      <c r="YV35">
        <v>0</v>
      </c>
      <c r="YW35">
        <v>0</v>
      </c>
      <c r="YX35">
        <v>1090.35753636501</v>
      </c>
      <c r="YY35">
        <v>19.220273981460402</v>
      </c>
      <c r="YZ35">
        <v>0</v>
      </c>
      <c r="ZA35">
        <v>0</v>
      </c>
      <c r="ZB35">
        <v>0</v>
      </c>
      <c r="ZC35">
        <v>0</v>
      </c>
      <c r="ZD35">
        <v>1408.6065446606699</v>
      </c>
      <c r="ZE35">
        <v>19.274406577014201</v>
      </c>
      <c r="ZF35">
        <v>0</v>
      </c>
      <c r="ZG35">
        <v>0</v>
      </c>
      <c r="ZH35">
        <v>0</v>
      </c>
      <c r="ZI35">
        <v>0</v>
      </c>
      <c r="ZJ35">
        <v>860.85825929156101</v>
      </c>
      <c r="ZK35">
        <v>19.386111300376299</v>
      </c>
      <c r="ZL35">
        <v>0</v>
      </c>
      <c r="ZM35">
        <v>0</v>
      </c>
      <c r="ZN35">
        <v>0</v>
      </c>
      <c r="ZO35">
        <v>0</v>
      </c>
      <c r="ZP35">
        <v>12580.5209723304</v>
      </c>
      <c r="ZQ35">
        <v>17.780231453152101</v>
      </c>
      <c r="ZR35">
        <v>0</v>
      </c>
      <c r="ZS35">
        <v>0</v>
      </c>
      <c r="ZT35">
        <v>0</v>
      </c>
      <c r="ZU35">
        <v>0</v>
      </c>
      <c r="ZV35">
        <v>3876.9725401692599</v>
      </c>
      <c r="ZW35">
        <v>20.9232966069263</v>
      </c>
      <c r="ZX35">
        <v>0</v>
      </c>
      <c r="ZY35">
        <v>0</v>
      </c>
      <c r="ZZ35">
        <v>0</v>
      </c>
      <c r="AAA35">
        <v>0</v>
      </c>
      <c r="AAB35">
        <v>3076.2489841315601</v>
      </c>
      <c r="AAC35">
        <v>20.598671676795501</v>
      </c>
      <c r="AAD35">
        <v>0</v>
      </c>
      <c r="AAE35">
        <v>0</v>
      </c>
      <c r="AAF35">
        <v>0</v>
      </c>
      <c r="AAG35">
        <v>0</v>
      </c>
      <c r="AAH35">
        <v>4141.0794647022403</v>
      </c>
      <c r="AAI35">
        <v>20.6441980117173</v>
      </c>
      <c r="AAJ35">
        <v>0</v>
      </c>
      <c r="AAK35">
        <v>0</v>
      </c>
      <c r="AAL35">
        <v>0</v>
      </c>
      <c r="AAM35">
        <v>0</v>
      </c>
      <c r="AAN35">
        <v>2517.0629520021298</v>
      </c>
      <c r="AAO35">
        <v>20.9227284280703</v>
      </c>
      <c r="AAP35">
        <v>0</v>
      </c>
      <c r="AAQ35">
        <v>0</v>
      </c>
      <c r="AAR35">
        <v>0</v>
      </c>
      <c r="AAS35">
        <v>0</v>
      </c>
      <c r="AAT35">
        <v>28321.197812751499</v>
      </c>
      <c r="AAU35">
        <v>18.5318537804568</v>
      </c>
      <c r="AAV35">
        <v>0</v>
      </c>
      <c r="AAW35">
        <v>0</v>
      </c>
      <c r="AAX35">
        <v>0</v>
      </c>
      <c r="AAY35">
        <v>0</v>
      </c>
      <c r="AAZ35">
        <v>4238.3281397749297</v>
      </c>
      <c r="ABA35">
        <v>20.952715084771299</v>
      </c>
      <c r="ABB35">
        <v>0</v>
      </c>
      <c r="ABC35">
        <v>0</v>
      </c>
      <c r="ABD35">
        <v>0</v>
      </c>
      <c r="ABE35">
        <v>0</v>
      </c>
      <c r="ABF35">
        <v>3316.6044234768801</v>
      </c>
      <c r="ABG35">
        <v>20.651413501044601</v>
      </c>
      <c r="ABH35">
        <v>0</v>
      </c>
      <c r="ABI35">
        <v>0</v>
      </c>
      <c r="ABJ35">
        <v>0</v>
      </c>
      <c r="ABK35">
        <v>0</v>
      </c>
      <c r="ABL35">
        <v>4476.2094837510604</v>
      </c>
      <c r="ABM35">
        <v>20.719379213438799</v>
      </c>
      <c r="ABN35">
        <v>0</v>
      </c>
      <c r="ABO35">
        <v>0</v>
      </c>
      <c r="ABP35">
        <v>0</v>
      </c>
      <c r="ABQ35">
        <v>0</v>
      </c>
      <c r="ABR35">
        <v>2735.8784485946098</v>
      </c>
      <c r="ABS35">
        <v>20.958308554477998</v>
      </c>
      <c r="ABT35">
        <v>0</v>
      </c>
      <c r="ABU35">
        <v>0</v>
      </c>
      <c r="ABV35">
        <v>0</v>
      </c>
      <c r="ABW35">
        <v>0</v>
      </c>
      <c r="ABX35">
        <v>31533.667783834699</v>
      </c>
      <c r="ABY35">
        <v>18.563151442703202</v>
      </c>
      <c r="ABZ35">
        <v>0</v>
      </c>
      <c r="ACA35">
        <v>0</v>
      </c>
      <c r="ACB35">
        <v>0</v>
      </c>
      <c r="ACC35">
        <v>0.74325297591491202</v>
      </c>
      <c r="ACD35">
        <v>218847952.43490899</v>
      </c>
      <c r="ACE35">
        <v>326046.224532697</v>
      </c>
      <c r="ACF35">
        <v>12.4778865364023</v>
      </c>
      <c r="ACG35">
        <v>6.7</v>
      </c>
      <c r="ACH35">
        <v>13.50000361399</v>
      </c>
      <c r="ACI35">
        <v>386837.32243128202</v>
      </c>
      <c r="ACJ35">
        <v>5.3633487358983798</v>
      </c>
      <c r="ACK35">
        <v>23.489000898562601</v>
      </c>
      <c r="ACL35">
        <v>29.357408584311599</v>
      </c>
      <c r="ACM35">
        <v>15.7700042216757</v>
      </c>
      <c r="ACN35">
        <v>105390.341415922</v>
      </c>
      <c r="ACP35">
        <v>82842.332095068996</v>
      </c>
      <c r="ACR35">
        <v>188232.673510992</v>
      </c>
      <c r="ACT35">
        <v>25.4191722684014</v>
      </c>
      <c r="ACU35">
        <v>23.891709828351001</v>
      </c>
      <c r="ACV35">
        <v>1.7</v>
      </c>
      <c r="ACW35">
        <v>1.52106572368312</v>
      </c>
      <c r="ACX35">
        <v>0.79977107680000703</v>
      </c>
      <c r="ACY35">
        <v>25.2525273295369</v>
      </c>
      <c r="ACZ35">
        <v>23.911135310498398</v>
      </c>
      <c r="ADA35">
        <v>1.7</v>
      </c>
      <c r="ADB35">
        <v>2.2469281427335099</v>
      </c>
      <c r="ADC35">
        <v>0.80070430854534702</v>
      </c>
      <c r="ADD35">
        <v>25.2398582565753</v>
      </c>
      <c r="ADE35">
        <v>23.908156375800498</v>
      </c>
      <c r="ADF35">
        <v>1.7</v>
      </c>
      <c r="ADG35">
        <v>2.6728849488787998</v>
      </c>
      <c r="ADH35">
        <v>0.80074109911285296</v>
      </c>
      <c r="ADI35">
        <v>25.597274782730899</v>
      </c>
      <c r="ADJ35">
        <v>23.7984434675814</v>
      </c>
      <c r="ADK35">
        <v>1.7</v>
      </c>
      <c r="ADL35">
        <v>1.8083495744303499</v>
      </c>
      <c r="ADM35">
        <v>0.70544950765504399</v>
      </c>
      <c r="ADN35">
        <v>25.853982901583599</v>
      </c>
      <c r="ADO35">
        <v>23.918231840496102</v>
      </c>
      <c r="ADP35">
        <v>1.7</v>
      </c>
      <c r="ADQ35">
        <v>2.2919793053292099</v>
      </c>
      <c r="ADR35">
        <v>0.70416652072471997</v>
      </c>
      <c r="ADS35">
        <v>25.439392783001502</v>
      </c>
      <c r="ADT35">
        <v>23.693269749906001</v>
      </c>
      <c r="ADU35">
        <v>1.7</v>
      </c>
      <c r="ADV35">
        <v>5.4327565166333498</v>
      </c>
      <c r="ADW35">
        <v>0.70505123742975295</v>
      </c>
      <c r="ADX35">
        <v>25.575280841377602</v>
      </c>
      <c r="ADY35">
        <v>23.7844084145237</v>
      </c>
      <c r="ADZ35">
        <v>1.7</v>
      </c>
      <c r="AEA35">
        <v>1.86831933507169</v>
      </c>
      <c r="AEB35">
        <v>0.70566191684378299</v>
      </c>
      <c r="AEC35">
        <v>24.952822555769799</v>
      </c>
      <c r="AED35">
        <v>23.8235110854643</v>
      </c>
      <c r="AEE35">
        <v>1.7</v>
      </c>
      <c r="AEF35">
        <v>3.3114326958413098</v>
      </c>
      <c r="AEG35">
        <v>0.70578323295354095</v>
      </c>
      <c r="AEH35">
        <v>25.4193336158372</v>
      </c>
      <c r="AEI35">
        <v>24.072274452633799</v>
      </c>
      <c r="AEJ35">
        <v>1.7</v>
      </c>
      <c r="AEK35">
        <v>4.0546964150136402</v>
      </c>
      <c r="AEL35">
        <v>0.70355850972539402</v>
      </c>
      <c r="AEM35">
        <v>24.7613664571703</v>
      </c>
      <c r="AEN35">
        <v>23.742288264008</v>
      </c>
      <c r="AEO35">
        <v>1.7</v>
      </c>
      <c r="AEP35">
        <v>5.9367297569598501</v>
      </c>
      <c r="AEQ35">
        <v>0.70560170532385802</v>
      </c>
      <c r="AER35">
        <v>24.937067170240699</v>
      </c>
      <c r="AES35">
        <v>23.814487319034502</v>
      </c>
      <c r="AET35">
        <v>1.7</v>
      </c>
      <c r="AEU35">
        <v>3.4210769703309598</v>
      </c>
      <c r="AEV35">
        <v>0.705990931495591</v>
      </c>
      <c r="AEW35">
        <v>24.940789863705</v>
      </c>
      <c r="AEX35">
        <v>23.829905815093198</v>
      </c>
      <c r="AEY35">
        <v>1.7</v>
      </c>
      <c r="AEZ35">
        <v>3.4327145889370301</v>
      </c>
      <c r="AFA35">
        <v>0.70594465835086995</v>
      </c>
      <c r="AFB35">
        <v>25.403493481283501</v>
      </c>
      <c r="AFC35">
        <v>24.084839871701401</v>
      </c>
      <c r="AFD35">
        <v>1.7</v>
      </c>
      <c r="AFE35">
        <v>4.1409764353577296</v>
      </c>
      <c r="AFF35">
        <v>0.70377721665690296</v>
      </c>
      <c r="AFG35">
        <v>24.777766715910001</v>
      </c>
      <c r="AFH35">
        <v>23.750812947398298</v>
      </c>
      <c r="AFI35">
        <v>1.7</v>
      </c>
      <c r="AFJ35">
        <v>5.3424863982297497</v>
      </c>
      <c r="AFK35">
        <v>0.70569226735875901</v>
      </c>
      <c r="AFL35">
        <v>24.924132056955301</v>
      </c>
      <c r="AFM35">
        <v>23.8218292067831</v>
      </c>
      <c r="AFN35">
        <v>1.7</v>
      </c>
      <c r="AFO35">
        <v>3.5289905511749899</v>
      </c>
      <c r="AFP35">
        <v>0.70618820141852201</v>
      </c>
      <c r="AFQ35">
        <v>-0.47112875821107097</v>
      </c>
      <c r="AFR35">
        <v>-0.46676520514559899</v>
      </c>
      <c r="AFS35">
        <v>-0.46849202803894502</v>
      </c>
      <c r="AFT35">
        <v>-0.370625804522217</v>
      </c>
      <c r="AFU35">
        <v>-0.40432056484161299</v>
      </c>
      <c r="AFV35">
        <v>-0.404661468911233</v>
      </c>
      <c r="AFW35">
        <v>-0.40571755818063099</v>
      </c>
      <c r="AFX35">
        <v>-0.13721240650997599</v>
      </c>
      <c r="AFY35">
        <v>-0.368171956262624</v>
      </c>
      <c r="AFZ35">
        <v>-0.366975836145713</v>
      </c>
      <c r="AGA35">
        <v>-0.37263206965213003</v>
      </c>
      <c r="AGB35">
        <v>-9.9790646880040301E-2</v>
      </c>
      <c r="AGC35">
        <v>-0.48173844975126501</v>
      </c>
      <c r="AGD35">
        <v>-0.41938680837570103</v>
      </c>
      <c r="AGE35">
        <v>-0.359036653551427</v>
      </c>
      <c r="AGF35">
        <v>0</v>
      </c>
      <c r="AGG35">
        <v>0</v>
      </c>
      <c r="AGH35">
        <v>0</v>
      </c>
      <c r="AGI35">
        <v>0</v>
      </c>
      <c r="AGJ35">
        <v>0</v>
      </c>
      <c r="AGK35">
        <v>0</v>
      </c>
      <c r="AGL35">
        <v>0</v>
      </c>
      <c r="AGM35">
        <v>0</v>
      </c>
      <c r="AGN35">
        <v>0</v>
      </c>
      <c r="AGO35">
        <v>0</v>
      </c>
      <c r="AGP35">
        <v>0</v>
      </c>
      <c r="AGQ35">
        <v>0</v>
      </c>
      <c r="AGR35">
        <v>0</v>
      </c>
      <c r="AGS35">
        <v>0</v>
      </c>
      <c r="AGT35">
        <v>0</v>
      </c>
      <c r="AGU35">
        <v>0</v>
      </c>
      <c r="AGV35">
        <v>0</v>
      </c>
      <c r="AGW35">
        <v>0</v>
      </c>
      <c r="AGX35">
        <v>0</v>
      </c>
      <c r="AGY35">
        <v>0</v>
      </c>
      <c r="AGZ35">
        <v>0</v>
      </c>
      <c r="AHA35">
        <v>0</v>
      </c>
      <c r="AHB35">
        <v>0</v>
      </c>
      <c r="AHC35">
        <v>0</v>
      </c>
      <c r="AHD35">
        <v>0</v>
      </c>
      <c r="AHE35">
        <v>0</v>
      </c>
      <c r="AHF35">
        <v>0</v>
      </c>
      <c r="AHG35">
        <v>0</v>
      </c>
      <c r="AHH35">
        <v>0</v>
      </c>
      <c r="AHI35">
        <v>0</v>
      </c>
      <c r="AHJ35">
        <v>0</v>
      </c>
      <c r="AHK35">
        <v>0</v>
      </c>
      <c r="AHL35">
        <v>0</v>
      </c>
      <c r="AHM35">
        <v>0</v>
      </c>
      <c r="AHN35">
        <v>0</v>
      </c>
      <c r="AHO35">
        <v>0</v>
      </c>
      <c r="AHP35">
        <v>0</v>
      </c>
      <c r="AHQ35">
        <v>0</v>
      </c>
      <c r="AHR35">
        <v>0</v>
      </c>
      <c r="AHS35">
        <v>0</v>
      </c>
      <c r="AHT35">
        <v>0</v>
      </c>
      <c r="AHU35">
        <v>0</v>
      </c>
      <c r="AHV35">
        <v>0</v>
      </c>
      <c r="AHW35">
        <v>0</v>
      </c>
      <c r="AHX35">
        <v>0</v>
      </c>
      <c r="AHZ35">
        <v>0</v>
      </c>
      <c r="AIB35">
        <v>0</v>
      </c>
      <c r="AID35">
        <v>0</v>
      </c>
      <c r="AIF35">
        <v>0</v>
      </c>
      <c r="AIH35">
        <v>0</v>
      </c>
      <c r="AIJ35">
        <v>0</v>
      </c>
      <c r="AIL35">
        <v>0</v>
      </c>
      <c r="AIN35">
        <v>0</v>
      </c>
      <c r="AIP35">
        <v>0</v>
      </c>
      <c r="AIR35">
        <v>0</v>
      </c>
      <c r="AIT35">
        <v>0</v>
      </c>
      <c r="AIV35">
        <v>0</v>
      </c>
      <c r="AIX35">
        <v>0</v>
      </c>
      <c r="AIZ35">
        <v>0</v>
      </c>
      <c r="AJB35">
        <v>0</v>
      </c>
      <c r="AJC35">
        <v>0</v>
      </c>
      <c r="AJE35">
        <v>308430.089104213</v>
      </c>
      <c r="AJH35">
        <v>10203.700069336401</v>
      </c>
      <c r="AJJ35">
        <v>183.80401834048999</v>
      </c>
      <c r="AJK35">
        <v>376.67250800583003</v>
      </c>
      <c r="AJL35">
        <v>153.568581369117</v>
      </c>
      <c r="AJM35">
        <v>1157.9310491113399</v>
      </c>
      <c r="AJN35">
        <v>229.58038248205</v>
      </c>
      <c r="AJO35">
        <v>429.92350976022101</v>
      </c>
      <c r="AJP35">
        <v>179.49519103338099</v>
      </c>
      <c r="AJQ35">
        <v>1030.73034081439</v>
      </c>
      <c r="AJR35">
        <v>273.18596111975302</v>
      </c>
      <c r="AJS35">
        <v>79.632271470744598</v>
      </c>
      <c r="AJT35">
        <v>45.946564517076197</v>
      </c>
      <c r="AJU35">
        <v>201.782015166289</v>
      </c>
      <c r="AJV35">
        <v>70.057837974711703</v>
      </c>
      <c r="AJW35">
        <v>0</v>
      </c>
      <c r="AJX35">
        <v>0</v>
      </c>
      <c r="AJY35">
        <v>0</v>
      </c>
      <c r="AJZ35">
        <v>324362.52572060999</v>
      </c>
      <c r="AKA35">
        <v>0</v>
      </c>
      <c r="AKB35">
        <v>0</v>
      </c>
      <c r="AKC35">
        <v>0</v>
      </c>
      <c r="AKD35">
        <v>0</v>
      </c>
      <c r="AKE35">
        <v>65.56</v>
      </c>
      <c r="AKF35">
        <v>65.56</v>
      </c>
      <c r="AKG35">
        <v>0</v>
      </c>
      <c r="AKH35">
        <v>0</v>
      </c>
      <c r="AKI35">
        <v>0</v>
      </c>
      <c r="AKJ35">
        <v>0</v>
      </c>
      <c r="AKK35">
        <v>0</v>
      </c>
      <c r="AKL35">
        <v>65.56</v>
      </c>
      <c r="AKM35">
        <v>65.56</v>
      </c>
      <c r="AKN35">
        <v>0</v>
      </c>
      <c r="AKO35">
        <v>0</v>
      </c>
      <c r="AKP35">
        <v>0</v>
      </c>
      <c r="AKT35">
        <v>6734795.2483461499</v>
      </c>
      <c r="AKX35">
        <v>6078357.7937538503</v>
      </c>
      <c r="ALB35">
        <v>29.380461092126399</v>
      </c>
      <c r="ALC35">
        <v>24.009320193513901</v>
      </c>
      <c r="ALD35">
        <v>15.7700042216757</v>
      </c>
      <c r="ALE35">
        <v>354058.18322167703</v>
      </c>
      <c r="ALF35">
        <v>3876.01471762034</v>
      </c>
      <c r="ALH35">
        <v>15.1629919515886</v>
      </c>
      <c r="ALI35">
        <v>8.8392800918902503E-3</v>
      </c>
      <c r="ALJ35">
        <v>20.9066681512267</v>
      </c>
      <c r="ALK35">
        <v>26.392665305054798</v>
      </c>
      <c r="ALL35">
        <v>20.9066681512267</v>
      </c>
      <c r="ALM35">
        <v>0</v>
      </c>
      <c r="ALN35">
        <v>25.6894294541063</v>
      </c>
      <c r="ALO35">
        <v>9.2214495809683009E-3</v>
      </c>
      <c r="ALP35">
        <v>44.806097843600803</v>
      </c>
      <c r="ALQ35">
        <v>20.9066681512267</v>
      </c>
      <c r="ALR35">
        <v>15.1629919515886</v>
      </c>
      <c r="ALS35">
        <v>20.9066681512267</v>
      </c>
      <c r="ALT35">
        <v>15.5600029114509</v>
      </c>
      <c r="ALU35">
        <v>20.9066681512267</v>
      </c>
      <c r="ALV35">
        <v>6.9823397545851096</v>
      </c>
      <c r="ALW35">
        <v>4.7302806781857601E-3</v>
      </c>
      <c r="ALX35">
        <v>22.5813590744125</v>
      </c>
      <c r="ALY35">
        <v>4.7302806781857601E-3</v>
      </c>
      <c r="ALZ35">
        <v>0</v>
      </c>
      <c r="AMA35">
        <v>12.4778865364023</v>
      </c>
      <c r="AMB35">
        <v>1.35E-2</v>
      </c>
      <c r="AMC35">
        <v>12.448049599288</v>
      </c>
      <c r="AMD35">
        <v>1.35E-2</v>
      </c>
      <c r="AME35">
        <v>6.7</v>
      </c>
      <c r="AMF35">
        <v>1.35E-2</v>
      </c>
      <c r="AMG35">
        <v>1.5769999999999999E-2</v>
      </c>
      <c r="AMH35">
        <v>4.2474999999999996</v>
      </c>
      <c r="AMI35">
        <v>19.4908298948362</v>
      </c>
      <c r="AMJ35">
        <v>0.43893796229978299</v>
      </c>
      <c r="AMK35" s="580">
        <v>17.790586515057601</v>
      </c>
      <c r="AML35">
        <v>2.1019394576421999</v>
      </c>
      <c r="AMM35">
        <v>19.310562057576899</v>
      </c>
      <c r="AMN35">
        <v>0.62083246116199398</v>
      </c>
      <c r="AMO35">
        <v>19.4901604892625</v>
      </c>
      <c r="AMP35">
        <v>0.67534692450973299</v>
      </c>
      <c r="AMQ35">
        <v>19.519223141567</v>
      </c>
      <c r="AMR35">
        <v>0.77253262683215196</v>
      </c>
      <c r="AMS35">
        <v>18.520766610676802</v>
      </c>
      <c r="AMT35">
        <v>2.7937165208228598</v>
      </c>
      <c r="AMU35">
        <v>20.875217241487899</v>
      </c>
      <c r="AMV35">
        <v>1.2043314059752199</v>
      </c>
      <c r="AMW35">
        <v>21.118864189229701</v>
      </c>
      <c r="AMX35">
        <v>0.85270179970317606</v>
      </c>
      <c r="AMY35">
        <v>21.114430451600299</v>
      </c>
      <c r="AMZ35">
        <v>1.3130302526850799</v>
      </c>
      <c r="ANA35">
        <v>21.299091249808502</v>
      </c>
      <c r="ANB35">
        <v>1.58948163826622</v>
      </c>
      <c r="ANC35">
        <v>18.555464937260901</v>
      </c>
      <c r="AND35">
        <v>3.2051991467055299</v>
      </c>
      <c r="ANE35">
        <v>20.9519581616693</v>
      </c>
      <c r="ANF35">
        <v>1.2873199648178699</v>
      </c>
      <c r="ANG35">
        <v>21.172442937067299</v>
      </c>
      <c r="ANH35">
        <v>0.92663976856436903</v>
      </c>
      <c r="ANI35">
        <v>21.163024376237999</v>
      </c>
      <c r="ANJ35">
        <v>1.4387883501887</v>
      </c>
      <c r="ANK35">
        <v>21.2880352305902</v>
      </c>
      <c r="ANL35">
        <v>1.6858698710517901</v>
      </c>
      <c r="ANM35">
        <v>4.6095894324458602</v>
      </c>
      <c r="ANN35">
        <v>7.7532616174525701</v>
      </c>
      <c r="ANO35">
        <v>8.5438171013282709</v>
      </c>
      <c r="ANP35">
        <v>17.790586515057601</v>
      </c>
      <c r="ANQ35">
        <v>19.206301332047101</v>
      </c>
      <c r="ANR35">
        <v>19.405678768979399</v>
      </c>
      <c r="ANS35">
        <v>19.3069960881542</v>
      </c>
      <c r="ANT35">
        <v>19.405772664457501</v>
      </c>
      <c r="ANU35">
        <v>18.520766610676802</v>
      </c>
      <c r="ANV35">
        <v>20.6210594151514</v>
      </c>
      <c r="ANW35">
        <v>20.972380986444399</v>
      </c>
      <c r="ANX35">
        <v>20.708057247936601</v>
      </c>
      <c r="ANY35">
        <v>20.972213543301098</v>
      </c>
      <c r="ANZ35">
        <v>18.555464937260901</v>
      </c>
      <c r="AOA35">
        <v>20.6805016106631</v>
      </c>
      <c r="AOB35">
        <v>21.014908779502601</v>
      </c>
      <c r="AOC35">
        <v>20.792012470684099</v>
      </c>
      <c r="AOD35">
        <v>21.0086009953698</v>
      </c>
      <c r="AOE35">
        <v>25.6894294541063</v>
      </c>
      <c r="AOF35">
        <v>4.2474999999999996</v>
      </c>
      <c r="AOG35">
        <v>25.724609618479501</v>
      </c>
      <c r="AOH35">
        <v>4.2474999999999996</v>
      </c>
    </row>
    <row r="36" spans="1:1074">
      <c r="A36" t="s">
        <v>2606</v>
      </c>
      <c r="B36">
        <v>32.215299999999999</v>
      </c>
      <c r="D36">
        <v>19.407556684443101</v>
      </c>
      <c r="F36">
        <v>9</v>
      </c>
      <c r="G36">
        <v>10945018.5837641</v>
      </c>
      <c r="H36">
        <v>25252376.055390202</v>
      </c>
      <c r="I36">
        <v>6950739.3466344699</v>
      </c>
      <c r="J36">
        <v>16036764.3509151</v>
      </c>
      <c r="K36">
        <v>10945018.5837641</v>
      </c>
      <c r="L36">
        <v>25252376.055390202</v>
      </c>
      <c r="M36">
        <v>6950739.3466344699</v>
      </c>
      <c r="N36">
        <v>16036764.3509151</v>
      </c>
      <c r="O36">
        <v>56445592.898657002</v>
      </c>
      <c r="P36">
        <v>130231422.417206</v>
      </c>
      <c r="Q36">
        <v>10945018.5837641</v>
      </c>
      <c r="R36">
        <v>25252376.055390202</v>
      </c>
      <c r="S36">
        <v>6950739.3466344699</v>
      </c>
      <c r="T36">
        <v>16036764.3509151</v>
      </c>
      <c r="U36">
        <v>10945018.5837641</v>
      </c>
      <c r="V36">
        <v>25252376.055390202</v>
      </c>
      <c r="W36">
        <v>6950739.3466344699</v>
      </c>
      <c r="X36">
        <v>16036764.3509151</v>
      </c>
      <c r="Y36">
        <v>56445592.898657002</v>
      </c>
      <c r="Z36">
        <v>130231422.417206</v>
      </c>
      <c r="AA36">
        <v>10945018.5837641</v>
      </c>
      <c r="AB36">
        <v>25252376.055390202</v>
      </c>
      <c r="AC36">
        <v>6950739.3466344699</v>
      </c>
      <c r="AD36">
        <v>16036764.3509151</v>
      </c>
      <c r="AE36">
        <v>10945018.5837641</v>
      </c>
      <c r="AF36">
        <v>25252376.055390202</v>
      </c>
      <c r="AG36">
        <v>6950739.3466344699</v>
      </c>
      <c r="AH36">
        <v>16036764.3509151</v>
      </c>
      <c r="AI36">
        <v>56445592.898657002</v>
      </c>
      <c r="AJ36">
        <v>130231422.417206</v>
      </c>
      <c r="AK36">
        <v>23.716228502806501</v>
      </c>
      <c r="AL36">
        <v>3956060.4386927001</v>
      </c>
      <c r="AM36">
        <v>10245410.713212401</v>
      </c>
      <c r="AN36">
        <v>23.716228502806501</v>
      </c>
      <c r="AO36">
        <v>3956060.4386927001</v>
      </c>
      <c r="AP36">
        <v>10245410.713212401</v>
      </c>
      <c r="AQ36">
        <v>15.0612190693548</v>
      </c>
      <c r="AR36">
        <v>2512334.2403159901</v>
      </c>
      <c r="AS36">
        <v>6506446.6379612898</v>
      </c>
      <c r="AT36">
        <v>15.0612190693548</v>
      </c>
      <c r="AU36">
        <v>2512334.2403159901</v>
      </c>
      <c r="AV36">
        <v>6506446.6379612898</v>
      </c>
      <c r="AW36">
        <v>23.716228502806501</v>
      </c>
      <c r="AX36">
        <v>3956060.4386927001</v>
      </c>
      <c r="AY36">
        <v>10245410.713212401</v>
      </c>
      <c r="AZ36">
        <v>23.716228502806501</v>
      </c>
      <c r="BA36">
        <v>3956060.4386927001</v>
      </c>
      <c r="BB36">
        <v>10245410.713212401</v>
      </c>
      <c r="BC36">
        <v>15.0612190693548</v>
      </c>
      <c r="BD36">
        <v>2512334.2403159901</v>
      </c>
      <c r="BE36">
        <v>6506446.6379612898</v>
      </c>
      <c r="BF36">
        <v>15.0612190693548</v>
      </c>
      <c r="BG36">
        <v>2512334.2403159901</v>
      </c>
      <c r="BH36">
        <v>6506446.6379612898</v>
      </c>
      <c r="BI36">
        <v>23.716228502806501</v>
      </c>
      <c r="BJ36">
        <v>3956060.4386927001</v>
      </c>
      <c r="BK36">
        <v>10245410.713212401</v>
      </c>
      <c r="BL36">
        <v>23.716228502806501</v>
      </c>
      <c r="BM36">
        <v>3956060.4386927001</v>
      </c>
      <c r="BN36">
        <v>10245410.713212401</v>
      </c>
      <c r="BO36">
        <v>15.0612190693548</v>
      </c>
      <c r="BP36">
        <v>2512334.2403159901</v>
      </c>
      <c r="BQ36">
        <v>6506446.6379612898</v>
      </c>
      <c r="BR36">
        <v>15.0612190693548</v>
      </c>
      <c r="BS36">
        <v>2512334.2403159901</v>
      </c>
      <c r="BT36">
        <v>6506446.6379612898</v>
      </c>
      <c r="BU36">
        <v>52837578.828362301</v>
      </c>
      <c r="BV36">
        <v>122.309210250839</v>
      </c>
      <c r="BW36">
        <v>20402174.312995501</v>
      </c>
      <c r="BX36">
        <v>52837578.828362301</v>
      </c>
      <c r="BY36">
        <v>122.309210250839</v>
      </c>
      <c r="BZ36">
        <v>20402174.312995501</v>
      </c>
      <c r="CA36">
        <v>52837578.828362301</v>
      </c>
      <c r="CB36">
        <v>122.309210250839</v>
      </c>
      <c r="CC36">
        <v>20402174.312995501</v>
      </c>
      <c r="CD36">
        <v>52837578.828362301</v>
      </c>
      <c r="CE36">
        <v>3773179.8574618599</v>
      </c>
      <c r="CF36">
        <v>8575408.7669587694</v>
      </c>
      <c r="CG36">
        <v>3773179.8574618599</v>
      </c>
      <c r="CH36">
        <v>8575408.7669587694</v>
      </c>
      <c r="CI36">
        <v>2396194.1678283801</v>
      </c>
      <c r="CJ36">
        <v>5445895.8359735999</v>
      </c>
      <c r="CK36">
        <v>2396194.1678283801</v>
      </c>
      <c r="CL36">
        <v>5445895.8359735999</v>
      </c>
      <c r="CM36">
        <v>3773179.8574618599</v>
      </c>
      <c r="CN36">
        <v>8575408.7669587694</v>
      </c>
      <c r="CO36">
        <v>3773179.8574618599</v>
      </c>
      <c r="CP36">
        <v>8575408.7669587694</v>
      </c>
      <c r="CQ36">
        <v>2396194.1678283801</v>
      </c>
      <c r="CR36">
        <v>5445895.8359735999</v>
      </c>
      <c r="CS36">
        <v>2396194.1678283801</v>
      </c>
      <c r="CT36">
        <v>5445895.8359735999</v>
      </c>
      <c r="CU36">
        <v>3773179.8574618599</v>
      </c>
      <c r="CV36">
        <v>8575408.7669587694</v>
      </c>
      <c r="CW36">
        <v>3773179.8574618599</v>
      </c>
      <c r="CX36">
        <v>8575408.7669587694</v>
      </c>
      <c r="CY36">
        <v>2396194.1678283801</v>
      </c>
      <c r="CZ36">
        <v>5445895.8359735999</v>
      </c>
      <c r="DA36">
        <v>2396194.1678283801</v>
      </c>
      <c r="DB36">
        <v>5445895.8359735999</v>
      </c>
      <c r="DC36">
        <v>19459023.5309093</v>
      </c>
      <c r="DD36">
        <v>44225053.479339302</v>
      </c>
      <c r="DE36">
        <v>19459023.5309093</v>
      </c>
      <c r="DF36">
        <v>44225053.479339302</v>
      </c>
      <c r="DG36">
        <v>19459023.5309093</v>
      </c>
      <c r="DH36">
        <v>44225053.479339302</v>
      </c>
      <c r="DI36">
        <v>3215778.2876095399</v>
      </c>
      <c r="DJ36">
        <v>6431556.5752190799</v>
      </c>
      <c r="DK36">
        <v>3215778.2876095399</v>
      </c>
      <c r="DL36">
        <v>6431556.5752190799</v>
      </c>
      <c r="DM36">
        <v>2042210.9384901</v>
      </c>
      <c r="DN36">
        <v>4084421.8769801999</v>
      </c>
      <c r="DO36">
        <v>2042210.9384901</v>
      </c>
      <c r="DP36">
        <v>4084421.8769801999</v>
      </c>
      <c r="DQ36">
        <v>3215778.2876095399</v>
      </c>
      <c r="DR36">
        <v>6431556.5752190799</v>
      </c>
      <c r="DS36">
        <v>3215778.2876095399</v>
      </c>
      <c r="DT36">
        <v>6431556.5752190799</v>
      </c>
      <c r="DU36">
        <v>2042210.9384901</v>
      </c>
      <c r="DV36">
        <v>4084421.8769801999</v>
      </c>
      <c r="DW36">
        <v>2042210.9384901</v>
      </c>
      <c r="DX36">
        <v>4084421.8769801999</v>
      </c>
      <c r="DY36">
        <v>3215778.2876095399</v>
      </c>
      <c r="DZ36">
        <v>6431556.5752190799</v>
      </c>
      <c r="EA36">
        <v>3215778.2876095399</v>
      </c>
      <c r="EB36">
        <v>6431556.5752190799</v>
      </c>
      <c r="EC36">
        <v>2042210.9384901</v>
      </c>
      <c r="ED36">
        <v>4084421.8769801999</v>
      </c>
      <c r="EE36">
        <v>2042210.9384901</v>
      </c>
      <c r="EF36">
        <v>4084421.8769801999</v>
      </c>
      <c r="EG36">
        <v>16584395.054752201</v>
      </c>
      <c r="EH36">
        <v>33168790.109504402</v>
      </c>
      <c r="EI36">
        <v>16584395.054752201</v>
      </c>
      <c r="EJ36">
        <v>33168790.109504402</v>
      </c>
      <c r="EK36">
        <v>16584395.054752201</v>
      </c>
      <c r="EL36">
        <v>33168790.109504402</v>
      </c>
      <c r="EM36">
        <v>3006.10137229253</v>
      </c>
      <c r="EN36">
        <v>4979.3869197382</v>
      </c>
      <c r="EO36">
        <v>5446.8230970340601</v>
      </c>
      <c r="EP36">
        <v>1945.5782447461499</v>
      </c>
      <c r="EQ36">
        <v>0</v>
      </c>
      <c r="ER36">
        <v>3222.5013261904201</v>
      </c>
      <c r="ES36">
        <v>5342.55796386367</v>
      </c>
      <c r="ET36">
        <v>5827.7961539331</v>
      </c>
      <c r="EU36">
        <v>8.9012502955848092</v>
      </c>
      <c r="EV36">
        <v>2077.3372056108601</v>
      </c>
      <c r="EW36">
        <v>0</v>
      </c>
      <c r="EX36">
        <v>3192.76095468417</v>
      </c>
      <c r="EY36">
        <v>16.521821713867201</v>
      </c>
      <c r="EZ36">
        <v>5311.3413168973402</v>
      </c>
      <c r="FA36">
        <v>5775.0861005731504</v>
      </c>
      <c r="FB36">
        <v>8.9016450682678396</v>
      </c>
      <c r="FC36">
        <v>2056.21990372553</v>
      </c>
      <c r="FD36">
        <v>0</v>
      </c>
      <c r="FE36">
        <v>0</v>
      </c>
      <c r="FF36">
        <v>0</v>
      </c>
      <c r="FG36">
        <v>0</v>
      </c>
      <c r="FH36">
        <v>0</v>
      </c>
      <c r="FI36">
        <v>0</v>
      </c>
      <c r="FJ36">
        <v>0</v>
      </c>
      <c r="FK36">
        <v>0</v>
      </c>
      <c r="FL36">
        <v>0</v>
      </c>
      <c r="FM36">
        <v>0</v>
      </c>
      <c r="FN36">
        <v>0</v>
      </c>
      <c r="FO36">
        <v>2.45251372506161E-2</v>
      </c>
      <c r="FP36">
        <v>0</v>
      </c>
      <c r="FQ36">
        <v>3.7712464405102401E-3</v>
      </c>
      <c r="FR36">
        <v>0</v>
      </c>
      <c r="FS36">
        <v>2056.21990372553</v>
      </c>
      <c r="FT36">
        <v>0</v>
      </c>
      <c r="FU36">
        <v>442.76917453521799</v>
      </c>
      <c r="FV36">
        <v>0</v>
      </c>
      <c r="FW36">
        <v>0</v>
      </c>
      <c r="FX36">
        <v>0</v>
      </c>
      <c r="FY36">
        <v>2.45251372506161E-2</v>
      </c>
      <c r="FZ36">
        <v>0</v>
      </c>
      <c r="GA36">
        <v>3.7712464405102401E-3</v>
      </c>
      <c r="GB36">
        <v>104.960346194921</v>
      </c>
      <c r="GC36">
        <v>170.04359780123599</v>
      </c>
      <c r="GD36">
        <v>27.578167093464099</v>
      </c>
      <c r="GE36">
        <v>319.33165728422199</v>
      </c>
      <c r="GF36">
        <v>250.83522022948199</v>
      </c>
      <c r="GG36">
        <v>244.50592760475499</v>
      </c>
      <c r="GH36">
        <v>136.35569850176</v>
      </c>
      <c r="GI36">
        <v>237.90243097459401</v>
      </c>
      <c r="GJ36">
        <v>126.75902586651399</v>
      </c>
      <c r="GK36">
        <v>58.928323750678899</v>
      </c>
      <c r="GL36">
        <v>110.75802051030399</v>
      </c>
      <c r="GM36">
        <v>16.121304511323899</v>
      </c>
      <c r="GN36">
        <v>6.7546477713774902</v>
      </c>
      <c r="GO36">
        <v>25.6851772549449</v>
      </c>
      <c r="GP36">
        <v>26.092676473489799</v>
      </c>
      <c r="GQ36">
        <v>14.775959493642199</v>
      </c>
      <c r="GR36">
        <v>-67.652873939574903</v>
      </c>
      <c r="GS36">
        <v>-502.55473642885897</v>
      </c>
      <c r="GT36">
        <v>87.5854112903193</v>
      </c>
      <c r="GU36">
        <v>26.313211079367701</v>
      </c>
      <c r="GV36">
        <v>26.762226135732899</v>
      </c>
      <c r="GW36">
        <v>34.112296459176001</v>
      </c>
      <c r="GX36">
        <v>-50.927167259944497</v>
      </c>
      <c r="GY36">
        <v>-559.48237651413206</v>
      </c>
      <c r="GZ36">
        <v>20.173789065812802</v>
      </c>
      <c r="HA36">
        <v>25.767478061460601</v>
      </c>
      <c r="HB36">
        <v>26.2926742814535</v>
      </c>
      <c r="HC36">
        <v>54.312294053584701</v>
      </c>
      <c r="HD36">
        <v>-44.847690330094601</v>
      </c>
      <c r="HE36">
        <v>-576.43218234653</v>
      </c>
      <c r="HF36">
        <v>2.8384213093885</v>
      </c>
      <c r="HG36">
        <v>25.714581075391798</v>
      </c>
      <c r="HH36">
        <v>26.094971312223301</v>
      </c>
      <c r="HI36">
        <v>12.6163839128875</v>
      </c>
      <c r="HJ36">
        <v>-30.017374712257801</v>
      </c>
      <c r="HK36">
        <v>-266.02089870380098</v>
      </c>
      <c r="HL36">
        <v>212.31186430897199</v>
      </c>
      <c r="HM36">
        <v>26.240606889760699</v>
      </c>
      <c r="HN36">
        <v>26.067452568439101</v>
      </c>
      <c r="HO36">
        <v>294.890137925239</v>
      </c>
      <c r="HP36">
        <v>305.57554577970097</v>
      </c>
      <c r="HQ36">
        <v>26.283582320896102</v>
      </c>
      <c r="HR36">
        <v>210.722870651422</v>
      </c>
      <c r="HS36">
        <v>397.32867025403101</v>
      </c>
      <c r="HT36">
        <v>27.224713998238599</v>
      </c>
      <c r="HU36">
        <v>26.5162899434055</v>
      </c>
      <c r="HV36">
        <v>198.44737007174001</v>
      </c>
      <c r="HW36">
        <v>231.263685001857</v>
      </c>
      <c r="HX36">
        <v>27.562088862499401</v>
      </c>
      <c r="HY36">
        <v>215.26782294249099</v>
      </c>
      <c r="HZ36">
        <v>26.424284617588999</v>
      </c>
      <c r="IA36">
        <v>26.176497577439001</v>
      </c>
      <c r="IB36">
        <v>343.15364956607402</v>
      </c>
      <c r="IC36">
        <v>263.12084031522699</v>
      </c>
      <c r="ID36">
        <v>315.749488706958</v>
      </c>
      <c r="IE36">
        <v>26.452495174451901</v>
      </c>
      <c r="IF36">
        <v>269.91218785396399</v>
      </c>
      <c r="IG36">
        <v>48.304430193383503</v>
      </c>
      <c r="IH36">
        <v>26.247239291620499</v>
      </c>
      <c r="II36">
        <v>26.102066801794301</v>
      </c>
      <c r="IJ36">
        <v>178.227827294061</v>
      </c>
      <c r="IK36">
        <v>50.683822961526303</v>
      </c>
      <c r="IL36">
        <v>134.536596774825</v>
      </c>
      <c r="IM36">
        <v>199.15761516119801</v>
      </c>
      <c r="IN36">
        <v>26.285094326935599</v>
      </c>
      <c r="IO36">
        <v>0.73060453777578604</v>
      </c>
      <c r="IP36">
        <v>135.485947495521</v>
      </c>
      <c r="IQ36">
        <v>276.477271092038</v>
      </c>
      <c r="IR36">
        <v>234.64437096091899</v>
      </c>
      <c r="IS36">
        <v>302.09581485148601</v>
      </c>
      <c r="IT36">
        <v>169.97174328529101</v>
      </c>
      <c r="IU36">
        <v>584.97836302137796</v>
      </c>
      <c r="IV36">
        <v>35.9838898070239</v>
      </c>
      <c r="IW36">
        <v>25.787273446362899</v>
      </c>
      <c r="IX36">
        <v>26.283582320896102</v>
      </c>
      <c r="IY36">
        <v>183.53402343751699</v>
      </c>
      <c r="IZ36">
        <v>36.792295107904401</v>
      </c>
      <c r="JA36">
        <v>-308.51170915381402</v>
      </c>
      <c r="JB36">
        <v>123.012430376932</v>
      </c>
      <c r="JC36">
        <v>26.745243321874799</v>
      </c>
      <c r="JD36">
        <v>27.562088862499401</v>
      </c>
      <c r="JE36">
        <v>218.34475079913901</v>
      </c>
      <c r="JF36">
        <v>27.782673111924399</v>
      </c>
      <c r="JG36">
        <v>-495.57039348556401</v>
      </c>
      <c r="JH36">
        <v>59.042150737914</v>
      </c>
      <c r="JI36">
        <v>25.81724718121</v>
      </c>
      <c r="JJ36">
        <v>26.452495174451901</v>
      </c>
      <c r="JK36">
        <v>270.06922494156402</v>
      </c>
      <c r="JL36">
        <v>65.067873373530901</v>
      </c>
      <c r="JM36">
        <v>-339.66845707352201</v>
      </c>
      <c r="JN36">
        <v>22.153447569620798</v>
      </c>
      <c r="JO36">
        <v>25.8138858936452</v>
      </c>
      <c r="JP36">
        <v>26.285094326935599</v>
      </c>
      <c r="JQ36">
        <v>1.3204920657800601</v>
      </c>
      <c r="JR36">
        <v>123.51496367461699</v>
      </c>
      <c r="JS36">
        <v>0.56854932451059703</v>
      </c>
      <c r="JT36">
        <v>31.625696985663101</v>
      </c>
      <c r="JU36">
        <v>-142.67645224394801</v>
      </c>
      <c r="JV36">
        <v>255.708985096232</v>
      </c>
      <c r="JW36">
        <v>455.27508513106301</v>
      </c>
      <c r="JX36">
        <v>421.985250586581</v>
      </c>
      <c r="JY36">
        <v>426.30390559699202</v>
      </c>
      <c r="JZ36">
        <v>369.50349817151903</v>
      </c>
      <c r="KA36">
        <v>371.03764152442398</v>
      </c>
      <c r="KB36">
        <v>303.50709538330199</v>
      </c>
      <c r="KC36">
        <v>485.64477102630502</v>
      </c>
      <c r="KD36">
        <v>479.62124778309197</v>
      </c>
      <c r="KE36">
        <v>159.522611781428</v>
      </c>
      <c r="KF36">
        <v>28.7119509491237</v>
      </c>
      <c r="KG36">
        <v>431.40095915247798</v>
      </c>
      <c r="KH36">
        <v>1.06465938841463</v>
      </c>
      <c r="KI36">
        <v>285.695468839949</v>
      </c>
      <c r="KJ36">
        <v>257.482207491407</v>
      </c>
      <c r="KK36">
        <v>113.91787855987199</v>
      </c>
      <c r="KL36">
        <v>27.513298897789198</v>
      </c>
      <c r="KM36">
        <v>27.077523032478801</v>
      </c>
      <c r="KN36">
        <v>646.10785899157804</v>
      </c>
      <c r="KO36">
        <v>28.710615377179298</v>
      </c>
      <c r="KP36">
        <v>63.715456176163002</v>
      </c>
      <c r="KQ36">
        <v>669.80208272436596</v>
      </c>
      <c r="KR36">
        <v>2012.50136925266</v>
      </c>
      <c r="KS36">
        <v>199.859970530147</v>
      </c>
      <c r="KT36">
        <v>28.5608567777698</v>
      </c>
      <c r="KU36">
        <v>28.356174777708802</v>
      </c>
      <c r="KV36">
        <v>589.28239668194897</v>
      </c>
      <c r="KW36">
        <v>29.667625540192599</v>
      </c>
      <c r="KX36">
        <v>63.426158073828098</v>
      </c>
      <c r="KY36">
        <v>511.212882696745</v>
      </c>
      <c r="KZ36">
        <v>1243.8311237190201</v>
      </c>
      <c r="LA36">
        <v>143.93008690481301</v>
      </c>
      <c r="LB36">
        <v>27.480335320281199</v>
      </c>
      <c r="LC36">
        <v>27.2114832314433</v>
      </c>
      <c r="LD36">
        <v>765.10911334672198</v>
      </c>
      <c r="LE36">
        <v>28.633508620956</v>
      </c>
      <c r="LF36">
        <v>63.7140692667612</v>
      </c>
      <c r="LG36">
        <v>727.15228012607599</v>
      </c>
      <c r="LH36">
        <v>2011.1838922822801</v>
      </c>
      <c r="LI36">
        <v>68.542359724192494</v>
      </c>
      <c r="LJ36">
        <v>27.396237441287902</v>
      </c>
      <c r="LK36">
        <v>27.0072976717336</v>
      </c>
      <c r="LL36">
        <v>392.83703078644902</v>
      </c>
      <c r="LM36">
        <v>28.540845126391801</v>
      </c>
      <c r="LN36">
        <v>62.183297223280903</v>
      </c>
      <c r="LO36">
        <v>404.36760145482702</v>
      </c>
      <c r="LP36">
        <v>1223.9518942034399</v>
      </c>
      <c r="LQ36">
        <v>62.501105679463201</v>
      </c>
      <c r="LR36">
        <v>20.117599647779301</v>
      </c>
      <c r="LS36">
        <v>16.420999999999999</v>
      </c>
      <c r="LT36">
        <v>351.52210234068502</v>
      </c>
      <c r="LU36">
        <v>-1185.5985450346</v>
      </c>
      <c r="LV36">
        <v>21.669789277181302</v>
      </c>
      <c r="LW36">
        <v>24.7620423781126</v>
      </c>
      <c r="LX36">
        <v>871.98779166191696</v>
      </c>
      <c r="LY36">
        <v>102.056361961511</v>
      </c>
      <c r="LZ36">
        <v>20.209269101647099</v>
      </c>
      <c r="MA36">
        <v>16.420999999999999</v>
      </c>
      <c r="MB36">
        <v>263.76261799298697</v>
      </c>
      <c r="MC36">
        <v>-917.44403850995798</v>
      </c>
      <c r="MD36">
        <v>22.007696803387599</v>
      </c>
      <c r="ME36">
        <v>25.433208998429201</v>
      </c>
      <c r="MF36">
        <v>645.82127154813304</v>
      </c>
      <c r="MG36">
        <v>76.566534891681897</v>
      </c>
      <c r="MH36">
        <v>20.106242272054999</v>
      </c>
      <c r="MI36">
        <v>16.420999999999999</v>
      </c>
      <c r="MJ36">
        <v>419.45443852703698</v>
      </c>
      <c r="MK36">
        <v>-1139.16731536868</v>
      </c>
      <c r="ML36">
        <v>21.672998014073698</v>
      </c>
      <c r="MM36">
        <v>24.9570176323083</v>
      </c>
      <c r="MN36">
        <v>933.49571231816299</v>
      </c>
      <c r="MO36">
        <v>40.240566391474701</v>
      </c>
      <c r="MP36">
        <v>20.1639151727375</v>
      </c>
      <c r="MQ36">
        <v>16.420999999999999</v>
      </c>
      <c r="MR36">
        <v>238.274682549868</v>
      </c>
      <c r="MS36">
        <v>-712.37313696396495</v>
      </c>
      <c r="MT36">
        <v>21.685996493208101</v>
      </c>
      <c r="MU36">
        <v>24.7657072159606</v>
      </c>
      <c r="MV36">
        <v>558.99972604153697</v>
      </c>
      <c r="MW36">
        <v>93.4101562381543</v>
      </c>
      <c r="MX36">
        <v>23.360921863172099</v>
      </c>
      <c r="MY36">
        <v>25.281038817637999</v>
      </c>
      <c r="MZ36">
        <v>1722.30116853908</v>
      </c>
      <c r="NA36">
        <v>1732.39737190235</v>
      </c>
      <c r="NB36">
        <v>23.413612093286002</v>
      </c>
      <c r="NC36">
        <v>25.545885344482699</v>
      </c>
      <c r="ND36">
        <v>1731.38717718303</v>
      </c>
      <c r="NE36">
        <v>127.03640750789</v>
      </c>
      <c r="NF36">
        <v>23.533138163269701</v>
      </c>
      <c r="NG36">
        <v>25.7177004863698</v>
      </c>
      <c r="NH36">
        <v>1251.06156076765</v>
      </c>
      <c r="NI36">
        <v>1031.14133803608</v>
      </c>
      <c r="NJ36">
        <v>23.877878591902199</v>
      </c>
      <c r="NK36">
        <v>26.7596004249658</v>
      </c>
      <c r="NL36">
        <v>1378.0583603397999</v>
      </c>
      <c r="NM36">
        <v>111.47733776630101</v>
      </c>
      <c r="NN36">
        <v>23.239183355300401</v>
      </c>
      <c r="NO36">
        <v>25.2816119111429</v>
      </c>
      <c r="NP36">
        <v>1870.20320686737</v>
      </c>
      <c r="NQ36">
        <v>1862.3374907124601</v>
      </c>
      <c r="NR36">
        <v>23.3025543887378</v>
      </c>
      <c r="NS36">
        <v>25.703485084285401</v>
      </c>
      <c r="NT36">
        <v>1883.9728655074</v>
      </c>
      <c r="NU36">
        <v>61.544554220929598</v>
      </c>
      <c r="NV36">
        <v>23.428729085482999</v>
      </c>
      <c r="NW36">
        <v>25.3569560271985</v>
      </c>
      <c r="NX36">
        <v>3.06144631560083</v>
      </c>
      <c r="NY36">
        <v>1125.5347202472501</v>
      </c>
      <c r="NZ36">
        <v>1166.26465911324</v>
      </c>
      <c r="OA36">
        <v>23.437151700490801</v>
      </c>
      <c r="OB36">
        <v>25.5488781057926</v>
      </c>
      <c r="OC36">
        <v>3.0152834383110898</v>
      </c>
      <c r="OD36">
        <v>1112.1050316589799</v>
      </c>
      <c r="OE36">
        <v>3.06144631560083</v>
      </c>
      <c r="OF36">
        <v>3.0152834383110898</v>
      </c>
      <c r="OG36">
        <v>93.866526042575103</v>
      </c>
      <c r="OH36">
        <v>23.417135131776099</v>
      </c>
      <c r="OI36">
        <v>25.462943195756399</v>
      </c>
      <c r="OJ36">
        <v>1909.8301217226301</v>
      </c>
      <c r="OK36">
        <v>1980.63351479945</v>
      </c>
      <c r="OL36">
        <v>23.410211078035701</v>
      </c>
      <c r="OM36">
        <v>25.7278759200317</v>
      </c>
      <c r="ON36">
        <v>1940.46374263037</v>
      </c>
      <c r="OO36">
        <v>125.426269295285</v>
      </c>
      <c r="OP36">
        <v>23.597049339695101</v>
      </c>
      <c r="OQ36">
        <v>26.089452492255401</v>
      </c>
      <c r="OR36">
        <v>1376.9594263699601</v>
      </c>
      <c r="OS36">
        <v>1219.46778330499</v>
      </c>
      <c r="OT36">
        <v>23.8456364321862</v>
      </c>
      <c r="OU36">
        <v>26.889718458735299</v>
      </c>
      <c r="OV36">
        <v>1521.62614047886</v>
      </c>
      <c r="OW36">
        <v>110.48068492355701</v>
      </c>
      <c r="OX36">
        <v>23.3096949694269</v>
      </c>
      <c r="OY36">
        <v>25.446075469262698</v>
      </c>
      <c r="OZ36">
        <v>2046.5172048454999</v>
      </c>
      <c r="PA36">
        <v>2100.4067994461602</v>
      </c>
      <c r="PB36">
        <v>23.311862290383601</v>
      </c>
      <c r="PC36">
        <v>25.871908438767001</v>
      </c>
      <c r="PD36">
        <v>2086.4175139265099</v>
      </c>
      <c r="PE36">
        <v>61.595912927568897</v>
      </c>
      <c r="PF36">
        <v>23.4807123746134</v>
      </c>
      <c r="PG36">
        <v>25.541981093826699</v>
      </c>
      <c r="PH36">
        <v>3.3440760996596501</v>
      </c>
      <c r="PI36">
        <v>1242.47778967315</v>
      </c>
      <c r="PJ36">
        <v>1323.58007445422</v>
      </c>
      <c r="PK36">
        <v>23.425997775635899</v>
      </c>
      <c r="PL36">
        <v>25.712028145650802</v>
      </c>
      <c r="PM36">
        <v>3.4068394163142601</v>
      </c>
      <c r="PN36">
        <v>1239.6611422359399</v>
      </c>
      <c r="PO36">
        <v>25.911275229685899</v>
      </c>
      <c r="PP36">
        <v>26.851141819464399</v>
      </c>
      <c r="PQ36">
        <v>26.286017506352</v>
      </c>
      <c r="PR36">
        <v>25.944955761712599</v>
      </c>
      <c r="PS36">
        <v>25.193961548429399</v>
      </c>
      <c r="PT36">
        <v>26.268955304887001</v>
      </c>
      <c r="PU36">
        <v>27.822376051721999</v>
      </c>
      <c r="PV36">
        <v>26.605750460437299</v>
      </c>
      <c r="PW36">
        <v>26.295836320814502</v>
      </c>
      <c r="PX36">
        <v>25.6662016372706</v>
      </c>
      <c r="PY36">
        <v>26.632738411289999</v>
      </c>
      <c r="PZ36">
        <v>28.151875289861099</v>
      </c>
      <c r="QA36">
        <v>26.946992379645799</v>
      </c>
      <c r="QB36">
        <v>26.6191119720859</v>
      </c>
      <c r="QC36">
        <v>26.309048381256201</v>
      </c>
      <c r="QD36">
        <v>22.241863453801599</v>
      </c>
      <c r="QE36">
        <v>25.980795655361401</v>
      </c>
      <c r="QF36">
        <v>28.591566139512398</v>
      </c>
      <c r="QG36">
        <v>26.381587777250399</v>
      </c>
      <c r="QH36">
        <v>26.009161462555198</v>
      </c>
      <c r="QI36">
        <v>25.1005601323875</v>
      </c>
      <c r="QJ36">
        <v>25.8508089805369</v>
      </c>
      <c r="QK36">
        <v>27.258620128843699</v>
      </c>
      <c r="QL36">
        <v>26.118489976991299</v>
      </c>
      <c r="QM36">
        <v>25.861544892416401</v>
      </c>
      <c r="QN36">
        <v>1576.6553079741</v>
      </c>
      <c r="QO36">
        <v>25.2533435908557</v>
      </c>
      <c r="QP36">
        <v>5102.0759682857597</v>
      </c>
      <c r="QQ36">
        <v>26.0170940715192</v>
      </c>
      <c r="QR36">
        <v>27.400318570051098</v>
      </c>
      <c r="QS36">
        <v>26.278221628111499</v>
      </c>
      <c r="QT36">
        <v>26.005848510306802</v>
      </c>
      <c r="QU36">
        <v>25.594853025482699</v>
      </c>
      <c r="QV36">
        <v>18.4504121004301</v>
      </c>
      <c r="QW36">
        <v>0</v>
      </c>
      <c r="QX36">
        <v>253420.189628833</v>
      </c>
      <c r="QY36">
        <v>0</v>
      </c>
      <c r="QZ36">
        <v>139516.51813853701</v>
      </c>
      <c r="RA36">
        <v>0</v>
      </c>
      <c r="RB36">
        <v>67705.018227961002</v>
      </c>
      <c r="RC36">
        <v>0</v>
      </c>
      <c r="RD36">
        <v>44326.137059907698</v>
      </c>
      <c r="RE36">
        <v>0</v>
      </c>
      <c r="RF36">
        <v>88331.577692867999</v>
      </c>
      <c r="RG36">
        <v>0</v>
      </c>
      <c r="RH36">
        <v>52417.722634739999</v>
      </c>
      <c r="RI36">
        <v>0</v>
      </c>
      <c r="RJ36">
        <v>5290.3040034844798</v>
      </c>
      <c r="RK36">
        <v>26.0503160810369</v>
      </c>
      <c r="RL36">
        <v>-5276.9601405002404</v>
      </c>
      <c r="RM36">
        <v>-13003.3154199686</v>
      </c>
      <c r="RN36">
        <v>-5276.9601405002404</v>
      </c>
      <c r="RO36">
        <v>0</v>
      </c>
      <c r="RP36">
        <v>4352.3679271888896</v>
      </c>
      <c r="RQ36">
        <v>30.331990459560402</v>
      </c>
      <c r="RR36">
        <v>-4312.7914448134597</v>
      </c>
      <c r="RS36">
        <v>-7378.4637926653204</v>
      </c>
      <c r="RT36">
        <v>-4312.7914448134597</v>
      </c>
      <c r="RU36">
        <v>0</v>
      </c>
      <c r="RV36">
        <v>6487.9062942515002</v>
      </c>
      <c r="RW36">
        <v>26.477158048148802</v>
      </c>
      <c r="RX36">
        <v>-6524.2796162764698</v>
      </c>
      <c r="RY36">
        <v>-13650.316514767601</v>
      </c>
      <c r="RZ36">
        <v>-6524.2796162764698</v>
      </c>
      <c r="SA36">
        <v>0</v>
      </c>
      <c r="SB36">
        <v>3460.93436230203</v>
      </c>
      <c r="SC36">
        <v>26.073367163397801</v>
      </c>
      <c r="SD36">
        <v>-3452.4901154738</v>
      </c>
      <c r="SE36">
        <v>-8331.9243576674507</v>
      </c>
      <c r="SF36">
        <v>-3452.4901154738</v>
      </c>
      <c r="SG36">
        <v>0</v>
      </c>
      <c r="SH36">
        <v>19386.159091824898</v>
      </c>
      <c r="SI36">
        <v>25.0071587163456</v>
      </c>
      <c r="SJ36">
        <v>-19451.8403155003</v>
      </c>
      <c r="SK36">
        <v>-41711.799803591697</v>
      </c>
      <c r="SL36">
        <v>-19451.8403155003</v>
      </c>
      <c r="SM36">
        <v>21.1111</v>
      </c>
      <c r="SN36">
        <v>23.8889</v>
      </c>
      <c r="SO36">
        <v>39.7095508802404</v>
      </c>
      <c r="SP36">
        <v>0</v>
      </c>
      <c r="SQ36">
        <v>25.5984950715286</v>
      </c>
      <c r="SR36">
        <v>0</v>
      </c>
      <c r="SS36">
        <v>0</v>
      </c>
      <c r="ST36">
        <v>0</v>
      </c>
      <c r="SU36">
        <v>0</v>
      </c>
      <c r="SV36">
        <v>56.976871617056098</v>
      </c>
      <c r="SW36">
        <v>26.1011514370248</v>
      </c>
      <c r="SX36">
        <v>0</v>
      </c>
      <c r="SY36">
        <v>0</v>
      </c>
      <c r="SZ36">
        <v>0</v>
      </c>
      <c r="TA36">
        <v>0</v>
      </c>
      <c r="TB36">
        <v>44.284316944371298</v>
      </c>
      <c r="TC36">
        <v>25.513578650247901</v>
      </c>
      <c r="TD36">
        <v>0</v>
      </c>
      <c r="TE36">
        <v>0</v>
      </c>
      <c r="TF36">
        <v>0</v>
      </c>
      <c r="TG36">
        <v>9.6777360172982299</v>
      </c>
      <c r="TH36">
        <v>0</v>
      </c>
      <c r="TI36">
        <v>25.603149688266701</v>
      </c>
      <c r="TJ36">
        <v>0</v>
      </c>
      <c r="TK36">
        <v>0</v>
      </c>
      <c r="TL36">
        <v>0</v>
      </c>
      <c r="TM36">
        <v>764.86144772460102</v>
      </c>
      <c r="TN36">
        <v>0</v>
      </c>
      <c r="TO36">
        <v>25.414371176382499</v>
      </c>
      <c r="TP36">
        <v>0</v>
      </c>
      <c r="TQ36">
        <v>0</v>
      </c>
      <c r="TR36">
        <v>0</v>
      </c>
      <c r="TS36">
        <v>0</v>
      </c>
      <c r="TT36">
        <v>6312.1070906672103</v>
      </c>
      <c r="TU36">
        <v>25.4326626561868</v>
      </c>
      <c r="TV36">
        <v>-6283.2785562918698</v>
      </c>
      <c r="TW36">
        <v>-13716.1084428017</v>
      </c>
      <c r="TX36">
        <v>-6283.2785562918698</v>
      </c>
      <c r="TY36">
        <v>0</v>
      </c>
      <c r="TZ36">
        <v>5902.9496631973298</v>
      </c>
      <c r="UA36">
        <v>26.694864205965299</v>
      </c>
      <c r="UB36">
        <v>-5875.6428978786298</v>
      </c>
      <c r="UC36">
        <v>-9906.5960907996305</v>
      </c>
      <c r="UD36">
        <v>-5875.6428978786298</v>
      </c>
      <c r="UE36">
        <v>0</v>
      </c>
      <c r="UF36">
        <v>7414.5299972797102</v>
      </c>
      <c r="UG36">
        <v>25.631229493545298</v>
      </c>
      <c r="UH36">
        <v>-7370.4594192661698</v>
      </c>
      <c r="UI36">
        <v>-14111.0934336358</v>
      </c>
      <c r="UJ36">
        <v>-7370.4594192661698</v>
      </c>
      <c r="UK36">
        <v>0</v>
      </c>
      <c r="UL36">
        <v>4107.3770292106901</v>
      </c>
      <c r="UM36">
        <v>25.4272534640182</v>
      </c>
      <c r="UN36">
        <v>-4087.77863337395</v>
      </c>
      <c r="UO36">
        <v>-8805.5415663994609</v>
      </c>
      <c r="UP36">
        <v>-4087.77863337395</v>
      </c>
      <c r="UQ36">
        <v>0</v>
      </c>
      <c r="UR36">
        <v>22199.1454004021</v>
      </c>
      <c r="US36">
        <v>24.840485544440899</v>
      </c>
      <c r="UT36">
        <v>-22250.5947032597</v>
      </c>
      <c r="UU36">
        <v>-44673.599875578002</v>
      </c>
      <c r="UV36">
        <v>-22250.5947032597</v>
      </c>
      <c r="UW36">
        <v>21.1111</v>
      </c>
      <c r="UX36">
        <v>23.8889</v>
      </c>
      <c r="UY36">
        <v>0</v>
      </c>
      <c r="UZ36">
        <v>291.354552392117</v>
      </c>
      <c r="VA36">
        <v>25.159238649337901</v>
      </c>
      <c r="VB36">
        <v>0</v>
      </c>
      <c r="VC36">
        <v>0</v>
      </c>
      <c r="VD36">
        <v>0</v>
      </c>
      <c r="VE36">
        <v>0</v>
      </c>
      <c r="VF36">
        <v>386.17600290566202</v>
      </c>
      <c r="VG36">
        <v>25.747559002815699</v>
      </c>
      <c r="VH36">
        <v>0</v>
      </c>
      <c r="VI36">
        <v>0</v>
      </c>
      <c r="VJ36">
        <v>0</v>
      </c>
      <c r="VK36">
        <v>0</v>
      </c>
      <c r="VL36">
        <v>435.44081646946898</v>
      </c>
      <c r="VM36">
        <v>24.973536520316699</v>
      </c>
      <c r="VN36">
        <v>0</v>
      </c>
      <c r="VO36">
        <v>0</v>
      </c>
      <c r="VP36">
        <v>0</v>
      </c>
      <c r="VQ36">
        <v>0</v>
      </c>
      <c r="VR36">
        <v>200.56843479532299</v>
      </c>
      <c r="VS36">
        <v>25.158153300514599</v>
      </c>
      <c r="VT36">
        <v>0</v>
      </c>
      <c r="VU36">
        <v>0</v>
      </c>
      <c r="VV36">
        <v>0</v>
      </c>
      <c r="VW36">
        <v>0</v>
      </c>
      <c r="VX36">
        <v>403.03117229422799</v>
      </c>
      <c r="VY36">
        <v>25.2720784959313</v>
      </c>
      <c r="VZ36">
        <v>0</v>
      </c>
      <c r="WA36">
        <v>0</v>
      </c>
      <c r="WB36">
        <v>0</v>
      </c>
      <c r="WC36">
        <v>0</v>
      </c>
      <c r="WD36">
        <v>6940.9568826213799</v>
      </c>
      <c r="WE36">
        <v>25.4014497317485</v>
      </c>
      <c r="WF36">
        <v>-6913.31246133691</v>
      </c>
      <c r="WG36">
        <v>-14361.8616221995</v>
      </c>
      <c r="WH36">
        <v>-6913.31246133691</v>
      </c>
      <c r="WI36">
        <v>22702435.988530099</v>
      </c>
      <c r="WJ36">
        <v>0</v>
      </c>
      <c r="WK36">
        <v>6306.2322190361501</v>
      </c>
      <c r="WL36">
        <v>26.648761850241101</v>
      </c>
      <c r="WM36">
        <v>-6278.8768687010397</v>
      </c>
      <c r="WN36">
        <v>-10313.3031571595</v>
      </c>
      <c r="WO36">
        <v>-6278.8768687010397</v>
      </c>
      <c r="WP36">
        <v>18.333300000000001</v>
      </c>
      <c r="WQ36">
        <v>23.8889</v>
      </c>
      <c r="WR36">
        <v>0</v>
      </c>
      <c r="WS36">
        <v>8020.47762554357</v>
      </c>
      <c r="WT36">
        <v>25.609450876577199</v>
      </c>
      <c r="WU36">
        <v>-7983.8883729044401</v>
      </c>
      <c r="WV36">
        <v>-14780.088199826499</v>
      </c>
      <c r="WW36">
        <v>-7983.8883729044401</v>
      </c>
      <c r="WX36">
        <v>16096724.1304089</v>
      </c>
      <c r="WY36">
        <v>0</v>
      </c>
      <c r="WZ36">
        <v>4471.3122584469202</v>
      </c>
      <c r="XA36">
        <v>25.392585048527799</v>
      </c>
      <c r="XB36">
        <v>-4452.49070633678</v>
      </c>
      <c r="XC36">
        <v>-9181.2347961709693</v>
      </c>
      <c r="XD36">
        <v>-4452.49070633678</v>
      </c>
      <c r="XE36">
        <v>0</v>
      </c>
      <c r="XF36">
        <v>26009.622695829199</v>
      </c>
      <c r="XG36">
        <v>24.880657669709102</v>
      </c>
      <c r="XH36">
        <v>-26062.6602189968</v>
      </c>
      <c r="XI36">
        <v>-48311.247969455697</v>
      </c>
      <c r="XJ36">
        <v>-26062.6602189968</v>
      </c>
      <c r="XK36">
        <v>21.1111</v>
      </c>
      <c r="XL36">
        <v>23.8889</v>
      </c>
      <c r="XM36">
        <v>0</v>
      </c>
      <c r="XN36">
        <v>1657.2645159871299</v>
      </c>
      <c r="XO36">
        <v>25.905618921991501</v>
      </c>
      <c r="XP36">
        <v>0</v>
      </c>
      <c r="XQ36">
        <v>0</v>
      </c>
      <c r="XR36">
        <v>0</v>
      </c>
      <c r="XS36">
        <v>0</v>
      </c>
      <c r="XT36">
        <v>1437.64386552069</v>
      </c>
      <c r="XU36">
        <v>26.462525500847299</v>
      </c>
      <c r="XV36">
        <v>0</v>
      </c>
      <c r="XW36">
        <v>0</v>
      </c>
      <c r="XX36">
        <v>0</v>
      </c>
      <c r="XY36">
        <v>0</v>
      </c>
      <c r="XZ36">
        <v>1893.8504436181199</v>
      </c>
      <c r="YA36">
        <v>25.639396705102801</v>
      </c>
      <c r="YB36">
        <v>0</v>
      </c>
      <c r="YC36">
        <v>0</v>
      </c>
      <c r="YD36">
        <v>0</v>
      </c>
      <c r="YE36">
        <v>0</v>
      </c>
      <c r="YF36">
        <v>1014.29832259879</v>
      </c>
      <c r="YG36">
        <v>25.841211239437101</v>
      </c>
      <c r="YH36">
        <v>0</v>
      </c>
      <c r="YI36">
        <v>0</v>
      </c>
      <c r="YJ36">
        <v>0</v>
      </c>
      <c r="YK36">
        <v>0</v>
      </c>
      <c r="YL36">
        <v>6707.0845584139497</v>
      </c>
      <c r="YM36">
        <v>26.288409074328701</v>
      </c>
      <c r="YN36">
        <v>0</v>
      </c>
      <c r="YO36">
        <v>0</v>
      </c>
      <c r="YP36">
        <v>0</v>
      </c>
      <c r="YQ36">
        <v>0</v>
      </c>
      <c r="YR36">
        <v>1342.7700947757501</v>
      </c>
      <c r="YS36">
        <v>19.331142694062599</v>
      </c>
      <c r="YT36">
        <v>0</v>
      </c>
      <c r="YU36">
        <v>0</v>
      </c>
      <c r="YV36">
        <v>0</v>
      </c>
      <c r="YW36">
        <v>0</v>
      </c>
      <c r="YX36">
        <v>1025.93934365204</v>
      </c>
      <c r="YY36">
        <v>19.326945077794299</v>
      </c>
      <c r="YZ36">
        <v>0</v>
      </c>
      <c r="ZA36">
        <v>0</v>
      </c>
      <c r="ZB36">
        <v>0</v>
      </c>
      <c r="ZC36">
        <v>0</v>
      </c>
      <c r="ZD36">
        <v>1514.5693716861899</v>
      </c>
      <c r="ZE36">
        <v>19.148276107762001</v>
      </c>
      <c r="ZF36">
        <v>0</v>
      </c>
      <c r="ZG36">
        <v>0</v>
      </c>
      <c r="ZH36">
        <v>0</v>
      </c>
      <c r="ZI36">
        <v>0</v>
      </c>
      <c r="ZJ36">
        <v>877.45973766898101</v>
      </c>
      <c r="ZK36">
        <v>19.3241011689706</v>
      </c>
      <c r="ZL36">
        <v>0</v>
      </c>
      <c r="ZM36">
        <v>0</v>
      </c>
      <c r="ZN36">
        <v>0</v>
      </c>
      <c r="ZO36">
        <v>0</v>
      </c>
      <c r="ZP36">
        <v>12324.099658512199</v>
      </c>
      <c r="ZQ36">
        <v>17.737050760362099</v>
      </c>
      <c r="ZR36">
        <v>0</v>
      </c>
      <c r="ZS36">
        <v>0</v>
      </c>
      <c r="ZT36">
        <v>0</v>
      </c>
      <c r="ZU36">
        <v>0</v>
      </c>
      <c r="ZV36">
        <v>3654.80377954189</v>
      </c>
      <c r="ZW36">
        <v>20.787301832756398</v>
      </c>
      <c r="ZX36">
        <v>0</v>
      </c>
      <c r="ZY36">
        <v>0</v>
      </c>
      <c r="ZZ36">
        <v>0</v>
      </c>
      <c r="AAA36">
        <v>0</v>
      </c>
      <c r="AAB36">
        <v>2788.7797976236898</v>
      </c>
      <c r="AAC36">
        <v>20.6453251208053</v>
      </c>
      <c r="AAD36">
        <v>0</v>
      </c>
      <c r="AAE36">
        <v>0</v>
      </c>
      <c r="AAF36">
        <v>0</v>
      </c>
      <c r="AAG36">
        <v>0</v>
      </c>
      <c r="AAH36">
        <v>4004.0275956864002</v>
      </c>
      <c r="AAI36">
        <v>20.4337695947724</v>
      </c>
      <c r="AAJ36">
        <v>0</v>
      </c>
      <c r="AAK36">
        <v>0</v>
      </c>
      <c r="AAL36">
        <v>0</v>
      </c>
      <c r="AAM36">
        <v>0</v>
      </c>
      <c r="AAN36">
        <v>2375.1545794646599</v>
      </c>
      <c r="AAO36">
        <v>20.779033666549601</v>
      </c>
      <c r="AAP36">
        <v>0</v>
      </c>
      <c r="AAQ36">
        <v>0</v>
      </c>
      <c r="AAR36">
        <v>0</v>
      </c>
      <c r="AAS36">
        <v>0</v>
      </c>
      <c r="AAT36">
        <v>26177.876115941101</v>
      </c>
      <c r="AAU36">
        <v>18.433827878610899</v>
      </c>
      <c r="AAV36">
        <v>0</v>
      </c>
      <c r="AAW36">
        <v>0</v>
      </c>
      <c r="AAX36">
        <v>0</v>
      </c>
      <c r="AAY36">
        <v>0</v>
      </c>
      <c r="AAZ36">
        <v>4064.5697733984598</v>
      </c>
      <c r="ABA36">
        <v>20.801372687780301</v>
      </c>
      <c r="ABB36">
        <v>0</v>
      </c>
      <c r="ABC36">
        <v>0</v>
      </c>
      <c r="ABD36">
        <v>0</v>
      </c>
      <c r="ABE36">
        <v>0</v>
      </c>
      <c r="ABF36">
        <v>3060.2734154288801</v>
      </c>
      <c r="ABG36">
        <v>20.682455907149201</v>
      </c>
      <c r="ABH36">
        <v>0</v>
      </c>
      <c r="ABI36">
        <v>0</v>
      </c>
      <c r="ABJ36">
        <v>0</v>
      </c>
      <c r="ABK36">
        <v>0</v>
      </c>
      <c r="ABL36">
        <v>4395.1948576154</v>
      </c>
      <c r="ABM36">
        <v>20.495634338349401</v>
      </c>
      <c r="ABN36">
        <v>0</v>
      </c>
      <c r="ABO36">
        <v>0</v>
      </c>
      <c r="ABP36">
        <v>0</v>
      </c>
      <c r="ABQ36">
        <v>0</v>
      </c>
      <c r="ABR36">
        <v>2627.5886450519401</v>
      </c>
      <c r="ABS36">
        <v>20.799949419599301</v>
      </c>
      <c r="ABT36">
        <v>0</v>
      </c>
      <c r="ABU36">
        <v>0</v>
      </c>
      <c r="ABV36">
        <v>0</v>
      </c>
      <c r="ABW36">
        <v>0</v>
      </c>
      <c r="ABX36">
        <v>29584.376837387201</v>
      </c>
      <c r="ABY36">
        <v>18.4504121004301</v>
      </c>
      <c r="ABZ36">
        <v>0</v>
      </c>
      <c r="ACA36">
        <v>0</v>
      </c>
      <c r="ACB36">
        <v>0</v>
      </c>
      <c r="ACC36">
        <v>0.73771946279297296</v>
      </c>
      <c r="ACD36">
        <v>218930378.994378</v>
      </c>
      <c r="ACE36">
        <v>322400.88283336803</v>
      </c>
      <c r="ACF36">
        <v>12.413287196982401</v>
      </c>
      <c r="ACG36">
        <v>6.7</v>
      </c>
      <c r="ACH36">
        <v>13.50000361399</v>
      </c>
      <c r="ACI36">
        <v>383214.87699847302</v>
      </c>
      <c r="ACJ36">
        <v>5.3014644179151897</v>
      </c>
      <c r="ACK36">
        <v>24.326540466986799</v>
      </c>
      <c r="ACL36">
        <v>30.139994854833901</v>
      </c>
      <c r="ACM36">
        <v>15.7700042216757</v>
      </c>
      <c r="ACN36">
        <v>105390.341415922</v>
      </c>
      <c r="ACP36">
        <v>82245.048180655998</v>
      </c>
      <c r="ACR36">
        <v>187635.38959657901</v>
      </c>
      <c r="ACT36">
        <v>25.419355770555701</v>
      </c>
      <c r="ACU36">
        <v>23.8864849702098</v>
      </c>
      <c r="ACV36">
        <v>1.7</v>
      </c>
      <c r="ACW36">
        <v>1.4736585921961001</v>
      </c>
      <c r="ACX36">
        <v>0.80018620500480597</v>
      </c>
      <c r="ACY36">
        <v>25.2693314642306</v>
      </c>
      <c r="ACZ36">
        <v>23.9063213887327</v>
      </c>
      <c r="ADA36">
        <v>1.7</v>
      </c>
      <c r="ADB36">
        <v>2.0881370112388602</v>
      </c>
      <c r="ADC36">
        <v>0.800280627435345</v>
      </c>
      <c r="ADD36">
        <v>25.253009921976201</v>
      </c>
      <c r="ADE36">
        <v>23.896543497743</v>
      </c>
      <c r="ADF36">
        <v>1.7</v>
      </c>
      <c r="ADG36">
        <v>2.5657469424483201</v>
      </c>
      <c r="ADH36">
        <v>0.80019922092395201</v>
      </c>
      <c r="ADI36">
        <v>25.660986149448</v>
      </c>
      <c r="ADJ36">
        <v>23.833940841350699</v>
      </c>
      <c r="ADK36">
        <v>1.7</v>
      </c>
      <c r="ADL36">
        <v>1.82424836831264</v>
      </c>
      <c r="ADM36">
        <v>0.70681187770725495</v>
      </c>
      <c r="ADN36">
        <v>26.0753047437459</v>
      </c>
      <c r="ADO36">
        <v>24.110148749353101</v>
      </c>
      <c r="ADP36">
        <v>1.7</v>
      </c>
      <c r="ADQ36">
        <v>2.0476724012724299</v>
      </c>
      <c r="ADR36">
        <v>0.70609610278497903</v>
      </c>
      <c r="ADS36">
        <v>25.4420022643721</v>
      </c>
      <c r="ADT36">
        <v>23.6719057047478</v>
      </c>
      <c r="ADU36">
        <v>1.7</v>
      </c>
      <c r="ADV36">
        <v>5.9228406269252201</v>
      </c>
      <c r="ADW36">
        <v>0.70450688037158504</v>
      </c>
      <c r="ADX36">
        <v>25.6356588769323</v>
      </c>
      <c r="ADY36">
        <v>23.815403197764599</v>
      </c>
      <c r="ADZ36">
        <v>1.7</v>
      </c>
      <c r="AEA36">
        <v>1.8971131017360501</v>
      </c>
      <c r="AEB36">
        <v>0.70692824287651501</v>
      </c>
      <c r="AEC36">
        <v>24.991057005994101</v>
      </c>
      <c r="AED36">
        <v>23.8050052749077</v>
      </c>
      <c r="AEE36">
        <v>1.7</v>
      </c>
      <c r="AEF36">
        <v>3.1824300638466099</v>
      </c>
      <c r="AEG36">
        <v>0.70673062180895396</v>
      </c>
      <c r="AEH36">
        <v>25.464586638633399</v>
      </c>
      <c r="AEI36">
        <v>24.090743630629099</v>
      </c>
      <c r="AEJ36">
        <v>1.7</v>
      </c>
      <c r="AEK36">
        <v>3.6290566107470901</v>
      </c>
      <c r="AEL36">
        <v>0.70474259924150995</v>
      </c>
      <c r="AEM36">
        <v>24.779257201875101</v>
      </c>
      <c r="AEN36">
        <v>23.6959076192766</v>
      </c>
      <c r="AEO36">
        <v>1.7</v>
      </c>
      <c r="AEP36">
        <v>5.9280150699844496</v>
      </c>
      <c r="AEQ36">
        <v>0.70570477400572695</v>
      </c>
      <c r="AER36">
        <v>24.980406819904399</v>
      </c>
      <c r="AES36">
        <v>23.7976409820394</v>
      </c>
      <c r="AET36">
        <v>1.7</v>
      </c>
      <c r="AEU36">
        <v>3.2940537326298802</v>
      </c>
      <c r="AEV36">
        <v>0.706885756784293</v>
      </c>
      <c r="AEW36">
        <v>24.968855985437202</v>
      </c>
      <c r="AEX36">
        <v>23.798839361997601</v>
      </c>
      <c r="AEY36">
        <v>1.7</v>
      </c>
      <c r="AEZ36">
        <v>3.33391979720367</v>
      </c>
      <c r="AFA36">
        <v>0.70675405014193504</v>
      </c>
      <c r="AFB36">
        <v>25.438870078044999</v>
      </c>
      <c r="AFC36">
        <v>24.090977993227</v>
      </c>
      <c r="AFD36">
        <v>1.7</v>
      </c>
      <c r="AFE36">
        <v>3.7489487664850798</v>
      </c>
      <c r="AFF36">
        <v>0.70489915076686804</v>
      </c>
      <c r="AFG36">
        <v>24.7817825749412</v>
      </c>
      <c r="AFH36">
        <v>23.691806611535199</v>
      </c>
      <c r="AFI36">
        <v>1.7</v>
      </c>
      <c r="AFJ36">
        <v>5.3856047031216701</v>
      </c>
      <c r="AFK36">
        <v>0.70580762050824097</v>
      </c>
      <c r="AFL36">
        <v>24.956636559895198</v>
      </c>
      <c r="AFM36">
        <v>23.7923417907115</v>
      </c>
      <c r="AFN36">
        <v>1.7</v>
      </c>
      <c r="AFO36">
        <v>3.4344644294747999</v>
      </c>
      <c r="AFP36">
        <v>0.706976602251986</v>
      </c>
      <c r="AFQ36">
        <v>-0.44003257407755197</v>
      </c>
      <c r="AFR36">
        <v>-0.44714757464428201</v>
      </c>
      <c r="AFS36">
        <v>-0.447297568701579</v>
      </c>
      <c r="AFT36">
        <v>-0.354848858278483</v>
      </c>
      <c r="AFU36">
        <v>-0.38935239144546502</v>
      </c>
      <c r="AFV36">
        <v>-0.40651410075257899</v>
      </c>
      <c r="AFW36">
        <v>-0.40359532155064898</v>
      </c>
      <c r="AFX36">
        <v>-0.184845511342312</v>
      </c>
      <c r="AFY36">
        <v>-0.34822408353043399</v>
      </c>
      <c r="AFZ36">
        <v>-0.36245531900866501</v>
      </c>
      <c r="AGA36">
        <v>-0.36527401930074099</v>
      </c>
      <c r="AGB36">
        <v>-0.14210989573704799</v>
      </c>
      <c r="AGC36">
        <v>-0.49107354837742201</v>
      </c>
      <c r="AGD36">
        <v>-0.43538755502753901</v>
      </c>
      <c r="AGE36">
        <v>-0.36400704071066797</v>
      </c>
      <c r="AGF36">
        <v>0</v>
      </c>
      <c r="AGG36">
        <v>0</v>
      </c>
      <c r="AGH36">
        <v>0</v>
      </c>
      <c r="AGI36">
        <v>0</v>
      </c>
      <c r="AGJ36">
        <v>0</v>
      </c>
      <c r="AGK36">
        <v>0</v>
      </c>
      <c r="AGL36">
        <v>0</v>
      </c>
      <c r="AGM36">
        <v>0</v>
      </c>
      <c r="AGN36">
        <v>0</v>
      </c>
      <c r="AGO36">
        <v>0</v>
      </c>
      <c r="AGP36">
        <v>0</v>
      </c>
      <c r="AGQ36">
        <v>0</v>
      </c>
      <c r="AGR36">
        <v>0</v>
      </c>
      <c r="AGS36">
        <v>0</v>
      </c>
      <c r="AGT36">
        <v>0</v>
      </c>
      <c r="AGU36">
        <v>0</v>
      </c>
      <c r="AGV36">
        <v>0</v>
      </c>
      <c r="AGW36">
        <v>0</v>
      </c>
      <c r="AGX36">
        <v>0</v>
      </c>
      <c r="AGY36">
        <v>0</v>
      </c>
      <c r="AGZ36">
        <v>0</v>
      </c>
      <c r="AHA36">
        <v>0</v>
      </c>
      <c r="AHB36">
        <v>0</v>
      </c>
      <c r="AHC36">
        <v>0</v>
      </c>
      <c r="AHD36">
        <v>0</v>
      </c>
      <c r="AHE36">
        <v>0</v>
      </c>
      <c r="AHF36">
        <v>0</v>
      </c>
      <c r="AHG36">
        <v>0</v>
      </c>
      <c r="AHH36">
        <v>0</v>
      </c>
      <c r="AHI36">
        <v>0</v>
      </c>
      <c r="AHJ36">
        <v>0</v>
      </c>
      <c r="AHK36">
        <v>0</v>
      </c>
      <c r="AHL36">
        <v>0</v>
      </c>
      <c r="AHM36">
        <v>0</v>
      </c>
      <c r="AHN36">
        <v>0</v>
      </c>
      <c r="AHO36">
        <v>0</v>
      </c>
      <c r="AHP36">
        <v>0</v>
      </c>
      <c r="AHQ36">
        <v>0</v>
      </c>
      <c r="AHR36">
        <v>0</v>
      </c>
      <c r="AHS36">
        <v>0</v>
      </c>
      <c r="AHT36">
        <v>0</v>
      </c>
      <c r="AHU36">
        <v>0</v>
      </c>
      <c r="AHV36">
        <v>0</v>
      </c>
      <c r="AHW36">
        <v>0</v>
      </c>
      <c r="AHX36">
        <v>0</v>
      </c>
      <c r="AHZ36">
        <v>0</v>
      </c>
      <c r="AIB36">
        <v>0</v>
      </c>
      <c r="AID36">
        <v>0</v>
      </c>
      <c r="AIF36">
        <v>0</v>
      </c>
      <c r="AIH36">
        <v>0</v>
      </c>
      <c r="AIJ36">
        <v>0</v>
      </c>
      <c r="AIL36">
        <v>0</v>
      </c>
      <c r="AIN36">
        <v>0</v>
      </c>
      <c r="AIP36">
        <v>0</v>
      </c>
      <c r="AIR36">
        <v>0</v>
      </c>
      <c r="AIT36">
        <v>0</v>
      </c>
      <c r="AIV36">
        <v>0</v>
      </c>
      <c r="AIX36">
        <v>0</v>
      </c>
      <c r="AIZ36">
        <v>0</v>
      </c>
      <c r="AJB36">
        <v>0</v>
      </c>
      <c r="AJC36">
        <v>0</v>
      </c>
      <c r="AJE36">
        <v>318744.77017204597</v>
      </c>
      <c r="AJH36">
        <v>9566.8185812424199</v>
      </c>
      <c r="AJJ36">
        <v>183.80401834048999</v>
      </c>
      <c r="AJK36">
        <v>247.98379528914299</v>
      </c>
      <c r="AJL36">
        <v>143.32914741799601</v>
      </c>
      <c r="AJM36">
        <v>1265.3913549246299</v>
      </c>
      <c r="AJN36">
        <v>212.48458439153899</v>
      </c>
      <c r="AJO36">
        <v>295.00138576107003</v>
      </c>
      <c r="AJP36">
        <v>174.05902902487799</v>
      </c>
      <c r="AJQ36">
        <v>1172.13994759912</v>
      </c>
      <c r="AJR36">
        <v>262.26666457391201</v>
      </c>
      <c r="AJS36">
        <v>60.824113564152299</v>
      </c>
      <c r="AJT36">
        <v>48.017333204009397</v>
      </c>
      <c r="AJU36">
        <v>291.54074267729197</v>
      </c>
      <c r="AJV36">
        <v>72.169421559012093</v>
      </c>
      <c r="AJW36">
        <v>0</v>
      </c>
      <c r="AJX36">
        <v>0</v>
      </c>
      <c r="AJY36">
        <v>0</v>
      </c>
      <c r="AJZ36">
        <v>320717.18402128102</v>
      </c>
      <c r="AKA36">
        <v>0</v>
      </c>
      <c r="AKB36">
        <v>0</v>
      </c>
      <c r="AKC36">
        <v>0</v>
      </c>
      <c r="AKD36">
        <v>0</v>
      </c>
      <c r="AKE36">
        <v>65.56</v>
      </c>
      <c r="AKF36">
        <v>65.56</v>
      </c>
      <c r="AKG36">
        <v>0</v>
      </c>
      <c r="AKH36">
        <v>0</v>
      </c>
      <c r="AKI36">
        <v>0</v>
      </c>
      <c r="AKJ36">
        <v>0</v>
      </c>
      <c r="AKK36">
        <v>0</v>
      </c>
      <c r="AKL36">
        <v>65.56</v>
      </c>
      <c r="AKM36">
        <v>65.56</v>
      </c>
      <c r="AKN36">
        <v>0</v>
      </c>
      <c r="AKO36">
        <v>0</v>
      </c>
      <c r="AKP36">
        <v>0</v>
      </c>
      <c r="AKT36">
        <v>6734795.2483461499</v>
      </c>
      <c r="AKX36">
        <v>6078357.7937538503</v>
      </c>
      <c r="ALB36">
        <v>30.163047362648701</v>
      </c>
      <c r="ALC36">
        <v>24.752324824256501</v>
      </c>
      <c r="ALD36">
        <v>15.7700042216757</v>
      </c>
      <c r="ALE36">
        <v>356667.35020014399</v>
      </c>
      <c r="ALF36">
        <v>3876.01471762034</v>
      </c>
      <c r="ALH36">
        <v>15.1774265649751</v>
      </c>
      <c r="ALI36">
        <v>8.8580397418847098E-3</v>
      </c>
      <c r="ALJ36">
        <v>20.341242441212199</v>
      </c>
      <c r="ALK36">
        <v>27.060768195086801</v>
      </c>
      <c r="ALL36">
        <v>20.341242441212199</v>
      </c>
      <c r="ALM36">
        <v>0</v>
      </c>
      <c r="ALN36">
        <v>25.700159621675201</v>
      </c>
      <c r="ALO36">
        <v>9.2947404316609406E-3</v>
      </c>
      <c r="ALP36">
        <v>45.128212585236803</v>
      </c>
      <c r="ALQ36">
        <v>20.341242441212199</v>
      </c>
      <c r="ALR36">
        <v>15.1774265649751</v>
      </c>
      <c r="ALS36">
        <v>20.341242441212199</v>
      </c>
      <c r="ALT36">
        <v>15.5600082107704</v>
      </c>
      <c r="ALU36">
        <v>20.341242441212199</v>
      </c>
      <c r="ALV36">
        <v>6.7349532752297501</v>
      </c>
      <c r="ALW36">
        <v>4.6686850959515701E-3</v>
      </c>
      <c r="ALX36">
        <v>23.068113179538599</v>
      </c>
      <c r="ALY36">
        <v>4.6686850959515701E-3</v>
      </c>
      <c r="ALZ36">
        <v>0</v>
      </c>
      <c r="AMA36">
        <v>12.413287196982401</v>
      </c>
      <c r="AMB36">
        <v>1.35E-2</v>
      </c>
      <c r="AMC36">
        <v>12.3834502598682</v>
      </c>
      <c r="AMD36">
        <v>1.35E-2</v>
      </c>
      <c r="AME36">
        <v>6.7</v>
      </c>
      <c r="AMF36">
        <v>1.35E-2</v>
      </c>
      <c r="AMG36">
        <v>1.5769999999999999E-2</v>
      </c>
      <c r="AMH36">
        <v>4.2474999999999996</v>
      </c>
      <c r="AMI36">
        <v>19.424673367002502</v>
      </c>
      <c r="AMJ36">
        <v>0.452879431283783</v>
      </c>
      <c r="AMK36" s="580">
        <v>17.7478548997431</v>
      </c>
      <c r="AML36">
        <v>2.0525042715878401</v>
      </c>
      <c r="AMM36">
        <v>19.388863390269801</v>
      </c>
      <c r="AMN36">
        <v>0.529295325764783</v>
      </c>
      <c r="AMO36">
        <v>19.4292944056794</v>
      </c>
      <c r="AMP36">
        <v>0.68995136504180898</v>
      </c>
      <c r="AMQ36">
        <v>19.451581744108999</v>
      </c>
      <c r="AMR36">
        <v>0.88067933215241301</v>
      </c>
      <c r="AMS36">
        <v>18.444610842415202</v>
      </c>
      <c r="AMT36">
        <v>2.6431226666950498</v>
      </c>
      <c r="AMU36">
        <v>20.811482484325001</v>
      </c>
      <c r="AMV36">
        <v>1.03171431230539</v>
      </c>
      <c r="AMW36">
        <v>20.945101484706399</v>
      </c>
      <c r="AMX36">
        <v>0.82772524211703602</v>
      </c>
      <c r="AMY36">
        <v>20.9466873805011</v>
      </c>
      <c r="AMZ36">
        <v>1.26917190005378</v>
      </c>
      <c r="ANA36">
        <v>21.097846227189699</v>
      </c>
      <c r="ANB36">
        <v>1.6378813904770599</v>
      </c>
      <c r="ANC36">
        <v>18.4638206169173</v>
      </c>
      <c r="AND36">
        <v>3.1134515445534299</v>
      </c>
      <c r="ANE36">
        <v>20.871235756049099</v>
      </c>
      <c r="ANF36">
        <v>1.1228890482390299</v>
      </c>
      <c r="ANG36">
        <v>20.983123054579401</v>
      </c>
      <c r="ANH36">
        <v>0.91507001641149199</v>
      </c>
      <c r="ANI36">
        <v>20.978851306707298</v>
      </c>
      <c r="ANJ36">
        <v>1.4146277159933101</v>
      </c>
      <c r="ANK36">
        <v>21.076616038291998</v>
      </c>
      <c r="ANL36">
        <v>1.7602788785360399</v>
      </c>
      <c r="ANM36">
        <v>4.6053097258306304</v>
      </c>
      <c r="ANN36">
        <v>7.40961551164831</v>
      </c>
      <c r="ANO36">
        <v>8.3263172037333106</v>
      </c>
      <c r="ANP36">
        <v>17.7478548997431</v>
      </c>
      <c r="ANQ36">
        <v>19.2955053072513</v>
      </c>
      <c r="ANR36">
        <v>19.338420824667502</v>
      </c>
      <c r="ANS36">
        <v>19.183367882609701</v>
      </c>
      <c r="ANT36">
        <v>19.344200576833401</v>
      </c>
      <c r="ANU36">
        <v>18.444610842415202</v>
      </c>
      <c r="ANV36">
        <v>20.616540513983399</v>
      </c>
      <c r="ANW36">
        <v>20.8042388485636</v>
      </c>
      <c r="ANX36">
        <v>20.469478774414601</v>
      </c>
      <c r="ANY36">
        <v>20.810496403485502</v>
      </c>
      <c r="ANZ36">
        <v>18.4638206169173</v>
      </c>
      <c r="AOA36">
        <v>20.6580382786812</v>
      </c>
      <c r="AOB36">
        <v>20.828384822342599</v>
      </c>
      <c r="AOC36">
        <v>20.535102719191102</v>
      </c>
      <c r="AOD36">
        <v>20.828032019919899</v>
      </c>
      <c r="AOE36">
        <v>25.700159621675201</v>
      </c>
      <c r="AOF36">
        <v>4.2474999999999996</v>
      </c>
      <c r="AOG36">
        <v>25.735335094887901</v>
      </c>
      <c r="AOH36">
        <v>4.2474999999999996</v>
      </c>
    </row>
    <row r="37" spans="1:1074">
      <c r="A37" t="s">
        <v>2607</v>
      </c>
      <c r="B37">
        <v>34.523800000000001</v>
      </c>
      <c r="D37">
        <v>20.127582479983602</v>
      </c>
      <c r="F37">
        <v>9</v>
      </c>
      <c r="G37">
        <v>10945018.5837641</v>
      </c>
      <c r="H37">
        <v>25252376.055390202</v>
      </c>
      <c r="I37">
        <v>6950739.3466344699</v>
      </c>
      <c r="J37">
        <v>16036764.3509151</v>
      </c>
      <c r="K37">
        <v>10945018.5837641</v>
      </c>
      <c r="L37">
        <v>25252376.055390202</v>
      </c>
      <c r="M37">
        <v>6950739.3466344699</v>
      </c>
      <c r="N37">
        <v>16036764.3509151</v>
      </c>
      <c r="O37">
        <v>56445592.898657002</v>
      </c>
      <c r="P37">
        <v>130231422.417206</v>
      </c>
      <c r="Q37">
        <v>10945018.5837641</v>
      </c>
      <c r="R37">
        <v>25252376.055390202</v>
      </c>
      <c r="S37">
        <v>6950739.3466344699</v>
      </c>
      <c r="T37">
        <v>16036764.3509151</v>
      </c>
      <c r="U37">
        <v>10945018.5837641</v>
      </c>
      <c r="V37">
        <v>25252376.055390202</v>
      </c>
      <c r="W37">
        <v>6950739.3466344699</v>
      </c>
      <c r="X37">
        <v>16036764.3509151</v>
      </c>
      <c r="Y37">
        <v>56445592.898657002</v>
      </c>
      <c r="Z37">
        <v>130231422.417206</v>
      </c>
      <c r="AA37">
        <v>10945018.5837641</v>
      </c>
      <c r="AB37">
        <v>25252376.055390202</v>
      </c>
      <c r="AC37">
        <v>6950739.3466344699</v>
      </c>
      <c r="AD37">
        <v>16036764.3509151</v>
      </c>
      <c r="AE37">
        <v>10945018.5837641</v>
      </c>
      <c r="AF37">
        <v>25252376.055390202</v>
      </c>
      <c r="AG37">
        <v>6950739.3466344699</v>
      </c>
      <c r="AH37">
        <v>16036764.3509151</v>
      </c>
      <c r="AI37">
        <v>56445592.898657002</v>
      </c>
      <c r="AJ37">
        <v>130231422.417206</v>
      </c>
      <c r="AK37">
        <v>23.716228502806501</v>
      </c>
      <c r="AL37">
        <v>3956060.4386927001</v>
      </c>
      <c r="AM37">
        <v>10245410.713212401</v>
      </c>
      <c r="AN37">
        <v>23.716228502806501</v>
      </c>
      <c r="AO37">
        <v>3956060.4386927001</v>
      </c>
      <c r="AP37">
        <v>10245410.713212401</v>
      </c>
      <c r="AQ37">
        <v>15.0612190693548</v>
      </c>
      <c r="AR37">
        <v>2512334.2403159901</v>
      </c>
      <c r="AS37">
        <v>6506446.6379612898</v>
      </c>
      <c r="AT37">
        <v>15.0612190693548</v>
      </c>
      <c r="AU37">
        <v>2512334.2403159901</v>
      </c>
      <c r="AV37">
        <v>6506446.6379612898</v>
      </c>
      <c r="AW37">
        <v>23.716228502806501</v>
      </c>
      <c r="AX37">
        <v>3956060.4386927001</v>
      </c>
      <c r="AY37">
        <v>10245410.713212401</v>
      </c>
      <c r="AZ37">
        <v>23.716228502806501</v>
      </c>
      <c r="BA37">
        <v>3956060.4386927001</v>
      </c>
      <c r="BB37">
        <v>10245410.713212401</v>
      </c>
      <c r="BC37">
        <v>15.0612190693548</v>
      </c>
      <c r="BD37">
        <v>2512334.2403159901</v>
      </c>
      <c r="BE37">
        <v>6506446.6379612898</v>
      </c>
      <c r="BF37">
        <v>15.0612190693548</v>
      </c>
      <c r="BG37">
        <v>2512334.2403159901</v>
      </c>
      <c r="BH37">
        <v>6506446.6379612898</v>
      </c>
      <c r="BI37">
        <v>23.716228502806501</v>
      </c>
      <c r="BJ37">
        <v>3956060.4386927001</v>
      </c>
      <c r="BK37">
        <v>10245410.713212401</v>
      </c>
      <c r="BL37">
        <v>23.716228502806501</v>
      </c>
      <c r="BM37">
        <v>3956060.4386927001</v>
      </c>
      <c r="BN37">
        <v>10245410.713212401</v>
      </c>
      <c r="BO37">
        <v>15.0612190693548</v>
      </c>
      <c r="BP37">
        <v>2512334.2403159901</v>
      </c>
      <c r="BQ37">
        <v>6506446.6379612898</v>
      </c>
      <c r="BR37">
        <v>15.0612190693548</v>
      </c>
      <c r="BS37">
        <v>2512334.2403159901</v>
      </c>
      <c r="BT37">
        <v>6506446.6379612898</v>
      </c>
      <c r="BU37">
        <v>52837578.828362301</v>
      </c>
      <c r="BV37">
        <v>122.309210250839</v>
      </c>
      <c r="BW37">
        <v>20402174.312995501</v>
      </c>
      <c r="BX37">
        <v>52837578.828362301</v>
      </c>
      <c r="BY37">
        <v>122.309210250839</v>
      </c>
      <c r="BZ37">
        <v>20402174.312995501</v>
      </c>
      <c r="CA37">
        <v>52837578.828362301</v>
      </c>
      <c r="CB37">
        <v>122.309210250839</v>
      </c>
      <c r="CC37">
        <v>20402174.312995501</v>
      </c>
      <c r="CD37">
        <v>52837578.828362301</v>
      </c>
      <c r="CE37">
        <v>3773179.8574618599</v>
      </c>
      <c r="CF37">
        <v>8575408.7669587694</v>
      </c>
      <c r="CG37">
        <v>3773179.8574618599</v>
      </c>
      <c r="CH37">
        <v>8575408.7669587694</v>
      </c>
      <c r="CI37">
        <v>2396194.1678283801</v>
      </c>
      <c r="CJ37">
        <v>5445895.8359735999</v>
      </c>
      <c r="CK37">
        <v>2396194.1678283801</v>
      </c>
      <c r="CL37">
        <v>5445895.8359735999</v>
      </c>
      <c r="CM37">
        <v>3773179.8574618599</v>
      </c>
      <c r="CN37">
        <v>8575408.7669587694</v>
      </c>
      <c r="CO37">
        <v>3773179.8574618599</v>
      </c>
      <c r="CP37">
        <v>8575408.7669587694</v>
      </c>
      <c r="CQ37">
        <v>2396194.1678283801</v>
      </c>
      <c r="CR37">
        <v>5445895.8359735999</v>
      </c>
      <c r="CS37">
        <v>2396194.1678283801</v>
      </c>
      <c r="CT37">
        <v>5445895.8359735999</v>
      </c>
      <c r="CU37">
        <v>3773179.8574618599</v>
      </c>
      <c r="CV37">
        <v>8575408.7669587694</v>
      </c>
      <c r="CW37">
        <v>3773179.8574618599</v>
      </c>
      <c r="CX37">
        <v>8575408.7669587694</v>
      </c>
      <c r="CY37">
        <v>2396194.1678283801</v>
      </c>
      <c r="CZ37">
        <v>5445895.8359735999</v>
      </c>
      <c r="DA37">
        <v>2396194.1678283801</v>
      </c>
      <c r="DB37">
        <v>5445895.8359735999</v>
      </c>
      <c r="DC37">
        <v>19459023.5309093</v>
      </c>
      <c r="DD37">
        <v>44225053.479339302</v>
      </c>
      <c r="DE37">
        <v>19459023.5309093</v>
      </c>
      <c r="DF37">
        <v>44225053.479339302</v>
      </c>
      <c r="DG37">
        <v>19459023.5309093</v>
      </c>
      <c r="DH37">
        <v>44225053.479339302</v>
      </c>
      <c r="DI37">
        <v>3215778.2876095399</v>
      </c>
      <c r="DJ37">
        <v>6431556.5752190799</v>
      </c>
      <c r="DK37">
        <v>3215778.2876095399</v>
      </c>
      <c r="DL37">
        <v>6431556.5752190799</v>
      </c>
      <c r="DM37">
        <v>2042210.9384901</v>
      </c>
      <c r="DN37">
        <v>4084421.8769801999</v>
      </c>
      <c r="DO37">
        <v>2042210.9384901</v>
      </c>
      <c r="DP37">
        <v>4084421.8769801999</v>
      </c>
      <c r="DQ37">
        <v>3215778.2876095399</v>
      </c>
      <c r="DR37">
        <v>6431556.5752190799</v>
      </c>
      <c r="DS37">
        <v>3215778.2876095399</v>
      </c>
      <c r="DT37">
        <v>6431556.5752190799</v>
      </c>
      <c r="DU37">
        <v>2042210.9384901</v>
      </c>
      <c r="DV37">
        <v>4084421.8769801999</v>
      </c>
      <c r="DW37">
        <v>2042210.9384901</v>
      </c>
      <c r="DX37">
        <v>4084421.8769801999</v>
      </c>
      <c r="DY37">
        <v>3215778.2876095399</v>
      </c>
      <c r="DZ37">
        <v>6431556.5752190799</v>
      </c>
      <c r="EA37">
        <v>3215778.2876095399</v>
      </c>
      <c r="EB37">
        <v>6431556.5752190799</v>
      </c>
      <c r="EC37">
        <v>2042210.9384901</v>
      </c>
      <c r="ED37">
        <v>4084421.8769801999</v>
      </c>
      <c r="EE37">
        <v>2042210.9384901</v>
      </c>
      <c r="EF37">
        <v>4084421.8769801999</v>
      </c>
      <c r="EG37">
        <v>16584395.054752201</v>
      </c>
      <c r="EH37">
        <v>33168790.109504402</v>
      </c>
      <c r="EI37">
        <v>16584395.054752201</v>
      </c>
      <c r="EJ37">
        <v>33168790.109504402</v>
      </c>
      <c r="EK37">
        <v>16584395.054752201</v>
      </c>
      <c r="EL37">
        <v>33168790.109504402</v>
      </c>
      <c r="EM37">
        <v>3387.0401733338399</v>
      </c>
      <c r="EN37">
        <v>2655.0076717981001</v>
      </c>
      <c r="EO37">
        <v>6614.0210001675696</v>
      </c>
      <c r="EP37">
        <v>2204.2459866365498</v>
      </c>
      <c r="EQ37">
        <v>0</v>
      </c>
      <c r="ER37">
        <v>3633.7298530645298</v>
      </c>
      <c r="ES37">
        <v>2876.6545026222302</v>
      </c>
      <c r="ET37">
        <v>7049.73106992456</v>
      </c>
      <c r="EU37">
        <v>9.4176783643959805</v>
      </c>
      <c r="EV37">
        <v>2361.7412169772701</v>
      </c>
      <c r="EW37">
        <v>0</v>
      </c>
      <c r="EX37">
        <v>3602.8571112166301</v>
      </c>
      <c r="EY37">
        <v>9.8998125585080707</v>
      </c>
      <c r="EZ37">
        <v>2852.6314339422802</v>
      </c>
      <c r="FA37">
        <v>6994.1550861416099</v>
      </c>
      <c r="FB37">
        <v>9.4180335080495592</v>
      </c>
      <c r="FC37">
        <v>2340.2646572247299</v>
      </c>
      <c r="FD37">
        <v>0</v>
      </c>
      <c r="FE37">
        <v>0</v>
      </c>
      <c r="FF37">
        <v>0</v>
      </c>
      <c r="FG37">
        <v>0</v>
      </c>
      <c r="FH37">
        <v>0</v>
      </c>
      <c r="FI37">
        <v>0</v>
      </c>
      <c r="FJ37">
        <v>0</v>
      </c>
      <c r="FK37">
        <v>0</v>
      </c>
      <c r="FL37">
        <v>0</v>
      </c>
      <c r="FM37">
        <v>0</v>
      </c>
      <c r="FN37">
        <v>0</v>
      </c>
      <c r="FO37">
        <v>2.45251372506161E-2</v>
      </c>
      <c r="FP37">
        <v>0</v>
      </c>
      <c r="FQ37">
        <v>3.7712464405102401E-3</v>
      </c>
      <c r="FR37">
        <v>0</v>
      </c>
      <c r="FS37">
        <v>2340.2646572247299</v>
      </c>
      <c r="FT37">
        <v>0</v>
      </c>
      <c r="FU37">
        <v>450.03536336377101</v>
      </c>
      <c r="FV37">
        <v>0</v>
      </c>
      <c r="FW37">
        <v>0</v>
      </c>
      <c r="FX37">
        <v>0</v>
      </c>
      <c r="FY37">
        <v>2.45251372506161E-2</v>
      </c>
      <c r="FZ37">
        <v>0</v>
      </c>
      <c r="GA37">
        <v>3.7712464405102401E-3</v>
      </c>
      <c r="GB37">
        <v>142.259902172918</v>
      </c>
      <c r="GC37">
        <v>183.39536249163299</v>
      </c>
      <c r="GD37">
        <v>42.816514695041803</v>
      </c>
      <c r="GE37">
        <v>240.545605193543</v>
      </c>
      <c r="GF37">
        <v>165.030849854124</v>
      </c>
      <c r="GG37">
        <v>104.92877423683601</v>
      </c>
      <c r="GH37">
        <v>166.99683424735801</v>
      </c>
      <c r="GI37">
        <v>303.58876500214899</v>
      </c>
      <c r="GJ37">
        <v>288.61872951963397</v>
      </c>
      <c r="GK37">
        <v>91.669742608793101</v>
      </c>
      <c r="GL37">
        <v>119.17987948209399</v>
      </c>
      <c r="GM37">
        <v>24.417886200644801</v>
      </c>
      <c r="GN37">
        <v>16.978716066830099</v>
      </c>
      <c r="GO37">
        <v>25.717209359665301</v>
      </c>
      <c r="GP37">
        <v>26.146360023975902</v>
      </c>
      <c r="GQ37">
        <v>14.603238469571499</v>
      </c>
      <c r="GR37">
        <v>-86.622156367867802</v>
      </c>
      <c r="GS37">
        <v>-604.63091234593003</v>
      </c>
      <c r="GT37">
        <v>79.761461562610606</v>
      </c>
      <c r="GU37">
        <v>26.280579697498201</v>
      </c>
      <c r="GV37">
        <v>26.6504870950643</v>
      </c>
      <c r="GW37">
        <v>5.5856586865346696</v>
      </c>
      <c r="GX37">
        <v>-88.492058216658904</v>
      </c>
      <c r="GY37">
        <v>-585.726387079696</v>
      </c>
      <c r="GZ37">
        <v>57.492122149136598</v>
      </c>
      <c r="HA37">
        <v>25.775932083284602</v>
      </c>
      <c r="HB37">
        <v>26.278691642313198</v>
      </c>
      <c r="HC37">
        <v>79.758095471447803</v>
      </c>
      <c r="HD37">
        <v>-33.643150069780503</v>
      </c>
      <c r="HE37">
        <v>-652.50293266855397</v>
      </c>
      <c r="HF37">
        <v>10.106347918149901</v>
      </c>
      <c r="HG37">
        <v>25.766255971887698</v>
      </c>
      <c r="HH37">
        <v>26.1909069290489</v>
      </c>
      <c r="HI37">
        <v>12.763640830224199</v>
      </c>
      <c r="HJ37">
        <v>-44.673028176526998</v>
      </c>
      <c r="HK37">
        <v>-350.02129251874402</v>
      </c>
      <c r="HL37">
        <v>235.51091400027099</v>
      </c>
      <c r="HM37">
        <v>26.2844948446503</v>
      </c>
      <c r="HN37">
        <v>26.0484749312171</v>
      </c>
      <c r="HO37">
        <v>281.63932455681402</v>
      </c>
      <c r="HP37">
        <v>197.63252574162701</v>
      </c>
      <c r="HQ37">
        <v>26.3411266622279</v>
      </c>
      <c r="HR37">
        <v>199.59442481676999</v>
      </c>
      <c r="HS37">
        <v>372.86838936347402</v>
      </c>
      <c r="HT37">
        <v>26.864430738467199</v>
      </c>
      <c r="HU37">
        <v>26.3269143115639</v>
      </c>
      <c r="HV37">
        <v>171.03649862126801</v>
      </c>
      <c r="HW37">
        <v>204.646800036478</v>
      </c>
      <c r="HX37">
        <v>27.165341595897299</v>
      </c>
      <c r="HY37">
        <v>167.045826378257</v>
      </c>
      <c r="HZ37">
        <v>26.604260574434502</v>
      </c>
      <c r="IA37">
        <v>26.215945309490401</v>
      </c>
      <c r="IB37">
        <v>338.81451262814198</v>
      </c>
      <c r="IC37">
        <v>339.38781255386499</v>
      </c>
      <c r="ID37">
        <v>128.302375715643</v>
      </c>
      <c r="IE37">
        <v>26.666146812938301</v>
      </c>
      <c r="IF37">
        <v>272.40544524134401</v>
      </c>
      <c r="IG37">
        <v>48.273456203851097</v>
      </c>
      <c r="IH37">
        <v>26.3012495336896</v>
      </c>
      <c r="II37">
        <v>26.088191606920699</v>
      </c>
      <c r="IJ37">
        <v>170.98937292451501</v>
      </c>
      <c r="IK37">
        <v>52.765235718204799</v>
      </c>
      <c r="IL37">
        <v>154.63495271448801</v>
      </c>
      <c r="IM37">
        <v>133.56609140609001</v>
      </c>
      <c r="IN37">
        <v>26.354757817891699</v>
      </c>
      <c r="IO37">
        <v>0.70270824541295696</v>
      </c>
      <c r="IP37">
        <v>129.296580663312</v>
      </c>
      <c r="IQ37">
        <v>271.83995035131801</v>
      </c>
      <c r="IR37">
        <v>205.389989119565</v>
      </c>
      <c r="IS37">
        <v>312.01751035015798</v>
      </c>
      <c r="IT37">
        <v>167.94805992607101</v>
      </c>
      <c r="IU37">
        <v>466.949491950192</v>
      </c>
      <c r="IV37">
        <v>44.297036669706998</v>
      </c>
      <c r="IW37">
        <v>25.7958264367618</v>
      </c>
      <c r="IX37">
        <v>26.3411266622279</v>
      </c>
      <c r="IY37">
        <v>165.077116866247</v>
      </c>
      <c r="IZ37">
        <v>18.123713830094601</v>
      </c>
      <c r="JA37">
        <v>-434.428550502468</v>
      </c>
      <c r="JB37">
        <v>112.004362926157</v>
      </c>
      <c r="JC37">
        <v>26.558474598710301</v>
      </c>
      <c r="JD37">
        <v>27.165341595897299</v>
      </c>
      <c r="JE37">
        <v>146.13646823863499</v>
      </c>
      <c r="JF37">
        <v>10.4674004531643</v>
      </c>
      <c r="JG37">
        <v>-472.030363227088</v>
      </c>
      <c r="JH37">
        <v>86.3632161250991</v>
      </c>
      <c r="JI37">
        <v>25.922529463831602</v>
      </c>
      <c r="JJ37">
        <v>26.666146812938301</v>
      </c>
      <c r="JK37">
        <v>271.53920932290902</v>
      </c>
      <c r="JL37">
        <v>42.381165079316098</v>
      </c>
      <c r="JM37">
        <v>-545.90149698386699</v>
      </c>
      <c r="JN37">
        <v>28.865457265733902</v>
      </c>
      <c r="JO37">
        <v>25.828091500381401</v>
      </c>
      <c r="JP37">
        <v>26.354757817891699</v>
      </c>
      <c r="JQ37">
        <v>1.2850792077156199</v>
      </c>
      <c r="JR37">
        <v>112.130381101221</v>
      </c>
      <c r="JS37">
        <v>0.49152723527397901</v>
      </c>
      <c r="JT37">
        <v>17.624833226214498</v>
      </c>
      <c r="JU37">
        <v>-236.35300392152001</v>
      </c>
      <c r="JV37">
        <v>288.79411452818101</v>
      </c>
      <c r="JW37">
        <v>416.83617956036699</v>
      </c>
      <c r="JX37">
        <v>457.472700726536</v>
      </c>
      <c r="JY37">
        <v>407.37954336781502</v>
      </c>
      <c r="JZ37">
        <v>332.51559833401501</v>
      </c>
      <c r="KA37">
        <v>342.12552294998397</v>
      </c>
      <c r="KB37">
        <v>388.137878249908</v>
      </c>
      <c r="KC37">
        <v>433.52286038864003</v>
      </c>
      <c r="KD37">
        <v>532.37397997962705</v>
      </c>
      <c r="KE37">
        <v>185.86469647107</v>
      </c>
      <c r="KF37">
        <v>29.0920377699507</v>
      </c>
      <c r="KG37">
        <v>472.238970088119</v>
      </c>
      <c r="KH37">
        <v>0.94799648001028802</v>
      </c>
      <c r="KI37">
        <v>263.02697929135797</v>
      </c>
      <c r="KJ37">
        <v>281.197529267346</v>
      </c>
      <c r="KK37">
        <v>144.37822510494399</v>
      </c>
      <c r="KL37">
        <v>27.879885837408999</v>
      </c>
      <c r="KM37">
        <v>27.295972420953799</v>
      </c>
      <c r="KN37">
        <v>714.20720870267098</v>
      </c>
      <c r="KO37">
        <v>29.272971983490098</v>
      </c>
      <c r="KP37">
        <v>68.534989173975006</v>
      </c>
      <c r="KQ37">
        <v>775.82623467933195</v>
      </c>
      <c r="KR37">
        <v>2323.95124982682</v>
      </c>
      <c r="KS37">
        <v>196.594346715851</v>
      </c>
      <c r="KT37">
        <v>28.716066538916898</v>
      </c>
      <c r="KU37">
        <v>28.133882144473699</v>
      </c>
      <c r="KV37">
        <v>534.85839243994496</v>
      </c>
      <c r="KW37">
        <v>30.090856878559801</v>
      </c>
      <c r="KX37">
        <v>68.225073176879903</v>
      </c>
      <c r="KY37">
        <v>536.98515886740597</v>
      </c>
      <c r="KZ37">
        <v>1448.6099030447201</v>
      </c>
      <c r="LA37">
        <v>199.62960696845599</v>
      </c>
      <c r="LB37">
        <v>27.922196069114801</v>
      </c>
      <c r="LC37">
        <v>27.558474726861999</v>
      </c>
      <c r="LD37">
        <v>879.98103698482896</v>
      </c>
      <c r="LE37">
        <v>29.252945564303399</v>
      </c>
      <c r="LF37">
        <v>68.534339243238094</v>
      </c>
      <c r="LG37">
        <v>855.14192668672604</v>
      </c>
      <c r="LH37">
        <v>2311.6952284120098</v>
      </c>
      <c r="LI37">
        <v>90.421990623218704</v>
      </c>
      <c r="LJ37">
        <v>27.772184230586799</v>
      </c>
      <c r="LK37">
        <v>27.238805237923099</v>
      </c>
      <c r="LL37">
        <v>438.19265592074498</v>
      </c>
      <c r="LM37">
        <v>29.110168305310999</v>
      </c>
      <c r="LN37">
        <v>66.909828285497497</v>
      </c>
      <c r="LO37">
        <v>471.94086690815101</v>
      </c>
      <c r="LP37">
        <v>1417.32541848035</v>
      </c>
      <c r="LQ37">
        <v>73.054260895531897</v>
      </c>
      <c r="LR37">
        <v>20.089026199336001</v>
      </c>
      <c r="LS37">
        <v>16.420999999999999</v>
      </c>
      <c r="LT37">
        <v>363.51547624533799</v>
      </c>
      <c r="LU37">
        <v>-1198.66729868005</v>
      </c>
      <c r="LV37">
        <v>21.6567965527124</v>
      </c>
      <c r="LW37">
        <v>24.7977837444732</v>
      </c>
      <c r="LX37">
        <v>887.60863526734101</v>
      </c>
      <c r="LY37">
        <v>96.844930671547701</v>
      </c>
      <c r="LZ37">
        <v>20.202769601769699</v>
      </c>
      <c r="MA37">
        <v>16.420999999999999</v>
      </c>
      <c r="MB37">
        <v>214.849417668901</v>
      </c>
      <c r="MC37">
        <v>-955.02641095542003</v>
      </c>
      <c r="MD37">
        <v>21.980578942753901</v>
      </c>
      <c r="ME37">
        <v>25.273046226115301</v>
      </c>
      <c r="MF37">
        <v>600.474777550049</v>
      </c>
      <c r="MG37">
        <v>101.330046090294</v>
      </c>
      <c r="MH37">
        <v>20.077153205254401</v>
      </c>
      <c r="MI37">
        <v>16.420999999999999</v>
      </c>
      <c r="MJ37">
        <v>457.53220127306298</v>
      </c>
      <c r="MK37">
        <v>-1159.72159720329</v>
      </c>
      <c r="ML37">
        <v>21.6828464651548</v>
      </c>
      <c r="MM37">
        <v>24.985375626596198</v>
      </c>
      <c r="MN37">
        <v>979.35478112502403</v>
      </c>
      <c r="MO37">
        <v>47.924411129351903</v>
      </c>
      <c r="MP37">
        <v>20.1337145234559</v>
      </c>
      <c r="MQ37">
        <v>16.420999999999999</v>
      </c>
      <c r="MR37">
        <v>243.31544157130301</v>
      </c>
      <c r="MS37">
        <v>-730.03803634127803</v>
      </c>
      <c r="MT37">
        <v>21.6802423140347</v>
      </c>
      <c r="MU37">
        <v>24.840388790986101</v>
      </c>
      <c r="MV37">
        <v>568.89930057827996</v>
      </c>
      <c r="MW37">
        <v>102.23619428260101</v>
      </c>
      <c r="MX37">
        <v>23.255123283948699</v>
      </c>
      <c r="MY37">
        <v>25.254697302122199</v>
      </c>
      <c r="MZ37">
        <v>1643.59131324746</v>
      </c>
      <c r="NA37">
        <v>1607.1439980791399</v>
      </c>
      <c r="NB37">
        <v>23.344623151980802</v>
      </c>
      <c r="NC37">
        <v>25.598256980834801</v>
      </c>
      <c r="ND37">
        <v>1643.95321964659</v>
      </c>
      <c r="NE37">
        <v>119.923382006507</v>
      </c>
      <c r="NF37">
        <v>23.494306032924602</v>
      </c>
      <c r="NG37">
        <v>25.7091200602088</v>
      </c>
      <c r="NH37">
        <v>1125.72582221678</v>
      </c>
      <c r="NI37">
        <v>931.47955734194295</v>
      </c>
      <c r="NJ37">
        <v>23.797848008593402</v>
      </c>
      <c r="NK37">
        <v>26.347031997154598</v>
      </c>
      <c r="NL37">
        <v>1208.2511775545699</v>
      </c>
      <c r="NM37">
        <v>131.72550486021299</v>
      </c>
      <c r="NN37">
        <v>23.130493241624801</v>
      </c>
      <c r="NO37">
        <v>25.255458068221198</v>
      </c>
      <c r="NP37">
        <v>1800.96228158182</v>
      </c>
      <c r="NQ37">
        <v>1701.1599581323701</v>
      </c>
      <c r="NR37">
        <v>23.2671087708271</v>
      </c>
      <c r="NS37">
        <v>25.929150627849602</v>
      </c>
      <c r="NT37">
        <v>1825.2612733332201</v>
      </c>
      <c r="NU37">
        <v>68.186323890213302</v>
      </c>
      <c r="NV37">
        <v>23.310597844779402</v>
      </c>
      <c r="NW37">
        <v>25.3288187762159</v>
      </c>
      <c r="NX37">
        <v>2.9259032067342501</v>
      </c>
      <c r="NY37">
        <v>1072.33671862352</v>
      </c>
      <c r="NZ37">
        <v>1076.3744684972401</v>
      </c>
      <c r="OA37">
        <v>23.365225902865401</v>
      </c>
      <c r="OB37">
        <v>25.610259212640699</v>
      </c>
      <c r="OC37">
        <v>2.82750169149138</v>
      </c>
      <c r="OD37">
        <v>1057.78076086171</v>
      </c>
      <c r="OE37">
        <v>2.9259032067342501</v>
      </c>
      <c r="OF37">
        <v>2.82750169149138</v>
      </c>
      <c r="OG37">
        <v>102.495120529041</v>
      </c>
      <c r="OH37">
        <v>23.281634910949801</v>
      </c>
      <c r="OI37">
        <v>25.386892401120502</v>
      </c>
      <c r="OJ37">
        <v>1841.7072938450499</v>
      </c>
      <c r="OK37">
        <v>1855.93488729613</v>
      </c>
      <c r="OL37">
        <v>23.3206571528833</v>
      </c>
      <c r="OM37">
        <v>25.790823973496501</v>
      </c>
      <c r="ON37">
        <v>1884.81357990533</v>
      </c>
      <c r="OO37">
        <v>118.51263149466</v>
      </c>
      <c r="OP37">
        <v>23.538889207895501</v>
      </c>
      <c r="OQ37">
        <v>25.9777849944855</v>
      </c>
      <c r="OR37">
        <v>1259.85296848548</v>
      </c>
      <c r="OS37">
        <v>1122.1359680170201</v>
      </c>
      <c r="OT37">
        <v>23.755443258439701</v>
      </c>
      <c r="OU37">
        <v>26.536391239604299</v>
      </c>
      <c r="OV37">
        <v>1369.62242407283</v>
      </c>
      <c r="OW37">
        <v>130.12641503095401</v>
      </c>
      <c r="OX37">
        <v>23.166334909879801</v>
      </c>
      <c r="OY37">
        <v>25.410795801099901</v>
      </c>
      <c r="OZ37">
        <v>1991.1668268446899</v>
      </c>
      <c r="PA37">
        <v>1950.85672742987</v>
      </c>
      <c r="PB37">
        <v>23.243132504057801</v>
      </c>
      <c r="PC37">
        <v>26.0626801757425</v>
      </c>
      <c r="PD37">
        <v>2062.7138982125998</v>
      </c>
      <c r="PE37">
        <v>68.091649481914899</v>
      </c>
      <c r="PF37">
        <v>23.3341821219847</v>
      </c>
      <c r="PG37">
        <v>25.459086775817202</v>
      </c>
      <c r="PH37">
        <v>3.25004752053546</v>
      </c>
      <c r="PI37">
        <v>1196.49784174604</v>
      </c>
      <c r="PJ37">
        <v>1234.40048297212</v>
      </c>
      <c r="PK37">
        <v>23.335097534487701</v>
      </c>
      <c r="PL37">
        <v>25.7864241516722</v>
      </c>
      <c r="PM37">
        <v>3.2765719981728001</v>
      </c>
      <c r="PN37">
        <v>1206.5927163173901</v>
      </c>
      <c r="PO37">
        <v>25.975509875917101</v>
      </c>
      <c r="PP37">
        <v>26.565497578714101</v>
      </c>
      <c r="PQ37">
        <v>26.346211768269399</v>
      </c>
      <c r="PR37">
        <v>26.071912322648402</v>
      </c>
      <c r="PS37">
        <v>25.126367609895699</v>
      </c>
      <c r="PT37">
        <v>26.3491426113433</v>
      </c>
      <c r="PU37">
        <v>27.260452020478802</v>
      </c>
      <c r="PV37">
        <v>26.894331658244599</v>
      </c>
      <c r="PW37">
        <v>26.397166916586901</v>
      </c>
      <c r="PX37">
        <v>25.578929914075399</v>
      </c>
      <c r="PY37">
        <v>26.7754935046055</v>
      </c>
      <c r="PZ37">
        <v>27.676804375650399</v>
      </c>
      <c r="QA37">
        <v>27.269378384170299</v>
      </c>
      <c r="QB37">
        <v>26.7820005370275</v>
      </c>
      <c r="QC37">
        <v>26.3310060512169</v>
      </c>
      <c r="QD37">
        <v>22.084890129822</v>
      </c>
      <c r="QE37">
        <v>26.0988849326665</v>
      </c>
      <c r="QF37">
        <v>27.918374059091001</v>
      </c>
      <c r="QG37">
        <v>26.756804805722702</v>
      </c>
      <c r="QH37">
        <v>26.150720220741999</v>
      </c>
      <c r="QI37">
        <v>25.0802180972745</v>
      </c>
      <c r="QJ37">
        <v>25.9599538659558</v>
      </c>
      <c r="QK37">
        <v>26.736798817443301</v>
      </c>
      <c r="QL37">
        <v>26.4076539321225</v>
      </c>
      <c r="QM37">
        <v>25.987318499216201</v>
      </c>
      <c r="QN37">
        <v>1550.8016615137001</v>
      </c>
      <c r="QO37">
        <v>25.194121708545499</v>
      </c>
      <c r="QP37">
        <v>4425.94158722469</v>
      </c>
      <c r="QQ37">
        <v>26.164063637794101</v>
      </c>
      <c r="QR37">
        <v>26.934544835357801</v>
      </c>
      <c r="QS37">
        <v>26.5884316579941</v>
      </c>
      <c r="QT37">
        <v>26.167710353729898</v>
      </c>
      <c r="QU37">
        <v>25.6075873074325</v>
      </c>
      <c r="QV37">
        <v>18.370957445727498</v>
      </c>
      <c r="QW37">
        <v>0</v>
      </c>
      <c r="QX37">
        <v>334228.40880271402</v>
      </c>
      <c r="QY37">
        <v>0</v>
      </c>
      <c r="QZ37">
        <v>211948.54016050301</v>
      </c>
      <c r="RA37">
        <v>0</v>
      </c>
      <c r="RB37">
        <v>81115.243252720495</v>
      </c>
      <c r="RC37">
        <v>0</v>
      </c>
      <c r="RD37">
        <v>52402.797002762301</v>
      </c>
      <c r="RE37">
        <v>0</v>
      </c>
      <c r="RF37">
        <v>115652.698654191</v>
      </c>
      <c r="RG37">
        <v>0</v>
      </c>
      <c r="RH37">
        <v>70102.210356843396</v>
      </c>
      <c r="RI37">
        <v>0</v>
      </c>
      <c r="RJ37">
        <v>5560.2462897976002</v>
      </c>
      <c r="RK37">
        <v>26.2222599894159</v>
      </c>
      <c r="RL37">
        <v>-5589.7941891677701</v>
      </c>
      <c r="RM37">
        <v>-13143.9426217251</v>
      </c>
      <c r="RN37">
        <v>-5589.7941891677701</v>
      </c>
      <c r="RO37">
        <v>0</v>
      </c>
      <c r="RP37">
        <v>3564.6418881951899</v>
      </c>
      <c r="RQ37">
        <v>29.2712505394679</v>
      </c>
      <c r="RR37">
        <v>-3532.76658273165</v>
      </c>
      <c r="RS37">
        <v>-7001.0323020391297</v>
      </c>
      <c r="RT37">
        <v>-3532.76658273165</v>
      </c>
      <c r="RU37">
        <v>0</v>
      </c>
      <c r="RV37">
        <v>6973.9678442201703</v>
      </c>
      <c r="RW37">
        <v>27.167397843175898</v>
      </c>
      <c r="RX37">
        <v>-7000.44097633403</v>
      </c>
      <c r="RY37">
        <v>-13337.867722733799</v>
      </c>
      <c r="RZ37">
        <v>-7000.44097633403</v>
      </c>
      <c r="SA37">
        <v>0</v>
      </c>
      <c r="SB37">
        <v>3615.15448199101</v>
      </c>
      <c r="SC37">
        <v>26.229528118835699</v>
      </c>
      <c r="SD37">
        <v>-3614.30547885533</v>
      </c>
      <c r="SE37">
        <v>-8409.7099607957007</v>
      </c>
      <c r="SF37">
        <v>-3614.30547885533</v>
      </c>
      <c r="SG37">
        <v>0</v>
      </c>
      <c r="SH37">
        <v>19053.9995871502</v>
      </c>
      <c r="SI37">
        <v>25.034068584653301</v>
      </c>
      <c r="SJ37">
        <v>-19118.453218157301</v>
      </c>
      <c r="SK37">
        <v>-41317.370081960602</v>
      </c>
      <c r="SL37">
        <v>-19118.453218157301</v>
      </c>
      <c r="SM37">
        <v>21.1111</v>
      </c>
      <c r="SN37">
        <v>23.8889</v>
      </c>
      <c r="SO37">
        <v>29.193447744231001</v>
      </c>
      <c r="SP37">
        <v>0</v>
      </c>
      <c r="SQ37">
        <v>25.614410923375701</v>
      </c>
      <c r="SR37">
        <v>0</v>
      </c>
      <c r="SS37">
        <v>0</v>
      </c>
      <c r="ST37">
        <v>0</v>
      </c>
      <c r="SU37">
        <v>22.212608573879599</v>
      </c>
      <c r="SV37">
        <v>4.2904218667945297</v>
      </c>
      <c r="SW37">
        <v>26.271095657987502</v>
      </c>
      <c r="SX37">
        <v>0</v>
      </c>
      <c r="SY37">
        <v>0</v>
      </c>
      <c r="SZ37">
        <v>0</v>
      </c>
      <c r="TA37">
        <v>0</v>
      </c>
      <c r="TB37">
        <v>154.526774685296</v>
      </c>
      <c r="TC37">
        <v>25.4040131296419</v>
      </c>
      <c r="TD37">
        <v>0</v>
      </c>
      <c r="TE37">
        <v>0</v>
      </c>
      <c r="TF37">
        <v>0</v>
      </c>
      <c r="TG37">
        <v>11.4203377839358</v>
      </c>
      <c r="TH37">
        <v>0</v>
      </c>
      <c r="TI37">
        <v>25.650206718978101</v>
      </c>
      <c r="TJ37">
        <v>0</v>
      </c>
      <c r="TK37">
        <v>0</v>
      </c>
      <c r="TL37">
        <v>0</v>
      </c>
      <c r="TM37">
        <v>990.76065226455103</v>
      </c>
      <c r="TN37">
        <v>0</v>
      </c>
      <c r="TO37">
        <v>25.381786608328699</v>
      </c>
      <c r="TP37">
        <v>0</v>
      </c>
      <c r="TQ37">
        <v>0</v>
      </c>
      <c r="TR37">
        <v>0</v>
      </c>
      <c r="TS37">
        <v>0</v>
      </c>
      <c r="TT37">
        <v>6430.1387355290299</v>
      </c>
      <c r="TU37">
        <v>25.5707651205683</v>
      </c>
      <c r="TV37">
        <v>-6400.6100164342697</v>
      </c>
      <c r="TW37">
        <v>-13746.3394435873</v>
      </c>
      <c r="TX37">
        <v>-6400.6100164342697</v>
      </c>
      <c r="TY37">
        <v>0</v>
      </c>
      <c r="TZ37">
        <v>4889.7932059225705</v>
      </c>
      <c r="UA37">
        <v>26.213145614407701</v>
      </c>
      <c r="UB37">
        <v>-4897.9667369264698</v>
      </c>
      <c r="UC37">
        <v>-9342.3413599543092</v>
      </c>
      <c r="UD37">
        <v>-4897.9667369264698</v>
      </c>
      <c r="UE37">
        <v>0</v>
      </c>
      <c r="UF37">
        <v>7929.9393409467903</v>
      </c>
      <c r="UG37">
        <v>25.9209762060005</v>
      </c>
      <c r="UH37">
        <v>-7850.90728545804</v>
      </c>
      <c r="UI37">
        <v>-14401.578331106601</v>
      </c>
      <c r="UJ37">
        <v>-7850.90728545804</v>
      </c>
      <c r="UK37">
        <v>0</v>
      </c>
      <c r="UL37">
        <v>4211.1979107437301</v>
      </c>
      <c r="UM37">
        <v>25.577470081845501</v>
      </c>
      <c r="UN37">
        <v>-4190.8787429112699</v>
      </c>
      <c r="UO37">
        <v>-8845.6402842718908</v>
      </c>
      <c r="UP37">
        <v>-4190.8787429112699</v>
      </c>
      <c r="UQ37">
        <v>0</v>
      </c>
      <c r="UR37">
        <v>21645.604003028599</v>
      </c>
      <c r="US37">
        <v>24.809313503015598</v>
      </c>
      <c r="UT37">
        <v>-21707.221600303099</v>
      </c>
      <c r="UU37">
        <v>-44295.225736086701</v>
      </c>
      <c r="UV37">
        <v>-21707.221600303099</v>
      </c>
      <c r="UW37">
        <v>21.1111</v>
      </c>
      <c r="UX37">
        <v>23.8889</v>
      </c>
      <c r="UY37">
        <v>0</v>
      </c>
      <c r="UZ37">
        <v>261.65024378002602</v>
      </c>
      <c r="VA37">
        <v>25.2214028985528</v>
      </c>
      <c r="VB37">
        <v>0</v>
      </c>
      <c r="VC37">
        <v>0</v>
      </c>
      <c r="VD37">
        <v>0</v>
      </c>
      <c r="VE37">
        <v>0</v>
      </c>
      <c r="VF37">
        <v>291.40276788360899</v>
      </c>
      <c r="VG37">
        <v>25.821462242695102</v>
      </c>
      <c r="VH37">
        <v>0</v>
      </c>
      <c r="VI37">
        <v>0</v>
      </c>
      <c r="VJ37">
        <v>0</v>
      </c>
      <c r="VK37">
        <v>0</v>
      </c>
      <c r="VL37">
        <v>428.88355596275699</v>
      </c>
      <c r="VM37">
        <v>25.093756392678898</v>
      </c>
      <c r="VN37">
        <v>0</v>
      </c>
      <c r="VO37">
        <v>0</v>
      </c>
      <c r="VP37">
        <v>0</v>
      </c>
      <c r="VQ37">
        <v>0</v>
      </c>
      <c r="VR37">
        <v>181.662142059638</v>
      </c>
      <c r="VS37">
        <v>25.2235330646824</v>
      </c>
      <c r="VT37">
        <v>0</v>
      </c>
      <c r="VU37">
        <v>0</v>
      </c>
      <c r="VV37">
        <v>0</v>
      </c>
      <c r="VW37">
        <v>41.585758771776497</v>
      </c>
      <c r="VX37">
        <v>69.700091733851906</v>
      </c>
      <c r="VY37">
        <v>25.276223256815701</v>
      </c>
      <c r="VZ37">
        <v>0</v>
      </c>
      <c r="WA37">
        <v>0</v>
      </c>
      <c r="WB37">
        <v>0</v>
      </c>
      <c r="WC37">
        <v>0</v>
      </c>
      <c r="WD37">
        <v>7182.2651703736501</v>
      </c>
      <c r="WE37">
        <v>25.552633770982698</v>
      </c>
      <c r="WF37">
        <v>-7151.11550761542</v>
      </c>
      <c r="WG37">
        <v>-14482.2322811659</v>
      </c>
      <c r="WH37">
        <v>-7151.11550761542</v>
      </c>
      <c r="WI37">
        <v>19325274.800905801</v>
      </c>
      <c r="WJ37">
        <v>0</v>
      </c>
      <c r="WK37">
        <v>5368.1318891404899</v>
      </c>
      <c r="WL37">
        <v>26.192285295065101</v>
      </c>
      <c r="WM37">
        <v>-5369.3638908602597</v>
      </c>
      <c r="WN37">
        <v>-9810.2522832662798</v>
      </c>
      <c r="WO37">
        <v>-5369.3638908602597</v>
      </c>
      <c r="WP37">
        <v>18.333300000000001</v>
      </c>
      <c r="WQ37">
        <v>23.8889</v>
      </c>
      <c r="WR37">
        <v>0</v>
      </c>
      <c r="WS37">
        <v>8644.0695433360106</v>
      </c>
      <c r="WT37">
        <v>25.907484931817802</v>
      </c>
      <c r="WU37">
        <v>-8573.2762208189306</v>
      </c>
      <c r="WV37">
        <v>-15130.086537838601</v>
      </c>
      <c r="WW37">
        <v>-8573.2762208189306</v>
      </c>
      <c r="WX37">
        <v>16755970.0754207</v>
      </c>
      <c r="WY37">
        <v>0</v>
      </c>
      <c r="WZ37">
        <v>4654.4361320613098</v>
      </c>
      <c r="XA37">
        <v>25.5534201704324</v>
      </c>
      <c r="XB37">
        <v>-4633.2080480290297</v>
      </c>
      <c r="XC37">
        <v>-9281.7151717372108</v>
      </c>
      <c r="XD37">
        <v>-4633.2080480290297</v>
      </c>
      <c r="XE37">
        <v>0</v>
      </c>
      <c r="XF37">
        <v>26036.210447722198</v>
      </c>
      <c r="XG37">
        <v>24.8841685636481</v>
      </c>
      <c r="XH37">
        <v>-26097.436454915802</v>
      </c>
      <c r="XI37">
        <v>-48386.184345887203</v>
      </c>
      <c r="XJ37">
        <v>-26097.436454915802</v>
      </c>
      <c r="XK37">
        <v>21.1111</v>
      </c>
      <c r="XL37">
        <v>23.8889</v>
      </c>
      <c r="XM37">
        <v>0</v>
      </c>
      <c r="XN37">
        <v>1930.2170602871699</v>
      </c>
      <c r="XO37">
        <v>26.1425554133601</v>
      </c>
      <c r="XP37">
        <v>0</v>
      </c>
      <c r="XQ37">
        <v>0</v>
      </c>
      <c r="XR37">
        <v>0</v>
      </c>
      <c r="XS37">
        <v>0</v>
      </c>
      <c r="XT37">
        <v>1449.9416814168501</v>
      </c>
      <c r="XU37">
        <v>26.759014324181901</v>
      </c>
      <c r="XV37">
        <v>0</v>
      </c>
      <c r="XW37">
        <v>0</v>
      </c>
      <c r="XX37">
        <v>0</v>
      </c>
      <c r="XY37">
        <v>0</v>
      </c>
      <c r="XZ37">
        <v>2246.7918538049898</v>
      </c>
      <c r="YA37">
        <v>25.888927832187299</v>
      </c>
      <c r="YB37">
        <v>0</v>
      </c>
      <c r="YC37">
        <v>0</v>
      </c>
      <c r="YD37">
        <v>0</v>
      </c>
      <c r="YE37">
        <v>0</v>
      </c>
      <c r="YF37">
        <v>1193.99583093102</v>
      </c>
      <c r="YG37">
        <v>26.080135129871898</v>
      </c>
      <c r="YH37">
        <v>0</v>
      </c>
      <c r="YI37">
        <v>0</v>
      </c>
      <c r="YJ37">
        <v>0</v>
      </c>
      <c r="YK37">
        <v>0</v>
      </c>
      <c r="YL37">
        <v>7428.0181060171099</v>
      </c>
      <c r="YM37">
        <v>26.526577184206701</v>
      </c>
      <c r="YN37">
        <v>0</v>
      </c>
      <c r="YO37">
        <v>0</v>
      </c>
      <c r="YP37">
        <v>0</v>
      </c>
      <c r="YQ37">
        <v>0</v>
      </c>
      <c r="YR37">
        <v>1386.9296848588001</v>
      </c>
      <c r="YS37">
        <v>19.273648773024799</v>
      </c>
      <c r="YT37">
        <v>0</v>
      </c>
      <c r="YU37">
        <v>0</v>
      </c>
      <c r="YV37">
        <v>0</v>
      </c>
      <c r="YW37">
        <v>0</v>
      </c>
      <c r="YX37">
        <v>924.84901107037297</v>
      </c>
      <c r="YY37">
        <v>19.488266529929302</v>
      </c>
      <c r="YZ37">
        <v>0</v>
      </c>
      <c r="ZA37">
        <v>0</v>
      </c>
      <c r="ZB37">
        <v>0</v>
      </c>
      <c r="ZC37">
        <v>0</v>
      </c>
      <c r="ZD37">
        <v>1600.7220015212599</v>
      </c>
      <c r="ZE37">
        <v>19.062551339833998</v>
      </c>
      <c r="ZF37">
        <v>0</v>
      </c>
      <c r="ZG37">
        <v>0</v>
      </c>
      <c r="ZH37">
        <v>0</v>
      </c>
      <c r="ZI37">
        <v>0</v>
      </c>
      <c r="ZJ37">
        <v>898.52014215122199</v>
      </c>
      <c r="ZK37">
        <v>19.281773301422302</v>
      </c>
      <c r="ZL37">
        <v>0</v>
      </c>
      <c r="ZM37">
        <v>0</v>
      </c>
      <c r="ZN37">
        <v>0</v>
      </c>
      <c r="ZO37">
        <v>0</v>
      </c>
      <c r="ZP37">
        <v>12132.4774270951</v>
      </c>
      <c r="ZQ37">
        <v>17.711096212505002</v>
      </c>
      <c r="ZR37">
        <v>0</v>
      </c>
      <c r="ZS37">
        <v>0</v>
      </c>
      <c r="ZT37">
        <v>0</v>
      </c>
      <c r="ZU37">
        <v>0</v>
      </c>
      <c r="ZV37">
        <v>3501.36551603617</v>
      </c>
      <c r="ZW37">
        <v>20.685850039188999</v>
      </c>
      <c r="ZX37">
        <v>0</v>
      </c>
      <c r="ZY37">
        <v>0</v>
      </c>
      <c r="ZZ37">
        <v>0</v>
      </c>
      <c r="AAA37">
        <v>0</v>
      </c>
      <c r="AAB37">
        <v>2502.8514102859399</v>
      </c>
      <c r="AAC37">
        <v>20.759179917749599</v>
      </c>
      <c r="AAD37">
        <v>0</v>
      </c>
      <c r="AAE37">
        <v>0</v>
      </c>
      <c r="AAF37">
        <v>0</v>
      </c>
      <c r="AAG37">
        <v>0</v>
      </c>
      <c r="AAH37">
        <v>3879.3598264370498</v>
      </c>
      <c r="AAI37">
        <v>20.319038299015599</v>
      </c>
      <c r="AAJ37">
        <v>0</v>
      </c>
      <c r="AAK37">
        <v>0</v>
      </c>
      <c r="AAL37">
        <v>0</v>
      </c>
      <c r="AAM37">
        <v>0</v>
      </c>
      <c r="AAN37">
        <v>2276.4142291441499</v>
      </c>
      <c r="AAO37">
        <v>20.670073945994101</v>
      </c>
      <c r="AAP37">
        <v>0</v>
      </c>
      <c r="AAQ37">
        <v>0</v>
      </c>
      <c r="AAR37">
        <v>0</v>
      </c>
      <c r="AAS37">
        <v>0</v>
      </c>
      <c r="AAT37">
        <v>24402.6623900827</v>
      </c>
      <c r="AAU37">
        <v>18.364558933353099</v>
      </c>
      <c r="AAV37">
        <v>0</v>
      </c>
      <c r="AAW37">
        <v>0</v>
      </c>
      <c r="AAX37">
        <v>0</v>
      </c>
      <c r="AAY37">
        <v>0</v>
      </c>
      <c r="AAZ37">
        <v>3950.5531876664199</v>
      </c>
      <c r="ABA37">
        <v>20.6886234555895</v>
      </c>
      <c r="ABB37">
        <v>0</v>
      </c>
      <c r="ABC37">
        <v>0</v>
      </c>
      <c r="ABD37">
        <v>0</v>
      </c>
      <c r="ABE37">
        <v>0</v>
      </c>
      <c r="ABF37">
        <v>2799.4213125966698</v>
      </c>
      <c r="ABG37">
        <v>20.781584074502199</v>
      </c>
      <c r="ABH37">
        <v>0</v>
      </c>
      <c r="ABI37">
        <v>0</v>
      </c>
      <c r="ABJ37">
        <v>0</v>
      </c>
      <c r="ABK37">
        <v>0</v>
      </c>
      <c r="ABL37">
        <v>4316.9911867361498</v>
      </c>
      <c r="ABM37">
        <v>20.364469096509101</v>
      </c>
      <c r="ABN37">
        <v>0</v>
      </c>
      <c r="ABO37">
        <v>0</v>
      </c>
      <c r="ABP37">
        <v>0</v>
      </c>
      <c r="ABQ37">
        <v>0</v>
      </c>
      <c r="ABR37">
        <v>2555.4210157881898</v>
      </c>
      <c r="ABS37">
        <v>20.680689017991099</v>
      </c>
      <c r="ABT37">
        <v>0</v>
      </c>
      <c r="ABU37">
        <v>0</v>
      </c>
      <c r="ABV37">
        <v>0</v>
      </c>
      <c r="ABW37">
        <v>0</v>
      </c>
      <c r="ABX37">
        <v>28029.806871634399</v>
      </c>
      <c r="ABY37">
        <v>18.370957445727498</v>
      </c>
      <c r="ABZ37">
        <v>0</v>
      </c>
      <c r="ACA37">
        <v>0</v>
      </c>
      <c r="ACB37">
        <v>0</v>
      </c>
      <c r="ACC37">
        <v>0.74748382316013295</v>
      </c>
      <c r="ACD37">
        <v>222222029.46882099</v>
      </c>
      <c r="ACE37">
        <v>326668.13964499801</v>
      </c>
      <c r="ACF37">
        <v>12.4889075349104</v>
      </c>
      <c r="ACG37">
        <v>6.7</v>
      </c>
      <c r="ACH37">
        <v>13.50000361399</v>
      </c>
      <c r="ACI37">
        <v>388396.48116411502</v>
      </c>
      <c r="ACJ37">
        <v>5.2920834351259902</v>
      </c>
      <c r="ACK37">
        <v>25.038783367232501</v>
      </c>
      <c r="ACL37">
        <v>30.930843835586799</v>
      </c>
      <c r="ACM37">
        <v>15.7700042216757</v>
      </c>
      <c r="ACN37">
        <v>105390.341415922</v>
      </c>
      <c r="ACP37">
        <v>82424.994486898693</v>
      </c>
      <c r="ACR37">
        <v>187815.33590282101</v>
      </c>
      <c r="ACT37">
        <v>25.4337375861314</v>
      </c>
      <c r="ACU37">
        <v>23.891661225202999</v>
      </c>
      <c r="ACV37">
        <v>1.7</v>
      </c>
      <c r="ACW37">
        <v>1.42895175828409</v>
      </c>
      <c r="ACX37">
        <v>0.80018649133480002</v>
      </c>
      <c r="ACY37">
        <v>25.289336292462799</v>
      </c>
      <c r="ACZ37">
        <v>23.909409831860501</v>
      </c>
      <c r="ADA37">
        <v>1.7</v>
      </c>
      <c r="ADB37">
        <v>1.9865119898893699</v>
      </c>
      <c r="ADC37">
        <v>0.80021683005152899</v>
      </c>
      <c r="ADD37">
        <v>25.269806219832301</v>
      </c>
      <c r="ADE37">
        <v>23.895028322499499</v>
      </c>
      <c r="ADF37">
        <v>1.7</v>
      </c>
      <c r="ADG37">
        <v>2.5173871666831902</v>
      </c>
      <c r="ADH37">
        <v>0.80017156750449203</v>
      </c>
      <c r="ADI37">
        <v>25.6144007107278</v>
      </c>
      <c r="ADJ37">
        <v>23.782993846179899</v>
      </c>
      <c r="ADK37">
        <v>1.7</v>
      </c>
      <c r="ADL37">
        <v>1.8902129913596699</v>
      </c>
      <c r="ADM37">
        <v>0.70641161119865903</v>
      </c>
      <c r="ADN37">
        <v>26.3663707596302</v>
      </c>
      <c r="ADO37">
        <v>24.375206827490999</v>
      </c>
      <c r="ADP37">
        <v>1.7</v>
      </c>
      <c r="ADQ37">
        <v>1.76052815054516</v>
      </c>
      <c r="ADR37">
        <v>0.70818866618020004</v>
      </c>
      <c r="ADS37">
        <v>25.2518302948206</v>
      </c>
      <c r="ADT37">
        <v>23.526538569735699</v>
      </c>
      <c r="ADU37">
        <v>1.7</v>
      </c>
      <c r="ADV37">
        <v>6.3450008580278903</v>
      </c>
      <c r="ADW37">
        <v>0.70566953539431398</v>
      </c>
      <c r="ADX37">
        <v>25.6716702900648</v>
      </c>
      <c r="ADY37">
        <v>23.830236111727601</v>
      </c>
      <c r="ADZ37">
        <v>1.7</v>
      </c>
      <c r="AEA37">
        <v>1.93053562439224</v>
      </c>
      <c r="AEB37">
        <v>0.707391634695969</v>
      </c>
      <c r="AEC37">
        <v>25.068744992085101</v>
      </c>
      <c r="AED37">
        <v>23.8326940005288</v>
      </c>
      <c r="AEE37">
        <v>1.7</v>
      </c>
      <c r="AEF37">
        <v>3.0835573572518</v>
      </c>
      <c r="AEG37">
        <v>0.707688594163421</v>
      </c>
      <c r="AEH37">
        <v>25.537001006884498</v>
      </c>
      <c r="AEI37">
        <v>24.171986875546601</v>
      </c>
      <c r="AEJ37">
        <v>1.7</v>
      </c>
      <c r="AEK37">
        <v>3.2192009931744301</v>
      </c>
      <c r="AEL37">
        <v>0.70591166904616398</v>
      </c>
      <c r="AEM37">
        <v>24.9191769157677</v>
      </c>
      <c r="AEN37">
        <v>23.757745890799701</v>
      </c>
      <c r="AEO37">
        <v>1.7</v>
      </c>
      <c r="AEP37">
        <v>5.7651767390613697</v>
      </c>
      <c r="AEQ37">
        <v>0.70654623274068495</v>
      </c>
      <c r="AER37">
        <v>25.061435343459699</v>
      </c>
      <c r="AES37">
        <v>23.8254651382417</v>
      </c>
      <c r="AET37">
        <v>1.7</v>
      </c>
      <c r="AEU37">
        <v>3.1967159350154302</v>
      </c>
      <c r="AEV37">
        <v>0.70783709735094902</v>
      </c>
      <c r="AEW37">
        <v>25.0380066576869</v>
      </c>
      <c r="AEX37">
        <v>23.816826672565799</v>
      </c>
      <c r="AEY37">
        <v>1.7</v>
      </c>
      <c r="AEZ37">
        <v>3.2595907427452802</v>
      </c>
      <c r="AFA37">
        <v>0.70764710999168801</v>
      </c>
      <c r="AFB37">
        <v>25.519790364893801</v>
      </c>
      <c r="AFC37">
        <v>24.172904250167601</v>
      </c>
      <c r="AFD37">
        <v>1.7</v>
      </c>
      <c r="AFE37">
        <v>3.3641139534353401</v>
      </c>
      <c r="AFF37">
        <v>0.70618240239323204</v>
      </c>
      <c r="AFG37">
        <v>24.8939990127237</v>
      </c>
      <c r="AFH37">
        <v>23.7341864317805</v>
      </c>
      <c r="AFI37">
        <v>1.7</v>
      </c>
      <c r="AFJ37">
        <v>5.3068061878143897</v>
      </c>
      <c r="AFK37">
        <v>0.70653138064978105</v>
      </c>
      <c r="AFL37">
        <v>25.029274919110101</v>
      </c>
      <c r="AFM37">
        <v>23.810986391084398</v>
      </c>
      <c r="AFN37">
        <v>1.7</v>
      </c>
      <c r="AFO37">
        <v>3.36271040896633</v>
      </c>
      <c r="AFP37">
        <v>0.70786912433440996</v>
      </c>
      <c r="AFQ37">
        <v>-0.47115779154537601</v>
      </c>
      <c r="AFR37">
        <v>-0.45194482043627798</v>
      </c>
      <c r="AFS37">
        <v>-0.432507232433051</v>
      </c>
      <c r="AFT37">
        <v>-0.32666298710672897</v>
      </c>
      <c r="AFU37">
        <v>-0.34734717050251201</v>
      </c>
      <c r="AFV37">
        <v>-0.39321946448664502</v>
      </c>
      <c r="AFW37">
        <v>-0.38821665927316601</v>
      </c>
      <c r="AFX37">
        <v>-0.23137250892024999</v>
      </c>
      <c r="AFY37">
        <v>-0.30536368254123902</v>
      </c>
      <c r="AFZ37">
        <v>-0.34369949952532702</v>
      </c>
      <c r="AGA37">
        <v>-0.34413727161260099</v>
      </c>
      <c r="AGB37">
        <v>-0.178706405134539</v>
      </c>
      <c r="AGC37">
        <v>-0.49839122898995297</v>
      </c>
      <c r="AGD37">
        <v>-0.44305625196743298</v>
      </c>
      <c r="AGE37">
        <v>-0.36085688423207102</v>
      </c>
      <c r="AGF37">
        <v>0</v>
      </c>
      <c r="AGG37">
        <v>0</v>
      </c>
      <c r="AGH37">
        <v>0</v>
      </c>
      <c r="AGI37">
        <v>0</v>
      </c>
      <c r="AGJ37">
        <v>0</v>
      </c>
      <c r="AGK37">
        <v>0</v>
      </c>
      <c r="AGL37">
        <v>0</v>
      </c>
      <c r="AGM37">
        <v>0</v>
      </c>
      <c r="AGN37">
        <v>0</v>
      </c>
      <c r="AGO37">
        <v>0</v>
      </c>
      <c r="AGP37">
        <v>0</v>
      </c>
      <c r="AGQ37">
        <v>0</v>
      </c>
      <c r="AGR37">
        <v>0</v>
      </c>
      <c r="AGS37">
        <v>0</v>
      </c>
      <c r="AGT37">
        <v>0</v>
      </c>
      <c r="AGU37">
        <v>0</v>
      </c>
      <c r="AGV37">
        <v>0</v>
      </c>
      <c r="AGW37">
        <v>0</v>
      </c>
      <c r="AGX37">
        <v>0</v>
      </c>
      <c r="AGY37">
        <v>0</v>
      </c>
      <c r="AGZ37">
        <v>0</v>
      </c>
      <c r="AHA37">
        <v>0</v>
      </c>
      <c r="AHB37">
        <v>0</v>
      </c>
      <c r="AHC37">
        <v>0</v>
      </c>
      <c r="AHD37">
        <v>0</v>
      </c>
      <c r="AHE37">
        <v>0</v>
      </c>
      <c r="AHF37">
        <v>0</v>
      </c>
      <c r="AHG37">
        <v>0</v>
      </c>
      <c r="AHH37">
        <v>0</v>
      </c>
      <c r="AHI37">
        <v>0</v>
      </c>
      <c r="AHJ37">
        <v>0</v>
      </c>
      <c r="AHK37">
        <v>0</v>
      </c>
      <c r="AHL37">
        <v>0</v>
      </c>
      <c r="AHM37">
        <v>0</v>
      </c>
      <c r="AHN37">
        <v>0</v>
      </c>
      <c r="AHO37">
        <v>0</v>
      </c>
      <c r="AHP37">
        <v>0</v>
      </c>
      <c r="AHQ37">
        <v>0</v>
      </c>
      <c r="AHR37">
        <v>0</v>
      </c>
      <c r="AHS37">
        <v>0</v>
      </c>
      <c r="AHT37">
        <v>0</v>
      </c>
      <c r="AHU37">
        <v>0</v>
      </c>
      <c r="AHV37">
        <v>0</v>
      </c>
      <c r="AHW37">
        <v>0</v>
      </c>
      <c r="AHX37">
        <v>0</v>
      </c>
      <c r="AHZ37">
        <v>0</v>
      </c>
      <c r="AIB37">
        <v>0</v>
      </c>
      <c r="AID37">
        <v>0</v>
      </c>
      <c r="AIF37">
        <v>0</v>
      </c>
      <c r="AIH37">
        <v>0</v>
      </c>
      <c r="AIJ37">
        <v>0</v>
      </c>
      <c r="AIL37">
        <v>0</v>
      </c>
      <c r="AIN37">
        <v>0</v>
      </c>
      <c r="AIP37">
        <v>0</v>
      </c>
      <c r="AIR37">
        <v>0</v>
      </c>
      <c r="AIT37">
        <v>0</v>
      </c>
      <c r="AIV37">
        <v>0</v>
      </c>
      <c r="AIX37">
        <v>0</v>
      </c>
      <c r="AIZ37">
        <v>0</v>
      </c>
      <c r="AJB37">
        <v>0</v>
      </c>
      <c r="AJC37">
        <v>0</v>
      </c>
      <c r="AJE37">
        <v>324740.25869766698</v>
      </c>
      <c r="AJH37">
        <v>8962.6710090407396</v>
      </c>
      <c r="AJJ37">
        <v>183.80401834048999</v>
      </c>
      <c r="AJK37">
        <v>155.18066581919501</v>
      </c>
      <c r="AJL37">
        <v>136.22834773155199</v>
      </c>
      <c r="AJM37">
        <v>1245.0904652509801</v>
      </c>
      <c r="AJN37">
        <v>200.488894032216</v>
      </c>
      <c r="AJO37">
        <v>191.78732280672099</v>
      </c>
      <c r="AJP37">
        <v>170.63305487235201</v>
      </c>
      <c r="AJQ37">
        <v>1209.57127118228</v>
      </c>
      <c r="AJR37">
        <v>255.09140609421701</v>
      </c>
      <c r="AJS37">
        <v>43.885133798701098</v>
      </c>
      <c r="AJT37">
        <v>50.168939395091002</v>
      </c>
      <c r="AJU37">
        <v>379.47795361065403</v>
      </c>
      <c r="AJV37">
        <v>77.3505898251818</v>
      </c>
      <c r="AJW37">
        <v>0</v>
      </c>
      <c r="AJX37">
        <v>0</v>
      </c>
      <c r="AJY37">
        <v>0</v>
      </c>
      <c r="AJZ37">
        <v>324984.44083291199</v>
      </c>
      <c r="AKA37">
        <v>0</v>
      </c>
      <c r="AKB37">
        <v>0</v>
      </c>
      <c r="AKC37">
        <v>0</v>
      </c>
      <c r="AKD37">
        <v>0</v>
      </c>
      <c r="AKE37">
        <v>65.56</v>
      </c>
      <c r="AKF37">
        <v>65.56</v>
      </c>
      <c r="AKG37">
        <v>0</v>
      </c>
      <c r="AKH37">
        <v>0</v>
      </c>
      <c r="AKI37">
        <v>0</v>
      </c>
      <c r="AKJ37">
        <v>0</v>
      </c>
      <c r="AKK37">
        <v>0</v>
      </c>
      <c r="AKL37">
        <v>65.56</v>
      </c>
      <c r="AKM37">
        <v>65.56</v>
      </c>
      <c r="AKN37">
        <v>0</v>
      </c>
      <c r="AKO37">
        <v>0</v>
      </c>
      <c r="AKP37">
        <v>0</v>
      </c>
      <c r="AKT37">
        <v>6734795.2483461499</v>
      </c>
      <c r="AKX37">
        <v>6078357.7937538503</v>
      </c>
      <c r="ALB37">
        <v>30.9538963434015</v>
      </c>
      <c r="ALC37">
        <v>25.3878816800426</v>
      </c>
      <c r="ALD37">
        <v>15.7700042216757</v>
      </c>
      <c r="ALE37">
        <v>366903.99240935501</v>
      </c>
      <c r="ALF37">
        <v>3876.01471762034</v>
      </c>
      <c r="ALH37">
        <v>15.1913626416006</v>
      </c>
      <c r="ALI37">
        <v>8.8540741146417006E-3</v>
      </c>
      <c r="ALJ37">
        <v>19.778561905780599</v>
      </c>
      <c r="ALK37">
        <v>27.665830550599502</v>
      </c>
      <c r="ALL37">
        <v>19.778561905780599</v>
      </c>
      <c r="ALM37">
        <v>0</v>
      </c>
      <c r="ALN37">
        <v>25.791352365040201</v>
      </c>
      <c r="ALO37">
        <v>9.3017290999933798E-3</v>
      </c>
      <c r="ALP37">
        <v>44.918047780616398</v>
      </c>
      <c r="ALQ37">
        <v>19.778561905780599</v>
      </c>
      <c r="ALR37">
        <v>15.1913626416006</v>
      </c>
      <c r="ALS37">
        <v>19.778561905780599</v>
      </c>
      <c r="ALT37">
        <v>15.5600035752426</v>
      </c>
      <c r="ALU37">
        <v>19.778561905780599</v>
      </c>
      <c r="ALV37">
        <v>6.7043271676391498</v>
      </c>
      <c r="ALW37">
        <v>4.6358340162406201E-3</v>
      </c>
      <c r="ALX37">
        <v>23.462417228681801</v>
      </c>
      <c r="ALY37">
        <v>4.6358340162406201E-3</v>
      </c>
      <c r="ALZ37">
        <v>0</v>
      </c>
      <c r="AMA37">
        <v>12.4889075349104</v>
      </c>
      <c r="AMB37">
        <v>1.35E-2</v>
      </c>
      <c r="AMC37">
        <v>12.459070597796201</v>
      </c>
      <c r="AMD37">
        <v>1.35E-2</v>
      </c>
      <c r="AME37">
        <v>6.7</v>
      </c>
      <c r="AMF37">
        <v>1.35E-2</v>
      </c>
      <c r="AMG37">
        <v>1.5769999999999999E-2</v>
      </c>
      <c r="AMH37">
        <v>4.2474999999999996</v>
      </c>
      <c r="AMI37">
        <v>19.378501005448399</v>
      </c>
      <c r="AMJ37">
        <v>0.46690442174397701</v>
      </c>
      <c r="AMK37" s="580">
        <v>17.716158983362099</v>
      </c>
      <c r="AML37">
        <v>2.00516688652257</v>
      </c>
      <c r="AMM37">
        <v>19.5429011907245</v>
      </c>
      <c r="AMN37">
        <v>0.42460767376817898</v>
      </c>
      <c r="AMO37">
        <v>19.376392014495099</v>
      </c>
      <c r="AMP37">
        <v>0.72450581233113298</v>
      </c>
      <c r="AMQ37">
        <v>19.390069762622002</v>
      </c>
      <c r="AMR37">
        <v>0.96721169145685904</v>
      </c>
      <c r="AMS37">
        <v>18.382189788014401</v>
      </c>
      <c r="AMT37">
        <v>2.5461779504295499</v>
      </c>
      <c r="AMU37">
        <v>20.895352955931202</v>
      </c>
      <c r="AMV37">
        <v>0.85660217175381903</v>
      </c>
      <c r="AMW37">
        <v>20.830961063103398</v>
      </c>
      <c r="AMX37">
        <v>0.809435067414495</v>
      </c>
      <c r="AMY37">
        <v>20.8401467247364</v>
      </c>
      <c r="AMZ37">
        <v>1.2364722757059401</v>
      </c>
      <c r="ANA37">
        <v>20.961255588640501</v>
      </c>
      <c r="ANB37">
        <v>1.6294601409106599</v>
      </c>
      <c r="ANC37">
        <v>18.389988809048301</v>
      </c>
      <c r="AND37">
        <v>3.0753724472101198</v>
      </c>
      <c r="ANE37">
        <v>20.935588525341299</v>
      </c>
      <c r="ANF37">
        <v>0.95225467361578298</v>
      </c>
      <c r="ANG37">
        <v>20.858862586029598</v>
      </c>
      <c r="ANH37">
        <v>0.90753483622616904</v>
      </c>
      <c r="ANI37">
        <v>20.860873262652301</v>
      </c>
      <c r="ANJ37">
        <v>1.39815982513423</v>
      </c>
      <c r="ANK37">
        <v>20.9418349865728</v>
      </c>
      <c r="ANL37">
        <v>1.7786960315571301</v>
      </c>
      <c r="ANM37">
        <v>4.5883964858227202</v>
      </c>
      <c r="ANN37">
        <v>7.0781476062144701</v>
      </c>
      <c r="ANO37">
        <v>8.1120178137434404</v>
      </c>
      <c r="ANP37">
        <v>17.716158983362099</v>
      </c>
      <c r="ANQ37">
        <v>19.458824616806201</v>
      </c>
      <c r="ANR37">
        <v>19.291092384848302</v>
      </c>
      <c r="ANS37">
        <v>19.070910341284101</v>
      </c>
      <c r="ANT37">
        <v>19.289547111553698</v>
      </c>
      <c r="ANU37">
        <v>18.382189788014401</v>
      </c>
      <c r="ANV37">
        <v>20.7479792234016</v>
      </c>
      <c r="ANW37">
        <v>20.694047996321899</v>
      </c>
      <c r="ANX37">
        <v>20.339691385287299</v>
      </c>
      <c r="ANY37">
        <v>20.708241259492201</v>
      </c>
      <c r="ANZ37">
        <v>18.389988809048301</v>
      </c>
      <c r="AOA37">
        <v>20.771745767572799</v>
      </c>
      <c r="AOB37">
        <v>20.705906252387699</v>
      </c>
      <c r="AOC37">
        <v>20.388622499070699</v>
      </c>
      <c r="AOD37">
        <v>20.712448858685601</v>
      </c>
      <c r="AOE37">
        <v>25.791352365040201</v>
      </c>
      <c r="AOF37">
        <v>4.2474999999999996</v>
      </c>
      <c r="AOG37">
        <v>25.826527388970199</v>
      </c>
      <c r="AOH37">
        <v>4.2474999999999996</v>
      </c>
    </row>
    <row r="38" spans="1:1074">
      <c r="A38" t="s">
        <v>2608</v>
      </c>
      <c r="B38">
        <v>36.224800000000002</v>
      </c>
      <c r="D38">
        <v>20.645359948903302</v>
      </c>
      <c r="F38">
        <v>9</v>
      </c>
      <c r="G38">
        <v>10945018.5837641</v>
      </c>
      <c r="H38">
        <v>25252376.055390202</v>
      </c>
      <c r="I38">
        <v>6950739.3466344699</v>
      </c>
      <c r="J38">
        <v>16036764.3509151</v>
      </c>
      <c r="K38">
        <v>10945018.5837641</v>
      </c>
      <c r="L38">
        <v>25252376.055390202</v>
      </c>
      <c r="M38">
        <v>6950739.3466344699</v>
      </c>
      <c r="N38">
        <v>16036764.3509151</v>
      </c>
      <c r="O38">
        <v>56445592.898657002</v>
      </c>
      <c r="P38">
        <v>130231422.417206</v>
      </c>
      <c r="Q38">
        <v>10945018.5837641</v>
      </c>
      <c r="R38">
        <v>25252376.055390202</v>
      </c>
      <c r="S38">
        <v>6950739.3466344699</v>
      </c>
      <c r="T38">
        <v>16036764.3509151</v>
      </c>
      <c r="U38">
        <v>10945018.5837641</v>
      </c>
      <c r="V38">
        <v>25252376.055390202</v>
      </c>
      <c r="W38">
        <v>6950739.3466344699</v>
      </c>
      <c r="X38">
        <v>16036764.3509151</v>
      </c>
      <c r="Y38">
        <v>56445592.898657002</v>
      </c>
      <c r="Z38">
        <v>130231422.417206</v>
      </c>
      <c r="AA38">
        <v>10945018.5837641</v>
      </c>
      <c r="AB38">
        <v>25252376.055390202</v>
      </c>
      <c r="AC38">
        <v>6950739.3466344699</v>
      </c>
      <c r="AD38">
        <v>16036764.3509151</v>
      </c>
      <c r="AE38">
        <v>10945018.5837641</v>
      </c>
      <c r="AF38">
        <v>25252376.055390202</v>
      </c>
      <c r="AG38">
        <v>6950739.3466344699</v>
      </c>
      <c r="AH38">
        <v>16036764.3509151</v>
      </c>
      <c r="AI38">
        <v>56445592.898657002</v>
      </c>
      <c r="AJ38">
        <v>130231422.417206</v>
      </c>
      <c r="AK38">
        <v>23.716228502806501</v>
      </c>
      <c r="AL38">
        <v>3956060.4386927001</v>
      </c>
      <c r="AM38">
        <v>10245410.713212401</v>
      </c>
      <c r="AN38">
        <v>23.716228502806501</v>
      </c>
      <c r="AO38">
        <v>3956060.4386927001</v>
      </c>
      <c r="AP38">
        <v>10245410.713212401</v>
      </c>
      <c r="AQ38">
        <v>15.0612190693548</v>
      </c>
      <c r="AR38">
        <v>2512334.2403159901</v>
      </c>
      <c r="AS38">
        <v>6506446.6379612898</v>
      </c>
      <c r="AT38">
        <v>15.0612190693548</v>
      </c>
      <c r="AU38">
        <v>2512334.2403159901</v>
      </c>
      <c r="AV38">
        <v>6506446.6379612898</v>
      </c>
      <c r="AW38">
        <v>23.716228502806501</v>
      </c>
      <c r="AX38">
        <v>3956060.4386927001</v>
      </c>
      <c r="AY38">
        <v>10245410.713212401</v>
      </c>
      <c r="AZ38">
        <v>23.716228502806501</v>
      </c>
      <c r="BA38">
        <v>3956060.4386927001</v>
      </c>
      <c r="BB38">
        <v>10245410.713212401</v>
      </c>
      <c r="BC38">
        <v>15.0612190693548</v>
      </c>
      <c r="BD38">
        <v>2512334.2403159901</v>
      </c>
      <c r="BE38">
        <v>6506446.6379612898</v>
      </c>
      <c r="BF38">
        <v>15.0612190693548</v>
      </c>
      <c r="BG38">
        <v>2512334.2403159901</v>
      </c>
      <c r="BH38">
        <v>6506446.6379612898</v>
      </c>
      <c r="BI38">
        <v>23.716228502806501</v>
      </c>
      <c r="BJ38">
        <v>3956060.4386927001</v>
      </c>
      <c r="BK38">
        <v>10245410.713212401</v>
      </c>
      <c r="BL38">
        <v>23.716228502806501</v>
      </c>
      <c r="BM38">
        <v>3956060.4386927001</v>
      </c>
      <c r="BN38">
        <v>10245410.713212401</v>
      </c>
      <c r="BO38">
        <v>15.0612190693548</v>
      </c>
      <c r="BP38">
        <v>2512334.2403159901</v>
      </c>
      <c r="BQ38">
        <v>6506446.6379612898</v>
      </c>
      <c r="BR38">
        <v>15.0612190693548</v>
      </c>
      <c r="BS38">
        <v>2512334.2403159901</v>
      </c>
      <c r="BT38">
        <v>6506446.6379612898</v>
      </c>
      <c r="BU38">
        <v>52837578.828362301</v>
      </c>
      <c r="BV38">
        <v>122.309210250839</v>
      </c>
      <c r="BW38">
        <v>20402174.312995501</v>
      </c>
      <c r="BX38">
        <v>52837578.828362301</v>
      </c>
      <c r="BY38">
        <v>122.309210250839</v>
      </c>
      <c r="BZ38">
        <v>20402174.312995501</v>
      </c>
      <c r="CA38">
        <v>52837578.828362301</v>
      </c>
      <c r="CB38">
        <v>122.309210250839</v>
      </c>
      <c r="CC38">
        <v>20402174.312995501</v>
      </c>
      <c r="CD38">
        <v>52837578.828362301</v>
      </c>
      <c r="CE38">
        <v>3773179.8574618599</v>
      </c>
      <c r="CF38">
        <v>8575408.7669587694</v>
      </c>
      <c r="CG38">
        <v>3773179.8574618599</v>
      </c>
      <c r="CH38">
        <v>8575408.7669587694</v>
      </c>
      <c r="CI38">
        <v>2396194.1678283801</v>
      </c>
      <c r="CJ38">
        <v>5445895.8359735999</v>
      </c>
      <c r="CK38">
        <v>2396194.1678283801</v>
      </c>
      <c r="CL38">
        <v>5445895.8359735999</v>
      </c>
      <c r="CM38">
        <v>3773179.8574618599</v>
      </c>
      <c r="CN38">
        <v>8575408.7669587694</v>
      </c>
      <c r="CO38">
        <v>3773179.8574618599</v>
      </c>
      <c r="CP38">
        <v>8575408.7669587694</v>
      </c>
      <c r="CQ38">
        <v>2396194.1678283801</v>
      </c>
      <c r="CR38">
        <v>5445895.8359735999</v>
      </c>
      <c r="CS38">
        <v>2396194.1678283801</v>
      </c>
      <c r="CT38">
        <v>5445895.8359735999</v>
      </c>
      <c r="CU38">
        <v>3773179.8574618599</v>
      </c>
      <c r="CV38">
        <v>8575408.7669587694</v>
      </c>
      <c r="CW38">
        <v>3773179.8574618599</v>
      </c>
      <c r="CX38">
        <v>8575408.7669587694</v>
      </c>
      <c r="CY38">
        <v>2396194.1678283801</v>
      </c>
      <c r="CZ38">
        <v>5445895.8359735999</v>
      </c>
      <c r="DA38">
        <v>2396194.1678283801</v>
      </c>
      <c r="DB38">
        <v>5445895.8359735999</v>
      </c>
      <c r="DC38">
        <v>19459023.5309093</v>
      </c>
      <c r="DD38">
        <v>44225053.479339302</v>
      </c>
      <c r="DE38">
        <v>19459023.5309093</v>
      </c>
      <c r="DF38">
        <v>44225053.479339302</v>
      </c>
      <c r="DG38">
        <v>19459023.5309093</v>
      </c>
      <c r="DH38">
        <v>44225053.479339302</v>
      </c>
      <c r="DI38">
        <v>3215778.2876095399</v>
      </c>
      <c r="DJ38">
        <v>6431556.5752190799</v>
      </c>
      <c r="DK38">
        <v>3215778.2876095399</v>
      </c>
      <c r="DL38">
        <v>6431556.5752190799</v>
      </c>
      <c r="DM38">
        <v>2042210.9384901</v>
      </c>
      <c r="DN38">
        <v>4084421.8769801999</v>
      </c>
      <c r="DO38">
        <v>2042210.9384901</v>
      </c>
      <c r="DP38">
        <v>4084421.8769801999</v>
      </c>
      <c r="DQ38">
        <v>3215778.2876095399</v>
      </c>
      <c r="DR38">
        <v>6431556.5752190799</v>
      </c>
      <c r="DS38">
        <v>3215778.2876095399</v>
      </c>
      <c r="DT38">
        <v>6431556.5752190799</v>
      </c>
      <c r="DU38">
        <v>2042210.9384901</v>
      </c>
      <c r="DV38">
        <v>4084421.8769801999</v>
      </c>
      <c r="DW38">
        <v>2042210.9384901</v>
      </c>
      <c r="DX38">
        <v>4084421.8769801999</v>
      </c>
      <c r="DY38">
        <v>3215778.2876095399</v>
      </c>
      <c r="DZ38">
        <v>6431556.5752190799</v>
      </c>
      <c r="EA38">
        <v>3215778.2876095399</v>
      </c>
      <c r="EB38">
        <v>6431556.5752190799</v>
      </c>
      <c r="EC38">
        <v>2042210.9384901</v>
      </c>
      <c r="ED38">
        <v>4084421.8769801999</v>
      </c>
      <c r="EE38">
        <v>2042210.9384901</v>
      </c>
      <c r="EF38">
        <v>4084421.8769801999</v>
      </c>
      <c r="EG38">
        <v>16584395.054752201</v>
      </c>
      <c r="EH38">
        <v>33168790.109504402</v>
      </c>
      <c r="EI38">
        <v>16584395.054752201</v>
      </c>
      <c r="EJ38">
        <v>33168790.109504402</v>
      </c>
      <c r="EK38">
        <v>16584395.054752201</v>
      </c>
      <c r="EL38">
        <v>33168790.109504402</v>
      </c>
      <c r="EM38">
        <v>3678.5766628525998</v>
      </c>
      <c r="EN38">
        <v>2375.9910310764199</v>
      </c>
      <c r="EO38">
        <v>6965.3988619259499</v>
      </c>
      <c r="EP38">
        <v>2891.4702393433199</v>
      </c>
      <c r="EQ38">
        <v>0</v>
      </c>
      <c r="ER38">
        <v>3929.32799009567</v>
      </c>
      <c r="ES38">
        <v>2572.6318279686802</v>
      </c>
      <c r="ET38">
        <v>7426.8819743136</v>
      </c>
      <c r="EU38">
        <v>10.2255925413701</v>
      </c>
      <c r="EV38">
        <v>3097.1879021115801</v>
      </c>
      <c r="EW38">
        <v>0</v>
      </c>
      <c r="EX38">
        <v>3894.9199732653901</v>
      </c>
      <c r="EY38">
        <v>9.5057400750281804</v>
      </c>
      <c r="EZ38">
        <v>2548.0552114531902</v>
      </c>
      <c r="FA38">
        <v>7367.6702623483397</v>
      </c>
      <c r="FB38">
        <v>10.2262906363996</v>
      </c>
      <c r="FC38">
        <v>3070.9900505800101</v>
      </c>
      <c r="FD38">
        <v>0</v>
      </c>
      <c r="FE38">
        <v>0</v>
      </c>
      <c r="FF38">
        <v>0</v>
      </c>
      <c r="FG38">
        <v>0</v>
      </c>
      <c r="FH38">
        <v>0</v>
      </c>
      <c r="FI38">
        <v>0</v>
      </c>
      <c r="FJ38">
        <v>0</v>
      </c>
      <c r="FK38">
        <v>0</v>
      </c>
      <c r="FL38">
        <v>0</v>
      </c>
      <c r="FM38">
        <v>0</v>
      </c>
      <c r="FN38">
        <v>0</v>
      </c>
      <c r="FO38">
        <v>2.45251372506161E-2</v>
      </c>
      <c r="FP38">
        <v>0</v>
      </c>
      <c r="FQ38">
        <v>3.7712464405102401E-3</v>
      </c>
      <c r="FR38">
        <v>0</v>
      </c>
      <c r="FS38">
        <v>3070.9900505800101</v>
      </c>
      <c r="FT38">
        <v>0</v>
      </c>
      <c r="FU38">
        <v>542.63589370891805</v>
      </c>
      <c r="FV38">
        <v>0</v>
      </c>
      <c r="FW38">
        <v>0</v>
      </c>
      <c r="FX38">
        <v>4.3625321459970102E-4</v>
      </c>
      <c r="FY38">
        <v>2.45251372506161E-2</v>
      </c>
      <c r="FZ38">
        <v>0</v>
      </c>
      <c r="GA38">
        <v>3.7712464405102401E-3</v>
      </c>
      <c r="GB38">
        <v>133.58044722426601</v>
      </c>
      <c r="GC38">
        <v>211.25964803125399</v>
      </c>
      <c r="GD38">
        <v>134.080824488638</v>
      </c>
      <c r="GE38">
        <v>145.15343159477399</v>
      </c>
      <c r="GF38">
        <v>140.31590509553399</v>
      </c>
      <c r="GG38">
        <v>78.242173139592296</v>
      </c>
      <c r="GH38">
        <v>88.906849185871906</v>
      </c>
      <c r="GI38">
        <v>332.59356327914702</v>
      </c>
      <c r="GJ38">
        <v>354.27899528327401</v>
      </c>
      <c r="GK38">
        <v>118.59865746904499</v>
      </c>
      <c r="GL38">
        <v>137.763731464887</v>
      </c>
      <c r="GM38">
        <v>67.522403664978398</v>
      </c>
      <c r="GN38">
        <v>32.3816235135344</v>
      </c>
      <c r="GO38">
        <v>25.6625028821529</v>
      </c>
      <c r="GP38">
        <v>26.065257898762301</v>
      </c>
      <c r="GQ38">
        <v>19.685873513717901</v>
      </c>
      <c r="GR38">
        <v>-81.341876948272898</v>
      </c>
      <c r="GS38">
        <v>-629.37086218672505</v>
      </c>
      <c r="GT38">
        <v>63.412456932507297</v>
      </c>
      <c r="GU38">
        <v>26.256575505465499</v>
      </c>
      <c r="GV38">
        <v>26.640464973463999</v>
      </c>
      <c r="GW38">
        <v>-1.68394557468168</v>
      </c>
      <c r="GX38">
        <v>-111.711882710864</v>
      </c>
      <c r="GY38">
        <v>-595.63114913632205</v>
      </c>
      <c r="GZ38">
        <v>86.616734162894105</v>
      </c>
      <c r="HA38">
        <v>25.767956244987399</v>
      </c>
      <c r="HB38">
        <v>26.279779383683302</v>
      </c>
      <c r="HC38">
        <v>81.106616592565103</v>
      </c>
      <c r="HD38">
        <v>-39.9888007870221</v>
      </c>
      <c r="HE38">
        <v>-731.06249612851195</v>
      </c>
      <c r="HF38">
        <v>18.9974767898889</v>
      </c>
      <c r="HG38">
        <v>25.7938096904135</v>
      </c>
      <c r="HH38">
        <v>26.265184606299499</v>
      </c>
      <c r="HI38">
        <v>15.390010252041</v>
      </c>
      <c r="HJ38">
        <v>-53.2342706548637</v>
      </c>
      <c r="HK38">
        <v>-414.25368350884901</v>
      </c>
      <c r="HL38">
        <v>265.34785508945203</v>
      </c>
      <c r="HM38">
        <v>26.3290679043617</v>
      </c>
      <c r="HN38">
        <v>26.0415865683707</v>
      </c>
      <c r="HO38">
        <v>275.41791656069699</v>
      </c>
      <c r="HP38">
        <v>123.045890389638</v>
      </c>
      <c r="HQ38">
        <v>26.400657549664999</v>
      </c>
      <c r="HR38">
        <v>195.47815687436201</v>
      </c>
      <c r="HS38">
        <v>342.73841810199701</v>
      </c>
      <c r="HT38">
        <v>26.6471614063442</v>
      </c>
      <c r="HU38">
        <v>26.2092695975577</v>
      </c>
      <c r="HV38">
        <v>180.97989545452401</v>
      </c>
      <c r="HW38">
        <v>251.76176897884901</v>
      </c>
      <c r="HX38">
        <v>26.909228388220502</v>
      </c>
      <c r="HY38">
        <v>167.69902935076101</v>
      </c>
      <c r="HZ38">
        <v>26.7060503975787</v>
      </c>
      <c r="IA38">
        <v>26.232582340076899</v>
      </c>
      <c r="IB38">
        <v>328.30004229992397</v>
      </c>
      <c r="IC38">
        <v>412.837760278198</v>
      </c>
      <c r="ID38">
        <v>159.80558969828201</v>
      </c>
      <c r="IE38">
        <v>26.803858424951201</v>
      </c>
      <c r="IF38">
        <v>270.02459010320001</v>
      </c>
      <c r="IG38">
        <v>50.6324158775505</v>
      </c>
      <c r="IH38">
        <v>26.399059899762001</v>
      </c>
      <c r="II38">
        <v>26.104255089515402</v>
      </c>
      <c r="IJ38">
        <v>174.37328890379899</v>
      </c>
      <c r="IK38">
        <v>56.247614561841999</v>
      </c>
      <c r="IL38">
        <v>180.59451605077399</v>
      </c>
      <c r="IM38">
        <v>101.20115903238801</v>
      </c>
      <c r="IN38">
        <v>26.472487889332999</v>
      </c>
      <c r="IO38">
        <v>0.69281405627729997</v>
      </c>
      <c r="IP38">
        <v>135.60625606046801</v>
      </c>
      <c r="IQ38">
        <v>271.60560704999</v>
      </c>
      <c r="IR38">
        <v>187.66461089814999</v>
      </c>
      <c r="IS38">
        <v>318.476030495494</v>
      </c>
      <c r="IT38">
        <v>170.68751434371799</v>
      </c>
      <c r="IU38">
        <v>382.74687485288899</v>
      </c>
      <c r="IV38">
        <v>53.210557857276001</v>
      </c>
      <c r="IW38">
        <v>25.812357365258599</v>
      </c>
      <c r="IX38">
        <v>26.400657549664999</v>
      </c>
      <c r="IY38">
        <v>148.37342724120799</v>
      </c>
      <c r="IZ38">
        <v>4.1746713019853701</v>
      </c>
      <c r="JA38">
        <v>-551.14590340830398</v>
      </c>
      <c r="JB38">
        <v>98.559611862011707</v>
      </c>
      <c r="JC38">
        <v>26.365146236653501</v>
      </c>
      <c r="JD38">
        <v>26.909228388220502</v>
      </c>
      <c r="JE38">
        <v>127.14756293710001</v>
      </c>
      <c r="JF38">
        <v>8.7648116104179294</v>
      </c>
      <c r="JG38">
        <v>-428.01101707837</v>
      </c>
      <c r="JH38">
        <v>110.179665699693</v>
      </c>
      <c r="JI38">
        <v>26.012829128646299</v>
      </c>
      <c r="JJ38">
        <v>26.803858424951201</v>
      </c>
      <c r="JK38">
        <v>255.96546607433001</v>
      </c>
      <c r="JL38">
        <v>20.158660992556101</v>
      </c>
      <c r="JM38">
        <v>-718.80425886048999</v>
      </c>
      <c r="JN38">
        <v>36.130275948465702</v>
      </c>
      <c r="JO38">
        <v>25.865723026760701</v>
      </c>
      <c r="JP38">
        <v>26.472487889332999</v>
      </c>
      <c r="JQ38">
        <v>1.2652465463649101</v>
      </c>
      <c r="JR38">
        <v>106.97648582119599</v>
      </c>
      <c r="JS38">
        <v>0.39883015230275798</v>
      </c>
      <c r="JT38">
        <v>7.4005402002610898</v>
      </c>
      <c r="JU38">
        <v>-327.826093962019</v>
      </c>
      <c r="JV38">
        <v>325.32720827583199</v>
      </c>
      <c r="JW38">
        <v>400.562510969328</v>
      </c>
      <c r="JX38">
        <v>487.200390916336</v>
      </c>
      <c r="JY38">
        <v>381.848555354582</v>
      </c>
      <c r="JZ38">
        <v>368.32551749910101</v>
      </c>
      <c r="KA38">
        <v>361.18606877620698</v>
      </c>
      <c r="KB38">
        <v>466.387540045739</v>
      </c>
      <c r="KC38">
        <v>403.11227300273202</v>
      </c>
      <c r="KD38">
        <v>567.05687373372098</v>
      </c>
      <c r="KE38">
        <v>216.08261107224001</v>
      </c>
      <c r="KF38">
        <v>30.0178860794325</v>
      </c>
      <c r="KG38">
        <v>579.03268719902405</v>
      </c>
      <c r="KH38">
        <v>0.89421802152462404</v>
      </c>
      <c r="KI38">
        <v>264.67848004310503</v>
      </c>
      <c r="KJ38">
        <v>311.09641378228503</v>
      </c>
      <c r="KK38">
        <v>173.004709547777</v>
      </c>
      <c r="KL38">
        <v>28.158790009172598</v>
      </c>
      <c r="KM38">
        <v>27.476345124296198</v>
      </c>
      <c r="KN38">
        <v>758.34256232976099</v>
      </c>
      <c r="KO38">
        <v>29.659837830609</v>
      </c>
      <c r="KP38">
        <v>70.729828960651503</v>
      </c>
      <c r="KQ38">
        <v>840.32353720285505</v>
      </c>
      <c r="KR38">
        <v>2494.0651625124601</v>
      </c>
      <c r="KS38">
        <v>191.16023519887099</v>
      </c>
      <c r="KT38">
        <v>28.731988110390301</v>
      </c>
      <c r="KU38">
        <v>27.998633837064201</v>
      </c>
      <c r="KV38">
        <v>536.60898802950305</v>
      </c>
      <c r="KW38">
        <v>30.2482827085861</v>
      </c>
      <c r="KX38">
        <v>70.413326806381406</v>
      </c>
      <c r="KY38">
        <v>570.26353505937095</v>
      </c>
      <c r="KZ38">
        <v>1584.9156314188001</v>
      </c>
      <c r="LA38">
        <v>245.969458168682</v>
      </c>
      <c r="LB38">
        <v>28.283112058271701</v>
      </c>
      <c r="LC38">
        <v>27.8259672703376</v>
      </c>
      <c r="LD38">
        <v>940.18806472446397</v>
      </c>
      <c r="LE38">
        <v>29.717385439971299</v>
      </c>
      <c r="LF38">
        <v>70.730303835757098</v>
      </c>
      <c r="LG38">
        <v>927.52580516369596</v>
      </c>
      <c r="LH38">
        <v>2475.4019752715599</v>
      </c>
      <c r="LI38">
        <v>112.203457000021</v>
      </c>
      <c r="LJ38">
        <v>28.068939476574499</v>
      </c>
      <c r="LK38">
        <v>27.4739092675261</v>
      </c>
      <c r="LL38">
        <v>479.45109267687599</v>
      </c>
      <c r="LM38">
        <v>29.505843487444199</v>
      </c>
      <c r="LN38">
        <v>69.086399744839795</v>
      </c>
      <c r="LO38">
        <v>519.01878306489402</v>
      </c>
      <c r="LP38">
        <v>1524.1009939953001</v>
      </c>
      <c r="LQ38">
        <v>83.139028062035393</v>
      </c>
      <c r="LR38">
        <v>20.0648398396884</v>
      </c>
      <c r="LS38">
        <v>16.420999999999999</v>
      </c>
      <c r="LT38">
        <v>373.90274730354503</v>
      </c>
      <c r="LU38">
        <v>-1205.4855059034301</v>
      </c>
      <c r="LV38">
        <v>21.641027435402801</v>
      </c>
      <c r="LW38">
        <v>24.756730532873501</v>
      </c>
      <c r="LX38">
        <v>900.01230279361096</v>
      </c>
      <c r="LY38">
        <v>89.321581630025904</v>
      </c>
      <c r="LZ38">
        <v>20.189380606381398</v>
      </c>
      <c r="MA38">
        <v>16.420999999999999</v>
      </c>
      <c r="MB38">
        <v>213.06535133308799</v>
      </c>
      <c r="MC38">
        <v>-935.02221763758405</v>
      </c>
      <c r="MD38">
        <v>21.945059483104899</v>
      </c>
      <c r="ME38">
        <v>25.249636743270798</v>
      </c>
      <c r="MF38">
        <v>594.14978145642101</v>
      </c>
      <c r="MG38">
        <v>118.815743299722</v>
      </c>
      <c r="MH38">
        <v>20.058317677964499</v>
      </c>
      <c r="MI38">
        <v>16.420999999999999</v>
      </c>
      <c r="MJ38">
        <v>447.57152702087399</v>
      </c>
      <c r="MK38">
        <v>-1211.0159210850099</v>
      </c>
      <c r="ML38">
        <v>21.687490166399702</v>
      </c>
      <c r="MM38">
        <v>25.012931587119802</v>
      </c>
      <c r="MN38">
        <v>980.76127672536995</v>
      </c>
      <c r="MO38">
        <v>55.780180638363497</v>
      </c>
      <c r="MP38">
        <v>20.1098644282742</v>
      </c>
      <c r="MQ38">
        <v>16.420999999999999</v>
      </c>
      <c r="MR38">
        <v>253.13363206479499</v>
      </c>
      <c r="MS38">
        <v>-745.15117172064697</v>
      </c>
      <c r="MT38">
        <v>21.685963602720001</v>
      </c>
      <c r="MU38">
        <v>24.928724275163301</v>
      </c>
      <c r="MV38">
        <v>584.50250289231997</v>
      </c>
      <c r="MW38">
        <v>112.136702615915</v>
      </c>
      <c r="MX38">
        <v>23.179838590833299</v>
      </c>
      <c r="MY38">
        <v>25.194922456077698</v>
      </c>
      <c r="MZ38">
        <v>1613.4760465934501</v>
      </c>
      <c r="NA38">
        <v>1514.0229005726101</v>
      </c>
      <c r="NB38">
        <v>23.323680347092299</v>
      </c>
      <c r="NC38">
        <v>25.671971800146299</v>
      </c>
      <c r="ND38">
        <v>1631.14125813281</v>
      </c>
      <c r="NE38">
        <v>113.373822928613</v>
      </c>
      <c r="NF38">
        <v>23.418370719754002</v>
      </c>
      <c r="NG38">
        <v>25.682454112357799</v>
      </c>
      <c r="NH38">
        <v>1107.61234065292</v>
      </c>
      <c r="NI38">
        <v>950.26018918419504</v>
      </c>
      <c r="NJ38">
        <v>23.675012783396799</v>
      </c>
      <c r="NK38">
        <v>26.072442532710799</v>
      </c>
      <c r="NL38">
        <v>1158.5884773583</v>
      </c>
      <c r="NM38">
        <v>150.02597629903599</v>
      </c>
      <c r="NN38">
        <v>23.068964743513501</v>
      </c>
      <c r="NO38">
        <v>25.2151878190476</v>
      </c>
      <c r="NP38">
        <v>1769.48727048505</v>
      </c>
      <c r="NQ38">
        <v>1565.67716571541</v>
      </c>
      <c r="NR38">
        <v>23.294557168689298</v>
      </c>
      <c r="NS38">
        <v>26.040998543932801</v>
      </c>
      <c r="NT38">
        <v>1829.84267881083</v>
      </c>
      <c r="NU38">
        <v>76.393342117933202</v>
      </c>
      <c r="NV38">
        <v>23.218362207393302</v>
      </c>
      <c r="NW38">
        <v>25.293732016028901</v>
      </c>
      <c r="NX38">
        <v>2.8625433516681502</v>
      </c>
      <c r="NY38">
        <v>1063.51279941655</v>
      </c>
      <c r="NZ38">
        <v>1020.48940206501</v>
      </c>
      <c r="OA38">
        <v>23.337213151333501</v>
      </c>
      <c r="OB38">
        <v>25.7336627668769</v>
      </c>
      <c r="OC38">
        <v>2.7397227969238398</v>
      </c>
      <c r="OD38">
        <v>1063.45965609725</v>
      </c>
      <c r="OE38">
        <v>2.8625433516681502</v>
      </c>
      <c r="OF38">
        <v>2.7397227969238398</v>
      </c>
      <c r="OG38">
        <v>111.676316793018</v>
      </c>
      <c r="OH38">
        <v>23.1757961536143</v>
      </c>
      <c r="OI38">
        <v>25.322460201951699</v>
      </c>
      <c r="OJ38">
        <v>1809.83417283937</v>
      </c>
      <c r="OK38">
        <v>1752.7468744493201</v>
      </c>
      <c r="OL38">
        <v>23.276446438900599</v>
      </c>
      <c r="OM38">
        <v>25.866294833702</v>
      </c>
      <c r="ON38">
        <v>1888.5892295409999</v>
      </c>
      <c r="OO38">
        <v>111.84440849772101</v>
      </c>
      <c r="OP38">
        <v>23.442678688884701</v>
      </c>
      <c r="OQ38">
        <v>25.838633571201299</v>
      </c>
      <c r="OR38">
        <v>1245.0926519322099</v>
      </c>
      <c r="OS38">
        <v>1131.2086760981199</v>
      </c>
      <c r="OT38">
        <v>23.632166303259702</v>
      </c>
      <c r="OU38">
        <v>26.3183370912488</v>
      </c>
      <c r="OV38">
        <v>1335.6325838607299</v>
      </c>
      <c r="OW38">
        <v>146.775651491698</v>
      </c>
      <c r="OX38">
        <v>23.071329122994399</v>
      </c>
      <c r="OY38">
        <v>25.389450450813001</v>
      </c>
      <c r="OZ38">
        <v>1953.7520493537099</v>
      </c>
      <c r="PA38">
        <v>1806.69111682895</v>
      </c>
      <c r="PB38">
        <v>23.2388898130854</v>
      </c>
      <c r="PC38">
        <v>26.221981262355499</v>
      </c>
      <c r="PD38">
        <v>2080.6918858344702</v>
      </c>
      <c r="PE38">
        <v>75.672481802349694</v>
      </c>
      <c r="PF38">
        <v>23.2121078446716</v>
      </c>
      <c r="PG38">
        <v>25.3936431895692</v>
      </c>
      <c r="PH38">
        <v>3.21404296178441</v>
      </c>
      <c r="PI38">
        <v>1186.63533176735</v>
      </c>
      <c r="PJ38">
        <v>1172.1573906170599</v>
      </c>
      <c r="PK38">
        <v>23.284566041152299</v>
      </c>
      <c r="PL38">
        <v>25.913299916105299</v>
      </c>
      <c r="PM38">
        <v>3.22669119646859</v>
      </c>
      <c r="PN38">
        <v>1224.0595103103799</v>
      </c>
      <c r="PO38">
        <v>25.927019208091</v>
      </c>
      <c r="PP38">
        <v>26.5402207244896</v>
      </c>
      <c r="PQ38">
        <v>26.411515413447901</v>
      </c>
      <c r="PR38">
        <v>26.221213425414099</v>
      </c>
      <c r="PS38">
        <v>25.066168256452201</v>
      </c>
      <c r="PT38">
        <v>26.4302733893431</v>
      </c>
      <c r="PU38">
        <v>26.976504305783401</v>
      </c>
      <c r="PV38">
        <v>27.053696275181</v>
      </c>
      <c r="PW38">
        <v>26.576863701972599</v>
      </c>
      <c r="PX38">
        <v>25.5192903245865</v>
      </c>
      <c r="PY38">
        <v>26.903641486177701</v>
      </c>
      <c r="PZ38">
        <v>27.462030456295999</v>
      </c>
      <c r="QA38">
        <v>27.492612779919298</v>
      </c>
      <c r="QB38">
        <v>27.005901622066801</v>
      </c>
      <c r="QC38">
        <v>26.355087793233501</v>
      </c>
      <c r="QD38">
        <v>21.964170333764802</v>
      </c>
      <c r="QE38">
        <v>26.272492224309399</v>
      </c>
      <c r="QF38">
        <v>27.3194309807091</v>
      </c>
      <c r="QG38">
        <v>27.137594072631099</v>
      </c>
      <c r="QH38">
        <v>26.329271261292501</v>
      </c>
      <c r="QI38">
        <v>25.0569676131359</v>
      </c>
      <c r="QJ38">
        <v>26.0463695282724</v>
      </c>
      <c r="QK38">
        <v>26.430361317146598</v>
      </c>
      <c r="QL38">
        <v>26.582208654065301</v>
      </c>
      <c r="QM38">
        <v>26.148241986747301</v>
      </c>
      <c r="QN38">
        <v>1706.4121015335099</v>
      </c>
      <c r="QO38">
        <v>25.147241043625598</v>
      </c>
      <c r="QP38">
        <v>3951.9453365958402</v>
      </c>
      <c r="QQ38">
        <v>26.285645371951599</v>
      </c>
      <c r="QR38">
        <v>26.666160820253499</v>
      </c>
      <c r="QS38">
        <v>26.799068949595899</v>
      </c>
      <c r="QT38">
        <v>26.359970163273399</v>
      </c>
      <c r="QU38">
        <v>25.623564883136499</v>
      </c>
      <c r="QV38">
        <v>18.2963661643481</v>
      </c>
      <c r="QW38">
        <v>0</v>
      </c>
      <c r="QX38">
        <v>393904.266660914</v>
      </c>
      <c r="QY38">
        <v>0</v>
      </c>
      <c r="QZ38">
        <v>266243.076037666</v>
      </c>
      <c r="RA38">
        <v>0</v>
      </c>
      <c r="RB38">
        <v>90591.129338084502</v>
      </c>
      <c r="RC38">
        <v>0</v>
      </c>
      <c r="RD38">
        <v>59017.9850275801</v>
      </c>
      <c r="RE38">
        <v>0</v>
      </c>
      <c r="RF38">
        <v>135535.38567848201</v>
      </c>
      <c r="RG38">
        <v>0</v>
      </c>
      <c r="RH38">
        <v>85908.470627100105</v>
      </c>
      <c r="RI38">
        <v>0</v>
      </c>
      <c r="RJ38">
        <v>5644.4402564037</v>
      </c>
      <c r="RK38">
        <v>26.617965240527699</v>
      </c>
      <c r="RL38">
        <v>-5656.7025707107796</v>
      </c>
      <c r="RM38">
        <v>-12704.321476543901</v>
      </c>
      <c r="RN38">
        <v>-5656.7025707107796</v>
      </c>
      <c r="RO38">
        <v>0</v>
      </c>
      <c r="RP38">
        <v>3698.1871677854401</v>
      </c>
      <c r="RQ38">
        <v>28.0986412369287</v>
      </c>
      <c r="RR38">
        <v>-3742.7354570534299</v>
      </c>
      <c r="RS38">
        <v>-7721.4831498950398</v>
      </c>
      <c r="RT38">
        <v>-3742.7354570534299</v>
      </c>
      <c r="RU38">
        <v>0</v>
      </c>
      <c r="RV38">
        <v>6917.5618459651996</v>
      </c>
      <c r="RW38">
        <v>27.863672731814301</v>
      </c>
      <c r="RX38">
        <v>-6857.1273603750697</v>
      </c>
      <c r="RY38">
        <v>-12673.164583268301</v>
      </c>
      <c r="RZ38">
        <v>-6857.1273603750697</v>
      </c>
      <c r="SA38">
        <v>0</v>
      </c>
      <c r="SB38">
        <v>3985.7572731860701</v>
      </c>
      <c r="SC38">
        <v>26.437329097170998</v>
      </c>
      <c r="SD38">
        <v>-4025.0392492106898</v>
      </c>
      <c r="SE38">
        <v>-8677.3013200334899</v>
      </c>
      <c r="SF38">
        <v>-4025.0392492106898</v>
      </c>
      <c r="SG38">
        <v>0</v>
      </c>
      <c r="SH38">
        <v>18780.660014235498</v>
      </c>
      <c r="SI38">
        <v>25.047766969819602</v>
      </c>
      <c r="SJ38">
        <v>-18849.384711442599</v>
      </c>
      <c r="SK38">
        <v>-41027.565137566802</v>
      </c>
      <c r="SL38">
        <v>-18849.384711442599</v>
      </c>
      <c r="SM38">
        <v>21.1111</v>
      </c>
      <c r="SN38">
        <v>23.8889</v>
      </c>
      <c r="SO38">
        <v>0</v>
      </c>
      <c r="SP38">
        <v>10.3447561333924</v>
      </c>
      <c r="SQ38">
        <v>25.526637107623099</v>
      </c>
      <c r="SR38">
        <v>0</v>
      </c>
      <c r="SS38">
        <v>0</v>
      </c>
      <c r="ST38">
        <v>0</v>
      </c>
      <c r="SU38">
        <v>29.804929555026799</v>
      </c>
      <c r="SV38">
        <v>0</v>
      </c>
      <c r="SW38">
        <v>26.2705639859409</v>
      </c>
      <c r="SX38">
        <v>0</v>
      </c>
      <c r="SY38">
        <v>0</v>
      </c>
      <c r="SZ38">
        <v>0</v>
      </c>
      <c r="TA38">
        <v>0</v>
      </c>
      <c r="TB38">
        <v>134.304935300111</v>
      </c>
      <c r="TC38">
        <v>25.453348191195701</v>
      </c>
      <c r="TD38">
        <v>0</v>
      </c>
      <c r="TE38">
        <v>0</v>
      </c>
      <c r="TF38">
        <v>0</v>
      </c>
      <c r="TG38">
        <v>3.5458799936804999</v>
      </c>
      <c r="TH38">
        <v>8.4225005170956102</v>
      </c>
      <c r="TI38">
        <v>25.637150823905401</v>
      </c>
      <c r="TJ38">
        <v>0</v>
      </c>
      <c r="TK38">
        <v>0</v>
      </c>
      <c r="TL38">
        <v>0</v>
      </c>
      <c r="TM38">
        <v>1231.59952209369</v>
      </c>
      <c r="TN38">
        <v>0</v>
      </c>
      <c r="TO38">
        <v>25.3442874254674</v>
      </c>
      <c r="TP38">
        <v>0</v>
      </c>
      <c r="TQ38">
        <v>0</v>
      </c>
      <c r="TR38">
        <v>0</v>
      </c>
      <c r="TS38">
        <v>0</v>
      </c>
      <c r="TT38">
        <v>6568.6650351119097</v>
      </c>
      <c r="TU38">
        <v>25.662465667201701</v>
      </c>
      <c r="TV38">
        <v>-6549.8036788074596</v>
      </c>
      <c r="TW38">
        <v>-13865.0787441052</v>
      </c>
      <c r="TX38">
        <v>-6549.8036788074596</v>
      </c>
      <c r="TY38">
        <v>0</v>
      </c>
      <c r="TZ38">
        <v>4795.2180190331401</v>
      </c>
      <c r="UA38">
        <v>25.884218328509899</v>
      </c>
      <c r="UB38">
        <v>-4858.5305603509896</v>
      </c>
      <c r="UC38">
        <v>-9478.3746631171998</v>
      </c>
      <c r="UD38">
        <v>-4858.5305603509896</v>
      </c>
      <c r="UE38">
        <v>0</v>
      </c>
      <c r="UF38">
        <v>8198.9974780530702</v>
      </c>
      <c r="UG38">
        <v>26.110721032949598</v>
      </c>
      <c r="UH38">
        <v>-8160.3786949996902</v>
      </c>
      <c r="UI38">
        <v>-14660.401975147999</v>
      </c>
      <c r="UJ38">
        <v>-8160.3786949996902</v>
      </c>
      <c r="UK38">
        <v>0</v>
      </c>
      <c r="UL38">
        <v>4573.8868192910504</v>
      </c>
      <c r="UM38">
        <v>25.7196202715221</v>
      </c>
      <c r="UN38">
        <v>-4608.40588209013</v>
      </c>
      <c r="UO38">
        <v>-9191.2153847920908</v>
      </c>
      <c r="UP38">
        <v>-4608.40588209013</v>
      </c>
      <c r="UQ38">
        <v>0</v>
      </c>
      <c r="UR38">
        <v>21279.116863748801</v>
      </c>
      <c r="US38">
        <v>24.775191762664701</v>
      </c>
      <c r="UT38">
        <v>-21340.511874343701</v>
      </c>
      <c r="UU38">
        <v>-44091.364992331903</v>
      </c>
      <c r="UV38">
        <v>-21340.511874343701</v>
      </c>
      <c r="UW38">
        <v>21.1111</v>
      </c>
      <c r="UX38">
        <v>23.8889</v>
      </c>
      <c r="UY38">
        <v>0</v>
      </c>
      <c r="UZ38">
        <v>245.93410572828</v>
      </c>
      <c r="VA38">
        <v>25.277203235982</v>
      </c>
      <c r="VB38">
        <v>0</v>
      </c>
      <c r="VC38">
        <v>0</v>
      </c>
      <c r="VD38">
        <v>0</v>
      </c>
      <c r="VE38">
        <v>0</v>
      </c>
      <c r="VF38">
        <v>294.61380193519</v>
      </c>
      <c r="VG38">
        <v>25.628433988819602</v>
      </c>
      <c r="VH38">
        <v>0</v>
      </c>
      <c r="VI38">
        <v>0</v>
      </c>
      <c r="VJ38">
        <v>0</v>
      </c>
      <c r="VK38">
        <v>0</v>
      </c>
      <c r="VL38">
        <v>423.47453092444101</v>
      </c>
      <c r="VM38">
        <v>25.2125501381189</v>
      </c>
      <c r="VN38">
        <v>0</v>
      </c>
      <c r="VO38">
        <v>0</v>
      </c>
      <c r="VP38">
        <v>0</v>
      </c>
      <c r="VQ38">
        <v>0</v>
      </c>
      <c r="VR38">
        <v>188.76955200029201</v>
      </c>
      <c r="VS38">
        <v>25.253515274264199</v>
      </c>
      <c r="VT38">
        <v>0</v>
      </c>
      <c r="VU38">
        <v>0</v>
      </c>
      <c r="VV38">
        <v>0</v>
      </c>
      <c r="VW38">
        <v>333.80472184571403</v>
      </c>
      <c r="VX38">
        <v>0</v>
      </c>
      <c r="VY38">
        <v>25.274615076538701</v>
      </c>
      <c r="VZ38">
        <v>0</v>
      </c>
      <c r="WA38">
        <v>0</v>
      </c>
      <c r="WB38">
        <v>0</v>
      </c>
      <c r="WC38">
        <v>0</v>
      </c>
      <c r="WD38">
        <v>7405.4658667029098</v>
      </c>
      <c r="WE38">
        <v>25.6676492577256</v>
      </c>
      <c r="WF38">
        <v>-7384.0793040510198</v>
      </c>
      <c r="WG38">
        <v>-14652.6591461145</v>
      </c>
      <c r="WH38">
        <v>-7384.0793040510198</v>
      </c>
      <c r="WI38">
        <v>19229800.885915998</v>
      </c>
      <c r="WJ38">
        <v>0</v>
      </c>
      <c r="WK38">
        <v>5341.6113571988799</v>
      </c>
      <c r="WL38">
        <v>25.870291184210899</v>
      </c>
      <c r="WM38">
        <v>-5412.7496886570498</v>
      </c>
      <c r="WN38">
        <v>-10047.2064677499</v>
      </c>
      <c r="WO38">
        <v>-5412.7496886570498</v>
      </c>
      <c r="WP38">
        <v>18.333300000000001</v>
      </c>
      <c r="WQ38">
        <v>23.8889</v>
      </c>
      <c r="WR38">
        <v>0</v>
      </c>
      <c r="WS38">
        <v>8973.1255632871507</v>
      </c>
      <c r="WT38">
        <v>26.105525119272599</v>
      </c>
      <c r="WU38">
        <v>-8906.1603663499609</v>
      </c>
      <c r="WV38">
        <v>-15413.1689786717</v>
      </c>
      <c r="WW38">
        <v>-8906.1603663499609</v>
      </c>
      <c r="WX38">
        <v>18244824.3563913</v>
      </c>
      <c r="WY38">
        <v>0</v>
      </c>
      <c r="WZ38">
        <v>5068.0067656642404</v>
      </c>
      <c r="XA38">
        <v>25.714038704479901</v>
      </c>
      <c r="XB38">
        <v>-5102.6714679436</v>
      </c>
      <c r="XC38">
        <v>-9663.6863753262605</v>
      </c>
      <c r="XD38">
        <v>-5102.6714679436</v>
      </c>
      <c r="XE38">
        <v>0</v>
      </c>
      <c r="XF38">
        <v>26108.1832688865</v>
      </c>
      <c r="XG38">
        <v>24.8920419730395</v>
      </c>
      <c r="XH38">
        <v>-26168.726990698098</v>
      </c>
      <c r="XI38">
        <v>-48473.305389708003</v>
      </c>
      <c r="XJ38">
        <v>-26168.726990698098</v>
      </c>
      <c r="XK38">
        <v>21.1111</v>
      </c>
      <c r="XL38">
        <v>23.8889</v>
      </c>
      <c r="XM38">
        <v>0</v>
      </c>
      <c r="XN38">
        <v>2129.8227114545998</v>
      </c>
      <c r="XO38">
        <v>26.328848730546898</v>
      </c>
      <c r="XP38">
        <v>0</v>
      </c>
      <c r="XQ38">
        <v>0</v>
      </c>
      <c r="XR38">
        <v>0</v>
      </c>
      <c r="XS38">
        <v>0</v>
      </c>
      <c r="XT38">
        <v>1585.19199956589</v>
      </c>
      <c r="XU38">
        <v>26.678303045530299</v>
      </c>
      <c r="XV38">
        <v>0</v>
      </c>
      <c r="XW38">
        <v>0</v>
      </c>
      <c r="XX38">
        <v>0</v>
      </c>
      <c r="XY38">
        <v>0</v>
      </c>
      <c r="XZ38">
        <v>2474.62719595417</v>
      </c>
      <c r="YA38">
        <v>26.144841229243401</v>
      </c>
      <c r="YB38">
        <v>0</v>
      </c>
      <c r="YC38">
        <v>0</v>
      </c>
      <c r="YD38">
        <v>0</v>
      </c>
      <c r="YE38">
        <v>0</v>
      </c>
      <c r="YF38">
        <v>1374.84647733617</v>
      </c>
      <c r="YG38">
        <v>26.206684571150799</v>
      </c>
      <c r="YH38">
        <v>0</v>
      </c>
      <c r="YI38">
        <v>0</v>
      </c>
      <c r="YJ38">
        <v>0</v>
      </c>
      <c r="YK38">
        <v>0</v>
      </c>
      <c r="YL38">
        <v>7895.2176140984602</v>
      </c>
      <c r="YM38">
        <v>26.700565029237499</v>
      </c>
      <c r="YN38">
        <v>0</v>
      </c>
      <c r="YO38">
        <v>0</v>
      </c>
      <c r="YP38">
        <v>0</v>
      </c>
      <c r="YQ38">
        <v>0</v>
      </c>
      <c r="YR38">
        <v>1411.1036471724301</v>
      </c>
      <c r="YS38">
        <v>19.235106691409499</v>
      </c>
      <c r="YT38">
        <v>0</v>
      </c>
      <c r="YU38">
        <v>0</v>
      </c>
      <c r="YV38">
        <v>0</v>
      </c>
      <c r="YW38">
        <v>0</v>
      </c>
      <c r="YX38">
        <v>950.25402660066698</v>
      </c>
      <c r="YY38">
        <v>19.416816665940502</v>
      </c>
      <c r="YZ38">
        <v>0</v>
      </c>
      <c r="ZA38">
        <v>0</v>
      </c>
      <c r="ZB38">
        <v>0</v>
      </c>
      <c r="ZC38">
        <v>0</v>
      </c>
      <c r="ZD38">
        <v>1594.92938338247</v>
      </c>
      <c r="ZE38">
        <v>19.079051571295</v>
      </c>
      <c r="ZF38">
        <v>0</v>
      </c>
      <c r="ZG38">
        <v>0</v>
      </c>
      <c r="ZH38">
        <v>0</v>
      </c>
      <c r="ZI38">
        <v>0</v>
      </c>
      <c r="ZJ38">
        <v>954.61478430781597</v>
      </c>
      <c r="ZK38">
        <v>19.1909153163115</v>
      </c>
      <c r="ZL38">
        <v>0</v>
      </c>
      <c r="ZM38">
        <v>0</v>
      </c>
      <c r="ZN38">
        <v>0</v>
      </c>
      <c r="ZO38">
        <v>0</v>
      </c>
      <c r="ZP38">
        <v>12023.0356717954</v>
      </c>
      <c r="ZQ38">
        <v>17.680883849968001</v>
      </c>
      <c r="ZR38">
        <v>0</v>
      </c>
      <c r="ZS38">
        <v>0</v>
      </c>
      <c r="ZT38">
        <v>0</v>
      </c>
      <c r="ZU38">
        <v>0</v>
      </c>
      <c r="ZV38">
        <v>3457.4749744175301</v>
      </c>
      <c r="ZW38">
        <v>20.611277469078001</v>
      </c>
      <c r="ZX38">
        <v>0</v>
      </c>
      <c r="ZY38">
        <v>0</v>
      </c>
      <c r="ZZ38">
        <v>0</v>
      </c>
      <c r="AAA38">
        <v>0</v>
      </c>
      <c r="AAB38">
        <v>2471.5425376192002</v>
      </c>
      <c r="AAC38">
        <v>20.622939323086701</v>
      </c>
      <c r="AAD38">
        <v>0</v>
      </c>
      <c r="AAE38">
        <v>0</v>
      </c>
      <c r="AAF38">
        <v>0</v>
      </c>
      <c r="AAG38">
        <v>0</v>
      </c>
      <c r="AAH38">
        <v>3854.7016111380399</v>
      </c>
      <c r="AAI38">
        <v>20.2593057826364</v>
      </c>
      <c r="AAJ38">
        <v>0</v>
      </c>
      <c r="AAK38">
        <v>0</v>
      </c>
      <c r="AAL38">
        <v>0</v>
      </c>
      <c r="AAM38">
        <v>0</v>
      </c>
      <c r="AAN38">
        <v>2317.1068919161798</v>
      </c>
      <c r="AAO38">
        <v>20.5068073394559</v>
      </c>
      <c r="AAP38">
        <v>0</v>
      </c>
      <c r="AAQ38">
        <v>0</v>
      </c>
      <c r="AAR38">
        <v>0</v>
      </c>
      <c r="AAS38">
        <v>0</v>
      </c>
      <c r="AAT38">
        <v>23606.401058688301</v>
      </c>
      <c r="AAU38">
        <v>18.292418718398299</v>
      </c>
      <c r="AAV38">
        <v>0</v>
      </c>
      <c r="AAW38">
        <v>0</v>
      </c>
      <c r="AAX38">
        <v>0</v>
      </c>
      <c r="AAY38">
        <v>0</v>
      </c>
      <c r="AAZ38">
        <v>3922.3316663938999</v>
      </c>
      <c r="ABA38">
        <v>20.606387943065801</v>
      </c>
      <c r="ABB38">
        <v>0</v>
      </c>
      <c r="ABC38">
        <v>0</v>
      </c>
      <c r="ABD38">
        <v>0</v>
      </c>
      <c r="ABE38">
        <v>0</v>
      </c>
      <c r="ABF38">
        <v>2792.4770930844202</v>
      </c>
      <c r="ABG38">
        <v>20.6417366218088</v>
      </c>
      <c r="ABH38">
        <v>0</v>
      </c>
      <c r="ABI38">
        <v>0</v>
      </c>
      <c r="ABJ38">
        <v>0</v>
      </c>
      <c r="ABK38">
        <v>0</v>
      </c>
      <c r="ABL38">
        <v>4287.31186357355</v>
      </c>
      <c r="ABM38">
        <v>20.309377450223899</v>
      </c>
      <c r="ABN38">
        <v>0</v>
      </c>
      <c r="ABO38">
        <v>0</v>
      </c>
      <c r="ABP38">
        <v>0</v>
      </c>
      <c r="ABQ38">
        <v>0</v>
      </c>
      <c r="ABR38">
        <v>2608.2801238244401</v>
      </c>
      <c r="ABS38">
        <v>20.5180183033976</v>
      </c>
      <c r="ABT38">
        <v>0</v>
      </c>
      <c r="ABU38">
        <v>0</v>
      </c>
      <c r="ABV38">
        <v>0</v>
      </c>
      <c r="ABW38">
        <v>0</v>
      </c>
      <c r="ABX38">
        <v>27318.434560634501</v>
      </c>
      <c r="ABY38">
        <v>18.2963661643481</v>
      </c>
      <c r="ABZ38">
        <v>0</v>
      </c>
      <c r="ACA38">
        <v>0</v>
      </c>
      <c r="ACB38">
        <v>0</v>
      </c>
      <c r="ACC38">
        <v>0.77113469505635301</v>
      </c>
      <c r="ACD38">
        <v>230328800.34149101</v>
      </c>
      <c r="ACE38">
        <v>337004.13098546298</v>
      </c>
      <c r="ACF38">
        <v>12.6720723155854</v>
      </c>
      <c r="ACG38">
        <v>6.7</v>
      </c>
      <c r="ACH38">
        <v>13.50000361399</v>
      </c>
      <c r="ACI38">
        <v>400984.35330254398</v>
      </c>
      <c r="ACJ38">
        <v>5.2674250184332303</v>
      </c>
      <c r="ACK38">
        <v>25.625474744945901</v>
      </c>
      <c r="ACL38">
        <v>31.708496015996499</v>
      </c>
      <c r="ACM38">
        <v>15.7700042216757</v>
      </c>
      <c r="ACN38">
        <v>105390.341415922</v>
      </c>
      <c r="ACP38">
        <v>84585.192389265794</v>
      </c>
      <c r="ACR38">
        <v>189975.533805188</v>
      </c>
      <c r="ACT38">
        <v>25.443133313296102</v>
      </c>
      <c r="ACU38">
        <v>23.8934910859636</v>
      </c>
      <c r="ACV38">
        <v>1.7</v>
      </c>
      <c r="ACW38">
        <v>1.39376811295546</v>
      </c>
      <c r="ACX38">
        <v>0.80011642989714404</v>
      </c>
      <c r="ACY38">
        <v>25.306629575516101</v>
      </c>
      <c r="ACZ38">
        <v>23.908780972528302</v>
      </c>
      <c r="ADA38">
        <v>1.7</v>
      </c>
      <c r="ADB38">
        <v>1.9059921661517301</v>
      </c>
      <c r="ADC38">
        <v>0.80023985905005901</v>
      </c>
      <c r="ADD38">
        <v>25.286449572934099</v>
      </c>
      <c r="ADE38">
        <v>23.893193210632599</v>
      </c>
      <c r="ADF38">
        <v>1.7</v>
      </c>
      <c r="ADG38">
        <v>2.47471488940488</v>
      </c>
      <c r="ADH38">
        <v>0.800186273807312</v>
      </c>
      <c r="ADI38">
        <v>25.5019204480699</v>
      </c>
      <c r="ADJ38">
        <v>23.697579455657198</v>
      </c>
      <c r="ADK38">
        <v>1.7</v>
      </c>
      <c r="ADL38">
        <v>1.9273327576662</v>
      </c>
      <c r="ADM38">
        <v>0.70772287232466502</v>
      </c>
      <c r="ADN38">
        <v>26.246034198859402</v>
      </c>
      <c r="ADO38">
        <v>24.2750566877768</v>
      </c>
      <c r="ADP38">
        <v>1.7</v>
      </c>
      <c r="ADQ38">
        <v>1.8468147138536299</v>
      </c>
      <c r="ADR38">
        <v>0.70626771789784604</v>
      </c>
      <c r="ADS38">
        <v>25.389274026665898</v>
      </c>
      <c r="ADT38">
        <v>23.627668138689199</v>
      </c>
      <c r="ADU38">
        <v>1.7</v>
      </c>
      <c r="ADV38">
        <v>6.1404475066836604</v>
      </c>
      <c r="ADW38">
        <v>0.70730284865290605</v>
      </c>
      <c r="ADX38">
        <v>25.572944515448899</v>
      </c>
      <c r="ADY38">
        <v>23.7378373589424</v>
      </c>
      <c r="ADZ38">
        <v>1.7</v>
      </c>
      <c r="AEA38">
        <v>2.08101491992071</v>
      </c>
      <c r="AEB38">
        <v>0.70633807768687995</v>
      </c>
      <c r="AEC38">
        <v>25.126063626351701</v>
      </c>
      <c r="AED38">
        <v>23.850842555976399</v>
      </c>
      <c r="AEE38">
        <v>1.7</v>
      </c>
      <c r="AEF38">
        <v>3.0269631502241001</v>
      </c>
      <c r="AEG38">
        <v>0.70830080645930904</v>
      </c>
      <c r="AEH38">
        <v>25.2934357500156</v>
      </c>
      <c r="AEI38">
        <v>23.976753977247</v>
      </c>
      <c r="AEJ38">
        <v>1.7</v>
      </c>
      <c r="AEK38">
        <v>3.2926936021673798</v>
      </c>
      <c r="AEL38">
        <v>0.70657569678138799</v>
      </c>
      <c r="AEM38">
        <v>25.018042858392199</v>
      </c>
      <c r="AEN38">
        <v>23.801561071478499</v>
      </c>
      <c r="AEO38">
        <v>1.7</v>
      </c>
      <c r="AEP38">
        <v>5.6310736256014602</v>
      </c>
      <c r="AEQ38">
        <v>0.706647514079212</v>
      </c>
      <c r="AER38">
        <v>25.0439343029424</v>
      </c>
      <c r="AES38">
        <v>23.7765388748501</v>
      </c>
      <c r="AET38">
        <v>1.7</v>
      </c>
      <c r="AEU38">
        <v>3.3056623008510799</v>
      </c>
      <c r="AEV38">
        <v>0.70727930087203394</v>
      </c>
      <c r="AEW38">
        <v>25.096958537515398</v>
      </c>
      <c r="AEX38">
        <v>23.834434010998901</v>
      </c>
      <c r="AEY38">
        <v>1.7</v>
      </c>
      <c r="AEZ38">
        <v>3.2134981172982</v>
      </c>
      <c r="AFA38">
        <v>0.70820049707551402</v>
      </c>
      <c r="AFB38">
        <v>25.298140957897299</v>
      </c>
      <c r="AFC38">
        <v>23.992468766044698</v>
      </c>
      <c r="AFD38">
        <v>1.7</v>
      </c>
      <c r="AFE38">
        <v>3.4595028085995101</v>
      </c>
      <c r="AFF38">
        <v>0.70667541020393299</v>
      </c>
      <c r="AFG38">
        <v>25.024282352926502</v>
      </c>
      <c r="AFH38">
        <v>23.800783145390302</v>
      </c>
      <c r="AFI38">
        <v>1.7</v>
      </c>
      <c r="AFJ38">
        <v>5.1510008406177397</v>
      </c>
      <c r="AFK38">
        <v>0.70698214063016196</v>
      </c>
      <c r="AFL38">
        <v>25.019115902003499</v>
      </c>
      <c r="AFM38">
        <v>23.7681180650596</v>
      </c>
      <c r="AFN38">
        <v>1.7</v>
      </c>
      <c r="AFO38">
        <v>3.4763123545579599</v>
      </c>
      <c r="AFP38">
        <v>0.70740981132929803</v>
      </c>
      <c r="AFQ38">
        <v>-0.45694769244040101</v>
      </c>
      <c r="AFR38">
        <v>-0.48033444002930797</v>
      </c>
      <c r="AFS38">
        <v>-0.43487131591640099</v>
      </c>
      <c r="AFT38">
        <v>-0.32771753875116499</v>
      </c>
      <c r="AFU38">
        <v>-0.323091120589174</v>
      </c>
      <c r="AFV38">
        <v>-0.38086429143594502</v>
      </c>
      <c r="AFW38">
        <v>-0.37774051600757003</v>
      </c>
      <c r="AFX38">
        <v>-0.29599918764792998</v>
      </c>
      <c r="AFY38">
        <v>-0.26879696554771798</v>
      </c>
      <c r="AFZ38">
        <v>-0.32679974263663097</v>
      </c>
      <c r="AGA38">
        <v>-0.32722688079805301</v>
      </c>
      <c r="AGB38">
        <v>-0.232827109798242</v>
      </c>
      <c r="AGC38">
        <v>-0.50423238456639896</v>
      </c>
      <c r="AGD38">
        <v>-0.449718112253083</v>
      </c>
      <c r="AGE38">
        <v>-0.35814058975479801</v>
      </c>
      <c r="AGF38">
        <v>0</v>
      </c>
      <c r="AGG38">
        <v>0</v>
      </c>
      <c r="AGH38">
        <v>0</v>
      </c>
      <c r="AGI38">
        <v>0</v>
      </c>
      <c r="AGJ38">
        <v>0</v>
      </c>
      <c r="AGK38">
        <v>0</v>
      </c>
      <c r="AGL38">
        <v>0</v>
      </c>
      <c r="AGM38">
        <v>0</v>
      </c>
      <c r="AGN38">
        <v>0</v>
      </c>
      <c r="AGO38">
        <v>0</v>
      </c>
      <c r="AGP38">
        <v>0</v>
      </c>
      <c r="AGQ38">
        <v>0</v>
      </c>
      <c r="AGR38">
        <v>0</v>
      </c>
      <c r="AGS38">
        <v>0</v>
      </c>
      <c r="AGT38">
        <v>0</v>
      </c>
      <c r="AGU38">
        <v>0</v>
      </c>
      <c r="AGV38">
        <v>0</v>
      </c>
      <c r="AGW38">
        <v>0</v>
      </c>
      <c r="AGX38">
        <v>0</v>
      </c>
      <c r="AGY38">
        <v>0</v>
      </c>
      <c r="AGZ38">
        <v>0</v>
      </c>
      <c r="AHA38">
        <v>0</v>
      </c>
      <c r="AHB38">
        <v>0</v>
      </c>
      <c r="AHC38">
        <v>0</v>
      </c>
      <c r="AHD38">
        <v>0</v>
      </c>
      <c r="AHE38">
        <v>0</v>
      </c>
      <c r="AHF38">
        <v>0</v>
      </c>
      <c r="AHG38">
        <v>0</v>
      </c>
      <c r="AHH38">
        <v>0</v>
      </c>
      <c r="AHI38">
        <v>0</v>
      </c>
      <c r="AHJ38">
        <v>0</v>
      </c>
      <c r="AHK38">
        <v>0</v>
      </c>
      <c r="AHL38">
        <v>0</v>
      </c>
      <c r="AHM38">
        <v>0</v>
      </c>
      <c r="AHN38">
        <v>0</v>
      </c>
      <c r="AHO38">
        <v>0</v>
      </c>
      <c r="AHP38">
        <v>0</v>
      </c>
      <c r="AHQ38">
        <v>0</v>
      </c>
      <c r="AHR38">
        <v>0</v>
      </c>
      <c r="AHS38">
        <v>0</v>
      </c>
      <c r="AHT38">
        <v>0</v>
      </c>
      <c r="AHU38">
        <v>0</v>
      </c>
      <c r="AHV38">
        <v>0</v>
      </c>
      <c r="AHW38">
        <v>0</v>
      </c>
      <c r="AHX38">
        <v>0</v>
      </c>
      <c r="AHZ38">
        <v>0</v>
      </c>
      <c r="AIB38">
        <v>0</v>
      </c>
      <c r="AID38">
        <v>0</v>
      </c>
      <c r="AIF38">
        <v>0</v>
      </c>
      <c r="AIH38">
        <v>0</v>
      </c>
      <c r="AIJ38">
        <v>0</v>
      </c>
      <c r="AIL38">
        <v>0</v>
      </c>
      <c r="AIN38">
        <v>0</v>
      </c>
      <c r="AIP38">
        <v>0</v>
      </c>
      <c r="AIR38">
        <v>0</v>
      </c>
      <c r="AIT38">
        <v>0</v>
      </c>
      <c r="AIV38">
        <v>0</v>
      </c>
      <c r="AIX38">
        <v>0</v>
      </c>
      <c r="AIZ38">
        <v>0</v>
      </c>
      <c r="AJB38">
        <v>0</v>
      </c>
      <c r="AJC38">
        <v>0</v>
      </c>
      <c r="AJE38">
        <v>335290.20275920199</v>
      </c>
      <c r="AJH38">
        <v>8945.4649849376801</v>
      </c>
      <c r="AJJ38">
        <v>183.80401834048999</v>
      </c>
      <c r="AJK38">
        <v>160.51669826084799</v>
      </c>
      <c r="AJL38">
        <v>157.22685927689901</v>
      </c>
      <c r="AJM38">
        <v>1195.9602710824599</v>
      </c>
      <c r="AJN38">
        <v>195.26899287613401</v>
      </c>
      <c r="AJO38">
        <v>203.845031580182</v>
      </c>
      <c r="AJP38">
        <v>198.86816413947699</v>
      </c>
      <c r="AJQ38">
        <v>1146.2737926971399</v>
      </c>
      <c r="AJR38">
        <v>252.34080772776801</v>
      </c>
      <c r="AJS38">
        <v>47.347536683248599</v>
      </c>
      <c r="AJT38">
        <v>59.087942151245599</v>
      </c>
      <c r="AJU38">
        <v>343.50408509811302</v>
      </c>
      <c r="AJV38">
        <v>80.236991351775401</v>
      </c>
      <c r="AJW38">
        <v>0</v>
      </c>
      <c r="AJX38">
        <v>0</v>
      </c>
      <c r="AJY38">
        <v>0</v>
      </c>
      <c r="AJZ38">
        <v>335320.43217337597</v>
      </c>
      <c r="AKA38">
        <v>0</v>
      </c>
      <c r="AKB38">
        <v>0</v>
      </c>
      <c r="AKC38">
        <v>0</v>
      </c>
      <c r="AKD38">
        <v>0</v>
      </c>
      <c r="AKE38">
        <v>65.56</v>
      </c>
      <c r="AKF38">
        <v>65.56</v>
      </c>
      <c r="AKG38">
        <v>0</v>
      </c>
      <c r="AKH38">
        <v>0</v>
      </c>
      <c r="AKI38">
        <v>0</v>
      </c>
      <c r="AKJ38">
        <v>0</v>
      </c>
      <c r="AKK38">
        <v>0</v>
      </c>
      <c r="AKL38">
        <v>65.56</v>
      </c>
      <c r="AKM38">
        <v>65.56</v>
      </c>
      <c r="AKN38">
        <v>0</v>
      </c>
      <c r="AKO38">
        <v>0</v>
      </c>
      <c r="AKP38">
        <v>0</v>
      </c>
      <c r="AKT38">
        <v>6734795.2483461499</v>
      </c>
      <c r="AKX38">
        <v>6078357.7937538503</v>
      </c>
      <c r="ALB38">
        <v>31.731548523811298</v>
      </c>
      <c r="ALC38">
        <v>25.927087408608401</v>
      </c>
      <c r="ALD38">
        <v>15.7700042216757</v>
      </c>
      <c r="ALE38">
        <v>382622.05289764499</v>
      </c>
      <c r="ALF38">
        <v>3876.01471762034</v>
      </c>
      <c r="ALH38">
        <v>15.191759058930201</v>
      </c>
      <c r="ALI38">
        <v>8.8537806828239297E-3</v>
      </c>
      <c r="ALJ38">
        <v>19.762101246156799</v>
      </c>
      <c r="ALK38">
        <v>28.0918735074771</v>
      </c>
      <c r="ALL38">
        <v>19.762101246156799</v>
      </c>
      <c r="ALM38">
        <v>0</v>
      </c>
      <c r="ALN38">
        <v>25.867433947684098</v>
      </c>
      <c r="ALO38">
        <v>9.3109990487019196E-3</v>
      </c>
      <c r="ALP38">
        <v>44.760004952106399</v>
      </c>
      <c r="ALQ38">
        <v>19.762101246156799</v>
      </c>
      <c r="ALR38">
        <v>15.191759058930201</v>
      </c>
      <c r="ALS38">
        <v>19.762101246156799</v>
      </c>
      <c r="ALT38">
        <v>15.5599989961984</v>
      </c>
      <c r="ALU38">
        <v>19.762101246156799</v>
      </c>
      <c r="ALV38">
        <v>6.7005356974319099</v>
      </c>
      <c r="ALW38">
        <v>4.7434201885179798E-3</v>
      </c>
      <c r="ALX38">
        <v>23.610790121193499</v>
      </c>
      <c r="ALY38">
        <v>4.7434201885179798E-3</v>
      </c>
      <c r="ALZ38">
        <v>0</v>
      </c>
      <c r="AMA38">
        <v>12.6720723155854</v>
      </c>
      <c r="AMB38">
        <v>1.35E-2</v>
      </c>
      <c r="AMC38">
        <v>12.6422353784712</v>
      </c>
      <c r="AMD38">
        <v>1.35E-2</v>
      </c>
      <c r="AME38">
        <v>6.7</v>
      </c>
      <c r="AMF38">
        <v>1.35E-2</v>
      </c>
      <c r="AMG38">
        <v>1.5769999999999999E-2</v>
      </c>
      <c r="AMH38">
        <v>4.2474999999999996</v>
      </c>
      <c r="AMI38">
        <v>19.323681781209999</v>
      </c>
      <c r="AMJ38">
        <v>0.51875406846048899</v>
      </c>
      <c r="AMK38" s="580">
        <v>17.6904070095209</v>
      </c>
      <c r="AML38">
        <v>1.9673691353473799</v>
      </c>
      <c r="AMM38">
        <v>19.535772517874999</v>
      </c>
      <c r="AMN38">
        <v>0.44810800703041298</v>
      </c>
      <c r="AMO38">
        <v>19.328530254614702</v>
      </c>
      <c r="AMP38">
        <v>0.74315868765861004</v>
      </c>
      <c r="AMQ38">
        <v>19.370720955984201</v>
      </c>
      <c r="AMR38">
        <v>0.93451888813977102</v>
      </c>
      <c r="AMS38">
        <v>18.308984224680199</v>
      </c>
      <c r="AMT38">
        <v>2.4705497993591901</v>
      </c>
      <c r="AMU38">
        <v>20.806173395482102</v>
      </c>
      <c r="AMV38">
        <v>0.86895191703910002</v>
      </c>
      <c r="AMW38">
        <v>20.714214167982099</v>
      </c>
      <c r="AMX38">
        <v>0.85898800220983795</v>
      </c>
      <c r="AMY38">
        <v>20.754337032690501</v>
      </c>
      <c r="AMZ38">
        <v>1.22169935137621</v>
      </c>
      <c r="ANA38">
        <v>20.8710774747065</v>
      </c>
      <c r="ANB38">
        <v>1.6080946611792699</v>
      </c>
      <c r="ANC38">
        <v>18.313664624286702</v>
      </c>
      <c r="AND38">
        <v>3.0427084534109801</v>
      </c>
      <c r="ANE38">
        <v>20.846883829382399</v>
      </c>
      <c r="ANF38">
        <v>0.97585385670312197</v>
      </c>
      <c r="ANG38">
        <v>20.7435160369808</v>
      </c>
      <c r="ANH38">
        <v>0.96385845372391399</v>
      </c>
      <c r="ANI38">
        <v>20.770252376831401</v>
      </c>
      <c r="ANJ38">
        <v>1.3917370591081599</v>
      </c>
      <c r="ANK38">
        <v>20.848738722802999</v>
      </c>
      <c r="ANL38">
        <v>1.7477509054103599</v>
      </c>
      <c r="ANM38">
        <v>4.6119087866366604</v>
      </c>
      <c r="ANN38">
        <v>7.0282837311636204</v>
      </c>
      <c r="ANO38">
        <v>8.1219087283565408</v>
      </c>
      <c r="ANP38">
        <v>17.6904070095209</v>
      </c>
      <c r="ANQ38">
        <v>19.449867615493499</v>
      </c>
      <c r="ANR38">
        <v>19.2312864533985</v>
      </c>
      <c r="ANS38">
        <v>19.071802923182499</v>
      </c>
      <c r="ANT38">
        <v>19.240697451927101</v>
      </c>
      <c r="ANU38">
        <v>18.308984224680199</v>
      </c>
      <c r="ANV38">
        <v>20.655904437520199</v>
      </c>
      <c r="ANW38">
        <v>20.565862753124801</v>
      </c>
      <c r="ANX38">
        <v>20.266324486650401</v>
      </c>
      <c r="ANY38">
        <v>20.624310883606899</v>
      </c>
      <c r="ANZ38">
        <v>18.313664624286702</v>
      </c>
      <c r="AOA38">
        <v>20.676965773803602</v>
      </c>
      <c r="AOB38">
        <v>20.576270430782898</v>
      </c>
      <c r="AOC38">
        <v>20.315264335808099</v>
      </c>
      <c r="AOD38">
        <v>20.622751494844199</v>
      </c>
      <c r="AOE38">
        <v>25.867433947684098</v>
      </c>
      <c r="AOF38">
        <v>4.2474999999999996</v>
      </c>
      <c r="AOG38">
        <v>25.902608376425199</v>
      </c>
      <c r="AOH38">
        <v>4.2474999999999996</v>
      </c>
    </row>
    <row r="39" spans="1:1074">
      <c r="A39" t="s">
        <v>2609</v>
      </c>
      <c r="B39">
        <v>37.415500000000002</v>
      </c>
      <c r="D39">
        <v>21.001799706443901</v>
      </c>
      <c r="F39">
        <v>9</v>
      </c>
      <c r="G39">
        <v>10945018.5837641</v>
      </c>
      <c r="H39">
        <v>25252376.055390202</v>
      </c>
      <c r="I39">
        <v>6950739.3466344699</v>
      </c>
      <c r="J39">
        <v>16036764.3509151</v>
      </c>
      <c r="K39">
        <v>10945018.5837641</v>
      </c>
      <c r="L39">
        <v>25252376.055390202</v>
      </c>
      <c r="M39">
        <v>6950739.3466344699</v>
      </c>
      <c r="N39">
        <v>16036764.3509151</v>
      </c>
      <c r="O39">
        <v>56445592.898657002</v>
      </c>
      <c r="P39">
        <v>130231422.417206</v>
      </c>
      <c r="Q39">
        <v>10945018.5837641</v>
      </c>
      <c r="R39">
        <v>25252376.055390202</v>
      </c>
      <c r="S39">
        <v>6950739.3466344699</v>
      </c>
      <c r="T39">
        <v>16036764.3509151</v>
      </c>
      <c r="U39">
        <v>10945018.5837641</v>
      </c>
      <c r="V39">
        <v>25252376.055390202</v>
      </c>
      <c r="W39">
        <v>6950739.3466344699</v>
      </c>
      <c r="X39">
        <v>16036764.3509151</v>
      </c>
      <c r="Y39">
        <v>56445592.898657002</v>
      </c>
      <c r="Z39">
        <v>130231422.417206</v>
      </c>
      <c r="AA39">
        <v>10945018.5837641</v>
      </c>
      <c r="AB39">
        <v>25252376.055390202</v>
      </c>
      <c r="AC39">
        <v>6950739.3466344699</v>
      </c>
      <c r="AD39">
        <v>16036764.3509151</v>
      </c>
      <c r="AE39">
        <v>10945018.5837641</v>
      </c>
      <c r="AF39">
        <v>25252376.055390202</v>
      </c>
      <c r="AG39">
        <v>6950739.3466344699</v>
      </c>
      <c r="AH39">
        <v>16036764.3509151</v>
      </c>
      <c r="AI39">
        <v>56445592.898657002</v>
      </c>
      <c r="AJ39">
        <v>130231422.417206</v>
      </c>
      <c r="AK39">
        <v>23.716228502806501</v>
      </c>
      <c r="AL39">
        <v>3956060.4386927001</v>
      </c>
      <c r="AM39">
        <v>10245410.713212401</v>
      </c>
      <c r="AN39">
        <v>23.716228502806501</v>
      </c>
      <c r="AO39">
        <v>3956060.4386927001</v>
      </c>
      <c r="AP39">
        <v>10245410.713212401</v>
      </c>
      <c r="AQ39">
        <v>15.0612190693548</v>
      </c>
      <c r="AR39">
        <v>2512334.2403159901</v>
      </c>
      <c r="AS39">
        <v>6506446.6379612898</v>
      </c>
      <c r="AT39">
        <v>15.0612190693548</v>
      </c>
      <c r="AU39">
        <v>2512334.2403159901</v>
      </c>
      <c r="AV39">
        <v>6506446.6379612898</v>
      </c>
      <c r="AW39">
        <v>23.716228502806501</v>
      </c>
      <c r="AX39">
        <v>3956060.4386927001</v>
      </c>
      <c r="AY39">
        <v>10245410.713212401</v>
      </c>
      <c r="AZ39">
        <v>23.716228502806501</v>
      </c>
      <c r="BA39">
        <v>3956060.4386927001</v>
      </c>
      <c r="BB39">
        <v>10245410.713212401</v>
      </c>
      <c r="BC39">
        <v>15.0612190693548</v>
      </c>
      <c r="BD39">
        <v>2512334.2403159901</v>
      </c>
      <c r="BE39">
        <v>6506446.6379612898</v>
      </c>
      <c r="BF39">
        <v>15.0612190693548</v>
      </c>
      <c r="BG39">
        <v>2512334.2403159901</v>
      </c>
      <c r="BH39">
        <v>6506446.6379612898</v>
      </c>
      <c r="BI39">
        <v>23.716228502806501</v>
      </c>
      <c r="BJ39">
        <v>3956060.4386927001</v>
      </c>
      <c r="BK39">
        <v>10245410.713212401</v>
      </c>
      <c r="BL39">
        <v>23.716228502806501</v>
      </c>
      <c r="BM39">
        <v>3956060.4386927001</v>
      </c>
      <c r="BN39">
        <v>10245410.713212401</v>
      </c>
      <c r="BO39">
        <v>15.0612190693548</v>
      </c>
      <c r="BP39">
        <v>2512334.2403159901</v>
      </c>
      <c r="BQ39">
        <v>6506446.6379612898</v>
      </c>
      <c r="BR39">
        <v>15.0612190693548</v>
      </c>
      <c r="BS39">
        <v>2512334.2403159901</v>
      </c>
      <c r="BT39">
        <v>6506446.6379612898</v>
      </c>
      <c r="BU39">
        <v>52837578.828362301</v>
      </c>
      <c r="BV39">
        <v>122.309210250839</v>
      </c>
      <c r="BW39">
        <v>20402174.312995501</v>
      </c>
      <c r="BX39">
        <v>52837578.828362301</v>
      </c>
      <c r="BY39">
        <v>122.309210250839</v>
      </c>
      <c r="BZ39">
        <v>20402174.312995501</v>
      </c>
      <c r="CA39">
        <v>52837578.828362301</v>
      </c>
      <c r="CB39">
        <v>122.309210250839</v>
      </c>
      <c r="CC39">
        <v>20402174.312995501</v>
      </c>
      <c r="CD39">
        <v>52837578.828362301</v>
      </c>
      <c r="CE39">
        <v>3773179.8574618599</v>
      </c>
      <c r="CF39">
        <v>8575408.7669587694</v>
      </c>
      <c r="CG39">
        <v>3773179.8574618599</v>
      </c>
      <c r="CH39">
        <v>8575408.7669587694</v>
      </c>
      <c r="CI39">
        <v>2396194.1678283801</v>
      </c>
      <c r="CJ39">
        <v>5445895.8359735999</v>
      </c>
      <c r="CK39">
        <v>2396194.1678283801</v>
      </c>
      <c r="CL39">
        <v>5445895.8359735999</v>
      </c>
      <c r="CM39">
        <v>3773179.8574618599</v>
      </c>
      <c r="CN39">
        <v>8575408.7669587694</v>
      </c>
      <c r="CO39">
        <v>3773179.8574618599</v>
      </c>
      <c r="CP39">
        <v>8575408.7669587694</v>
      </c>
      <c r="CQ39">
        <v>2396194.1678283801</v>
      </c>
      <c r="CR39">
        <v>5445895.8359735999</v>
      </c>
      <c r="CS39">
        <v>2396194.1678283801</v>
      </c>
      <c r="CT39">
        <v>5445895.8359735999</v>
      </c>
      <c r="CU39">
        <v>3773179.8574618599</v>
      </c>
      <c r="CV39">
        <v>8575408.7669587694</v>
      </c>
      <c r="CW39">
        <v>3773179.8574618599</v>
      </c>
      <c r="CX39">
        <v>8575408.7669587694</v>
      </c>
      <c r="CY39">
        <v>2396194.1678283801</v>
      </c>
      <c r="CZ39">
        <v>5445895.8359735999</v>
      </c>
      <c r="DA39">
        <v>2396194.1678283801</v>
      </c>
      <c r="DB39">
        <v>5445895.8359735999</v>
      </c>
      <c r="DC39">
        <v>19459023.5309093</v>
      </c>
      <c r="DD39">
        <v>44225053.479339302</v>
      </c>
      <c r="DE39">
        <v>19459023.5309093</v>
      </c>
      <c r="DF39">
        <v>44225053.479339302</v>
      </c>
      <c r="DG39">
        <v>19459023.5309093</v>
      </c>
      <c r="DH39">
        <v>44225053.479339302</v>
      </c>
      <c r="DI39">
        <v>3215778.2876095399</v>
      </c>
      <c r="DJ39">
        <v>6431556.5752190799</v>
      </c>
      <c r="DK39">
        <v>3215778.2876095399</v>
      </c>
      <c r="DL39">
        <v>6431556.5752190799</v>
      </c>
      <c r="DM39">
        <v>2042210.9384901</v>
      </c>
      <c r="DN39">
        <v>4084421.8769801999</v>
      </c>
      <c r="DO39">
        <v>2042210.9384901</v>
      </c>
      <c r="DP39">
        <v>4084421.8769801999</v>
      </c>
      <c r="DQ39">
        <v>3215778.2876095399</v>
      </c>
      <c r="DR39">
        <v>6431556.5752190799</v>
      </c>
      <c r="DS39">
        <v>3215778.2876095399</v>
      </c>
      <c r="DT39">
        <v>6431556.5752190799</v>
      </c>
      <c r="DU39">
        <v>2042210.9384901</v>
      </c>
      <c r="DV39">
        <v>4084421.8769801999</v>
      </c>
      <c r="DW39">
        <v>2042210.9384901</v>
      </c>
      <c r="DX39">
        <v>4084421.8769801999</v>
      </c>
      <c r="DY39">
        <v>3215778.2876095399</v>
      </c>
      <c r="DZ39">
        <v>6431556.5752190799</v>
      </c>
      <c r="EA39">
        <v>3215778.2876095399</v>
      </c>
      <c r="EB39">
        <v>6431556.5752190799</v>
      </c>
      <c r="EC39">
        <v>2042210.9384901</v>
      </c>
      <c r="ED39">
        <v>4084421.8769801999</v>
      </c>
      <c r="EE39">
        <v>2042210.9384901</v>
      </c>
      <c r="EF39">
        <v>4084421.8769801999</v>
      </c>
      <c r="EG39">
        <v>16584395.054752201</v>
      </c>
      <c r="EH39">
        <v>33168790.109504402</v>
      </c>
      <c r="EI39">
        <v>16584395.054752201</v>
      </c>
      <c r="EJ39">
        <v>33168790.109504402</v>
      </c>
      <c r="EK39">
        <v>16584395.054752201</v>
      </c>
      <c r="EL39">
        <v>33168790.109504402</v>
      </c>
      <c r="EM39">
        <v>3858.1231023881801</v>
      </c>
      <c r="EN39">
        <v>2523.6832810746</v>
      </c>
      <c r="EO39">
        <v>6523.38439227238</v>
      </c>
      <c r="EP39">
        <v>5306.9094168757802</v>
      </c>
      <c r="EQ39">
        <v>0</v>
      </c>
      <c r="ER39">
        <v>4122.4532452719404</v>
      </c>
      <c r="ES39">
        <v>2723.10522646857</v>
      </c>
      <c r="ET39">
        <v>6968.5291214258305</v>
      </c>
      <c r="EU39">
        <v>15.908190195912001</v>
      </c>
      <c r="EV39">
        <v>5664.5595494773497</v>
      </c>
      <c r="EW39">
        <v>0</v>
      </c>
      <c r="EX39">
        <v>4091.48226691943</v>
      </c>
      <c r="EY39">
        <v>9.1773552700978502</v>
      </c>
      <c r="EZ39">
        <v>2700.1313339912999</v>
      </c>
      <c r="FA39">
        <v>6908.7943916793702</v>
      </c>
      <c r="FB39">
        <v>15.9118109388526</v>
      </c>
      <c r="FC39">
        <v>5621.4646699187697</v>
      </c>
      <c r="FD39">
        <v>0</v>
      </c>
      <c r="FE39">
        <v>0</v>
      </c>
      <c r="FF39">
        <v>0</v>
      </c>
      <c r="FG39">
        <v>0</v>
      </c>
      <c r="FH39">
        <v>0</v>
      </c>
      <c r="FI39">
        <v>0</v>
      </c>
      <c r="FJ39">
        <v>0</v>
      </c>
      <c r="FK39">
        <v>0</v>
      </c>
      <c r="FL39">
        <v>0</v>
      </c>
      <c r="FM39">
        <v>0</v>
      </c>
      <c r="FN39">
        <v>0</v>
      </c>
      <c r="FO39">
        <v>2.45251372506161E-2</v>
      </c>
      <c r="FP39">
        <v>0</v>
      </c>
      <c r="FQ39">
        <v>3.7712464405102401E-3</v>
      </c>
      <c r="FR39">
        <v>0</v>
      </c>
      <c r="FS39">
        <v>5621.4646699187697</v>
      </c>
      <c r="FT39">
        <v>0</v>
      </c>
      <c r="FU39">
        <v>1181.91924479367</v>
      </c>
      <c r="FV39">
        <v>0</v>
      </c>
      <c r="FW39">
        <v>0</v>
      </c>
      <c r="FX39">
        <v>9.8740865469002892E-4</v>
      </c>
      <c r="FY39">
        <v>2.45251372506161E-2</v>
      </c>
      <c r="FZ39">
        <v>0</v>
      </c>
      <c r="GA39">
        <v>3.7712464405102401E-3</v>
      </c>
      <c r="GB39">
        <v>85.146894628264207</v>
      </c>
      <c r="GC39">
        <v>222.38323322395701</v>
      </c>
      <c r="GD39">
        <v>161.59786303040499</v>
      </c>
      <c r="GE39">
        <v>172.70331746168699</v>
      </c>
      <c r="GF39">
        <v>156.72006131914799</v>
      </c>
      <c r="GG39">
        <v>114.696026120897</v>
      </c>
      <c r="GH39">
        <v>128.14653373564099</v>
      </c>
      <c r="GI39">
        <v>321.491628184121</v>
      </c>
      <c r="GJ39">
        <v>323.862488980384</v>
      </c>
      <c r="GK39">
        <v>106.69347164759</v>
      </c>
      <c r="GL39">
        <v>217.466367933779</v>
      </c>
      <c r="GM39">
        <v>202.97928461900599</v>
      </c>
      <c r="GN39">
        <v>42.605308178492599</v>
      </c>
      <c r="GO39">
        <v>25.621569111054701</v>
      </c>
      <c r="GP39">
        <v>26.031440987197801</v>
      </c>
      <c r="GQ39">
        <v>17.259520712832401</v>
      </c>
      <c r="GR39">
        <v>-90.209083219829495</v>
      </c>
      <c r="GS39">
        <v>-673.88681320594196</v>
      </c>
      <c r="GT39">
        <v>56.303598000353901</v>
      </c>
      <c r="GU39">
        <v>26.121568052748501</v>
      </c>
      <c r="GV39">
        <v>26.488643426652398</v>
      </c>
      <c r="GW39">
        <v>4.93279631990639</v>
      </c>
      <c r="GX39">
        <v>-79.780594748620402</v>
      </c>
      <c r="GY39">
        <v>-520.49013968934503</v>
      </c>
      <c r="GZ39">
        <v>97.242753563130194</v>
      </c>
      <c r="HA39">
        <v>25.8219184529882</v>
      </c>
      <c r="HB39">
        <v>26.340799053236399</v>
      </c>
      <c r="HC39">
        <v>52.210761810349602</v>
      </c>
      <c r="HD39">
        <v>-85.789321162657799</v>
      </c>
      <c r="HE39">
        <v>-862.77904067193697</v>
      </c>
      <c r="HF39">
        <v>40.676565271867503</v>
      </c>
      <c r="HG39">
        <v>25.826338400614802</v>
      </c>
      <c r="HH39">
        <v>26.398336063124301</v>
      </c>
      <c r="HI39">
        <v>53.9524210479901</v>
      </c>
      <c r="HJ39">
        <v>-28.259306664854499</v>
      </c>
      <c r="HK39">
        <v>-455.36979745061802</v>
      </c>
      <c r="HL39">
        <v>292.48064148826103</v>
      </c>
      <c r="HM39">
        <v>26.3572983125928</v>
      </c>
      <c r="HN39">
        <v>26.027005681613598</v>
      </c>
      <c r="HO39">
        <v>270.77802915641399</v>
      </c>
      <c r="HP39">
        <v>107.159201367386</v>
      </c>
      <c r="HQ39">
        <v>26.442507153611398</v>
      </c>
      <c r="HR39">
        <v>193.51059066229999</v>
      </c>
      <c r="HS39">
        <v>299.18944934904601</v>
      </c>
      <c r="HT39">
        <v>26.540346870946198</v>
      </c>
      <c r="HU39">
        <v>26.137767697873102</v>
      </c>
      <c r="HV39">
        <v>179.67492364905101</v>
      </c>
      <c r="HW39">
        <v>211.67203342981699</v>
      </c>
      <c r="HX39">
        <v>26.7513033094984</v>
      </c>
      <c r="HY39">
        <v>161.137107623818</v>
      </c>
      <c r="HZ39">
        <v>26.724188469405298</v>
      </c>
      <c r="IA39">
        <v>26.2136826609506</v>
      </c>
      <c r="IB39">
        <v>305.00348013900202</v>
      </c>
      <c r="IC39">
        <v>458.24299548763298</v>
      </c>
      <c r="ID39">
        <v>187.33411760386701</v>
      </c>
      <c r="IE39">
        <v>26.8416138582235</v>
      </c>
      <c r="IF39">
        <v>252.056493693025</v>
      </c>
      <c r="IG39">
        <v>59.4786102270862</v>
      </c>
      <c r="IH39">
        <v>26.6875623916041</v>
      </c>
      <c r="II39">
        <v>26.201929502740601</v>
      </c>
      <c r="IJ39">
        <v>203.353505164903</v>
      </c>
      <c r="IK39">
        <v>65.454540712891799</v>
      </c>
      <c r="IL39">
        <v>229.74336828826901</v>
      </c>
      <c r="IM39">
        <v>85.433767838531395</v>
      </c>
      <c r="IN39">
        <v>26.802668211745601</v>
      </c>
      <c r="IO39">
        <v>0.676553572327661</v>
      </c>
      <c r="IP39">
        <v>179.45978526541001</v>
      </c>
      <c r="IQ39">
        <v>270.67261291402201</v>
      </c>
      <c r="IR39">
        <v>178.057145709569</v>
      </c>
      <c r="IS39">
        <v>316.729540084257</v>
      </c>
      <c r="IT39">
        <v>185.60208921005801</v>
      </c>
      <c r="IU39">
        <v>308.34737768902102</v>
      </c>
      <c r="IV39">
        <v>61.841199704839397</v>
      </c>
      <c r="IW39">
        <v>25.818254716742199</v>
      </c>
      <c r="IX39">
        <v>26.442507153611398</v>
      </c>
      <c r="IY39">
        <v>137.613607370317</v>
      </c>
      <c r="IZ39">
        <v>-4.4141463828896104</v>
      </c>
      <c r="JA39">
        <v>-643.49621932785999</v>
      </c>
      <c r="JB39">
        <v>84.643753015206201</v>
      </c>
      <c r="JC39">
        <v>26.185334467855</v>
      </c>
      <c r="JD39">
        <v>26.7513033094984</v>
      </c>
      <c r="JE39">
        <v>132.98923500082799</v>
      </c>
      <c r="JF39">
        <v>12.952669034155001</v>
      </c>
      <c r="JG39">
        <v>-388.12273405154798</v>
      </c>
      <c r="JH39">
        <v>125.746649273645</v>
      </c>
      <c r="JI39">
        <v>26.0470814635454</v>
      </c>
      <c r="JJ39">
        <v>26.8416138582235</v>
      </c>
      <c r="JK39">
        <v>230.173042311827</v>
      </c>
      <c r="JL39">
        <v>5.4173967619638903</v>
      </c>
      <c r="JM39">
        <v>-826.57277543189196</v>
      </c>
      <c r="JN39">
        <v>56.763993459600499</v>
      </c>
      <c r="JO39">
        <v>25.970304694105799</v>
      </c>
      <c r="JP39">
        <v>26.802668211745601</v>
      </c>
      <c r="JQ39">
        <v>1.39019556239022</v>
      </c>
      <c r="JR39">
        <v>159.78523994341299</v>
      </c>
      <c r="JS39">
        <v>0.44951339998537998</v>
      </c>
      <c r="JT39">
        <v>12.8955866489245</v>
      </c>
      <c r="JU39">
        <v>-428.250204499267</v>
      </c>
      <c r="JV39">
        <v>357.12937238409302</v>
      </c>
      <c r="JW39">
        <v>389.19722605974403</v>
      </c>
      <c r="JX39">
        <v>505.36308782809698</v>
      </c>
      <c r="JY39">
        <v>341.97117475754698</v>
      </c>
      <c r="JZ39">
        <v>350.86282141464699</v>
      </c>
      <c r="KA39">
        <v>361.18841527228</v>
      </c>
      <c r="KB39">
        <v>519.21555421646997</v>
      </c>
      <c r="KC39">
        <v>384.86840272097498</v>
      </c>
      <c r="KD39">
        <v>576.105011391316</v>
      </c>
      <c r="KE39">
        <v>268.63628973393401</v>
      </c>
      <c r="KF39">
        <v>33.0909390642015</v>
      </c>
      <c r="KG39">
        <v>978.961018583493</v>
      </c>
      <c r="KH39">
        <v>0.778323912056198</v>
      </c>
      <c r="KI39">
        <v>282.32068163212398</v>
      </c>
      <c r="KJ39">
        <v>375.80857930822498</v>
      </c>
      <c r="KK39">
        <v>195.49027775447701</v>
      </c>
      <c r="KL39">
        <v>28.315779941142999</v>
      </c>
      <c r="KM39">
        <v>27.5933814467333</v>
      </c>
      <c r="KN39">
        <v>777.86422088537302</v>
      </c>
      <c r="KO39">
        <v>29.841560062221699</v>
      </c>
      <c r="KP39">
        <v>70.522338440201807</v>
      </c>
      <c r="KQ39">
        <v>862.32684692006796</v>
      </c>
      <c r="KR39">
        <v>2529.1582741822499</v>
      </c>
      <c r="KS39">
        <v>180.217469761714</v>
      </c>
      <c r="KT39">
        <v>28.5903483134121</v>
      </c>
      <c r="KU39">
        <v>27.8632495481015</v>
      </c>
      <c r="KV39">
        <v>545.30237847032697</v>
      </c>
      <c r="KW39">
        <v>30.125062808172299</v>
      </c>
      <c r="KX39">
        <v>70.211168422751996</v>
      </c>
      <c r="KY39">
        <v>581.05114006413203</v>
      </c>
      <c r="KZ39">
        <v>1614.9146170359199</v>
      </c>
      <c r="LA39">
        <v>274.86746209062898</v>
      </c>
      <c r="LB39">
        <v>28.501143623149201</v>
      </c>
      <c r="LC39">
        <v>27.961620283091499</v>
      </c>
      <c r="LD39">
        <v>942.03833674805003</v>
      </c>
      <c r="LE39">
        <v>29.970457920767299</v>
      </c>
      <c r="LF39">
        <v>70.523943833218695</v>
      </c>
      <c r="LG39">
        <v>942.14167301854195</v>
      </c>
      <c r="LH39">
        <v>2508.6196492997901</v>
      </c>
      <c r="LI39">
        <v>149.522470535243</v>
      </c>
      <c r="LJ39">
        <v>28.2480320129139</v>
      </c>
      <c r="LK39">
        <v>27.8249025275855</v>
      </c>
      <c r="LL39">
        <v>587.55656642240297</v>
      </c>
      <c r="LM39">
        <v>29.657638536919102</v>
      </c>
      <c r="LN39">
        <v>68.928205713831105</v>
      </c>
      <c r="LO39">
        <v>580.01246231436801</v>
      </c>
      <c r="LP39">
        <v>1554.6858665960599</v>
      </c>
      <c r="LQ39">
        <v>90.350617638806597</v>
      </c>
      <c r="LR39">
        <v>20.043786594830099</v>
      </c>
      <c r="LS39">
        <v>16.420999999999999</v>
      </c>
      <c r="LT39">
        <v>374.60987564125497</v>
      </c>
      <c r="LU39">
        <v>-1213.4000637751401</v>
      </c>
      <c r="LV39">
        <v>21.6210603386942</v>
      </c>
      <c r="LW39">
        <v>24.7392661710882</v>
      </c>
      <c r="LX39">
        <v>897.30953798337703</v>
      </c>
      <c r="LY39">
        <v>82.254271310970694</v>
      </c>
      <c r="LZ39">
        <v>20.163215048581499</v>
      </c>
      <c r="MA39">
        <v>16.420999999999999</v>
      </c>
      <c r="MB39">
        <v>243.807479892261</v>
      </c>
      <c r="MC39">
        <v>-874.40253231012798</v>
      </c>
      <c r="MD39">
        <v>21.8891286287603</v>
      </c>
      <c r="ME39">
        <v>25.138656670030201</v>
      </c>
      <c r="MF39">
        <v>610.04527894957801</v>
      </c>
      <c r="MG39">
        <v>129.84442137908999</v>
      </c>
      <c r="MH39">
        <v>20.046656987784601</v>
      </c>
      <c r="MI39">
        <v>16.420999999999999</v>
      </c>
      <c r="MJ39">
        <v>432.163883993816</v>
      </c>
      <c r="MK39">
        <v>-1266.81489174385</v>
      </c>
      <c r="ML39">
        <v>21.7042728936784</v>
      </c>
      <c r="MM39">
        <v>25.053766098400299</v>
      </c>
      <c r="MN39">
        <v>974.44740432714798</v>
      </c>
      <c r="MO39">
        <v>70.8481626833603</v>
      </c>
      <c r="MP39">
        <v>20.079781640952699</v>
      </c>
      <c r="MQ39">
        <v>16.420999999999999</v>
      </c>
      <c r="MR39">
        <v>311.78954363823999</v>
      </c>
      <c r="MS39">
        <v>-715.39303608379998</v>
      </c>
      <c r="MT39">
        <v>21.690413043575798</v>
      </c>
      <c r="MU39">
        <v>25.0998905363608</v>
      </c>
      <c r="MV39">
        <v>638.06602884197696</v>
      </c>
      <c r="MW39">
        <v>119.644060923276</v>
      </c>
      <c r="MX39">
        <v>23.1154370037418</v>
      </c>
      <c r="MY39">
        <v>25.135852020646698</v>
      </c>
      <c r="MZ39">
        <v>1605.4590550590699</v>
      </c>
      <c r="NA39">
        <v>1452.6485025965901</v>
      </c>
      <c r="NB39">
        <v>23.305046402688301</v>
      </c>
      <c r="NC39">
        <v>25.718434230647699</v>
      </c>
      <c r="ND39">
        <v>1653.3196802796999</v>
      </c>
      <c r="NE39">
        <v>103.622440232068</v>
      </c>
      <c r="NF39">
        <v>23.321586831133601</v>
      </c>
      <c r="NG39">
        <v>25.585284273208401</v>
      </c>
      <c r="NH39">
        <v>1107.60113565501</v>
      </c>
      <c r="NI39">
        <v>984.60670781044905</v>
      </c>
      <c r="NJ39">
        <v>23.537020870915899</v>
      </c>
      <c r="NK39">
        <v>25.942361861194598</v>
      </c>
      <c r="NL39">
        <v>1144.2438589511701</v>
      </c>
      <c r="NM39">
        <v>159.928725046019</v>
      </c>
      <c r="NN39">
        <v>23.0252412722716</v>
      </c>
      <c r="NO39">
        <v>25.209089810522801</v>
      </c>
      <c r="NP39">
        <v>1738.9726110224699</v>
      </c>
      <c r="NQ39">
        <v>1468.6836154426001</v>
      </c>
      <c r="NR39">
        <v>23.306234200881701</v>
      </c>
      <c r="NS39">
        <v>26.0590485802927</v>
      </c>
      <c r="NT39">
        <v>1836.6682741300899</v>
      </c>
      <c r="NU39">
        <v>91.878619669540896</v>
      </c>
      <c r="NV39">
        <v>23.098629899554499</v>
      </c>
      <c r="NW39">
        <v>25.252107980121799</v>
      </c>
      <c r="NX39">
        <v>2.86979905145806</v>
      </c>
      <c r="NY39">
        <v>1134.25686073416</v>
      </c>
      <c r="NZ39">
        <v>1034.3958993006199</v>
      </c>
      <c r="OA39">
        <v>23.294765422200499</v>
      </c>
      <c r="OB39">
        <v>26.074816499121599</v>
      </c>
      <c r="OC39">
        <v>2.7497748607457702</v>
      </c>
      <c r="OD39">
        <v>1162.3938626289701</v>
      </c>
      <c r="OE39">
        <v>2.86979905145806</v>
      </c>
      <c r="OF39">
        <v>2.7497748607457702</v>
      </c>
      <c r="OG39">
        <v>118.672326049544</v>
      </c>
      <c r="OH39">
        <v>23.0835957788732</v>
      </c>
      <c r="OI39">
        <v>25.262198666665999</v>
      </c>
      <c r="OJ39">
        <v>1796.1105169339701</v>
      </c>
      <c r="OK39">
        <v>1677.16065457024</v>
      </c>
      <c r="OL39">
        <v>23.237752344882701</v>
      </c>
      <c r="OM39">
        <v>25.924910100044201</v>
      </c>
      <c r="ON39">
        <v>1918.9039401698301</v>
      </c>
      <c r="OO39">
        <v>102.29526461315101</v>
      </c>
      <c r="OP39">
        <v>23.321695394374601</v>
      </c>
      <c r="OQ39">
        <v>25.6855470420467</v>
      </c>
      <c r="OR39">
        <v>1244.6326738339701</v>
      </c>
      <c r="OS39">
        <v>1153.3078923999899</v>
      </c>
      <c r="OT39">
        <v>23.487499030374799</v>
      </c>
      <c r="OU39">
        <v>26.184316895210301</v>
      </c>
      <c r="OV39">
        <v>1328.5954936979899</v>
      </c>
      <c r="OW39">
        <v>156.07570973626599</v>
      </c>
      <c r="OX39">
        <v>23.0033930235866</v>
      </c>
      <c r="OY39">
        <v>25.358386343408998</v>
      </c>
      <c r="OZ39">
        <v>1918.4522428615101</v>
      </c>
      <c r="PA39">
        <v>1689.8940190164301</v>
      </c>
      <c r="PB39">
        <v>23.241136851391801</v>
      </c>
      <c r="PC39">
        <v>26.2914187499102</v>
      </c>
      <c r="PD39">
        <v>2102.1384070962199</v>
      </c>
      <c r="PE39">
        <v>90.101395825708195</v>
      </c>
      <c r="PF39">
        <v>23.0619076264549</v>
      </c>
      <c r="PG39">
        <v>25.3551907164813</v>
      </c>
      <c r="PH39">
        <v>3.2372010708572101</v>
      </c>
      <c r="PI39">
        <v>1254.0446266874501</v>
      </c>
      <c r="PJ39">
        <v>1180.0809855843299</v>
      </c>
      <c r="PK39">
        <v>23.214425003520599</v>
      </c>
      <c r="PL39">
        <v>26.2255817455878</v>
      </c>
      <c r="PM39">
        <v>3.2587744960999498</v>
      </c>
      <c r="PN39">
        <v>1332.0688685676701</v>
      </c>
      <c r="PO39">
        <v>25.919062565313698</v>
      </c>
      <c r="PP39">
        <v>26.4012400968073</v>
      </c>
      <c r="PQ39">
        <v>26.4611498239322</v>
      </c>
      <c r="PR39">
        <v>26.5369490068272</v>
      </c>
      <c r="PS39">
        <v>25.017073133143001</v>
      </c>
      <c r="PT39">
        <v>26.4902981694426</v>
      </c>
      <c r="PU39">
        <v>26.833706996065601</v>
      </c>
      <c r="PV39">
        <v>27.0786304721383</v>
      </c>
      <c r="PW39">
        <v>27.094143611530999</v>
      </c>
      <c r="PX39">
        <v>25.460900559403498</v>
      </c>
      <c r="PY39">
        <v>26.9975796312049</v>
      </c>
      <c r="PZ39">
        <v>27.329132424086598</v>
      </c>
      <c r="QA39">
        <v>27.571904488759799</v>
      </c>
      <c r="QB39">
        <v>27.5197285150482</v>
      </c>
      <c r="QC39">
        <v>26.357063717893499</v>
      </c>
      <c r="QD39">
        <v>21.845049570323699</v>
      </c>
      <c r="QE39">
        <v>26.485327042377001</v>
      </c>
      <c r="QF39">
        <v>27.003312571250898</v>
      </c>
      <c r="QG39">
        <v>27.3484947575711</v>
      </c>
      <c r="QH39">
        <v>26.8754246070704</v>
      </c>
      <c r="QI39">
        <v>25.040154318622299</v>
      </c>
      <c r="QJ39">
        <v>26.109128800633599</v>
      </c>
      <c r="QK39">
        <v>26.340050982188298</v>
      </c>
      <c r="QL39">
        <v>26.6432787115486</v>
      </c>
      <c r="QM39">
        <v>26.6083575308439</v>
      </c>
      <c r="QN39">
        <v>2302.7350071077399</v>
      </c>
      <c r="QO39">
        <v>25.1066708096516</v>
      </c>
      <c r="QP39">
        <v>3751.2334720219601</v>
      </c>
      <c r="QQ39">
        <v>26.3749383398677</v>
      </c>
      <c r="QR39">
        <v>26.577355770219999</v>
      </c>
      <c r="QS39">
        <v>26.877959958451701</v>
      </c>
      <c r="QT39">
        <v>26.815335366188901</v>
      </c>
      <c r="QU39">
        <v>25.629175261328498</v>
      </c>
      <c r="QV39">
        <v>18.244798498357198</v>
      </c>
      <c r="QW39">
        <v>0</v>
      </c>
      <c r="QX39">
        <v>436503.10604659998</v>
      </c>
      <c r="QY39">
        <v>0</v>
      </c>
      <c r="QZ39">
        <v>298888.78144642501</v>
      </c>
      <c r="RA39">
        <v>0</v>
      </c>
      <c r="RB39">
        <v>96822.0325491853</v>
      </c>
      <c r="RC39">
        <v>0</v>
      </c>
      <c r="RD39">
        <v>63542.308498974497</v>
      </c>
      <c r="RE39">
        <v>0</v>
      </c>
      <c r="RF39">
        <v>148848.588073686</v>
      </c>
      <c r="RG39">
        <v>0</v>
      </c>
      <c r="RH39">
        <v>97261.822974991999</v>
      </c>
      <c r="RI39">
        <v>0</v>
      </c>
      <c r="RJ39">
        <v>5586.9826748966298</v>
      </c>
      <c r="RK39">
        <v>27.051591519440301</v>
      </c>
      <c r="RL39">
        <v>-5571.8679700311404</v>
      </c>
      <c r="RM39">
        <v>-12209.3592118131</v>
      </c>
      <c r="RN39">
        <v>-5571.8679700311404</v>
      </c>
      <c r="RO39">
        <v>0</v>
      </c>
      <c r="RP39">
        <v>3843.1833790661099</v>
      </c>
      <c r="RQ39">
        <v>27.605385045694501</v>
      </c>
      <c r="RR39">
        <v>-3879.9869333206698</v>
      </c>
      <c r="RS39">
        <v>-7978.5811671226202</v>
      </c>
      <c r="RT39">
        <v>-3879.9869333206698</v>
      </c>
      <c r="RU39">
        <v>0</v>
      </c>
      <c r="RV39">
        <v>6697.9285898046001</v>
      </c>
      <c r="RW39">
        <v>28.23583969121</v>
      </c>
      <c r="RX39">
        <v>-6644.32640499849</v>
      </c>
      <c r="RY39">
        <v>-12343.662903181201</v>
      </c>
      <c r="RZ39">
        <v>-6644.32640499849</v>
      </c>
      <c r="SA39">
        <v>0</v>
      </c>
      <c r="SB39">
        <v>5032.4132563268504</v>
      </c>
      <c r="SC39">
        <v>27.2139002073136</v>
      </c>
      <c r="SD39">
        <v>-5110.7237023929802</v>
      </c>
      <c r="SE39">
        <v>-9164.1482601493099</v>
      </c>
      <c r="SF39">
        <v>-5110.7237023929802</v>
      </c>
      <c r="SG39">
        <v>0</v>
      </c>
      <c r="SH39">
        <v>18546.476857197998</v>
      </c>
      <c r="SI39">
        <v>25.063235504101598</v>
      </c>
      <c r="SJ39">
        <v>-18614.672822426801</v>
      </c>
      <c r="SK39">
        <v>-40764.1885969137</v>
      </c>
      <c r="SL39">
        <v>-18614.672822426801</v>
      </c>
      <c r="SM39">
        <v>21.1111</v>
      </c>
      <c r="SN39">
        <v>23.8889</v>
      </c>
      <c r="SO39">
        <v>9.4192090986080093</v>
      </c>
      <c r="SP39">
        <v>1.7736284161856</v>
      </c>
      <c r="SQ39">
        <v>25.521857921319601</v>
      </c>
      <c r="SR39">
        <v>0</v>
      </c>
      <c r="SS39">
        <v>0</v>
      </c>
      <c r="ST39">
        <v>0</v>
      </c>
      <c r="SU39">
        <v>0</v>
      </c>
      <c r="SV39">
        <v>22.586217776563402</v>
      </c>
      <c r="SW39">
        <v>26.007627840693701</v>
      </c>
      <c r="SX39">
        <v>0</v>
      </c>
      <c r="SY39">
        <v>0</v>
      </c>
      <c r="SZ39">
        <v>0</v>
      </c>
      <c r="TA39">
        <v>0</v>
      </c>
      <c r="TB39">
        <v>65.301688352819795</v>
      </c>
      <c r="TC39">
        <v>25.6068170702892</v>
      </c>
      <c r="TD39">
        <v>0</v>
      </c>
      <c r="TE39">
        <v>0</v>
      </c>
      <c r="TF39">
        <v>0</v>
      </c>
      <c r="TG39">
        <v>0</v>
      </c>
      <c r="TH39">
        <v>127.837870417979</v>
      </c>
      <c r="TI39">
        <v>25.389928002395902</v>
      </c>
      <c r="TJ39">
        <v>0</v>
      </c>
      <c r="TK39">
        <v>0</v>
      </c>
      <c r="TL39">
        <v>0</v>
      </c>
      <c r="TM39">
        <v>1427.0068786674799</v>
      </c>
      <c r="TN39">
        <v>0</v>
      </c>
      <c r="TO39">
        <v>25.300871736849299</v>
      </c>
      <c r="TP39">
        <v>0</v>
      </c>
      <c r="TQ39">
        <v>0</v>
      </c>
      <c r="TR39">
        <v>0</v>
      </c>
      <c r="TS39">
        <v>0</v>
      </c>
      <c r="TT39">
        <v>6689.4024962685098</v>
      </c>
      <c r="TU39">
        <v>25.727959431824502</v>
      </c>
      <c r="TV39">
        <v>-6682.5384429441701</v>
      </c>
      <c r="TW39">
        <v>-13967.6579458207</v>
      </c>
      <c r="TX39">
        <v>-6682.5384429441701</v>
      </c>
      <c r="TY39">
        <v>0</v>
      </c>
      <c r="TZ39">
        <v>4719.4928639704704</v>
      </c>
      <c r="UA39">
        <v>25.846394968311099</v>
      </c>
      <c r="UB39">
        <v>-4726.5831087938304</v>
      </c>
      <c r="UC39">
        <v>-9282.6387143228494</v>
      </c>
      <c r="UD39">
        <v>-4726.5831087938304</v>
      </c>
      <c r="UE39">
        <v>0</v>
      </c>
      <c r="UF39">
        <v>8065.6316706096104</v>
      </c>
      <c r="UG39">
        <v>26.2079269509588</v>
      </c>
      <c r="UH39">
        <v>-8015.1907860869196</v>
      </c>
      <c r="UI39">
        <v>-14537.8880080406</v>
      </c>
      <c r="UJ39">
        <v>-8015.1907860869196</v>
      </c>
      <c r="UK39">
        <v>0</v>
      </c>
      <c r="UL39">
        <v>5681.3603549451</v>
      </c>
      <c r="UM39">
        <v>26.122571450156698</v>
      </c>
      <c r="UN39">
        <v>-5711.2302911942297</v>
      </c>
      <c r="UO39">
        <v>-9885.0693410943095</v>
      </c>
      <c r="UP39">
        <v>-5711.2302911942297</v>
      </c>
      <c r="UQ39">
        <v>0</v>
      </c>
      <c r="UR39">
        <v>21076.819556590501</v>
      </c>
      <c r="US39">
        <v>24.752441059899802</v>
      </c>
      <c r="UT39">
        <v>-21168.8809969826</v>
      </c>
      <c r="UU39">
        <v>-44042.287021582502</v>
      </c>
      <c r="UV39">
        <v>-21168.8809969826</v>
      </c>
      <c r="UW39">
        <v>21.1111</v>
      </c>
      <c r="UX39">
        <v>23.8889</v>
      </c>
      <c r="UY39">
        <v>0</v>
      </c>
      <c r="UZ39">
        <v>236.38991149343701</v>
      </c>
      <c r="VA39">
        <v>25.311640977380002</v>
      </c>
      <c r="VB39">
        <v>0</v>
      </c>
      <c r="VC39">
        <v>0</v>
      </c>
      <c r="VD39">
        <v>0</v>
      </c>
      <c r="VE39">
        <v>0</v>
      </c>
      <c r="VF39">
        <v>275.36203050393698</v>
      </c>
      <c r="VG39">
        <v>25.464940786670098</v>
      </c>
      <c r="VH39">
        <v>0</v>
      </c>
      <c r="VI39">
        <v>0</v>
      </c>
      <c r="VJ39">
        <v>0</v>
      </c>
      <c r="VK39">
        <v>0</v>
      </c>
      <c r="VL39">
        <v>396.7781904862</v>
      </c>
      <c r="VM39">
        <v>25.3134423767737</v>
      </c>
      <c r="VN39">
        <v>0</v>
      </c>
      <c r="VO39">
        <v>0</v>
      </c>
      <c r="VP39">
        <v>0</v>
      </c>
      <c r="VQ39">
        <v>0</v>
      </c>
      <c r="VR39">
        <v>280.71816603081697</v>
      </c>
      <c r="VS39">
        <v>25.124575081348201</v>
      </c>
      <c r="VT39">
        <v>0</v>
      </c>
      <c r="VU39">
        <v>0</v>
      </c>
      <c r="VV39">
        <v>0</v>
      </c>
      <c r="VW39">
        <v>583.05005440033005</v>
      </c>
      <c r="VX39">
        <v>0</v>
      </c>
      <c r="VY39">
        <v>25.235285695292799</v>
      </c>
      <c r="VZ39">
        <v>0</v>
      </c>
      <c r="WA39">
        <v>0</v>
      </c>
      <c r="WB39">
        <v>0</v>
      </c>
      <c r="WC39">
        <v>0</v>
      </c>
      <c r="WD39">
        <v>7564.0501809527505</v>
      </c>
      <c r="WE39">
        <v>25.7522970485306</v>
      </c>
      <c r="WF39">
        <v>-7545.9013184384303</v>
      </c>
      <c r="WG39">
        <v>-14765.3901557112</v>
      </c>
      <c r="WH39">
        <v>-7545.9013184384303</v>
      </c>
      <c r="WI39">
        <v>19061944.767778501</v>
      </c>
      <c r="WJ39">
        <v>0</v>
      </c>
      <c r="WK39">
        <v>5294.9846577162398</v>
      </c>
      <c r="WL39">
        <v>25.825579116353399</v>
      </c>
      <c r="WM39">
        <v>-5308.4866254847802</v>
      </c>
      <c r="WN39">
        <v>-9877.2133134209907</v>
      </c>
      <c r="WO39">
        <v>-5308.4866254847802</v>
      </c>
      <c r="WP39">
        <v>18.333300000000001</v>
      </c>
      <c r="WQ39">
        <v>23.8889</v>
      </c>
      <c r="WR39">
        <v>0</v>
      </c>
      <c r="WS39">
        <v>8930.1202672585296</v>
      </c>
      <c r="WT39">
        <v>26.184015428143599</v>
      </c>
      <c r="WU39">
        <v>-8870.9762093346399</v>
      </c>
      <c r="WV39">
        <v>-15448.0126804093</v>
      </c>
      <c r="WW39">
        <v>-8870.9762093346399</v>
      </c>
      <c r="WX39">
        <v>22262712.2212159</v>
      </c>
      <c r="WY39">
        <v>0</v>
      </c>
      <c r="WZ39">
        <v>6184.0867281155097</v>
      </c>
      <c r="XA39">
        <v>26.110942217329601</v>
      </c>
      <c r="XB39">
        <v>-6210.9938301483899</v>
      </c>
      <c r="XC39">
        <v>-10365.601627420099</v>
      </c>
      <c r="XD39">
        <v>-6210.9938301483899</v>
      </c>
      <c r="XE39">
        <v>0</v>
      </c>
      <c r="XF39">
        <v>26050.450298900101</v>
      </c>
      <c r="XG39">
        <v>24.901286804763402</v>
      </c>
      <c r="XH39">
        <v>-26112.652880678601</v>
      </c>
      <c r="XI39">
        <v>-48425.720730392299</v>
      </c>
      <c r="XJ39">
        <v>-26112.652880678601</v>
      </c>
      <c r="XK39">
        <v>21.1111</v>
      </c>
      <c r="XL39">
        <v>23.8889</v>
      </c>
      <c r="XM39">
        <v>0</v>
      </c>
      <c r="XN39">
        <v>2238.0964023005599</v>
      </c>
      <c r="XO39">
        <v>26.4404704495348</v>
      </c>
      <c r="XP39">
        <v>0</v>
      </c>
      <c r="XQ39">
        <v>0</v>
      </c>
      <c r="XR39">
        <v>0</v>
      </c>
      <c r="XS39">
        <v>0</v>
      </c>
      <c r="XT39">
        <v>1601.42213772785</v>
      </c>
      <c r="XU39">
        <v>26.5429010052748</v>
      </c>
      <c r="XV39">
        <v>0</v>
      </c>
      <c r="XW39">
        <v>0</v>
      </c>
      <c r="XX39">
        <v>0</v>
      </c>
      <c r="XY39">
        <v>0</v>
      </c>
      <c r="XZ39">
        <v>2552.2941057878102</v>
      </c>
      <c r="YA39">
        <v>26.3572270867379</v>
      </c>
      <c r="YB39">
        <v>0</v>
      </c>
      <c r="YC39">
        <v>0</v>
      </c>
      <c r="YD39">
        <v>0</v>
      </c>
      <c r="YE39">
        <v>0</v>
      </c>
      <c r="YF39">
        <v>1645.33086564633</v>
      </c>
      <c r="YG39">
        <v>26.044588187262999</v>
      </c>
      <c r="YH39">
        <v>0</v>
      </c>
      <c r="YI39">
        <v>0</v>
      </c>
      <c r="YJ39">
        <v>0</v>
      </c>
      <c r="YK39">
        <v>0</v>
      </c>
      <c r="YL39">
        <v>8088.1361463424801</v>
      </c>
      <c r="YM39">
        <v>26.758364311948601</v>
      </c>
      <c r="YN39">
        <v>0</v>
      </c>
      <c r="YO39">
        <v>0</v>
      </c>
      <c r="YP39">
        <v>0</v>
      </c>
      <c r="YQ39">
        <v>0</v>
      </c>
      <c r="YR39">
        <v>1411.83696161429</v>
      </c>
      <c r="YS39">
        <v>19.2271879396374</v>
      </c>
      <c r="YT39">
        <v>0</v>
      </c>
      <c r="YU39">
        <v>0</v>
      </c>
      <c r="YV39">
        <v>0</v>
      </c>
      <c r="YW39">
        <v>0</v>
      </c>
      <c r="YX39">
        <v>981.54302356155495</v>
      </c>
      <c r="YY39">
        <v>19.3102341798905</v>
      </c>
      <c r="YZ39">
        <v>0</v>
      </c>
      <c r="ZA39">
        <v>0</v>
      </c>
      <c r="ZB39">
        <v>0</v>
      </c>
      <c r="ZC39">
        <v>0</v>
      </c>
      <c r="ZD39">
        <v>1577.2584603364901</v>
      </c>
      <c r="ZE39">
        <v>19.118448724562899</v>
      </c>
      <c r="ZF39">
        <v>0</v>
      </c>
      <c r="ZG39">
        <v>0</v>
      </c>
      <c r="ZH39">
        <v>0</v>
      </c>
      <c r="ZI39">
        <v>0</v>
      </c>
      <c r="ZJ39">
        <v>1092.9315147449699</v>
      </c>
      <c r="ZK39">
        <v>18.960884253687599</v>
      </c>
      <c r="ZL39">
        <v>0</v>
      </c>
      <c r="ZM39">
        <v>0</v>
      </c>
      <c r="ZN39">
        <v>0</v>
      </c>
      <c r="ZO39">
        <v>0</v>
      </c>
      <c r="ZP39">
        <v>12033.0114739049</v>
      </c>
      <c r="ZQ39">
        <v>17.644805582992301</v>
      </c>
      <c r="ZR39">
        <v>0</v>
      </c>
      <c r="ZS39">
        <v>0</v>
      </c>
      <c r="ZT39">
        <v>0</v>
      </c>
      <c r="ZU39">
        <v>0</v>
      </c>
      <c r="ZV39">
        <v>3477.2026191744399</v>
      </c>
      <c r="ZW39">
        <v>20.568691320203399</v>
      </c>
      <c r="ZX39">
        <v>0</v>
      </c>
      <c r="ZY39">
        <v>0</v>
      </c>
      <c r="ZZ39">
        <v>0</v>
      </c>
      <c r="AAA39">
        <v>0</v>
      </c>
      <c r="AAB39">
        <v>2424.6255202411699</v>
      </c>
      <c r="AAC39">
        <v>20.5587498561583</v>
      </c>
      <c r="AAD39">
        <v>0</v>
      </c>
      <c r="AAE39">
        <v>0</v>
      </c>
      <c r="AAF39">
        <v>0</v>
      </c>
      <c r="AAG39">
        <v>0</v>
      </c>
      <c r="AAH39">
        <v>3809.8013405278498</v>
      </c>
      <c r="AAI39">
        <v>20.291915722572401</v>
      </c>
      <c r="AAJ39">
        <v>0</v>
      </c>
      <c r="AAK39">
        <v>0</v>
      </c>
      <c r="AAL39">
        <v>0</v>
      </c>
      <c r="AAM39">
        <v>0</v>
      </c>
      <c r="AAN39">
        <v>2516.19020032555</v>
      </c>
      <c r="AAO39">
        <v>20.2101817120177</v>
      </c>
      <c r="AAP39">
        <v>0</v>
      </c>
      <c r="AAQ39">
        <v>0</v>
      </c>
      <c r="AAR39">
        <v>0</v>
      </c>
      <c r="AAS39">
        <v>0</v>
      </c>
      <c r="AAT39">
        <v>23338.438441371301</v>
      </c>
      <c r="AAU39">
        <v>18.243234241302901</v>
      </c>
      <c r="AAV39">
        <v>0</v>
      </c>
      <c r="AAW39">
        <v>0</v>
      </c>
      <c r="AAX39">
        <v>0</v>
      </c>
      <c r="AAY39">
        <v>0</v>
      </c>
      <c r="AAZ39">
        <v>3935.1243701814901</v>
      </c>
      <c r="ABA39">
        <v>20.559115207282002</v>
      </c>
      <c r="ABB39">
        <v>0</v>
      </c>
      <c r="ABC39">
        <v>0</v>
      </c>
      <c r="ABD39">
        <v>0</v>
      </c>
      <c r="ABE39">
        <v>0</v>
      </c>
      <c r="ABF39">
        <v>2751.87271735889</v>
      </c>
      <c r="ABG39">
        <v>20.5653976307919</v>
      </c>
      <c r="ABH39">
        <v>0</v>
      </c>
      <c r="ABI39">
        <v>0</v>
      </c>
      <c r="ABJ39">
        <v>0</v>
      </c>
      <c r="ABK39">
        <v>0</v>
      </c>
      <c r="ABL39">
        <v>4257.5050605864299</v>
      </c>
      <c r="ABM39">
        <v>20.325851526760701</v>
      </c>
      <c r="ABN39">
        <v>0</v>
      </c>
      <c r="ABO39">
        <v>0</v>
      </c>
      <c r="ABP39">
        <v>0</v>
      </c>
      <c r="ABQ39">
        <v>0</v>
      </c>
      <c r="ABR39">
        <v>2809.0776072966901</v>
      </c>
      <c r="ABS39">
        <v>20.233563070667</v>
      </c>
      <c r="ABT39">
        <v>0</v>
      </c>
      <c r="ABU39">
        <v>0</v>
      </c>
      <c r="ABV39">
        <v>0</v>
      </c>
      <c r="ABW39">
        <v>0</v>
      </c>
      <c r="ABX39">
        <v>27035.017994317601</v>
      </c>
      <c r="ABY39">
        <v>18.244798498357198</v>
      </c>
      <c r="ABZ39">
        <v>0</v>
      </c>
      <c r="ACA39">
        <v>0</v>
      </c>
      <c r="ACB39">
        <v>0</v>
      </c>
      <c r="ACC39">
        <v>0.79344561615905596</v>
      </c>
      <c r="ACD39">
        <v>238135781.65222499</v>
      </c>
      <c r="ACE39">
        <v>346754.53208387498</v>
      </c>
      <c r="ACF39">
        <v>12.8448598131612</v>
      </c>
      <c r="ACG39">
        <v>6.7</v>
      </c>
      <c r="ACH39">
        <v>13.50000361399</v>
      </c>
      <c r="ACI39">
        <v>412903.36032060499</v>
      </c>
      <c r="ACJ39">
        <v>5.2420623265966899</v>
      </c>
      <c r="ACK39">
        <v>26.121629249036801</v>
      </c>
      <c r="ACL39">
        <v>32.385464491065299</v>
      </c>
      <c r="ACM39">
        <v>15.7700042216757</v>
      </c>
      <c r="ACN39">
        <v>105390.341415922</v>
      </c>
      <c r="ACP39">
        <v>86827.327716676897</v>
      </c>
      <c r="ACR39">
        <v>192217.669132599</v>
      </c>
      <c r="ACT39">
        <v>25.4505428512755</v>
      </c>
      <c r="ACU39">
        <v>23.891619734175698</v>
      </c>
      <c r="ACV39">
        <v>1.7</v>
      </c>
      <c r="ACW39">
        <v>1.35939791922842</v>
      </c>
      <c r="ACX39">
        <v>0.800129423343798</v>
      </c>
      <c r="ACY39">
        <v>25.305899600602501</v>
      </c>
      <c r="ACZ39">
        <v>23.893755401557002</v>
      </c>
      <c r="ADA39">
        <v>1.7</v>
      </c>
      <c r="ADB39">
        <v>1.8622208002707299</v>
      </c>
      <c r="ADC39">
        <v>0.79974004462535797</v>
      </c>
      <c r="ADD39">
        <v>25.302975742441099</v>
      </c>
      <c r="ADE39">
        <v>23.894522682264402</v>
      </c>
      <c r="ADF39">
        <v>1.7</v>
      </c>
      <c r="ADG39">
        <v>2.42790880968592</v>
      </c>
      <c r="ADH39">
        <v>0.800152102373059</v>
      </c>
      <c r="ADI39">
        <v>25.5472650871416</v>
      </c>
      <c r="ADJ39">
        <v>23.732439913498698</v>
      </c>
      <c r="ADK39">
        <v>1.7</v>
      </c>
      <c r="ADL39">
        <v>1.8958905415190801</v>
      </c>
      <c r="ADM39">
        <v>0.70880218652938098</v>
      </c>
      <c r="ADN39">
        <v>25.9072563771192</v>
      </c>
      <c r="ADO39">
        <v>24.006899622029501</v>
      </c>
      <c r="ADP39">
        <v>1.7</v>
      </c>
      <c r="ADQ39">
        <v>1.9550922157257999</v>
      </c>
      <c r="ADR39">
        <v>0.70725371056472097</v>
      </c>
      <c r="ADS39">
        <v>25.596224344298498</v>
      </c>
      <c r="ADT39">
        <v>23.777380793649598</v>
      </c>
      <c r="ADU39">
        <v>1.7</v>
      </c>
      <c r="ADV39">
        <v>5.8128238255532603</v>
      </c>
      <c r="ADW39">
        <v>0.70788831208833802</v>
      </c>
      <c r="ADX39">
        <v>25.143406967330499</v>
      </c>
      <c r="ADY39">
        <v>23.370019426268598</v>
      </c>
      <c r="ADZ39">
        <v>1.7</v>
      </c>
      <c r="AEA39">
        <v>2.5191411009068601</v>
      </c>
      <c r="AEB39">
        <v>0.70539167210378395</v>
      </c>
      <c r="AEC39">
        <v>25.159023917520699</v>
      </c>
      <c r="AED39">
        <v>23.8617461823636</v>
      </c>
      <c r="AEE39">
        <v>1.7</v>
      </c>
      <c r="AEF39">
        <v>3.0129045901225702</v>
      </c>
      <c r="AEG39">
        <v>0.70846908447086299</v>
      </c>
      <c r="AEH39">
        <v>25.1967062637951</v>
      </c>
      <c r="AEI39">
        <v>23.8874551730202</v>
      </c>
      <c r="AEJ39">
        <v>1.7</v>
      </c>
      <c r="AEK39">
        <v>3.2576601250560602</v>
      </c>
      <c r="AEL39">
        <v>0.70797336974325698</v>
      </c>
      <c r="AEM39">
        <v>25.1283385329609</v>
      </c>
      <c r="AEN39">
        <v>23.866766522307898</v>
      </c>
      <c r="AEO39">
        <v>1.7</v>
      </c>
      <c r="AEP39">
        <v>5.3571989775233702</v>
      </c>
      <c r="AEQ39">
        <v>0.70739143477220201</v>
      </c>
      <c r="AER39">
        <v>24.883123570384299</v>
      </c>
      <c r="AES39">
        <v>23.591069231663798</v>
      </c>
      <c r="AET39">
        <v>1.7</v>
      </c>
      <c r="AEU39">
        <v>3.7439043017570302</v>
      </c>
      <c r="AEV39">
        <v>0.70675868190161895</v>
      </c>
      <c r="AEW39">
        <v>25.141399997911599</v>
      </c>
      <c r="AEX39">
        <v>23.851491481432301</v>
      </c>
      <c r="AEY39">
        <v>1.7</v>
      </c>
      <c r="AEZ39">
        <v>3.1869451206417301</v>
      </c>
      <c r="AFA39">
        <v>0.70857377099337904</v>
      </c>
      <c r="AFB39">
        <v>25.187888373407201</v>
      </c>
      <c r="AFC39">
        <v>23.890046401003101</v>
      </c>
      <c r="AFD39">
        <v>1.7</v>
      </c>
      <c r="AFE39">
        <v>3.4429792892935298</v>
      </c>
      <c r="AFF39">
        <v>0.70788951666104805</v>
      </c>
      <c r="AFG39">
        <v>25.145092751482998</v>
      </c>
      <c r="AFH39">
        <v>23.875117814688998</v>
      </c>
      <c r="AFI39">
        <v>1.7</v>
      </c>
      <c r="AFJ39">
        <v>4.9406053886714503</v>
      </c>
      <c r="AFK39">
        <v>0.70744747066315405</v>
      </c>
      <c r="AFL39">
        <v>24.867361188527301</v>
      </c>
      <c r="AFM39">
        <v>23.593811027381101</v>
      </c>
      <c r="AFN39">
        <v>1.7</v>
      </c>
      <c r="AFO39">
        <v>3.8951266498805999</v>
      </c>
      <c r="AFP39">
        <v>0.70701179308176199</v>
      </c>
      <c r="AFQ39">
        <v>-0.42994860033385501</v>
      </c>
      <c r="AFR39">
        <v>-0.48247907675722101</v>
      </c>
      <c r="AFS39">
        <v>-0.47653735921299401</v>
      </c>
      <c r="AFT39">
        <v>-0.38546854425900501</v>
      </c>
      <c r="AFU39">
        <v>-0.30972441632059799</v>
      </c>
      <c r="AFV39">
        <v>-0.37277681748706498</v>
      </c>
      <c r="AFW39">
        <v>-0.35566934234116598</v>
      </c>
      <c r="AFX39">
        <v>-0.32905387355999999</v>
      </c>
      <c r="AFY39">
        <v>-0.24654904771616101</v>
      </c>
      <c r="AFZ39">
        <v>-0.31364770771768502</v>
      </c>
      <c r="AGA39">
        <v>-0.30270349147098602</v>
      </c>
      <c r="AGB39">
        <v>-0.26741624843047701</v>
      </c>
      <c r="AGC39">
        <v>-0.51036189881078997</v>
      </c>
      <c r="AGD39">
        <v>-0.45814654194222199</v>
      </c>
      <c r="AGE39">
        <v>-0.35764997425123002</v>
      </c>
      <c r="AGF39">
        <v>0</v>
      </c>
      <c r="AGG39">
        <v>0</v>
      </c>
      <c r="AGH39">
        <v>0</v>
      </c>
      <c r="AGI39">
        <v>0</v>
      </c>
      <c r="AGJ39">
        <v>0</v>
      </c>
      <c r="AGK39">
        <v>0</v>
      </c>
      <c r="AGL39">
        <v>0</v>
      </c>
      <c r="AGM39">
        <v>0</v>
      </c>
      <c r="AGN39">
        <v>0</v>
      </c>
      <c r="AGO39">
        <v>0</v>
      </c>
      <c r="AGP39">
        <v>0</v>
      </c>
      <c r="AGQ39">
        <v>0</v>
      </c>
      <c r="AGR39">
        <v>0</v>
      </c>
      <c r="AGS39">
        <v>0</v>
      </c>
      <c r="AGT39">
        <v>0</v>
      </c>
      <c r="AGU39">
        <v>0</v>
      </c>
      <c r="AGV39">
        <v>0</v>
      </c>
      <c r="AGW39">
        <v>0</v>
      </c>
      <c r="AGX39">
        <v>0</v>
      </c>
      <c r="AGY39">
        <v>0</v>
      </c>
      <c r="AGZ39">
        <v>0</v>
      </c>
      <c r="AHA39">
        <v>0</v>
      </c>
      <c r="AHB39">
        <v>0</v>
      </c>
      <c r="AHC39">
        <v>0</v>
      </c>
      <c r="AHD39">
        <v>0</v>
      </c>
      <c r="AHE39">
        <v>0</v>
      </c>
      <c r="AHF39">
        <v>0</v>
      </c>
      <c r="AHG39">
        <v>0</v>
      </c>
      <c r="AHH39">
        <v>0</v>
      </c>
      <c r="AHI39">
        <v>0</v>
      </c>
      <c r="AHJ39">
        <v>0</v>
      </c>
      <c r="AHK39">
        <v>0</v>
      </c>
      <c r="AHL39">
        <v>0</v>
      </c>
      <c r="AHM39">
        <v>0</v>
      </c>
      <c r="AHN39">
        <v>0</v>
      </c>
      <c r="AHO39">
        <v>0</v>
      </c>
      <c r="AHP39">
        <v>0</v>
      </c>
      <c r="AHQ39">
        <v>0</v>
      </c>
      <c r="AHR39">
        <v>0</v>
      </c>
      <c r="AHS39">
        <v>0</v>
      </c>
      <c r="AHT39">
        <v>0</v>
      </c>
      <c r="AHU39">
        <v>0</v>
      </c>
      <c r="AHV39">
        <v>0</v>
      </c>
      <c r="AHW39">
        <v>0</v>
      </c>
      <c r="AHX39">
        <v>0</v>
      </c>
      <c r="AHZ39">
        <v>0</v>
      </c>
      <c r="AIB39">
        <v>0</v>
      </c>
      <c r="AID39">
        <v>0</v>
      </c>
      <c r="AIF39">
        <v>0</v>
      </c>
      <c r="AIH39">
        <v>0</v>
      </c>
      <c r="AIJ39">
        <v>0</v>
      </c>
      <c r="AIL39">
        <v>0</v>
      </c>
      <c r="AIN39">
        <v>0</v>
      </c>
      <c r="AIP39">
        <v>0</v>
      </c>
      <c r="AIR39">
        <v>0</v>
      </c>
      <c r="AIT39">
        <v>0</v>
      </c>
      <c r="AIV39">
        <v>0</v>
      </c>
      <c r="AIX39">
        <v>0</v>
      </c>
      <c r="AIZ39">
        <v>0</v>
      </c>
      <c r="AJB39">
        <v>0</v>
      </c>
      <c r="AJC39">
        <v>0</v>
      </c>
      <c r="AJE39">
        <v>345067.09091168398</v>
      </c>
      <c r="AJH39">
        <v>9157.2845021180601</v>
      </c>
      <c r="AJJ39">
        <v>183.80401834048999</v>
      </c>
      <c r="AJK39">
        <v>154.927721355996</v>
      </c>
      <c r="AJL39">
        <v>258.65070832274603</v>
      </c>
      <c r="AJM39">
        <v>1008.70699093614</v>
      </c>
      <c r="AJN39">
        <v>195.498215661796</v>
      </c>
      <c r="AJO39">
        <v>200.330936361672</v>
      </c>
      <c r="AJP39">
        <v>319.70688992916502</v>
      </c>
      <c r="AJQ39">
        <v>1003.29847970067</v>
      </c>
      <c r="AJR39">
        <v>251.43060373698199</v>
      </c>
      <c r="AJS39">
        <v>52.436577560963997</v>
      </c>
      <c r="AJT39">
        <v>94.888127259537995</v>
      </c>
      <c r="AJU39">
        <v>284.33790195237998</v>
      </c>
      <c r="AJV39">
        <v>77.973910729630205</v>
      </c>
      <c r="AJW39">
        <v>0</v>
      </c>
      <c r="AJX39">
        <v>0</v>
      </c>
      <c r="AJY39">
        <v>0</v>
      </c>
      <c r="AJZ39">
        <v>345070.83327178902</v>
      </c>
      <c r="AKA39">
        <v>0</v>
      </c>
      <c r="AKB39">
        <v>0</v>
      </c>
      <c r="AKC39">
        <v>0</v>
      </c>
      <c r="AKD39">
        <v>0</v>
      </c>
      <c r="AKE39">
        <v>65.56</v>
      </c>
      <c r="AKF39">
        <v>65.56</v>
      </c>
      <c r="AKG39">
        <v>0</v>
      </c>
      <c r="AKH39">
        <v>0</v>
      </c>
      <c r="AKI39">
        <v>0</v>
      </c>
      <c r="AKJ39">
        <v>0</v>
      </c>
      <c r="AKK39">
        <v>0</v>
      </c>
      <c r="AKL39">
        <v>65.56</v>
      </c>
      <c r="AKM39">
        <v>65.56</v>
      </c>
      <c r="AKN39">
        <v>0</v>
      </c>
      <c r="AKO39">
        <v>0</v>
      </c>
      <c r="AKP39">
        <v>0</v>
      </c>
      <c r="AKT39">
        <v>6734795.2483461499</v>
      </c>
      <c r="AKX39">
        <v>6078357.7937538503</v>
      </c>
      <c r="ALB39">
        <v>32.408516998880103</v>
      </c>
      <c r="ALC39">
        <v>26.350581333844101</v>
      </c>
      <c r="ALD39">
        <v>15.7700042216757</v>
      </c>
      <c r="ALE39">
        <v>399330.744831232</v>
      </c>
      <c r="ALF39">
        <v>3876.01471762034</v>
      </c>
      <c r="ALH39">
        <v>15.1868319430159</v>
      </c>
      <c r="ALI39">
        <v>8.8518663597050191E-3</v>
      </c>
      <c r="ALJ39">
        <v>19.963256009607701</v>
      </c>
      <c r="ALK39">
        <v>28.332879721088499</v>
      </c>
      <c r="ALL39">
        <v>19.963256009607701</v>
      </c>
      <c r="ALM39">
        <v>0</v>
      </c>
      <c r="ALN39">
        <v>25.880221609357299</v>
      </c>
      <c r="ALO39">
        <v>9.3142176972278203E-3</v>
      </c>
      <c r="ALP39">
        <v>44.741338344408099</v>
      </c>
      <c r="ALQ39">
        <v>19.963256009607701</v>
      </c>
      <c r="ALR39">
        <v>15.1868319430159</v>
      </c>
      <c r="ALS39">
        <v>19.963256009607701</v>
      </c>
      <c r="ALT39">
        <v>15.559998600029701</v>
      </c>
      <c r="ALU39">
        <v>19.963256009607701</v>
      </c>
      <c r="ALV39">
        <v>6.7000663186089602</v>
      </c>
      <c r="ALW39">
        <v>4.8794561880515603E-3</v>
      </c>
      <c r="ALX39">
        <v>23.6182925738796</v>
      </c>
      <c r="ALY39">
        <v>4.8794561880515603E-3</v>
      </c>
      <c r="ALZ39">
        <v>0</v>
      </c>
      <c r="AMA39">
        <v>12.8448598131612</v>
      </c>
      <c r="AMB39">
        <v>1.35E-2</v>
      </c>
      <c r="AMC39">
        <v>12.8150228760469</v>
      </c>
      <c r="AMD39">
        <v>1.35E-2</v>
      </c>
      <c r="AME39">
        <v>6.7</v>
      </c>
      <c r="AMF39">
        <v>1.35E-2</v>
      </c>
      <c r="AMG39">
        <v>1.5769999999999999E-2</v>
      </c>
      <c r="AMH39">
        <v>4.2474999999999996</v>
      </c>
      <c r="AMI39">
        <v>19.123989120392899</v>
      </c>
      <c r="AMJ39">
        <v>0.679883082213811</v>
      </c>
      <c r="AMK39" s="580">
        <v>17.6508814009037</v>
      </c>
      <c r="AML39">
        <v>1.93108311655696</v>
      </c>
      <c r="AMM39">
        <v>19.415824795006401</v>
      </c>
      <c r="AMN39">
        <v>0.48122775981965299</v>
      </c>
      <c r="AMO39">
        <v>19.314994187285699</v>
      </c>
      <c r="AMP39">
        <v>0.72864742282115103</v>
      </c>
      <c r="AMQ39">
        <v>19.369670920780401</v>
      </c>
      <c r="AMR39">
        <v>0.87462543744978505</v>
      </c>
      <c r="AMS39">
        <v>18.254347525714799</v>
      </c>
      <c r="AMT39">
        <v>2.42820427809884</v>
      </c>
      <c r="AMU39">
        <v>20.713372889857499</v>
      </c>
      <c r="AMV39">
        <v>0.85596953253794095</v>
      </c>
      <c r="AMW39">
        <v>20.477020972922599</v>
      </c>
      <c r="AMX39">
        <v>1.04797670212072</v>
      </c>
      <c r="AMY39">
        <v>20.709119536820999</v>
      </c>
      <c r="AMZ39">
        <v>1.2223058263304201</v>
      </c>
      <c r="ANA39">
        <v>20.8168547684689</v>
      </c>
      <c r="ANB39">
        <v>1.5214619969381999</v>
      </c>
      <c r="ANC39">
        <v>18.255351890617199</v>
      </c>
      <c r="AND39">
        <v>3.0036912655575998</v>
      </c>
      <c r="ANE39">
        <v>20.7449005646641</v>
      </c>
      <c r="ANF39">
        <v>0.96911540271384999</v>
      </c>
      <c r="ANG39">
        <v>20.5205964555762</v>
      </c>
      <c r="ANH39">
        <v>1.1563906474496899</v>
      </c>
      <c r="ANI39">
        <v>20.715201098955301</v>
      </c>
      <c r="ANJ39">
        <v>1.38959480736164</v>
      </c>
      <c r="ANK39">
        <v>20.804065201145001</v>
      </c>
      <c r="ANL39">
        <v>1.67307873163743</v>
      </c>
      <c r="ANM39">
        <v>4.6954668188613597</v>
      </c>
      <c r="ANN39">
        <v>7.0759183360261302</v>
      </c>
      <c r="ANO39">
        <v>8.1918708547202002</v>
      </c>
      <c r="ANP39">
        <v>17.6508814009037</v>
      </c>
      <c r="ANQ39">
        <v>19.327182017960499</v>
      </c>
      <c r="ANR39">
        <v>19.0107904705221</v>
      </c>
      <c r="ANS39">
        <v>19.105424728307302</v>
      </c>
      <c r="ANT39">
        <v>19.2279386204746</v>
      </c>
      <c r="ANU39">
        <v>18.254347525714799</v>
      </c>
      <c r="ANV39">
        <v>20.566139926100099</v>
      </c>
      <c r="ANW39">
        <v>20.276954609791201</v>
      </c>
      <c r="ANX39">
        <v>20.277866699953201</v>
      </c>
      <c r="ANY39">
        <v>20.579011018547</v>
      </c>
      <c r="ANZ39">
        <v>18.255351890617199</v>
      </c>
      <c r="AOA39">
        <v>20.576742516724501</v>
      </c>
      <c r="AOB39">
        <v>20.2963187126497</v>
      </c>
      <c r="AOC39">
        <v>20.316428849266899</v>
      </c>
      <c r="AOD39">
        <v>20.568004867754901</v>
      </c>
      <c r="AOE39">
        <v>25.880221609357299</v>
      </c>
      <c r="AOF39">
        <v>4.2474999999999996</v>
      </c>
      <c r="AOG39">
        <v>25.9153958314383</v>
      </c>
      <c r="AOH39">
        <v>4.2474999999999996</v>
      </c>
    </row>
    <row r="40" spans="1:1074">
      <c r="A40" t="s">
        <v>2610</v>
      </c>
      <c r="B40">
        <v>37.78</v>
      </c>
      <c r="D40">
        <v>21.110000049729599</v>
      </c>
      <c r="F40">
        <v>9</v>
      </c>
      <c r="G40">
        <v>10945018.5837641</v>
      </c>
      <c r="H40">
        <v>25252376.055390202</v>
      </c>
      <c r="I40">
        <v>6950739.3466344699</v>
      </c>
      <c r="J40">
        <v>16036764.3509151</v>
      </c>
      <c r="K40">
        <v>10945018.5837641</v>
      </c>
      <c r="L40">
        <v>25252376.055390202</v>
      </c>
      <c r="M40">
        <v>6950739.3466344699</v>
      </c>
      <c r="N40">
        <v>16036764.3509151</v>
      </c>
      <c r="O40">
        <v>56445592.898657002</v>
      </c>
      <c r="P40">
        <v>130231422.417206</v>
      </c>
      <c r="Q40">
        <v>10945018.5837641</v>
      </c>
      <c r="R40">
        <v>25252376.055390202</v>
      </c>
      <c r="S40">
        <v>6950739.3466344699</v>
      </c>
      <c r="T40">
        <v>16036764.3509151</v>
      </c>
      <c r="U40">
        <v>10945018.5837641</v>
      </c>
      <c r="V40">
        <v>25252376.055390202</v>
      </c>
      <c r="W40">
        <v>6950739.3466344699</v>
      </c>
      <c r="X40">
        <v>16036764.3509151</v>
      </c>
      <c r="Y40">
        <v>56445592.898657002</v>
      </c>
      <c r="Z40">
        <v>130231422.417206</v>
      </c>
      <c r="AA40">
        <v>10945018.5837641</v>
      </c>
      <c r="AB40">
        <v>25252376.055390202</v>
      </c>
      <c r="AC40">
        <v>6950739.3466344699</v>
      </c>
      <c r="AD40">
        <v>16036764.3509151</v>
      </c>
      <c r="AE40">
        <v>10945018.5837641</v>
      </c>
      <c r="AF40">
        <v>25252376.055390202</v>
      </c>
      <c r="AG40">
        <v>6950739.3466344699</v>
      </c>
      <c r="AH40">
        <v>16036764.3509151</v>
      </c>
      <c r="AI40">
        <v>56445592.898657002</v>
      </c>
      <c r="AJ40">
        <v>130231422.417206</v>
      </c>
      <c r="AK40">
        <v>23.716228502806501</v>
      </c>
      <c r="AL40">
        <v>3956060.4386927001</v>
      </c>
      <c r="AM40">
        <v>10245410.713212401</v>
      </c>
      <c r="AN40">
        <v>23.716228502806501</v>
      </c>
      <c r="AO40">
        <v>3956060.4386927001</v>
      </c>
      <c r="AP40">
        <v>10245410.713212401</v>
      </c>
      <c r="AQ40">
        <v>15.0612190693548</v>
      </c>
      <c r="AR40">
        <v>2512334.2403159901</v>
      </c>
      <c r="AS40">
        <v>6506446.6379612898</v>
      </c>
      <c r="AT40">
        <v>15.0612190693548</v>
      </c>
      <c r="AU40">
        <v>2512334.2403159901</v>
      </c>
      <c r="AV40">
        <v>6506446.6379612898</v>
      </c>
      <c r="AW40">
        <v>23.716228502806501</v>
      </c>
      <c r="AX40">
        <v>3956060.4386927001</v>
      </c>
      <c r="AY40">
        <v>10245410.713212401</v>
      </c>
      <c r="AZ40">
        <v>23.716228502806501</v>
      </c>
      <c r="BA40">
        <v>3956060.4386927001</v>
      </c>
      <c r="BB40">
        <v>10245410.713212401</v>
      </c>
      <c r="BC40">
        <v>15.0612190693548</v>
      </c>
      <c r="BD40">
        <v>2512334.2403159901</v>
      </c>
      <c r="BE40">
        <v>6506446.6379612898</v>
      </c>
      <c r="BF40">
        <v>15.0612190693548</v>
      </c>
      <c r="BG40">
        <v>2512334.2403159901</v>
      </c>
      <c r="BH40">
        <v>6506446.6379612898</v>
      </c>
      <c r="BI40">
        <v>23.716228502806501</v>
      </c>
      <c r="BJ40">
        <v>3956060.4386927001</v>
      </c>
      <c r="BK40">
        <v>10245410.713212401</v>
      </c>
      <c r="BL40">
        <v>23.716228502806501</v>
      </c>
      <c r="BM40">
        <v>3956060.4386927001</v>
      </c>
      <c r="BN40">
        <v>10245410.713212401</v>
      </c>
      <c r="BO40">
        <v>15.0612190693548</v>
      </c>
      <c r="BP40">
        <v>2512334.2403159901</v>
      </c>
      <c r="BQ40">
        <v>6506446.6379612898</v>
      </c>
      <c r="BR40">
        <v>15.0612190693548</v>
      </c>
      <c r="BS40">
        <v>2512334.2403159901</v>
      </c>
      <c r="BT40">
        <v>6506446.6379612898</v>
      </c>
      <c r="BU40">
        <v>52837578.828362301</v>
      </c>
      <c r="BV40">
        <v>122.309210250839</v>
      </c>
      <c r="BW40">
        <v>20402174.312995501</v>
      </c>
      <c r="BX40">
        <v>52837578.828362301</v>
      </c>
      <c r="BY40">
        <v>122.309210250839</v>
      </c>
      <c r="BZ40">
        <v>20402174.312995501</v>
      </c>
      <c r="CA40">
        <v>52837578.828362301</v>
      </c>
      <c r="CB40">
        <v>122.309210250839</v>
      </c>
      <c r="CC40">
        <v>20402174.312995501</v>
      </c>
      <c r="CD40">
        <v>52837578.828362301</v>
      </c>
      <c r="CE40">
        <v>3773179.8574618599</v>
      </c>
      <c r="CF40">
        <v>8575408.7669587694</v>
      </c>
      <c r="CG40">
        <v>3773179.8574618599</v>
      </c>
      <c r="CH40">
        <v>8575408.7669587694</v>
      </c>
      <c r="CI40">
        <v>2396194.1678283801</v>
      </c>
      <c r="CJ40">
        <v>5445895.8359735999</v>
      </c>
      <c r="CK40">
        <v>2396194.1678283801</v>
      </c>
      <c r="CL40">
        <v>5445895.8359735999</v>
      </c>
      <c r="CM40">
        <v>3773179.8574618599</v>
      </c>
      <c r="CN40">
        <v>8575408.7669587694</v>
      </c>
      <c r="CO40">
        <v>3773179.8574618599</v>
      </c>
      <c r="CP40">
        <v>8575408.7669587694</v>
      </c>
      <c r="CQ40">
        <v>2396194.1678283801</v>
      </c>
      <c r="CR40">
        <v>5445895.8359735999</v>
      </c>
      <c r="CS40">
        <v>2396194.1678283801</v>
      </c>
      <c r="CT40">
        <v>5445895.8359735999</v>
      </c>
      <c r="CU40">
        <v>3773179.8574618599</v>
      </c>
      <c r="CV40">
        <v>8575408.7669587694</v>
      </c>
      <c r="CW40">
        <v>3773179.8574618599</v>
      </c>
      <c r="CX40">
        <v>8575408.7669587694</v>
      </c>
      <c r="CY40">
        <v>2396194.1678283801</v>
      </c>
      <c r="CZ40">
        <v>5445895.8359735999</v>
      </c>
      <c r="DA40">
        <v>2396194.1678283801</v>
      </c>
      <c r="DB40">
        <v>5445895.8359735999</v>
      </c>
      <c r="DC40">
        <v>19459023.5309093</v>
      </c>
      <c r="DD40">
        <v>44225053.479339302</v>
      </c>
      <c r="DE40">
        <v>19459023.5309093</v>
      </c>
      <c r="DF40">
        <v>44225053.479339302</v>
      </c>
      <c r="DG40">
        <v>19459023.5309093</v>
      </c>
      <c r="DH40">
        <v>44225053.479339302</v>
      </c>
      <c r="DI40">
        <v>3215778.2876095399</v>
      </c>
      <c r="DJ40">
        <v>6431556.5752190799</v>
      </c>
      <c r="DK40">
        <v>3215778.2876095399</v>
      </c>
      <c r="DL40">
        <v>6431556.5752190799</v>
      </c>
      <c r="DM40">
        <v>2042210.9384901</v>
      </c>
      <c r="DN40">
        <v>4084421.8769801999</v>
      </c>
      <c r="DO40">
        <v>2042210.9384901</v>
      </c>
      <c r="DP40">
        <v>4084421.8769801999</v>
      </c>
      <c r="DQ40">
        <v>3215778.2876095399</v>
      </c>
      <c r="DR40">
        <v>6431556.5752190799</v>
      </c>
      <c r="DS40">
        <v>3215778.2876095399</v>
      </c>
      <c r="DT40">
        <v>6431556.5752190799</v>
      </c>
      <c r="DU40">
        <v>2042210.9384901</v>
      </c>
      <c r="DV40">
        <v>4084421.8769801999</v>
      </c>
      <c r="DW40">
        <v>2042210.9384901</v>
      </c>
      <c r="DX40">
        <v>4084421.8769801999</v>
      </c>
      <c r="DY40">
        <v>3215778.2876095399</v>
      </c>
      <c r="DZ40">
        <v>6431556.5752190799</v>
      </c>
      <c r="EA40">
        <v>3215778.2876095399</v>
      </c>
      <c r="EB40">
        <v>6431556.5752190799</v>
      </c>
      <c r="EC40">
        <v>2042210.9384901</v>
      </c>
      <c r="ED40">
        <v>4084421.8769801999</v>
      </c>
      <c r="EE40">
        <v>2042210.9384901</v>
      </c>
      <c r="EF40">
        <v>4084421.8769801999</v>
      </c>
      <c r="EG40">
        <v>16584395.054752201</v>
      </c>
      <c r="EH40">
        <v>33168790.109504402</v>
      </c>
      <c r="EI40">
        <v>16584395.054752201</v>
      </c>
      <c r="EJ40">
        <v>33168790.109504402</v>
      </c>
      <c r="EK40">
        <v>16584395.054752201</v>
      </c>
      <c r="EL40">
        <v>33168790.109504402</v>
      </c>
      <c r="EM40">
        <v>3840.99842160052</v>
      </c>
      <c r="EN40">
        <v>2526.8122697942899</v>
      </c>
      <c r="EO40">
        <v>5364.4342382370596</v>
      </c>
      <c r="EP40">
        <v>7766.4565826090902</v>
      </c>
      <c r="EQ40">
        <v>0</v>
      </c>
      <c r="ER40">
        <v>4106.89067840401</v>
      </c>
      <c r="ES40">
        <v>2716.86491264902</v>
      </c>
      <c r="ET40">
        <v>5743.1515351006901</v>
      </c>
      <c r="EU40">
        <v>25.4180669584699</v>
      </c>
      <c r="EV40">
        <v>8277.1476946265793</v>
      </c>
      <c r="EW40">
        <v>0</v>
      </c>
      <c r="EX40">
        <v>4072.48257206986</v>
      </c>
      <c r="EY40">
        <v>8.4037792784658993</v>
      </c>
      <c r="EZ40">
        <v>2693.9176861943301</v>
      </c>
      <c r="FA40">
        <v>5691.1891654677202</v>
      </c>
      <c r="FB40">
        <v>25.426670931555702</v>
      </c>
      <c r="FC40">
        <v>8217.0771178430896</v>
      </c>
      <c r="FD40">
        <v>0</v>
      </c>
      <c r="FE40">
        <v>0</v>
      </c>
      <c r="FF40">
        <v>0</v>
      </c>
      <c r="FG40">
        <v>0</v>
      </c>
      <c r="FH40">
        <v>0</v>
      </c>
      <c r="FI40">
        <v>0</v>
      </c>
      <c r="FJ40">
        <v>0</v>
      </c>
      <c r="FK40">
        <v>0</v>
      </c>
      <c r="FL40">
        <v>0</v>
      </c>
      <c r="FM40">
        <v>0</v>
      </c>
      <c r="FN40">
        <v>0</v>
      </c>
      <c r="FO40">
        <v>2.45251372506161E-2</v>
      </c>
      <c r="FP40">
        <v>0</v>
      </c>
      <c r="FQ40">
        <v>3.7712464405102401E-3</v>
      </c>
      <c r="FR40">
        <v>0</v>
      </c>
      <c r="FS40">
        <v>8217.0771178430896</v>
      </c>
      <c r="FT40">
        <v>0</v>
      </c>
      <c r="FU40">
        <v>2110.5003220655999</v>
      </c>
      <c r="FV40">
        <v>0</v>
      </c>
      <c r="FW40">
        <v>0</v>
      </c>
      <c r="FX40">
        <v>1.59309586646872E-3</v>
      </c>
      <c r="FY40">
        <v>2.45251372506161E-2</v>
      </c>
      <c r="FZ40">
        <v>0</v>
      </c>
      <c r="GA40">
        <v>3.7712464405102401E-3</v>
      </c>
      <c r="GB40">
        <v>170.20508238848399</v>
      </c>
      <c r="GC40">
        <v>222.38113275762899</v>
      </c>
      <c r="GD40">
        <v>157.643538047666</v>
      </c>
      <c r="GE40">
        <v>142.07034298342899</v>
      </c>
      <c r="GF40">
        <v>157.226717609449</v>
      </c>
      <c r="GG40">
        <v>118.476660827659</v>
      </c>
      <c r="GH40">
        <v>180.297007041889</v>
      </c>
      <c r="GI40">
        <v>285.34812010996802</v>
      </c>
      <c r="GJ40">
        <v>250.499206847457</v>
      </c>
      <c r="GK40">
        <v>180.046876376092</v>
      </c>
      <c r="GL40">
        <v>309.18018483429</v>
      </c>
      <c r="GM40">
        <v>373.941510897699</v>
      </c>
      <c r="GN40">
        <v>47.901307386156198</v>
      </c>
      <c r="GO40">
        <v>25.605284816226401</v>
      </c>
      <c r="GP40">
        <v>26.019107656894999</v>
      </c>
      <c r="GQ40">
        <v>8.7908715440680005</v>
      </c>
      <c r="GR40">
        <v>-113.267624021711</v>
      </c>
      <c r="GS40">
        <v>-736.38252878620494</v>
      </c>
      <c r="GT40">
        <v>50.704101764429701</v>
      </c>
      <c r="GU40">
        <v>25.9783472843814</v>
      </c>
      <c r="GV40">
        <v>26.349474476931899</v>
      </c>
      <c r="GW40">
        <v>10.5886990936059</v>
      </c>
      <c r="GX40">
        <v>-62.376004850315603</v>
      </c>
      <c r="GY40">
        <v>-472.00661645155998</v>
      </c>
      <c r="GZ40">
        <v>98.927844092001195</v>
      </c>
      <c r="HA40">
        <v>25.8467258154399</v>
      </c>
      <c r="HB40">
        <v>26.345995407348401</v>
      </c>
      <c r="HC40">
        <v>24.6123974760092</v>
      </c>
      <c r="HD40">
        <v>-132.205904343002</v>
      </c>
      <c r="HE40">
        <v>-951.46660090022601</v>
      </c>
      <c r="HF40">
        <v>74.503943191870107</v>
      </c>
      <c r="HG40">
        <v>25.845690665894299</v>
      </c>
      <c r="HH40">
        <v>26.525541996915202</v>
      </c>
      <c r="HI40">
        <v>105.557997340394</v>
      </c>
      <c r="HJ40">
        <v>-2.6864342313730201</v>
      </c>
      <c r="HK40">
        <v>-497.59116363926802</v>
      </c>
      <c r="HL40">
        <v>313.460526626974</v>
      </c>
      <c r="HM40">
        <v>26.359744781970502</v>
      </c>
      <c r="HN40">
        <v>25.994083990445301</v>
      </c>
      <c r="HO40">
        <v>263.36036262855299</v>
      </c>
      <c r="HP40">
        <v>91.852443502708397</v>
      </c>
      <c r="HQ40">
        <v>26.458158285262702</v>
      </c>
      <c r="HR40">
        <v>189.746530212973</v>
      </c>
      <c r="HS40">
        <v>267.76622803271698</v>
      </c>
      <c r="HT40">
        <v>26.485906085007102</v>
      </c>
      <c r="HU40">
        <v>26.081662257722499</v>
      </c>
      <c r="HV40">
        <v>169.72975413797801</v>
      </c>
      <c r="HW40">
        <v>152.387814829961</v>
      </c>
      <c r="HX40">
        <v>26.670094459396701</v>
      </c>
      <c r="HY40">
        <v>146.90455412619499</v>
      </c>
      <c r="HZ40">
        <v>26.6548782628678</v>
      </c>
      <c r="IA40">
        <v>26.1509254331792</v>
      </c>
      <c r="IB40">
        <v>275.76228009894697</v>
      </c>
      <c r="IC40">
        <v>471.87542049550302</v>
      </c>
      <c r="ID40">
        <v>194.998002401273</v>
      </c>
      <c r="IE40">
        <v>26.786771643536401</v>
      </c>
      <c r="IF40">
        <v>223.828485755088</v>
      </c>
      <c r="IG40">
        <v>64.013208844968105</v>
      </c>
      <c r="IH40">
        <v>27.0731615936906</v>
      </c>
      <c r="II40">
        <v>26.333584576170502</v>
      </c>
      <c r="IJ40">
        <v>214.16042438392901</v>
      </c>
      <c r="IK40">
        <v>69.402282651867296</v>
      </c>
      <c r="IL40">
        <v>298.82339057615297</v>
      </c>
      <c r="IM40">
        <v>170.232227036658</v>
      </c>
      <c r="IN40">
        <v>27.249278305025999</v>
      </c>
      <c r="IO40">
        <v>0.64140177238848095</v>
      </c>
      <c r="IP40">
        <v>211.89021588447699</v>
      </c>
      <c r="IQ40">
        <v>264.98545807302497</v>
      </c>
      <c r="IR40">
        <v>171.00773499713401</v>
      </c>
      <c r="IS40">
        <v>303.97319194582002</v>
      </c>
      <c r="IT40">
        <v>206.61628855877001</v>
      </c>
      <c r="IU40">
        <v>246.06215865610599</v>
      </c>
      <c r="IV40">
        <v>68.346699464074902</v>
      </c>
      <c r="IW40">
        <v>25.8119643110062</v>
      </c>
      <c r="IX40">
        <v>26.458158285262702</v>
      </c>
      <c r="IY40">
        <v>127.025011667428</v>
      </c>
      <c r="IZ40">
        <v>-18.9954771483287</v>
      </c>
      <c r="JA40">
        <v>-720.19546670844898</v>
      </c>
      <c r="JB40">
        <v>71.378115892784606</v>
      </c>
      <c r="JC40">
        <v>26.081119873305401</v>
      </c>
      <c r="JD40">
        <v>26.670094459396701</v>
      </c>
      <c r="JE40">
        <v>119.125190820436</v>
      </c>
      <c r="JF40">
        <v>7.1834096679449599</v>
      </c>
      <c r="JG40">
        <v>-396.522890305945</v>
      </c>
      <c r="JH40">
        <v>127.927082577562</v>
      </c>
      <c r="JI40">
        <v>26.033383229075501</v>
      </c>
      <c r="JJ40">
        <v>26.786771643536401</v>
      </c>
      <c r="JK40">
        <v>186.289931479372</v>
      </c>
      <c r="JL40">
        <v>-10.2481876093801</v>
      </c>
      <c r="JM40">
        <v>-886.29173868461305</v>
      </c>
      <c r="JN40">
        <v>86.181221080521695</v>
      </c>
      <c r="JO40">
        <v>26.161272435500599</v>
      </c>
      <c r="JP40">
        <v>27.249278305025999</v>
      </c>
      <c r="JQ40">
        <v>1.5050315685097</v>
      </c>
      <c r="JR40">
        <v>220.83131891926999</v>
      </c>
      <c r="JS40">
        <v>0.47433422126443098</v>
      </c>
      <c r="JT40">
        <v>16.664220069170199</v>
      </c>
      <c r="JU40">
        <v>-562.50564444414294</v>
      </c>
      <c r="JV40">
        <v>380.20886795541003</v>
      </c>
      <c r="JW40">
        <v>375.63467257074899</v>
      </c>
      <c r="JX40">
        <v>506.12561037677699</v>
      </c>
      <c r="JY40">
        <v>311.061817671847</v>
      </c>
      <c r="JZ40">
        <v>310.99052074230002</v>
      </c>
      <c r="KA40">
        <v>344.12124665366099</v>
      </c>
      <c r="KB40">
        <v>539.09556368066205</v>
      </c>
      <c r="KC40">
        <v>376.467451415982</v>
      </c>
      <c r="KD40">
        <v>557.05777093033805</v>
      </c>
      <c r="KE40">
        <v>340.81116084368102</v>
      </c>
      <c r="KF40">
        <v>36.314939153638399</v>
      </c>
      <c r="KG40">
        <v>1415.5413097006599</v>
      </c>
      <c r="KH40">
        <v>0.61763856490534497</v>
      </c>
      <c r="KI40">
        <v>266.55848778679899</v>
      </c>
      <c r="KJ40">
        <v>424.016257541578</v>
      </c>
      <c r="KK40">
        <v>208.31853527106099</v>
      </c>
      <c r="KL40">
        <v>28.349604160390498</v>
      </c>
      <c r="KM40">
        <v>27.6379274151837</v>
      </c>
      <c r="KN40">
        <v>763.91526053999303</v>
      </c>
      <c r="KO40">
        <v>29.8168380408217</v>
      </c>
      <c r="KP40">
        <v>67.804351193447303</v>
      </c>
      <c r="KQ40">
        <v>835.919248870513</v>
      </c>
      <c r="KR40">
        <v>2421.6052394405401</v>
      </c>
      <c r="KS40">
        <v>165.70987262280201</v>
      </c>
      <c r="KT40">
        <v>28.4616458630267</v>
      </c>
      <c r="KU40">
        <v>27.7715402359579</v>
      </c>
      <c r="KV40">
        <v>518.042040808102</v>
      </c>
      <c r="KW40">
        <v>29.9260943653155</v>
      </c>
      <c r="KX40">
        <v>67.511628104637794</v>
      </c>
      <c r="KY40">
        <v>550.43244950905</v>
      </c>
      <c r="KZ40">
        <v>1537.22553901016</v>
      </c>
      <c r="LA40">
        <v>281.85297834102198</v>
      </c>
      <c r="LB40">
        <v>28.561478013189198</v>
      </c>
      <c r="LC40">
        <v>27.9548545405803</v>
      </c>
      <c r="LD40">
        <v>882.78765067874804</v>
      </c>
      <c r="LE40">
        <v>29.9942297263805</v>
      </c>
      <c r="LF40">
        <v>67.806854029474394</v>
      </c>
      <c r="LG40">
        <v>895.73762786359305</v>
      </c>
      <c r="LH40">
        <v>2403.53272554041</v>
      </c>
      <c r="LI40">
        <v>189.08751393865899</v>
      </c>
      <c r="LJ40">
        <v>28.4193359961445</v>
      </c>
      <c r="LK40">
        <v>28.260492559606799</v>
      </c>
      <c r="LL40">
        <v>680.579321176902</v>
      </c>
      <c r="LM40">
        <v>29.689956074184799</v>
      </c>
      <c r="LN40">
        <v>66.320217400088694</v>
      </c>
      <c r="LO40">
        <v>605.68557538435095</v>
      </c>
      <c r="LP40">
        <v>1467.7230494918799</v>
      </c>
      <c r="LQ40">
        <v>95.513189710668897</v>
      </c>
      <c r="LR40">
        <v>20.026574152291602</v>
      </c>
      <c r="LS40">
        <v>16.420999999999999</v>
      </c>
      <c r="LT40">
        <v>368.01190402832498</v>
      </c>
      <c r="LU40">
        <v>-1231.2784141899299</v>
      </c>
      <c r="LV40">
        <v>21.609135968581601</v>
      </c>
      <c r="LW40">
        <v>24.7260114312522</v>
      </c>
      <c r="LX40">
        <v>892.16097303381298</v>
      </c>
      <c r="LY40">
        <v>76.540022494424207</v>
      </c>
      <c r="LZ40">
        <v>20.136292850995101</v>
      </c>
      <c r="MA40">
        <v>16.420999999999999</v>
      </c>
      <c r="MB40">
        <v>250.13926829043399</v>
      </c>
      <c r="MC40">
        <v>-838.28331853950203</v>
      </c>
      <c r="MD40">
        <v>21.824075936386201</v>
      </c>
      <c r="ME40">
        <v>25.028667920196501</v>
      </c>
      <c r="MF40">
        <v>604.97075344749101</v>
      </c>
      <c r="MG40">
        <v>132.82417059861501</v>
      </c>
      <c r="MH40">
        <v>20.040805572506599</v>
      </c>
      <c r="MI40">
        <v>16.420999999999999</v>
      </c>
      <c r="MJ40">
        <v>400.42153492599601</v>
      </c>
      <c r="MK40">
        <v>-1327.7556856436499</v>
      </c>
      <c r="ML40">
        <v>21.7215578899119</v>
      </c>
      <c r="MM40">
        <v>25.039247984596301</v>
      </c>
      <c r="MN40">
        <v>955.28381031861602</v>
      </c>
      <c r="MO40">
        <v>89.551892226220005</v>
      </c>
      <c r="MP40">
        <v>20.055499254227399</v>
      </c>
      <c r="MQ40">
        <v>16.420999999999999</v>
      </c>
      <c r="MR40">
        <v>349.04579150390498</v>
      </c>
      <c r="MS40">
        <v>-722.50809800637205</v>
      </c>
      <c r="MT40">
        <v>21.716014814423801</v>
      </c>
      <c r="MU40">
        <v>25.297520652293599</v>
      </c>
      <c r="MV40">
        <v>678.78234062988099</v>
      </c>
      <c r="MW40">
        <v>124.92612711245501</v>
      </c>
      <c r="MX40">
        <v>23.063276295827499</v>
      </c>
      <c r="MY40">
        <v>25.093152609858901</v>
      </c>
      <c r="MZ40">
        <v>1588.9498882089399</v>
      </c>
      <c r="NA40">
        <v>1395.56511060813</v>
      </c>
      <c r="NB40">
        <v>23.2873276849765</v>
      </c>
      <c r="NC40">
        <v>25.737972612623501</v>
      </c>
      <c r="ND40">
        <v>1659.2184556795701</v>
      </c>
      <c r="NE40">
        <v>96.598637137192597</v>
      </c>
      <c r="NF40">
        <v>23.249177881134301</v>
      </c>
      <c r="NG40">
        <v>25.472230155165501</v>
      </c>
      <c r="NH40">
        <v>1086.59902691971</v>
      </c>
      <c r="NI40">
        <v>977.08622937061205</v>
      </c>
      <c r="NJ40">
        <v>23.449218909986399</v>
      </c>
      <c r="NK40">
        <v>25.886724983694801</v>
      </c>
      <c r="NL40">
        <v>1118.7656255101199</v>
      </c>
      <c r="NM40">
        <v>161.03101235685401</v>
      </c>
      <c r="NN40">
        <v>23.002830899700299</v>
      </c>
      <c r="NO40">
        <v>25.205236115952101</v>
      </c>
      <c r="NP40">
        <v>1677.13530280963</v>
      </c>
      <c r="NQ40">
        <v>1375.2586504188</v>
      </c>
      <c r="NR40">
        <v>23.309330629919199</v>
      </c>
      <c r="NS40">
        <v>25.992675524324198</v>
      </c>
      <c r="NT40">
        <v>1793.8477609791601</v>
      </c>
      <c r="NU40">
        <v>110.68919696761</v>
      </c>
      <c r="NV40">
        <v>23.0062414796603</v>
      </c>
      <c r="NW40">
        <v>25.209456356815299</v>
      </c>
      <c r="NX40">
        <v>2.87258192495019</v>
      </c>
      <c r="NY40">
        <v>1185.5142868308401</v>
      </c>
      <c r="NZ40">
        <v>1009.23925724732</v>
      </c>
      <c r="OA40">
        <v>23.303970058474</v>
      </c>
      <c r="OB40">
        <v>26.457099166839001</v>
      </c>
      <c r="OC40">
        <v>2.75363026032971</v>
      </c>
      <c r="OD40">
        <v>1251.2101074710899</v>
      </c>
      <c r="OE40">
        <v>2.87258192495019</v>
      </c>
      <c r="OF40">
        <v>2.75363026032971</v>
      </c>
      <c r="OG40">
        <v>123.36955687595</v>
      </c>
      <c r="OH40">
        <v>23.012344366512998</v>
      </c>
      <c r="OI40">
        <v>25.207371976043198</v>
      </c>
      <c r="OJ40">
        <v>1766.13297894421</v>
      </c>
      <c r="OK40">
        <v>1596.76562970605</v>
      </c>
      <c r="OL40">
        <v>23.210312898614301</v>
      </c>
      <c r="OM40">
        <v>25.952467021405401</v>
      </c>
      <c r="ON40">
        <v>1920.92467224456</v>
      </c>
      <c r="OO40">
        <v>95.412169309233406</v>
      </c>
      <c r="OP40">
        <v>23.224590587934099</v>
      </c>
      <c r="OQ40">
        <v>25.5608545068553</v>
      </c>
      <c r="OR40">
        <v>1215.5884429754001</v>
      </c>
      <c r="OS40">
        <v>1129.58519464655</v>
      </c>
      <c r="OT40">
        <v>23.386797562787201</v>
      </c>
      <c r="OU40">
        <v>26.108095121543698</v>
      </c>
      <c r="OV40">
        <v>1298.21906104749</v>
      </c>
      <c r="OW40">
        <v>157.591659238619</v>
      </c>
      <c r="OX40">
        <v>22.964463543275901</v>
      </c>
      <c r="OY40">
        <v>25.316139223615199</v>
      </c>
      <c r="OZ40">
        <v>1852.18653356247</v>
      </c>
      <c r="PA40">
        <v>1574.7890019301201</v>
      </c>
      <c r="PB40">
        <v>23.245141073164099</v>
      </c>
      <c r="PC40">
        <v>26.254398161346501</v>
      </c>
      <c r="PD40">
        <v>2067.1132191229699</v>
      </c>
      <c r="PE40">
        <v>107.620466629183</v>
      </c>
      <c r="PF40">
        <v>22.9465436513809</v>
      </c>
      <c r="PG40">
        <v>25.365290075164399</v>
      </c>
      <c r="PH40">
        <v>3.23999988161296</v>
      </c>
      <c r="PI40">
        <v>1295.3737187537099</v>
      </c>
      <c r="PJ40">
        <v>1141.0696239502199</v>
      </c>
      <c r="PK40">
        <v>23.206011656590601</v>
      </c>
      <c r="PL40">
        <v>26.664441482169199</v>
      </c>
      <c r="PM40">
        <v>3.2626519752069898</v>
      </c>
      <c r="PN40">
        <v>1422.9539079106301</v>
      </c>
      <c r="PO40">
        <v>25.905205562242799</v>
      </c>
      <c r="PP40">
        <v>26.274158134590301</v>
      </c>
      <c r="PQ40">
        <v>26.403740043533698</v>
      </c>
      <c r="PR40">
        <v>26.888245585751399</v>
      </c>
      <c r="PS40">
        <v>24.972706063706202</v>
      </c>
      <c r="PT40">
        <v>26.515857013553799</v>
      </c>
      <c r="PU40">
        <v>26.758089766958499</v>
      </c>
      <c r="PV40">
        <v>26.975697326616</v>
      </c>
      <c r="PW40">
        <v>27.717679016642599</v>
      </c>
      <c r="PX40">
        <v>25.386789816024699</v>
      </c>
      <c r="PY40">
        <v>27.040735776468999</v>
      </c>
      <c r="PZ40">
        <v>27.245607775835399</v>
      </c>
      <c r="QA40">
        <v>27.4988548604667</v>
      </c>
      <c r="QB40">
        <v>28.1536947897232</v>
      </c>
      <c r="QC40">
        <v>26.329362090917499</v>
      </c>
      <c r="QD40">
        <v>21.7437428817585</v>
      </c>
      <c r="QE40">
        <v>26.6458647789912</v>
      </c>
      <c r="QF40">
        <v>26.874867335748402</v>
      </c>
      <c r="QG40">
        <v>27.3349068005849</v>
      </c>
      <c r="QH40">
        <v>27.6711450851144</v>
      </c>
      <c r="QI40">
        <v>25.0274531532928</v>
      </c>
      <c r="QJ40">
        <v>26.140269462272698</v>
      </c>
      <c r="QK40">
        <v>26.303087002019002</v>
      </c>
      <c r="QL40">
        <v>26.5725986290036</v>
      </c>
      <c r="QM40">
        <v>27.192710031447799</v>
      </c>
      <c r="QN40">
        <v>2968.6239847107299</v>
      </c>
      <c r="QO40">
        <v>25.093714919629001</v>
      </c>
      <c r="QP40">
        <v>3714.34387179961</v>
      </c>
      <c r="QQ40">
        <v>26.418804345902501</v>
      </c>
      <c r="QR40">
        <v>26.541315510433598</v>
      </c>
      <c r="QS40">
        <v>26.8153648237383</v>
      </c>
      <c r="QT40">
        <v>27.3777606777765</v>
      </c>
      <c r="QU40">
        <v>25.618030581988201</v>
      </c>
      <c r="QV40">
        <v>18.215493773825301</v>
      </c>
      <c r="QW40">
        <v>0</v>
      </c>
      <c r="QX40">
        <v>450844.26799488597</v>
      </c>
      <c r="QY40">
        <v>0</v>
      </c>
      <c r="QZ40">
        <v>308124.39037421299</v>
      </c>
      <c r="RA40">
        <v>0</v>
      </c>
      <c r="RB40">
        <v>98340.458751758997</v>
      </c>
      <c r="RC40">
        <v>0</v>
      </c>
      <c r="RD40">
        <v>64932.956403879798</v>
      </c>
      <c r="RE40">
        <v>0</v>
      </c>
      <c r="RF40">
        <v>151624.93404858001</v>
      </c>
      <c r="RG40">
        <v>0</v>
      </c>
      <c r="RH40">
        <v>100430.99901247</v>
      </c>
      <c r="RI40">
        <v>0</v>
      </c>
      <c r="RJ40">
        <v>5502.8417507140002</v>
      </c>
      <c r="RK40">
        <v>27.386523995739701</v>
      </c>
      <c r="RL40">
        <v>-5490.9961367263804</v>
      </c>
      <c r="RM40">
        <v>-11877.372613707001</v>
      </c>
      <c r="RN40">
        <v>-5490.9961367263804</v>
      </c>
      <c r="RO40">
        <v>0</v>
      </c>
      <c r="RP40">
        <v>3786.25027218682</v>
      </c>
      <c r="RQ40">
        <v>27.475576536906502</v>
      </c>
      <c r="RR40">
        <v>-3794.3652291016001</v>
      </c>
      <c r="RS40">
        <v>-7892.3068046128401</v>
      </c>
      <c r="RT40">
        <v>-3794.3652291016001</v>
      </c>
      <c r="RU40">
        <v>0</v>
      </c>
      <c r="RV40">
        <v>6229.9202815437002</v>
      </c>
      <c r="RW40">
        <v>28.266073557636101</v>
      </c>
      <c r="RX40">
        <v>-6184.3143450161497</v>
      </c>
      <c r="RY40">
        <v>-11980.5508763703</v>
      </c>
      <c r="RZ40">
        <v>-6184.3143450161497</v>
      </c>
      <c r="SA40">
        <v>0</v>
      </c>
      <c r="SB40">
        <v>5847.6430900206196</v>
      </c>
      <c r="SC40">
        <v>28.454044584477401</v>
      </c>
      <c r="SD40">
        <v>-5846.7141375235797</v>
      </c>
      <c r="SE40">
        <v>-9252.2643848445296</v>
      </c>
      <c r="SF40">
        <v>-5846.7141375235797</v>
      </c>
      <c r="SG40">
        <v>0</v>
      </c>
      <c r="SH40">
        <v>18326.2177408387</v>
      </c>
      <c r="SI40">
        <v>25.082200242879399</v>
      </c>
      <c r="SJ40">
        <v>-18397.498697736399</v>
      </c>
      <c r="SK40">
        <v>-40504.263429291197</v>
      </c>
      <c r="SL40">
        <v>-18397.498697736399</v>
      </c>
      <c r="SM40">
        <v>21.1111</v>
      </c>
      <c r="SN40">
        <v>23.8889</v>
      </c>
      <c r="SO40">
        <v>33.190398079237603</v>
      </c>
      <c r="SP40">
        <v>0</v>
      </c>
      <c r="SQ40">
        <v>25.544956138991701</v>
      </c>
      <c r="SR40">
        <v>0</v>
      </c>
      <c r="SS40">
        <v>0</v>
      </c>
      <c r="ST40">
        <v>0</v>
      </c>
      <c r="SU40">
        <v>0</v>
      </c>
      <c r="SV40">
        <v>25.712681947848498</v>
      </c>
      <c r="SW40">
        <v>25.852971796915401</v>
      </c>
      <c r="SX40">
        <v>0</v>
      </c>
      <c r="SY40">
        <v>0</v>
      </c>
      <c r="SZ40">
        <v>0</v>
      </c>
      <c r="TA40">
        <v>13.0359655353113</v>
      </c>
      <c r="TB40">
        <v>6.0033244146443403</v>
      </c>
      <c r="TC40">
        <v>25.7347695544562</v>
      </c>
      <c r="TD40">
        <v>0</v>
      </c>
      <c r="TE40">
        <v>0</v>
      </c>
      <c r="TF40">
        <v>0</v>
      </c>
      <c r="TG40">
        <v>0</v>
      </c>
      <c r="TH40">
        <v>207.78114590885201</v>
      </c>
      <c r="TI40">
        <v>25.2412729778281</v>
      </c>
      <c r="TJ40">
        <v>0</v>
      </c>
      <c r="TK40">
        <v>0</v>
      </c>
      <c r="TL40">
        <v>0</v>
      </c>
      <c r="TM40">
        <v>1582.30304043671</v>
      </c>
      <c r="TN40">
        <v>0</v>
      </c>
      <c r="TO40">
        <v>25.2438613437666</v>
      </c>
      <c r="TP40">
        <v>0</v>
      </c>
      <c r="TQ40">
        <v>0</v>
      </c>
      <c r="TR40">
        <v>0</v>
      </c>
      <c r="TS40">
        <v>0</v>
      </c>
      <c r="TT40">
        <v>6688.8496142715903</v>
      </c>
      <c r="TU40">
        <v>25.764681910991602</v>
      </c>
      <c r="TV40">
        <v>-6672.9730669864502</v>
      </c>
      <c r="TW40">
        <v>-13942.109056695101</v>
      </c>
      <c r="TX40">
        <v>-6672.9730669864502</v>
      </c>
      <c r="TY40">
        <v>0</v>
      </c>
      <c r="TZ40">
        <v>4605.5525433020302</v>
      </c>
      <c r="UA40">
        <v>25.848084237079402</v>
      </c>
      <c r="UB40">
        <v>-4598.1106996812496</v>
      </c>
      <c r="UC40">
        <v>-9156.6904754298503</v>
      </c>
      <c r="UD40">
        <v>-4598.1106996812496</v>
      </c>
      <c r="UE40">
        <v>0</v>
      </c>
      <c r="UF40">
        <v>7594.2951936888503</v>
      </c>
      <c r="UG40">
        <v>26.169499931391201</v>
      </c>
      <c r="UH40">
        <v>-7545.3239811319099</v>
      </c>
      <c r="UI40">
        <v>-14250.062649199999</v>
      </c>
      <c r="UJ40">
        <v>-7545.3239811319099</v>
      </c>
      <c r="UK40">
        <v>0</v>
      </c>
      <c r="UL40">
        <v>6780.9532079616301</v>
      </c>
      <c r="UM40">
        <v>26.667741046252999</v>
      </c>
      <c r="UN40">
        <v>-6744.6928215979797</v>
      </c>
      <c r="UO40">
        <v>-10563.7691395824</v>
      </c>
      <c r="UP40">
        <v>-6744.6928215979797</v>
      </c>
      <c r="UQ40">
        <v>0</v>
      </c>
      <c r="UR40">
        <v>20751.909302021399</v>
      </c>
      <c r="US40">
        <v>24.8006400232332</v>
      </c>
      <c r="UT40">
        <v>-20829.700638656199</v>
      </c>
      <c r="UU40">
        <v>-43506.805440316297</v>
      </c>
      <c r="UV40">
        <v>-20829.700638656199</v>
      </c>
      <c r="UW40">
        <v>21.1111</v>
      </c>
      <c r="UX40">
        <v>23.8889</v>
      </c>
      <c r="UY40">
        <v>0</v>
      </c>
      <c r="UZ40">
        <v>221.04367093188199</v>
      </c>
      <c r="VA40">
        <v>25.3308546235601</v>
      </c>
      <c r="VB40">
        <v>0</v>
      </c>
      <c r="VC40">
        <v>0</v>
      </c>
      <c r="VD40">
        <v>0</v>
      </c>
      <c r="VE40">
        <v>0</v>
      </c>
      <c r="VF40">
        <v>232.423341570183</v>
      </c>
      <c r="VG40">
        <v>25.433796880502499</v>
      </c>
      <c r="VH40">
        <v>0</v>
      </c>
      <c r="VI40">
        <v>0</v>
      </c>
      <c r="VJ40">
        <v>0</v>
      </c>
      <c r="VK40">
        <v>0</v>
      </c>
      <c r="VL40">
        <v>335.765041482431</v>
      </c>
      <c r="VM40">
        <v>25.411802739836801</v>
      </c>
      <c r="VN40">
        <v>0</v>
      </c>
      <c r="VO40">
        <v>0</v>
      </c>
      <c r="VP40">
        <v>0</v>
      </c>
      <c r="VQ40">
        <v>0</v>
      </c>
      <c r="VR40">
        <v>357.47691821225101</v>
      </c>
      <c r="VS40">
        <v>25.1318076395426</v>
      </c>
      <c r="VT40">
        <v>0</v>
      </c>
      <c r="VU40">
        <v>0</v>
      </c>
      <c r="VV40">
        <v>0</v>
      </c>
      <c r="VW40">
        <v>840.51919784472602</v>
      </c>
      <c r="VX40">
        <v>0</v>
      </c>
      <c r="VY40">
        <v>25.204706873125101</v>
      </c>
      <c r="VZ40">
        <v>0</v>
      </c>
      <c r="WA40">
        <v>0</v>
      </c>
      <c r="WB40">
        <v>0</v>
      </c>
      <c r="WC40">
        <v>0</v>
      </c>
      <c r="WD40">
        <v>7594.1338848691903</v>
      </c>
      <c r="WE40">
        <v>25.7968729153359</v>
      </c>
      <c r="WF40">
        <v>-7574.8389343169301</v>
      </c>
      <c r="WG40">
        <v>-14791.9149360271</v>
      </c>
      <c r="WH40">
        <v>-7574.8389343169301</v>
      </c>
      <c r="WI40">
        <v>18638469.124406099</v>
      </c>
      <c r="WJ40">
        <v>0</v>
      </c>
      <c r="WK40">
        <v>5177.3525345572398</v>
      </c>
      <c r="WL40">
        <v>25.837023245031698</v>
      </c>
      <c r="WM40">
        <v>-5169.65446414082</v>
      </c>
      <c r="WN40">
        <v>-9723.2580242946806</v>
      </c>
      <c r="WO40">
        <v>-5169.65446414082</v>
      </c>
      <c r="WP40">
        <v>18.333300000000001</v>
      </c>
      <c r="WQ40">
        <v>23.8889</v>
      </c>
      <c r="WR40">
        <v>0</v>
      </c>
      <c r="WS40">
        <v>8518.4164819414491</v>
      </c>
      <c r="WT40">
        <v>26.131874787009799</v>
      </c>
      <c r="WU40">
        <v>-8470.5275057932995</v>
      </c>
      <c r="WV40">
        <v>-15248.2146753862</v>
      </c>
      <c r="WW40">
        <v>-8470.5275057932995</v>
      </c>
      <c r="WX40">
        <v>26262263.359796301</v>
      </c>
      <c r="WY40">
        <v>0</v>
      </c>
      <c r="WZ40">
        <v>7295.0731554989698</v>
      </c>
      <c r="XA40">
        <v>26.6018265658297</v>
      </c>
      <c r="XB40">
        <v>-7250.4155606798704</v>
      </c>
      <c r="XC40">
        <v>-11098.2550116163</v>
      </c>
      <c r="XD40">
        <v>-7250.4155606798704</v>
      </c>
      <c r="XE40">
        <v>0</v>
      </c>
      <c r="XF40">
        <v>25826.389609793601</v>
      </c>
      <c r="XG40">
        <v>24.9066990730588</v>
      </c>
      <c r="XH40">
        <v>-25893.158020417999</v>
      </c>
      <c r="XI40">
        <v>-48216.324254841697</v>
      </c>
      <c r="XJ40">
        <v>-25893.158020417999</v>
      </c>
      <c r="XK40">
        <v>21.1111</v>
      </c>
      <c r="XL40">
        <v>23.8889</v>
      </c>
      <c r="XM40">
        <v>0</v>
      </c>
      <c r="XN40">
        <v>2225.73885200308</v>
      </c>
      <c r="XO40">
        <v>26.494370042307299</v>
      </c>
      <c r="XP40">
        <v>0</v>
      </c>
      <c r="XQ40">
        <v>0</v>
      </c>
      <c r="XR40">
        <v>0</v>
      </c>
      <c r="XS40">
        <v>0</v>
      </c>
      <c r="XT40">
        <v>1521.56277937707</v>
      </c>
      <c r="XU40">
        <v>26.5056920580842</v>
      </c>
      <c r="XV40">
        <v>0</v>
      </c>
      <c r="XW40">
        <v>0</v>
      </c>
      <c r="XX40">
        <v>0</v>
      </c>
      <c r="XY40">
        <v>0</v>
      </c>
      <c r="XZ40">
        <v>2461.34875415019</v>
      </c>
      <c r="YA40">
        <v>26.517385418895799</v>
      </c>
      <c r="YB40">
        <v>0</v>
      </c>
      <c r="YC40">
        <v>0</v>
      </c>
      <c r="YD40">
        <v>0</v>
      </c>
      <c r="YE40">
        <v>0</v>
      </c>
      <c r="YF40">
        <v>1782.9114418271799</v>
      </c>
      <c r="YG40">
        <v>26.0132747795037</v>
      </c>
      <c r="YH40">
        <v>0</v>
      </c>
      <c r="YI40">
        <v>0</v>
      </c>
      <c r="YJ40">
        <v>0</v>
      </c>
      <c r="YK40">
        <v>0</v>
      </c>
      <c r="YL40">
        <v>7767.7555769087903</v>
      </c>
      <c r="YM40">
        <v>26.760679252014</v>
      </c>
      <c r="YN40">
        <v>0</v>
      </c>
      <c r="YO40">
        <v>0</v>
      </c>
      <c r="YP40">
        <v>0</v>
      </c>
      <c r="YQ40">
        <v>0</v>
      </c>
      <c r="YR40">
        <v>1399.2802503687301</v>
      </c>
      <c r="YS40">
        <v>19.234255505796799</v>
      </c>
      <c r="YT40">
        <v>0</v>
      </c>
      <c r="YU40">
        <v>0</v>
      </c>
      <c r="YV40">
        <v>0</v>
      </c>
      <c r="YW40">
        <v>0</v>
      </c>
      <c r="YX40">
        <v>968.48227678400099</v>
      </c>
      <c r="YY40">
        <v>19.280288628837098</v>
      </c>
      <c r="YZ40">
        <v>0</v>
      </c>
      <c r="ZA40">
        <v>0</v>
      </c>
      <c r="ZB40">
        <v>0</v>
      </c>
      <c r="ZC40">
        <v>0</v>
      </c>
      <c r="ZD40">
        <v>1518.0890947386599</v>
      </c>
      <c r="ZE40">
        <v>19.195443041850101</v>
      </c>
      <c r="ZF40">
        <v>0</v>
      </c>
      <c r="ZG40">
        <v>0</v>
      </c>
      <c r="ZH40">
        <v>0</v>
      </c>
      <c r="ZI40">
        <v>0</v>
      </c>
      <c r="ZJ40">
        <v>1173.38718815224</v>
      </c>
      <c r="ZK40">
        <v>18.846792272419702</v>
      </c>
      <c r="ZL40">
        <v>0</v>
      </c>
      <c r="ZM40">
        <v>0</v>
      </c>
      <c r="ZN40">
        <v>0</v>
      </c>
      <c r="ZO40">
        <v>0</v>
      </c>
      <c r="ZP40">
        <v>11926.0274176201</v>
      </c>
      <c r="ZQ40">
        <v>17.635322268244</v>
      </c>
      <c r="ZR40">
        <v>0</v>
      </c>
      <c r="ZS40">
        <v>0</v>
      </c>
      <c r="ZT40">
        <v>0</v>
      </c>
      <c r="ZU40">
        <v>0</v>
      </c>
      <c r="ZV40">
        <v>3457.0574214583698</v>
      </c>
      <c r="ZW40">
        <v>20.554450235816201</v>
      </c>
      <c r="ZX40">
        <v>0</v>
      </c>
      <c r="ZY40">
        <v>0</v>
      </c>
      <c r="ZZ40">
        <v>0</v>
      </c>
      <c r="AAA40">
        <v>0</v>
      </c>
      <c r="AAB40">
        <v>2365.0968090269598</v>
      </c>
      <c r="AAC40">
        <v>20.5467583585196</v>
      </c>
      <c r="AAD40">
        <v>0</v>
      </c>
      <c r="AAE40">
        <v>0</v>
      </c>
      <c r="AAF40">
        <v>0</v>
      </c>
      <c r="AAG40">
        <v>0</v>
      </c>
      <c r="AAH40">
        <v>3687.6440357381798</v>
      </c>
      <c r="AAI40">
        <v>20.380107336034701</v>
      </c>
      <c r="AAJ40">
        <v>0</v>
      </c>
      <c r="AAK40">
        <v>0</v>
      </c>
      <c r="AAL40">
        <v>0</v>
      </c>
      <c r="AAM40">
        <v>0</v>
      </c>
      <c r="AAN40">
        <v>2651.7982699920899</v>
      </c>
      <c r="AAO40">
        <v>20.024350102413202</v>
      </c>
      <c r="AAP40">
        <v>0</v>
      </c>
      <c r="AAQ40">
        <v>0</v>
      </c>
      <c r="AAR40">
        <v>0</v>
      </c>
      <c r="AAS40">
        <v>0</v>
      </c>
      <c r="AAT40">
        <v>22904.4020625333</v>
      </c>
      <c r="AAU40">
        <v>18.218210403439201</v>
      </c>
      <c r="AAV40">
        <v>0</v>
      </c>
      <c r="AAW40">
        <v>0</v>
      </c>
      <c r="AAX40">
        <v>0</v>
      </c>
      <c r="AAY40">
        <v>0</v>
      </c>
      <c r="AAZ40">
        <v>3903.6874992058902</v>
      </c>
      <c r="ABA40">
        <v>20.536636529744101</v>
      </c>
      <c r="ABB40">
        <v>0</v>
      </c>
      <c r="ABC40">
        <v>0</v>
      </c>
      <c r="ABD40">
        <v>0</v>
      </c>
      <c r="ABE40">
        <v>0</v>
      </c>
      <c r="ABF40">
        <v>2676.3867946067098</v>
      </c>
      <c r="ABG40">
        <v>20.542533124852099</v>
      </c>
      <c r="ABH40">
        <v>0</v>
      </c>
      <c r="ABI40">
        <v>0</v>
      </c>
      <c r="ABJ40">
        <v>0</v>
      </c>
      <c r="ABK40">
        <v>0</v>
      </c>
      <c r="ABL40">
        <v>4139.5769903751898</v>
      </c>
      <c r="ABM40">
        <v>20.391188494112701</v>
      </c>
      <c r="ABN40">
        <v>0</v>
      </c>
      <c r="ABO40">
        <v>0</v>
      </c>
      <c r="ABP40">
        <v>0</v>
      </c>
      <c r="ABQ40">
        <v>0</v>
      </c>
      <c r="ABR40">
        <v>2934.83598382933</v>
      </c>
      <c r="ABS40">
        <v>20.0571365292537</v>
      </c>
      <c r="ABT40">
        <v>0</v>
      </c>
      <c r="ABU40">
        <v>0</v>
      </c>
      <c r="ABV40">
        <v>0</v>
      </c>
      <c r="ABW40">
        <v>0</v>
      </c>
      <c r="ABX40">
        <v>26516.302859089399</v>
      </c>
      <c r="ABY40">
        <v>18.215493773825301</v>
      </c>
      <c r="ABZ40">
        <v>0</v>
      </c>
      <c r="ACA40">
        <v>0</v>
      </c>
      <c r="ACB40">
        <v>0</v>
      </c>
      <c r="ACC40">
        <v>0.79122910829584203</v>
      </c>
      <c r="ACD40">
        <v>237351272.53305799</v>
      </c>
      <c r="ACE40">
        <v>345785.86563551897</v>
      </c>
      <c r="ACF40">
        <v>12.8276940114769</v>
      </c>
      <c r="ACG40">
        <v>6.7</v>
      </c>
      <c r="ACH40">
        <v>13.50000361399</v>
      </c>
      <c r="ACI40">
        <v>411716.77467247902</v>
      </c>
      <c r="ACJ40">
        <v>5.2446902772420998</v>
      </c>
      <c r="ACK40">
        <v>26.43520509547</v>
      </c>
      <c r="ACL40">
        <v>32.681039570939802</v>
      </c>
      <c r="ACM40">
        <v>15.7700042216757</v>
      </c>
      <c r="ACN40">
        <v>105390.341415922</v>
      </c>
      <c r="ACP40">
        <v>86161.437720435206</v>
      </c>
      <c r="ACR40">
        <v>191551.779136358</v>
      </c>
      <c r="ACT40">
        <v>25.455592621956001</v>
      </c>
      <c r="ACU40">
        <v>23.8919335492571</v>
      </c>
      <c r="ACV40">
        <v>1.7</v>
      </c>
      <c r="ACW40">
        <v>1.3339644528304</v>
      </c>
      <c r="ACX40">
        <v>0.80003978146344501</v>
      </c>
      <c r="ACY40">
        <v>25.286474498453899</v>
      </c>
      <c r="ACZ40">
        <v>23.874192095875099</v>
      </c>
      <c r="ADA40">
        <v>1.7</v>
      </c>
      <c r="ADB40">
        <v>1.82061092207131</v>
      </c>
      <c r="ADC40">
        <v>0.80006528412334899</v>
      </c>
      <c r="ADD40">
        <v>25.314404012417398</v>
      </c>
      <c r="ADE40">
        <v>23.896671106462801</v>
      </c>
      <c r="ADF40">
        <v>1.7</v>
      </c>
      <c r="ADG40">
        <v>2.3786843331151899</v>
      </c>
      <c r="ADH40">
        <v>0.80010887216015902</v>
      </c>
      <c r="ADI40">
        <v>25.596466445089199</v>
      </c>
      <c r="ADJ40">
        <v>23.7691939182643</v>
      </c>
      <c r="ADK40">
        <v>1.7</v>
      </c>
      <c r="ADL40">
        <v>1.86276419838153</v>
      </c>
      <c r="ADM40">
        <v>0.70905685489162396</v>
      </c>
      <c r="ADN40">
        <v>25.795648293548499</v>
      </c>
      <c r="ADO40">
        <v>23.9216128379773</v>
      </c>
      <c r="ADP40">
        <v>1.7</v>
      </c>
      <c r="ADQ40">
        <v>1.9536711639428499</v>
      </c>
      <c r="ADR40">
        <v>0.708264887674662</v>
      </c>
      <c r="ADS40">
        <v>25.7892475108419</v>
      </c>
      <c r="ADT40">
        <v>23.925430916315999</v>
      </c>
      <c r="ADU40">
        <v>1.7</v>
      </c>
      <c r="ADV40">
        <v>5.3961048206218098</v>
      </c>
      <c r="ADW40">
        <v>0.70849831510665395</v>
      </c>
      <c r="ADX40">
        <v>25.0277118772831</v>
      </c>
      <c r="ADY40">
        <v>23.253458672122001</v>
      </c>
      <c r="ADZ40">
        <v>1.7</v>
      </c>
      <c r="AEA40">
        <v>2.7707476825607098</v>
      </c>
      <c r="AEB40">
        <v>0.70574654082346</v>
      </c>
      <c r="AEC40">
        <v>25.1925490930732</v>
      </c>
      <c r="AED40">
        <v>23.880080449111599</v>
      </c>
      <c r="AEE40">
        <v>1.7</v>
      </c>
      <c r="AEF40">
        <v>2.9714531807234699</v>
      </c>
      <c r="AEG40">
        <v>0.70892595981929196</v>
      </c>
      <c r="AEH40">
        <v>25.212886877926799</v>
      </c>
      <c r="AEI40">
        <v>23.894374039909099</v>
      </c>
      <c r="AEJ40">
        <v>1.7</v>
      </c>
      <c r="AEK40">
        <v>3.1764470960403099</v>
      </c>
      <c r="AEL40">
        <v>0.70850783022847796</v>
      </c>
      <c r="AEM40">
        <v>25.244234339679998</v>
      </c>
      <c r="AEN40">
        <v>23.947781651149999</v>
      </c>
      <c r="AEO40">
        <v>1.7</v>
      </c>
      <c r="AEP40">
        <v>4.99893956414311</v>
      </c>
      <c r="AEQ40">
        <v>0.70799548617977204</v>
      </c>
      <c r="AER40">
        <v>24.913471468069702</v>
      </c>
      <c r="AES40">
        <v>23.561748634127198</v>
      </c>
      <c r="AET40">
        <v>1.7</v>
      </c>
      <c r="AEU40">
        <v>4.0246984627858797</v>
      </c>
      <c r="AEV40">
        <v>0.70627519852727105</v>
      </c>
      <c r="AEW40">
        <v>25.186632746198701</v>
      </c>
      <c r="AEX40">
        <v>23.875652944453599</v>
      </c>
      <c r="AEY40">
        <v>1.7</v>
      </c>
      <c r="AEZ40">
        <v>3.14234946286131</v>
      </c>
      <c r="AFA40">
        <v>0.70873528318841805</v>
      </c>
      <c r="AFB40">
        <v>25.193761156957301</v>
      </c>
      <c r="AFC40">
        <v>23.8855754330379</v>
      </c>
      <c r="AFD40">
        <v>1.7</v>
      </c>
      <c r="AFE40">
        <v>3.3576086821921201</v>
      </c>
      <c r="AFF40">
        <v>0.70846991090852796</v>
      </c>
      <c r="AFG40">
        <v>25.253237690141901</v>
      </c>
      <c r="AFH40">
        <v>23.950000358600299</v>
      </c>
      <c r="AFI40">
        <v>1.7</v>
      </c>
      <c r="AFJ40">
        <v>4.6599945397048899</v>
      </c>
      <c r="AFK40">
        <v>0.70789195683105199</v>
      </c>
      <c r="AFL40">
        <v>24.926573071667299</v>
      </c>
      <c r="AFM40">
        <v>23.5887542391328</v>
      </c>
      <c r="AFN40">
        <v>1.7</v>
      </c>
      <c r="AFO40">
        <v>4.1400999253617101</v>
      </c>
      <c r="AFP40">
        <v>0.70645445351531899</v>
      </c>
      <c r="AFQ40">
        <v>-0.41138928922512003</v>
      </c>
      <c r="AFR40">
        <v>-0.48310722681739499</v>
      </c>
      <c r="AFS40">
        <v>-0.47578265366085898</v>
      </c>
      <c r="AFT40">
        <v>-0.41423072559812801</v>
      </c>
      <c r="AFU40">
        <v>-0.306840897272256</v>
      </c>
      <c r="AFV40">
        <v>-0.367064266239019</v>
      </c>
      <c r="AFW40">
        <v>-0.29347142838976098</v>
      </c>
      <c r="AFX40">
        <v>-0.33699794785308401</v>
      </c>
      <c r="AFY40">
        <v>-0.240970844158201</v>
      </c>
      <c r="AFZ40">
        <v>-0.304764546105177</v>
      </c>
      <c r="AGA40">
        <v>-0.23270237987145101</v>
      </c>
      <c r="AGB40">
        <v>-0.27877914361415002</v>
      </c>
      <c r="AGC40">
        <v>-0.51471690006399395</v>
      </c>
      <c r="AGD40">
        <v>-0.47082211909822902</v>
      </c>
      <c r="AGE40">
        <v>-0.36055659281687602</v>
      </c>
      <c r="AGF40">
        <v>0</v>
      </c>
      <c r="AGG40">
        <v>0</v>
      </c>
      <c r="AGH40">
        <v>0</v>
      </c>
      <c r="AGI40">
        <v>0</v>
      </c>
      <c r="AGJ40">
        <v>0</v>
      </c>
      <c r="AGK40">
        <v>0</v>
      </c>
      <c r="AGL40">
        <v>0</v>
      </c>
      <c r="AGM40">
        <v>0</v>
      </c>
      <c r="AGN40">
        <v>0</v>
      </c>
      <c r="AGO40">
        <v>0</v>
      </c>
      <c r="AGP40">
        <v>0</v>
      </c>
      <c r="AGQ40">
        <v>0</v>
      </c>
      <c r="AGR40">
        <v>0</v>
      </c>
      <c r="AGS40">
        <v>0</v>
      </c>
      <c r="AGT40">
        <v>0</v>
      </c>
      <c r="AGU40">
        <v>0</v>
      </c>
      <c r="AGV40">
        <v>0</v>
      </c>
      <c r="AGW40">
        <v>0</v>
      </c>
      <c r="AGX40">
        <v>0</v>
      </c>
      <c r="AGY40">
        <v>0</v>
      </c>
      <c r="AGZ40">
        <v>0</v>
      </c>
      <c r="AHA40">
        <v>0</v>
      </c>
      <c r="AHB40">
        <v>0</v>
      </c>
      <c r="AHC40">
        <v>0</v>
      </c>
      <c r="AHD40">
        <v>0</v>
      </c>
      <c r="AHE40">
        <v>0</v>
      </c>
      <c r="AHF40">
        <v>0</v>
      </c>
      <c r="AHG40">
        <v>0</v>
      </c>
      <c r="AHH40">
        <v>0</v>
      </c>
      <c r="AHI40">
        <v>0</v>
      </c>
      <c r="AHJ40">
        <v>0</v>
      </c>
      <c r="AHK40">
        <v>0</v>
      </c>
      <c r="AHL40">
        <v>0</v>
      </c>
      <c r="AHM40">
        <v>0</v>
      </c>
      <c r="AHN40">
        <v>0</v>
      </c>
      <c r="AHO40">
        <v>0</v>
      </c>
      <c r="AHP40">
        <v>0</v>
      </c>
      <c r="AHQ40">
        <v>0</v>
      </c>
      <c r="AHR40">
        <v>0</v>
      </c>
      <c r="AHS40">
        <v>0</v>
      </c>
      <c r="AHT40">
        <v>0</v>
      </c>
      <c r="AHU40">
        <v>0</v>
      </c>
      <c r="AHV40">
        <v>0</v>
      </c>
      <c r="AHW40">
        <v>0</v>
      </c>
      <c r="AHX40">
        <v>0</v>
      </c>
      <c r="AHZ40">
        <v>0</v>
      </c>
      <c r="AIB40">
        <v>0</v>
      </c>
      <c r="AID40">
        <v>0</v>
      </c>
      <c r="AIF40">
        <v>0</v>
      </c>
      <c r="AIH40">
        <v>0</v>
      </c>
      <c r="AIJ40">
        <v>0</v>
      </c>
      <c r="AIL40">
        <v>0</v>
      </c>
      <c r="AIN40">
        <v>0</v>
      </c>
      <c r="AIP40">
        <v>0</v>
      </c>
      <c r="AIR40">
        <v>0</v>
      </c>
      <c r="AIT40">
        <v>0</v>
      </c>
      <c r="AIV40">
        <v>0</v>
      </c>
      <c r="AIX40">
        <v>0</v>
      </c>
      <c r="AIZ40">
        <v>0</v>
      </c>
      <c r="AJB40">
        <v>0</v>
      </c>
      <c r="AJC40">
        <v>0</v>
      </c>
      <c r="AJE40">
        <v>344101.70352437301</v>
      </c>
      <c r="AJH40">
        <v>8993.6914570039207</v>
      </c>
      <c r="AJJ40">
        <v>183.80401834048999</v>
      </c>
      <c r="AJK40">
        <v>143.41828231100899</v>
      </c>
      <c r="AJL40">
        <v>370.976498716111</v>
      </c>
      <c r="AJM40">
        <v>768.03190064047101</v>
      </c>
      <c r="AJN40">
        <v>189.922367368631</v>
      </c>
      <c r="AJO40">
        <v>184.97227934598001</v>
      </c>
      <c r="AJP40">
        <v>443.522914440958</v>
      </c>
      <c r="AJQ40">
        <v>800.67350349243895</v>
      </c>
      <c r="AJR40">
        <v>244.059067399317</v>
      </c>
      <c r="AJS40">
        <v>52.091917873348997</v>
      </c>
      <c r="AJT40">
        <v>128.61370672623499</v>
      </c>
      <c r="AJU40">
        <v>216.062615470699</v>
      </c>
      <c r="AJV40">
        <v>75.464258363652306</v>
      </c>
      <c r="AJW40">
        <v>0</v>
      </c>
      <c r="AJX40">
        <v>0</v>
      </c>
      <c r="AJY40">
        <v>0</v>
      </c>
      <c r="AJZ40">
        <v>344102.16682343202</v>
      </c>
      <c r="AKA40">
        <v>0</v>
      </c>
      <c r="AKB40">
        <v>0</v>
      </c>
      <c r="AKC40">
        <v>0</v>
      </c>
      <c r="AKD40">
        <v>0</v>
      </c>
      <c r="AKE40">
        <v>65.56</v>
      </c>
      <c r="AKF40">
        <v>65.56</v>
      </c>
      <c r="AKG40">
        <v>0</v>
      </c>
      <c r="AKH40">
        <v>0</v>
      </c>
      <c r="AKI40">
        <v>0</v>
      </c>
      <c r="AKJ40">
        <v>0</v>
      </c>
      <c r="AKK40">
        <v>0</v>
      </c>
      <c r="AKL40">
        <v>65.56</v>
      </c>
      <c r="AKM40">
        <v>65.56</v>
      </c>
      <c r="AKN40">
        <v>0</v>
      </c>
      <c r="AKO40">
        <v>0</v>
      </c>
      <c r="AKP40">
        <v>0</v>
      </c>
      <c r="AKT40">
        <v>6734795.2483461499</v>
      </c>
      <c r="AKX40">
        <v>6078357.7937538503</v>
      </c>
      <c r="ALB40">
        <v>32.704092078754599</v>
      </c>
      <c r="ALC40">
        <v>26.5131913632178</v>
      </c>
      <c r="ALD40">
        <v>15.7700042216757</v>
      </c>
      <c r="ALE40">
        <v>408095.61715556402</v>
      </c>
      <c r="ALF40">
        <v>3876.01471762034</v>
      </c>
      <c r="ALH40">
        <v>15.1906380014705</v>
      </c>
      <c r="ALI40">
        <v>8.8477512897872403E-3</v>
      </c>
      <c r="ALJ40">
        <v>19.8080051856412</v>
      </c>
      <c r="ALK40">
        <v>28.412381218513399</v>
      </c>
      <c r="ALL40">
        <v>19.8080051856412</v>
      </c>
      <c r="ALM40">
        <v>0</v>
      </c>
      <c r="ALN40">
        <v>25.8573289881232</v>
      </c>
      <c r="ALO40">
        <v>9.3073890192389604E-3</v>
      </c>
      <c r="ALP40">
        <v>44.769680488870598</v>
      </c>
      <c r="ALQ40">
        <v>19.8080051856412</v>
      </c>
      <c r="ALR40">
        <v>15.1906380014705</v>
      </c>
      <c r="ALS40">
        <v>19.8080051856412</v>
      </c>
      <c r="ALT40">
        <v>15.560004361923101</v>
      </c>
      <c r="ALU40">
        <v>19.8080051856412</v>
      </c>
      <c r="ALV40">
        <v>6.7000082101530296</v>
      </c>
      <c r="ALW40">
        <v>4.8425895553410201E-3</v>
      </c>
      <c r="ALX40">
        <v>23.6995882355038</v>
      </c>
      <c r="ALY40">
        <v>4.8425895553410201E-3</v>
      </c>
      <c r="ALZ40">
        <v>0</v>
      </c>
      <c r="AMA40">
        <v>12.8276940114769</v>
      </c>
      <c r="AMB40">
        <v>1.35E-2</v>
      </c>
      <c r="AMC40">
        <v>12.7978570743627</v>
      </c>
      <c r="AMD40">
        <v>1.35E-2</v>
      </c>
      <c r="AME40">
        <v>6.7</v>
      </c>
      <c r="AMF40">
        <v>1.35E-2</v>
      </c>
      <c r="AMG40">
        <v>1.5769999999999999E-2</v>
      </c>
      <c r="AMH40">
        <v>4.2474999999999996</v>
      </c>
      <c r="AMI40">
        <v>18.998021505208001</v>
      </c>
      <c r="AMJ40">
        <v>0.78843490790196702</v>
      </c>
      <c r="AMK40" s="580">
        <v>17.635742024745699</v>
      </c>
      <c r="AML40">
        <v>1.9031654583501201</v>
      </c>
      <c r="AMM40">
        <v>19.3718949535177</v>
      </c>
      <c r="AMN40">
        <v>0.47908630112143202</v>
      </c>
      <c r="AMO40">
        <v>19.315947793456498</v>
      </c>
      <c r="AMP40">
        <v>0.71215805099753804</v>
      </c>
      <c r="AMQ40">
        <v>19.39539776642</v>
      </c>
      <c r="AMR40">
        <v>0.79216891291540004</v>
      </c>
      <c r="AMS40">
        <v>18.222753789174</v>
      </c>
      <c r="AMT40">
        <v>2.3866272676119702</v>
      </c>
      <c r="AMU40">
        <v>20.689564454367002</v>
      </c>
      <c r="AMV40">
        <v>0.82791670356656999</v>
      </c>
      <c r="AMW40">
        <v>20.311494599244401</v>
      </c>
      <c r="AMX40">
        <v>1.1978781144653401</v>
      </c>
      <c r="AMY40">
        <v>20.683502660063098</v>
      </c>
      <c r="AMZ40">
        <v>1.2061620840760801</v>
      </c>
      <c r="ANA40">
        <v>20.8043950729366</v>
      </c>
      <c r="ANB40">
        <v>1.3910695471718699</v>
      </c>
      <c r="ANC40">
        <v>18.221878975991999</v>
      </c>
      <c r="AND40">
        <v>2.95897058337497</v>
      </c>
      <c r="ANE40">
        <v>20.706450314042598</v>
      </c>
      <c r="ANF40">
        <v>0.93824103956527705</v>
      </c>
      <c r="ANG40">
        <v>20.369163740315098</v>
      </c>
      <c r="ANH40">
        <v>1.3013608144462701</v>
      </c>
      <c r="ANI40">
        <v>20.6856436511498</v>
      </c>
      <c r="ANJ40">
        <v>1.3719624825083101</v>
      </c>
      <c r="ANK40">
        <v>20.791746187335001</v>
      </c>
      <c r="ANL40">
        <v>1.55280291756808</v>
      </c>
      <c r="ANM40">
        <v>4.6750136312864603</v>
      </c>
      <c r="ANN40">
        <v>7.0096537168918198</v>
      </c>
      <c r="ANO40">
        <v>8.1233378374629108</v>
      </c>
      <c r="ANP40">
        <v>17.635742024745699</v>
      </c>
      <c r="ANQ40">
        <v>19.283440306689101</v>
      </c>
      <c r="ANR40">
        <v>18.8653999878624</v>
      </c>
      <c r="ANS40">
        <v>19.173818969544602</v>
      </c>
      <c r="ANT40">
        <v>19.2297454569044</v>
      </c>
      <c r="ANU40">
        <v>18.222753789174</v>
      </c>
      <c r="ANV40">
        <v>20.548654158834601</v>
      </c>
      <c r="ANW40">
        <v>20.0597996104927</v>
      </c>
      <c r="ANX40">
        <v>20.3558194355412</v>
      </c>
      <c r="ANY40">
        <v>20.5554068356291</v>
      </c>
      <c r="ANZ40">
        <v>18.221878975991999</v>
      </c>
      <c r="AOA40">
        <v>20.546089053105401</v>
      </c>
      <c r="AOB40">
        <v>20.092157937328</v>
      </c>
      <c r="AOC40">
        <v>20.3726636779733</v>
      </c>
      <c r="AOD40">
        <v>20.540930382879399</v>
      </c>
      <c r="AOE40">
        <v>25.8573289881232</v>
      </c>
      <c r="AOF40">
        <v>4.2474999999999996</v>
      </c>
      <c r="AOG40">
        <v>25.892503646292901</v>
      </c>
      <c r="AOH40">
        <v>4.2474999999999996</v>
      </c>
    </row>
    <row r="41" spans="1:1074">
      <c r="A41" t="s">
        <v>2611</v>
      </c>
      <c r="B41">
        <v>37.051000000000002</v>
      </c>
      <c r="D41">
        <v>20.893213150209299</v>
      </c>
      <c r="F41">
        <v>9</v>
      </c>
      <c r="G41">
        <v>10945018.5837641</v>
      </c>
      <c r="H41">
        <v>25252376.055390202</v>
      </c>
      <c r="I41">
        <v>6950739.3466344699</v>
      </c>
      <c r="J41">
        <v>16036764.3509151</v>
      </c>
      <c r="K41">
        <v>10945018.5837641</v>
      </c>
      <c r="L41">
        <v>25252376.055390202</v>
      </c>
      <c r="M41">
        <v>6950739.3466344699</v>
      </c>
      <c r="N41">
        <v>16036764.3509151</v>
      </c>
      <c r="O41">
        <v>56445592.898657002</v>
      </c>
      <c r="P41">
        <v>130231422.417206</v>
      </c>
      <c r="Q41">
        <v>10945018.5837641</v>
      </c>
      <c r="R41">
        <v>25252376.055390202</v>
      </c>
      <c r="S41">
        <v>6950739.3466344699</v>
      </c>
      <c r="T41">
        <v>16036764.3509151</v>
      </c>
      <c r="U41">
        <v>10945018.5837641</v>
      </c>
      <c r="V41">
        <v>25252376.055390202</v>
      </c>
      <c r="W41">
        <v>6950739.3466344699</v>
      </c>
      <c r="X41">
        <v>16036764.3509151</v>
      </c>
      <c r="Y41">
        <v>56445592.898657002</v>
      </c>
      <c r="Z41">
        <v>130231422.417206</v>
      </c>
      <c r="AA41">
        <v>10945018.5837641</v>
      </c>
      <c r="AB41">
        <v>25252376.055390202</v>
      </c>
      <c r="AC41">
        <v>6950739.3466344699</v>
      </c>
      <c r="AD41">
        <v>16036764.3509151</v>
      </c>
      <c r="AE41">
        <v>10945018.5837641</v>
      </c>
      <c r="AF41">
        <v>25252376.055390202</v>
      </c>
      <c r="AG41">
        <v>6950739.3466344699</v>
      </c>
      <c r="AH41">
        <v>16036764.3509151</v>
      </c>
      <c r="AI41">
        <v>56445592.898657002</v>
      </c>
      <c r="AJ41">
        <v>130231422.417206</v>
      </c>
      <c r="AK41">
        <v>23.716228502806501</v>
      </c>
      <c r="AL41">
        <v>3956060.4386927001</v>
      </c>
      <c r="AM41">
        <v>10245410.713212401</v>
      </c>
      <c r="AN41">
        <v>23.716228502806501</v>
      </c>
      <c r="AO41">
        <v>3956060.4386927001</v>
      </c>
      <c r="AP41">
        <v>10245410.713212401</v>
      </c>
      <c r="AQ41">
        <v>15.0612190693548</v>
      </c>
      <c r="AR41">
        <v>2512334.2403159901</v>
      </c>
      <c r="AS41">
        <v>6506446.6379612898</v>
      </c>
      <c r="AT41">
        <v>15.0612190693548</v>
      </c>
      <c r="AU41">
        <v>2512334.2403159901</v>
      </c>
      <c r="AV41">
        <v>6506446.6379612898</v>
      </c>
      <c r="AW41">
        <v>23.716228502806501</v>
      </c>
      <c r="AX41">
        <v>3956060.4386927001</v>
      </c>
      <c r="AY41">
        <v>10245410.713212401</v>
      </c>
      <c r="AZ41">
        <v>23.716228502806501</v>
      </c>
      <c r="BA41">
        <v>3956060.4386927001</v>
      </c>
      <c r="BB41">
        <v>10245410.713212401</v>
      </c>
      <c r="BC41">
        <v>15.0612190693548</v>
      </c>
      <c r="BD41">
        <v>2512334.2403159901</v>
      </c>
      <c r="BE41">
        <v>6506446.6379612898</v>
      </c>
      <c r="BF41">
        <v>15.0612190693548</v>
      </c>
      <c r="BG41">
        <v>2512334.2403159901</v>
      </c>
      <c r="BH41">
        <v>6506446.6379612898</v>
      </c>
      <c r="BI41">
        <v>23.716228502806501</v>
      </c>
      <c r="BJ41">
        <v>3956060.4386927001</v>
      </c>
      <c r="BK41">
        <v>10245410.713212401</v>
      </c>
      <c r="BL41">
        <v>23.716228502806501</v>
      </c>
      <c r="BM41">
        <v>3956060.4386927001</v>
      </c>
      <c r="BN41">
        <v>10245410.713212401</v>
      </c>
      <c r="BO41">
        <v>15.0612190693548</v>
      </c>
      <c r="BP41">
        <v>2512334.2403159901</v>
      </c>
      <c r="BQ41">
        <v>6506446.6379612898</v>
      </c>
      <c r="BR41">
        <v>15.0612190693548</v>
      </c>
      <c r="BS41">
        <v>2512334.2403159901</v>
      </c>
      <c r="BT41">
        <v>6506446.6379612898</v>
      </c>
      <c r="BU41">
        <v>52837578.828362301</v>
      </c>
      <c r="BV41">
        <v>122.309210250839</v>
      </c>
      <c r="BW41">
        <v>20402174.312995501</v>
      </c>
      <c r="BX41">
        <v>52837578.828362301</v>
      </c>
      <c r="BY41">
        <v>122.309210250839</v>
      </c>
      <c r="BZ41">
        <v>20402174.312995501</v>
      </c>
      <c r="CA41">
        <v>52837578.828362301</v>
      </c>
      <c r="CB41">
        <v>122.309210250839</v>
      </c>
      <c r="CC41">
        <v>20402174.312995501</v>
      </c>
      <c r="CD41">
        <v>52837578.828362301</v>
      </c>
      <c r="CE41">
        <v>3773179.8574618599</v>
      </c>
      <c r="CF41">
        <v>8575408.7669587694</v>
      </c>
      <c r="CG41">
        <v>3773179.8574618599</v>
      </c>
      <c r="CH41">
        <v>8575408.7669587694</v>
      </c>
      <c r="CI41">
        <v>2396194.1678283801</v>
      </c>
      <c r="CJ41">
        <v>5445895.8359735999</v>
      </c>
      <c r="CK41">
        <v>2396194.1678283801</v>
      </c>
      <c r="CL41">
        <v>5445895.8359735999</v>
      </c>
      <c r="CM41">
        <v>3773179.8574618599</v>
      </c>
      <c r="CN41">
        <v>8575408.7669587694</v>
      </c>
      <c r="CO41">
        <v>3773179.8574618599</v>
      </c>
      <c r="CP41">
        <v>8575408.7669587694</v>
      </c>
      <c r="CQ41">
        <v>2396194.1678283801</v>
      </c>
      <c r="CR41">
        <v>5445895.8359735999</v>
      </c>
      <c r="CS41">
        <v>2396194.1678283801</v>
      </c>
      <c r="CT41">
        <v>5445895.8359735999</v>
      </c>
      <c r="CU41">
        <v>3773179.8574618599</v>
      </c>
      <c r="CV41">
        <v>8575408.7669587694</v>
      </c>
      <c r="CW41">
        <v>3773179.8574618599</v>
      </c>
      <c r="CX41">
        <v>8575408.7669587694</v>
      </c>
      <c r="CY41">
        <v>2396194.1678283801</v>
      </c>
      <c r="CZ41">
        <v>5445895.8359735999</v>
      </c>
      <c r="DA41">
        <v>2396194.1678283801</v>
      </c>
      <c r="DB41">
        <v>5445895.8359735999</v>
      </c>
      <c r="DC41">
        <v>19459023.5309093</v>
      </c>
      <c r="DD41">
        <v>44225053.479339302</v>
      </c>
      <c r="DE41">
        <v>19459023.5309093</v>
      </c>
      <c r="DF41">
        <v>44225053.479339302</v>
      </c>
      <c r="DG41">
        <v>19459023.5309093</v>
      </c>
      <c r="DH41">
        <v>44225053.479339302</v>
      </c>
      <c r="DI41">
        <v>3215778.2876095399</v>
      </c>
      <c r="DJ41">
        <v>6431556.5752190799</v>
      </c>
      <c r="DK41">
        <v>3215778.2876095399</v>
      </c>
      <c r="DL41">
        <v>6431556.5752190799</v>
      </c>
      <c r="DM41">
        <v>2042210.9384901</v>
      </c>
      <c r="DN41">
        <v>4084421.8769801999</v>
      </c>
      <c r="DO41">
        <v>2042210.9384901</v>
      </c>
      <c r="DP41">
        <v>4084421.8769801999</v>
      </c>
      <c r="DQ41">
        <v>3215778.2876095399</v>
      </c>
      <c r="DR41">
        <v>6431556.5752190799</v>
      </c>
      <c r="DS41">
        <v>3215778.2876095399</v>
      </c>
      <c r="DT41">
        <v>6431556.5752190799</v>
      </c>
      <c r="DU41">
        <v>2042210.9384901</v>
      </c>
      <c r="DV41">
        <v>4084421.8769801999</v>
      </c>
      <c r="DW41">
        <v>2042210.9384901</v>
      </c>
      <c r="DX41">
        <v>4084421.8769801999</v>
      </c>
      <c r="DY41">
        <v>3215778.2876095399</v>
      </c>
      <c r="DZ41">
        <v>6431556.5752190799</v>
      </c>
      <c r="EA41">
        <v>3215778.2876095399</v>
      </c>
      <c r="EB41">
        <v>6431556.5752190799</v>
      </c>
      <c r="EC41">
        <v>2042210.9384901</v>
      </c>
      <c r="ED41">
        <v>4084421.8769801999</v>
      </c>
      <c r="EE41">
        <v>2042210.9384901</v>
      </c>
      <c r="EF41">
        <v>4084421.8769801999</v>
      </c>
      <c r="EG41">
        <v>16584395.054752201</v>
      </c>
      <c r="EH41">
        <v>33168790.109504402</v>
      </c>
      <c r="EI41">
        <v>16584395.054752201</v>
      </c>
      <c r="EJ41">
        <v>33168790.109504402</v>
      </c>
      <c r="EK41">
        <v>16584395.054752201</v>
      </c>
      <c r="EL41">
        <v>33168790.109504402</v>
      </c>
      <c r="EM41">
        <v>3495.63173270374</v>
      </c>
      <c r="EN41">
        <v>2302.5844324679501</v>
      </c>
      <c r="EO41">
        <v>3814.9257795604199</v>
      </c>
      <c r="EP41">
        <v>9487.4591631825006</v>
      </c>
      <c r="EQ41">
        <v>0</v>
      </c>
      <c r="ER41">
        <v>3735.5214724215102</v>
      </c>
      <c r="ES41">
        <v>2470.1314377111698</v>
      </c>
      <c r="ET41">
        <v>4097.8659551303299</v>
      </c>
      <c r="EU41">
        <v>34.143859580057899</v>
      </c>
      <c r="EV41">
        <v>10107.7131128575</v>
      </c>
      <c r="EW41">
        <v>0</v>
      </c>
      <c r="EX41">
        <v>3699.2980315796299</v>
      </c>
      <c r="EY41">
        <v>7.1415553452372</v>
      </c>
      <c r="EZ41">
        <v>2450.11276465437</v>
      </c>
      <c r="FA41">
        <v>4057.7857734448698</v>
      </c>
      <c r="FB41">
        <v>34.157263563212602</v>
      </c>
      <c r="FC41">
        <v>10038.3581292052</v>
      </c>
      <c r="FD41">
        <v>0</v>
      </c>
      <c r="FE41">
        <v>0</v>
      </c>
      <c r="FF41">
        <v>0</v>
      </c>
      <c r="FG41">
        <v>0</v>
      </c>
      <c r="FH41">
        <v>0</v>
      </c>
      <c r="FI41">
        <v>0</v>
      </c>
      <c r="FJ41">
        <v>0</v>
      </c>
      <c r="FK41">
        <v>0</v>
      </c>
      <c r="FL41">
        <v>0</v>
      </c>
      <c r="FM41">
        <v>0</v>
      </c>
      <c r="FN41">
        <v>0</v>
      </c>
      <c r="FO41">
        <v>2.45251372506161E-2</v>
      </c>
      <c r="FP41">
        <v>0</v>
      </c>
      <c r="FQ41">
        <v>3.7712464405102401E-3</v>
      </c>
      <c r="FR41">
        <v>0</v>
      </c>
      <c r="FS41">
        <v>10038.3581292052</v>
      </c>
      <c r="FT41">
        <v>0</v>
      </c>
      <c r="FU41">
        <v>2862.6774799079799</v>
      </c>
      <c r="FV41">
        <v>0</v>
      </c>
      <c r="FW41">
        <v>0</v>
      </c>
      <c r="FX41">
        <v>2.19939394014588E-3</v>
      </c>
      <c r="FY41">
        <v>2.45251372506161E-2</v>
      </c>
      <c r="FZ41">
        <v>0</v>
      </c>
      <c r="GA41">
        <v>3.7712464405102401E-3</v>
      </c>
      <c r="GB41">
        <v>205.949683592931</v>
      </c>
      <c r="GC41">
        <v>207.34059894911201</v>
      </c>
      <c r="GD41">
        <v>126.879686554548</v>
      </c>
      <c r="GE41">
        <v>119.716038579894</v>
      </c>
      <c r="GF41">
        <v>146.36261208337501</v>
      </c>
      <c r="GG41">
        <v>101.711541139289</v>
      </c>
      <c r="GH41">
        <v>228.516601690394</v>
      </c>
      <c r="GI41">
        <v>228.773364472016</v>
      </c>
      <c r="GJ41">
        <v>149.205734753819</v>
      </c>
      <c r="GK41">
        <v>305.87237103249697</v>
      </c>
      <c r="GL41">
        <v>369.89494525937602</v>
      </c>
      <c r="GM41">
        <v>471.87337506630399</v>
      </c>
      <c r="GN41">
        <v>50.212778946411802</v>
      </c>
      <c r="GO41">
        <v>25.5820159112277</v>
      </c>
      <c r="GP41">
        <v>25.995296782367799</v>
      </c>
      <c r="GQ41">
        <v>1.83560170222189</v>
      </c>
      <c r="GR41">
        <v>-135.87564267459399</v>
      </c>
      <c r="GS41">
        <v>-783.92995684398397</v>
      </c>
      <c r="GT41">
        <v>44.893969622751399</v>
      </c>
      <c r="GU41">
        <v>25.882776849182001</v>
      </c>
      <c r="GV41">
        <v>26.258827791419002</v>
      </c>
      <c r="GW41">
        <v>7.4077009150453303</v>
      </c>
      <c r="GX41">
        <v>-66.743006533434297</v>
      </c>
      <c r="GY41">
        <v>-468.45357709011103</v>
      </c>
      <c r="GZ41">
        <v>89.735538893131903</v>
      </c>
      <c r="HA41">
        <v>25.8307315463347</v>
      </c>
      <c r="HB41">
        <v>26.299332832476399</v>
      </c>
      <c r="HC41">
        <v>3.08496311579905</v>
      </c>
      <c r="HD41">
        <v>-175.627953710821</v>
      </c>
      <c r="HE41">
        <v>-992.74677091398303</v>
      </c>
      <c r="HF41">
        <v>102.061151267588</v>
      </c>
      <c r="HG41">
        <v>25.955569432854599</v>
      </c>
      <c r="HH41">
        <v>26.725540331855299</v>
      </c>
      <c r="HI41">
        <v>120.414668150805</v>
      </c>
      <c r="HJ41">
        <v>-6.9284089342468196</v>
      </c>
      <c r="HK41">
        <v>-596.54139105924901</v>
      </c>
      <c r="HL41">
        <v>323.46262503353103</v>
      </c>
      <c r="HM41">
        <v>26.334235946932399</v>
      </c>
      <c r="HN41">
        <v>25.960879246039202</v>
      </c>
      <c r="HO41">
        <v>252.78509345850901</v>
      </c>
      <c r="HP41">
        <v>98.822033020678205</v>
      </c>
      <c r="HQ41">
        <v>26.435663623348699</v>
      </c>
      <c r="HR41">
        <v>178.44328942390001</v>
      </c>
      <c r="HS41">
        <v>250.21916462800101</v>
      </c>
      <c r="HT41">
        <v>26.430062416840801</v>
      </c>
      <c r="HU41">
        <v>26.036425646460302</v>
      </c>
      <c r="HV41">
        <v>160.65533917788201</v>
      </c>
      <c r="HW41">
        <v>118.500822941579</v>
      </c>
      <c r="HX41">
        <v>26.595839501244999</v>
      </c>
      <c r="HY41">
        <v>133.14182522451699</v>
      </c>
      <c r="HZ41">
        <v>26.523153837690302</v>
      </c>
      <c r="IA41">
        <v>26.0732564159063</v>
      </c>
      <c r="IB41">
        <v>254.70349330623699</v>
      </c>
      <c r="IC41">
        <v>456.12385895328202</v>
      </c>
      <c r="ID41">
        <v>154.05948417063999</v>
      </c>
      <c r="IE41">
        <v>26.657484563431002</v>
      </c>
      <c r="IF41">
        <v>194.12079645737401</v>
      </c>
      <c r="IG41">
        <v>64.777273620938502</v>
      </c>
      <c r="IH41">
        <v>27.437317578764699</v>
      </c>
      <c r="II41">
        <v>26.466986527439499</v>
      </c>
      <c r="IJ41">
        <v>213.35039085108599</v>
      </c>
      <c r="IK41">
        <v>68.580079493698193</v>
      </c>
      <c r="IL41">
        <v>378.54730291657597</v>
      </c>
      <c r="IM41">
        <v>222.91235744974099</v>
      </c>
      <c r="IN41">
        <v>27.682272055172302</v>
      </c>
      <c r="IO41">
        <v>0.62708721439781301</v>
      </c>
      <c r="IP41">
        <v>233.49619821799499</v>
      </c>
      <c r="IQ41">
        <v>251.48760722759701</v>
      </c>
      <c r="IR41">
        <v>161.01847231036999</v>
      </c>
      <c r="IS41">
        <v>279.36165394605001</v>
      </c>
      <c r="IT41">
        <v>223.84942265784699</v>
      </c>
      <c r="IU41">
        <v>173.250500107302</v>
      </c>
      <c r="IV41">
        <v>70.800330382869404</v>
      </c>
      <c r="IW41">
        <v>25.789101678572699</v>
      </c>
      <c r="IX41">
        <v>26.435663623348699</v>
      </c>
      <c r="IY41">
        <v>111.36554336832199</v>
      </c>
      <c r="IZ41">
        <v>-37.227930065907699</v>
      </c>
      <c r="JA41">
        <v>-777.61839448065098</v>
      </c>
      <c r="JB41">
        <v>62.4680342434091</v>
      </c>
      <c r="JC41">
        <v>26.003801839584799</v>
      </c>
      <c r="JD41">
        <v>26.595839501244999</v>
      </c>
      <c r="JE41">
        <v>99.788302074259306</v>
      </c>
      <c r="JF41">
        <v>0.75337909220553101</v>
      </c>
      <c r="JG41">
        <v>-417.66657922360503</v>
      </c>
      <c r="JH41">
        <v>117.282986718375</v>
      </c>
      <c r="JI41">
        <v>25.973831456053102</v>
      </c>
      <c r="JJ41">
        <v>26.657484563431002</v>
      </c>
      <c r="JK41">
        <v>134.35282477190901</v>
      </c>
      <c r="JL41">
        <v>-40.535508951631797</v>
      </c>
      <c r="JM41">
        <v>-911.17157108929405</v>
      </c>
      <c r="JN41">
        <v>114.48565412633501</v>
      </c>
      <c r="JO41">
        <v>26.3981318897285</v>
      </c>
      <c r="JP41">
        <v>27.682272055172302</v>
      </c>
      <c r="JQ41">
        <v>1.5603419022207701</v>
      </c>
      <c r="JR41">
        <v>254.585476932679</v>
      </c>
      <c r="JS41">
        <v>0.42009113268071102</v>
      </c>
      <c r="JT41">
        <v>11.0876655132639</v>
      </c>
      <c r="JU41">
        <v>-710.94725217185203</v>
      </c>
      <c r="JV41">
        <v>390.67053045027001</v>
      </c>
      <c r="JW41">
        <v>359.91218077322702</v>
      </c>
      <c r="JX41">
        <v>484.51480469618599</v>
      </c>
      <c r="JY41">
        <v>291.79029275661702</v>
      </c>
      <c r="JZ41">
        <v>276.90704081170099</v>
      </c>
      <c r="KA41">
        <v>319.862878328921</v>
      </c>
      <c r="KB41">
        <v>524.45431527104404</v>
      </c>
      <c r="KC41">
        <v>381.27094416490303</v>
      </c>
      <c r="KD41">
        <v>513.64836969344901</v>
      </c>
      <c r="KE41">
        <v>424.39227835270202</v>
      </c>
      <c r="KF41">
        <v>38.639950510706399</v>
      </c>
      <c r="KG41">
        <v>1735.6426511889799</v>
      </c>
      <c r="KH41">
        <v>0.58957520842660605</v>
      </c>
      <c r="KI41">
        <v>282.470582405784</v>
      </c>
      <c r="KJ41">
        <v>456.96371472633399</v>
      </c>
      <c r="KK41">
        <v>208.687676403865</v>
      </c>
      <c r="KL41">
        <v>28.256319723951201</v>
      </c>
      <c r="KM41">
        <v>27.595518331510402</v>
      </c>
      <c r="KN41">
        <v>707.19920410606301</v>
      </c>
      <c r="KO41">
        <v>29.5813256889565</v>
      </c>
      <c r="KP41">
        <v>62.476591528184997</v>
      </c>
      <c r="KQ41">
        <v>756.20080169394896</v>
      </c>
      <c r="KR41">
        <v>2165.8563625493298</v>
      </c>
      <c r="KS41">
        <v>152.49732395448399</v>
      </c>
      <c r="KT41">
        <v>28.297883499530101</v>
      </c>
      <c r="KU41">
        <v>27.6652466927464</v>
      </c>
      <c r="KV41">
        <v>468.80056481444097</v>
      </c>
      <c r="KW41">
        <v>29.6151173340849</v>
      </c>
      <c r="KX41">
        <v>62.215292363595303</v>
      </c>
      <c r="KY41">
        <v>490.592919277193</v>
      </c>
      <c r="KZ41">
        <v>1369.9851173638599</v>
      </c>
      <c r="LA41">
        <v>266.181373898809</v>
      </c>
      <c r="LB41">
        <v>28.456026727379701</v>
      </c>
      <c r="LC41">
        <v>27.8157274153304</v>
      </c>
      <c r="LD41">
        <v>769.623884035537</v>
      </c>
      <c r="LE41">
        <v>29.772657360344201</v>
      </c>
      <c r="LF41">
        <v>62.479582888343799</v>
      </c>
      <c r="LG41">
        <v>790.69086386613003</v>
      </c>
      <c r="LH41">
        <v>2154.5673593914698</v>
      </c>
      <c r="LI41">
        <v>222.162453729503</v>
      </c>
      <c r="LJ41">
        <v>28.5889183496916</v>
      </c>
      <c r="LK41">
        <v>28.6512750276083</v>
      </c>
      <c r="LL41">
        <v>723.22177803812497</v>
      </c>
      <c r="LM41">
        <v>29.659599314714299</v>
      </c>
      <c r="LN41">
        <v>61.162567329002798</v>
      </c>
      <c r="LO41">
        <v>587.27370267175604</v>
      </c>
      <c r="LP41">
        <v>1290.87094298548</v>
      </c>
      <c r="LQ41">
        <v>97.309655282389002</v>
      </c>
      <c r="LR41">
        <v>20.014329595515001</v>
      </c>
      <c r="LS41">
        <v>16.420999999999999</v>
      </c>
      <c r="LT41">
        <v>343.02424860233702</v>
      </c>
      <c r="LU41">
        <v>-1265.04734137127</v>
      </c>
      <c r="LV41">
        <v>21.601386478019801</v>
      </c>
      <c r="LW41">
        <v>24.699808492631799</v>
      </c>
      <c r="LX41">
        <v>877.056390495389</v>
      </c>
      <c r="LY41">
        <v>72.625447653174504</v>
      </c>
      <c r="LZ41">
        <v>20.113908104354099</v>
      </c>
      <c r="MA41">
        <v>16.420999999999999</v>
      </c>
      <c r="MB41">
        <v>239.046682332692</v>
      </c>
      <c r="MC41">
        <v>-828.71681994404696</v>
      </c>
      <c r="MD41">
        <v>21.772403092535001</v>
      </c>
      <c r="ME41">
        <v>24.945275545520399</v>
      </c>
      <c r="MF41">
        <v>591.43365806313795</v>
      </c>
      <c r="MG41">
        <v>127.428973833665</v>
      </c>
      <c r="MH41">
        <v>20.039077069599301</v>
      </c>
      <c r="MI41">
        <v>16.420999999999999</v>
      </c>
      <c r="MJ41">
        <v>350.86943582451602</v>
      </c>
      <c r="MK41">
        <v>-1385.3539771365299</v>
      </c>
      <c r="ML41">
        <v>21.727940562045301</v>
      </c>
      <c r="MM41">
        <v>24.9777585751402</v>
      </c>
      <c r="MN41">
        <v>921.656173910392</v>
      </c>
      <c r="MO41">
        <v>107.98854179300599</v>
      </c>
      <c r="MP41">
        <v>20.045805355517999</v>
      </c>
      <c r="MQ41">
        <v>16.420999999999999</v>
      </c>
      <c r="MR41">
        <v>353.57858481162702</v>
      </c>
      <c r="MS41">
        <v>-777.49960955738095</v>
      </c>
      <c r="MT41">
        <v>21.776756170994801</v>
      </c>
      <c r="MU41">
        <v>25.519380500522299</v>
      </c>
      <c r="MV41">
        <v>702.867955364046</v>
      </c>
      <c r="MW41">
        <v>127.38095886559</v>
      </c>
      <c r="MX41">
        <v>23.032912512458299</v>
      </c>
      <c r="MY41">
        <v>25.054082694220199</v>
      </c>
      <c r="MZ41">
        <v>1544.23946335613</v>
      </c>
      <c r="NA41">
        <v>1319.9421644542001</v>
      </c>
      <c r="NB41">
        <v>23.284263441465399</v>
      </c>
      <c r="NC41">
        <v>25.714068603491398</v>
      </c>
      <c r="ND41">
        <v>1618.5406399503099</v>
      </c>
      <c r="NE41">
        <v>92.833996188040103</v>
      </c>
      <c r="NF41">
        <v>23.204995232030502</v>
      </c>
      <c r="NG41">
        <v>25.380338955882301</v>
      </c>
      <c r="NH41">
        <v>1050.37306368695</v>
      </c>
      <c r="NI41">
        <v>938.192701200839</v>
      </c>
      <c r="NJ41">
        <v>23.411508852408002</v>
      </c>
      <c r="NK41">
        <v>25.8310065875243</v>
      </c>
      <c r="NL41">
        <v>1077.3113743343499</v>
      </c>
      <c r="NM41">
        <v>154.829368319211</v>
      </c>
      <c r="NN41">
        <v>23.005630875352601</v>
      </c>
      <c r="NO41">
        <v>25.191568669364599</v>
      </c>
      <c r="NP41">
        <v>1585.7519002225799</v>
      </c>
      <c r="NQ41">
        <v>1276.49374664938</v>
      </c>
      <c r="NR41">
        <v>23.319947163985699</v>
      </c>
      <c r="NS41">
        <v>25.8801376697132</v>
      </c>
      <c r="NT41">
        <v>1695.45668467418</v>
      </c>
      <c r="NU41">
        <v>129.32149431408499</v>
      </c>
      <c r="NV41">
        <v>22.968907903466501</v>
      </c>
      <c r="NW41">
        <v>25.2177423438091</v>
      </c>
      <c r="NX41">
        <v>2.82618424346995</v>
      </c>
      <c r="NY41">
        <v>1196.40777458105</v>
      </c>
      <c r="NZ41">
        <v>934.24245095564902</v>
      </c>
      <c r="OA41">
        <v>23.382360964459298</v>
      </c>
      <c r="OB41">
        <v>26.833877357895901</v>
      </c>
      <c r="OC41">
        <v>2.6893508015685899</v>
      </c>
      <c r="OD41">
        <v>1294.0732050664501</v>
      </c>
      <c r="OE41">
        <v>2.82618424346995</v>
      </c>
      <c r="OF41">
        <v>2.6893508015685899</v>
      </c>
      <c r="OG41">
        <v>125.516998706865</v>
      </c>
      <c r="OH41">
        <v>22.967447074990801</v>
      </c>
      <c r="OI41">
        <v>25.1547645944311</v>
      </c>
      <c r="OJ41">
        <v>1711.65494201662</v>
      </c>
      <c r="OK41">
        <v>1502.1118293566699</v>
      </c>
      <c r="OL41">
        <v>23.201669592779101</v>
      </c>
      <c r="OM41">
        <v>25.9346398183242</v>
      </c>
      <c r="ON41">
        <v>1879.02731893233</v>
      </c>
      <c r="OO41">
        <v>91.449644461840506</v>
      </c>
      <c r="OP41">
        <v>23.157923912171398</v>
      </c>
      <c r="OQ41">
        <v>25.454894980050899</v>
      </c>
      <c r="OR41">
        <v>1168.99066698043</v>
      </c>
      <c r="OS41">
        <v>1074.33704077568</v>
      </c>
      <c r="OT41">
        <v>23.335047335294998</v>
      </c>
      <c r="OU41">
        <v>26.038073675867398</v>
      </c>
      <c r="OV41">
        <v>1249.84658984207</v>
      </c>
      <c r="OW41">
        <v>151.98812865870701</v>
      </c>
      <c r="OX41">
        <v>22.952111994326401</v>
      </c>
      <c r="OY41">
        <v>25.2638021678892</v>
      </c>
      <c r="OZ41">
        <v>1757.3236120633001</v>
      </c>
      <c r="PA41">
        <v>1461.1043332469701</v>
      </c>
      <c r="PB41">
        <v>23.2520772462757</v>
      </c>
      <c r="PC41">
        <v>26.124226009072899</v>
      </c>
      <c r="PD41">
        <v>1971.1657214418501</v>
      </c>
      <c r="PE41">
        <v>125.52720472505</v>
      </c>
      <c r="PF41">
        <v>22.8926000966987</v>
      </c>
      <c r="PG41">
        <v>25.4204048447417</v>
      </c>
      <c r="PH41">
        <v>3.1922482493973598</v>
      </c>
      <c r="PI41">
        <v>1303.5949503157201</v>
      </c>
      <c r="PJ41">
        <v>1055.9859582638801</v>
      </c>
      <c r="PK41">
        <v>23.279539723345401</v>
      </c>
      <c r="PL41">
        <v>27.0561518019137</v>
      </c>
      <c r="PM41">
        <v>3.19649674986267</v>
      </c>
      <c r="PN41">
        <v>1478.41767446894</v>
      </c>
      <c r="PO41">
        <v>25.864084451229299</v>
      </c>
      <c r="PP41">
        <v>26.1746443918206</v>
      </c>
      <c r="PQ41">
        <v>26.268781801506599</v>
      </c>
      <c r="PR41">
        <v>27.2300996146414</v>
      </c>
      <c r="PS41">
        <v>24.933473622715201</v>
      </c>
      <c r="PT41">
        <v>26.486497093834799</v>
      </c>
      <c r="PU41">
        <v>26.6726023967346</v>
      </c>
      <c r="PV41">
        <v>26.7801267341979</v>
      </c>
      <c r="PW41">
        <v>28.272281743623299</v>
      </c>
      <c r="PX41">
        <v>25.328133146774899</v>
      </c>
      <c r="PY41">
        <v>27.0092632101642</v>
      </c>
      <c r="PZ41">
        <v>27.147356026474199</v>
      </c>
      <c r="QA41">
        <v>27.2979857069144</v>
      </c>
      <c r="QB41">
        <v>28.688744167772299</v>
      </c>
      <c r="QC41">
        <v>26.272698903153302</v>
      </c>
      <c r="QD41">
        <v>21.673357111659701</v>
      </c>
      <c r="QE41">
        <v>26.7155495045096</v>
      </c>
      <c r="QF41">
        <v>26.781483527950201</v>
      </c>
      <c r="QG41">
        <v>27.1008920561965</v>
      </c>
      <c r="QH41">
        <v>28.407624416692801</v>
      </c>
      <c r="QI41">
        <v>25.016682531120999</v>
      </c>
      <c r="QJ41">
        <v>26.116572344577602</v>
      </c>
      <c r="QK41">
        <v>26.239226797152799</v>
      </c>
      <c r="QL41">
        <v>26.372685218562602</v>
      </c>
      <c r="QM41">
        <v>27.695184070597399</v>
      </c>
      <c r="QN41">
        <v>3450.6644061839802</v>
      </c>
      <c r="QO41">
        <v>25.0939858327793</v>
      </c>
      <c r="QP41">
        <v>3496.2830181218001</v>
      </c>
      <c r="QQ41">
        <v>26.396270544790699</v>
      </c>
      <c r="QR41">
        <v>26.480777317565</v>
      </c>
      <c r="QS41">
        <v>26.6231934517774</v>
      </c>
      <c r="QT41">
        <v>27.842857586547002</v>
      </c>
      <c r="QU41">
        <v>25.5898961890287</v>
      </c>
      <c r="QV41">
        <v>18.197376917388901</v>
      </c>
      <c r="QW41">
        <v>0</v>
      </c>
      <c r="QX41">
        <v>427655.632486886</v>
      </c>
      <c r="QY41">
        <v>0</v>
      </c>
      <c r="QZ41">
        <v>289298.74427444598</v>
      </c>
      <c r="RA41">
        <v>0</v>
      </c>
      <c r="RB41">
        <v>93840.917062859895</v>
      </c>
      <c r="RC41">
        <v>0</v>
      </c>
      <c r="RD41">
        <v>62292.511741962102</v>
      </c>
      <c r="RE41">
        <v>0</v>
      </c>
      <c r="RF41">
        <v>140875.793511269</v>
      </c>
      <c r="RG41">
        <v>0</v>
      </c>
      <c r="RH41">
        <v>94155.381778575305</v>
      </c>
      <c r="RI41">
        <v>0</v>
      </c>
      <c r="RJ41">
        <v>5263.6487657829603</v>
      </c>
      <c r="RK41">
        <v>27.5670145577899</v>
      </c>
      <c r="RL41">
        <v>-5239.1025555706001</v>
      </c>
      <c r="RM41">
        <v>-11516.323787740699</v>
      </c>
      <c r="RN41">
        <v>-5239.1025555706001</v>
      </c>
      <c r="RO41">
        <v>0</v>
      </c>
      <c r="RP41">
        <v>3635.28135091493</v>
      </c>
      <c r="RQ41">
        <v>27.388322664079801</v>
      </c>
      <c r="RR41">
        <v>-3629.4850735044702</v>
      </c>
      <c r="RS41">
        <v>-7762.2027146958699</v>
      </c>
      <c r="RT41">
        <v>-3629.4850735044702</v>
      </c>
      <c r="RU41">
        <v>0</v>
      </c>
      <c r="RV41">
        <v>5637.6073860586503</v>
      </c>
      <c r="RW41">
        <v>27.933002310886401</v>
      </c>
      <c r="RX41">
        <v>-5607.1224972745204</v>
      </c>
      <c r="RY41">
        <v>-11735.431028958399</v>
      </c>
      <c r="RZ41">
        <v>-5607.1224972745204</v>
      </c>
      <c r="SA41">
        <v>0</v>
      </c>
      <c r="SB41">
        <v>6330.2439281318602</v>
      </c>
      <c r="SC41">
        <v>29.585149218744199</v>
      </c>
      <c r="SD41">
        <v>-6277.1348287971596</v>
      </c>
      <c r="SE41">
        <v>-9327.4785751494092</v>
      </c>
      <c r="SF41">
        <v>-6277.1348287971596</v>
      </c>
      <c r="SG41">
        <v>0</v>
      </c>
      <c r="SH41">
        <v>18131.8643155584</v>
      </c>
      <c r="SI41">
        <v>25.0998914395269</v>
      </c>
      <c r="SJ41">
        <v>-18205.756794116402</v>
      </c>
      <c r="SK41">
        <v>-40261.328611342396</v>
      </c>
      <c r="SL41">
        <v>-18205.756794116402</v>
      </c>
      <c r="SM41">
        <v>21.1111</v>
      </c>
      <c r="SN41">
        <v>23.8889</v>
      </c>
      <c r="SO41">
        <v>71.228462059932099</v>
      </c>
      <c r="SP41">
        <v>0</v>
      </c>
      <c r="SQ41">
        <v>25.578789063622001</v>
      </c>
      <c r="SR41">
        <v>0</v>
      </c>
      <c r="SS41">
        <v>0</v>
      </c>
      <c r="ST41">
        <v>0</v>
      </c>
      <c r="SU41">
        <v>3.4729813919734598</v>
      </c>
      <c r="SV41">
        <v>4.7764908352060003</v>
      </c>
      <c r="SW41">
        <v>25.800123263248501</v>
      </c>
      <c r="SX41">
        <v>0</v>
      </c>
      <c r="SY41">
        <v>0</v>
      </c>
      <c r="SZ41">
        <v>0</v>
      </c>
      <c r="TA41">
        <v>81.9662022659477</v>
      </c>
      <c r="TB41">
        <v>0</v>
      </c>
      <c r="TC41">
        <v>25.831857752844499</v>
      </c>
      <c r="TD41">
        <v>0</v>
      </c>
      <c r="TE41">
        <v>0</v>
      </c>
      <c r="TF41">
        <v>0</v>
      </c>
      <c r="TG41">
        <v>0</v>
      </c>
      <c r="TH41">
        <v>222.251676419783</v>
      </c>
      <c r="TI41">
        <v>25.330440134597399</v>
      </c>
      <c r="TJ41">
        <v>0</v>
      </c>
      <c r="TK41">
        <v>0</v>
      </c>
      <c r="TL41">
        <v>0</v>
      </c>
      <c r="TM41">
        <v>1788.2876637789</v>
      </c>
      <c r="TN41">
        <v>0</v>
      </c>
      <c r="TO41">
        <v>25.213449184162101</v>
      </c>
      <c r="TP41">
        <v>0</v>
      </c>
      <c r="TQ41">
        <v>0</v>
      </c>
      <c r="TR41">
        <v>0</v>
      </c>
      <c r="TS41">
        <v>0</v>
      </c>
      <c r="TT41">
        <v>6538.6308180768001</v>
      </c>
      <c r="TU41">
        <v>25.7466475953204</v>
      </c>
      <c r="TV41">
        <v>-6520.0681144109403</v>
      </c>
      <c r="TW41">
        <v>-13869.607968804799</v>
      </c>
      <c r="TX41">
        <v>-6520.0681144109403</v>
      </c>
      <c r="TY41">
        <v>0</v>
      </c>
      <c r="TZ41">
        <v>4435.8408568281302</v>
      </c>
      <c r="UA41">
        <v>25.805851197570998</v>
      </c>
      <c r="UB41">
        <v>-4425.7165722933596</v>
      </c>
      <c r="UC41">
        <v>-9050.8866525644098</v>
      </c>
      <c r="UD41">
        <v>-4425.7165722933596</v>
      </c>
      <c r="UE41">
        <v>0</v>
      </c>
      <c r="UF41">
        <v>6939.9099184039596</v>
      </c>
      <c r="UG41">
        <v>25.9652437029272</v>
      </c>
      <c r="UH41">
        <v>-6910.3829416414401</v>
      </c>
      <c r="UI41">
        <v>-14002.7541718134</v>
      </c>
      <c r="UJ41">
        <v>-6910.3829416414401</v>
      </c>
      <c r="UK41">
        <v>0</v>
      </c>
      <c r="UL41">
        <v>7610.0602159385999</v>
      </c>
      <c r="UM41">
        <v>27.118086397571499</v>
      </c>
      <c r="UN41">
        <v>-7540.6217443126998</v>
      </c>
      <c r="UO41">
        <v>-11200.989321669</v>
      </c>
      <c r="UP41">
        <v>-7540.6217443126998</v>
      </c>
      <c r="UQ41">
        <v>0</v>
      </c>
      <c r="UR41">
        <v>20390.648622168701</v>
      </c>
      <c r="US41">
        <v>24.859838518783601</v>
      </c>
      <c r="UT41">
        <v>-20454.002144283801</v>
      </c>
      <c r="UU41">
        <v>-42930.016104178903</v>
      </c>
      <c r="UV41">
        <v>-20454.002144283801</v>
      </c>
      <c r="UW41">
        <v>21.1111</v>
      </c>
      <c r="UX41">
        <v>23.8889</v>
      </c>
      <c r="UY41">
        <v>0</v>
      </c>
      <c r="UZ41">
        <v>183.22973573639899</v>
      </c>
      <c r="VA41">
        <v>25.356997336775201</v>
      </c>
      <c r="VB41">
        <v>0</v>
      </c>
      <c r="VC41">
        <v>0</v>
      </c>
      <c r="VD41">
        <v>0</v>
      </c>
      <c r="VE41">
        <v>0</v>
      </c>
      <c r="VF41">
        <v>191.71495214438301</v>
      </c>
      <c r="VG41">
        <v>25.4424982553635</v>
      </c>
      <c r="VH41">
        <v>0</v>
      </c>
      <c r="VI41">
        <v>0</v>
      </c>
      <c r="VJ41">
        <v>0</v>
      </c>
      <c r="VK41">
        <v>0</v>
      </c>
      <c r="VL41">
        <v>243.18343428699501</v>
      </c>
      <c r="VM41">
        <v>25.485848916841999</v>
      </c>
      <c r="VN41">
        <v>0</v>
      </c>
      <c r="VO41">
        <v>0</v>
      </c>
      <c r="VP41">
        <v>0</v>
      </c>
      <c r="VQ41">
        <v>0</v>
      </c>
      <c r="VR41">
        <v>397.90140925651002</v>
      </c>
      <c r="VS41">
        <v>25.276733506911</v>
      </c>
      <c r="VT41">
        <v>0</v>
      </c>
      <c r="VU41">
        <v>0</v>
      </c>
      <c r="VV41">
        <v>0</v>
      </c>
      <c r="VW41">
        <v>1157.7366195719901</v>
      </c>
      <c r="VX41">
        <v>0</v>
      </c>
      <c r="VY41">
        <v>25.2041492718661</v>
      </c>
      <c r="VZ41">
        <v>0</v>
      </c>
      <c r="WA41">
        <v>0</v>
      </c>
      <c r="WB41">
        <v>0</v>
      </c>
      <c r="WC41">
        <v>0</v>
      </c>
      <c r="WD41">
        <v>7425.4568527144402</v>
      </c>
      <c r="WE41">
        <v>25.783277879417302</v>
      </c>
      <c r="WF41">
        <v>-7403.77016994103</v>
      </c>
      <c r="WG41">
        <v>-14704.9064879173</v>
      </c>
      <c r="WH41">
        <v>-7403.77016994103</v>
      </c>
      <c r="WI41">
        <v>17940113.2926291</v>
      </c>
      <c r="WJ41">
        <v>0</v>
      </c>
      <c r="WK41">
        <v>4983.3648035080896</v>
      </c>
      <c r="WL41">
        <v>25.814198608655801</v>
      </c>
      <c r="WM41">
        <v>-4970.3514029616899</v>
      </c>
      <c r="WN41">
        <v>-9575.4690034390496</v>
      </c>
      <c r="WO41">
        <v>-4970.3514029616899</v>
      </c>
      <c r="WP41">
        <v>18.333300000000001</v>
      </c>
      <c r="WQ41">
        <v>23.8889</v>
      </c>
      <c r="WR41">
        <v>0</v>
      </c>
      <c r="WS41">
        <v>7865.7006472210496</v>
      </c>
      <c r="WT41">
        <v>25.9484011966404</v>
      </c>
      <c r="WU41">
        <v>-7844.0835781490396</v>
      </c>
      <c r="WV41">
        <v>-14971.793455713499</v>
      </c>
      <c r="WW41">
        <v>-7844.0835781490396</v>
      </c>
      <c r="WX41">
        <v>29318372.409522701</v>
      </c>
      <c r="WY41">
        <v>0</v>
      </c>
      <c r="WZ41">
        <v>8143.9923359785298</v>
      </c>
      <c r="XA41">
        <v>26.996971005321601</v>
      </c>
      <c r="XB41">
        <v>-8082.2796533923402</v>
      </c>
      <c r="XC41">
        <v>-11793.041766131701</v>
      </c>
      <c r="XD41">
        <v>-8082.2796533923402</v>
      </c>
      <c r="XE41">
        <v>0</v>
      </c>
      <c r="XF41">
        <v>25437.172970883501</v>
      </c>
      <c r="XG41">
        <v>24.907093474903998</v>
      </c>
      <c r="XH41">
        <v>-25506.179883534602</v>
      </c>
      <c r="XI41">
        <v>-47846.177925053198</v>
      </c>
      <c r="XJ41">
        <v>-25506.179883534602</v>
      </c>
      <c r="XK41">
        <v>21.1111</v>
      </c>
      <c r="XL41">
        <v>23.8889</v>
      </c>
      <c r="XM41">
        <v>0</v>
      </c>
      <c r="XN41">
        <v>2071.6375645529902</v>
      </c>
      <c r="XO41">
        <v>26.5021959307389</v>
      </c>
      <c r="XP41">
        <v>0</v>
      </c>
      <c r="XQ41">
        <v>0</v>
      </c>
      <c r="XR41">
        <v>0</v>
      </c>
      <c r="XS41">
        <v>0</v>
      </c>
      <c r="XT41">
        <v>1380.2816548066401</v>
      </c>
      <c r="XU41">
        <v>26.484988284421899</v>
      </c>
      <c r="XV41">
        <v>0</v>
      </c>
      <c r="XW41">
        <v>0</v>
      </c>
      <c r="XX41">
        <v>0</v>
      </c>
      <c r="XY41">
        <v>0</v>
      </c>
      <c r="XZ41">
        <v>2217.6772800840699</v>
      </c>
      <c r="YA41">
        <v>26.598885921126499</v>
      </c>
      <c r="YB41">
        <v>0</v>
      </c>
      <c r="YC41">
        <v>0</v>
      </c>
      <c r="YD41">
        <v>0</v>
      </c>
      <c r="YE41">
        <v>0</v>
      </c>
      <c r="YF41">
        <v>1816.5564531059799</v>
      </c>
      <c r="YG41">
        <v>26.0863696053352</v>
      </c>
      <c r="YH41">
        <v>0</v>
      </c>
      <c r="YI41">
        <v>0</v>
      </c>
      <c r="YJ41">
        <v>0</v>
      </c>
      <c r="YK41">
        <v>0</v>
      </c>
      <c r="YL41">
        <v>6964.626078065</v>
      </c>
      <c r="YM41">
        <v>26.7226378908382</v>
      </c>
      <c r="YN41">
        <v>0</v>
      </c>
      <c r="YO41">
        <v>0</v>
      </c>
      <c r="YP41">
        <v>0</v>
      </c>
      <c r="YQ41">
        <v>0</v>
      </c>
      <c r="YR41">
        <v>1351.4167508206799</v>
      </c>
      <c r="YS41">
        <v>19.2742284331547</v>
      </c>
      <c r="YT41">
        <v>0</v>
      </c>
      <c r="YU41">
        <v>0</v>
      </c>
      <c r="YV41">
        <v>0</v>
      </c>
      <c r="YW41">
        <v>0</v>
      </c>
      <c r="YX41">
        <v>932.72467026186905</v>
      </c>
      <c r="YY41">
        <v>19.294822223537999</v>
      </c>
      <c r="YZ41">
        <v>0</v>
      </c>
      <c r="ZA41">
        <v>0</v>
      </c>
      <c r="ZB41">
        <v>0</v>
      </c>
      <c r="ZC41">
        <v>0</v>
      </c>
      <c r="ZD41">
        <v>1426.09724857283</v>
      </c>
      <c r="ZE41">
        <v>19.2911947530466</v>
      </c>
      <c r="ZF41">
        <v>0</v>
      </c>
      <c r="ZG41">
        <v>0</v>
      </c>
      <c r="ZH41">
        <v>0</v>
      </c>
      <c r="ZI41">
        <v>0</v>
      </c>
      <c r="ZJ41">
        <v>1208.30583463379</v>
      </c>
      <c r="ZK41">
        <v>18.826573563379299</v>
      </c>
      <c r="ZL41">
        <v>0</v>
      </c>
      <c r="ZM41">
        <v>0</v>
      </c>
      <c r="ZN41">
        <v>0</v>
      </c>
      <c r="ZO41">
        <v>0</v>
      </c>
      <c r="ZP41">
        <v>11674.1297071684</v>
      </c>
      <c r="ZQ41">
        <v>17.646292835984699</v>
      </c>
      <c r="ZR41">
        <v>0</v>
      </c>
      <c r="ZS41">
        <v>0</v>
      </c>
      <c r="ZT41">
        <v>0</v>
      </c>
      <c r="ZU41">
        <v>0</v>
      </c>
      <c r="ZV41">
        <v>3368.2614032072302</v>
      </c>
      <c r="ZW41">
        <v>20.557429941969101</v>
      </c>
      <c r="ZX41">
        <v>0</v>
      </c>
      <c r="ZY41">
        <v>0</v>
      </c>
      <c r="ZZ41">
        <v>0</v>
      </c>
      <c r="AAA41">
        <v>0</v>
      </c>
      <c r="AAB41">
        <v>2277.8621143740802</v>
      </c>
      <c r="AAC41">
        <v>20.5539207047761</v>
      </c>
      <c r="AAD41">
        <v>0</v>
      </c>
      <c r="AAE41">
        <v>0</v>
      </c>
      <c r="AAF41">
        <v>0</v>
      </c>
      <c r="AAG41">
        <v>0</v>
      </c>
      <c r="AAH41">
        <v>3491.0920814249898</v>
      </c>
      <c r="AAI41">
        <v>20.482851076272599</v>
      </c>
      <c r="AAJ41">
        <v>0</v>
      </c>
      <c r="AAK41">
        <v>0</v>
      </c>
      <c r="AAL41">
        <v>0</v>
      </c>
      <c r="AAM41">
        <v>0</v>
      </c>
      <c r="AAN41">
        <v>2710.1631313345702</v>
      </c>
      <c r="AAO41">
        <v>19.928972665631601</v>
      </c>
      <c r="AAP41">
        <v>0</v>
      </c>
      <c r="AAQ41">
        <v>0</v>
      </c>
      <c r="AAR41">
        <v>0</v>
      </c>
      <c r="AAS41">
        <v>0</v>
      </c>
      <c r="AAT41">
        <v>22132.348404152399</v>
      </c>
      <c r="AAU41">
        <v>18.201664595630401</v>
      </c>
      <c r="AAV41">
        <v>0</v>
      </c>
      <c r="AAW41">
        <v>0</v>
      </c>
      <c r="AAX41">
        <v>0</v>
      </c>
      <c r="AAY41">
        <v>0</v>
      </c>
      <c r="AAZ41">
        <v>3797.3840312068101</v>
      </c>
      <c r="ABA41">
        <v>20.538038784054802</v>
      </c>
      <c r="ABB41">
        <v>0</v>
      </c>
      <c r="ABC41">
        <v>0</v>
      </c>
      <c r="ABD41">
        <v>0</v>
      </c>
      <c r="ABE41">
        <v>0</v>
      </c>
      <c r="ABF41">
        <v>2569.2908373698601</v>
      </c>
      <c r="ABG41">
        <v>20.545787089919799</v>
      </c>
      <c r="ABH41">
        <v>0</v>
      </c>
      <c r="ABI41">
        <v>0</v>
      </c>
      <c r="ABJ41">
        <v>0</v>
      </c>
      <c r="ABK41">
        <v>0</v>
      </c>
      <c r="ABL41">
        <v>3941.3765643593001</v>
      </c>
      <c r="ABM41">
        <v>20.472942309622098</v>
      </c>
      <c r="ABN41">
        <v>0</v>
      </c>
      <c r="ABO41">
        <v>0</v>
      </c>
      <c r="ABP41">
        <v>0</v>
      </c>
      <c r="ABQ41">
        <v>0</v>
      </c>
      <c r="ABR41">
        <v>3000.8271737293599</v>
      </c>
      <c r="ABS41">
        <v>19.959085643975701</v>
      </c>
      <c r="ABT41">
        <v>0</v>
      </c>
      <c r="ABU41">
        <v>0</v>
      </c>
      <c r="ABV41">
        <v>0</v>
      </c>
      <c r="ABW41">
        <v>0</v>
      </c>
      <c r="ABX41">
        <v>25666.216472264801</v>
      </c>
      <c r="ABY41">
        <v>18.197376917388901</v>
      </c>
      <c r="ABZ41">
        <v>0</v>
      </c>
      <c r="ACA41">
        <v>0</v>
      </c>
      <c r="ACB41">
        <v>0</v>
      </c>
      <c r="ACC41">
        <v>0.76318804831981701</v>
      </c>
      <c r="ACD41">
        <v>227588504.29898599</v>
      </c>
      <c r="ACE41">
        <v>333531.258094561</v>
      </c>
      <c r="ACF41">
        <v>12.610529307235099</v>
      </c>
      <c r="ACG41">
        <v>6.7</v>
      </c>
      <c r="ACH41">
        <v>13.50000361399</v>
      </c>
      <c r="ACI41">
        <v>396750.28706650197</v>
      </c>
      <c r="ACJ41">
        <v>5.2759370225125402</v>
      </c>
      <c r="ACK41">
        <v>26.448264132840102</v>
      </c>
      <c r="ACL41">
        <v>32.467053683214402</v>
      </c>
      <c r="ACM41">
        <v>15.7700042216757</v>
      </c>
      <c r="ACN41">
        <v>105390.341415922</v>
      </c>
      <c r="ACP41">
        <v>82546.0929728107</v>
      </c>
      <c r="ACR41">
        <v>187936.434388733</v>
      </c>
      <c r="ACT41">
        <v>25.455813804012099</v>
      </c>
      <c r="ACU41">
        <v>23.892952531041601</v>
      </c>
      <c r="ACV41">
        <v>1.7</v>
      </c>
      <c r="ACW41">
        <v>1.3181087511574801</v>
      </c>
      <c r="ACX41">
        <v>0.79996582549147699</v>
      </c>
      <c r="ACY41">
        <v>25.299222773821999</v>
      </c>
      <c r="ACZ41">
        <v>23.881900718110799</v>
      </c>
      <c r="ADA41">
        <v>1.7</v>
      </c>
      <c r="ADB41">
        <v>1.7694215932613999</v>
      </c>
      <c r="ADC41">
        <v>0.80020194627097896</v>
      </c>
      <c r="ADD41">
        <v>25.322096147411301</v>
      </c>
      <c r="ADE41">
        <v>23.898504316373099</v>
      </c>
      <c r="ADF41">
        <v>1.7</v>
      </c>
      <c r="ADG41">
        <v>2.3198623723417202</v>
      </c>
      <c r="ADH41">
        <v>0.80007938241893894</v>
      </c>
      <c r="ADI41">
        <v>25.694564603753001</v>
      </c>
      <c r="ADJ41">
        <v>23.849860160750701</v>
      </c>
      <c r="ADK41">
        <v>1.7</v>
      </c>
      <c r="ADL41">
        <v>1.7879042514119301</v>
      </c>
      <c r="ADM41">
        <v>0.70940201494717403</v>
      </c>
      <c r="ADN41">
        <v>25.8082698667599</v>
      </c>
      <c r="ADO41">
        <v>23.9342529337282</v>
      </c>
      <c r="ADP41">
        <v>1.7</v>
      </c>
      <c r="ADQ41">
        <v>1.8969106389838699</v>
      </c>
      <c r="ADR41">
        <v>0.70868125254197301</v>
      </c>
      <c r="ADS41">
        <v>25.961781348603299</v>
      </c>
      <c r="ADT41">
        <v>24.065596732937401</v>
      </c>
      <c r="ADU41">
        <v>1.7</v>
      </c>
      <c r="ADV41">
        <v>4.9616653621949096</v>
      </c>
      <c r="ADW41">
        <v>0.70871251503153299</v>
      </c>
      <c r="ADX41">
        <v>25.164812322566899</v>
      </c>
      <c r="ADY41">
        <v>23.340466775381898</v>
      </c>
      <c r="ADZ41">
        <v>1.7</v>
      </c>
      <c r="AEA41">
        <v>2.8369404968746301</v>
      </c>
      <c r="AEB41">
        <v>0.70567355547603705</v>
      </c>
      <c r="AEC41">
        <v>25.242118716981601</v>
      </c>
      <c r="AED41">
        <v>23.913052773982599</v>
      </c>
      <c r="AEE41">
        <v>1.7</v>
      </c>
      <c r="AEF41">
        <v>2.8913805190412498</v>
      </c>
      <c r="AEG41">
        <v>0.70874927998724102</v>
      </c>
      <c r="AEH41">
        <v>25.255393953578199</v>
      </c>
      <c r="AEI41">
        <v>23.9230911079053</v>
      </c>
      <c r="AEJ41">
        <v>1.7</v>
      </c>
      <c r="AEK41">
        <v>3.0647510527858</v>
      </c>
      <c r="AEL41">
        <v>0.70853115814380796</v>
      </c>
      <c r="AEM41">
        <v>25.346498806882799</v>
      </c>
      <c r="AEN41">
        <v>24.0262514221263</v>
      </c>
      <c r="AEO41">
        <v>1.7</v>
      </c>
      <c r="AEP41">
        <v>4.6214149409315599</v>
      </c>
      <c r="AEQ41">
        <v>0.70818766353606499</v>
      </c>
      <c r="AER41">
        <v>25.0678945903617</v>
      </c>
      <c r="AES41">
        <v>23.643346153007801</v>
      </c>
      <c r="AET41">
        <v>1.7</v>
      </c>
      <c r="AEU41">
        <v>4.1305182100427196</v>
      </c>
      <c r="AEV41">
        <v>0.70552233364749595</v>
      </c>
      <c r="AEW41">
        <v>25.2415274422154</v>
      </c>
      <c r="AEX41">
        <v>23.910648232871999</v>
      </c>
      <c r="AEY41">
        <v>1.7</v>
      </c>
      <c r="AEZ41">
        <v>3.0496692329122799</v>
      </c>
      <c r="AFA41">
        <v>0.70859418256997697</v>
      </c>
      <c r="AFB41">
        <v>25.238205663932</v>
      </c>
      <c r="AFC41">
        <v>23.913270204281101</v>
      </c>
      <c r="AFD41">
        <v>1.7</v>
      </c>
      <c r="AFE41">
        <v>3.2303635157107502</v>
      </c>
      <c r="AFF41">
        <v>0.70850302878509996</v>
      </c>
      <c r="AFG41">
        <v>25.333895799112401</v>
      </c>
      <c r="AFH41">
        <v>24.0107370688809</v>
      </c>
      <c r="AFI41">
        <v>1.7</v>
      </c>
      <c r="AFJ41">
        <v>4.3527886789755703</v>
      </c>
      <c r="AFK41">
        <v>0.70796887822784405</v>
      </c>
      <c r="AFL41">
        <v>25.058681154001199</v>
      </c>
      <c r="AFM41">
        <v>23.6548831975296</v>
      </c>
      <c r="AFN41">
        <v>1.7</v>
      </c>
      <c r="AFO41">
        <v>4.25420549575888</v>
      </c>
      <c r="AFP41">
        <v>0.70561498743376405</v>
      </c>
      <c r="AFQ41">
        <v>-0.39681362627418398</v>
      </c>
      <c r="AFR41">
        <v>-0.476463691728578</v>
      </c>
      <c r="AFS41">
        <v>-0.43561058423343102</v>
      </c>
      <c r="AFT41">
        <v>-0.42237346163281297</v>
      </c>
      <c r="AFU41">
        <v>-0.31329869911834901</v>
      </c>
      <c r="AFV41">
        <v>-0.365163157946926</v>
      </c>
      <c r="AFW41">
        <v>-0.21612433773716999</v>
      </c>
      <c r="AFX41">
        <v>-0.34141033749782101</v>
      </c>
      <c r="AFY41">
        <v>-0.25154190557904799</v>
      </c>
      <c r="AFZ41">
        <v>-0.30204322774597098</v>
      </c>
      <c r="AGA41">
        <v>-0.15764183260942299</v>
      </c>
      <c r="AGB41">
        <v>-0.28544414523058798</v>
      </c>
      <c r="AGC41">
        <v>-0.51822838200250199</v>
      </c>
      <c r="AGD41">
        <v>-0.476961240787249</v>
      </c>
      <c r="AGE41">
        <v>-0.36682015796039302</v>
      </c>
      <c r="AGF41">
        <v>0</v>
      </c>
      <c r="AGG41">
        <v>0</v>
      </c>
      <c r="AGH41">
        <v>0</v>
      </c>
      <c r="AGI41">
        <v>0</v>
      </c>
      <c r="AGJ41">
        <v>0</v>
      </c>
      <c r="AGK41">
        <v>0</v>
      </c>
      <c r="AGL41">
        <v>0</v>
      </c>
      <c r="AGM41">
        <v>0</v>
      </c>
      <c r="AGN41">
        <v>0</v>
      </c>
      <c r="AGO41">
        <v>0</v>
      </c>
      <c r="AGP41">
        <v>0</v>
      </c>
      <c r="AGQ41">
        <v>0</v>
      </c>
      <c r="AGR41">
        <v>0</v>
      </c>
      <c r="AGS41">
        <v>0</v>
      </c>
      <c r="AGT41">
        <v>0</v>
      </c>
      <c r="AGU41">
        <v>0</v>
      </c>
      <c r="AGV41">
        <v>0</v>
      </c>
      <c r="AGW41">
        <v>0</v>
      </c>
      <c r="AGX41">
        <v>0</v>
      </c>
      <c r="AGY41">
        <v>0</v>
      </c>
      <c r="AGZ41">
        <v>0</v>
      </c>
      <c r="AHA41">
        <v>0</v>
      </c>
      <c r="AHB41">
        <v>0</v>
      </c>
      <c r="AHC41">
        <v>0</v>
      </c>
      <c r="AHD41">
        <v>0</v>
      </c>
      <c r="AHE41">
        <v>0</v>
      </c>
      <c r="AHF41">
        <v>0</v>
      </c>
      <c r="AHG41">
        <v>0</v>
      </c>
      <c r="AHH41">
        <v>0</v>
      </c>
      <c r="AHI41">
        <v>0</v>
      </c>
      <c r="AHJ41">
        <v>0</v>
      </c>
      <c r="AHK41">
        <v>0</v>
      </c>
      <c r="AHL41">
        <v>0</v>
      </c>
      <c r="AHM41">
        <v>0</v>
      </c>
      <c r="AHN41">
        <v>0</v>
      </c>
      <c r="AHO41">
        <v>0</v>
      </c>
      <c r="AHP41">
        <v>0</v>
      </c>
      <c r="AHQ41">
        <v>0</v>
      </c>
      <c r="AHR41">
        <v>0</v>
      </c>
      <c r="AHS41">
        <v>0</v>
      </c>
      <c r="AHT41">
        <v>0</v>
      </c>
      <c r="AHU41">
        <v>0</v>
      </c>
      <c r="AHV41">
        <v>0</v>
      </c>
      <c r="AHW41">
        <v>0</v>
      </c>
      <c r="AHX41">
        <v>0</v>
      </c>
      <c r="AHZ41">
        <v>0</v>
      </c>
      <c r="AIB41">
        <v>0</v>
      </c>
      <c r="AID41">
        <v>0</v>
      </c>
      <c r="AIF41">
        <v>0</v>
      </c>
      <c r="AIH41">
        <v>0</v>
      </c>
      <c r="AIJ41">
        <v>0</v>
      </c>
      <c r="AIL41">
        <v>0</v>
      </c>
      <c r="AIN41">
        <v>0</v>
      </c>
      <c r="AIP41">
        <v>0</v>
      </c>
      <c r="AIR41">
        <v>0</v>
      </c>
      <c r="AIT41">
        <v>0</v>
      </c>
      <c r="AIV41">
        <v>0</v>
      </c>
      <c r="AIX41">
        <v>0</v>
      </c>
      <c r="AIZ41">
        <v>0</v>
      </c>
      <c r="AJB41">
        <v>0</v>
      </c>
      <c r="AJC41">
        <v>0</v>
      </c>
      <c r="AJE41">
        <v>331847.50192668597</v>
      </c>
      <c r="AJH41">
        <v>8458.4881018693704</v>
      </c>
      <c r="AJJ41">
        <v>183.80401834048999</v>
      </c>
      <c r="AJK41">
        <v>128.73377916439901</v>
      </c>
      <c r="AJL41">
        <v>446.43228981374898</v>
      </c>
      <c r="AJM41">
        <v>552.76858569752801</v>
      </c>
      <c r="AJN41">
        <v>176.43444022362999</v>
      </c>
      <c r="AJO41">
        <v>163.64944744595101</v>
      </c>
      <c r="AJP41">
        <v>534.489384580604</v>
      </c>
      <c r="AJQ41">
        <v>601.779272078335</v>
      </c>
      <c r="AJR41">
        <v>224.212534286406</v>
      </c>
      <c r="AJS41">
        <v>49.000319201523801</v>
      </c>
      <c r="AJT41">
        <v>144.38620766267101</v>
      </c>
      <c r="AJU41">
        <v>157.791559746285</v>
      </c>
      <c r="AJV41">
        <v>69.8701647778406</v>
      </c>
      <c r="AJW41">
        <v>0</v>
      </c>
      <c r="AJX41">
        <v>0</v>
      </c>
      <c r="AJY41">
        <v>0</v>
      </c>
      <c r="AJZ41">
        <v>331847.55928247498</v>
      </c>
      <c r="AKA41">
        <v>0</v>
      </c>
      <c r="AKB41">
        <v>0</v>
      </c>
      <c r="AKC41">
        <v>0</v>
      </c>
      <c r="AKD41">
        <v>0</v>
      </c>
      <c r="AKE41">
        <v>65.56</v>
      </c>
      <c r="AKF41">
        <v>65.56</v>
      </c>
      <c r="AKG41">
        <v>0</v>
      </c>
      <c r="AKH41">
        <v>0</v>
      </c>
      <c r="AKI41">
        <v>0</v>
      </c>
      <c r="AKJ41">
        <v>0</v>
      </c>
      <c r="AKK41">
        <v>0</v>
      </c>
      <c r="AKL41">
        <v>65.56</v>
      </c>
      <c r="AKM41">
        <v>65.56</v>
      </c>
      <c r="AKN41">
        <v>0</v>
      </c>
      <c r="AKO41">
        <v>0</v>
      </c>
      <c r="AKP41">
        <v>0</v>
      </c>
      <c r="AKT41">
        <v>6734795.2483461499</v>
      </c>
      <c r="AKX41">
        <v>6078357.7937538503</v>
      </c>
      <c r="ALB41">
        <v>32.490106191029199</v>
      </c>
      <c r="ALC41">
        <v>26.335745025452901</v>
      </c>
      <c r="ALD41">
        <v>15.7700042216757</v>
      </c>
      <c r="ALE41">
        <v>405686.98053273599</v>
      </c>
      <c r="ALF41">
        <v>3876.01471762034</v>
      </c>
      <c r="ALH41">
        <v>15.2032253121649</v>
      </c>
      <c r="ALI41">
        <v>8.8514637240712495E-3</v>
      </c>
      <c r="ALJ41">
        <v>19.284882525177299</v>
      </c>
      <c r="ALK41">
        <v>28.3043355608166</v>
      </c>
      <c r="ALL41">
        <v>19.284882525177299</v>
      </c>
      <c r="ALM41">
        <v>0</v>
      </c>
      <c r="ALN41">
        <v>25.836220174001301</v>
      </c>
      <c r="ALO41">
        <v>9.3085772367815095E-3</v>
      </c>
      <c r="ALP41">
        <v>44.831334514346501</v>
      </c>
      <c r="ALQ41">
        <v>19.284882525177299</v>
      </c>
      <c r="ALR41">
        <v>15.2032253121649</v>
      </c>
      <c r="ALS41">
        <v>19.284882525177299</v>
      </c>
      <c r="ALT41">
        <v>15.560016967407799</v>
      </c>
      <c r="ALU41">
        <v>19.284882525177299</v>
      </c>
      <c r="ALV41">
        <v>6.70000101640571</v>
      </c>
      <c r="ALW41">
        <v>4.6305576092238896E-3</v>
      </c>
      <c r="ALX41">
        <v>23.845033720481499</v>
      </c>
      <c r="ALY41">
        <v>4.6305576092238896E-3</v>
      </c>
      <c r="ALZ41">
        <v>0</v>
      </c>
      <c r="AMA41">
        <v>12.610529307235099</v>
      </c>
      <c r="AMB41">
        <v>1.35E-2</v>
      </c>
      <c r="AMC41">
        <v>12.5806923701209</v>
      </c>
      <c r="AMD41">
        <v>1.35E-2</v>
      </c>
      <c r="AME41">
        <v>6.7</v>
      </c>
      <c r="AMF41">
        <v>1.35E-2</v>
      </c>
      <c r="AMG41">
        <v>1.5769999999999999E-2</v>
      </c>
      <c r="AMH41">
        <v>4.2474999999999996</v>
      </c>
      <c r="AMI41">
        <v>18.966440460393301</v>
      </c>
      <c r="AMJ41">
        <v>0.83041602441140305</v>
      </c>
      <c r="AMK41" s="580">
        <v>17.642842298968301</v>
      </c>
      <c r="AML41">
        <v>1.8846022544651</v>
      </c>
      <c r="AMM41">
        <v>19.375397067603899</v>
      </c>
      <c r="AMN41">
        <v>0.45933155351074001</v>
      </c>
      <c r="AMO41">
        <v>19.346610229937799</v>
      </c>
      <c r="AMP41">
        <v>0.67396643590429695</v>
      </c>
      <c r="AMQ41">
        <v>19.4521264689429</v>
      </c>
      <c r="AMR41">
        <v>0.70394232301594795</v>
      </c>
      <c r="AMS41">
        <v>18.205446706082199</v>
      </c>
      <c r="AMT41">
        <v>2.3350962887741602</v>
      </c>
      <c r="AMU41">
        <v>20.684398652368198</v>
      </c>
      <c r="AMV41">
        <v>0.78907937990315002</v>
      </c>
      <c r="AMW41">
        <v>20.230378861299101</v>
      </c>
      <c r="AMX41">
        <v>1.2792619920175501</v>
      </c>
      <c r="AMY41">
        <v>20.678817962958401</v>
      </c>
      <c r="AMZ41">
        <v>1.16506526099007</v>
      </c>
      <c r="ANA41">
        <v>20.822174128962398</v>
      </c>
      <c r="ANB41">
        <v>1.2472390782439999</v>
      </c>
      <c r="ANC41">
        <v>18.201309391763701</v>
      </c>
      <c r="AND41">
        <v>2.9027665512130798</v>
      </c>
      <c r="ANE41">
        <v>20.692929872217299</v>
      </c>
      <c r="ANF41">
        <v>0.89155833425952102</v>
      </c>
      <c r="ANG41">
        <v>20.290132826119699</v>
      </c>
      <c r="ANH41">
        <v>1.3888629111644</v>
      </c>
      <c r="ANI41">
        <v>20.674435510398801</v>
      </c>
      <c r="ANJ41">
        <v>1.3220686512289599</v>
      </c>
      <c r="ANK41">
        <v>20.8029972757713</v>
      </c>
      <c r="ANL41">
        <v>1.41162548607489</v>
      </c>
      <c r="ANM41">
        <v>4.5522585913074902</v>
      </c>
      <c r="ANN41">
        <v>6.8157419999289299</v>
      </c>
      <c r="ANO41">
        <v>7.9168819339408598</v>
      </c>
      <c r="ANP41">
        <v>17.642842298968301</v>
      </c>
      <c r="ANQ41">
        <v>19.288617858762201</v>
      </c>
      <c r="ANR41">
        <v>18.824991378739998</v>
      </c>
      <c r="ANS41">
        <v>19.269886442311901</v>
      </c>
      <c r="ANT41">
        <v>19.262279840509901</v>
      </c>
      <c r="ANU41">
        <v>18.205446706082199</v>
      </c>
      <c r="ANV41">
        <v>20.551697775639202</v>
      </c>
      <c r="ANW41">
        <v>19.946493425080799</v>
      </c>
      <c r="ANX41">
        <v>20.461859928116201</v>
      </c>
      <c r="ANY41">
        <v>20.5556330210519</v>
      </c>
      <c r="ANZ41">
        <v>18.201309391763701</v>
      </c>
      <c r="AOA41">
        <v>20.543639912963702</v>
      </c>
      <c r="AOB41">
        <v>19.977075807435199</v>
      </c>
      <c r="AOC41">
        <v>20.456357867433301</v>
      </c>
      <c r="AOD41">
        <v>20.536484454790799</v>
      </c>
      <c r="AOE41">
        <v>25.836220174001301</v>
      </c>
      <c r="AOF41">
        <v>4.2474999999999996</v>
      </c>
      <c r="AOG41">
        <v>25.8713947557182</v>
      </c>
      <c r="AOH41">
        <v>4.2474999999999996</v>
      </c>
    </row>
    <row r="42" spans="1:1074">
      <c r="A42" t="s">
        <v>2612</v>
      </c>
      <c r="B42">
        <v>35.641599999999997</v>
      </c>
      <c r="D42">
        <v>20.469064485495601</v>
      </c>
      <c r="F42">
        <v>9</v>
      </c>
      <c r="G42">
        <v>10945018.5837641</v>
      </c>
      <c r="H42">
        <v>25252376.055390202</v>
      </c>
      <c r="I42">
        <v>6950739.3466344699</v>
      </c>
      <c r="J42">
        <v>16036764.3509151</v>
      </c>
      <c r="K42">
        <v>10945018.5837641</v>
      </c>
      <c r="L42">
        <v>25252376.055390202</v>
      </c>
      <c r="M42">
        <v>6950739.3466344699</v>
      </c>
      <c r="N42">
        <v>16036764.3509151</v>
      </c>
      <c r="O42">
        <v>56445592.898657002</v>
      </c>
      <c r="P42">
        <v>130231422.417206</v>
      </c>
      <c r="Q42">
        <v>10945018.5837641</v>
      </c>
      <c r="R42">
        <v>25252376.055390202</v>
      </c>
      <c r="S42">
        <v>6950739.3466344699</v>
      </c>
      <c r="T42">
        <v>16036764.3509151</v>
      </c>
      <c r="U42">
        <v>10945018.5837641</v>
      </c>
      <c r="V42">
        <v>25252376.055390202</v>
      </c>
      <c r="W42">
        <v>6950739.3466344699</v>
      </c>
      <c r="X42">
        <v>16036764.3509151</v>
      </c>
      <c r="Y42">
        <v>56445592.898657002</v>
      </c>
      <c r="Z42">
        <v>130231422.417206</v>
      </c>
      <c r="AA42">
        <v>10945018.5837641</v>
      </c>
      <c r="AB42">
        <v>25252376.055390202</v>
      </c>
      <c r="AC42">
        <v>6950739.3466344699</v>
      </c>
      <c r="AD42">
        <v>16036764.3509151</v>
      </c>
      <c r="AE42">
        <v>10945018.5837641</v>
      </c>
      <c r="AF42">
        <v>25252376.055390202</v>
      </c>
      <c r="AG42">
        <v>6950739.3466344699</v>
      </c>
      <c r="AH42">
        <v>16036764.3509151</v>
      </c>
      <c r="AI42">
        <v>56445592.898657002</v>
      </c>
      <c r="AJ42">
        <v>130231422.417206</v>
      </c>
      <c r="AK42">
        <v>23.716228502806501</v>
      </c>
      <c r="AL42">
        <v>3956060.4386927001</v>
      </c>
      <c r="AM42">
        <v>10245410.713212401</v>
      </c>
      <c r="AN42">
        <v>23.716228502806501</v>
      </c>
      <c r="AO42">
        <v>3956060.4386927001</v>
      </c>
      <c r="AP42">
        <v>10245410.713212401</v>
      </c>
      <c r="AQ42">
        <v>15.0612190693548</v>
      </c>
      <c r="AR42">
        <v>2512334.2403159901</v>
      </c>
      <c r="AS42">
        <v>6506446.6379612898</v>
      </c>
      <c r="AT42">
        <v>15.0612190693548</v>
      </c>
      <c r="AU42">
        <v>2512334.2403159901</v>
      </c>
      <c r="AV42">
        <v>6506446.6379612898</v>
      </c>
      <c r="AW42">
        <v>23.716228502806501</v>
      </c>
      <c r="AX42">
        <v>3956060.4386927001</v>
      </c>
      <c r="AY42">
        <v>10245410.713212401</v>
      </c>
      <c r="AZ42">
        <v>23.716228502806501</v>
      </c>
      <c r="BA42">
        <v>3956060.4386927001</v>
      </c>
      <c r="BB42">
        <v>10245410.713212401</v>
      </c>
      <c r="BC42">
        <v>15.0612190693548</v>
      </c>
      <c r="BD42">
        <v>2512334.2403159901</v>
      </c>
      <c r="BE42">
        <v>6506446.6379612898</v>
      </c>
      <c r="BF42">
        <v>15.0612190693548</v>
      </c>
      <c r="BG42">
        <v>2512334.2403159901</v>
      </c>
      <c r="BH42">
        <v>6506446.6379612898</v>
      </c>
      <c r="BI42">
        <v>23.716228502806501</v>
      </c>
      <c r="BJ42">
        <v>3956060.4386927001</v>
      </c>
      <c r="BK42">
        <v>10245410.713212401</v>
      </c>
      <c r="BL42">
        <v>23.716228502806501</v>
      </c>
      <c r="BM42">
        <v>3956060.4386927001</v>
      </c>
      <c r="BN42">
        <v>10245410.713212401</v>
      </c>
      <c r="BO42">
        <v>15.0612190693548</v>
      </c>
      <c r="BP42">
        <v>2512334.2403159901</v>
      </c>
      <c r="BQ42">
        <v>6506446.6379612898</v>
      </c>
      <c r="BR42">
        <v>15.0612190693548</v>
      </c>
      <c r="BS42">
        <v>2512334.2403159901</v>
      </c>
      <c r="BT42">
        <v>6506446.6379612898</v>
      </c>
      <c r="BU42">
        <v>52837578.828362301</v>
      </c>
      <c r="BV42">
        <v>122.309210250839</v>
      </c>
      <c r="BW42">
        <v>20402174.312995501</v>
      </c>
      <c r="BX42">
        <v>52837578.828362301</v>
      </c>
      <c r="BY42">
        <v>122.309210250839</v>
      </c>
      <c r="BZ42">
        <v>20402174.312995501</v>
      </c>
      <c r="CA42">
        <v>52837578.828362301</v>
      </c>
      <c r="CB42">
        <v>122.309210250839</v>
      </c>
      <c r="CC42">
        <v>20402174.312995501</v>
      </c>
      <c r="CD42">
        <v>52837578.828362301</v>
      </c>
      <c r="CE42">
        <v>3773179.8574618599</v>
      </c>
      <c r="CF42">
        <v>8575408.7669587694</v>
      </c>
      <c r="CG42">
        <v>3773179.8574618599</v>
      </c>
      <c r="CH42">
        <v>8575408.7669587694</v>
      </c>
      <c r="CI42">
        <v>2396194.1678283801</v>
      </c>
      <c r="CJ42">
        <v>5445895.8359735999</v>
      </c>
      <c r="CK42">
        <v>2396194.1678283801</v>
      </c>
      <c r="CL42">
        <v>5445895.8359735999</v>
      </c>
      <c r="CM42">
        <v>3773179.8574618599</v>
      </c>
      <c r="CN42">
        <v>8575408.7669587694</v>
      </c>
      <c r="CO42">
        <v>3773179.8574618599</v>
      </c>
      <c r="CP42">
        <v>8575408.7669587694</v>
      </c>
      <c r="CQ42">
        <v>2396194.1678283801</v>
      </c>
      <c r="CR42">
        <v>5445895.8359735999</v>
      </c>
      <c r="CS42">
        <v>2396194.1678283801</v>
      </c>
      <c r="CT42">
        <v>5445895.8359735999</v>
      </c>
      <c r="CU42">
        <v>3773179.8574618599</v>
      </c>
      <c r="CV42">
        <v>8575408.7669587694</v>
      </c>
      <c r="CW42">
        <v>3773179.8574618599</v>
      </c>
      <c r="CX42">
        <v>8575408.7669587694</v>
      </c>
      <c r="CY42">
        <v>2396194.1678283801</v>
      </c>
      <c r="CZ42">
        <v>5445895.8359735999</v>
      </c>
      <c r="DA42">
        <v>2396194.1678283801</v>
      </c>
      <c r="DB42">
        <v>5445895.8359735999</v>
      </c>
      <c r="DC42">
        <v>19459023.5309093</v>
      </c>
      <c r="DD42">
        <v>44225053.479339302</v>
      </c>
      <c r="DE42">
        <v>19459023.5309093</v>
      </c>
      <c r="DF42">
        <v>44225053.479339302</v>
      </c>
      <c r="DG42">
        <v>19459023.5309093</v>
      </c>
      <c r="DH42">
        <v>44225053.479339302</v>
      </c>
      <c r="DI42">
        <v>3215778.2876095399</v>
      </c>
      <c r="DJ42">
        <v>6431556.5752190799</v>
      </c>
      <c r="DK42">
        <v>3215778.2876095399</v>
      </c>
      <c r="DL42">
        <v>6431556.5752190799</v>
      </c>
      <c r="DM42">
        <v>2042210.9384901</v>
      </c>
      <c r="DN42">
        <v>4084421.8769801999</v>
      </c>
      <c r="DO42">
        <v>2042210.9384901</v>
      </c>
      <c r="DP42">
        <v>4084421.8769801999</v>
      </c>
      <c r="DQ42">
        <v>3215778.2876095399</v>
      </c>
      <c r="DR42">
        <v>6431556.5752190799</v>
      </c>
      <c r="DS42">
        <v>3215778.2876095399</v>
      </c>
      <c r="DT42">
        <v>6431556.5752190799</v>
      </c>
      <c r="DU42">
        <v>2042210.9384901</v>
      </c>
      <c r="DV42">
        <v>4084421.8769801999</v>
      </c>
      <c r="DW42">
        <v>2042210.9384901</v>
      </c>
      <c r="DX42">
        <v>4084421.8769801999</v>
      </c>
      <c r="DY42">
        <v>3215778.2876095399</v>
      </c>
      <c r="DZ42">
        <v>6431556.5752190799</v>
      </c>
      <c r="EA42">
        <v>3215778.2876095399</v>
      </c>
      <c r="EB42">
        <v>6431556.5752190799</v>
      </c>
      <c r="EC42">
        <v>2042210.9384901</v>
      </c>
      <c r="ED42">
        <v>4084421.8769801999</v>
      </c>
      <c r="EE42">
        <v>2042210.9384901</v>
      </c>
      <c r="EF42">
        <v>4084421.8769801999</v>
      </c>
      <c r="EG42">
        <v>16584395.054752201</v>
      </c>
      <c r="EH42">
        <v>33168790.109504402</v>
      </c>
      <c r="EI42">
        <v>16584395.054752201</v>
      </c>
      <c r="EJ42">
        <v>33168790.109504402</v>
      </c>
      <c r="EK42">
        <v>16584395.054752201</v>
      </c>
      <c r="EL42">
        <v>33168790.109504402</v>
      </c>
      <c r="EM42">
        <v>3197.6990445881802</v>
      </c>
      <c r="EN42">
        <v>1955.2120455822701</v>
      </c>
      <c r="EO42">
        <v>2908.5556187939801</v>
      </c>
      <c r="EP42">
        <v>10048.0162106968</v>
      </c>
      <c r="EQ42">
        <v>0</v>
      </c>
      <c r="ER42">
        <v>3422.96660226012</v>
      </c>
      <c r="ES42">
        <v>2090.9604322465202</v>
      </c>
      <c r="ET42">
        <v>3134.4926281796802</v>
      </c>
      <c r="EU42">
        <v>39.331119136970699</v>
      </c>
      <c r="EV42">
        <v>10704.868009203299</v>
      </c>
      <c r="EW42">
        <v>0</v>
      </c>
      <c r="EX42">
        <v>3389.0746144920899</v>
      </c>
      <c r="EY42">
        <v>5.5487904351572297</v>
      </c>
      <c r="EZ42">
        <v>2070.38645726705</v>
      </c>
      <c r="FA42">
        <v>3101.74281557527</v>
      </c>
      <c r="FB42">
        <v>39.347772358953897</v>
      </c>
      <c r="FC42">
        <v>10634.425939029799</v>
      </c>
      <c r="FD42">
        <v>0</v>
      </c>
      <c r="FE42">
        <v>0</v>
      </c>
      <c r="FF42">
        <v>0</v>
      </c>
      <c r="FG42">
        <v>0</v>
      </c>
      <c r="FH42">
        <v>0</v>
      </c>
      <c r="FI42">
        <v>0</v>
      </c>
      <c r="FJ42">
        <v>0</v>
      </c>
      <c r="FK42">
        <v>0</v>
      </c>
      <c r="FL42">
        <v>0</v>
      </c>
      <c r="FM42">
        <v>0</v>
      </c>
      <c r="FN42">
        <v>0</v>
      </c>
      <c r="FO42">
        <v>2.45251372506161E-2</v>
      </c>
      <c r="FP42">
        <v>0</v>
      </c>
      <c r="FQ42">
        <v>3.7712464405102401E-3</v>
      </c>
      <c r="FR42">
        <v>0</v>
      </c>
      <c r="FS42">
        <v>10634.425939029799</v>
      </c>
      <c r="FT42">
        <v>0</v>
      </c>
      <c r="FU42">
        <v>3206.0083094931001</v>
      </c>
      <c r="FV42">
        <v>0</v>
      </c>
      <c r="FW42">
        <v>0</v>
      </c>
      <c r="FX42">
        <v>2.8203426356646199E-3</v>
      </c>
      <c r="FY42">
        <v>2.45251372506161E-2</v>
      </c>
      <c r="FZ42">
        <v>0</v>
      </c>
      <c r="GA42">
        <v>3.7712464405102401E-3</v>
      </c>
      <c r="GB42">
        <v>200.745714897021</v>
      </c>
      <c r="GC42">
        <v>185.65669801670799</v>
      </c>
      <c r="GD42">
        <v>85.206283260673203</v>
      </c>
      <c r="GE42">
        <v>115.06986853246499</v>
      </c>
      <c r="GF42">
        <v>129.81617685813501</v>
      </c>
      <c r="GG42">
        <v>74.929385191608404</v>
      </c>
      <c r="GH42">
        <v>245.97784045642001</v>
      </c>
      <c r="GI42">
        <v>189.152327162257</v>
      </c>
      <c r="GJ42">
        <v>87.076206631356797</v>
      </c>
      <c r="GK42">
        <v>362.79045889167901</v>
      </c>
      <c r="GL42">
        <v>393.62840524431402</v>
      </c>
      <c r="GM42">
        <v>496.66958836817798</v>
      </c>
      <c r="GN42">
        <v>46.686771297375202</v>
      </c>
      <c r="GO42">
        <v>25.5681814953779</v>
      </c>
      <c r="GP42">
        <v>25.992734920053401</v>
      </c>
      <c r="GQ42">
        <v>-3.1258424315473001</v>
      </c>
      <c r="GR42">
        <v>-165.689676010776</v>
      </c>
      <c r="GS42">
        <v>-832.38509027061605</v>
      </c>
      <c r="GT42">
        <v>38.7119089827656</v>
      </c>
      <c r="GU42">
        <v>25.810862026033998</v>
      </c>
      <c r="GV42">
        <v>26.1885282747612</v>
      </c>
      <c r="GW42">
        <v>1.70711060442385</v>
      </c>
      <c r="GX42">
        <v>-79.435813241098799</v>
      </c>
      <c r="GY42">
        <v>-479.587829685175</v>
      </c>
      <c r="GZ42">
        <v>72.217175323504406</v>
      </c>
      <c r="HA42">
        <v>25.778005296490601</v>
      </c>
      <c r="HB42">
        <v>26.2264069725728</v>
      </c>
      <c r="HC42">
        <v>-4.6689626031820799</v>
      </c>
      <c r="HD42">
        <v>-202.28169013311501</v>
      </c>
      <c r="HE42">
        <v>-982.96695726761095</v>
      </c>
      <c r="HF42">
        <v>120.098723177572</v>
      </c>
      <c r="HG42">
        <v>26.112340550152901</v>
      </c>
      <c r="HH42">
        <v>26.935843478052</v>
      </c>
      <c r="HI42">
        <v>109.94534143502</v>
      </c>
      <c r="HJ42">
        <v>-29.376592037156101</v>
      </c>
      <c r="HK42">
        <v>-712.32555488114895</v>
      </c>
      <c r="HL42">
        <v>324.38878708122598</v>
      </c>
      <c r="HM42">
        <v>26.2974065464789</v>
      </c>
      <c r="HN42">
        <v>25.9289496082217</v>
      </c>
      <c r="HO42">
        <v>247.96447773495399</v>
      </c>
      <c r="HP42">
        <v>90.602028951175697</v>
      </c>
      <c r="HQ42">
        <v>26.396638249145202</v>
      </c>
      <c r="HR42">
        <v>169.382980550524</v>
      </c>
      <c r="HS42">
        <v>236.469069066027</v>
      </c>
      <c r="HT42">
        <v>26.353758630858401</v>
      </c>
      <c r="HU42">
        <v>25.987939591744102</v>
      </c>
      <c r="HV42">
        <v>153.261081567448</v>
      </c>
      <c r="HW42">
        <v>113.28487816601501</v>
      </c>
      <c r="HX42">
        <v>26.500509527840901</v>
      </c>
      <c r="HY42">
        <v>120.23172144398001</v>
      </c>
      <c r="HZ42">
        <v>26.378392393809101</v>
      </c>
      <c r="IA42">
        <v>25.995509218680098</v>
      </c>
      <c r="IB42">
        <v>254.37828343311401</v>
      </c>
      <c r="IC42">
        <v>422.38968858202003</v>
      </c>
      <c r="ID42">
        <v>164.37124639368599</v>
      </c>
      <c r="IE42">
        <v>26.505991045326901</v>
      </c>
      <c r="IF42">
        <v>182.416018718239</v>
      </c>
      <c r="IG42">
        <v>63.430776148612601</v>
      </c>
      <c r="IH42">
        <v>27.6704533760389</v>
      </c>
      <c r="II42">
        <v>26.550034257644501</v>
      </c>
      <c r="IJ42">
        <v>207.900235881247</v>
      </c>
      <c r="IK42">
        <v>65.243290359485997</v>
      </c>
      <c r="IL42">
        <v>448.56384648248502</v>
      </c>
      <c r="IM42">
        <v>236.730729910561</v>
      </c>
      <c r="IN42">
        <v>27.981038623632301</v>
      </c>
      <c r="IO42">
        <v>0.633681281480033</v>
      </c>
      <c r="IP42">
        <v>245.87298437880801</v>
      </c>
      <c r="IQ42">
        <v>238.997615780231</v>
      </c>
      <c r="IR42">
        <v>151.263841994757</v>
      </c>
      <c r="IS42">
        <v>255.840164250665</v>
      </c>
      <c r="IT42">
        <v>234.54309883600001</v>
      </c>
      <c r="IU42">
        <v>115.138514925857</v>
      </c>
      <c r="IV42">
        <v>68.256344413779701</v>
      </c>
      <c r="IW42">
        <v>25.754736552320999</v>
      </c>
      <c r="IX42">
        <v>26.396638249145202</v>
      </c>
      <c r="IY42">
        <v>93.461948092871097</v>
      </c>
      <c r="IZ42">
        <v>-56.665561526947101</v>
      </c>
      <c r="JA42">
        <v>-817.42185517234998</v>
      </c>
      <c r="JB42">
        <v>55.0747163913286</v>
      </c>
      <c r="JC42">
        <v>25.922201804702102</v>
      </c>
      <c r="JD42">
        <v>26.500509527840901</v>
      </c>
      <c r="JE42">
        <v>80.569153131380801</v>
      </c>
      <c r="JF42">
        <v>-7.3621303260201403</v>
      </c>
      <c r="JG42">
        <v>-434.13687352749201</v>
      </c>
      <c r="JH42">
        <v>98.789562551638696</v>
      </c>
      <c r="JI42">
        <v>25.877878197059999</v>
      </c>
      <c r="JJ42">
        <v>26.505991045326901</v>
      </c>
      <c r="JK42">
        <v>100.116863145491</v>
      </c>
      <c r="JL42">
        <v>-60.731335179614803</v>
      </c>
      <c r="JM42">
        <v>-890.61282714530898</v>
      </c>
      <c r="JN42">
        <v>135.847585751206</v>
      </c>
      <c r="JO42">
        <v>26.6019998127828</v>
      </c>
      <c r="JP42">
        <v>27.981038623632301</v>
      </c>
      <c r="JQ42">
        <v>1.57485380755221</v>
      </c>
      <c r="JR42">
        <v>260.48398498978997</v>
      </c>
      <c r="JS42">
        <v>0.261570104745043</v>
      </c>
      <c r="JT42">
        <v>2.90709651069945</v>
      </c>
      <c r="JU42">
        <v>-829.14286308529597</v>
      </c>
      <c r="JV42">
        <v>388.28989560180497</v>
      </c>
      <c r="JW42">
        <v>352.069120810426</v>
      </c>
      <c r="JX42">
        <v>449.73576300013201</v>
      </c>
      <c r="JY42">
        <v>275.09429384857299</v>
      </c>
      <c r="JZ42">
        <v>252.82550258717799</v>
      </c>
      <c r="KA42">
        <v>288.95005384191302</v>
      </c>
      <c r="KB42">
        <v>484.25011243836298</v>
      </c>
      <c r="KC42">
        <v>394.909929073081</v>
      </c>
      <c r="KD42">
        <v>469.48157386723199</v>
      </c>
      <c r="KE42">
        <v>493.11234551404601</v>
      </c>
      <c r="KF42">
        <v>39.563804810248399</v>
      </c>
      <c r="KG42">
        <v>1855.7580244772601</v>
      </c>
      <c r="KH42">
        <v>0.58623501966448299</v>
      </c>
      <c r="KI42">
        <v>294.01053093569902</v>
      </c>
      <c r="KJ42">
        <v>462.44358100884</v>
      </c>
      <c r="KK42">
        <v>197.25243369262199</v>
      </c>
      <c r="KL42">
        <v>28.0305605663576</v>
      </c>
      <c r="KM42">
        <v>27.477435639788599</v>
      </c>
      <c r="KN42">
        <v>620.26441495922199</v>
      </c>
      <c r="KO42">
        <v>29.130976003560601</v>
      </c>
      <c r="KP42">
        <v>54.9186468218019</v>
      </c>
      <c r="KQ42">
        <v>633.71728033256704</v>
      </c>
      <c r="KR42">
        <v>1778.96984179471</v>
      </c>
      <c r="KS42">
        <v>137.426297621798</v>
      </c>
      <c r="KT42">
        <v>28.039575736077001</v>
      </c>
      <c r="KU42">
        <v>27.5025383052621</v>
      </c>
      <c r="KV42">
        <v>402.67156223529599</v>
      </c>
      <c r="KW42">
        <v>29.133833624104501</v>
      </c>
      <c r="KX42">
        <v>54.703345231943103</v>
      </c>
      <c r="KY42">
        <v>406.41246795980402</v>
      </c>
      <c r="KZ42">
        <v>1123.3416396288901</v>
      </c>
      <c r="LA42">
        <v>235.92946970407999</v>
      </c>
      <c r="LB42">
        <v>28.165623670927101</v>
      </c>
      <c r="LC42">
        <v>27.5888472075703</v>
      </c>
      <c r="LD42">
        <v>652.25797871859402</v>
      </c>
      <c r="LE42">
        <v>29.275722725002701</v>
      </c>
      <c r="LF42">
        <v>54.921384915874903</v>
      </c>
      <c r="LG42">
        <v>655.63147226578303</v>
      </c>
      <c r="LH42">
        <v>1784.54683718858</v>
      </c>
      <c r="LI42">
        <v>242.592564902437</v>
      </c>
      <c r="LJ42">
        <v>28.644697351805199</v>
      </c>
      <c r="LK42">
        <v>28.872113611912098</v>
      </c>
      <c r="LL42">
        <v>709.43224902717202</v>
      </c>
      <c r="LM42">
        <v>29.469151471728399</v>
      </c>
      <c r="LN42">
        <v>53.845655145445498</v>
      </c>
      <c r="LO42">
        <v>527.28108364242598</v>
      </c>
      <c r="LP42">
        <v>1039.07303252104</v>
      </c>
      <c r="LQ42">
        <v>96.148262038290298</v>
      </c>
      <c r="LR42">
        <v>20.0055062200794</v>
      </c>
      <c r="LS42">
        <v>16.420999999999999</v>
      </c>
      <c r="LT42">
        <v>315.33481509403498</v>
      </c>
      <c r="LU42">
        <v>-1298.14862381118</v>
      </c>
      <c r="LV42">
        <v>21.5966690939335</v>
      </c>
      <c r="LW42">
        <v>24.690898437664501</v>
      </c>
      <c r="LX42">
        <v>861.15103860672298</v>
      </c>
      <c r="LY42">
        <v>68.920577193130796</v>
      </c>
      <c r="LZ42">
        <v>20.096087325448199</v>
      </c>
      <c r="MA42">
        <v>16.420999999999999</v>
      </c>
      <c r="MB42">
        <v>222.13268915338901</v>
      </c>
      <c r="MC42">
        <v>-831.67310694722505</v>
      </c>
      <c r="MD42">
        <v>21.735169030643199</v>
      </c>
      <c r="ME42">
        <v>24.8755288881108</v>
      </c>
      <c r="MF42">
        <v>576.63893629157803</v>
      </c>
      <c r="MG42">
        <v>116.665579815136</v>
      </c>
      <c r="MH42">
        <v>20.0350606547007</v>
      </c>
      <c r="MI42">
        <v>16.420999999999999</v>
      </c>
      <c r="MJ42">
        <v>319.47733956243599</v>
      </c>
      <c r="MK42">
        <v>-1401.41468062893</v>
      </c>
      <c r="ML42">
        <v>21.716477671292399</v>
      </c>
      <c r="MM42">
        <v>24.905880908026301</v>
      </c>
      <c r="MN42">
        <v>898.46829719037498</v>
      </c>
      <c r="MO42">
        <v>122.365564810271</v>
      </c>
      <c r="MP42">
        <v>20.049356564025398</v>
      </c>
      <c r="MQ42">
        <v>16.420999999999999</v>
      </c>
      <c r="MR42">
        <v>340.06036180489599</v>
      </c>
      <c r="MS42">
        <v>-854.08081513797003</v>
      </c>
      <c r="MT42">
        <v>21.860336330544602</v>
      </c>
      <c r="MU42">
        <v>25.7161003914022</v>
      </c>
      <c r="MV42">
        <v>716.51231569785102</v>
      </c>
      <c r="MW42">
        <v>127.60756081276099</v>
      </c>
      <c r="MX42">
        <v>23.0135608597421</v>
      </c>
      <c r="MY42">
        <v>25.0242206924224</v>
      </c>
      <c r="MZ42">
        <v>1503.74130631052</v>
      </c>
      <c r="NA42">
        <v>1257.85133423148</v>
      </c>
      <c r="NB42">
        <v>23.2863221899423</v>
      </c>
      <c r="NC42">
        <v>25.685045132382701</v>
      </c>
      <c r="ND42">
        <v>1573.1606733746401</v>
      </c>
      <c r="NE42">
        <v>89.834728021290502</v>
      </c>
      <c r="NF42">
        <v>23.175084473518002</v>
      </c>
      <c r="NG42">
        <v>25.304518423591301</v>
      </c>
      <c r="NH42">
        <v>1014.06349513335</v>
      </c>
      <c r="NI42">
        <v>896.01102941012198</v>
      </c>
      <c r="NJ42">
        <v>23.393416775917299</v>
      </c>
      <c r="NK42">
        <v>25.7477258655749</v>
      </c>
      <c r="NL42">
        <v>1034.8813374484901</v>
      </c>
      <c r="NM42">
        <v>145.47796842914201</v>
      </c>
      <c r="NN42">
        <v>23.004919175677401</v>
      </c>
      <c r="NO42">
        <v>25.1597644751015</v>
      </c>
      <c r="NP42">
        <v>1533.1826991188</v>
      </c>
      <c r="NQ42">
        <v>1233.3996109698601</v>
      </c>
      <c r="NR42">
        <v>23.318009550528199</v>
      </c>
      <c r="NS42">
        <v>25.7475105602268</v>
      </c>
      <c r="NT42">
        <v>1624.0878610719601</v>
      </c>
      <c r="NU42">
        <v>144.18409058619801</v>
      </c>
      <c r="NV42">
        <v>22.975667419694101</v>
      </c>
      <c r="NW42">
        <v>25.267577851694899</v>
      </c>
      <c r="NX42">
        <v>2.7649711995282198</v>
      </c>
      <c r="NY42">
        <v>1189.0834585600401</v>
      </c>
      <c r="NZ42">
        <v>844.87881809295095</v>
      </c>
      <c r="OA42">
        <v>23.503887923554998</v>
      </c>
      <c r="OB42">
        <v>27.116063118581799</v>
      </c>
      <c r="OC42">
        <v>2.6045461042612201</v>
      </c>
      <c r="OD42">
        <v>1312.71487991566</v>
      </c>
      <c r="OE42">
        <v>2.7649711995282198</v>
      </c>
      <c r="OF42">
        <v>2.6045461042612201</v>
      </c>
      <c r="OG42">
        <v>125.20824663352499</v>
      </c>
      <c r="OH42">
        <v>22.9391097673814</v>
      </c>
      <c r="OI42">
        <v>25.103184325766801</v>
      </c>
      <c r="OJ42">
        <v>1655.5792399074301</v>
      </c>
      <c r="OK42">
        <v>1418.5457631951899</v>
      </c>
      <c r="OL42">
        <v>23.200311321239301</v>
      </c>
      <c r="OM42">
        <v>25.884178604886198</v>
      </c>
      <c r="ON42">
        <v>1821.0600381371301</v>
      </c>
      <c r="OO42">
        <v>88.060610929191597</v>
      </c>
      <c r="OP42">
        <v>23.112805187751398</v>
      </c>
      <c r="OQ42">
        <v>25.356459761479599</v>
      </c>
      <c r="OR42">
        <v>1118.5906913149599</v>
      </c>
      <c r="OS42">
        <v>1012.29453907994</v>
      </c>
      <c r="OT42">
        <v>23.31007329042</v>
      </c>
      <c r="OU42">
        <v>25.946960187805299</v>
      </c>
      <c r="OV42">
        <v>1195.46984497466</v>
      </c>
      <c r="OW42">
        <v>142.21402263670899</v>
      </c>
      <c r="OX42">
        <v>22.9389617984254</v>
      </c>
      <c r="OY42">
        <v>25.194801006411499</v>
      </c>
      <c r="OZ42">
        <v>1687.80758443541</v>
      </c>
      <c r="PA42">
        <v>1398.2734939188099</v>
      </c>
      <c r="PB42">
        <v>23.239944584636401</v>
      </c>
      <c r="PC42">
        <v>25.964103835891901</v>
      </c>
      <c r="PD42">
        <v>1880.2520008280101</v>
      </c>
      <c r="PE42">
        <v>139.58373685782499</v>
      </c>
      <c r="PF42">
        <v>22.889199857360602</v>
      </c>
      <c r="PG42">
        <v>25.4896839502657</v>
      </c>
      <c r="PH42">
        <v>3.1187825747150599</v>
      </c>
      <c r="PI42">
        <v>1289.51473528516</v>
      </c>
      <c r="PJ42">
        <v>959.51238906814399</v>
      </c>
      <c r="PK42">
        <v>23.391642598234299</v>
      </c>
      <c r="PL42">
        <v>27.310608508393699</v>
      </c>
      <c r="PM42">
        <v>3.0947172286572799</v>
      </c>
      <c r="PN42">
        <v>1497.2422075544901</v>
      </c>
      <c r="PO42">
        <v>25.846843566640601</v>
      </c>
      <c r="PP42">
        <v>26.080681302922201</v>
      </c>
      <c r="PQ42">
        <v>26.1374199780788</v>
      </c>
      <c r="PR42">
        <v>27.489096662858199</v>
      </c>
      <c r="PS42">
        <v>24.901552378913799</v>
      </c>
      <c r="PT42">
        <v>26.441809449076398</v>
      </c>
      <c r="PU42">
        <v>26.555281061489101</v>
      </c>
      <c r="PV42">
        <v>26.582118926897</v>
      </c>
      <c r="PW42">
        <v>28.620666449430502</v>
      </c>
      <c r="PX42">
        <v>25.2839624360894</v>
      </c>
      <c r="PY42">
        <v>26.9310960722907</v>
      </c>
      <c r="PZ42">
        <v>27.007229005522898</v>
      </c>
      <c r="QA42">
        <v>27.0695281972495</v>
      </c>
      <c r="QB42">
        <v>28.993545160704802</v>
      </c>
      <c r="QC42">
        <v>26.1878320461228</v>
      </c>
      <c r="QD42">
        <v>21.6271686429649</v>
      </c>
      <c r="QE42">
        <v>26.690670336081499</v>
      </c>
      <c r="QF42">
        <v>26.648123728144899</v>
      </c>
      <c r="QG42">
        <v>26.782538141021199</v>
      </c>
      <c r="QH42">
        <v>28.926356802693</v>
      </c>
      <c r="QI42">
        <v>25.0084801703422</v>
      </c>
      <c r="QJ42">
        <v>26.059844309678901</v>
      </c>
      <c r="QK42">
        <v>26.137178659818801</v>
      </c>
      <c r="QL42">
        <v>26.1446777673982</v>
      </c>
      <c r="QM42">
        <v>28.007763574059801</v>
      </c>
      <c r="QN42">
        <v>3662.8312662182502</v>
      </c>
      <c r="QO42">
        <v>25.089531781831798</v>
      </c>
      <c r="QP42">
        <v>3293.0371706946298</v>
      </c>
      <c r="QQ42">
        <v>26.329607344389501</v>
      </c>
      <c r="QR42">
        <v>26.374169754929198</v>
      </c>
      <c r="QS42">
        <v>26.404988410483899</v>
      </c>
      <c r="QT42">
        <v>28.123234393697899</v>
      </c>
      <c r="QU42">
        <v>25.545622291082498</v>
      </c>
      <c r="QV42">
        <v>18.181327315008101</v>
      </c>
      <c r="QW42">
        <v>0</v>
      </c>
      <c r="QX42">
        <v>380005.74363508302</v>
      </c>
      <c r="QY42">
        <v>0</v>
      </c>
      <c r="QZ42">
        <v>252812.41873750099</v>
      </c>
      <c r="RA42">
        <v>0</v>
      </c>
      <c r="RB42">
        <v>86079.944350343605</v>
      </c>
      <c r="RC42">
        <v>0</v>
      </c>
      <c r="RD42">
        <v>57098.341397185301</v>
      </c>
      <c r="RE42">
        <v>0</v>
      </c>
      <c r="RF42">
        <v>122861.129568249</v>
      </c>
      <c r="RG42">
        <v>0</v>
      </c>
      <c r="RH42">
        <v>82027.116473496106</v>
      </c>
      <c r="RI42">
        <v>0</v>
      </c>
      <c r="RJ42">
        <v>5117.5073642396001</v>
      </c>
      <c r="RK42">
        <v>27.534497105522401</v>
      </c>
      <c r="RL42">
        <v>-5109.6319360816096</v>
      </c>
      <c r="RM42">
        <v>-11476.5738191932</v>
      </c>
      <c r="RN42">
        <v>-5109.6319360816096</v>
      </c>
      <c r="RO42">
        <v>0</v>
      </c>
      <c r="RP42">
        <v>3459.6299966807201</v>
      </c>
      <c r="RQ42">
        <v>27.2155661533676</v>
      </c>
      <c r="RR42">
        <v>-3452.0780718564001</v>
      </c>
      <c r="RS42">
        <v>-7690.3667895072504</v>
      </c>
      <c r="RT42">
        <v>-3452.0780718564001</v>
      </c>
      <c r="RU42">
        <v>0</v>
      </c>
      <c r="RV42">
        <v>5333.2915012128196</v>
      </c>
      <c r="RW42">
        <v>27.427656303963602</v>
      </c>
      <c r="RX42">
        <v>-5337.7498023301496</v>
      </c>
      <c r="RY42">
        <v>-11900.580078552901</v>
      </c>
      <c r="RZ42">
        <v>-5337.7498023301496</v>
      </c>
      <c r="SA42">
        <v>0</v>
      </c>
      <c r="SB42">
        <v>6456.2475777828904</v>
      </c>
      <c r="SC42">
        <v>30.363616942527699</v>
      </c>
      <c r="SD42">
        <v>-6386.1352032661198</v>
      </c>
      <c r="SE42">
        <v>-9299.2411625976492</v>
      </c>
      <c r="SF42">
        <v>-6386.1352032661198</v>
      </c>
      <c r="SG42">
        <v>0</v>
      </c>
      <c r="SH42">
        <v>17980.738326937299</v>
      </c>
      <c r="SI42">
        <v>25.1154079617706</v>
      </c>
      <c r="SJ42">
        <v>-18055.1844492858</v>
      </c>
      <c r="SK42">
        <v>-40058.923990625502</v>
      </c>
      <c r="SL42">
        <v>-18055.1844492858</v>
      </c>
      <c r="SM42">
        <v>21.1111</v>
      </c>
      <c r="SN42">
        <v>23.8889</v>
      </c>
      <c r="SO42">
        <v>115.452460042355</v>
      </c>
      <c r="SP42">
        <v>0</v>
      </c>
      <c r="SQ42">
        <v>25.6278340799395</v>
      </c>
      <c r="SR42">
        <v>0</v>
      </c>
      <c r="SS42">
        <v>0</v>
      </c>
      <c r="ST42">
        <v>0</v>
      </c>
      <c r="SU42">
        <v>29.439165271716799</v>
      </c>
      <c r="SV42">
        <v>0</v>
      </c>
      <c r="SW42">
        <v>25.786073299560201</v>
      </c>
      <c r="SX42">
        <v>0</v>
      </c>
      <c r="SY42">
        <v>0</v>
      </c>
      <c r="SZ42">
        <v>0</v>
      </c>
      <c r="TA42">
        <v>120.492277663168</v>
      </c>
      <c r="TB42">
        <v>0</v>
      </c>
      <c r="TC42">
        <v>25.8405191346788</v>
      </c>
      <c r="TD42">
        <v>0</v>
      </c>
      <c r="TE42">
        <v>0</v>
      </c>
      <c r="TF42">
        <v>0</v>
      </c>
      <c r="TG42">
        <v>0</v>
      </c>
      <c r="TH42">
        <v>189.87994473446099</v>
      </c>
      <c r="TI42">
        <v>25.548875775414398</v>
      </c>
      <c r="TJ42">
        <v>0</v>
      </c>
      <c r="TK42">
        <v>0</v>
      </c>
      <c r="TL42">
        <v>0</v>
      </c>
      <c r="TM42">
        <v>2026.5669842162199</v>
      </c>
      <c r="TN42">
        <v>0</v>
      </c>
      <c r="TO42">
        <v>25.2062026155734</v>
      </c>
      <c r="TP42">
        <v>0</v>
      </c>
      <c r="TQ42">
        <v>0</v>
      </c>
      <c r="TR42">
        <v>0</v>
      </c>
      <c r="TS42">
        <v>0</v>
      </c>
      <c r="TT42">
        <v>6425.5046403614197</v>
      </c>
      <c r="TU42">
        <v>25.6778791702814</v>
      </c>
      <c r="TV42">
        <v>-6434.0600930126902</v>
      </c>
      <c r="TW42">
        <v>-13936.757859097001</v>
      </c>
      <c r="TX42">
        <v>-6434.0600930126902</v>
      </c>
      <c r="TY42">
        <v>0</v>
      </c>
      <c r="TZ42">
        <v>4228.8050142885604</v>
      </c>
      <c r="UA42">
        <v>25.719076258148501</v>
      </c>
      <c r="UB42">
        <v>-4218.0846390321203</v>
      </c>
      <c r="UC42">
        <v>-8945.7048963859907</v>
      </c>
      <c r="UD42">
        <v>-4218.0846390321203</v>
      </c>
      <c r="UE42">
        <v>0</v>
      </c>
      <c r="UF42">
        <v>6580.7427126013099</v>
      </c>
      <c r="UG42">
        <v>25.7072366078995</v>
      </c>
      <c r="UH42">
        <v>-6613.0336033526401</v>
      </c>
      <c r="UI42">
        <v>-14093.969941261401</v>
      </c>
      <c r="UJ42">
        <v>-6613.0336033526401</v>
      </c>
      <c r="UK42">
        <v>0</v>
      </c>
      <c r="UL42">
        <v>7985.4417737888998</v>
      </c>
      <c r="UM42">
        <v>27.394860698689101</v>
      </c>
      <c r="UN42">
        <v>-7911.1669558585199</v>
      </c>
      <c r="UO42">
        <v>-11548.1433759188</v>
      </c>
      <c r="UP42">
        <v>-7911.1669558585199</v>
      </c>
      <c r="UQ42">
        <v>0</v>
      </c>
      <c r="UR42">
        <v>20127.253379096201</v>
      </c>
      <c r="US42">
        <v>24.8951011275742</v>
      </c>
      <c r="UT42">
        <v>-20192.018160914799</v>
      </c>
      <c r="UU42">
        <v>-42572.139381018103</v>
      </c>
      <c r="UV42">
        <v>-20192.018160914799</v>
      </c>
      <c r="UW42">
        <v>21.1111</v>
      </c>
      <c r="UX42">
        <v>23.8889</v>
      </c>
      <c r="UY42">
        <v>0</v>
      </c>
      <c r="UZ42">
        <v>144.71529518195001</v>
      </c>
      <c r="VA42">
        <v>25.367633453980101</v>
      </c>
      <c r="VB42">
        <v>0</v>
      </c>
      <c r="VC42">
        <v>0</v>
      </c>
      <c r="VD42">
        <v>0</v>
      </c>
      <c r="VE42">
        <v>0</v>
      </c>
      <c r="VF42">
        <v>153.565321298936</v>
      </c>
      <c r="VG42">
        <v>25.4415904113057</v>
      </c>
      <c r="VH42">
        <v>0</v>
      </c>
      <c r="VI42">
        <v>0</v>
      </c>
      <c r="VJ42">
        <v>0</v>
      </c>
      <c r="VK42">
        <v>0</v>
      </c>
      <c r="VL42">
        <v>190.69278668856001</v>
      </c>
      <c r="VM42">
        <v>25.457023909251902</v>
      </c>
      <c r="VN42">
        <v>0</v>
      </c>
      <c r="VO42">
        <v>0</v>
      </c>
      <c r="VP42">
        <v>0</v>
      </c>
      <c r="VQ42">
        <v>0</v>
      </c>
      <c r="VR42">
        <v>408.22550823031497</v>
      </c>
      <c r="VS42">
        <v>25.469783622124801</v>
      </c>
      <c r="VT42">
        <v>0</v>
      </c>
      <c r="VU42">
        <v>0</v>
      </c>
      <c r="VV42">
        <v>0</v>
      </c>
      <c r="VW42">
        <v>1458.0387297147599</v>
      </c>
      <c r="VX42">
        <v>0</v>
      </c>
      <c r="VY42">
        <v>25.2091419618651</v>
      </c>
      <c r="VZ42">
        <v>0</v>
      </c>
      <c r="WA42">
        <v>0</v>
      </c>
      <c r="WB42">
        <v>0</v>
      </c>
      <c r="WC42">
        <v>0</v>
      </c>
      <c r="WD42">
        <v>7253.4002690667103</v>
      </c>
      <c r="WE42">
        <v>25.728118616488299</v>
      </c>
      <c r="WF42">
        <v>-7262.5395338406097</v>
      </c>
      <c r="WG42">
        <v>-14692.8409321994</v>
      </c>
      <c r="WH42">
        <v>-7262.5395338406097</v>
      </c>
      <c r="WI42">
        <v>17037198.325449798</v>
      </c>
      <c r="WJ42">
        <v>0</v>
      </c>
      <c r="WK42">
        <v>4732.5550904027205</v>
      </c>
      <c r="WL42">
        <v>25.741110504335602</v>
      </c>
      <c r="WM42">
        <v>-4719.6049301443099</v>
      </c>
      <c r="WN42">
        <v>-9421.3820321966705</v>
      </c>
      <c r="WO42">
        <v>-4719.6049301443099</v>
      </c>
      <c r="WP42">
        <v>18.333300000000001</v>
      </c>
      <c r="WQ42">
        <v>23.8889</v>
      </c>
      <c r="WR42">
        <v>0</v>
      </c>
      <c r="WS42">
        <v>7406.8389000084499</v>
      </c>
      <c r="WT42">
        <v>25.740448623718301</v>
      </c>
      <c r="WU42">
        <v>-7425.7017984041904</v>
      </c>
      <c r="WV42">
        <v>-14856.3897304206</v>
      </c>
      <c r="WW42">
        <v>-7425.7017984041904</v>
      </c>
      <c r="WX42">
        <v>30569304.4068937</v>
      </c>
      <c r="WY42">
        <v>0</v>
      </c>
      <c r="WZ42">
        <v>8491.4734463593595</v>
      </c>
      <c r="XA42">
        <v>27.252923626691</v>
      </c>
      <c r="XB42">
        <v>-8420.2651889296103</v>
      </c>
      <c r="XC42">
        <v>-12099.7204379254</v>
      </c>
      <c r="XD42">
        <v>-8420.2651889296103</v>
      </c>
      <c r="XE42">
        <v>0</v>
      </c>
      <c r="XF42">
        <v>24893.962354789001</v>
      </c>
      <c r="XG42">
        <v>24.9034125360422</v>
      </c>
      <c r="XH42">
        <v>-24963.194273802601</v>
      </c>
      <c r="XI42">
        <v>-47329.300332817198</v>
      </c>
      <c r="XJ42">
        <v>-24963.194273802601</v>
      </c>
      <c r="XK42">
        <v>21.1111</v>
      </c>
      <c r="XL42">
        <v>23.8889</v>
      </c>
      <c r="XM42">
        <v>0</v>
      </c>
      <c r="XN42">
        <v>1832.2063073240299</v>
      </c>
      <c r="XO42">
        <v>26.418492953655502</v>
      </c>
      <c r="XP42">
        <v>0</v>
      </c>
      <c r="XQ42">
        <v>0</v>
      </c>
      <c r="XR42">
        <v>0</v>
      </c>
      <c r="XS42">
        <v>0</v>
      </c>
      <c r="XT42">
        <v>1188.0415408910001</v>
      </c>
      <c r="XU42">
        <v>26.415979028632499</v>
      </c>
      <c r="XV42">
        <v>0</v>
      </c>
      <c r="XW42">
        <v>0</v>
      </c>
      <c r="XX42">
        <v>0</v>
      </c>
      <c r="XY42">
        <v>0</v>
      </c>
      <c r="XZ42">
        <v>1932.9038727770601</v>
      </c>
      <c r="YA42">
        <v>26.4897137961628</v>
      </c>
      <c r="YB42">
        <v>0</v>
      </c>
      <c r="YC42">
        <v>0</v>
      </c>
      <c r="YD42">
        <v>0</v>
      </c>
      <c r="YE42">
        <v>0</v>
      </c>
      <c r="YF42">
        <v>1723.9010094775699</v>
      </c>
      <c r="YG42">
        <v>26.1911902696277</v>
      </c>
      <c r="YH42">
        <v>0</v>
      </c>
      <c r="YI42">
        <v>0</v>
      </c>
      <c r="YJ42">
        <v>0</v>
      </c>
      <c r="YK42">
        <v>0</v>
      </c>
      <c r="YL42">
        <v>5815.97305841864</v>
      </c>
      <c r="YM42">
        <v>26.613083874407401</v>
      </c>
      <c r="YN42">
        <v>0</v>
      </c>
      <c r="YO42">
        <v>0</v>
      </c>
      <c r="YP42">
        <v>0</v>
      </c>
      <c r="YQ42">
        <v>0</v>
      </c>
      <c r="YR42">
        <v>1316.4269293974901</v>
      </c>
      <c r="YS42">
        <v>19.300335206029199</v>
      </c>
      <c r="YT42">
        <v>0</v>
      </c>
      <c r="YU42">
        <v>0</v>
      </c>
      <c r="YV42">
        <v>0</v>
      </c>
      <c r="YW42">
        <v>0</v>
      </c>
      <c r="YX42">
        <v>893.78298939284105</v>
      </c>
      <c r="YY42">
        <v>19.322468604739601</v>
      </c>
      <c r="YZ42">
        <v>0</v>
      </c>
      <c r="ZA42">
        <v>0</v>
      </c>
      <c r="ZB42">
        <v>0</v>
      </c>
      <c r="ZC42">
        <v>0</v>
      </c>
      <c r="ZD42">
        <v>1373.23589593415</v>
      </c>
      <c r="ZE42">
        <v>19.326312139255201</v>
      </c>
      <c r="ZF42">
        <v>0</v>
      </c>
      <c r="ZG42">
        <v>0</v>
      </c>
      <c r="ZH42">
        <v>0</v>
      </c>
      <c r="ZI42">
        <v>0</v>
      </c>
      <c r="ZJ42">
        <v>1214.39847773066</v>
      </c>
      <c r="ZK42">
        <v>18.864626843416801</v>
      </c>
      <c r="ZL42">
        <v>0</v>
      </c>
      <c r="ZM42">
        <v>0</v>
      </c>
      <c r="ZN42">
        <v>0</v>
      </c>
      <c r="ZO42">
        <v>0</v>
      </c>
      <c r="ZP42">
        <v>11432.186939634799</v>
      </c>
      <c r="ZQ42">
        <v>17.654672691016401</v>
      </c>
      <c r="ZR42">
        <v>0</v>
      </c>
      <c r="ZS42">
        <v>0</v>
      </c>
      <c r="ZT42">
        <v>0</v>
      </c>
      <c r="ZU42">
        <v>0</v>
      </c>
      <c r="ZV42">
        <v>3296.11214704022</v>
      </c>
      <c r="ZW42">
        <v>20.538138526864699</v>
      </c>
      <c r="ZX42">
        <v>0</v>
      </c>
      <c r="ZY42">
        <v>0</v>
      </c>
      <c r="ZZ42">
        <v>0</v>
      </c>
      <c r="AAA42">
        <v>0</v>
      </c>
      <c r="AAB42">
        <v>2187.7187684106998</v>
      </c>
      <c r="AAC42">
        <v>20.5660911276841</v>
      </c>
      <c r="AAD42">
        <v>0</v>
      </c>
      <c r="AAE42">
        <v>0</v>
      </c>
      <c r="AAF42">
        <v>0</v>
      </c>
      <c r="AAG42">
        <v>0</v>
      </c>
      <c r="AAH42">
        <v>3385.16058481444</v>
      </c>
      <c r="AAI42">
        <v>20.4900434059345</v>
      </c>
      <c r="AAJ42">
        <v>0</v>
      </c>
      <c r="AAK42">
        <v>0</v>
      </c>
      <c r="AAL42">
        <v>0</v>
      </c>
      <c r="AAM42">
        <v>0</v>
      </c>
      <c r="AAN42">
        <v>2718.6873253016402</v>
      </c>
      <c r="AAO42">
        <v>19.907865126522601</v>
      </c>
      <c r="AAP42">
        <v>0</v>
      </c>
      <c r="AAQ42">
        <v>0</v>
      </c>
      <c r="AAR42">
        <v>0</v>
      </c>
      <c r="AAS42">
        <v>0</v>
      </c>
      <c r="AAT42">
        <v>21414.676376333198</v>
      </c>
      <c r="AAU42">
        <v>18.1788087480478</v>
      </c>
      <c r="AAV42">
        <v>0</v>
      </c>
      <c r="AAW42">
        <v>0</v>
      </c>
      <c r="AAX42">
        <v>0</v>
      </c>
      <c r="AAY42">
        <v>0</v>
      </c>
      <c r="AAZ42">
        <v>3697.00498714184</v>
      </c>
      <c r="ABA42">
        <v>20.5234773278186</v>
      </c>
      <c r="ABB42">
        <v>0</v>
      </c>
      <c r="ABC42">
        <v>0</v>
      </c>
      <c r="ABD42">
        <v>0</v>
      </c>
      <c r="ABE42">
        <v>0</v>
      </c>
      <c r="ABF42">
        <v>2451.4459528706302</v>
      </c>
      <c r="ABG42">
        <v>20.561499672446701</v>
      </c>
      <c r="ABH42">
        <v>0</v>
      </c>
      <c r="ABI42">
        <v>0</v>
      </c>
      <c r="ABJ42">
        <v>0</v>
      </c>
      <c r="ABK42">
        <v>0</v>
      </c>
      <c r="ABL42">
        <v>3787.6757397373799</v>
      </c>
      <c r="ABM42">
        <v>20.489144694467299</v>
      </c>
      <c r="ABN42">
        <v>0</v>
      </c>
      <c r="ABO42">
        <v>0</v>
      </c>
      <c r="ABP42">
        <v>0</v>
      </c>
      <c r="ABQ42">
        <v>0</v>
      </c>
      <c r="ABR42">
        <v>2998.2354466255601</v>
      </c>
      <c r="ABS42">
        <v>19.9401731133147</v>
      </c>
      <c r="ABT42">
        <v>0</v>
      </c>
      <c r="ABU42">
        <v>0</v>
      </c>
      <c r="ABV42">
        <v>0</v>
      </c>
      <c r="ABW42">
        <v>0</v>
      </c>
      <c r="ABX42">
        <v>24750.1924336681</v>
      </c>
      <c r="ABY42">
        <v>18.181327315008101</v>
      </c>
      <c r="ABZ42">
        <v>0</v>
      </c>
      <c r="ACA42">
        <v>0</v>
      </c>
      <c r="ACB42">
        <v>0</v>
      </c>
      <c r="ACC42">
        <v>0.727028260124015</v>
      </c>
      <c r="ACD42">
        <v>215380731.961878</v>
      </c>
      <c r="ACE42">
        <v>317728.57397767802</v>
      </c>
      <c r="ACF42">
        <v>12.330488905206799</v>
      </c>
      <c r="ACG42">
        <v>6.7</v>
      </c>
      <c r="ACH42">
        <v>13.50000361399</v>
      </c>
      <c r="ACI42">
        <v>377556.55507819902</v>
      </c>
      <c r="ACJ42">
        <v>5.3108654321015196</v>
      </c>
      <c r="ACK42">
        <v>26.158047700389801</v>
      </c>
      <c r="ACL42">
        <v>31.885664094020999</v>
      </c>
      <c r="ACM42">
        <v>15.7700042216757</v>
      </c>
      <c r="ACN42">
        <v>105390.341415922</v>
      </c>
      <c r="ACP42">
        <v>78410.951268662597</v>
      </c>
      <c r="ACR42">
        <v>183801.292684585</v>
      </c>
      <c r="ACT42">
        <v>25.453482492976899</v>
      </c>
      <c r="ACU42">
        <v>23.8929308737615</v>
      </c>
      <c r="ACV42">
        <v>1.7</v>
      </c>
      <c r="ACW42">
        <v>1.3075206559232899</v>
      </c>
      <c r="ACX42">
        <v>0.79995116538714905</v>
      </c>
      <c r="ACY42">
        <v>25.314089963919301</v>
      </c>
      <c r="ACZ42">
        <v>23.888880023433</v>
      </c>
      <c r="ADA42">
        <v>1.7</v>
      </c>
      <c r="ADB42">
        <v>1.72675592888176</v>
      </c>
      <c r="ADC42">
        <v>0.80016746066283295</v>
      </c>
      <c r="ADD42">
        <v>25.32823341201</v>
      </c>
      <c r="ADE42">
        <v>23.899718272222099</v>
      </c>
      <c r="ADF42">
        <v>1.7</v>
      </c>
      <c r="ADG42">
        <v>2.2466698513083601</v>
      </c>
      <c r="ADH42">
        <v>0.80005316868556697</v>
      </c>
      <c r="ADI42">
        <v>25.782099407559102</v>
      </c>
      <c r="ADJ42">
        <v>23.916587812679701</v>
      </c>
      <c r="ADK42">
        <v>1.7</v>
      </c>
      <c r="ADL42">
        <v>1.7419624792257999</v>
      </c>
      <c r="ADM42">
        <v>0.70846352792594103</v>
      </c>
      <c r="ADN42">
        <v>25.855526094804599</v>
      </c>
      <c r="ADO42">
        <v>23.973272472509102</v>
      </c>
      <c r="ADP42">
        <v>1.7</v>
      </c>
      <c r="ADQ42">
        <v>1.82730883991386</v>
      </c>
      <c r="ADR42">
        <v>0.70849924501294803</v>
      </c>
      <c r="ADS42">
        <v>25.9818739106192</v>
      </c>
      <c r="ADT42">
        <v>24.084501315790099</v>
      </c>
      <c r="ADU42">
        <v>1.7</v>
      </c>
      <c r="ADV42">
        <v>4.7984702717857504</v>
      </c>
      <c r="ADW42">
        <v>0.70781172771143896</v>
      </c>
      <c r="ADX42">
        <v>25.429592914926701</v>
      </c>
      <c r="ADY42">
        <v>23.531907836517998</v>
      </c>
      <c r="ADZ42">
        <v>1.7</v>
      </c>
      <c r="AEA42">
        <v>2.7646299395387901</v>
      </c>
      <c r="AEB42">
        <v>0.70533571549586604</v>
      </c>
      <c r="AEC42">
        <v>25.258204771206401</v>
      </c>
      <c r="AED42">
        <v>23.9172099580225</v>
      </c>
      <c r="AEE42">
        <v>1.7</v>
      </c>
      <c r="AEF42">
        <v>2.8410623506042301</v>
      </c>
      <c r="AEG42">
        <v>0.70786388716208504</v>
      </c>
      <c r="AEH42">
        <v>25.286412293861101</v>
      </c>
      <c r="AEI42">
        <v>23.9428851488723</v>
      </c>
      <c r="AEJ42">
        <v>1.7</v>
      </c>
      <c r="AEK42">
        <v>2.9445588862962899</v>
      </c>
      <c r="AEL42">
        <v>0.708255781664898</v>
      </c>
      <c r="AEM42">
        <v>25.305302692303702</v>
      </c>
      <c r="AEN42">
        <v>23.9929069745154</v>
      </c>
      <c r="AEO42">
        <v>1.7</v>
      </c>
      <c r="AEP42">
        <v>4.5046224677231601</v>
      </c>
      <c r="AEQ42">
        <v>0.70731004393568397</v>
      </c>
      <c r="AER42">
        <v>25.2578513594923</v>
      </c>
      <c r="AES42">
        <v>23.762295188158301</v>
      </c>
      <c r="AET42">
        <v>1.7</v>
      </c>
      <c r="AEU42">
        <v>4.0686694296705701</v>
      </c>
      <c r="AEV42">
        <v>0.70488068298888695</v>
      </c>
      <c r="AEW42">
        <v>25.253691542936402</v>
      </c>
      <c r="AEX42">
        <v>23.912806064793301</v>
      </c>
      <c r="AEY42">
        <v>1.7</v>
      </c>
      <c r="AEZ42">
        <v>2.9886201284253402</v>
      </c>
      <c r="AFA42">
        <v>0.70774811117741898</v>
      </c>
      <c r="AFB42">
        <v>25.277821807672002</v>
      </c>
      <c r="AFC42">
        <v>23.939309016361399</v>
      </c>
      <c r="AFD42">
        <v>1.7</v>
      </c>
      <c r="AFE42">
        <v>3.0901872108238102</v>
      </c>
      <c r="AFF42">
        <v>0.70823520061590095</v>
      </c>
      <c r="AFG42">
        <v>25.3029910812078</v>
      </c>
      <c r="AFH42">
        <v>23.985021437194199</v>
      </c>
      <c r="AFI42">
        <v>1.7</v>
      </c>
      <c r="AFJ42">
        <v>4.2058139030183002</v>
      </c>
      <c r="AFK42">
        <v>0.70749030277858904</v>
      </c>
      <c r="AFL42">
        <v>25.2235073477976</v>
      </c>
      <c r="AFM42">
        <v>23.7565325300036</v>
      </c>
      <c r="AFN42">
        <v>1.7</v>
      </c>
      <c r="AFO42">
        <v>4.1909458553112202</v>
      </c>
      <c r="AFP42">
        <v>0.70502468767011595</v>
      </c>
      <c r="AFQ42">
        <v>-0.39988147290542803</v>
      </c>
      <c r="AFR42">
        <v>-0.46541970693774098</v>
      </c>
      <c r="AFS42">
        <v>-0.38004104531201299</v>
      </c>
      <c r="AFT42">
        <v>-0.423193758023578</v>
      </c>
      <c r="AFU42">
        <v>-0.33887551308931202</v>
      </c>
      <c r="AFV42">
        <v>-0.36844579884914402</v>
      </c>
      <c r="AFW42">
        <v>-0.15382338460411399</v>
      </c>
      <c r="AFX42">
        <v>-0.35069101086776899</v>
      </c>
      <c r="AFY42">
        <v>-0.28041898515583802</v>
      </c>
      <c r="AFZ42">
        <v>-0.30992703409780098</v>
      </c>
      <c r="AGA42">
        <v>-0.103203020739735</v>
      </c>
      <c r="AGB42">
        <v>-0.29634467400574599</v>
      </c>
      <c r="AGC42">
        <v>-0.52113551675176994</v>
      </c>
      <c r="AGD42">
        <v>-0.480831371704108</v>
      </c>
      <c r="AGE42">
        <v>-0.37612780524004202</v>
      </c>
      <c r="AGF42">
        <v>0</v>
      </c>
      <c r="AGG42">
        <v>0</v>
      </c>
      <c r="AGH42">
        <v>0</v>
      </c>
      <c r="AGI42">
        <v>0</v>
      </c>
      <c r="AGJ42">
        <v>0</v>
      </c>
      <c r="AGK42">
        <v>0</v>
      </c>
      <c r="AGL42">
        <v>0</v>
      </c>
      <c r="AGM42">
        <v>0</v>
      </c>
      <c r="AGN42">
        <v>0</v>
      </c>
      <c r="AGO42">
        <v>0</v>
      </c>
      <c r="AGP42">
        <v>0</v>
      </c>
      <c r="AGQ42">
        <v>0</v>
      </c>
      <c r="AGR42">
        <v>0</v>
      </c>
      <c r="AGS42">
        <v>0</v>
      </c>
      <c r="AGT42">
        <v>0</v>
      </c>
      <c r="AGU42">
        <v>0</v>
      </c>
      <c r="AGV42">
        <v>0</v>
      </c>
      <c r="AGW42">
        <v>0</v>
      </c>
      <c r="AGX42">
        <v>0</v>
      </c>
      <c r="AGY42">
        <v>0</v>
      </c>
      <c r="AGZ42">
        <v>0</v>
      </c>
      <c r="AHA42">
        <v>0</v>
      </c>
      <c r="AHB42">
        <v>0</v>
      </c>
      <c r="AHC42">
        <v>0</v>
      </c>
      <c r="AHD42">
        <v>0</v>
      </c>
      <c r="AHE42">
        <v>0</v>
      </c>
      <c r="AHF42">
        <v>0</v>
      </c>
      <c r="AHG42">
        <v>0</v>
      </c>
      <c r="AHH42">
        <v>0</v>
      </c>
      <c r="AHI42">
        <v>0</v>
      </c>
      <c r="AHJ42">
        <v>0</v>
      </c>
      <c r="AHK42">
        <v>0</v>
      </c>
      <c r="AHL42">
        <v>0</v>
      </c>
      <c r="AHM42">
        <v>0</v>
      </c>
      <c r="AHN42">
        <v>0</v>
      </c>
      <c r="AHO42">
        <v>0</v>
      </c>
      <c r="AHP42">
        <v>0</v>
      </c>
      <c r="AHQ42">
        <v>0</v>
      </c>
      <c r="AHR42">
        <v>0</v>
      </c>
      <c r="AHS42">
        <v>0</v>
      </c>
      <c r="AHT42">
        <v>0</v>
      </c>
      <c r="AHU42">
        <v>0</v>
      </c>
      <c r="AHV42">
        <v>0</v>
      </c>
      <c r="AHW42">
        <v>0</v>
      </c>
      <c r="AHX42">
        <v>0</v>
      </c>
      <c r="AHZ42">
        <v>0</v>
      </c>
      <c r="AIB42">
        <v>0</v>
      </c>
      <c r="AID42">
        <v>0</v>
      </c>
      <c r="AIF42">
        <v>0</v>
      </c>
      <c r="AIH42">
        <v>0</v>
      </c>
      <c r="AIJ42">
        <v>0</v>
      </c>
      <c r="AIL42">
        <v>0</v>
      </c>
      <c r="AIN42">
        <v>0</v>
      </c>
      <c r="AIP42">
        <v>0</v>
      </c>
      <c r="AIR42">
        <v>0</v>
      </c>
      <c r="AIT42">
        <v>0</v>
      </c>
      <c r="AIV42">
        <v>0</v>
      </c>
      <c r="AIX42">
        <v>0</v>
      </c>
      <c r="AIZ42">
        <v>0</v>
      </c>
      <c r="AJB42">
        <v>0</v>
      </c>
      <c r="AJC42">
        <v>0</v>
      </c>
      <c r="AJE42">
        <v>316044.86806502298</v>
      </c>
      <c r="AJH42">
        <v>7959.4474496137</v>
      </c>
      <c r="AJJ42">
        <v>183.80401834048999</v>
      </c>
      <c r="AJK42">
        <v>114.323391886786</v>
      </c>
      <c r="AJL42">
        <v>448.91605621245202</v>
      </c>
      <c r="AJM42">
        <v>484.995050638598</v>
      </c>
      <c r="AJN42">
        <v>168.028718056428</v>
      </c>
      <c r="AJO42">
        <v>142.25728626816101</v>
      </c>
      <c r="AJP42">
        <v>534.48006620747105</v>
      </c>
      <c r="AJQ42">
        <v>512.70168053683199</v>
      </c>
      <c r="AJR42">
        <v>210.50971194246401</v>
      </c>
      <c r="AJS42">
        <v>45.452432716759702</v>
      </c>
      <c r="AJT42">
        <v>138.510521976999</v>
      </c>
      <c r="AJU42">
        <v>137.83094950043801</v>
      </c>
      <c r="AJV42">
        <v>66.488938261993198</v>
      </c>
      <c r="AJW42">
        <v>0</v>
      </c>
      <c r="AJX42">
        <v>0</v>
      </c>
      <c r="AJY42">
        <v>0</v>
      </c>
      <c r="AJZ42">
        <v>316044.87516559102</v>
      </c>
      <c r="AKA42">
        <v>0</v>
      </c>
      <c r="AKB42">
        <v>0</v>
      </c>
      <c r="AKC42">
        <v>0</v>
      </c>
      <c r="AKD42">
        <v>0</v>
      </c>
      <c r="AKE42">
        <v>65.56</v>
      </c>
      <c r="AKF42">
        <v>65.56</v>
      </c>
      <c r="AKG42">
        <v>0</v>
      </c>
      <c r="AKH42">
        <v>0</v>
      </c>
      <c r="AKI42">
        <v>0</v>
      </c>
      <c r="AKJ42">
        <v>0</v>
      </c>
      <c r="AKK42">
        <v>0</v>
      </c>
      <c r="AKL42">
        <v>65.56</v>
      </c>
      <c r="AKM42">
        <v>65.56</v>
      </c>
      <c r="AKN42">
        <v>0</v>
      </c>
      <c r="AKO42">
        <v>0</v>
      </c>
      <c r="AKP42">
        <v>0</v>
      </c>
      <c r="AKT42">
        <v>6734795.2483461499</v>
      </c>
      <c r="AKX42">
        <v>6078357.7937538503</v>
      </c>
      <c r="ALB42">
        <v>31.908716601835799</v>
      </c>
      <c r="ALC42">
        <v>25.922910885990898</v>
      </c>
      <c r="ALD42">
        <v>15.7700042216757</v>
      </c>
      <c r="ALE42">
        <v>394576.03828963602</v>
      </c>
      <c r="ALF42">
        <v>3876.01471762034</v>
      </c>
      <c r="ALH42">
        <v>15.215129660459899</v>
      </c>
      <c r="ALI42">
        <v>8.8638055902953393E-3</v>
      </c>
      <c r="ALJ42">
        <v>18.773244284911002</v>
      </c>
      <c r="ALK42">
        <v>28.023044137947501</v>
      </c>
      <c r="ALL42">
        <v>18.773244284911002</v>
      </c>
      <c r="ALM42">
        <v>0</v>
      </c>
      <c r="ALN42">
        <v>25.797939963757798</v>
      </c>
      <c r="ALO42">
        <v>9.3225733647757103E-3</v>
      </c>
      <c r="ALP42">
        <v>44.999724833323299</v>
      </c>
      <c r="ALQ42">
        <v>18.773244284911002</v>
      </c>
      <c r="ALR42">
        <v>15.215129660459899</v>
      </c>
      <c r="ALS42">
        <v>18.773244284911002</v>
      </c>
      <c r="ALT42">
        <v>15.5600087559834</v>
      </c>
      <c r="ALU42">
        <v>18.773244284911002</v>
      </c>
      <c r="ALV42">
        <v>6.7000001258296296</v>
      </c>
      <c r="ALW42">
        <v>4.3932869424735798E-3</v>
      </c>
      <c r="ALX42">
        <v>23.9102889557692</v>
      </c>
      <c r="ALY42">
        <v>4.3932869424735798E-3</v>
      </c>
      <c r="ALZ42">
        <v>0</v>
      </c>
      <c r="AMA42">
        <v>12.330488905206799</v>
      </c>
      <c r="AMB42">
        <v>1.35E-2</v>
      </c>
      <c r="AMC42">
        <v>12.3006519680926</v>
      </c>
      <c r="AMD42">
        <v>1.35E-2</v>
      </c>
      <c r="AME42">
        <v>6.7</v>
      </c>
      <c r="AMF42">
        <v>1.35E-2</v>
      </c>
      <c r="AMG42">
        <v>1.5769999999999999E-2</v>
      </c>
      <c r="AMH42">
        <v>4.2474999999999996</v>
      </c>
      <c r="AMI42">
        <v>18.9894495297224</v>
      </c>
      <c r="AMJ42">
        <v>0.81526552172605304</v>
      </c>
      <c r="AMK42" s="580">
        <v>17.6526289917851</v>
      </c>
      <c r="AML42">
        <v>1.8717552692091599</v>
      </c>
      <c r="AMM42">
        <v>19.398411404064301</v>
      </c>
      <c r="AMN42">
        <v>0.43548319972398702</v>
      </c>
      <c r="AMO42">
        <v>19.383199018000401</v>
      </c>
      <c r="AMP42">
        <v>0.64997211774951802</v>
      </c>
      <c r="AMQ42">
        <v>19.488204898852501</v>
      </c>
      <c r="AMR42">
        <v>0.66749955261583704</v>
      </c>
      <c r="AMS42">
        <v>18.182067280543201</v>
      </c>
      <c r="AMT42">
        <v>2.29248716860462</v>
      </c>
      <c r="AMU42">
        <v>20.681253844493099</v>
      </c>
      <c r="AMV42">
        <v>0.74668224072509304</v>
      </c>
      <c r="AMW42">
        <v>20.190234798086099</v>
      </c>
      <c r="AMX42">
        <v>1.2816510497003899</v>
      </c>
      <c r="AMY42">
        <v>20.667874175314001</v>
      </c>
      <c r="AMZ42">
        <v>1.1381203345386799</v>
      </c>
      <c r="ANA42">
        <v>20.8213011050487</v>
      </c>
      <c r="ANB42">
        <v>1.1933244907643401</v>
      </c>
      <c r="ANC42">
        <v>18.183758176044499</v>
      </c>
      <c r="AND42">
        <v>2.8312588425581402</v>
      </c>
      <c r="ANE42">
        <v>20.6901776025516</v>
      </c>
      <c r="ANF42">
        <v>0.83886714964433096</v>
      </c>
      <c r="ANG42">
        <v>20.250317122256298</v>
      </c>
      <c r="ANH42">
        <v>1.3887650052798599</v>
      </c>
      <c r="ANI42">
        <v>20.665566750337</v>
      </c>
      <c r="ANJ42">
        <v>1.28545457258221</v>
      </c>
      <c r="ANK42">
        <v>20.797258342754098</v>
      </c>
      <c r="ANL42">
        <v>1.33665776948876</v>
      </c>
      <c r="ANM42">
        <v>4.43997566102456</v>
      </c>
      <c r="ANN42">
        <v>6.6522652843331098</v>
      </c>
      <c r="ANO42">
        <v>7.6810033395533104</v>
      </c>
      <c r="ANP42">
        <v>17.6526289917851</v>
      </c>
      <c r="ANQ42">
        <v>19.313515721513198</v>
      </c>
      <c r="ANR42">
        <v>18.851270672403398</v>
      </c>
      <c r="ANS42">
        <v>19.320265545908899</v>
      </c>
      <c r="ANT42">
        <v>19.2999819799319</v>
      </c>
      <c r="ANU42">
        <v>18.182067280543201</v>
      </c>
      <c r="ANV42">
        <v>20.556767905102902</v>
      </c>
      <c r="ANW42">
        <v>19.905337697885301</v>
      </c>
      <c r="ANX42">
        <v>20.490840756877699</v>
      </c>
      <c r="ANY42">
        <v>20.5477735555944</v>
      </c>
      <c r="ANZ42">
        <v>18.183758176044499</v>
      </c>
      <c r="AOA42">
        <v>20.5523109675994</v>
      </c>
      <c r="AOB42">
        <v>19.937283078194302</v>
      </c>
      <c r="AOC42">
        <v>20.485378172482999</v>
      </c>
      <c r="AOD42">
        <v>20.532346246227799</v>
      </c>
      <c r="AOE42">
        <v>25.797939963757798</v>
      </c>
      <c r="AOF42">
        <v>4.2474999999999996</v>
      </c>
      <c r="AOG42">
        <v>25.833113650938198</v>
      </c>
      <c r="AOH42">
        <v>4.2474999999999996</v>
      </c>
    </row>
    <row r="43" spans="1:1074">
      <c r="A43" t="s">
        <v>2613</v>
      </c>
      <c r="B43">
        <v>33.843400000000003</v>
      </c>
      <c r="D43">
        <v>19.9176232367561</v>
      </c>
      <c r="F43">
        <v>9</v>
      </c>
      <c r="G43">
        <v>10945018.5837641</v>
      </c>
      <c r="H43">
        <v>25252376.055390202</v>
      </c>
      <c r="I43">
        <v>6950739.3466344699</v>
      </c>
      <c r="J43">
        <v>16036764.3509151</v>
      </c>
      <c r="K43">
        <v>10945018.5837641</v>
      </c>
      <c r="L43">
        <v>25252376.055390202</v>
      </c>
      <c r="M43">
        <v>6950739.3466344699</v>
      </c>
      <c r="N43">
        <v>16036764.3509151</v>
      </c>
      <c r="O43">
        <v>56445592.898657002</v>
      </c>
      <c r="P43">
        <v>130231422.417206</v>
      </c>
      <c r="Q43">
        <v>10945018.5837641</v>
      </c>
      <c r="R43">
        <v>25252376.055390202</v>
      </c>
      <c r="S43">
        <v>6950739.3466344699</v>
      </c>
      <c r="T43">
        <v>16036764.3509151</v>
      </c>
      <c r="U43">
        <v>10945018.5837641</v>
      </c>
      <c r="V43">
        <v>25252376.055390202</v>
      </c>
      <c r="W43">
        <v>6950739.3466344699</v>
      </c>
      <c r="X43">
        <v>16036764.3509151</v>
      </c>
      <c r="Y43">
        <v>56445592.898657002</v>
      </c>
      <c r="Z43">
        <v>130231422.417206</v>
      </c>
      <c r="AA43">
        <v>10945018.5837641</v>
      </c>
      <c r="AB43">
        <v>25252376.055390202</v>
      </c>
      <c r="AC43">
        <v>6950739.3466344699</v>
      </c>
      <c r="AD43">
        <v>16036764.3509151</v>
      </c>
      <c r="AE43">
        <v>10945018.5837641</v>
      </c>
      <c r="AF43">
        <v>25252376.055390202</v>
      </c>
      <c r="AG43">
        <v>6950739.3466344699</v>
      </c>
      <c r="AH43">
        <v>16036764.3509151</v>
      </c>
      <c r="AI43">
        <v>56445592.898657002</v>
      </c>
      <c r="AJ43">
        <v>130231422.417206</v>
      </c>
      <c r="AK43">
        <v>23.716228502806501</v>
      </c>
      <c r="AL43">
        <v>3956060.4386927001</v>
      </c>
      <c r="AM43">
        <v>10245410.713212401</v>
      </c>
      <c r="AN43">
        <v>23.716228502806501</v>
      </c>
      <c r="AO43">
        <v>3956060.4386927001</v>
      </c>
      <c r="AP43">
        <v>10245410.713212401</v>
      </c>
      <c r="AQ43">
        <v>15.0612190693548</v>
      </c>
      <c r="AR43">
        <v>2512334.2403159901</v>
      </c>
      <c r="AS43">
        <v>6506446.6379612898</v>
      </c>
      <c r="AT43">
        <v>15.0612190693548</v>
      </c>
      <c r="AU43">
        <v>2512334.2403159901</v>
      </c>
      <c r="AV43">
        <v>6506446.6379612898</v>
      </c>
      <c r="AW43">
        <v>23.716228502806501</v>
      </c>
      <c r="AX43">
        <v>3956060.4386927001</v>
      </c>
      <c r="AY43">
        <v>10245410.713212401</v>
      </c>
      <c r="AZ43">
        <v>23.716228502806501</v>
      </c>
      <c r="BA43">
        <v>3956060.4386927001</v>
      </c>
      <c r="BB43">
        <v>10245410.713212401</v>
      </c>
      <c r="BC43">
        <v>15.0612190693548</v>
      </c>
      <c r="BD43">
        <v>2512334.2403159901</v>
      </c>
      <c r="BE43">
        <v>6506446.6379612898</v>
      </c>
      <c r="BF43">
        <v>15.0612190693548</v>
      </c>
      <c r="BG43">
        <v>2512334.2403159901</v>
      </c>
      <c r="BH43">
        <v>6506446.6379612898</v>
      </c>
      <c r="BI43">
        <v>23.716228502806501</v>
      </c>
      <c r="BJ43">
        <v>3956060.4386927001</v>
      </c>
      <c r="BK43">
        <v>10245410.713212401</v>
      </c>
      <c r="BL43">
        <v>23.716228502806501</v>
      </c>
      <c r="BM43">
        <v>3956060.4386927001</v>
      </c>
      <c r="BN43">
        <v>10245410.713212401</v>
      </c>
      <c r="BO43">
        <v>15.0612190693548</v>
      </c>
      <c r="BP43">
        <v>2512334.2403159901</v>
      </c>
      <c r="BQ43">
        <v>6506446.6379612898</v>
      </c>
      <c r="BR43">
        <v>15.0612190693548</v>
      </c>
      <c r="BS43">
        <v>2512334.2403159901</v>
      </c>
      <c r="BT43">
        <v>6506446.6379612898</v>
      </c>
      <c r="BU43">
        <v>52837578.828362301</v>
      </c>
      <c r="BV43">
        <v>122.309210250839</v>
      </c>
      <c r="BW43">
        <v>20402174.312995501</v>
      </c>
      <c r="BX43">
        <v>52837578.828362301</v>
      </c>
      <c r="BY43">
        <v>122.309210250839</v>
      </c>
      <c r="BZ43">
        <v>20402174.312995501</v>
      </c>
      <c r="CA43">
        <v>52837578.828362301</v>
      </c>
      <c r="CB43">
        <v>122.309210250839</v>
      </c>
      <c r="CC43">
        <v>20402174.312995501</v>
      </c>
      <c r="CD43">
        <v>52837578.828362301</v>
      </c>
      <c r="CE43">
        <v>3773179.8574618599</v>
      </c>
      <c r="CF43">
        <v>8575408.7669587694</v>
      </c>
      <c r="CG43">
        <v>3773179.8574618599</v>
      </c>
      <c r="CH43">
        <v>8575408.7669587694</v>
      </c>
      <c r="CI43">
        <v>2396194.1678283801</v>
      </c>
      <c r="CJ43">
        <v>5445895.8359735999</v>
      </c>
      <c r="CK43">
        <v>2396194.1678283801</v>
      </c>
      <c r="CL43">
        <v>5445895.8359735999</v>
      </c>
      <c r="CM43">
        <v>3773179.8574618599</v>
      </c>
      <c r="CN43">
        <v>8575408.7669587694</v>
      </c>
      <c r="CO43">
        <v>3773179.8574618599</v>
      </c>
      <c r="CP43">
        <v>8575408.7669587694</v>
      </c>
      <c r="CQ43">
        <v>2396194.1678283801</v>
      </c>
      <c r="CR43">
        <v>5445895.8359735999</v>
      </c>
      <c r="CS43">
        <v>2396194.1678283801</v>
      </c>
      <c r="CT43">
        <v>5445895.8359735999</v>
      </c>
      <c r="CU43">
        <v>3773179.8574618599</v>
      </c>
      <c r="CV43">
        <v>8575408.7669587694</v>
      </c>
      <c r="CW43">
        <v>3773179.8574618599</v>
      </c>
      <c r="CX43">
        <v>8575408.7669587694</v>
      </c>
      <c r="CY43">
        <v>2396194.1678283801</v>
      </c>
      <c r="CZ43">
        <v>5445895.8359735999</v>
      </c>
      <c r="DA43">
        <v>2396194.1678283801</v>
      </c>
      <c r="DB43">
        <v>5445895.8359735999</v>
      </c>
      <c r="DC43">
        <v>19459023.5309093</v>
      </c>
      <c r="DD43">
        <v>44225053.479339302</v>
      </c>
      <c r="DE43">
        <v>19459023.5309093</v>
      </c>
      <c r="DF43">
        <v>44225053.479339302</v>
      </c>
      <c r="DG43">
        <v>19459023.5309093</v>
      </c>
      <c r="DH43">
        <v>44225053.479339302</v>
      </c>
      <c r="DI43">
        <v>3215778.2876095399</v>
      </c>
      <c r="DJ43">
        <v>6431556.5752190799</v>
      </c>
      <c r="DK43">
        <v>3215778.2876095399</v>
      </c>
      <c r="DL43">
        <v>6431556.5752190799</v>
      </c>
      <c r="DM43">
        <v>2042210.9384901</v>
      </c>
      <c r="DN43">
        <v>4084421.8769801999</v>
      </c>
      <c r="DO43">
        <v>2042210.9384901</v>
      </c>
      <c r="DP43">
        <v>4084421.8769801999</v>
      </c>
      <c r="DQ43">
        <v>3215778.2876095399</v>
      </c>
      <c r="DR43">
        <v>6431556.5752190799</v>
      </c>
      <c r="DS43">
        <v>3215778.2876095399</v>
      </c>
      <c r="DT43">
        <v>6431556.5752190799</v>
      </c>
      <c r="DU43">
        <v>2042210.9384901</v>
      </c>
      <c r="DV43">
        <v>4084421.8769801999</v>
      </c>
      <c r="DW43">
        <v>2042210.9384901</v>
      </c>
      <c r="DX43">
        <v>4084421.8769801999</v>
      </c>
      <c r="DY43">
        <v>3215778.2876095399</v>
      </c>
      <c r="DZ43">
        <v>6431556.5752190799</v>
      </c>
      <c r="EA43">
        <v>3215778.2876095399</v>
      </c>
      <c r="EB43">
        <v>6431556.5752190799</v>
      </c>
      <c r="EC43">
        <v>2042210.9384901</v>
      </c>
      <c r="ED43">
        <v>4084421.8769801999</v>
      </c>
      <c r="EE43">
        <v>2042210.9384901</v>
      </c>
      <c r="EF43">
        <v>4084421.8769801999</v>
      </c>
      <c r="EG43">
        <v>16584395.054752201</v>
      </c>
      <c r="EH43">
        <v>33168790.109504402</v>
      </c>
      <c r="EI43">
        <v>16584395.054752201</v>
      </c>
      <c r="EJ43">
        <v>33168790.109504402</v>
      </c>
      <c r="EK43">
        <v>16584395.054752201</v>
      </c>
      <c r="EL43">
        <v>33168790.109504402</v>
      </c>
      <c r="EM43">
        <v>3826.95510727175</v>
      </c>
      <c r="EN43">
        <v>1489.31453847834</v>
      </c>
      <c r="EO43">
        <v>2242.7796520460902</v>
      </c>
      <c r="EP43">
        <v>9151.0006816193509</v>
      </c>
      <c r="EQ43">
        <v>0</v>
      </c>
      <c r="ER43">
        <v>4094.7600552499398</v>
      </c>
      <c r="ES43">
        <v>1598.86702346835</v>
      </c>
      <c r="ET43">
        <v>2415.0338030929202</v>
      </c>
      <c r="EU43">
        <v>38.541910519017598</v>
      </c>
      <c r="EV43">
        <v>9741.3919473792703</v>
      </c>
      <c r="EW43">
        <v>0</v>
      </c>
      <c r="EX43">
        <v>4059.1711294178099</v>
      </c>
      <c r="EY43">
        <v>3.6798945588446799</v>
      </c>
      <c r="EZ43">
        <v>1580.7491993456199</v>
      </c>
      <c r="FA43">
        <v>2384.1019290834802</v>
      </c>
      <c r="FB43">
        <v>38.5590319675986</v>
      </c>
      <c r="FC43">
        <v>9676.5591948323708</v>
      </c>
      <c r="FD43">
        <v>0</v>
      </c>
      <c r="FE43">
        <v>0</v>
      </c>
      <c r="FF43">
        <v>0</v>
      </c>
      <c r="FG43">
        <v>0</v>
      </c>
      <c r="FH43">
        <v>0</v>
      </c>
      <c r="FI43">
        <v>0</v>
      </c>
      <c r="FJ43">
        <v>0</v>
      </c>
      <c r="FK43">
        <v>0</v>
      </c>
      <c r="FL43">
        <v>0</v>
      </c>
      <c r="FM43">
        <v>0</v>
      </c>
      <c r="FN43">
        <v>0</v>
      </c>
      <c r="FO43">
        <v>2.45251372506161E-2</v>
      </c>
      <c r="FP43">
        <v>0</v>
      </c>
      <c r="FQ43">
        <v>3.7712464405102401E-3</v>
      </c>
      <c r="FR43">
        <v>0</v>
      </c>
      <c r="FS43">
        <v>9676.5591948323708</v>
      </c>
      <c r="FT43">
        <v>0</v>
      </c>
      <c r="FU43">
        <v>3025.4449779278498</v>
      </c>
      <c r="FV43">
        <v>0</v>
      </c>
      <c r="FW43">
        <v>0</v>
      </c>
      <c r="FX43">
        <v>3.48381073071507E-3</v>
      </c>
      <c r="FY43">
        <v>2.45251372506161E-2</v>
      </c>
      <c r="FZ43">
        <v>0</v>
      </c>
      <c r="GA43">
        <v>3.7712464405102401E-3</v>
      </c>
      <c r="GB43">
        <v>205.47402011618101</v>
      </c>
      <c r="GC43">
        <v>205.44958638369101</v>
      </c>
      <c r="GD43">
        <v>115.33657269479301</v>
      </c>
      <c r="GE43">
        <v>117.012615491909</v>
      </c>
      <c r="GF43">
        <v>108.68913485764401</v>
      </c>
      <c r="GG43">
        <v>41.882806267400298</v>
      </c>
      <c r="GH43">
        <v>224.42488889455399</v>
      </c>
      <c r="GI43">
        <v>162.313797047816</v>
      </c>
      <c r="GJ43">
        <v>50.4081640902033</v>
      </c>
      <c r="GK43">
        <v>375.82713432263199</v>
      </c>
      <c r="GL43">
        <v>379.005221014038</v>
      </c>
      <c r="GM43">
        <v>453.720184714141</v>
      </c>
      <c r="GN43">
        <v>46.3985851193424</v>
      </c>
      <c r="GO43">
        <v>25.566018494370802</v>
      </c>
      <c r="GP43">
        <v>26.016183095829899</v>
      </c>
      <c r="GQ43">
        <v>-2.86546086431734</v>
      </c>
      <c r="GR43">
        <v>-173.17137381186299</v>
      </c>
      <c r="GS43">
        <v>-864.23985330034395</v>
      </c>
      <c r="GT43">
        <v>31.435280640470399</v>
      </c>
      <c r="GU43">
        <v>25.733690874195101</v>
      </c>
      <c r="GV43">
        <v>26.106549285463799</v>
      </c>
      <c r="GW43">
        <v>-1.63430286810865</v>
      </c>
      <c r="GX43">
        <v>-93.947356301468403</v>
      </c>
      <c r="GY43">
        <v>-484.95982728100802</v>
      </c>
      <c r="GZ43">
        <v>53.317615556567198</v>
      </c>
      <c r="HA43">
        <v>25.681381575561002</v>
      </c>
      <c r="HB43">
        <v>26.109049637391699</v>
      </c>
      <c r="HC43">
        <v>-7.9939905210678504</v>
      </c>
      <c r="HD43">
        <v>-201.778675242567</v>
      </c>
      <c r="HE43">
        <v>-920.792882737985</v>
      </c>
      <c r="HF43">
        <v>126.392196710031</v>
      </c>
      <c r="HG43">
        <v>26.237606359584799</v>
      </c>
      <c r="HH43">
        <v>27.045817465193299</v>
      </c>
      <c r="HI43">
        <v>84.902984458044102</v>
      </c>
      <c r="HJ43">
        <v>-62.648372156180898</v>
      </c>
      <c r="HK43">
        <v>-800.41767704418396</v>
      </c>
      <c r="HL43">
        <v>330.63572068785498</v>
      </c>
      <c r="HM43">
        <v>26.313730918589499</v>
      </c>
      <c r="HN43">
        <v>25.921241020423199</v>
      </c>
      <c r="HO43">
        <v>259.81670742532299</v>
      </c>
      <c r="HP43">
        <v>97.158988287340307</v>
      </c>
      <c r="HQ43">
        <v>26.411452298885099</v>
      </c>
      <c r="HR43">
        <v>182.33906863145501</v>
      </c>
      <c r="HS43">
        <v>219.26025224295199</v>
      </c>
      <c r="HT43">
        <v>26.251320906175199</v>
      </c>
      <c r="HU43">
        <v>25.929019381425299</v>
      </c>
      <c r="HV43">
        <v>145.14738781699799</v>
      </c>
      <c r="HW43">
        <v>123.08161736828499</v>
      </c>
      <c r="HX43">
        <v>26.374760563741901</v>
      </c>
      <c r="HY43">
        <v>105.240755814965</v>
      </c>
      <c r="HZ43">
        <v>26.2321306378537</v>
      </c>
      <c r="IA43">
        <v>25.918100509169602</v>
      </c>
      <c r="IB43">
        <v>244.72380826117401</v>
      </c>
      <c r="IC43">
        <v>367.59141737744301</v>
      </c>
      <c r="ID43">
        <v>184.53886160574399</v>
      </c>
      <c r="IE43">
        <v>26.329978734566801</v>
      </c>
      <c r="IF43">
        <v>164.03604526149499</v>
      </c>
      <c r="IG43">
        <v>59.860284566029698</v>
      </c>
      <c r="IH43">
        <v>27.700980755500701</v>
      </c>
      <c r="II43">
        <v>26.5477434027835</v>
      </c>
      <c r="IJ43">
        <v>190.29266753254601</v>
      </c>
      <c r="IK43">
        <v>58.387040592891402</v>
      </c>
      <c r="IL43">
        <v>485.85733212724</v>
      </c>
      <c r="IM43">
        <v>228.49496396264399</v>
      </c>
      <c r="IN43">
        <v>28.052307679567999</v>
      </c>
      <c r="IO43">
        <v>0.63762869710391801</v>
      </c>
      <c r="IP43">
        <v>236.400537744205</v>
      </c>
      <c r="IQ43">
        <v>233.69360168633</v>
      </c>
      <c r="IR43">
        <v>141.35595531017</v>
      </c>
      <c r="IS43">
        <v>234.461933978925</v>
      </c>
      <c r="IT43">
        <v>233.50767483356901</v>
      </c>
      <c r="IU43">
        <v>69.882298158331196</v>
      </c>
      <c r="IV43">
        <v>69.773429379054306</v>
      </c>
      <c r="IW43">
        <v>25.7283079881283</v>
      </c>
      <c r="IX43">
        <v>26.411452298885099</v>
      </c>
      <c r="IY43">
        <v>102.90353720716</v>
      </c>
      <c r="IZ43">
        <v>-55.348166982494398</v>
      </c>
      <c r="JA43">
        <v>-840.56376449285403</v>
      </c>
      <c r="JB43">
        <v>46.674380201700501</v>
      </c>
      <c r="JC43">
        <v>25.8256654375372</v>
      </c>
      <c r="JD43">
        <v>26.374760563741901</v>
      </c>
      <c r="JE43">
        <v>61.1266248814254</v>
      </c>
      <c r="JF43">
        <v>-20.0656653686178</v>
      </c>
      <c r="JG43">
        <v>-441.849790825669</v>
      </c>
      <c r="JH43">
        <v>78.600932045464205</v>
      </c>
      <c r="JI43">
        <v>25.7393115283929</v>
      </c>
      <c r="JJ43">
        <v>26.329978734566801</v>
      </c>
      <c r="JK43">
        <v>85.835565862723897</v>
      </c>
      <c r="JL43">
        <v>-60.993820734240103</v>
      </c>
      <c r="JM43">
        <v>-823.71384517520005</v>
      </c>
      <c r="JN43">
        <v>144.675413047798</v>
      </c>
      <c r="JO43">
        <v>26.706037607467898</v>
      </c>
      <c r="JP43">
        <v>28.052307679567999</v>
      </c>
      <c r="JQ43">
        <v>1.5493644862317</v>
      </c>
      <c r="JR43">
        <v>237.704490837192</v>
      </c>
      <c r="JS43">
        <v>0.62972318488810697</v>
      </c>
      <c r="JT43">
        <v>-6.9089953875225998</v>
      </c>
      <c r="JU43">
        <v>-888.05804105526397</v>
      </c>
      <c r="JV43">
        <v>387.84401272195697</v>
      </c>
      <c r="JW43">
        <v>338.64031338109299</v>
      </c>
      <c r="JX43">
        <v>426.70737936957102</v>
      </c>
      <c r="JY43">
        <v>254.03329321939199</v>
      </c>
      <c r="JZ43">
        <v>232.82658561539</v>
      </c>
      <c r="KA43">
        <v>248.916505738137</v>
      </c>
      <c r="KB43">
        <v>421.79563697454699</v>
      </c>
      <c r="KC43">
        <v>366.58747072897302</v>
      </c>
      <c r="KD43">
        <v>405.52963168141702</v>
      </c>
      <c r="KE43">
        <v>525.54902379567704</v>
      </c>
      <c r="KF43">
        <v>38.742421622195103</v>
      </c>
      <c r="KG43">
        <v>1719.0103077208</v>
      </c>
      <c r="KH43">
        <v>0.53083421050747204</v>
      </c>
      <c r="KI43">
        <v>262.13779717344897</v>
      </c>
      <c r="KJ43">
        <v>430.043219321685</v>
      </c>
      <c r="KK43">
        <v>186.042259174696</v>
      </c>
      <c r="KL43">
        <v>27.683451599156999</v>
      </c>
      <c r="KM43">
        <v>27.350550496164999</v>
      </c>
      <c r="KN43">
        <v>553.19202892248597</v>
      </c>
      <c r="KO43">
        <v>28.474296936934302</v>
      </c>
      <c r="KP43">
        <v>45.6615325616823</v>
      </c>
      <c r="KQ43">
        <v>501.82680359955202</v>
      </c>
      <c r="KR43">
        <v>1293.22955037871</v>
      </c>
      <c r="KS43">
        <v>117.46723800979299</v>
      </c>
      <c r="KT43">
        <v>27.669290759530298</v>
      </c>
      <c r="KU43">
        <v>27.2665203431626</v>
      </c>
      <c r="KV43">
        <v>320.65325251301698</v>
      </c>
      <c r="KW43">
        <v>28.475882474457901</v>
      </c>
      <c r="KX43">
        <v>45.509075475992503</v>
      </c>
      <c r="KY43">
        <v>303.33976087986701</v>
      </c>
      <c r="KZ43">
        <v>814.34783872257299</v>
      </c>
      <c r="LA43">
        <v>193.53528941695501</v>
      </c>
      <c r="LB43">
        <v>27.716549768668699</v>
      </c>
      <c r="LC43">
        <v>27.290679973424901</v>
      </c>
      <c r="LD43">
        <v>523.99778822511701</v>
      </c>
      <c r="LE43">
        <v>28.537073598122401</v>
      </c>
      <c r="LF43">
        <v>45.6631945560001</v>
      </c>
      <c r="LG43">
        <v>493.090500006946</v>
      </c>
      <c r="LH43">
        <v>1303.7139925055999</v>
      </c>
      <c r="LI43">
        <v>242.45413577606701</v>
      </c>
      <c r="LJ43">
        <v>28.5362457124372</v>
      </c>
      <c r="LK43">
        <v>28.852798251232301</v>
      </c>
      <c r="LL43">
        <v>632.23762575329499</v>
      </c>
      <c r="LM43">
        <v>29.0865321265576</v>
      </c>
      <c r="LN43">
        <v>44.912374281718698</v>
      </c>
      <c r="LO43">
        <v>428.62184036742701</v>
      </c>
      <c r="LP43">
        <v>732.71028654671397</v>
      </c>
      <c r="LQ43">
        <v>97.638251119859802</v>
      </c>
      <c r="LR43">
        <v>19.994051081890401</v>
      </c>
      <c r="LS43">
        <v>16.420999999999999</v>
      </c>
      <c r="LT43">
        <v>322.71440785636401</v>
      </c>
      <c r="LU43">
        <v>-1295.4407214929299</v>
      </c>
      <c r="LV43">
        <v>21.590319542601701</v>
      </c>
      <c r="LW43">
        <v>24.718887029288599</v>
      </c>
      <c r="LX43">
        <v>873.56639794850003</v>
      </c>
      <c r="LY43">
        <v>64.197837087590997</v>
      </c>
      <c r="LZ43">
        <v>20.080952493701801</v>
      </c>
      <c r="MA43">
        <v>16.420999999999999</v>
      </c>
      <c r="MB43">
        <v>204.19958811126199</v>
      </c>
      <c r="MC43">
        <v>-836.766416572308</v>
      </c>
      <c r="MD43">
        <v>21.703920069246301</v>
      </c>
      <c r="ME43">
        <v>24.797214800680401</v>
      </c>
      <c r="MF43">
        <v>560.47034189754402</v>
      </c>
      <c r="MG43">
        <v>102.62877869066</v>
      </c>
      <c r="MH43">
        <v>20.026019027859501</v>
      </c>
      <c r="MI43">
        <v>16.420999999999999</v>
      </c>
      <c r="MJ43">
        <v>301.94264711314702</v>
      </c>
      <c r="MK43">
        <v>-1385.3545122330099</v>
      </c>
      <c r="ML43">
        <v>21.686205172694599</v>
      </c>
      <c r="MM43">
        <v>24.804767922209301</v>
      </c>
      <c r="MN43">
        <v>879.80477696955302</v>
      </c>
      <c r="MO43">
        <v>129.13518158643399</v>
      </c>
      <c r="MP43">
        <v>20.060675768693599</v>
      </c>
      <c r="MQ43">
        <v>16.420999999999999</v>
      </c>
      <c r="MR43">
        <v>317.34380184868201</v>
      </c>
      <c r="MS43">
        <v>-927.18370462939095</v>
      </c>
      <c r="MT43">
        <v>21.940278870329401</v>
      </c>
      <c r="MU43">
        <v>25.797981748898401</v>
      </c>
      <c r="MV43">
        <v>717.99493205108502</v>
      </c>
      <c r="MW43">
        <v>130.24879029234901</v>
      </c>
      <c r="MX43">
        <v>22.9816791766808</v>
      </c>
      <c r="MY43">
        <v>24.997507132733901</v>
      </c>
      <c r="MZ43">
        <v>1507.2446659930699</v>
      </c>
      <c r="NA43">
        <v>1244.6005354787201</v>
      </c>
      <c r="NB43">
        <v>23.272099666276699</v>
      </c>
      <c r="NC43">
        <v>25.7099725704985</v>
      </c>
      <c r="ND43">
        <v>1569.4614282360801</v>
      </c>
      <c r="NE43">
        <v>85.180839076252397</v>
      </c>
      <c r="NF43">
        <v>23.152097095392399</v>
      </c>
      <c r="NG43">
        <v>25.2332133201249</v>
      </c>
      <c r="NH43">
        <v>974.76419083639905</v>
      </c>
      <c r="NI43">
        <v>856.49936789725098</v>
      </c>
      <c r="NJ43">
        <v>23.374701850277901</v>
      </c>
      <c r="NK43">
        <v>25.6286782433017</v>
      </c>
      <c r="NL43">
        <v>989.08194622597296</v>
      </c>
      <c r="NM43">
        <v>131.72648179735199</v>
      </c>
      <c r="NN43">
        <v>22.992902485542501</v>
      </c>
      <c r="NO43">
        <v>25.099426763054499</v>
      </c>
      <c r="NP43">
        <v>1488.04471970642</v>
      </c>
      <c r="NQ43">
        <v>1220.02042822045</v>
      </c>
      <c r="NR43">
        <v>23.2859491927051</v>
      </c>
      <c r="NS43">
        <v>25.587184849086501</v>
      </c>
      <c r="NT43">
        <v>1553.09500343284</v>
      </c>
      <c r="NU43">
        <v>150.62045710637901</v>
      </c>
      <c r="NV43">
        <v>23.0110901631665</v>
      </c>
      <c r="NW43">
        <v>25.3308093842913</v>
      </c>
      <c r="NX43">
        <v>2.71386960561198</v>
      </c>
      <c r="NY43">
        <v>1162.3304826705801</v>
      </c>
      <c r="NZ43">
        <v>761.61051482595803</v>
      </c>
      <c r="OA43">
        <v>23.6215110434728</v>
      </c>
      <c r="OB43">
        <v>27.197076420518101</v>
      </c>
      <c r="OC43">
        <v>2.5337498339741802</v>
      </c>
      <c r="OD43">
        <v>1301.8023300156899</v>
      </c>
      <c r="OE43">
        <v>2.71386960561198</v>
      </c>
      <c r="OF43">
        <v>2.5337498339741802</v>
      </c>
      <c r="OG43">
        <v>127.35669021387299</v>
      </c>
      <c r="OH43">
        <v>22.904937171377799</v>
      </c>
      <c r="OI43">
        <v>25.0515950430629</v>
      </c>
      <c r="OJ43">
        <v>1638.34380231767</v>
      </c>
      <c r="OK43">
        <v>1380.3490847225601</v>
      </c>
      <c r="OL43">
        <v>23.187753301403099</v>
      </c>
      <c r="OM43">
        <v>25.8778758950032</v>
      </c>
      <c r="ON43">
        <v>1793.58156225214</v>
      </c>
      <c r="OO43">
        <v>83.358968640251604</v>
      </c>
      <c r="OP43">
        <v>23.083726444986901</v>
      </c>
      <c r="OQ43">
        <v>25.260918332964501</v>
      </c>
      <c r="OR43">
        <v>1062.96899238835</v>
      </c>
      <c r="OS43">
        <v>949.98281607941794</v>
      </c>
      <c r="OT43">
        <v>23.295238809454901</v>
      </c>
      <c r="OU43">
        <v>25.819346393317499</v>
      </c>
      <c r="OV43">
        <v>1131.44131048498</v>
      </c>
      <c r="OW43">
        <v>128.40655249040299</v>
      </c>
      <c r="OX43">
        <v>22.9244354854645</v>
      </c>
      <c r="OY43">
        <v>25.099632574619399</v>
      </c>
      <c r="OZ43">
        <v>1617.68856820574</v>
      </c>
      <c r="PA43">
        <v>1350.55015367744</v>
      </c>
      <c r="PB43">
        <v>23.214353350332001</v>
      </c>
      <c r="PC43">
        <v>25.796440630556202</v>
      </c>
      <c r="PD43">
        <v>1778.1013177417401</v>
      </c>
      <c r="PE43">
        <v>145.60778356059299</v>
      </c>
      <c r="PF43">
        <v>22.924942678308302</v>
      </c>
      <c r="PG43">
        <v>25.540596909085298</v>
      </c>
      <c r="PH43">
        <v>3.0347692150402401</v>
      </c>
      <c r="PI43">
        <v>1250.04282026909</v>
      </c>
      <c r="PJ43">
        <v>865.596671760297</v>
      </c>
      <c r="PK43">
        <v>23.506914236895302</v>
      </c>
      <c r="PL43">
        <v>27.374396361777499</v>
      </c>
      <c r="PM43">
        <v>2.9783249194661199</v>
      </c>
      <c r="PN43">
        <v>1469.529247944</v>
      </c>
      <c r="PO43">
        <v>25.9014422918878</v>
      </c>
      <c r="PP43">
        <v>25.963375480979298</v>
      </c>
      <c r="PQ43">
        <v>25.977259996750501</v>
      </c>
      <c r="PR43">
        <v>27.541779034296301</v>
      </c>
      <c r="PS43">
        <v>24.872856230332498</v>
      </c>
      <c r="PT43">
        <v>26.4912017821839</v>
      </c>
      <c r="PU43">
        <v>26.396090314656401</v>
      </c>
      <c r="PV43">
        <v>26.368469198939799</v>
      </c>
      <c r="PW43">
        <v>28.648613473611</v>
      </c>
      <c r="PX43">
        <v>25.244464436410698</v>
      </c>
      <c r="PY43">
        <v>26.9196892094579</v>
      </c>
      <c r="PZ43">
        <v>26.809200537494601</v>
      </c>
      <c r="QA43">
        <v>26.815482258704499</v>
      </c>
      <c r="QB43">
        <v>28.9824022257888</v>
      </c>
      <c r="QC43">
        <v>26.071951611931802</v>
      </c>
      <c r="QD43">
        <v>21.597641494086901</v>
      </c>
      <c r="QE43">
        <v>26.746260327011701</v>
      </c>
      <c r="QF43">
        <v>26.440591070023601</v>
      </c>
      <c r="QG43">
        <v>26.469502861114702</v>
      </c>
      <c r="QH43">
        <v>29.130360432237499</v>
      </c>
      <c r="QI43">
        <v>25.0025860138017</v>
      </c>
      <c r="QJ43">
        <v>26.105921278802999</v>
      </c>
      <c r="QK43">
        <v>25.989517889195099</v>
      </c>
      <c r="QL43">
        <v>25.9568807380214</v>
      </c>
      <c r="QM43">
        <v>28.057782530532201</v>
      </c>
      <c r="QN43">
        <v>3489.5965438502399</v>
      </c>
      <c r="QO43">
        <v>25.079941049236499</v>
      </c>
      <c r="QP43">
        <v>3112.5569945071702</v>
      </c>
      <c r="QQ43">
        <v>26.344995699574898</v>
      </c>
      <c r="QR43">
        <v>26.210768214210098</v>
      </c>
      <c r="QS43">
        <v>26.199752885278901</v>
      </c>
      <c r="QT43">
        <v>28.1568195090194</v>
      </c>
      <c r="QU43">
        <v>25.483646817717499</v>
      </c>
      <c r="QV43">
        <v>18.1810746364933</v>
      </c>
      <c r="QW43">
        <v>0</v>
      </c>
      <c r="QX43">
        <v>311129.27004274301</v>
      </c>
      <c r="QY43">
        <v>0</v>
      </c>
      <c r="QZ43">
        <v>206119.63971150501</v>
      </c>
      <c r="RA43">
        <v>0</v>
      </c>
      <c r="RB43">
        <v>75893.834165997396</v>
      </c>
      <c r="RC43">
        <v>0</v>
      </c>
      <c r="RD43">
        <v>50307.0577593122</v>
      </c>
      <c r="RE43">
        <v>0</v>
      </c>
      <c r="RF43">
        <v>100368.12172307599</v>
      </c>
      <c r="RG43">
        <v>0</v>
      </c>
      <c r="RH43">
        <v>66296.493446873603</v>
      </c>
      <c r="RI43">
        <v>0</v>
      </c>
      <c r="RJ43">
        <v>5403.39948606914</v>
      </c>
      <c r="RK43">
        <v>27.591078362135701</v>
      </c>
      <c r="RL43">
        <v>-5432.6186075902096</v>
      </c>
      <c r="RM43">
        <v>-11752.5750451433</v>
      </c>
      <c r="RN43">
        <v>-5432.6186075902096</v>
      </c>
      <c r="RO43">
        <v>0</v>
      </c>
      <c r="RP43">
        <v>3246.38104683553</v>
      </c>
      <c r="RQ43">
        <v>26.917806659067999</v>
      </c>
      <c r="RR43">
        <v>-3239.1629679610101</v>
      </c>
      <c r="RS43">
        <v>-7666.2224418731203</v>
      </c>
      <c r="RT43">
        <v>-3239.1629679610101</v>
      </c>
      <c r="RU43">
        <v>0</v>
      </c>
      <c r="RV43">
        <v>5052.0883454450995</v>
      </c>
      <c r="RW43">
        <v>26.961745725478899</v>
      </c>
      <c r="RX43">
        <v>-5056.7753205685203</v>
      </c>
      <c r="RY43">
        <v>-12008.2733454308</v>
      </c>
      <c r="RZ43">
        <v>-5056.7753205685203</v>
      </c>
      <c r="SA43">
        <v>0</v>
      </c>
      <c r="SB43">
        <v>6105.9366574368796</v>
      </c>
      <c r="SC43">
        <v>30.7189418301787</v>
      </c>
      <c r="SD43">
        <v>-6032.2577000220999</v>
      </c>
      <c r="SE43">
        <v>-8941.7206939569205</v>
      </c>
      <c r="SF43">
        <v>-6032.2577000220999</v>
      </c>
      <c r="SG43">
        <v>0</v>
      </c>
      <c r="SH43">
        <v>17817.797455457399</v>
      </c>
      <c r="SI43">
        <v>25.132315797270799</v>
      </c>
      <c r="SJ43">
        <v>-17886.687618613902</v>
      </c>
      <c r="SK43">
        <v>-39832.017436911803</v>
      </c>
      <c r="SL43">
        <v>-17886.687618613902</v>
      </c>
      <c r="SM43">
        <v>21.1111</v>
      </c>
      <c r="SN43">
        <v>23.8889</v>
      </c>
      <c r="SO43">
        <v>107.726225372869</v>
      </c>
      <c r="SP43">
        <v>0</v>
      </c>
      <c r="SQ43">
        <v>25.5897442606671</v>
      </c>
      <c r="SR43">
        <v>0</v>
      </c>
      <c r="SS43">
        <v>0</v>
      </c>
      <c r="ST43">
        <v>0</v>
      </c>
      <c r="SU43">
        <v>60.349703123328702</v>
      </c>
      <c r="SV43">
        <v>0</v>
      </c>
      <c r="SW43">
        <v>25.7794215286516</v>
      </c>
      <c r="SX43">
        <v>0</v>
      </c>
      <c r="SY43">
        <v>0</v>
      </c>
      <c r="SZ43">
        <v>0</v>
      </c>
      <c r="TA43">
        <v>142.86883557573901</v>
      </c>
      <c r="TB43">
        <v>0</v>
      </c>
      <c r="TC43">
        <v>25.772089280294502</v>
      </c>
      <c r="TD43">
        <v>0</v>
      </c>
      <c r="TE43">
        <v>0</v>
      </c>
      <c r="TF43">
        <v>0</v>
      </c>
      <c r="TG43">
        <v>0</v>
      </c>
      <c r="TH43">
        <v>127.2216032134</v>
      </c>
      <c r="TI43">
        <v>25.787776409274901</v>
      </c>
      <c r="TJ43">
        <v>0</v>
      </c>
      <c r="TK43">
        <v>0</v>
      </c>
      <c r="TL43">
        <v>0</v>
      </c>
      <c r="TM43">
        <v>2208.3076734372999</v>
      </c>
      <c r="TN43">
        <v>0</v>
      </c>
      <c r="TO43">
        <v>25.190891664967999</v>
      </c>
      <c r="TP43">
        <v>0</v>
      </c>
      <c r="TQ43">
        <v>0</v>
      </c>
      <c r="TR43">
        <v>0</v>
      </c>
      <c r="TS43">
        <v>0</v>
      </c>
      <c r="TT43">
        <v>6703.8304545265</v>
      </c>
      <c r="TU43">
        <v>25.720640775422201</v>
      </c>
      <c r="TV43">
        <v>-6720.7267178214197</v>
      </c>
      <c r="TW43">
        <v>-14111.638810446701</v>
      </c>
      <c r="TX43">
        <v>-6720.7267178214197</v>
      </c>
      <c r="TY43">
        <v>0</v>
      </c>
      <c r="TZ43">
        <v>3979.5274684946198</v>
      </c>
      <c r="UA43">
        <v>25.5829454637339</v>
      </c>
      <c r="UB43">
        <v>-3978.9760654974698</v>
      </c>
      <c r="UC43">
        <v>-8859.9729118406703</v>
      </c>
      <c r="UD43">
        <v>-3978.9760654974698</v>
      </c>
      <c r="UE43">
        <v>0</v>
      </c>
      <c r="UF43">
        <v>6157.0750391228603</v>
      </c>
      <c r="UG43">
        <v>25.545292277102899</v>
      </c>
      <c r="UH43">
        <v>-6154.4656253659496</v>
      </c>
      <c r="UI43">
        <v>-13826.041631456599</v>
      </c>
      <c r="UJ43">
        <v>-6154.4656253659496</v>
      </c>
      <c r="UK43">
        <v>0</v>
      </c>
      <c r="UL43">
        <v>7692.7360508711699</v>
      </c>
      <c r="UM43">
        <v>27.466951587453401</v>
      </c>
      <c r="UN43">
        <v>-7610.2332559982697</v>
      </c>
      <c r="UO43">
        <v>-11321.4035941457</v>
      </c>
      <c r="UP43">
        <v>-7610.2332559982697</v>
      </c>
      <c r="UQ43">
        <v>0</v>
      </c>
      <c r="UR43">
        <v>19910.798540626001</v>
      </c>
      <c r="US43">
        <v>24.9154176620623</v>
      </c>
      <c r="UT43">
        <v>-19981.171551493499</v>
      </c>
      <c r="UU43">
        <v>-42313.766848999803</v>
      </c>
      <c r="UV43">
        <v>-19981.171551493499</v>
      </c>
      <c r="UW43">
        <v>21.1111</v>
      </c>
      <c r="UX43">
        <v>23.8889</v>
      </c>
      <c r="UY43">
        <v>0</v>
      </c>
      <c r="UZ43">
        <v>159.01531280132099</v>
      </c>
      <c r="VA43">
        <v>25.298170389273398</v>
      </c>
      <c r="VB43">
        <v>0</v>
      </c>
      <c r="VC43">
        <v>0</v>
      </c>
      <c r="VD43">
        <v>0</v>
      </c>
      <c r="VE43">
        <v>0</v>
      </c>
      <c r="VF43">
        <v>109.667471905629</v>
      </c>
      <c r="VG43">
        <v>25.4315108340496</v>
      </c>
      <c r="VH43">
        <v>0</v>
      </c>
      <c r="VI43">
        <v>0</v>
      </c>
      <c r="VJ43">
        <v>0</v>
      </c>
      <c r="VK43">
        <v>0</v>
      </c>
      <c r="VL43">
        <v>141.20975304252499</v>
      </c>
      <c r="VM43">
        <v>25.372935158492901</v>
      </c>
      <c r="VN43">
        <v>0</v>
      </c>
      <c r="VO43">
        <v>0</v>
      </c>
      <c r="VP43">
        <v>0</v>
      </c>
      <c r="VQ43">
        <v>0</v>
      </c>
      <c r="VR43">
        <v>372.80263272817098</v>
      </c>
      <c r="VS43">
        <v>25.660053639053501</v>
      </c>
      <c r="VT43">
        <v>0</v>
      </c>
      <c r="VU43">
        <v>0</v>
      </c>
      <c r="VV43">
        <v>0</v>
      </c>
      <c r="VW43">
        <v>1663.6055583464499</v>
      </c>
      <c r="VX43">
        <v>0</v>
      </c>
      <c r="VY43">
        <v>25.1878314067249</v>
      </c>
      <c r="VZ43">
        <v>0</v>
      </c>
      <c r="WA43">
        <v>0</v>
      </c>
      <c r="WB43">
        <v>0</v>
      </c>
      <c r="WC43">
        <v>0</v>
      </c>
      <c r="WD43">
        <v>7424.6035293783298</v>
      </c>
      <c r="WE43">
        <v>25.7703021896919</v>
      </c>
      <c r="WF43">
        <v>-7447.3232123650696</v>
      </c>
      <c r="WG43">
        <v>-14769.7517697201</v>
      </c>
      <c r="WH43">
        <v>-7447.3232123650696</v>
      </c>
      <c r="WI43">
        <v>15922104.5181244</v>
      </c>
      <c r="WJ43">
        <v>0</v>
      </c>
      <c r="WK43">
        <v>4422.8068105901202</v>
      </c>
      <c r="WL43">
        <v>25.6123358909256</v>
      </c>
      <c r="WM43">
        <v>-4420.2724007449197</v>
      </c>
      <c r="WN43">
        <v>-9272.3124466223308</v>
      </c>
      <c r="WO43">
        <v>-4420.2724007449197</v>
      </c>
      <c r="WP43">
        <v>18.333300000000001</v>
      </c>
      <c r="WQ43">
        <v>23.8889</v>
      </c>
      <c r="WR43">
        <v>0</v>
      </c>
      <c r="WS43">
        <v>6887.8511664733796</v>
      </c>
      <c r="WT43">
        <v>25.584023511853299</v>
      </c>
      <c r="WU43">
        <v>-6887.8687584958798</v>
      </c>
      <c r="WV43">
        <v>-14525.880918085801</v>
      </c>
      <c r="WW43">
        <v>-6887.8687584958798</v>
      </c>
      <c r="WX43">
        <v>29317286.492107499</v>
      </c>
      <c r="WY43">
        <v>0</v>
      </c>
      <c r="WZ43">
        <v>8143.6906922520702</v>
      </c>
      <c r="XA43">
        <v>27.3312367922499</v>
      </c>
      <c r="XB43">
        <v>-8049.6830856058596</v>
      </c>
      <c r="XC43">
        <v>-11795.467538389499</v>
      </c>
      <c r="XD43">
        <v>-8049.6830856058596</v>
      </c>
      <c r="XE43">
        <v>0</v>
      </c>
      <c r="XF43">
        <v>24179.115033209298</v>
      </c>
      <c r="XG43">
        <v>24.8953420235033</v>
      </c>
      <c r="XH43">
        <v>-24249.1996409733</v>
      </c>
      <c r="XI43">
        <v>-46653.096461707202</v>
      </c>
      <c r="XJ43">
        <v>-24249.1996409733</v>
      </c>
      <c r="XK43">
        <v>21.1111</v>
      </c>
      <c r="XL43">
        <v>23.8889</v>
      </c>
      <c r="XM43">
        <v>0</v>
      </c>
      <c r="XN43">
        <v>1596.7184799531999</v>
      </c>
      <c r="XO43">
        <v>26.175786658879002</v>
      </c>
      <c r="XP43">
        <v>0</v>
      </c>
      <c r="XQ43">
        <v>0</v>
      </c>
      <c r="XR43">
        <v>0</v>
      </c>
      <c r="XS43">
        <v>0</v>
      </c>
      <c r="XT43">
        <v>950.23241960420501</v>
      </c>
      <c r="XU43">
        <v>26.287512781034</v>
      </c>
      <c r="XV43">
        <v>0</v>
      </c>
      <c r="XW43">
        <v>0</v>
      </c>
      <c r="XX43">
        <v>0</v>
      </c>
      <c r="XY43">
        <v>0</v>
      </c>
      <c r="XZ43">
        <v>1543.02749969719</v>
      </c>
      <c r="YA43">
        <v>26.2900608713311</v>
      </c>
      <c r="YB43">
        <v>0</v>
      </c>
      <c r="YC43">
        <v>0</v>
      </c>
      <c r="YD43">
        <v>0</v>
      </c>
      <c r="YE43">
        <v>0</v>
      </c>
      <c r="YF43">
        <v>1489.9541173382499</v>
      </c>
      <c r="YG43">
        <v>26.308128039596699</v>
      </c>
      <c r="YH43">
        <v>0</v>
      </c>
      <c r="YI43">
        <v>0</v>
      </c>
      <c r="YJ43">
        <v>0</v>
      </c>
      <c r="YK43">
        <v>0</v>
      </c>
      <c r="YL43">
        <v>4423.2557425070299</v>
      </c>
      <c r="YM43">
        <v>26.421712912643098</v>
      </c>
      <c r="YN43">
        <v>0</v>
      </c>
      <c r="YO43">
        <v>0</v>
      </c>
      <c r="YP43">
        <v>0</v>
      </c>
      <c r="YQ43">
        <v>0</v>
      </c>
      <c r="YR43">
        <v>1351.6030691692099</v>
      </c>
      <c r="YS43">
        <v>19.246013917907401</v>
      </c>
      <c r="YT43">
        <v>0</v>
      </c>
      <c r="YU43">
        <v>0</v>
      </c>
      <c r="YV43">
        <v>0</v>
      </c>
      <c r="YW43">
        <v>0</v>
      </c>
      <c r="YX43">
        <v>851.36870817712497</v>
      </c>
      <c r="YY43">
        <v>19.361056650068299</v>
      </c>
      <c r="YZ43">
        <v>0</v>
      </c>
      <c r="ZA43">
        <v>0</v>
      </c>
      <c r="ZB43">
        <v>0</v>
      </c>
      <c r="ZC43">
        <v>0</v>
      </c>
      <c r="ZD43">
        <v>1319.56641408357</v>
      </c>
      <c r="ZE43">
        <v>19.3465253455926</v>
      </c>
      <c r="ZF43">
        <v>0</v>
      </c>
      <c r="ZG43">
        <v>0</v>
      </c>
      <c r="ZH43">
        <v>0</v>
      </c>
      <c r="ZI43">
        <v>0</v>
      </c>
      <c r="ZJ43">
        <v>1184.9929162942301</v>
      </c>
      <c r="ZK43">
        <v>18.957935620558001</v>
      </c>
      <c r="ZL43">
        <v>0</v>
      </c>
      <c r="ZM43">
        <v>0</v>
      </c>
      <c r="ZN43">
        <v>0</v>
      </c>
      <c r="ZO43">
        <v>0</v>
      </c>
      <c r="ZP43">
        <v>11219.3670580655</v>
      </c>
      <c r="ZQ43">
        <v>17.664856467705601</v>
      </c>
      <c r="ZR43">
        <v>0</v>
      </c>
      <c r="ZS43">
        <v>0</v>
      </c>
      <c r="ZT43">
        <v>0</v>
      </c>
      <c r="ZU43">
        <v>0</v>
      </c>
      <c r="ZV43">
        <v>3314.8984102844302</v>
      </c>
      <c r="ZW43">
        <v>20.4420557844022</v>
      </c>
      <c r="ZX43">
        <v>0</v>
      </c>
      <c r="ZY43">
        <v>0</v>
      </c>
      <c r="ZZ43">
        <v>0</v>
      </c>
      <c r="AAA43">
        <v>0</v>
      </c>
      <c r="AAB43">
        <v>2095.64321243427</v>
      </c>
      <c r="AAC43">
        <v>20.596600843286598</v>
      </c>
      <c r="AAD43">
        <v>0</v>
      </c>
      <c r="AAE43">
        <v>0</v>
      </c>
      <c r="AAF43">
        <v>0</v>
      </c>
      <c r="AAG43">
        <v>0</v>
      </c>
      <c r="AAH43">
        <v>3230.7940596162298</v>
      </c>
      <c r="AAI43">
        <v>20.520825570054701</v>
      </c>
      <c r="AAJ43">
        <v>0</v>
      </c>
      <c r="AAK43">
        <v>0</v>
      </c>
      <c r="AAL43">
        <v>0</v>
      </c>
      <c r="AAM43">
        <v>0</v>
      </c>
      <c r="AAN43">
        <v>2656.0841970617598</v>
      </c>
      <c r="AAO43">
        <v>19.989845057925599</v>
      </c>
      <c r="AAP43">
        <v>0</v>
      </c>
      <c r="AAQ43">
        <v>0</v>
      </c>
      <c r="AAR43">
        <v>0</v>
      </c>
      <c r="AAS43">
        <v>0</v>
      </c>
      <c r="AAT43">
        <v>20760.7547827936</v>
      </c>
      <c r="AAU43">
        <v>18.173749040081699</v>
      </c>
      <c r="AAV43">
        <v>0</v>
      </c>
      <c r="AAW43">
        <v>0</v>
      </c>
      <c r="AAX43">
        <v>0</v>
      </c>
      <c r="AAY43">
        <v>0</v>
      </c>
      <c r="AAZ43">
        <v>3665.4127307283102</v>
      </c>
      <c r="ABA43">
        <v>20.4397654487083</v>
      </c>
      <c r="ABB43">
        <v>0</v>
      </c>
      <c r="ABC43">
        <v>0</v>
      </c>
      <c r="ABD43">
        <v>0</v>
      </c>
      <c r="ABE43">
        <v>0</v>
      </c>
      <c r="ABF43">
        <v>2323.9800013865502</v>
      </c>
      <c r="ABG43">
        <v>20.5922595994329</v>
      </c>
      <c r="ABH43">
        <v>0</v>
      </c>
      <c r="ABI43">
        <v>0</v>
      </c>
      <c r="ABJ43">
        <v>0</v>
      </c>
      <c r="ABK43">
        <v>0</v>
      </c>
      <c r="ABL43">
        <v>3583.1063212511499</v>
      </c>
      <c r="ABM43">
        <v>20.5204584908161</v>
      </c>
      <c r="ABN43">
        <v>0</v>
      </c>
      <c r="ABO43">
        <v>0</v>
      </c>
      <c r="ABP43">
        <v>0</v>
      </c>
      <c r="ABQ43">
        <v>0</v>
      </c>
      <c r="ABR43">
        <v>2902.1070298099798</v>
      </c>
      <c r="ABS43">
        <v>20.020633526582699</v>
      </c>
      <c r="ABT43">
        <v>0</v>
      </c>
      <c r="ABU43">
        <v>0</v>
      </c>
      <c r="ABV43">
        <v>0</v>
      </c>
      <c r="ABW43">
        <v>0</v>
      </c>
      <c r="ABX43">
        <v>23747.968503071199</v>
      </c>
      <c r="ABY43">
        <v>18.1810746364933</v>
      </c>
      <c r="ABZ43">
        <v>0</v>
      </c>
      <c r="ACA43">
        <v>0</v>
      </c>
      <c r="ACB43">
        <v>0</v>
      </c>
      <c r="ACC43">
        <v>0.68164707411680003</v>
      </c>
      <c r="ACD43">
        <v>200703359.986646</v>
      </c>
      <c r="ACE43">
        <v>297895.920549559</v>
      </c>
      <c r="ACF43">
        <v>11.9790331526131</v>
      </c>
      <c r="ACG43">
        <v>6.7</v>
      </c>
      <c r="ACH43">
        <v>13.50000361399</v>
      </c>
      <c r="ACI43">
        <v>353646.85387918301</v>
      </c>
      <c r="ACJ43">
        <v>5.3436061375671802</v>
      </c>
      <c r="ACK43">
        <v>25.679377443087599</v>
      </c>
      <c r="ACL43">
        <v>31.044278384656401</v>
      </c>
      <c r="ACM43">
        <v>15.7700042216757</v>
      </c>
      <c r="ACN43">
        <v>105390.341415922</v>
      </c>
      <c r="ACP43">
        <v>73365.898105199696</v>
      </c>
      <c r="ACR43">
        <v>178756.23952112201</v>
      </c>
      <c r="ACT43">
        <v>25.4530084763555</v>
      </c>
      <c r="ACU43">
        <v>23.895003216881701</v>
      </c>
      <c r="ACV43">
        <v>1.7</v>
      </c>
      <c r="ACW43">
        <v>1.2943180941237999</v>
      </c>
      <c r="ACX43">
        <v>0.80009227128253602</v>
      </c>
      <c r="ACY43">
        <v>25.323145622079799</v>
      </c>
      <c r="ACZ43">
        <v>23.893080728533601</v>
      </c>
      <c r="ADA43">
        <v>1.7</v>
      </c>
      <c r="ADB43">
        <v>1.6966925957422001</v>
      </c>
      <c r="ADC43">
        <v>0.80002383037888702</v>
      </c>
      <c r="ADD43">
        <v>25.3332563815034</v>
      </c>
      <c r="ADE43">
        <v>23.902059353259201</v>
      </c>
      <c r="ADF43">
        <v>1.7</v>
      </c>
      <c r="ADG43">
        <v>2.1606848374461798</v>
      </c>
      <c r="ADH43">
        <v>0.80001725717479799</v>
      </c>
      <c r="ADI43">
        <v>25.6819043335069</v>
      </c>
      <c r="ADJ43">
        <v>23.822514191169802</v>
      </c>
      <c r="ADK43">
        <v>1.7</v>
      </c>
      <c r="ADL43">
        <v>1.8241767674621101</v>
      </c>
      <c r="ADM43">
        <v>0.70654185613607101</v>
      </c>
      <c r="ADN43">
        <v>25.9147790974781</v>
      </c>
      <c r="ADO43">
        <v>24.022738662446301</v>
      </c>
      <c r="ADP43">
        <v>1.7</v>
      </c>
      <c r="ADQ43">
        <v>1.7435534801518699</v>
      </c>
      <c r="ADR43">
        <v>0.70809925894026604</v>
      </c>
      <c r="ADS43">
        <v>25.948928623953801</v>
      </c>
      <c r="ADT43">
        <v>24.060863998725999</v>
      </c>
      <c r="ADU43">
        <v>1.7</v>
      </c>
      <c r="ADV43">
        <v>4.6543809808378702</v>
      </c>
      <c r="ADW43">
        <v>0.70738979227541399</v>
      </c>
      <c r="ADX43">
        <v>25.730518243569598</v>
      </c>
      <c r="ADY43">
        <v>23.76093871094</v>
      </c>
      <c r="ADZ43">
        <v>1.7</v>
      </c>
      <c r="AEA43">
        <v>2.56587670309341</v>
      </c>
      <c r="AEB43">
        <v>0.70521633421686902</v>
      </c>
      <c r="AEC43">
        <v>25.177760658691401</v>
      </c>
      <c r="AED43">
        <v>23.832137433127102</v>
      </c>
      <c r="AEE43">
        <v>1.7</v>
      </c>
      <c r="AEF43">
        <v>2.9199622361719699</v>
      </c>
      <c r="AEG43">
        <v>0.70672900199926703</v>
      </c>
      <c r="AEH43">
        <v>25.305708353431001</v>
      </c>
      <c r="AEI43">
        <v>23.959796421323102</v>
      </c>
      <c r="AEJ43">
        <v>1.7</v>
      </c>
      <c r="AEK43">
        <v>2.8294189053939198</v>
      </c>
      <c r="AEL43">
        <v>0.70747843276701095</v>
      </c>
      <c r="AEM43">
        <v>25.272596524009899</v>
      </c>
      <c r="AEN43">
        <v>23.963310137659299</v>
      </c>
      <c r="AEO43">
        <v>1.7</v>
      </c>
      <c r="AEP43">
        <v>4.3123118465783898</v>
      </c>
      <c r="AEQ43">
        <v>0.70730811257091597</v>
      </c>
      <c r="AER43">
        <v>25.462227599436901</v>
      </c>
      <c r="AES43">
        <v>23.9083269217798</v>
      </c>
      <c r="AET43">
        <v>1.7</v>
      </c>
      <c r="AEU43">
        <v>3.8210417994877202</v>
      </c>
      <c r="AEV43">
        <v>0.70456362611551404</v>
      </c>
      <c r="AEW43">
        <v>25.176441290709</v>
      </c>
      <c r="AEX43">
        <v>23.833209795422</v>
      </c>
      <c r="AEY43">
        <v>1.7</v>
      </c>
      <c r="AEZ43">
        <v>3.0352659636306298</v>
      </c>
      <c r="AFA43">
        <v>0.70684196128399501</v>
      </c>
      <c r="AFB43">
        <v>25.304333151804499</v>
      </c>
      <c r="AFC43">
        <v>23.960901606091301</v>
      </c>
      <c r="AFD43">
        <v>1.7</v>
      </c>
      <c r="AFE43">
        <v>2.94853119190604</v>
      </c>
      <c r="AFF43">
        <v>0.70758773832719801</v>
      </c>
      <c r="AFG43">
        <v>25.282850099566001</v>
      </c>
      <c r="AFH43">
        <v>23.964928805037399</v>
      </c>
      <c r="AFI43">
        <v>1.7</v>
      </c>
      <c r="AFJ43">
        <v>4.0053952621015902</v>
      </c>
      <c r="AFK43">
        <v>0.70730188767469604</v>
      </c>
      <c r="AFL43">
        <v>25.423802182558699</v>
      </c>
      <c r="AFM43">
        <v>23.8979068496864</v>
      </c>
      <c r="AFN43">
        <v>1.7</v>
      </c>
      <c r="AFO43">
        <v>3.9177253628589801</v>
      </c>
      <c r="AFP43">
        <v>0.70483447011979405</v>
      </c>
      <c r="AFQ43">
        <v>-0.41444478387553302</v>
      </c>
      <c r="AFR43">
        <v>-0.47613206445161299</v>
      </c>
      <c r="AFS43">
        <v>-0.33681804176194502</v>
      </c>
      <c r="AFT43">
        <v>-0.42227520020534998</v>
      </c>
      <c r="AFU43">
        <v>-0.366348052768591</v>
      </c>
      <c r="AFV43">
        <v>-0.377039036383784</v>
      </c>
      <c r="AFW43">
        <v>-0.123972163832616</v>
      </c>
      <c r="AFX43">
        <v>-0.36414526133171599</v>
      </c>
      <c r="AFY43">
        <v>-0.31181891060324901</v>
      </c>
      <c r="AFZ43">
        <v>-0.32601134503462198</v>
      </c>
      <c r="AGA43">
        <v>-7.9813908489877003E-2</v>
      </c>
      <c r="AGB43">
        <v>-0.31371835679346499</v>
      </c>
      <c r="AGC43">
        <v>-0.52374351435770705</v>
      </c>
      <c r="AGD43">
        <v>-0.48414140250179999</v>
      </c>
      <c r="AGE43">
        <v>-0.388428241960314</v>
      </c>
      <c r="AGF43">
        <v>0</v>
      </c>
      <c r="AGG43">
        <v>0</v>
      </c>
      <c r="AGH43">
        <v>0</v>
      </c>
      <c r="AGI43">
        <v>0</v>
      </c>
      <c r="AGJ43">
        <v>0</v>
      </c>
      <c r="AGK43">
        <v>0</v>
      </c>
      <c r="AGL43">
        <v>0</v>
      </c>
      <c r="AGM43">
        <v>0</v>
      </c>
      <c r="AGN43">
        <v>0</v>
      </c>
      <c r="AGO43">
        <v>0</v>
      </c>
      <c r="AGP43">
        <v>0</v>
      </c>
      <c r="AGQ43">
        <v>0</v>
      </c>
      <c r="AGR43">
        <v>0</v>
      </c>
      <c r="AGS43">
        <v>0</v>
      </c>
      <c r="AGT43">
        <v>0</v>
      </c>
      <c r="AGU43">
        <v>0</v>
      </c>
      <c r="AGV43">
        <v>0</v>
      </c>
      <c r="AGW43">
        <v>0</v>
      </c>
      <c r="AGX43">
        <v>0</v>
      </c>
      <c r="AGY43">
        <v>0</v>
      </c>
      <c r="AGZ43">
        <v>0</v>
      </c>
      <c r="AHA43">
        <v>0</v>
      </c>
      <c r="AHB43">
        <v>0</v>
      </c>
      <c r="AHC43">
        <v>0</v>
      </c>
      <c r="AHD43">
        <v>0</v>
      </c>
      <c r="AHE43">
        <v>0</v>
      </c>
      <c r="AHF43">
        <v>0</v>
      </c>
      <c r="AHG43">
        <v>0</v>
      </c>
      <c r="AHH43">
        <v>0</v>
      </c>
      <c r="AHI43">
        <v>0</v>
      </c>
      <c r="AHJ43">
        <v>0</v>
      </c>
      <c r="AHK43">
        <v>0</v>
      </c>
      <c r="AHL43">
        <v>0</v>
      </c>
      <c r="AHM43">
        <v>0</v>
      </c>
      <c r="AHN43">
        <v>0</v>
      </c>
      <c r="AHO43">
        <v>0</v>
      </c>
      <c r="AHP43">
        <v>0</v>
      </c>
      <c r="AHQ43">
        <v>0</v>
      </c>
      <c r="AHR43">
        <v>0</v>
      </c>
      <c r="AHS43">
        <v>0</v>
      </c>
      <c r="AHT43">
        <v>0</v>
      </c>
      <c r="AHU43">
        <v>0</v>
      </c>
      <c r="AHV43">
        <v>0</v>
      </c>
      <c r="AHW43">
        <v>0</v>
      </c>
      <c r="AHX43">
        <v>0</v>
      </c>
      <c r="AHZ43">
        <v>0</v>
      </c>
      <c r="AIB43">
        <v>0</v>
      </c>
      <c r="AID43">
        <v>0</v>
      </c>
      <c r="AIF43">
        <v>0</v>
      </c>
      <c r="AIH43">
        <v>0</v>
      </c>
      <c r="AIJ43">
        <v>0</v>
      </c>
      <c r="AIL43">
        <v>0</v>
      </c>
      <c r="AIN43">
        <v>0</v>
      </c>
      <c r="AIP43">
        <v>0</v>
      </c>
      <c r="AIR43">
        <v>0</v>
      </c>
      <c r="AIT43">
        <v>0</v>
      </c>
      <c r="AIV43">
        <v>0</v>
      </c>
      <c r="AIX43">
        <v>0</v>
      </c>
      <c r="AIZ43">
        <v>0</v>
      </c>
      <c r="AJB43">
        <v>0</v>
      </c>
      <c r="AJC43">
        <v>0</v>
      </c>
      <c r="AJE43">
        <v>296212.220858432</v>
      </c>
      <c r="AJH43">
        <v>7404.3563104749501</v>
      </c>
      <c r="AJJ43">
        <v>183.80401834048999</v>
      </c>
      <c r="AJK43">
        <v>100.993607841158</v>
      </c>
      <c r="AJL43">
        <v>365.50181761220301</v>
      </c>
      <c r="AJM43">
        <v>402.579478671863</v>
      </c>
      <c r="AJN43">
        <v>183.803137552637</v>
      </c>
      <c r="AJO43">
        <v>122.12976618633201</v>
      </c>
      <c r="AJP43">
        <v>426.70321269256499</v>
      </c>
      <c r="AJQ43">
        <v>417.08182629187797</v>
      </c>
      <c r="AJR43">
        <v>222.446339428149</v>
      </c>
      <c r="AJS43">
        <v>41.446701442013797</v>
      </c>
      <c r="AJT43">
        <v>113.643670660975</v>
      </c>
      <c r="AJU43">
        <v>122.611292166048</v>
      </c>
      <c r="AJV43">
        <v>72.6397002330052</v>
      </c>
      <c r="AJW43">
        <v>0</v>
      </c>
      <c r="AJX43">
        <v>0</v>
      </c>
      <c r="AJY43">
        <v>0</v>
      </c>
      <c r="AJZ43">
        <v>296212.22173747199</v>
      </c>
      <c r="AKA43">
        <v>0</v>
      </c>
      <c r="AKB43">
        <v>0</v>
      </c>
      <c r="AKC43">
        <v>0</v>
      </c>
      <c r="AKD43">
        <v>0</v>
      </c>
      <c r="AKE43">
        <v>65.56</v>
      </c>
      <c r="AKF43">
        <v>65.56</v>
      </c>
      <c r="AKG43">
        <v>0</v>
      </c>
      <c r="AKH43">
        <v>0</v>
      </c>
      <c r="AKI43">
        <v>0</v>
      </c>
      <c r="AKJ43">
        <v>0</v>
      </c>
      <c r="AKK43">
        <v>0</v>
      </c>
      <c r="AKL43">
        <v>65.56</v>
      </c>
      <c r="AKM43">
        <v>65.56</v>
      </c>
      <c r="AKN43">
        <v>0</v>
      </c>
      <c r="AKO43">
        <v>0</v>
      </c>
      <c r="AKP43">
        <v>0</v>
      </c>
      <c r="AKT43">
        <v>6734795.2483461499</v>
      </c>
      <c r="AKX43">
        <v>6078357.7937538503</v>
      </c>
      <c r="ALB43">
        <v>31.067330892471201</v>
      </c>
      <c r="ALC43">
        <v>25.3459574588701</v>
      </c>
      <c r="ALD43">
        <v>15.7700042216757</v>
      </c>
      <c r="ALE43">
        <v>377145.02778299002</v>
      </c>
      <c r="ALF43">
        <v>3876.01471762034</v>
      </c>
      <c r="ALH43">
        <v>15.2285892201275</v>
      </c>
      <c r="ALI43">
        <v>8.8826999720886604E-3</v>
      </c>
      <c r="ALJ43">
        <v>18.1691892492215</v>
      </c>
      <c r="ALK43">
        <v>27.612807593212501</v>
      </c>
      <c r="ALL43">
        <v>18.1691892492215</v>
      </c>
      <c r="ALM43">
        <v>0</v>
      </c>
      <c r="ALN43">
        <v>25.715360687042899</v>
      </c>
      <c r="ALO43">
        <v>9.3463883528375497E-3</v>
      </c>
      <c r="ALP43">
        <v>45.334432002304901</v>
      </c>
      <c r="ALQ43">
        <v>18.1691892492215</v>
      </c>
      <c r="ALR43">
        <v>15.2285892201275</v>
      </c>
      <c r="ALS43">
        <v>18.1691892492215</v>
      </c>
      <c r="ALT43">
        <v>15.560001590296901</v>
      </c>
      <c r="ALU43">
        <v>18.1691892492215</v>
      </c>
      <c r="ALV43">
        <v>6.7000000155775297</v>
      </c>
      <c r="ALW43">
        <v>4.1133152200715202E-3</v>
      </c>
      <c r="ALX43">
        <v>23.92887824228</v>
      </c>
      <c r="ALY43">
        <v>4.1133152200715202E-3</v>
      </c>
      <c r="ALZ43">
        <v>0</v>
      </c>
      <c r="AMA43">
        <v>11.9790331526131</v>
      </c>
      <c r="AMB43">
        <v>1.35E-2</v>
      </c>
      <c r="AMC43">
        <v>11.949196215498899</v>
      </c>
      <c r="AMD43">
        <v>1.35E-2</v>
      </c>
      <c r="AME43">
        <v>6.7</v>
      </c>
      <c r="AMF43">
        <v>1.35E-2</v>
      </c>
      <c r="AMG43">
        <v>1.5769999999999999E-2</v>
      </c>
      <c r="AMH43">
        <v>4.2474999999999996</v>
      </c>
      <c r="AMI43">
        <v>19.0490490347253</v>
      </c>
      <c r="AMJ43">
        <v>0.74339972880962601</v>
      </c>
      <c r="AMK43" s="580">
        <v>17.659386548573298</v>
      </c>
      <c r="AML43">
        <v>1.8564511936793699</v>
      </c>
      <c r="AMM43">
        <v>19.432986518880099</v>
      </c>
      <c r="AMN43">
        <v>0.40705121665324001</v>
      </c>
      <c r="AMO43">
        <v>19.345769456655599</v>
      </c>
      <c r="AMP43">
        <v>0.69310187531266099</v>
      </c>
      <c r="AMQ43">
        <v>19.4964391937906</v>
      </c>
      <c r="AMR43">
        <v>0.63630568601966597</v>
      </c>
      <c r="AMS43">
        <v>18.171962729812901</v>
      </c>
      <c r="AMT43">
        <v>2.2616323414472301</v>
      </c>
      <c r="AMU43">
        <v>20.704635794102501</v>
      </c>
      <c r="AMV43">
        <v>0.70321143495892602</v>
      </c>
      <c r="AMW43">
        <v>20.202531864582301</v>
      </c>
      <c r="AMX43">
        <v>1.18995688591005</v>
      </c>
      <c r="AMY43">
        <v>20.589398086222801</v>
      </c>
      <c r="AMZ43">
        <v>1.1879050321704601</v>
      </c>
      <c r="ANA43">
        <v>20.799337346062199</v>
      </c>
      <c r="ANB43">
        <v>1.1191151133698101</v>
      </c>
      <c r="ANC43">
        <v>18.1766513970225</v>
      </c>
      <c r="AND43">
        <v>2.7451205964941998</v>
      </c>
      <c r="ANE43">
        <v>20.710025542763599</v>
      </c>
      <c r="ANF43">
        <v>0.78274089412278303</v>
      </c>
      <c r="ANG43">
        <v>20.254151181838999</v>
      </c>
      <c r="ANH43">
        <v>1.28180539283939</v>
      </c>
      <c r="ANI43">
        <v>20.5945025878184</v>
      </c>
      <c r="ANJ43">
        <v>1.3175539678570201</v>
      </c>
      <c r="ANK43">
        <v>20.7801867994656</v>
      </c>
      <c r="ANL43">
        <v>1.2438378895770199</v>
      </c>
      <c r="ANM43">
        <v>4.3363097004745699</v>
      </c>
      <c r="ANN43">
        <v>6.4618208078564798</v>
      </c>
      <c r="ANO43">
        <v>7.3710587408904198</v>
      </c>
      <c r="ANP43">
        <v>17.659386548573298</v>
      </c>
      <c r="ANQ43">
        <v>19.3501684012544</v>
      </c>
      <c r="ANR43">
        <v>18.924986815439599</v>
      </c>
      <c r="ANS43">
        <v>19.339768597094299</v>
      </c>
      <c r="ANT43">
        <v>19.260520704247899</v>
      </c>
      <c r="ANU43">
        <v>18.171962729812901</v>
      </c>
      <c r="ANV43">
        <v>20.5878624314396</v>
      </c>
      <c r="ANW43">
        <v>19.953457462438202</v>
      </c>
      <c r="ANX43">
        <v>20.506987787562199</v>
      </c>
      <c r="ANY43">
        <v>20.463528476280299</v>
      </c>
      <c r="ANZ43">
        <v>18.1766513970225</v>
      </c>
      <c r="AOA43">
        <v>20.583180835772499</v>
      </c>
      <c r="AOB43">
        <v>19.9843172700065</v>
      </c>
      <c r="AOC43">
        <v>20.507734123026399</v>
      </c>
      <c r="AOD43">
        <v>20.457161395894701</v>
      </c>
      <c r="AOE43">
        <v>25.715360687042899</v>
      </c>
      <c r="AOF43">
        <v>4.2474999999999996</v>
      </c>
      <c r="AOG43">
        <v>25.750532852444302</v>
      </c>
      <c r="AOH43">
        <v>4.2474999999999996</v>
      </c>
    </row>
    <row r="44" spans="1:1074">
      <c r="A44" t="s">
        <v>2614</v>
      </c>
      <c r="B44">
        <v>31.291899999999998</v>
      </c>
      <c r="D44">
        <v>19.1141907290524</v>
      </c>
      <c r="F44">
        <v>9</v>
      </c>
      <c r="G44">
        <v>10945018.5837641</v>
      </c>
      <c r="H44">
        <v>25252376.055390202</v>
      </c>
      <c r="I44">
        <v>6950739.3466344699</v>
      </c>
      <c r="J44">
        <v>16036764.3509151</v>
      </c>
      <c r="K44">
        <v>10945018.5837641</v>
      </c>
      <c r="L44">
        <v>25252376.055390202</v>
      </c>
      <c r="M44">
        <v>6950739.3466344699</v>
      </c>
      <c r="N44">
        <v>16036764.3509151</v>
      </c>
      <c r="O44">
        <v>56445592.898657002</v>
      </c>
      <c r="P44">
        <v>130231422.417206</v>
      </c>
      <c r="Q44">
        <v>10945018.5837641</v>
      </c>
      <c r="R44">
        <v>25252376.055390202</v>
      </c>
      <c r="S44">
        <v>6950739.3466344699</v>
      </c>
      <c r="T44">
        <v>16036764.3509151</v>
      </c>
      <c r="U44">
        <v>10945018.5837641</v>
      </c>
      <c r="V44">
        <v>25252376.055390202</v>
      </c>
      <c r="W44">
        <v>6950739.3466344699</v>
      </c>
      <c r="X44">
        <v>16036764.3509151</v>
      </c>
      <c r="Y44">
        <v>56445592.898657002</v>
      </c>
      <c r="Z44">
        <v>130231422.417206</v>
      </c>
      <c r="AA44">
        <v>10945018.5837641</v>
      </c>
      <c r="AB44">
        <v>25252376.055390202</v>
      </c>
      <c r="AC44">
        <v>6950739.3466344699</v>
      </c>
      <c r="AD44">
        <v>16036764.3509151</v>
      </c>
      <c r="AE44">
        <v>10945018.5837641</v>
      </c>
      <c r="AF44">
        <v>25252376.055390202</v>
      </c>
      <c r="AG44">
        <v>6950739.3466344699</v>
      </c>
      <c r="AH44">
        <v>16036764.3509151</v>
      </c>
      <c r="AI44">
        <v>56445592.898657002</v>
      </c>
      <c r="AJ44">
        <v>130231422.417206</v>
      </c>
      <c r="AK44">
        <v>23.716228502806501</v>
      </c>
      <c r="AL44">
        <v>3956060.4386927001</v>
      </c>
      <c r="AM44">
        <v>10245410.713212401</v>
      </c>
      <c r="AN44">
        <v>23.716228502806501</v>
      </c>
      <c r="AO44">
        <v>3956060.4386927001</v>
      </c>
      <c r="AP44">
        <v>10245410.713212401</v>
      </c>
      <c r="AQ44">
        <v>15.0612190693548</v>
      </c>
      <c r="AR44">
        <v>2512334.2403159901</v>
      </c>
      <c r="AS44">
        <v>6506446.6379612898</v>
      </c>
      <c r="AT44">
        <v>15.0612190693548</v>
      </c>
      <c r="AU44">
        <v>2512334.2403159901</v>
      </c>
      <c r="AV44">
        <v>6506446.6379612898</v>
      </c>
      <c r="AW44">
        <v>23.716228502806501</v>
      </c>
      <c r="AX44">
        <v>3956060.4386927001</v>
      </c>
      <c r="AY44">
        <v>10245410.713212401</v>
      </c>
      <c r="AZ44">
        <v>23.716228502806501</v>
      </c>
      <c r="BA44">
        <v>3956060.4386927001</v>
      </c>
      <c r="BB44">
        <v>10245410.713212401</v>
      </c>
      <c r="BC44">
        <v>15.0612190693548</v>
      </c>
      <c r="BD44">
        <v>2512334.2403159901</v>
      </c>
      <c r="BE44">
        <v>6506446.6379612898</v>
      </c>
      <c r="BF44">
        <v>15.0612190693548</v>
      </c>
      <c r="BG44">
        <v>2512334.2403159901</v>
      </c>
      <c r="BH44">
        <v>6506446.6379612898</v>
      </c>
      <c r="BI44">
        <v>23.716228502806501</v>
      </c>
      <c r="BJ44">
        <v>3956060.4386927001</v>
      </c>
      <c r="BK44">
        <v>10245410.713212401</v>
      </c>
      <c r="BL44">
        <v>23.716228502806501</v>
      </c>
      <c r="BM44">
        <v>3956060.4386927001</v>
      </c>
      <c r="BN44">
        <v>10245410.713212401</v>
      </c>
      <c r="BO44">
        <v>15.0612190693548</v>
      </c>
      <c r="BP44">
        <v>2512334.2403159901</v>
      </c>
      <c r="BQ44">
        <v>6506446.6379612898</v>
      </c>
      <c r="BR44">
        <v>15.0612190693548</v>
      </c>
      <c r="BS44">
        <v>2512334.2403159901</v>
      </c>
      <c r="BT44">
        <v>6506446.6379612898</v>
      </c>
      <c r="BU44">
        <v>52837578.828362301</v>
      </c>
      <c r="BV44">
        <v>122.309210250839</v>
      </c>
      <c r="BW44">
        <v>20402174.312995501</v>
      </c>
      <c r="BX44">
        <v>52837578.828362301</v>
      </c>
      <c r="BY44">
        <v>122.309210250839</v>
      </c>
      <c r="BZ44">
        <v>20402174.312995501</v>
      </c>
      <c r="CA44">
        <v>52837578.828362301</v>
      </c>
      <c r="CB44">
        <v>122.309210250839</v>
      </c>
      <c r="CC44">
        <v>20402174.312995501</v>
      </c>
      <c r="CD44">
        <v>52837578.828362301</v>
      </c>
      <c r="CE44">
        <v>3773179.8574618599</v>
      </c>
      <c r="CF44">
        <v>8575408.7669587694</v>
      </c>
      <c r="CG44">
        <v>3773179.8574618599</v>
      </c>
      <c r="CH44">
        <v>8575408.7669587694</v>
      </c>
      <c r="CI44">
        <v>2396194.1678283801</v>
      </c>
      <c r="CJ44">
        <v>5445895.8359735999</v>
      </c>
      <c r="CK44">
        <v>2396194.1678283801</v>
      </c>
      <c r="CL44">
        <v>5445895.8359735999</v>
      </c>
      <c r="CM44">
        <v>3773179.8574618599</v>
      </c>
      <c r="CN44">
        <v>8575408.7669587694</v>
      </c>
      <c r="CO44">
        <v>3773179.8574618599</v>
      </c>
      <c r="CP44">
        <v>8575408.7669587694</v>
      </c>
      <c r="CQ44">
        <v>2396194.1678283801</v>
      </c>
      <c r="CR44">
        <v>5445895.8359735999</v>
      </c>
      <c r="CS44">
        <v>2396194.1678283801</v>
      </c>
      <c r="CT44">
        <v>5445895.8359735999</v>
      </c>
      <c r="CU44">
        <v>3773179.8574618599</v>
      </c>
      <c r="CV44">
        <v>8575408.7669587694</v>
      </c>
      <c r="CW44">
        <v>3773179.8574618599</v>
      </c>
      <c r="CX44">
        <v>8575408.7669587694</v>
      </c>
      <c r="CY44">
        <v>2396194.1678283801</v>
      </c>
      <c r="CZ44">
        <v>5445895.8359735999</v>
      </c>
      <c r="DA44">
        <v>2396194.1678283801</v>
      </c>
      <c r="DB44">
        <v>5445895.8359735999</v>
      </c>
      <c r="DC44">
        <v>19459023.5309093</v>
      </c>
      <c r="DD44">
        <v>44225053.479339302</v>
      </c>
      <c r="DE44">
        <v>19459023.5309093</v>
      </c>
      <c r="DF44">
        <v>44225053.479339302</v>
      </c>
      <c r="DG44">
        <v>19459023.5309093</v>
      </c>
      <c r="DH44">
        <v>44225053.479339302</v>
      </c>
      <c r="DI44">
        <v>3215778.2876095399</v>
      </c>
      <c r="DJ44">
        <v>6431556.5752190799</v>
      </c>
      <c r="DK44">
        <v>3215778.2876095399</v>
      </c>
      <c r="DL44">
        <v>6431556.5752190799</v>
      </c>
      <c r="DM44">
        <v>2042210.9384901</v>
      </c>
      <c r="DN44">
        <v>4084421.8769801999</v>
      </c>
      <c r="DO44">
        <v>2042210.9384901</v>
      </c>
      <c r="DP44">
        <v>4084421.8769801999</v>
      </c>
      <c r="DQ44">
        <v>3215778.2876095399</v>
      </c>
      <c r="DR44">
        <v>6431556.5752190799</v>
      </c>
      <c r="DS44">
        <v>3215778.2876095399</v>
      </c>
      <c r="DT44">
        <v>6431556.5752190799</v>
      </c>
      <c r="DU44">
        <v>2042210.9384901</v>
      </c>
      <c r="DV44">
        <v>4084421.8769801999</v>
      </c>
      <c r="DW44">
        <v>2042210.9384901</v>
      </c>
      <c r="DX44">
        <v>4084421.8769801999</v>
      </c>
      <c r="DY44">
        <v>3215778.2876095399</v>
      </c>
      <c r="DZ44">
        <v>6431556.5752190799</v>
      </c>
      <c r="EA44">
        <v>3215778.2876095399</v>
      </c>
      <c r="EB44">
        <v>6431556.5752190799</v>
      </c>
      <c r="EC44">
        <v>2042210.9384901</v>
      </c>
      <c r="ED44">
        <v>4084421.8769801999</v>
      </c>
      <c r="EE44">
        <v>2042210.9384901</v>
      </c>
      <c r="EF44">
        <v>4084421.8769801999</v>
      </c>
      <c r="EG44">
        <v>16584395.054752201</v>
      </c>
      <c r="EH44">
        <v>33168790.109504402</v>
      </c>
      <c r="EI44">
        <v>16584395.054752201</v>
      </c>
      <c r="EJ44">
        <v>33168790.109504402</v>
      </c>
      <c r="EK44">
        <v>16584395.054752201</v>
      </c>
      <c r="EL44">
        <v>33168790.109504402</v>
      </c>
      <c r="EM44">
        <v>3740.0857515702301</v>
      </c>
      <c r="EN44">
        <v>845.03031191264699</v>
      </c>
      <c r="EO44">
        <v>1307.5611828553599</v>
      </c>
      <c r="EP44">
        <v>5972.7581414953902</v>
      </c>
      <c r="EQ44">
        <v>0</v>
      </c>
      <c r="ER44">
        <v>3984.18968229047</v>
      </c>
      <c r="ES44">
        <v>905.75224837937401</v>
      </c>
      <c r="ET44">
        <v>1408.5076576737699</v>
      </c>
      <c r="EU44">
        <v>26.535702228234801</v>
      </c>
      <c r="EV44">
        <v>6346.0957371225104</v>
      </c>
      <c r="EW44">
        <v>0</v>
      </c>
      <c r="EX44">
        <v>3946.90006044555</v>
      </c>
      <c r="EY44">
        <v>1.65471382191828</v>
      </c>
      <c r="EZ44">
        <v>891.63203653614698</v>
      </c>
      <c r="FA44">
        <v>1382.04031737077</v>
      </c>
      <c r="FB44">
        <v>26.547893772559</v>
      </c>
      <c r="FC44">
        <v>6303.30841263194</v>
      </c>
      <c r="FD44">
        <v>0</v>
      </c>
      <c r="FE44">
        <v>0</v>
      </c>
      <c r="FF44">
        <v>0</v>
      </c>
      <c r="FG44">
        <v>0</v>
      </c>
      <c r="FH44">
        <v>0</v>
      </c>
      <c r="FI44">
        <v>0</v>
      </c>
      <c r="FJ44">
        <v>0</v>
      </c>
      <c r="FK44">
        <v>0</v>
      </c>
      <c r="FL44">
        <v>0</v>
      </c>
      <c r="FM44">
        <v>0</v>
      </c>
      <c r="FN44">
        <v>0</v>
      </c>
      <c r="FO44">
        <v>2.45251372506161E-2</v>
      </c>
      <c r="FP44">
        <v>0</v>
      </c>
      <c r="FQ44">
        <v>3.7712464405102401E-3</v>
      </c>
      <c r="FR44">
        <v>0</v>
      </c>
      <c r="FS44">
        <v>6303.30841263194</v>
      </c>
      <c r="FT44">
        <v>0</v>
      </c>
      <c r="FU44">
        <v>2013.7348934235799</v>
      </c>
      <c r="FV44">
        <v>0</v>
      </c>
      <c r="FW44">
        <v>0</v>
      </c>
      <c r="FX44">
        <v>4.2371872586256902E-3</v>
      </c>
      <c r="FY44">
        <v>2.45251372506161E-2</v>
      </c>
      <c r="FZ44">
        <v>0</v>
      </c>
      <c r="GA44">
        <v>3.7712464405102401E-3</v>
      </c>
      <c r="GB44">
        <v>233.72936447090001</v>
      </c>
      <c r="GC44">
        <v>218.076210352299</v>
      </c>
      <c r="GD44">
        <v>130.51930911799701</v>
      </c>
      <c r="GE44">
        <v>117.36967667854</v>
      </c>
      <c r="GF44">
        <v>81.088617180521695</v>
      </c>
      <c r="GG44">
        <v>3.9163793001439</v>
      </c>
      <c r="GH44">
        <v>196.35331635582099</v>
      </c>
      <c r="GI44">
        <v>123.620010249399</v>
      </c>
      <c r="GJ44">
        <v>-0.377663284594011</v>
      </c>
      <c r="GK44">
        <v>332.97103030900598</v>
      </c>
      <c r="GL44">
        <v>297.12919956216899</v>
      </c>
      <c r="GM44">
        <v>297.43215589273899</v>
      </c>
      <c r="GN44">
        <v>53.0032458836411</v>
      </c>
      <c r="GO44">
        <v>25.538337649176601</v>
      </c>
      <c r="GP44">
        <v>25.9890811162768</v>
      </c>
      <c r="GQ44">
        <v>0.38592289427843102</v>
      </c>
      <c r="GR44">
        <v>-158.067778734478</v>
      </c>
      <c r="GS44">
        <v>-862.74395588609104</v>
      </c>
      <c r="GT44">
        <v>22.843765885501199</v>
      </c>
      <c r="GU44">
        <v>25.641085371999001</v>
      </c>
      <c r="GV44">
        <v>25.995057812524301</v>
      </c>
      <c r="GW44">
        <v>-6.3556094204585296</v>
      </c>
      <c r="GX44">
        <v>-107.81507821432</v>
      </c>
      <c r="GY44">
        <v>-478.59589303200897</v>
      </c>
      <c r="GZ44">
        <v>35.207362021946999</v>
      </c>
      <c r="HA44">
        <v>25.5665906557475</v>
      </c>
      <c r="HB44">
        <v>25.967946381577999</v>
      </c>
      <c r="HC44">
        <v>-13.342500069031701</v>
      </c>
      <c r="HD44">
        <v>-204.036769921255</v>
      </c>
      <c r="HE44">
        <v>-856.46597175862405</v>
      </c>
      <c r="HF44">
        <v>115.091125178364</v>
      </c>
      <c r="HG44">
        <v>26.2523797475076</v>
      </c>
      <c r="HH44">
        <v>26.932160115178</v>
      </c>
      <c r="HI44">
        <v>40.483726106877299</v>
      </c>
      <c r="HJ44">
        <v>-106.847936066592</v>
      </c>
      <c r="HK44">
        <v>-829.35387934063897</v>
      </c>
      <c r="HL44">
        <v>334.444933036235</v>
      </c>
      <c r="HM44">
        <v>26.3238991129985</v>
      </c>
      <c r="HN44">
        <v>25.909324116190501</v>
      </c>
      <c r="HO44">
        <v>249.118191693402</v>
      </c>
      <c r="HP44">
        <v>117.961405151823</v>
      </c>
      <c r="HQ44">
        <v>26.424204297235601</v>
      </c>
      <c r="HR44">
        <v>173.93439036404001</v>
      </c>
      <c r="HS44">
        <v>196.230430524773</v>
      </c>
      <c r="HT44">
        <v>26.112104769421801</v>
      </c>
      <c r="HU44">
        <v>25.853243842259001</v>
      </c>
      <c r="HV44">
        <v>134.224347120864</v>
      </c>
      <c r="HW44">
        <v>127.425235095779</v>
      </c>
      <c r="HX44">
        <v>26.204797100256599</v>
      </c>
      <c r="HY44">
        <v>86.213963328611896</v>
      </c>
      <c r="HZ44">
        <v>26.078733630496</v>
      </c>
      <c r="IA44">
        <v>25.8363679165478</v>
      </c>
      <c r="IB44">
        <v>223.249825556291</v>
      </c>
      <c r="IC44">
        <v>308.83980077280802</v>
      </c>
      <c r="ID44">
        <v>180.22048616914901</v>
      </c>
      <c r="IE44">
        <v>26.148065270090999</v>
      </c>
      <c r="IF44">
        <v>131.72789969151</v>
      </c>
      <c r="IG44">
        <v>50.843179805074797</v>
      </c>
      <c r="IH44">
        <v>27.400287242188</v>
      </c>
      <c r="II44">
        <v>26.403389616283501</v>
      </c>
      <c r="IJ44">
        <v>150.946328309259</v>
      </c>
      <c r="IK44">
        <v>46.023683279337199</v>
      </c>
      <c r="IL44">
        <v>467.160743309846</v>
      </c>
      <c r="IM44">
        <v>197.56987306660801</v>
      </c>
      <c r="IN44">
        <v>27.7521754932581</v>
      </c>
      <c r="IO44">
        <v>0.62710235523217095</v>
      </c>
      <c r="IP44">
        <v>183.66638235561501</v>
      </c>
      <c r="IQ44">
        <v>230.326017714187</v>
      </c>
      <c r="IR44">
        <v>130.17885103877899</v>
      </c>
      <c r="IS44">
        <v>214.31807579560399</v>
      </c>
      <c r="IT44">
        <v>212.19617972104999</v>
      </c>
      <c r="IU44">
        <v>35.076441479834301</v>
      </c>
      <c r="IV44">
        <v>72.208166034352004</v>
      </c>
      <c r="IW44">
        <v>25.717710110583202</v>
      </c>
      <c r="IX44">
        <v>26.424204297235601</v>
      </c>
      <c r="IY44">
        <v>106.43242983752199</v>
      </c>
      <c r="IZ44">
        <v>-60.949176356050103</v>
      </c>
      <c r="JA44">
        <v>-877.84466959173903</v>
      </c>
      <c r="JB44">
        <v>36.995678865481203</v>
      </c>
      <c r="JC44">
        <v>25.703570479605698</v>
      </c>
      <c r="JD44">
        <v>26.204797100256599</v>
      </c>
      <c r="JE44">
        <v>42.536591366019003</v>
      </c>
      <c r="JF44">
        <v>-32.347319655979497</v>
      </c>
      <c r="JG44">
        <v>-433.32535725159897</v>
      </c>
      <c r="JH44">
        <v>55.739647496080899</v>
      </c>
      <c r="JI44">
        <v>25.606066058734701</v>
      </c>
      <c r="JJ44">
        <v>26.148065270090999</v>
      </c>
      <c r="JK44">
        <v>57.734511017422399</v>
      </c>
      <c r="JL44">
        <v>-77.255290552461702</v>
      </c>
      <c r="JM44">
        <v>-777.61091072874297</v>
      </c>
      <c r="JN44">
        <v>132.855303762869</v>
      </c>
      <c r="JO44">
        <v>26.641895913774199</v>
      </c>
      <c r="JP44">
        <v>27.7521754932581</v>
      </c>
      <c r="JQ44">
        <v>1.43552639013636</v>
      </c>
      <c r="JR44">
        <v>166.86360695553199</v>
      </c>
      <c r="JS44">
        <v>0.96206493228488699</v>
      </c>
      <c r="JT44">
        <v>-36.771496125986303</v>
      </c>
      <c r="JU44">
        <v>-875.96466776745604</v>
      </c>
      <c r="JV44">
        <v>382.264344752532</v>
      </c>
      <c r="JW44">
        <v>248.38734175472001</v>
      </c>
      <c r="JX44">
        <v>367.63351430188698</v>
      </c>
      <c r="JY44">
        <v>225.80783552615799</v>
      </c>
      <c r="JZ44">
        <v>208.16908439689101</v>
      </c>
      <c r="KA44">
        <v>197.798311104346</v>
      </c>
      <c r="KB44">
        <v>354.79402657986498</v>
      </c>
      <c r="KC44">
        <v>317.45608638672797</v>
      </c>
      <c r="KD44">
        <v>317.98494743722898</v>
      </c>
      <c r="KE44">
        <v>501.21072707750898</v>
      </c>
      <c r="KF44">
        <v>35.0412013833011</v>
      </c>
      <c r="KG44">
        <v>1179.3130285316099</v>
      </c>
      <c r="KH44">
        <v>0.41339534191173399</v>
      </c>
      <c r="KI44">
        <v>179.66263135927699</v>
      </c>
      <c r="KJ44">
        <v>339.48934340730398</v>
      </c>
      <c r="KK44">
        <v>168.95070600426399</v>
      </c>
      <c r="KL44">
        <v>27.265523057804302</v>
      </c>
      <c r="KM44">
        <v>27.185805548374798</v>
      </c>
      <c r="KN44">
        <v>455.04394968427198</v>
      </c>
      <c r="KO44">
        <v>27.6773878968277</v>
      </c>
      <c r="KP44">
        <v>34.977501720369197</v>
      </c>
      <c r="KQ44">
        <v>340.54147307233598</v>
      </c>
      <c r="KR44">
        <v>704.09683846140194</v>
      </c>
      <c r="KS44">
        <v>92.842023496231306</v>
      </c>
      <c r="KT44">
        <v>27.170263447328502</v>
      </c>
      <c r="KU44">
        <v>26.937563247950401</v>
      </c>
      <c r="KV44">
        <v>227.708515015226</v>
      </c>
      <c r="KW44">
        <v>27.6301262023166</v>
      </c>
      <c r="KX44">
        <v>34.904428423950101</v>
      </c>
      <c r="KY44">
        <v>189.541490025809</v>
      </c>
      <c r="KZ44">
        <v>456.44567443854999</v>
      </c>
      <c r="LA44">
        <v>144.829654202981</v>
      </c>
      <c r="LB44">
        <v>27.174813137563198</v>
      </c>
      <c r="LC44">
        <v>26.934387066435502</v>
      </c>
      <c r="LD44">
        <v>367.98069869706399</v>
      </c>
      <c r="LE44">
        <v>27.640979728677699</v>
      </c>
      <c r="LF44">
        <v>34.977686713464003</v>
      </c>
      <c r="LG44">
        <v>305.589485379255</v>
      </c>
      <c r="LH44">
        <v>730.55373111451399</v>
      </c>
      <c r="LI44">
        <v>212.43410629850899</v>
      </c>
      <c r="LJ44">
        <v>28.2095185567164</v>
      </c>
      <c r="LK44">
        <v>28.4649315669357</v>
      </c>
      <c r="LL44">
        <v>465.32071933546803</v>
      </c>
      <c r="LM44">
        <v>28.482800789537599</v>
      </c>
      <c r="LN44">
        <v>34.635901452398002</v>
      </c>
      <c r="LO44">
        <v>285.968873582784</v>
      </c>
      <c r="LP44">
        <v>384.42377887540403</v>
      </c>
      <c r="LQ44">
        <v>99.553616866734401</v>
      </c>
      <c r="LR44">
        <v>19.984473437531499</v>
      </c>
      <c r="LS44">
        <v>16.420999999999999</v>
      </c>
      <c r="LT44">
        <v>313.52259471781201</v>
      </c>
      <c r="LU44">
        <v>-1313.1368653275699</v>
      </c>
      <c r="LV44">
        <v>21.587014681273399</v>
      </c>
      <c r="LW44">
        <v>24.702711311221702</v>
      </c>
      <c r="LX44">
        <v>875.847585178636</v>
      </c>
      <c r="LY44">
        <v>57.565829394402499</v>
      </c>
      <c r="LZ44">
        <v>20.068806648765101</v>
      </c>
      <c r="MA44">
        <v>16.420999999999999</v>
      </c>
      <c r="MB44">
        <v>178.12509344995601</v>
      </c>
      <c r="MC44">
        <v>-847.86117914412205</v>
      </c>
      <c r="MD44">
        <v>21.673841639790599</v>
      </c>
      <c r="ME44">
        <v>24.694854418004901</v>
      </c>
      <c r="MF44">
        <v>538.38295302333199</v>
      </c>
      <c r="MG44">
        <v>87.848183459067599</v>
      </c>
      <c r="MH44">
        <v>20.016408210049299</v>
      </c>
      <c r="MI44">
        <v>16.420999999999999</v>
      </c>
      <c r="MJ44">
        <v>267.12207892625901</v>
      </c>
      <c r="MK44">
        <v>-1380.23757886406</v>
      </c>
      <c r="ML44">
        <v>21.647353725151099</v>
      </c>
      <c r="MM44">
        <v>24.6798377408311</v>
      </c>
      <c r="MN44">
        <v>845.76891163417395</v>
      </c>
      <c r="MO44">
        <v>122.847511701087</v>
      </c>
      <c r="MP44">
        <v>20.078453097782099</v>
      </c>
      <c r="MQ44">
        <v>16.420999999999999</v>
      </c>
      <c r="MR44">
        <v>261.73854607860102</v>
      </c>
      <c r="MS44">
        <v>-1001.34862955081</v>
      </c>
      <c r="MT44">
        <v>21.986270963823401</v>
      </c>
      <c r="MU44">
        <v>25.641820972104799</v>
      </c>
      <c r="MV44">
        <v>683.71670781712703</v>
      </c>
      <c r="MW44">
        <v>132.54239003281299</v>
      </c>
      <c r="MX44">
        <v>22.975147359289299</v>
      </c>
      <c r="MY44">
        <v>24.9602939145832</v>
      </c>
      <c r="MZ44">
        <v>1465.53971192579</v>
      </c>
      <c r="NA44">
        <v>1173.45372617321</v>
      </c>
      <c r="NB44">
        <v>23.294138079064702</v>
      </c>
      <c r="NC44">
        <v>25.7212051040182</v>
      </c>
      <c r="ND44">
        <v>1510.9466960725999</v>
      </c>
      <c r="NE44">
        <v>78.587193402639599</v>
      </c>
      <c r="NF44">
        <v>23.1460859640083</v>
      </c>
      <c r="NG44">
        <v>25.159674226246299</v>
      </c>
      <c r="NH44">
        <v>915.09637719282796</v>
      </c>
      <c r="NI44">
        <v>802.29808171152104</v>
      </c>
      <c r="NJ44">
        <v>23.366000565031101</v>
      </c>
      <c r="NK44">
        <v>25.471819459842301</v>
      </c>
      <c r="NL44">
        <v>912.11907722101</v>
      </c>
      <c r="NM44">
        <v>116.881950416565</v>
      </c>
      <c r="NN44">
        <v>23.0008151911154</v>
      </c>
      <c r="NO44">
        <v>25.0265382113773</v>
      </c>
      <c r="NP44">
        <v>1397.9839821907001</v>
      </c>
      <c r="NQ44">
        <v>1160.54546957445</v>
      </c>
      <c r="NR44">
        <v>23.273675986808399</v>
      </c>
      <c r="NS44">
        <v>25.422613595599401</v>
      </c>
      <c r="NT44">
        <v>1424.8887506241399</v>
      </c>
      <c r="NU44">
        <v>143.50872833397599</v>
      </c>
      <c r="NV44">
        <v>23.091756122176399</v>
      </c>
      <c r="NW44">
        <v>25.372568400915601</v>
      </c>
      <c r="NX44">
        <v>2.6125954573589198</v>
      </c>
      <c r="NY44">
        <v>1070.46006048554</v>
      </c>
      <c r="NZ44">
        <v>656.60764736335796</v>
      </c>
      <c r="OA44">
        <v>23.725255842586499</v>
      </c>
      <c r="OB44">
        <v>26.9235678839879</v>
      </c>
      <c r="OC44">
        <v>2.3934443870528002</v>
      </c>
      <c r="OD44">
        <v>1193.21612096183</v>
      </c>
      <c r="OE44">
        <v>2.6125954573589198</v>
      </c>
      <c r="OF44">
        <v>2.3934443870528002</v>
      </c>
      <c r="OG44">
        <v>128.83328730678201</v>
      </c>
      <c r="OH44">
        <v>22.901774991054101</v>
      </c>
      <c r="OI44">
        <v>25.0121323680495</v>
      </c>
      <c r="OJ44">
        <v>1566.5897219256999</v>
      </c>
      <c r="OK44">
        <v>1278.2604258982101</v>
      </c>
      <c r="OL44">
        <v>23.213893577138698</v>
      </c>
      <c r="OM44">
        <v>25.884191668308599</v>
      </c>
      <c r="ON44">
        <v>1696.1447476624401</v>
      </c>
      <c r="OO44">
        <v>76.8121551435584</v>
      </c>
      <c r="OP44">
        <v>23.078591310246601</v>
      </c>
      <c r="OQ44">
        <v>25.1608153817177</v>
      </c>
      <c r="OR44">
        <v>985.43465221508995</v>
      </c>
      <c r="OS44">
        <v>872.04171673721999</v>
      </c>
      <c r="OT44">
        <v>23.296672919962401</v>
      </c>
      <c r="OU44">
        <v>25.642107337303301</v>
      </c>
      <c r="OV44">
        <v>1031.64819215028</v>
      </c>
      <c r="OW44">
        <v>113.87665119347</v>
      </c>
      <c r="OX44">
        <v>22.9338765560464</v>
      </c>
      <c r="OY44">
        <v>25.0058717963704</v>
      </c>
      <c r="OZ44">
        <v>1501.3056874425399</v>
      </c>
      <c r="PA44">
        <v>1256.3230929906399</v>
      </c>
      <c r="PB44">
        <v>23.2118534179879</v>
      </c>
      <c r="PC44">
        <v>25.606813016385001</v>
      </c>
      <c r="PD44">
        <v>1612.7660547805399</v>
      </c>
      <c r="PE44">
        <v>138.70112732263499</v>
      </c>
      <c r="PF44">
        <v>23.017487274898599</v>
      </c>
      <c r="PG44">
        <v>25.547862066703701</v>
      </c>
      <c r="PH44">
        <v>2.8877948227581598</v>
      </c>
      <c r="PI44">
        <v>1142.28455262948</v>
      </c>
      <c r="PJ44">
        <v>742.10071570647597</v>
      </c>
      <c r="PK44">
        <v>23.627709696577099</v>
      </c>
      <c r="PL44">
        <v>27.118483970648299</v>
      </c>
      <c r="PM44">
        <v>2.7747062452946301</v>
      </c>
      <c r="PN44">
        <v>1334.8775691401099</v>
      </c>
      <c r="PO44">
        <v>25.877568957982302</v>
      </c>
      <c r="PP44">
        <v>25.800731609899501</v>
      </c>
      <c r="PQ44">
        <v>25.781607092254301</v>
      </c>
      <c r="PR44">
        <v>27.199640142679399</v>
      </c>
      <c r="PS44">
        <v>24.847001949378399</v>
      </c>
      <c r="PT44">
        <v>26.505807151741099</v>
      </c>
      <c r="PU44">
        <v>26.175148376049599</v>
      </c>
      <c r="PV44">
        <v>26.130225410012599</v>
      </c>
      <c r="PW44">
        <v>28.146268806975002</v>
      </c>
      <c r="PX44">
        <v>25.2041772798183</v>
      </c>
      <c r="PY44">
        <v>26.8686191136992</v>
      </c>
      <c r="PZ44">
        <v>26.527833211546699</v>
      </c>
      <c r="QA44">
        <v>26.509661230013901</v>
      </c>
      <c r="QB44">
        <v>28.4610922278736</v>
      </c>
      <c r="QC44">
        <v>25.923065490853499</v>
      </c>
      <c r="QD44">
        <v>21.606793799961501</v>
      </c>
      <c r="QE44">
        <v>26.8317910491105</v>
      </c>
      <c r="QF44">
        <v>26.125247526477601</v>
      </c>
      <c r="QG44">
        <v>26.120632311812098</v>
      </c>
      <c r="QH44">
        <v>28.814711952206501</v>
      </c>
      <c r="QI44">
        <v>24.9865346363861</v>
      </c>
      <c r="QJ44">
        <v>26.159580064407699</v>
      </c>
      <c r="QK44">
        <v>25.782610862015499</v>
      </c>
      <c r="QL44">
        <v>25.745145219032601</v>
      </c>
      <c r="QM44">
        <v>27.671462925178002</v>
      </c>
      <c r="QN44">
        <v>2682.1568523576502</v>
      </c>
      <c r="QO44">
        <v>25.065113460034802</v>
      </c>
      <c r="QP44">
        <v>2931.0381723764799</v>
      </c>
      <c r="QQ44">
        <v>26.355663699535601</v>
      </c>
      <c r="QR44">
        <v>25.975973150338799</v>
      </c>
      <c r="QS44">
        <v>25.956352010788301</v>
      </c>
      <c r="QT44">
        <v>27.768809913338899</v>
      </c>
      <c r="QU44">
        <v>25.400624003247099</v>
      </c>
      <c r="QV44">
        <v>18.234091006900901</v>
      </c>
      <c r="QW44">
        <v>0</v>
      </c>
      <c r="QX44">
        <v>209454.75678777701</v>
      </c>
      <c r="QY44">
        <v>0</v>
      </c>
      <c r="QZ44">
        <v>138695.92772275099</v>
      </c>
      <c r="RA44">
        <v>0</v>
      </c>
      <c r="RB44">
        <v>61016.215567891297</v>
      </c>
      <c r="RC44">
        <v>0</v>
      </c>
      <c r="RD44">
        <v>40416.0811471817</v>
      </c>
      <c r="RE44">
        <v>0</v>
      </c>
      <c r="RF44">
        <v>66607.958647196094</v>
      </c>
      <c r="RG44">
        <v>0</v>
      </c>
      <c r="RH44">
        <v>43762.482686660704</v>
      </c>
      <c r="RI44">
        <v>0</v>
      </c>
      <c r="RJ44">
        <v>5244.0776181204801</v>
      </c>
      <c r="RK44">
        <v>27.786013140238701</v>
      </c>
      <c r="RL44">
        <v>-5207.0739418972898</v>
      </c>
      <c r="RM44">
        <v>-11319.8933379101</v>
      </c>
      <c r="RN44">
        <v>-5207.0739418972898</v>
      </c>
      <c r="RO44">
        <v>0</v>
      </c>
      <c r="RP44">
        <v>2950.6818074101102</v>
      </c>
      <c r="RQ44">
        <v>26.449763443055701</v>
      </c>
      <c r="RR44">
        <v>-2937.4193441163602</v>
      </c>
      <c r="RS44">
        <v>-7681.4885778705802</v>
      </c>
      <c r="RT44">
        <v>-2937.4193441163602</v>
      </c>
      <c r="RU44">
        <v>0</v>
      </c>
      <c r="RV44">
        <v>4597.1039134449602</v>
      </c>
      <c r="RW44">
        <v>26.4596575313698</v>
      </c>
      <c r="RX44">
        <v>-4581.9690900968499</v>
      </c>
      <c r="RY44">
        <v>-12029.622093948399</v>
      </c>
      <c r="RZ44">
        <v>-4581.9690900968499</v>
      </c>
      <c r="SA44">
        <v>0</v>
      </c>
      <c r="SB44">
        <v>4876.3415296289704</v>
      </c>
      <c r="SC44">
        <v>30.429783761733699</v>
      </c>
      <c r="SD44">
        <v>-4789.8734706748801</v>
      </c>
      <c r="SE44">
        <v>-7861.7030893168403</v>
      </c>
      <c r="SF44">
        <v>-4789.8734706748801</v>
      </c>
      <c r="SG44">
        <v>0</v>
      </c>
      <c r="SH44">
        <v>17668.569550835098</v>
      </c>
      <c r="SI44">
        <v>25.126067323393698</v>
      </c>
      <c r="SJ44">
        <v>-17746.015037482099</v>
      </c>
      <c r="SK44">
        <v>-39711.509412652798</v>
      </c>
      <c r="SL44">
        <v>-17746.015037482099</v>
      </c>
      <c r="SM44">
        <v>21.1111</v>
      </c>
      <c r="SN44">
        <v>23.8889</v>
      </c>
      <c r="SO44">
        <v>105.01621889574299</v>
      </c>
      <c r="SP44">
        <v>0</v>
      </c>
      <c r="SQ44">
        <v>25.5343963407127</v>
      </c>
      <c r="SR44">
        <v>0</v>
      </c>
      <c r="SS44">
        <v>0</v>
      </c>
      <c r="ST44">
        <v>0</v>
      </c>
      <c r="SU44">
        <v>95.296138853396798</v>
      </c>
      <c r="SV44">
        <v>0</v>
      </c>
      <c r="SW44">
        <v>25.765560870223101</v>
      </c>
      <c r="SX44">
        <v>0</v>
      </c>
      <c r="SY44">
        <v>0</v>
      </c>
      <c r="SZ44">
        <v>0</v>
      </c>
      <c r="TA44">
        <v>183.49652966822501</v>
      </c>
      <c r="TB44">
        <v>0</v>
      </c>
      <c r="TC44">
        <v>25.714092429587499</v>
      </c>
      <c r="TD44">
        <v>0</v>
      </c>
      <c r="TE44">
        <v>0</v>
      </c>
      <c r="TF44">
        <v>0</v>
      </c>
      <c r="TG44">
        <v>10.227245040468</v>
      </c>
      <c r="TH44">
        <v>24.769860225844202</v>
      </c>
      <c r="TI44">
        <v>26.029112514240701</v>
      </c>
      <c r="TJ44">
        <v>0</v>
      </c>
      <c r="TK44">
        <v>0</v>
      </c>
      <c r="TL44">
        <v>0</v>
      </c>
      <c r="TM44">
        <v>2280.8268940340199</v>
      </c>
      <c r="TN44">
        <v>0</v>
      </c>
      <c r="TO44">
        <v>25.149446999737499</v>
      </c>
      <c r="TP44">
        <v>0</v>
      </c>
      <c r="TQ44">
        <v>0</v>
      </c>
      <c r="TR44">
        <v>0</v>
      </c>
      <c r="TS44">
        <v>0</v>
      </c>
      <c r="TT44">
        <v>6549.2924321008904</v>
      </c>
      <c r="TU44">
        <v>25.813352977074299</v>
      </c>
      <c r="TV44">
        <v>-6490.2342549665</v>
      </c>
      <c r="TW44">
        <v>-13778.6757230652</v>
      </c>
      <c r="TX44">
        <v>-6490.2342549665</v>
      </c>
      <c r="TY44">
        <v>0</v>
      </c>
      <c r="TZ44">
        <v>3614.1523675940898</v>
      </c>
      <c r="UA44">
        <v>25.3900733479813</v>
      </c>
      <c r="UB44">
        <v>-3604.0274569175399</v>
      </c>
      <c r="UC44">
        <v>-8695.7400782555396</v>
      </c>
      <c r="UD44">
        <v>-3604.0274569175399</v>
      </c>
      <c r="UE44">
        <v>0</v>
      </c>
      <c r="UF44">
        <v>5584.6745789628703</v>
      </c>
      <c r="UG44">
        <v>25.360065028052698</v>
      </c>
      <c r="UH44">
        <v>-5568.8776578450697</v>
      </c>
      <c r="UI44">
        <v>-13572.5314926635</v>
      </c>
      <c r="UJ44">
        <v>-5568.8776578450697</v>
      </c>
      <c r="UK44">
        <v>0</v>
      </c>
      <c r="UL44">
        <v>6272.0328293433704</v>
      </c>
      <c r="UM44">
        <v>27.196657043380998</v>
      </c>
      <c r="UN44">
        <v>-6173.4330009528103</v>
      </c>
      <c r="UO44">
        <v>-10142.343989728301</v>
      </c>
      <c r="UP44">
        <v>-6173.4330009528103</v>
      </c>
      <c r="UQ44">
        <v>0</v>
      </c>
      <c r="UR44">
        <v>19700.288732570501</v>
      </c>
      <c r="US44">
        <v>24.9260496402512</v>
      </c>
      <c r="UT44">
        <v>-19778.205446760101</v>
      </c>
      <c r="UU44">
        <v>-42075.971394487198</v>
      </c>
      <c r="UV44">
        <v>-19778.205446760101</v>
      </c>
      <c r="UW44">
        <v>21.1111</v>
      </c>
      <c r="UX44">
        <v>23.8889</v>
      </c>
      <c r="UY44">
        <v>0</v>
      </c>
      <c r="UZ44">
        <v>126.520808615193</v>
      </c>
      <c r="VA44">
        <v>25.307614159642601</v>
      </c>
      <c r="VB44">
        <v>0</v>
      </c>
      <c r="VC44">
        <v>0</v>
      </c>
      <c r="VD44">
        <v>0</v>
      </c>
      <c r="VE44">
        <v>0</v>
      </c>
      <c r="VF44">
        <v>59.5354424717043</v>
      </c>
      <c r="VG44">
        <v>25.408551202784601</v>
      </c>
      <c r="VH44">
        <v>0</v>
      </c>
      <c r="VI44">
        <v>0</v>
      </c>
      <c r="VJ44">
        <v>0</v>
      </c>
      <c r="VK44">
        <v>0</v>
      </c>
      <c r="VL44">
        <v>56.982442456433098</v>
      </c>
      <c r="VM44">
        <v>25.340446620586398</v>
      </c>
      <c r="VN44">
        <v>0</v>
      </c>
      <c r="VO44">
        <v>0</v>
      </c>
      <c r="VP44">
        <v>0</v>
      </c>
      <c r="VQ44">
        <v>0</v>
      </c>
      <c r="VR44">
        <v>244.255974044129</v>
      </c>
      <c r="VS44">
        <v>25.869708050463199</v>
      </c>
      <c r="VT44">
        <v>0</v>
      </c>
      <c r="VU44">
        <v>0</v>
      </c>
      <c r="VV44">
        <v>0</v>
      </c>
      <c r="VW44">
        <v>1827.50937124449</v>
      </c>
      <c r="VX44">
        <v>0</v>
      </c>
      <c r="VY44">
        <v>25.1588838814871</v>
      </c>
      <c r="VZ44">
        <v>0</v>
      </c>
      <c r="WA44">
        <v>0</v>
      </c>
      <c r="WB44">
        <v>0</v>
      </c>
      <c r="WC44">
        <v>0</v>
      </c>
      <c r="WD44">
        <v>7115.5499375701002</v>
      </c>
      <c r="WE44">
        <v>25.842708285372002</v>
      </c>
      <c r="WF44">
        <v>-7035.4152183854503</v>
      </c>
      <c r="WG44">
        <v>-14281.252982019099</v>
      </c>
      <c r="WH44">
        <v>-7035.4152183854503</v>
      </c>
      <c r="WI44">
        <v>14319411.797002999</v>
      </c>
      <c r="WJ44">
        <v>0</v>
      </c>
      <c r="WK44">
        <v>3977.61438805639</v>
      </c>
      <c r="WL44">
        <v>25.424113089130799</v>
      </c>
      <c r="WM44">
        <v>-3965.95023371658</v>
      </c>
      <c r="WN44">
        <v>-9023.6159543313606</v>
      </c>
      <c r="WO44">
        <v>-3965.95023371658</v>
      </c>
      <c r="WP44">
        <v>18.333300000000001</v>
      </c>
      <c r="WQ44">
        <v>23.8889</v>
      </c>
      <c r="WR44">
        <v>0</v>
      </c>
      <c r="WS44">
        <v>6177.2949357448397</v>
      </c>
      <c r="WT44">
        <v>25.403042791562701</v>
      </c>
      <c r="WU44">
        <v>-6159.71018968096</v>
      </c>
      <c r="WV44">
        <v>-14112.081200843701</v>
      </c>
      <c r="WW44">
        <v>-6159.71018968096</v>
      </c>
      <c r="WX44">
        <v>23977007.379026901</v>
      </c>
      <c r="WY44">
        <v>0</v>
      </c>
      <c r="WZ44">
        <v>6660.2798275074801</v>
      </c>
      <c r="XA44">
        <v>27.076527598804301</v>
      </c>
      <c r="XB44">
        <v>-6545.2102899887796</v>
      </c>
      <c r="XC44">
        <v>-10557.2819715286</v>
      </c>
      <c r="XD44">
        <v>-6545.2102899887796</v>
      </c>
      <c r="XE44">
        <v>0</v>
      </c>
      <c r="XF44">
        <v>23293.252147437899</v>
      </c>
      <c r="XG44">
        <v>24.878182515640599</v>
      </c>
      <c r="XH44">
        <v>-23369.910978607899</v>
      </c>
      <c r="XI44">
        <v>-45831.366452682603</v>
      </c>
      <c r="XJ44">
        <v>-23369.910978607899</v>
      </c>
      <c r="XK44">
        <v>21.1111</v>
      </c>
      <c r="XL44">
        <v>23.8889</v>
      </c>
      <c r="XM44">
        <v>0</v>
      </c>
      <c r="XN44">
        <v>1187.92474827193</v>
      </c>
      <c r="XO44">
        <v>26.007682793664902</v>
      </c>
      <c r="XP44">
        <v>0</v>
      </c>
      <c r="XQ44">
        <v>0</v>
      </c>
      <c r="XR44">
        <v>0</v>
      </c>
      <c r="XS44">
        <v>0</v>
      </c>
      <c r="XT44">
        <v>664.75820841997495</v>
      </c>
      <c r="XU44">
        <v>26.0963962174262</v>
      </c>
      <c r="XV44">
        <v>0</v>
      </c>
      <c r="XW44">
        <v>0</v>
      </c>
      <c r="XX44">
        <v>0</v>
      </c>
      <c r="XY44">
        <v>0</v>
      </c>
      <c r="XZ44">
        <v>1062.36530867593</v>
      </c>
      <c r="YA44">
        <v>26.078571421107601</v>
      </c>
      <c r="YB44">
        <v>0</v>
      </c>
      <c r="YC44">
        <v>0</v>
      </c>
      <c r="YD44">
        <v>0</v>
      </c>
      <c r="YE44">
        <v>0</v>
      </c>
      <c r="YF44">
        <v>1065.96816830373</v>
      </c>
      <c r="YG44">
        <v>26.480783262577798</v>
      </c>
      <c r="YH44">
        <v>0</v>
      </c>
      <c r="YI44">
        <v>0</v>
      </c>
      <c r="YJ44">
        <v>0</v>
      </c>
      <c r="YK44">
        <v>0</v>
      </c>
      <c r="YL44">
        <v>2791.7926859597501</v>
      </c>
      <c r="YM44">
        <v>26.179067075085399</v>
      </c>
      <c r="YN44">
        <v>0</v>
      </c>
      <c r="YO44">
        <v>0</v>
      </c>
      <c r="YP44">
        <v>0</v>
      </c>
      <c r="YQ44">
        <v>0</v>
      </c>
      <c r="YR44">
        <v>1297.8390236103101</v>
      </c>
      <c r="YS44">
        <v>19.282964593534299</v>
      </c>
      <c r="YT44">
        <v>0</v>
      </c>
      <c r="YU44">
        <v>0</v>
      </c>
      <c r="YV44">
        <v>0</v>
      </c>
      <c r="YW44">
        <v>0</v>
      </c>
      <c r="YX44">
        <v>784.87659890257999</v>
      </c>
      <c r="YY44">
        <v>19.437543104999001</v>
      </c>
      <c r="YZ44">
        <v>0</v>
      </c>
      <c r="ZA44">
        <v>0</v>
      </c>
      <c r="ZB44">
        <v>0</v>
      </c>
      <c r="ZC44">
        <v>0</v>
      </c>
      <c r="ZD44">
        <v>1215.7539769694799</v>
      </c>
      <c r="ZE44">
        <v>19.414689499713301</v>
      </c>
      <c r="ZF44">
        <v>0</v>
      </c>
      <c r="ZG44">
        <v>0</v>
      </c>
      <c r="ZH44">
        <v>0</v>
      </c>
      <c r="ZI44">
        <v>0</v>
      </c>
      <c r="ZJ44">
        <v>1048.2234514920301</v>
      </c>
      <c r="ZK44">
        <v>19.201850532995099</v>
      </c>
      <c r="ZL44">
        <v>0</v>
      </c>
      <c r="ZM44">
        <v>0</v>
      </c>
      <c r="ZN44">
        <v>0</v>
      </c>
      <c r="ZO44">
        <v>0</v>
      </c>
      <c r="ZP44">
        <v>10751.4116893221</v>
      </c>
      <c r="ZQ44">
        <v>17.726889566083901</v>
      </c>
      <c r="ZR44">
        <v>0</v>
      </c>
      <c r="ZS44">
        <v>0</v>
      </c>
      <c r="ZT44">
        <v>0</v>
      </c>
      <c r="ZU44">
        <v>0</v>
      </c>
      <c r="ZV44">
        <v>3143.40821903192</v>
      </c>
      <c r="ZW44">
        <v>20.4632538032524</v>
      </c>
      <c r="ZX44">
        <v>0</v>
      </c>
      <c r="ZY44">
        <v>0</v>
      </c>
      <c r="ZZ44">
        <v>0</v>
      </c>
      <c r="AAA44">
        <v>0</v>
      </c>
      <c r="AAB44">
        <v>1938.3833273867999</v>
      </c>
      <c r="AAC44">
        <v>20.666571571582001</v>
      </c>
      <c r="AAD44">
        <v>0</v>
      </c>
      <c r="AAE44">
        <v>0</v>
      </c>
      <c r="AAF44">
        <v>0</v>
      </c>
      <c r="AAG44">
        <v>0</v>
      </c>
      <c r="AAH44">
        <v>2979.86638218179</v>
      </c>
      <c r="AAI44">
        <v>20.5985571531792</v>
      </c>
      <c r="AAJ44">
        <v>0</v>
      </c>
      <c r="AAK44">
        <v>0</v>
      </c>
      <c r="AAL44">
        <v>0</v>
      </c>
      <c r="AAM44">
        <v>0</v>
      </c>
      <c r="AAN44">
        <v>2385.6685108878301</v>
      </c>
      <c r="AAO44">
        <v>20.270942550329298</v>
      </c>
      <c r="AAP44">
        <v>0</v>
      </c>
      <c r="AAQ44">
        <v>0</v>
      </c>
      <c r="AAR44">
        <v>0</v>
      </c>
      <c r="AAS44">
        <v>0</v>
      </c>
      <c r="AAT44">
        <v>19530.313183229799</v>
      </c>
      <c r="AAU44">
        <v>18.221212590579299</v>
      </c>
      <c r="AAV44">
        <v>0</v>
      </c>
      <c r="AAW44">
        <v>0</v>
      </c>
      <c r="AAX44">
        <v>0</v>
      </c>
      <c r="AAY44">
        <v>0</v>
      </c>
      <c r="AAZ44">
        <v>3417.9191333169601</v>
      </c>
      <c r="ABA44">
        <v>20.476707172105002</v>
      </c>
      <c r="ABB44">
        <v>0</v>
      </c>
      <c r="ABC44">
        <v>0</v>
      </c>
      <c r="ABD44">
        <v>0</v>
      </c>
      <c r="ABE44">
        <v>0</v>
      </c>
      <c r="ABF44">
        <v>2123.9783726977198</v>
      </c>
      <c r="ABG44">
        <v>20.664915254030898</v>
      </c>
      <c r="ABH44">
        <v>0</v>
      </c>
      <c r="ABI44">
        <v>0</v>
      </c>
      <c r="ABJ44">
        <v>0</v>
      </c>
      <c r="ABK44">
        <v>0</v>
      </c>
      <c r="ABL44">
        <v>3264.5279494004399</v>
      </c>
      <c r="ABM44">
        <v>20.601557744388199</v>
      </c>
      <c r="ABN44">
        <v>0</v>
      </c>
      <c r="ABO44">
        <v>0</v>
      </c>
      <c r="ABP44">
        <v>0</v>
      </c>
      <c r="ABQ44">
        <v>0</v>
      </c>
      <c r="ABR44">
        <v>2583.64362100074</v>
      </c>
      <c r="ABS44">
        <v>20.298784013171701</v>
      </c>
      <c r="ABT44">
        <v>0</v>
      </c>
      <c r="ABU44">
        <v>0</v>
      </c>
      <c r="ABV44">
        <v>0</v>
      </c>
      <c r="ABW44">
        <v>0</v>
      </c>
      <c r="ABX44">
        <v>22071.8061842928</v>
      </c>
      <c r="ABY44">
        <v>18.234091006900901</v>
      </c>
      <c r="ABZ44">
        <v>0</v>
      </c>
      <c r="ACA44">
        <v>0</v>
      </c>
      <c r="ACB44">
        <v>0</v>
      </c>
      <c r="ACC44">
        <v>0.59867553755455905</v>
      </c>
      <c r="ACD44">
        <v>175727532.68759501</v>
      </c>
      <c r="ACE44">
        <v>261635.39336157701</v>
      </c>
      <c r="ACF44">
        <v>11.336457971310001</v>
      </c>
      <c r="ACG44">
        <v>6.7</v>
      </c>
      <c r="ACH44">
        <v>13.50000361399</v>
      </c>
      <c r="ACI44">
        <v>310448.59688590898</v>
      </c>
      <c r="ACJ44">
        <v>5.3596204585530201</v>
      </c>
      <c r="ACK44">
        <v>24.9693414079211</v>
      </c>
      <c r="ACL44">
        <v>29.678915242588801</v>
      </c>
      <c r="ACM44">
        <v>15.7700042216757</v>
      </c>
      <c r="ACN44">
        <v>105390.341415922</v>
      </c>
      <c r="ACP44">
        <v>64518.123406292303</v>
      </c>
      <c r="ACR44">
        <v>169908.464822215</v>
      </c>
      <c r="ACT44">
        <v>25.456555789147401</v>
      </c>
      <c r="ACU44">
        <v>23.903796508987199</v>
      </c>
      <c r="ACV44">
        <v>1.7</v>
      </c>
      <c r="ACW44">
        <v>1.29132659882723</v>
      </c>
      <c r="ACX44">
        <v>0.79973778295444597</v>
      </c>
      <c r="ACY44">
        <v>25.322207439551899</v>
      </c>
      <c r="ACZ44">
        <v>23.896956875623601</v>
      </c>
      <c r="ADA44">
        <v>1.7</v>
      </c>
      <c r="ADB44">
        <v>1.68514078693325</v>
      </c>
      <c r="ADC44">
        <v>0.79986250571315598</v>
      </c>
      <c r="ADD44">
        <v>25.332515480742799</v>
      </c>
      <c r="ADE44">
        <v>23.907675072596199</v>
      </c>
      <c r="ADF44">
        <v>1.7</v>
      </c>
      <c r="ADG44">
        <v>2.0784271879010601</v>
      </c>
      <c r="ADH44">
        <v>0.79988221837822204</v>
      </c>
      <c r="ADI44">
        <v>25.710793529536002</v>
      </c>
      <c r="ADJ44">
        <v>23.845119950749901</v>
      </c>
      <c r="ADK44">
        <v>1.7</v>
      </c>
      <c r="ADL44">
        <v>1.76728240326512</v>
      </c>
      <c r="ADM44">
        <v>0.70736120082438203</v>
      </c>
      <c r="ADN44">
        <v>26.006623955998698</v>
      </c>
      <c r="ADO44">
        <v>24.102795123788301</v>
      </c>
      <c r="ADP44">
        <v>1.7</v>
      </c>
      <c r="ADQ44">
        <v>1.62480342557484</v>
      </c>
      <c r="ADR44">
        <v>0.70771299995334902</v>
      </c>
      <c r="ADS44">
        <v>25.994802040412999</v>
      </c>
      <c r="ADT44">
        <v>24.102364522172198</v>
      </c>
      <c r="ADU44">
        <v>1.7</v>
      </c>
      <c r="ADV44">
        <v>4.3512215399529603</v>
      </c>
      <c r="ADW44">
        <v>0.70729334497374996</v>
      </c>
      <c r="ADX44">
        <v>26.142053192197299</v>
      </c>
      <c r="ADY44">
        <v>24.107032852990798</v>
      </c>
      <c r="ADZ44">
        <v>1.7</v>
      </c>
      <c r="AEA44">
        <v>2.1238075175134701</v>
      </c>
      <c r="AEB44">
        <v>0.70625672102718595</v>
      </c>
      <c r="AEC44">
        <v>25.261625069931601</v>
      </c>
      <c r="AED44">
        <v>23.879814489583602</v>
      </c>
      <c r="AEE44">
        <v>1.7</v>
      </c>
      <c r="AEF44">
        <v>2.7902992454140199</v>
      </c>
      <c r="AEG44">
        <v>0.70661992033416798</v>
      </c>
      <c r="AEH44">
        <v>25.346414761865901</v>
      </c>
      <c r="AEI44">
        <v>23.9996775245314</v>
      </c>
      <c r="AEJ44">
        <v>1.7</v>
      </c>
      <c r="AEK44">
        <v>2.6530869704703801</v>
      </c>
      <c r="AEL44">
        <v>0.70683481156807604</v>
      </c>
      <c r="AEM44">
        <v>25.3081157755338</v>
      </c>
      <c r="AEN44">
        <v>23.9910176949261</v>
      </c>
      <c r="AEO44">
        <v>1.7</v>
      </c>
      <c r="AEP44">
        <v>4.0189484403058104</v>
      </c>
      <c r="AEQ44">
        <v>0.70667432733469704</v>
      </c>
      <c r="AER44">
        <v>25.749525402303099</v>
      </c>
      <c r="AES44">
        <v>24.153341177513902</v>
      </c>
      <c r="AET44">
        <v>1.7</v>
      </c>
      <c r="AEU44">
        <v>3.23484424999062</v>
      </c>
      <c r="AEV44">
        <v>0.70499134095182403</v>
      </c>
      <c r="AEW44">
        <v>25.279659725801899</v>
      </c>
      <c r="AEX44">
        <v>23.898742892434601</v>
      </c>
      <c r="AEY44">
        <v>1.7</v>
      </c>
      <c r="AEZ44">
        <v>2.8599160713343998</v>
      </c>
      <c r="AFA44">
        <v>0.70684238257876397</v>
      </c>
      <c r="AFB44">
        <v>25.3455898141221</v>
      </c>
      <c r="AFC44">
        <v>24.000702513337998</v>
      </c>
      <c r="AFD44">
        <v>1.7</v>
      </c>
      <c r="AFE44">
        <v>2.74560381800663</v>
      </c>
      <c r="AFF44">
        <v>0.70695063137693304</v>
      </c>
      <c r="AFG44">
        <v>25.317575191517601</v>
      </c>
      <c r="AFH44">
        <v>23.9927468876215</v>
      </c>
      <c r="AFI44">
        <v>1.7</v>
      </c>
      <c r="AFJ44">
        <v>3.70680162997962</v>
      </c>
      <c r="AFK44">
        <v>0.70672770903260596</v>
      </c>
      <c r="AFL44">
        <v>25.725867804510099</v>
      </c>
      <c r="AFM44">
        <v>24.150148331753801</v>
      </c>
      <c r="AFN44">
        <v>1.7</v>
      </c>
      <c r="AFO44">
        <v>3.3047644077582499</v>
      </c>
      <c r="AFP44">
        <v>0.70538055466462701</v>
      </c>
      <c r="AFQ44">
        <v>-0.42093516881374499</v>
      </c>
      <c r="AFR44">
        <v>-0.478383176488826</v>
      </c>
      <c r="AFS44">
        <v>-0.31332067923549201</v>
      </c>
      <c r="AFT44">
        <v>-0.41822377436860098</v>
      </c>
      <c r="AFU44">
        <v>-0.38528895656645201</v>
      </c>
      <c r="AFV44">
        <v>-0.36800824346022298</v>
      </c>
      <c r="AFW44">
        <v>-0.13846184253056301</v>
      </c>
      <c r="AFX44">
        <v>-0.37880408211010802</v>
      </c>
      <c r="AFY44">
        <v>-0.34070868837969998</v>
      </c>
      <c r="AFZ44">
        <v>-0.32108281432326802</v>
      </c>
      <c r="AGA44">
        <v>-9.6606604008677002E-2</v>
      </c>
      <c r="AGB44">
        <v>-0.33741114063761402</v>
      </c>
      <c r="AGC44">
        <v>-0.52436256265823999</v>
      </c>
      <c r="AGD44">
        <v>-0.487316935935527</v>
      </c>
      <c r="AGE44">
        <v>-0.403521126881982</v>
      </c>
      <c r="AGF44">
        <v>0</v>
      </c>
      <c r="AGG44">
        <v>0</v>
      </c>
      <c r="AGH44">
        <v>0</v>
      </c>
      <c r="AGI44">
        <v>0</v>
      </c>
      <c r="AGJ44">
        <v>0</v>
      </c>
      <c r="AGK44">
        <v>0</v>
      </c>
      <c r="AGL44">
        <v>0</v>
      </c>
      <c r="AGM44">
        <v>0</v>
      </c>
      <c r="AGN44">
        <v>0</v>
      </c>
      <c r="AGO44">
        <v>0</v>
      </c>
      <c r="AGP44">
        <v>0</v>
      </c>
      <c r="AGQ44">
        <v>0</v>
      </c>
      <c r="AGR44">
        <v>0</v>
      </c>
      <c r="AGS44">
        <v>0</v>
      </c>
      <c r="AGT44">
        <v>0</v>
      </c>
      <c r="AGU44">
        <v>0</v>
      </c>
      <c r="AGV44">
        <v>0</v>
      </c>
      <c r="AGW44">
        <v>0</v>
      </c>
      <c r="AGX44">
        <v>0</v>
      </c>
      <c r="AGY44">
        <v>0</v>
      </c>
      <c r="AGZ44">
        <v>0</v>
      </c>
      <c r="AHA44">
        <v>0</v>
      </c>
      <c r="AHB44">
        <v>0</v>
      </c>
      <c r="AHC44">
        <v>0</v>
      </c>
      <c r="AHD44">
        <v>0</v>
      </c>
      <c r="AHE44">
        <v>0</v>
      </c>
      <c r="AHF44">
        <v>0</v>
      </c>
      <c r="AHG44">
        <v>0</v>
      </c>
      <c r="AHH44">
        <v>0</v>
      </c>
      <c r="AHI44">
        <v>0</v>
      </c>
      <c r="AHJ44">
        <v>0</v>
      </c>
      <c r="AHK44">
        <v>0</v>
      </c>
      <c r="AHL44">
        <v>0</v>
      </c>
      <c r="AHM44">
        <v>0</v>
      </c>
      <c r="AHN44">
        <v>0</v>
      </c>
      <c r="AHO44">
        <v>0</v>
      </c>
      <c r="AHP44">
        <v>0</v>
      </c>
      <c r="AHQ44">
        <v>0</v>
      </c>
      <c r="AHR44">
        <v>0</v>
      </c>
      <c r="AHS44">
        <v>0</v>
      </c>
      <c r="AHT44">
        <v>0</v>
      </c>
      <c r="AHU44">
        <v>0</v>
      </c>
      <c r="AHV44">
        <v>0</v>
      </c>
      <c r="AHW44">
        <v>0</v>
      </c>
      <c r="AHX44">
        <v>0</v>
      </c>
      <c r="AHZ44">
        <v>0</v>
      </c>
      <c r="AIB44">
        <v>0</v>
      </c>
      <c r="AID44">
        <v>0</v>
      </c>
      <c r="AIF44">
        <v>0</v>
      </c>
      <c r="AIH44">
        <v>0</v>
      </c>
      <c r="AIJ44">
        <v>0</v>
      </c>
      <c r="AIL44">
        <v>0</v>
      </c>
      <c r="AIN44">
        <v>0</v>
      </c>
      <c r="AIP44">
        <v>0</v>
      </c>
      <c r="AIR44">
        <v>0</v>
      </c>
      <c r="AIT44">
        <v>0</v>
      </c>
      <c r="AIV44">
        <v>0</v>
      </c>
      <c r="AIX44">
        <v>0</v>
      </c>
      <c r="AIZ44">
        <v>0</v>
      </c>
      <c r="AJB44">
        <v>0</v>
      </c>
      <c r="AJC44">
        <v>0</v>
      </c>
      <c r="AJE44">
        <v>259951.69444066699</v>
      </c>
      <c r="AJH44">
        <v>6227.0965504775304</v>
      </c>
      <c r="AJJ44">
        <v>183.80401834048999</v>
      </c>
      <c r="AJK44">
        <v>84.133853495557901</v>
      </c>
      <c r="AJL44">
        <v>202.35653110364501</v>
      </c>
      <c r="AJM44">
        <v>302.61712400204402</v>
      </c>
      <c r="AJN44">
        <v>166.791340894483</v>
      </c>
      <c r="AJO44">
        <v>98.535878753520805</v>
      </c>
      <c r="AJP44">
        <v>232.52526975350301</v>
      </c>
      <c r="AJQ44">
        <v>305.68659778222002</v>
      </c>
      <c r="AJR44">
        <v>192.111530299615</v>
      </c>
      <c r="AJS44">
        <v>36.319100009616797</v>
      </c>
      <c r="AJT44">
        <v>70.413991288803402</v>
      </c>
      <c r="AJU44">
        <v>98.050572652067103</v>
      </c>
      <c r="AJV44">
        <v>69.253627125873905</v>
      </c>
      <c r="AJW44">
        <v>0</v>
      </c>
      <c r="AJX44">
        <v>0</v>
      </c>
      <c r="AJY44">
        <v>0</v>
      </c>
      <c r="AJZ44">
        <v>259951.69454949099</v>
      </c>
      <c r="AKA44">
        <v>0</v>
      </c>
      <c r="AKB44">
        <v>0</v>
      </c>
      <c r="AKC44">
        <v>0</v>
      </c>
      <c r="AKD44">
        <v>0</v>
      </c>
      <c r="AKE44">
        <v>65.56</v>
      </c>
      <c r="AKF44">
        <v>65.56</v>
      </c>
      <c r="AKG44">
        <v>0</v>
      </c>
      <c r="AKH44">
        <v>0</v>
      </c>
      <c r="AKI44">
        <v>0</v>
      </c>
      <c r="AKJ44">
        <v>0</v>
      </c>
      <c r="AKK44">
        <v>0</v>
      </c>
      <c r="AKL44">
        <v>65.56</v>
      </c>
      <c r="AKM44">
        <v>65.56</v>
      </c>
      <c r="AKN44">
        <v>0</v>
      </c>
      <c r="AKO44">
        <v>0</v>
      </c>
      <c r="AKP44">
        <v>0</v>
      </c>
      <c r="AKT44">
        <v>6734795.2483461499</v>
      </c>
      <c r="AKX44">
        <v>6078357.7937538503</v>
      </c>
      <c r="ALB44">
        <v>29.7019677504036</v>
      </c>
      <c r="ALC44">
        <v>24.430504811437899</v>
      </c>
      <c r="ALD44">
        <v>15.7700042216757</v>
      </c>
      <c r="ALE44">
        <v>347487.54991192301</v>
      </c>
      <c r="ALF44">
        <v>3876.01471762034</v>
      </c>
      <c r="ALH44">
        <v>15.257651115270001</v>
      </c>
      <c r="ALI44">
        <v>8.9112222524078306E-3</v>
      </c>
      <c r="ALJ44">
        <v>16.7282266689318</v>
      </c>
      <c r="ALK44">
        <v>27.0372824296232</v>
      </c>
      <c r="ALL44">
        <v>16.7282266689318</v>
      </c>
      <c r="ALM44">
        <v>0</v>
      </c>
      <c r="ALN44">
        <v>25.597988624752102</v>
      </c>
      <c r="ALO44">
        <v>9.3862137732222007E-3</v>
      </c>
      <c r="ALP44">
        <v>45.842903376408103</v>
      </c>
      <c r="ALQ44">
        <v>16.7282266689318</v>
      </c>
      <c r="ALR44">
        <v>15.257651115270001</v>
      </c>
      <c r="ALS44">
        <v>16.7282266689318</v>
      </c>
      <c r="ALT44">
        <v>15.5599979755277</v>
      </c>
      <c r="ALU44">
        <v>16.7282266689318</v>
      </c>
      <c r="ALV44">
        <v>6.7000000019284798</v>
      </c>
      <c r="ALW44">
        <v>3.5853026552420202E-3</v>
      </c>
      <c r="ALX44">
        <v>24.049641818863002</v>
      </c>
      <c r="ALY44">
        <v>3.5853026552420202E-3</v>
      </c>
      <c r="ALZ44">
        <v>0</v>
      </c>
      <c r="AMA44">
        <v>11.336457971310001</v>
      </c>
      <c r="AMB44">
        <v>1.35E-2</v>
      </c>
      <c r="AMC44">
        <v>11.3066210341958</v>
      </c>
      <c r="AMD44">
        <v>1.35E-2</v>
      </c>
      <c r="AME44">
        <v>6.7</v>
      </c>
      <c r="AMF44">
        <v>1.35E-2</v>
      </c>
      <c r="AMG44">
        <v>1.5769999999999999E-2</v>
      </c>
      <c r="AMH44">
        <v>4.2474999999999996</v>
      </c>
      <c r="AMI44">
        <v>19.2138961844175</v>
      </c>
      <c r="AMJ44">
        <v>0.57306316745503205</v>
      </c>
      <c r="AMK44" s="580">
        <v>17.702903675093101</v>
      </c>
      <c r="AML44">
        <v>1.85030731095576</v>
      </c>
      <c r="AMM44">
        <v>19.493067409845899</v>
      </c>
      <c r="AMN44">
        <v>0.36814619991929898</v>
      </c>
      <c r="AMO44">
        <v>19.335267911614</v>
      </c>
      <c r="AMP44">
        <v>0.66881149346853097</v>
      </c>
      <c r="AMQ44">
        <v>19.529499591224599</v>
      </c>
      <c r="AMR44">
        <v>0.57783869242888197</v>
      </c>
      <c r="AMS44">
        <v>18.2008328045487</v>
      </c>
      <c r="AMT44">
        <v>2.24696472178745</v>
      </c>
      <c r="AMU44">
        <v>20.752621339109101</v>
      </c>
      <c r="AMV44">
        <v>0.63959395703977295</v>
      </c>
      <c r="AMW44">
        <v>20.3388122601798</v>
      </c>
      <c r="AMX44">
        <v>0.94351403014530699</v>
      </c>
      <c r="AMY44">
        <v>20.5515728383624</v>
      </c>
      <c r="AMZ44">
        <v>1.13121032040938</v>
      </c>
      <c r="ANA44">
        <v>20.817890765542</v>
      </c>
      <c r="ANB44">
        <v>1.0112000785689299</v>
      </c>
      <c r="ANC44">
        <v>18.212492982046701</v>
      </c>
      <c r="AND44">
        <v>2.6578741268677</v>
      </c>
      <c r="ANE44">
        <v>20.756297757259802</v>
      </c>
      <c r="ANF44">
        <v>0.70465028851205103</v>
      </c>
      <c r="ANG44">
        <v>20.377310279650199</v>
      </c>
      <c r="ANH44">
        <v>1.01413913178937</v>
      </c>
      <c r="ANI44">
        <v>20.569095386054698</v>
      </c>
      <c r="ANJ44">
        <v>1.2290797891682199</v>
      </c>
      <c r="ANK44">
        <v>20.800172688856001</v>
      </c>
      <c r="ANL44">
        <v>1.1118333604161601</v>
      </c>
      <c r="ANM44">
        <v>4.0381668642274997</v>
      </c>
      <c r="ANN44">
        <v>5.9724831079508496</v>
      </c>
      <c r="ANO44">
        <v>6.7175766967534898</v>
      </c>
      <c r="ANP44">
        <v>17.702903675093101</v>
      </c>
      <c r="ANQ44">
        <v>19.412848186672701</v>
      </c>
      <c r="ANR44">
        <v>19.1149337651234</v>
      </c>
      <c r="ANS44">
        <v>19.391690695450698</v>
      </c>
      <c r="ANT44">
        <v>19.2511319237449</v>
      </c>
      <c r="ANU44">
        <v>18.2008328045487</v>
      </c>
      <c r="ANV44">
        <v>20.6457227687753</v>
      </c>
      <c r="ANW44">
        <v>20.167375787852801</v>
      </c>
      <c r="ANX44">
        <v>20.575022043915201</v>
      </c>
      <c r="ANY44">
        <v>20.431968622766799</v>
      </c>
      <c r="ANZ44">
        <v>18.212492982046701</v>
      </c>
      <c r="AOA44">
        <v>20.6427015658772</v>
      </c>
      <c r="AOB44">
        <v>20.194365348157898</v>
      </c>
      <c r="AOC44">
        <v>20.577128848838701</v>
      </c>
      <c r="AOD44">
        <v>20.4423788750066</v>
      </c>
      <c r="AOE44">
        <v>25.597988624752102</v>
      </c>
      <c r="AOF44">
        <v>4.2474999999999996</v>
      </c>
      <c r="AOG44">
        <v>25.633158244453998</v>
      </c>
      <c r="AOH44">
        <v>4.2474999999999996</v>
      </c>
    </row>
    <row r="45" spans="1:1074">
      <c r="A45" t="s">
        <v>2615</v>
      </c>
      <c r="B45">
        <v>28.861899999999999</v>
      </c>
      <c r="D45">
        <v>18.326851172980302</v>
      </c>
      <c r="F45">
        <v>9</v>
      </c>
      <c r="G45">
        <v>10945018.5837641</v>
      </c>
      <c r="H45">
        <v>25252376.055390202</v>
      </c>
      <c r="I45">
        <v>6950739.3466344699</v>
      </c>
      <c r="J45">
        <v>16036764.3509151</v>
      </c>
      <c r="K45">
        <v>10945018.5837641</v>
      </c>
      <c r="L45">
        <v>25252376.055390202</v>
      </c>
      <c r="M45">
        <v>6950739.3466344699</v>
      </c>
      <c r="N45">
        <v>16036764.3509151</v>
      </c>
      <c r="O45">
        <v>56445592.898657002</v>
      </c>
      <c r="P45">
        <v>130231422.417206</v>
      </c>
      <c r="Q45">
        <v>10945018.5837641</v>
      </c>
      <c r="R45">
        <v>25252376.055390202</v>
      </c>
      <c r="S45">
        <v>6950739.3466344699</v>
      </c>
      <c r="T45">
        <v>16036764.3509151</v>
      </c>
      <c r="U45">
        <v>10945018.5837641</v>
      </c>
      <c r="V45">
        <v>25252376.055390202</v>
      </c>
      <c r="W45">
        <v>6950739.3466344699</v>
      </c>
      <c r="X45">
        <v>16036764.3509151</v>
      </c>
      <c r="Y45">
        <v>56445592.898657002</v>
      </c>
      <c r="Z45">
        <v>130231422.417206</v>
      </c>
      <c r="AA45">
        <v>10945018.5837641</v>
      </c>
      <c r="AB45">
        <v>25252376.055390202</v>
      </c>
      <c r="AC45">
        <v>6950739.3466344699</v>
      </c>
      <c r="AD45">
        <v>16036764.3509151</v>
      </c>
      <c r="AE45">
        <v>10945018.5837641</v>
      </c>
      <c r="AF45">
        <v>25252376.055390202</v>
      </c>
      <c r="AG45">
        <v>6950739.3466344699</v>
      </c>
      <c r="AH45">
        <v>16036764.3509151</v>
      </c>
      <c r="AI45">
        <v>56445592.898657002</v>
      </c>
      <c r="AJ45">
        <v>130231422.417206</v>
      </c>
      <c r="AK45">
        <v>23.716228502806501</v>
      </c>
      <c r="AL45">
        <v>3956060.4386927001</v>
      </c>
      <c r="AM45">
        <v>10245410.713212401</v>
      </c>
      <c r="AN45">
        <v>23.716228502806501</v>
      </c>
      <c r="AO45">
        <v>3956060.4386927001</v>
      </c>
      <c r="AP45">
        <v>10245410.713212401</v>
      </c>
      <c r="AQ45">
        <v>15.0612190693548</v>
      </c>
      <c r="AR45">
        <v>2512334.2403159901</v>
      </c>
      <c r="AS45">
        <v>6506446.6379612898</v>
      </c>
      <c r="AT45">
        <v>15.0612190693548</v>
      </c>
      <c r="AU45">
        <v>2512334.2403159901</v>
      </c>
      <c r="AV45">
        <v>6506446.6379612898</v>
      </c>
      <c r="AW45">
        <v>23.716228502806501</v>
      </c>
      <c r="AX45">
        <v>3956060.4386927001</v>
      </c>
      <c r="AY45">
        <v>10245410.713212401</v>
      </c>
      <c r="AZ45">
        <v>23.716228502806501</v>
      </c>
      <c r="BA45">
        <v>3956060.4386927001</v>
      </c>
      <c r="BB45">
        <v>10245410.713212401</v>
      </c>
      <c r="BC45">
        <v>15.0612190693548</v>
      </c>
      <c r="BD45">
        <v>2512334.2403159901</v>
      </c>
      <c r="BE45">
        <v>6506446.6379612898</v>
      </c>
      <c r="BF45">
        <v>15.0612190693548</v>
      </c>
      <c r="BG45">
        <v>2512334.2403159901</v>
      </c>
      <c r="BH45">
        <v>6506446.6379612898</v>
      </c>
      <c r="BI45">
        <v>23.716228502806501</v>
      </c>
      <c r="BJ45">
        <v>3956060.4386927001</v>
      </c>
      <c r="BK45">
        <v>10245410.713212401</v>
      </c>
      <c r="BL45">
        <v>23.716228502806501</v>
      </c>
      <c r="BM45">
        <v>3956060.4386927001</v>
      </c>
      <c r="BN45">
        <v>10245410.713212401</v>
      </c>
      <c r="BO45">
        <v>15.0612190693548</v>
      </c>
      <c r="BP45">
        <v>2512334.2403159901</v>
      </c>
      <c r="BQ45">
        <v>6506446.6379612898</v>
      </c>
      <c r="BR45">
        <v>15.0612190693548</v>
      </c>
      <c r="BS45">
        <v>2512334.2403159901</v>
      </c>
      <c r="BT45">
        <v>6506446.6379612898</v>
      </c>
      <c r="BU45">
        <v>52837578.828362301</v>
      </c>
      <c r="BV45">
        <v>122.309210250839</v>
      </c>
      <c r="BW45">
        <v>20402174.312995501</v>
      </c>
      <c r="BX45">
        <v>52837578.828362301</v>
      </c>
      <c r="BY45">
        <v>122.309210250839</v>
      </c>
      <c r="BZ45">
        <v>20402174.312995501</v>
      </c>
      <c r="CA45">
        <v>52837578.828362301</v>
      </c>
      <c r="CB45">
        <v>122.309210250839</v>
      </c>
      <c r="CC45">
        <v>20402174.312995501</v>
      </c>
      <c r="CD45">
        <v>52837578.828362301</v>
      </c>
      <c r="CE45">
        <v>3773179.8574618599</v>
      </c>
      <c r="CF45">
        <v>8575408.7669587694</v>
      </c>
      <c r="CG45">
        <v>3773179.8574618599</v>
      </c>
      <c r="CH45">
        <v>8575408.7669587694</v>
      </c>
      <c r="CI45">
        <v>2396194.1678283801</v>
      </c>
      <c r="CJ45">
        <v>5445895.8359735999</v>
      </c>
      <c r="CK45">
        <v>2396194.1678283801</v>
      </c>
      <c r="CL45">
        <v>5445895.8359735999</v>
      </c>
      <c r="CM45">
        <v>3773179.8574618599</v>
      </c>
      <c r="CN45">
        <v>8575408.7669587694</v>
      </c>
      <c r="CO45">
        <v>3773179.8574618599</v>
      </c>
      <c r="CP45">
        <v>8575408.7669587694</v>
      </c>
      <c r="CQ45">
        <v>2396194.1678283801</v>
      </c>
      <c r="CR45">
        <v>5445895.8359735999</v>
      </c>
      <c r="CS45">
        <v>2396194.1678283801</v>
      </c>
      <c r="CT45">
        <v>5445895.8359735999</v>
      </c>
      <c r="CU45">
        <v>3773179.8574618599</v>
      </c>
      <c r="CV45">
        <v>8575408.7669587694</v>
      </c>
      <c r="CW45">
        <v>3773179.8574618599</v>
      </c>
      <c r="CX45">
        <v>8575408.7669587694</v>
      </c>
      <c r="CY45">
        <v>2396194.1678283801</v>
      </c>
      <c r="CZ45">
        <v>5445895.8359735999</v>
      </c>
      <c r="DA45">
        <v>2396194.1678283801</v>
      </c>
      <c r="DB45">
        <v>5445895.8359735999</v>
      </c>
      <c r="DC45">
        <v>19459023.5309093</v>
      </c>
      <c r="DD45">
        <v>44225053.479339302</v>
      </c>
      <c r="DE45">
        <v>19459023.5309093</v>
      </c>
      <c r="DF45">
        <v>44225053.479339302</v>
      </c>
      <c r="DG45">
        <v>19459023.5309093</v>
      </c>
      <c r="DH45">
        <v>44225053.479339302</v>
      </c>
      <c r="DI45">
        <v>3215778.2876095399</v>
      </c>
      <c r="DJ45">
        <v>6431556.5752190799</v>
      </c>
      <c r="DK45">
        <v>3215778.2876095399</v>
      </c>
      <c r="DL45">
        <v>6431556.5752190799</v>
      </c>
      <c r="DM45">
        <v>2042210.9384901</v>
      </c>
      <c r="DN45">
        <v>4084421.8769801999</v>
      </c>
      <c r="DO45">
        <v>2042210.9384901</v>
      </c>
      <c r="DP45">
        <v>4084421.8769801999</v>
      </c>
      <c r="DQ45">
        <v>3215778.2876095399</v>
      </c>
      <c r="DR45">
        <v>6431556.5752190799</v>
      </c>
      <c r="DS45">
        <v>3215778.2876095399</v>
      </c>
      <c r="DT45">
        <v>6431556.5752190799</v>
      </c>
      <c r="DU45">
        <v>2042210.9384901</v>
      </c>
      <c r="DV45">
        <v>4084421.8769801999</v>
      </c>
      <c r="DW45">
        <v>2042210.9384901</v>
      </c>
      <c r="DX45">
        <v>4084421.8769801999</v>
      </c>
      <c r="DY45">
        <v>3215778.2876095399</v>
      </c>
      <c r="DZ45">
        <v>6431556.5752190799</v>
      </c>
      <c r="EA45">
        <v>3215778.2876095399</v>
      </c>
      <c r="EB45">
        <v>6431556.5752190799</v>
      </c>
      <c r="EC45">
        <v>2042210.9384901</v>
      </c>
      <c r="ED45">
        <v>4084421.8769801999</v>
      </c>
      <c r="EE45">
        <v>2042210.9384901</v>
      </c>
      <c r="EF45">
        <v>4084421.8769801999</v>
      </c>
      <c r="EG45">
        <v>16584395.054752201</v>
      </c>
      <c r="EH45">
        <v>33168790.109504402</v>
      </c>
      <c r="EI45">
        <v>16584395.054752201</v>
      </c>
      <c r="EJ45">
        <v>33168790.109504402</v>
      </c>
      <c r="EK45">
        <v>16584395.054752201</v>
      </c>
      <c r="EL45">
        <v>33168790.109504402</v>
      </c>
      <c r="EM45">
        <v>726.92059884366495</v>
      </c>
      <c r="EN45">
        <v>246.32774951504601</v>
      </c>
      <c r="EO45">
        <v>428.07484423969697</v>
      </c>
      <c r="EP45">
        <v>714.78395030790796</v>
      </c>
      <c r="EQ45">
        <v>0</v>
      </c>
      <c r="ER45">
        <v>758.46383719987602</v>
      </c>
      <c r="ES45">
        <v>264.68576894845302</v>
      </c>
      <c r="ET45">
        <v>467.53513158596701</v>
      </c>
      <c r="EU45">
        <v>2.55697459975638</v>
      </c>
      <c r="EV45">
        <v>750.14670274597802</v>
      </c>
      <c r="EW45">
        <v>0</v>
      </c>
      <c r="EX45">
        <v>735.35112553781698</v>
      </c>
      <c r="EY45">
        <v>0.10561019103095801</v>
      </c>
      <c r="EZ45">
        <v>252.65114085387501</v>
      </c>
      <c r="FA45">
        <v>449.47000334193501</v>
      </c>
      <c r="FB45">
        <v>2.5581730007868102</v>
      </c>
      <c r="FC45">
        <v>736.30595651938597</v>
      </c>
      <c r="FD45">
        <v>0</v>
      </c>
      <c r="FE45">
        <v>0</v>
      </c>
      <c r="FF45">
        <v>0</v>
      </c>
      <c r="FG45">
        <v>0</v>
      </c>
      <c r="FH45">
        <v>0</v>
      </c>
      <c r="FI45">
        <v>0</v>
      </c>
      <c r="FJ45">
        <v>0</v>
      </c>
      <c r="FK45">
        <v>0</v>
      </c>
      <c r="FL45">
        <v>0</v>
      </c>
      <c r="FM45">
        <v>0</v>
      </c>
      <c r="FN45">
        <v>0</v>
      </c>
      <c r="FO45">
        <v>6.1312843126540397E-3</v>
      </c>
      <c r="FP45">
        <v>0</v>
      </c>
      <c r="FQ45">
        <v>9.4281161012756197E-4</v>
      </c>
      <c r="FR45">
        <v>0</v>
      </c>
      <c r="FS45">
        <v>736.30595651938597</v>
      </c>
      <c r="FT45">
        <v>0</v>
      </c>
      <c r="FU45">
        <v>187.65359488467999</v>
      </c>
      <c r="FV45">
        <v>0</v>
      </c>
      <c r="FW45">
        <v>0</v>
      </c>
      <c r="FX45">
        <v>1.1941018774892099E-3</v>
      </c>
      <c r="FY45">
        <v>6.1312843126540397E-3</v>
      </c>
      <c r="FZ45">
        <v>0</v>
      </c>
      <c r="GA45">
        <v>9.4281161012756197E-4</v>
      </c>
      <c r="GB45">
        <v>152.879906810195</v>
      </c>
      <c r="GC45">
        <v>83.190708052423403</v>
      </c>
      <c r="GD45">
        <v>-95.020551473767696</v>
      </c>
      <c r="GE45">
        <v>113.195505652059</v>
      </c>
      <c r="GF45">
        <v>48.876791190716901</v>
      </c>
      <c r="GG45">
        <v>-16.656965243917998</v>
      </c>
      <c r="GH45">
        <v>173.64591668622299</v>
      </c>
      <c r="GI45">
        <v>75.9342996593507</v>
      </c>
      <c r="GJ45">
        <v>-32.3614376309202</v>
      </c>
      <c r="GK45">
        <v>196.131100275058</v>
      </c>
      <c r="GL45">
        <v>90.488811286432295</v>
      </c>
      <c r="GM45">
        <v>-48.870914153753702</v>
      </c>
      <c r="GN45">
        <v>41.583082089443799</v>
      </c>
      <c r="GO45">
        <v>25.460137757136199</v>
      </c>
      <c r="GP45">
        <v>25.849409636284101</v>
      </c>
      <c r="GQ45">
        <v>-15.256453313881099</v>
      </c>
      <c r="GR45">
        <v>-206.28479354784</v>
      </c>
      <c r="GS45">
        <v>-867.17748029209895</v>
      </c>
      <c r="GT45">
        <v>12.167640546397401</v>
      </c>
      <c r="GU45">
        <v>25.528130461906699</v>
      </c>
      <c r="GV45">
        <v>25.8489029785176</v>
      </c>
      <c r="GW45">
        <v>-14.511453296090099</v>
      </c>
      <c r="GX45">
        <v>-124.819251104695</v>
      </c>
      <c r="GY45">
        <v>-461.75521807699999</v>
      </c>
      <c r="GZ45">
        <v>16.932294519876201</v>
      </c>
      <c r="HA45">
        <v>25.447299640443099</v>
      </c>
      <c r="HB45">
        <v>25.817028153457901</v>
      </c>
      <c r="HC45">
        <v>-24.1726690846751</v>
      </c>
      <c r="HD45">
        <v>-219.866187223357</v>
      </c>
      <c r="HE45">
        <v>-802.70140914273895</v>
      </c>
      <c r="HF45">
        <v>77.189010525833893</v>
      </c>
      <c r="HG45">
        <v>26.097765900574501</v>
      </c>
      <c r="HH45">
        <v>26.570305689629301</v>
      </c>
      <c r="HI45">
        <v>-7.2652377782810502</v>
      </c>
      <c r="HJ45">
        <v>-174.55803309650699</v>
      </c>
      <c r="HK45">
        <v>-785.75630641106898</v>
      </c>
      <c r="HL45">
        <v>292.98103253025698</v>
      </c>
      <c r="HM45">
        <v>26.074467789875101</v>
      </c>
      <c r="HN45">
        <v>25.784782139727</v>
      </c>
      <c r="HO45">
        <v>177.404875681162</v>
      </c>
      <c r="HP45">
        <v>125.692643986188</v>
      </c>
      <c r="HQ45">
        <v>26.1445117026107</v>
      </c>
      <c r="HR45">
        <v>84.876282062721501</v>
      </c>
      <c r="HS45">
        <v>167.85644997670701</v>
      </c>
      <c r="HT45">
        <v>25.9417884954469</v>
      </c>
      <c r="HU45">
        <v>25.763631082497799</v>
      </c>
      <c r="HV45">
        <v>123.40906867984</v>
      </c>
      <c r="HW45">
        <v>138.32431246856001</v>
      </c>
      <c r="HX45">
        <v>25.9951076699158</v>
      </c>
      <c r="HY45">
        <v>65.646337286312999</v>
      </c>
      <c r="HZ45">
        <v>25.904682001160499</v>
      </c>
      <c r="IA45">
        <v>25.745304856360299</v>
      </c>
      <c r="IB45">
        <v>202.009120389537</v>
      </c>
      <c r="IC45">
        <v>253.87582796953899</v>
      </c>
      <c r="ID45">
        <v>193.89842076958101</v>
      </c>
      <c r="IE45">
        <v>25.941946615227099</v>
      </c>
      <c r="IF45">
        <v>98.425818057043202</v>
      </c>
      <c r="IG45">
        <v>31.693463529804099</v>
      </c>
      <c r="IH45">
        <v>26.641795518431401</v>
      </c>
      <c r="II45">
        <v>26.062944371635002</v>
      </c>
      <c r="IJ45">
        <v>97.1099375822686</v>
      </c>
      <c r="IK45">
        <v>28.7696910189545</v>
      </c>
      <c r="IL45">
        <v>364.84173604539802</v>
      </c>
      <c r="IM45">
        <v>124.725496834555</v>
      </c>
      <c r="IN45">
        <v>26.929224835590102</v>
      </c>
      <c r="IO45">
        <v>0.67041238354183796</v>
      </c>
      <c r="IP45">
        <v>73.950848538874396</v>
      </c>
      <c r="IQ45">
        <v>203.276392421672</v>
      </c>
      <c r="IR45">
        <v>117.885350241217</v>
      </c>
      <c r="IS45">
        <v>193.392492083794</v>
      </c>
      <c r="IT45">
        <v>162.46201719132699</v>
      </c>
      <c r="IU45">
        <v>12.534029548807</v>
      </c>
      <c r="IV45">
        <v>56.510950348108302</v>
      </c>
      <c r="IW45">
        <v>25.603148869395898</v>
      </c>
      <c r="IX45">
        <v>26.1445117026107</v>
      </c>
      <c r="IY45">
        <v>37.790187686621998</v>
      </c>
      <c r="IZ45">
        <v>-119.79367614556099</v>
      </c>
      <c r="JA45">
        <v>-872.681964473535</v>
      </c>
      <c r="JB45">
        <v>24.769813603625401</v>
      </c>
      <c r="JC45">
        <v>25.555637160687599</v>
      </c>
      <c r="JD45">
        <v>25.9951076699158</v>
      </c>
      <c r="JE45">
        <v>21.6644724154846</v>
      </c>
      <c r="JF45">
        <v>-46.760797688226901</v>
      </c>
      <c r="JG45">
        <v>-410.77348167876801</v>
      </c>
      <c r="JH45">
        <v>34.0797024583389</v>
      </c>
      <c r="JI45">
        <v>25.459977496023299</v>
      </c>
      <c r="JJ45">
        <v>25.941946615227099</v>
      </c>
      <c r="JK45">
        <v>27.2035457197934</v>
      </c>
      <c r="JL45">
        <v>-98.278940830651294</v>
      </c>
      <c r="JM45">
        <v>-726.05312864789596</v>
      </c>
      <c r="JN45">
        <v>90.380616201138395</v>
      </c>
      <c r="JO45">
        <v>26.3077713029171</v>
      </c>
      <c r="JP45">
        <v>26.929224835590102</v>
      </c>
      <c r="JQ45">
        <v>0.99402707871793705</v>
      </c>
      <c r="JR45">
        <v>40.467596520376198</v>
      </c>
      <c r="JS45">
        <v>1.2432759744198001</v>
      </c>
      <c r="JT45">
        <v>-104.099943910573</v>
      </c>
      <c r="JU45">
        <v>-765.90555869021796</v>
      </c>
      <c r="JV45">
        <v>333.789532707945</v>
      </c>
      <c r="JW45">
        <v>197.39458842012101</v>
      </c>
      <c r="JX45">
        <v>215.87008776314201</v>
      </c>
      <c r="JY45">
        <v>190.53298702205399</v>
      </c>
      <c r="JZ45">
        <v>187.819098174955</v>
      </c>
      <c r="KA45">
        <v>140.92731891177101</v>
      </c>
      <c r="KB45">
        <v>289.22968857473597</v>
      </c>
      <c r="KC45">
        <v>279.93632713205398</v>
      </c>
      <c r="KD45">
        <v>224.59174417611101</v>
      </c>
      <c r="KE45">
        <v>392.85063924223198</v>
      </c>
      <c r="KF45">
        <v>27.500391682634</v>
      </c>
      <c r="KG45">
        <v>242.895077154793</v>
      </c>
      <c r="KH45">
        <v>0.78426551748243201</v>
      </c>
      <c r="KI45">
        <v>192.046681762562</v>
      </c>
      <c r="KJ45">
        <v>173.91808779975099</v>
      </c>
      <c r="KK45">
        <v>121.07343547395701</v>
      </c>
      <c r="KL45">
        <v>26.760213963308399</v>
      </c>
      <c r="KM45">
        <v>26.743691618734399</v>
      </c>
      <c r="KN45">
        <v>227.49831948730201</v>
      </c>
      <c r="KO45">
        <v>26.834933011764601</v>
      </c>
      <c r="KP45">
        <v>25.228720912743199</v>
      </c>
      <c r="KQ45">
        <v>134.63440486069501</v>
      </c>
      <c r="KR45">
        <v>119.920418197022</v>
      </c>
      <c r="KS45">
        <v>63.456085513829301</v>
      </c>
      <c r="KT45">
        <v>26.570875777293001</v>
      </c>
      <c r="KU45">
        <v>26.528806089498399</v>
      </c>
      <c r="KV45">
        <v>130.28712777766799</v>
      </c>
      <c r="KW45">
        <v>26.6672732713022</v>
      </c>
      <c r="KX45">
        <v>25.2490084512213</v>
      </c>
      <c r="KY45">
        <v>81.005263965013299</v>
      </c>
      <c r="KZ45">
        <v>99.444879989890097</v>
      </c>
      <c r="LA45">
        <v>95.050892486267799</v>
      </c>
      <c r="LB45">
        <v>26.557751086452999</v>
      </c>
      <c r="LC45">
        <v>26.519777536480898</v>
      </c>
      <c r="LD45">
        <v>208.96512249951499</v>
      </c>
      <c r="LE45">
        <v>26.653715455405301</v>
      </c>
      <c r="LF45">
        <v>25.225837543374499</v>
      </c>
      <c r="LG45">
        <v>129.587225111028</v>
      </c>
      <c r="LH45">
        <v>160.13288056127899</v>
      </c>
      <c r="LI45">
        <v>142.48156709455699</v>
      </c>
      <c r="LJ45">
        <v>27.5649054939759</v>
      </c>
      <c r="LK45">
        <v>27.533521426364601</v>
      </c>
      <c r="LL45">
        <v>194.12763696359301</v>
      </c>
      <c r="LM45">
        <v>27.6308327499992</v>
      </c>
      <c r="LN45">
        <v>25.367751407331902</v>
      </c>
      <c r="LO45">
        <v>108.971580580419</v>
      </c>
      <c r="LP45">
        <v>56.714464388130402</v>
      </c>
      <c r="LQ45">
        <v>85.706769715403397</v>
      </c>
      <c r="LR45">
        <v>19.993280722893498</v>
      </c>
      <c r="LS45">
        <v>16.420999999999999</v>
      </c>
      <c r="LT45">
        <v>184.07813637434199</v>
      </c>
      <c r="LU45">
        <v>-1446.3959066735799</v>
      </c>
      <c r="LV45">
        <v>21.596862128378401</v>
      </c>
      <c r="LW45">
        <v>24.546073179630799</v>
      </c>
      <c r="LX45">
        <v>775.56969312764397</v>
      </c>
      <c r="LY45">
        <v>48.526723035483997</v>
      </c>
      <c r="LZ45">
        <v>20.061619919116399</v>
      </c>
      <c r="MA45">
        <v>16.420999999999999</v>
      </c>
      <c r="MB45">
        <v>136.60681610403901</v>
      </c>
      <c r="MC45">
        <v>-870.78399470193904</v>
      </c>
      <c r="MD45">
        <v>21.644448982202601</v>
      </c>
      <c r="ME45">
        <v>24.576420672146298</v>
      </c>
      <c r="MF45">
        <v>507.11922372305497</v>
      </c>
      <c r="MG45">
        <v>71.840558301805899</v>
      </c>
      <c r="MH45">
        <v>20.010694926567101</v>
      </c>
      <c r="MI45">
        <v>16.420999999999999</v>
      </c>
      <c r="MJ45">
        <v>203.91415250714101</v>
      </c>
      <c r="MK45">
        <v>-1402.93086295474</v>
      </c>
      <c r="ML45">
        <v>21.61030608107</v>
      </c>
      <c r="MM45">
        <v>24.554664039651801</v>
      </c>
      <c r="MN45">
        <v>794.05861786406899</v>
      </c>
      <c r="MO45">
        <v>92.655770920624803</v>
      </c>
      <c r="MP45">
        <v>20.112135036028601</v>
      </c>
      <c r="MQ45">
        <v>16.420999999999999</v>
      </c>
      <c r="MR45">
        <v>115.790787427857</v>
      </c>
      <c r="MS45">
        <v>-1120.6975668693599</v>
      </c>
      <c r="MT45">
        <v>21.988045886836598</v>
      </c>
      <c r="MU45">
        <v>25.216783512548101</v>
      </c>
      <c r="MV45">
        <v>555.75238793184701</v>
      </c>
      <c r="MW45">
        <v>118.64009343828</v>
      </c>
      <c r="MX45">
        <v>23.067994105083301</v>
      </c>
      <c r="MY45">
        <v>24.924349906065</v>
      </c>
      <c r="MZ45">
        <v>1224.90595009392</v>
      </c>
      <c r="NA45">
        <v>922.25209875337805</v>
      </c>
      <c r="NB45">
        <v>23.398677283424501</v>
      </c>
      <c r="NC45">
        <v>25.4482143289204</v>
      </c>
      <c r="ND45">
        <v>1210.4430450635</v>
      </c>
      <c r="NE45">
        <v>71.275489976996795</v>
      </c>
      <c r="NF45">
        <v>23.178847378084601</v>
      </c>
      <c r="NG45">
        <v>25.0811566151318</v>
      </c>
      <c r="NH45">
        <v>819.50050818594798</v>
      </c>
      <c r="NI45">
        <v>713.13334695396702</v>
      </c>
      <c r="NJ45">
        <v>23.398188123730101</v>
      </c>
      <c r="NK45">
        <v>25.2841792039777</v>
      </c>
      <c r="NL45">
        <v>772.24877795529801</v>
      </c>
      <c r="NM45">
        <v>103.83179304485</v>
      </c>
      <c r="NN45">
        <v>23.047274296366201</v>
      </c>
      <c r="NO45">
        <v>24.9514335407234</v>
      </c>
      <c r="NP45">
        <v>1252.54147766854</v>
      </c>
      <c r="NQ45">
        <v>1036.5784694874101</v>
      </c>
      <c r="NR45">
        <v>23.3098152783292</v>
      </c>
      <c r="NS45">
        <v>25.239374914544001</v>
      </c>
      <c r="NT45">
        <v>1202.7464346797799</v>
      </c>
      <c r="NU45">
        <v>112.895063027238</v>
      </c>
      <c r="NV45">
        <v>23.2728955870815</v>
      </c>
      <c r="NW45">
        <v>25.363176422077601</v>
      </c>
      <c r="NX45">
        <v>2.3602902325346702</v>
      </c>
      <c r="NY45">
        <v>827.05630621956004</v>
      </c>
      <c r="NZ45">
        <v>462.87568692404199</v>
      </c>
      <c r="OA45">
        <v>23.842640450996299</v>
      </c>
      <c r="OB45">
        <v>26.175273072901899</v>
      </c>
      <c r="OC45">
        <v>2.0439001258548899</v>
      </c>
      <c r="OD45">
        <v>880.64431414164403</v>
      </c>
      <c r="OE45">
        <v>2.3602902325346702</v>
      </c>
      <c r="OF45">
        <v>2.0439001258548899</v>
      </c>
      <c r="OG45">
        <v>116.025928967767</v>
      </c>
      <c r="OH45">
        <v>23.0054393717244</v>
      </c>
      <c r="OI45">
        <v>24.963413067767199</v>
      </c>
      <c r="OJ45">
        <v>1304.0965742824999</v>
      </c>
      <c r="OK45">
        <v>993.28354044679702</v>
      </c>
      <c r="OL45">
        <v>23.342049726201299</v>
      </c>
      <c r="OM45">
        <v>25.606312746181899</v>
      </c>
      <c r="ON45">
        <v>1361.3655096728601</v>
      </c>
      <c r="OO45">
        <v>69.490174801625699</v>
      </c>
      <c r="OP45">
        <v>23.117838248563501</v>
      </c>
      <c r="OQ45">
        <v>25.0543218406197</v>
      </c>
      <c r="OR45">
        <v>871.40399932156697</v>
      </c>
      <c r="OS45">
        <v>759.70273449253</v>
      </c>
      <c r="OT45">
        <v>23.342890134685501</v>
      </c>
      <c r="OU45">
        <v>25.424595441819001</v>
      </c>
      <c r="OV45">
        <v>866.70983949702497</v>
      </c>
      <c r="OW45">
        <v>101.00008496628401</v>
      </c>
      <c r="OX45">
        <v>22.986273620669301</v>
      </c>
      <c r="OY45">
        <v>24.9093996177325</v>
      </c>
      <c r="OZ45">
        <v>1328.6989223590199</v>
      </c>
      <c r="PA45">
        <v>1098.1827323426401</v>
      </c>
      <c r="PB45">
        <v>23.260854719737701</v>
      </c>
      <c r="PC45">
        <v>25.3920062818801</v>
      </c>
      <c r="PD45">
        <v>1350.9307502639399</v>
      </c>
      <c r="PE45">
        <v>109.969332085937</v>
      </c>
      <c r="PF45">
        <v>23.2169721169284</v>
      </c>
      <c r="PG45">
        <v>25.4731173457577</v>
      </c>
      <c r="PH45">
        <v>2.5788574602777401</v>
      </c>
      <c r="PI45">
        <v>886.15669703420701</v>
      </c>
      <c r="PJ45">
        <v>529.45867892336105</v>
      </c>
      <c r="PK45">
        <v>23.774921438996799</v>
      </c>
      <c r="PL45">
        <v>26.304756436415701</v>
      </c>
      <c r="PM45">
        <v>2.34670368530058</v>
      </c>
      <c r="PN45">
        <v>991.04030550545201</v>
      </c>
      <c r="PO45">
        <v>25.576169291421799</v>
      </c>
      <c r="PP45">
        <v>25.611947344101299</v>
      </c>
      <c r="PQ45">
        <v>25.584283218597498</v>
      </c>
      <c r="PR45">
        <v>26.389203783627998</v>
      </c>
      <c r="PS45">
        <v>24.8135402688218</v>
      </c>
      <c r="PT45">
        <v>26.070052343045699</v>
      </c>
      <c r="PU45">
        <v>25.905780605119901</v>
      </c>
      <c r="PV45">
        <v>25.8600366277498</v>
      </c>
      <c r="PW45">
        <v>26.9174037366565</v>
      </c>
      <c r="PX45">
        <v>25.163145279033898</v>
      </c>
      <c r="PY45">
        <v>26.374573067247699</v>
      </c>
      <c r="PZ45">
        <v>26.179375175168602</v>
      </c>
      <c r="QA45">
        <v>26.156035993166</v>
      </c>
      <c r="QB45">
        <v>27.188598961685901</v>
      </c>
      <c r="QC45">
        <v>25.746804472828501</v>
      </c>
      <c r="QD45">
        <v>21.705733415347801</v>
      </c>
      <c r="QE45">
        <v>26.331517103695798</v>
      </c>
      <c r="QF45">
        <v>25.681760149682599</v>
      </c>
      <c r="QG45">
        <v>25.6869524450974</v>
      </c>
      <c r="QH45">
        <v>27.394516650846199</v>
      </c>
      <c r="QI45">
        <v>24.960232375282999</v>
      </c>
      <c r="QJ45">
        <v>25.761307064012399</v>
      </c>
      <c r="QK45">
        <v>25.5191544863061</v>
      </c>
      <c r="QL45">
        <v>25.490246527009901</v>
      </c>
      <c r="QM45">
        <v>26.490367152719301</v>
      </c>
      <c r="QN45">
        <v>1266.20913735455</v>
      </c>
      <c r="QO45">
        <v>25.043653140500201</v>
      </c>
      <c r="QP45">
        <v>2726.0860143681498</v>
      </c>
      <c r="QQ45">
        <v>25.9156644691782</v>
      </c>
      <c r="QR45">
        <v>25.674325674378402</v>
      </c>
      <c r="QS45">
        <v>25.6607125526495</v>
      </c>
      <c r="QT45">
        <v>26.605284600091402</v>
      </c>
      <c r="QU45">
        <v>25.294608123759701</v>
      </c>
      <c r="QV45">
        <v>18.2826508559437</v>
      </c>
      <c r="QW45">
        <v>0</v>
      </c>
      <c r="QX45">
        <v>112273.66248217601</v>
      </c>
      <c r="QY45">
        <v>0</v>
      </c>
      <c r="QZ45">
        <v>74574.6606531859</v>
      </c>
      <c r="RA45">
        <v>0</v>
      </c>
      <c r="RB45">
        <v>46766.400076028702</v>
      </c>
      <c r="RC45">
        <v>0</v>
      </c>
      <c r="RD45">
        <v>30962.867571576</v>
      </c>
      <c r="RE45">
        <v>0</v>
      </c>
      <c r="RF45">
        <v>33432.695711721797</v>
      </c>
      <c r="RG45">
        <v>0</v>
      </c>
      <c r="RH45">
        <v>21716.4562084186</v>
      </c>
      <c r="RI45">
        <v>0</v>
      </c>
      <c r="RJ45">
        <v>3839.59513511054</v>
      </c>
      <c r="RK45">
        <v>27.086864915969699</v>
      </c>
      <c r="RL45">
        <v>-3760.70752174274</v>
      </c>
      <c r="RM45">
        <v>-10603.425270178899</v>
      </c>
      <c r="RN45">
        <v>-3760.70752174274</v>
      </c>
      <c r="RO45">
        <v>0</v>
      </c>
      <c r="RP45">
        <v>2728.7688173484198</v>
      </c>
      <c r="RQ45">
        <v>25.751572955263899</v>
      </c>
      <c r="RR45">
        <v>-2741.8628965549301</v>
      </c>
      <c r="RS45">
        <v>-8062.4189325492498</v>
      </c>
      <c r="RT45">
        <v>-2741.8628965549301</v>
      </c>
      <c r="RU45">
        <v>0</v>
      </c>
      <c r="RV45">
        <v>4229.9825078194299</v>
      </c>
      <c r="RW45">
        <v>25.789621671597398</v>
      </c>
      <c r="RX45">
        <v>-4242.2917261979801</v>
      </c>
      <c r="RY45">
        <v>-12539.432781957399</v>
      </c>
      <c r="RZ45">
        <v>-4242.2917261979801</v>
      </c>
      <c r="SA45">
        <v>0</v>
      </c>
      <c r="SB45">
        <v>2760.9666768222701</v>
      </c>
      <c r="SC45">
        <v>28.3998295180645</v>
      </c>
      <c r="SD45">
        <v>-2699.3503260054799</v>
      </c>
      <c r="SE45">
        <v>-6636.8103991669605</v>
      </c>
      <c r="SF45">
        <v>-2699.3503260054799</v>
      </c>
      <c r="SG45">
        <v>0</v>
      </c>
      <c r="SH45">
        <v>17529.521296700699</v>
      </c>
      <c r="SI45">
        <v>25.106924481744301</v>
      </c>
      <c r="SJ45">
        <v>-17619.609356339501</v>
      </c>
      <c r="SK45">
        <v>-39595.8422825292</v>
      </c>
      <c r="SL45">
        <v>-17619.609356339501</v>
      </c>
      <c r="SM45">
        <v>21.1111</v>
      </c>
      <c r="SN45">
        <v>23.8889</v>
      </c>
      <c r="SO45">
        <v>240.98640408415699</v>
      </c>
      <c r="SP45">
        <v>0</v>
      </c>
      <c r="SQ45">
        <v>25.6857770312551</v>
      </c>
      <c r="SR45">
        <v>0</v>
      </c>
      <c r="SS45">
        <v>0</v>
      </c>
      <c r="ST45">
        <v>0</v>
      </c>
      <c r="SU45">
        <v>134.562827371682</v>
      </c>
      <c r="SV45">
        <v>0</v>
      </c>
      <c r="SW45">
        <v>25.750116921036401</v>
      </c>
      <c r="SX45">
        <v>0</v>
      </c>
      <c r="SY45">
        <v>0</v>
      </c>
      <c r="SZ45">
        <v>0</v>
      </c>
      <c r="TA45">
        <v>239.84729581948201</v>
      </c>
      <c r="TB45">
        <v>0</v>
      </c>
      <c r="TC45">
        <v>25.680578014419201</v>
      </c>
      <c r="TD45">
        <v>0</v>
      </c>
      <c r="TE45">
        <v>0</v>
      </c>
      <c r="TF45">
        <v>0</v>
      </c>
      <c r="TG45">
        <v>169.18873546391299</v>
      </c>
      <c r="TH45">
        <v>0</v>
      </c>
      <c r="TI45">
        <v>26.316493288819402</v>
      </c>
      <c r="TJ45">
        <v>0</v>
      </c>
      <c r="TK45">
        <v>0</v>
      </c>
      <c r="TL45">
        <v>0</v>
      </c>
      <c r="TM45">
        <v>2275.8857464497901</v>
      </c>
      <c r="TN45">
        <v>0</v>
      </c>
      <c r="TO45">
        <v>25.0784496489579</v>
      </c>
      <c r="TP45">
        <v>0</v>
      </c>
      <c r="TQ45">
        <v>0</v>
      </c>
      <c r="TR45">
        <v>0</v>
      </c>
      <c r="TS45">
        <v>0</v>
      </c>
      <c r="TT45">
        <v>5073.7712856499402</v>
      </c>
      <c r="TU45">
        <v>25.452561784979</v>
      </c>
      <c r="TV45">
        <v>-5030.7523002030202</v>
      </c>
      <c r="TW45">
        <v>-13158.2788326707</v>
      </c>
      <c r="TX45">
        <v>-5030.7523002030202</v>
      </c>
      <c r="TY45">
        <v>0</v>
      </c>
      <c r="TZ45">
        <v>3296.5993813991699</v>
      </c>
      <c r="UA45">
        <v>25.132528367492299</v>
      </c>
      <c r="UB45">
        <v>-3312.1775243263201</v>
      </c>
      <c r="UC45">
        <v>-8718.1869717840491</v>
      </c>
      <c r="UD45">
        <v>-3312.1775243263201</v>
      </c>
      <c r="UE45">
        <v>0</v>
      </c>
      <c r="UF45">
        <v>5085.4034184727498</v>
      </c>
      <c r="UG45">
        <v>25.12045642627</v>
      </c>
      <c r="UH45">
        <v>-5105.9435179587599</v>
      </c>
      <c r="UI45">
        <v>-13588.174823584901</v>
      </c>
      <c r="UJ45">
        <v>-5105.9435179587599</v>
      </c>
      <c r="UK45">
        <v>0</v>
      </c>
      <c r="UL45">
        <v>3826.0586658995599</v>
      </c>
      <c r="UM45">
        <v>26.063330568782099</v>
      </c>
      <c r="UN45">
        <v>-3834.2623462685101</v>
      </c>
      <c r="UO45">
        <v>-8810.31723522424</v>
      </c>
      <c r="UP45">
        <v>-3834.2623462685101</v>
      </c>
      <c r="UQ45">
        <v>0</v>
      </c>
      <c r="UR45">
        <v>19484.908494196901</v>
      </c>
      <c r="US45">
        <v>24.9241610019665</v>
      </c>
      <c r="UT45">
        <v>-19570.265339769699</v>
      </c>
      <c r="UU45">
        <v>-41837.069517139098</v>
      </c>
      <c r="UV45">
        <v>-19570.265339769699</v>
      </c>
      <c r="UW45">
        <v>21.1111</v>
      </c>
      <c r="UX45">
        <v>23.8889</v>
      </c>
      <c r="UY45">
        <v>70.597456972206601</v>
      </c>
      <c r="UZ45">
        <v>7.4244774149019603</v>
      </c>
      <c r="VA45">
        <v>25.4817414203773</v>
      </c>
      <c r="VB45">
        <v>0</v>
      </c>
      <c r="VC45">
        <v>0</v>
      </c>
      <c r="VD45">
        <v>0</v>
      </c>
      <c r="VE45">
        <v>0</v>
      </c>
      <c r="VF45">
        <v>13.2900543713858</v>
      </c>
      <c r="VG45">
        <v>25.363007348156</v>
      </c>
      <c r="VH45">
        <v>0</v>
      </c>
      <c r="VI45">
        <v>0</v>
      </c>
      <c r="VJ45">
        <v>0</v>
      </c>
      <c r="VK45">
        <v>17.475376680248701</v>
      </c>
      <c r="VL45">
        <v>0</v>
      </c>
      <c r="VM45">
        <v>25.297530819546001</v>
      </c>
      <c r="VN45">
        <v>0</v>
      </c>
      <c r="VO45">
        <v>0</v>
      </c>
      <c r="VP45">
        <v>0</v>
      </c>
      <c r="VQ45">
        <v>30.970309376760301</v>
      </c>
      <c r="VR45">
        <v>26.996150449063901</v>
      </c>
      <c r="VS45">
        <v>26.111168490619601</v>
      </c>
      <c r="VT45">
        <v>0</v>
      </c>
      <c r="VU45">
        <v>0</v>
      </c>
      <c r="VV45">
        <v>0</v>
      </c>
      <c r="VW45">
        <v>1957.4638486828201</v>
      </c>
      <c r="VX45">
        <v>0</v>
      </c>
      <c r="VY45">
        <v>25.120871693703801</v>
      </c>
      <c r="VZ45">
        <v>0</v>
      </c>
      <c r="WA45">
        <v>0</v>
      </c>
      <c r="WB45">
        <v>0</v>
      </c>
      <c r="WC45">
        <v>0</v>
      </c>
      <c r="WD45">
        <v>5547.8216889212499</v>
      </c>
      <c r="WE45">
        <v>25.4567558711088</v>
      </c>
      <c r="WF45">
        <v>-5517.4580927524303</v>
      </c>
      <c r="WG45">
        <v>-13660.939712842201</v>
      </c>
      <c r="WH45">
        <v>-5517.4580927524303</v>
      </c>
      <c r="WI45">
        <v>12822948.16667</v>
      </c>
      <c r="WJ45">
        <v>0</v>
      </c>
      <c r="WK45">
        <v>3561.9300462972201</v>
      </c>
      <c r="WL45">
        <v>25.169276173588202</v>
      </c>
      <c r="WM45">
        <v>-3578.39669208021</v>
      </c>
      <c r="WN45">
        <v>-8945.3595730477191</v>
      </c>
      <c r="WO45">
        <v>-3578.39669208021</v>
      </c>
      <c r="WP45">
        <v>18.333300000000001</v>
      </c>
      <c r="WQ45">
        <v>23.8889</v>
      </c>
      <c r="WR45">
        <v>0</v>
      </c>
      <c r="WS45">
        <v>5520.1781531577699</v>
      </c>
      <c r="WT45">
        <v>25.165389112132999</v>
      </c>
      <c r="WU45">
        <v>-5541.6778907283997</v>
      </c>
      <c r="WV45">
        <v>-13959.982763694299</v>
      </c>
      <c r="WW45">
        <v>-5541.6778907283997</v>
      </c>
      <c r="WX45">
        <v>14988102.3238589</v>
      </c>
      <c r="WY45">
        <v>0</v>
      </c>
      <c r="WZ45">
        <v>4163.3617566274697</v>
      </c>
      <c r="XA45">
        <v>26.021970238497001</v>
      </c>
      <c r="XB45">
        <v>-4182.8791392226003</v>
      </c>
      <c r="XC45">
        <v>-9174.1373929134297</v>
      </c>
      <c r="XD45">
        <v>-4182.8791392226003</v>
      </c>
      <c r="XE45">
        <v>0</v>
      </c>
      <c r="XF45">
        <v>22303.7047303851</v>
      </c>
      <c r="XG45">
        <v>24.842411774691001</v>
      </c>
      <c r="XH45">
        <v>-22387.784877273101</v>
      </c>
      <c r="XI45">
        <v>-44941.324597704297</v>
      </c>
      <c r="XJ45">
        <v>-22387.784877273101</v>
      </c>
      <c r="XK45">
        <v>21.1111</v>
      </c>
      <c r="XL45">
        <v>23.8889</v>
      </c>
      <c r="XM45">
        <v>0</v>
      </c>
      <c r="XN45">
        <v>583.84159940463098</v>
      </c>
      <c r="XO45">
        <v>26.0494136526221</v>
      </c>
      <c r="XP45">
        <v>0</v>
      </c>
      <c r="XQ45">
        <v>0</v>
      </c>
      <c r="XR45">
        <v>0</v>
      </c>
      <c r="XS45">
        <v>0</v>
      </c>
      <c r="XT45">
        <v>385.538509501161</v>
      </c>
      <c r="XU45">
        <v>25.8348247345494</v>
      </c>
      <c r="XV45">
        <v>0</v>
      </c>
      <c r="XW45">
        <v>0</v>
      </c>
      <c r="XX45">
        <v>0</v>
      </c>
      <c r="XY45">
        <v>0</v>
      </c>
      <c r="XZ45">
        <v>606.78331487474395</v>
      </c>
      <c r="YA45">
        <v>25.813249044836901</v>
      </c>
      <c r="YB45">
        <v>0</v>
      </c>
      <c r="YC45">
        <v>0</v>
      </c>
      <c r="YD45">
        <v>0</v>
      </c>
      <c r="YE45">
        <v>0</v>
      </c>
      <c r="YF45">
        <v>496.05021680412898</v>
      </c>
      <c r="YG45">
        <v>26.687449979554302</v>
      </c>
      <c r="YH45">
        <v>0</v>
      </c>
      <c r="YI45">
        <v>0</v>
      </c>
      <c r="YJ45">
        <v>0</v>
      </c>
      <c r="YK45">
        <v>0</v>
      </c>
      <c r="YL45">
        <v>1153.8214616602099</v>
      </c>
      <c r="YM45">
        <v>25.9154157279674</v>
      </c>
      <c r="YN45">
        <v>0</v>
      </c>
      <c r="YO45">
        <v>0</v>
      </c>
      <c r="YP45">
        <v>0</v>
      </c>
      <c r="YQ45">
        <v>0</v>
      </c>
      <c r="YR45">
        <v>1014.49708153043</v>
      </c>
      <c r="YS45">
        <v>19.5954082362273</v>
      </c>
      <c r="YT45">
        <v>0</v>
      </c>
      <c r="YU45">
        <v>0</v>
      </c>
      <c r="YV45">
        <v>0</v>
      </c>
      <c r="YW45">
        <v>0</v>
      </c>
      <c r="YX45">
        <v>712.33159218633205</v>
      </c>
      <c r="YY45">
        <v>19.520293224574001</v>
      </c>
      <c r="YZ45">
        <v>0</v>
      </c>
      <c r="ZA45">
        <v>0</v>
      </c>
      <c r="ZB45">
        <v>0</v>
      </c>
      <c r="ZC45">
        <v>0</v>
      </c>
      <c r="ZD45">
        <v>1097.2396988042001</v>
      </c>
      <c r="ZE45">
        <v>19.4997815438009</v>
      </c>
      <c r="ZF45">
        <v>0</v>
      </c>
      <c r="ZG45">
        <v>0</v>
      </c>
      <c r="ZH45">
        <v>0</v>
      </c>
      <c r="ZI45">
        <v>0</v>
      </c>
      <c r="ZJ45">
        <v>729.44475182422798</v>
      </c>
      <c r="ZK45">
        <v>19.7517687726471</v>
      </c>
      <c r="ZL45">
        <v>0</v>
      </c>
      <c r="ZM45">
        <v>0</v>
      </c>
      <c r="ZN45">
        <v>0</v>
      </c>
      <c r="ZO45">
        <v>0</v>
      </c>
      <c r="ZP45">
        <v>9939.8708606621694</v>
      </c>
      <c r="ZQ45">
        <v>17.847162834851002</v>
      </c>
      <c r="ZR45">
        <v>0</v>
      </c>
      <c r="ZS45">
        <v>0</v>
      </c>
      <c r="ZT45">
        <v>0</v>
      </c>
      <c r="ZU45">
        <v>0</v>
      </c>
      <c r="ZV45">
        <v>2594.1974360180702</v>
      </c>
      <c r="ZW45">
        <v>20.737586677348698</v>
      </c>
      <c r="ZX45">
        <v>0</v>
      </c>
      <c r="ZY45">
        <v>0</v>
      </c>
      <c r="ZZ45">
        <v>0</v>
      </c>
      <c r="AAA45">
        <v>0</v>
      </c>
      <c r="AAB45">
        <v>1731.6799682112801</v>
      </c>
      <c r="AAC45">
        <v>20.670724951769099</v>
      </c>
      <c r="AAD45">
        <v>0</v>
      </c>
      <c r="AAE45">
        <v>0</v>
      </c>
      <c r="AAF45">
        <v>0</v>
      </c>
      <c r="AAG45">
        <v>0</v>
      </c>
      <c r="AAH45">
        <v>2655.4485986565001</v>
      </c>
      <c r="AAI45">
        <v>20.615306464595399</v>
      </c>
      <c r="AAJ45">
        <v>0</v>
      </c>
      <c r="AAK45">
        <v>0</v>
      </c>
      <c r="AAL45">
        <v>0</v>
      </c>
      <c r="AAM45">
        <v>0</v>
      </c>
      <c r="AAN45">
        <v>1836.7656658629001</v>
      </c>
      <c r="AAO45">
        <v>20.8185835940501</v>
      </c>
      <c r="AAP45">
        <v>0</v>
      </c>
      <c r="AAQ45">
        <v>0</v>
      </c>
      <c r="AAR45">
        <v>0</v>
      </c>
      <c r="AAS45">
        <v>0</v>
      </c>
      <c r="AAT45">
        <v>17430.899026479801</v>
      </c>
      <c r="AAU45">
        <v>18.2673292940027</v>
      </c>
      <c r="AAV45">
        <v>0</v>
      </c>
      <c r="AAW45">
        <v>0</v>
      </c>
      <c r="AAX45">
        <v>0</v>
      </c>
      <c r="AAY45">
        <v>0</v>
      </c>
      <c r="AAZ45">
        <v>2822.8760397343299</v>
      </c>
      <c r="ABA45">
        <v>20.732401953178201</v>
      </c>
      <c r="ABB45">
        <v>0</v>
      </c>
      <c r="ABC45">
        <v>0</v>
      </c>
      <c r="ABD45">
        <v>0</v>
      </c>
      <c r="ABE45">
        <v>0</v>
      </c>
      <c r="ABF45">
        <v>1873.62461350751</v>
      </c>
      <c r="ABG45">
        <v>20.682124305213701</v>
      </c>
      <c r="ABH45">
        <v>0</v>
      </c>
      <c r="ABI45">
        <v>0</v>
      </c>
      <c r="ABJ45">
        <v>0</v>
      </c>
      <c r="ABK45">
        <v>0</v>
      </c>
      <c r="ABL45">
        <v>2871.9145360718799</v>
      </c>
      <c r="ABM45">
        <v>20.6307580193542</v>
      </c>
      <c r="ABN45">
        <v>0</v>
      </c>
      <c r="ABO45">
        <v>0</v>
      </c>
      <c r="ABP45">
        <v>0</v>
      </c>
      <c r="ABQ45">
        <v>0</v>
      </c>
      <c r="ABR45">
        <v>2003.5625636489101</v>
      </c>
      <c r="ABS45">
        <v>20.806780135648999</v>
      </c>
      <c r="ABT45">
        <v>0</v>
      </c>
      <c r="ABU45">
        <v>0</v>
      </c>
      <c r="ABV45">
        <v>0</v>
      </c>
      <c r="ABW45">
        <v>0</v>
      </c>
      <c r="ABX45">
        <v>19512.250500931001</v>
      </c>
      <c r="ABY45">
        <v>18.2826508559437</v>
      </c>
      <c r="ABZ45">
        <v>0</v>
      </c>
      <c r="ACA45">
        <v>0</v>
      </c>
      <c r="ACB45">
        <v>0</v>
      </c>
      <c r="ACC45">
        <v>0.49591979049791601</v>
      </c>
      <c r="ACD45">
        <v>147267704.43178001</v>
      </c>
      <c r="ACE45">
        <v>217022.44062429</v>
      </c>
      <c r="ACF45">
        <v>10.5458689088562</v>
      </c>
      <c r="ACG45">
        <v>6.7</v>
      </c>
      <c r="ACH45">
        <v>13.50000361399</v>
      </c>
      <c r="ACI45">
        <v>257930.136299784</v>
      </c>
      <c r="ACJ45">
        <v>5.3049785877430597</v>
      </c>
      <c r="ACK45">
        <v>23.8926228247681</v>
      </c>
      <c r="ACL45">
        <v>27.805480003942801</v>
      </c>
      <c r="ACM45">
        <v>15.7700042216757</v>
      </c>
      <c r="ACN45">
        <v>105390.341415922</v>
      </c>
      <c r="ACP45">
        <v>54533.570862856403</v>
      </c>
      <c r="ACR45">
        <v>159923.912278779</v>
      </c>
      <c r="ACT45">
        <v>25.4322431277795</v>
      </c>
      <c r="ACU45">
        <v>23.9089452872335</v>
      </c>
      <c r="ACV45">
        <v>1.7</v>
      </c>
      <c r="ACW45">
        <v>1.31959688085057</v>
      </c>
      <c r="ACX45">
        <v>0.799473439209759</v>
      </c>
      <c r="ACY45">
        <v>25.3068551772155</v>
      </c>
      <c r="ACZ45">
        <v>23.903088082308699</v>
      </c>
      <c r="ADA45">
        <v>1.7</v>
      </c>
      <c r="ADB45">
        <v>1.7015339459034899</v>
      </c>
      <c r="ADC45">
        <v>0.79985183114723102</v>
      </c>
      <c r="ADD45">
        <v>25.319974435346499</v>
      </c>
      <c r="ADE45">
        <v>23.916073038290602</v>
      </c>
      <c r="ADF45">
        <v>1.7</v>
      </c>
      <c r="ADG45">
        <v>2.0142777087206301</v>
      </c>
      <c r="ADH45">
        <v>0.79986824225380704</v>
      </c>
      <c r="ADI45">
        <v>26.246388487565401</v>
      </c>
      <c r="ADJ45">
        <v>24.315135118835201</v>
      </c>
      <c r="ADK45">
        <v>1.7</v>
      </c>
      <c r="ADL45">
        <v>1.3730925577151301</v>
      </c>
      <c r="ADM45">
        <v>0.70924103705639996</v>
      </c>
      <c r="ADN45">
        <v>26.037933594335598</v>
      </c>
      <c r="ADO45">
        <v>24.135492705208001</v>
      </c>
      <c r="ADP45">
        <v>1.7</v>
      </c>
      <c r="ADQ45">
        <v>1.56386745265509</v>
      </c>
      <c r="ADR45">
        <v>0.70477187530584295</v>
      </c>
      <c r="ADS45">
        <v>26.026074046172798</v>
      </c>
      <c r="ADT45">
        <v>24.135317711838798</v>
      </c>
      <c r="ADU45">
        <v>1.7</v>
      </c>
      <c r="ADV45">
        <v>4.1638596157315604</v>
      </c>
      <c r="ADW45">
        <v>0.70489632094698895</v>
      </c>
      <c r="ADX45">
        <v>26.935456979248901</v>
      </c>
      <c r="ADY45">
        <v>24.8326680280889</v>
      </c>
      <c r="ADZ45">
        <v>1.7</v>
      </c>
      <c r="AEA45">
        <v>1.3979665174439799</v>
      </c>
      <c r="AEB45">
        <v>0.708070145096659</v>
      </c>
      <c r="AEC45">
        <v>25.584620044570901</v>
      </c>
      <c r="AED45">
        <v>24.1783679784964</v>
      </c>
      <c r="AEE45">
        <v>1.7</v>
      </c>
      <c r="AEF45">
        <v>2.3268008882603199</v>
      </c>
      <c r="AEG45">
        <v>0.705215163080951</v>
      </c>
      <c r="AEH45">
        <v>25.323392133206699</v>
      </c>
      <c r="AEI45">
        <v>23.989485003663901</v>
      </c>
      <c r="AEJ45">
        <v>1.7</v>
      </c>
      <c r="AEK45">
        <v>2.53501544413459</v>
      </c>
      <c r="AEL45">
        <v>0.70513348159744704</v>
      </c>
      <c r="AEM45">
        <v>25.2948596223831</v>
      </c>
      <c r="AEN45">
        <v>23.9837020002979</v>
      </c>
      <c r="AEO45">
        <v>1.7</v>
      </c>
      <c r="AEP45">
        <v>3.8151652298049799</v>
      </c>
      <c r="AEQ45">
        <v>0.70501417672770295</v>
      </c>
      <c r="AER45">
        <v>26.114716054345099</v>
      </c>
      <c r="AES45">
        <v>24.5585344575283</v>
      </c>
      <c r="AET45">
        <v>1.7</v>
      </c>
      <c r="AEU45">
        <v>2.4235214153102298</v>
      </c>
      <c r="AEV45">
        <v>0.70263179448837298</v>
      </c>
      <c r="AEW45">
        <v>25.576613505566499</v>
      </c>
      <c r="AEX45">
        <v>24.1721724366482</v>
      </c>
      <c r="AEY45">
        <v>1.7</v>
      </c>
      <c r="AEZ45">
        <v>2.40121491629957</v>
      </c>
      <c r="AFA45">
        <v>0.70502945868196099</v>
      </c>
      <c r="AFB45">
        <v>25.325949035918999</v>
      </c>
      <c r="AFC45">
        <v>23.9949149019996</v>
      </c>
      <c r="AFD45">
        <v>1.7</v>
      </c>
      <c r="AFE45">
        <v>2.5924799150340401</v>
      </c>
      <c r="AFF45">
        <v>0.70532948220054803</v>
      </c>
      <c r="AFG45">
        <v>25.305784344976399</v>
      </c>
      <c r="AFH45">
        <v>23.988550118899798</v>
      </c>
      <c r="AFI45">
        <v>1.7</v>
      </c>
      <c r="AFJ45">
        <v>3.47705273236806</v>
      </c>
      <c r="AFK45">
        <v>0.70520929258203402</v>
      </c>
      <c r="AFL45">
        <v>26.050944573723498</v>
      </c>
      <c r="AFM45">
        <v>24.5132323272035</v>
      </c>
      <c r="AFN45">
        <v>1.7</v>
      </c>
      <c r="AFO45">
        <v>2.5149622450528999</v>
      </c>
      <c r="AFP45">
        <v>0.702768083959323</v>
      </c>
      <c r="AFQ45">
        <v>-0.42418876690070501</v>
      </c>
      <c r="AFR45">
        <v>-0.41611845387866703</v>
      </c>
      <c r="AFS45">
        <v>-0.25091731242006998</v>
      </c>
      <c r="AFT45">
        <v>-0.41990626168315898</v>
      </c>
      <c r="AFU45">
        <v>-0.412441589697157</v>
      </c>
      <c r="AFV45">
        <v>-0.35919868622109002</v>
      </c>
      <c r="AFW45">
        <v>-0.19879634604997401</v>
      </c>
      <c r="AFX45">
        <v>-0.40617818708561998</v>
      </c>
      <c r="AFY45">
        <v>-0.37778039191764301</v>
      </c>
      <c r="AFZ45">
        <v>-0.32374842474427701</v>
      </c>
      <c r="AGA45">
        <v>-0.17239561671079001</v>
      </c>
      <c r="AGB45">
        <v>-0.37392809970797503</v>
      </c>
      <c r="AGC45">
        <v>-0.52570550352629197</v>
      </c>
      <c r="AGD45">
        <v>-0.490869126403018</v>
      </c>
      <c r="AGE45">
        <v>-0.42062778008034901</v>
      </c>
      <c r="AGF45">
        <v>0</v>
      </c>
      <c r="AGG45">
        <v>0</v>
      </c>
      <c r="AGH45">
        <v>0</v>
      </c>
      <c r="AGI45">
        <v>0</v>
      </c>
      <c r="AGJ45">
        <v>0</v>
      </c>
      <c r="AGK45">
        <v>0</v>
      </c>
      <c r="AGL45">
        <v>0</v>
      </c>
      <c r="AGM45">
        <v>0</v>
      </c>
      <c r="AGN45">
        <v>0</v>
      </c>
      <c r="AGO45">
        <v>0</v>
      </c>
      <c r="AGP45">
        <v>0</v>
      </c>
      <c r="AGQ45">
        <v>0</v>
      </c>
      <c r="AGR45">
        <v>0</v>
      </c>
      <c r="AGS45">
        <v>0</v>
      </c>
      <c r="AGT45">
        <v>0</v>
      </c>
      <c r="AGU45">
        <v>0</v>
      </c>
      <c r="AGV45">
        <v>0</v>
      </c>
      <c r="AGW45">
        <v>0</v>
      </c>
      <c r="AGX45">
        <v>0</v>
      </c>
      <c r="AGY45">
        <v>0</v>
      </c>
      <c r="AGZ45">
        <v>0</v>
      </c>
      <c r="AHA45">
        <v>0</v>
      </c>
      <c r="AHB45">
        <v>0</v>
      </c>
      <c r="AHC45">
        <v>0</v>
      </c>
      <c r="AHD45">
        <v>0</v>
      </c>
      <c r="AHE45">
        <v>0</v>
      </c>
      <c r="AHF45">
        <v>0</v>
      </c>
      <c r="AHG45">
        <v>0</v>
      </c>
      <c r="AHH45">
        <v>0</v>
      </c>
      <c r="AHI45">
        <v>0</v>
      </c>
      <c r="AHJ45">
        <v>0</v>
      </c>
      <c r="AHK45">
        <v>0</v>
      </c>
      <c r="AHL45">
        <v>0</v>
      </c>
      <c r="AHM45">
        <v>0</v>
      </c>
      <c r="AHN45">
        <v>0</v>
      </c>
      <c r="AHO45">
        <v>0</v>
      </c>
      <c r="AHP45">
        <v>0</v>
      </c>
      <c r="AHQ45">
        <v>0</v>
      </c>
      <c r="AHR45">
        <v>0</v>
      </c>
      <c r="AHS45">
        <v>0</v>
      </c>
      <c r="AHT45">
        <v>0</v>
      </c>
      <c r="AHU45">
        <v>0</v>
      </c>
      <c r="AHV45">
        <v>0</v>
      </c>
      <c r="AHW45">
        <v>0</v>
      </c>
      <c r="AHX45">
        <v>0</v>
      </c>
      <c r="AHZ45">
        <v>0</v>
      </c>
      <c r="AIB45">
        <v>0</v>
      </c>
      <c r="AID45">
        <v>0</v>
      </c>
      <c r="AIF45">
        <v>0</v>
      </c>
      <c r="AIH45">
        <v>0</v>
      </c>
      <c r="AIJ45">
        <v>0</v>
      </c>
      <c r="AIL45">
        <v>0</v>
      </c>
      <c r="AIN45">
        <v>0</v>
      </c>
      <c r="AIP45">
        <v>0</v>
      </c>
      <c r="AIR45">
        <v>0</v>
      </c>
      <c r="AIT45">
        <v>0</v>
      </c>
      <c r="AIV45">
        <v>0</v>
      </c>
      <c r="AIX45">
        <v>0</v>
      </c>
      <c r="AIZ45">
        <v>0</v>
      </c>
      <c r="AJB45">
        <v>0</v>
      </c>
      <c r="AJC45">
        <v>0</v>
      </c>
      <c r="AJE45">
        <v>215338.741798731</v>
      </c>
      <c r="AJH45">
        <v>4810.5039642071497</v>
      </c>
      <c r="AJJ45">
        <v>183.80401834048999</v>
      </c>
      <c r="AJK45">
        <v>73.161038015838301</v>
      </c>
      <c r="AJL45">
        <v>74.627326192880403</v>
      </c>
      <c r="AJM45">
        <v>239.78474085828</v>
      </c>
      <c r="AJN45">
        <v>101.839685756145</v>
      </c>
      <c r="AJO45">
        <v>82.217879382855699</v>
      </c>
      <c r="AJP45">
        <v>86.581162782861497</v>
      </c>
      <c r="AJQ45">
        <v>232.146488202293</v>
      </c>
      <c r="AJR45">
        <v>116.210202951513</v>
      </c>
      <c r="AJS45">
        <v>33.291993967700598</v>
      </c>
      <c r="AJT45">
        <v>29.492489449916999</v>
      </c>
      <c r="AJU45">
        <v>83.147691708172999</v>
      </c>
      <c r="AJV45">
        <v>43.842609564484299</v>
      </c>
      <c r="AJW45">
        <v>0</v>
      </c>
      <c r="AJX45">
        <v>0</v>
      </c>
      <c r="AJY45">
        <v>0</v>
      </c>
      <c r="AJZ45">
        <v>215338.74181220299</v>
      </c>
      <c r="AKA45">
        <v>0</v>
      </c>
      <c r="AKB45">
        <v>0</v>
      </c>
      <c r="AKC45">
        <v>0</v>
      </c>
      <c r="AKD45">
        <v>0</v>
      </c>
      <c r="AKE45">
        <v>65.56</v>
      </c>
      <c r="AKF45">
        <v>65.56</v>
      </c>
      <c r="AKG45">
        <v>0</v>
      </c>
      <c r="AKH45">
        <v>0</v>
      </c>
      <c r="AKI45">
        <v>0</v>
      </c>
      <c r="AKJ45">
        <v>0</v>
      </c>
      <c r="AKK45">
        <v>0</v>
      </c>
      <c r="AKL45">
        <v>65.56</v>
      </c>
      <c r="AKM45">
        <v>65.56</v>
      </c>
      <c r="AKN45">
        <v>0</v>
      </c>
      <c r="AKO45">
        <v>0</v>
      </c>
      <c r="AKP45">
        <v>0</v>
      </c>
      <c r="AKT45">
        <v>6734795.2483461499</v>
      </c>
      <c r="AKX45">
        <v>6078357.7937538503</v>
      </c>
      <c r="ALB45">
        <v>27.828532511757601</v>
      </c>
      <c r="ALC45">
        <v>23.268534677844301</v>
      </c>
      <c r="ALD45">
        <v>15.7700042216757</v>
      </c>
      <c r="ALE45">
        <v>300588.75368307199</v>
      </c>
      <c r="ALF45">
        <v>3876.01471762034</v>
      </c>
      <c r="ALH45">
        <v>15.2921827855538</v>
      </c>
      <c r="ALI45">
        <v>8.9553809622540202E-3</v>
      </c>
      <c r="ALJ45">
        <v>14.6035036730808</v>
      </c>
      <c r="ALK45">
        <v>26.445470385341199</v>
      </c>
      <c r="ALL45">
        <v>14.6035036730808</v>
      </c>
      <c r="ALM45">
        <v>0</v>
      </c>
      <c r="ALN45">
        <v>25.456746116129299</v>
      </c>
      <c r="ALO45">
        <v>9.4676128806191091E-3</v>
      </c>
      <c r="ALP45">
        <v>46.624104756545002</v>
      </c>
      <c r="ALQ45">
        <v>14.6035036730808</v>
      </c>
      <c r="ALR45">
        <v>15.2921827855538</v>
      </c>
      <c r="ALS45">
        <v>14.6035036730808</v>
      </c>
      <c r="ALT45">
        <v>15.559998305780001</v>
      </c>
      <c r="ALU45">
        <v>14.6035036730808</v>
      </c>
      <c r="ALV45">
        <v>6.7000000002387399</v>
      </c>
      <c r="ALW45">
        <v>2.94244038526354E-3</v>
      </c>
      <c r="ALX45">
        <v>24.208419986317502</v>
      </c>
      <c r="ALY45">
        <v>2.94244038526354E-3</v>
      </c>
      <c r="ALZ45">
        <v>0</v>
      </c>
      <c r="AMA45">
        <v>10.5458689088562</v>
      </c>
      <c r="AMB45">
        <v>1.35E-2</v>
      </c>
      <c r="AMC45">
        <v>10.516031971742001</v>
      </c>
      <c r="AMD45">
        <v>1.35E-2</v>
      </c>
      <c r="AME45">
        <v>6.7</v>
      </c>
      <c r="AMF45">
        <v>1.35E-2</v>
      </c>
      <c r="AMG45">
        <v>1.5769999999999999E-2</v>
      </c>
      <c r="AMH45">
        <v>4.2474999999999996</v>
      </c>
      <c r="AMI45">
        <v>19.730676068863801</v>
      </c>
      <c r="AMJ45">
        <v>0.31171226154432402</v>
      </c>
      <c r="AMK45" s="580">
        <v>17.835758028291899</v>
      </c>
      <c r="AML45">
        <v>1.8736977660565699</v>
      </c>
      <c r="AMM45">
        <v>19.593436745754499</v>
      </c>
      <c r="AMN45">
        <v>0.34410607326173998</v>
      </c>
      <c r="AMO45">
        <v>19.604150165898901</v>
      </c>
      <c r="AMP45">
        <v>0.46997817372643802</v>
      </c>
      <c r="AMQ45">
        <v>19.6185375066175</v>
      </c>
      <c r="AMR45">
        <v>0.53646131068885705</v>
      </c>
      <c r="AMS45">
        <v>18.2931839235161</v>
      </c>
      <c r="AMT45">
        <v>2.2564284053088999</v>
      </c>
      <c r="AMU45">
        <v>20.799598373665201</v>
      </c>
      <c r="AMV45">
        <v>0.5923366092415</v>
      </c>
      <c r="AMW45">
        <v>20.877278592412001</v>
      </c>
      <c r="AMX45">
        <v>0.59455568683996096</v>
      </c>
      <c r="AMY45">
        <v>20.8130392017144</v>
      </c>
      <c r="AMZ45">
        <v>0.86466348652656899</v>
      </c>
      <c r="ANA45">
        <v>20.850018237950302</v>
      </c>
      <c r="ANB45">
        <v>0.929985875286514</v>
      </c>
      <c r="ANC45">
        <v>18.3050763571276</v>
      </c>
      <c r="AND45">
        <v>2.5828985602018002</v>
      </c>
      <c r="ANE45">
        <v>20.808894168528902</v>
      </c>
      <c r="ANF45">
        <v>0.64097666643825602</v>
      </c>
      <c r="ANG45">
        <v>20.874362033493099</v>
      </c>
      <c r="ANH45">
        <v>0.65428263939971099</v>
      </c>
      <c r="ANI45">
        <v>20.814259020194601</v>
      </c>
      <c r="ANJ45">
        <v>0.94722784315923303</v>
      </c>
      <c r="ANK45">
        <v>20.837387969576898</v>
      </c>
      <c r="ANL45">
        <v>1.0041923154004699</v>
      </c>
      <c r="ANM45">
        <v>3.5359555852779301</v>
      </c>
      <c r="ANN45">
        <v>5.2379700632034503</v>
      </c>
      <c r="ANO45">
        <v>5.8295780245994697</v>
      </c>
      <c r="ANP45">
        <v>17.835758028291899</v>
      </c>
      <c r="ANQ45">
        <v>19.5147507100911</v>
      </c>
      <c r="ANR45">
        <v>19.654107741855899</v>
      </c>
      <c r="ANS45">
        <v>19.492554242367099</v>
      </c>
      <c r="ANT45">
        <v>19.528420193850501</v>
      </c>
      <c r="ANU45">
        <v>18.2931839235161</v>
      </c>
      <c r="ANV45">
        <v>20.699142157061601</v>
      </c>
      <c r="ANW45">
        <v>20.775913840118701</v>
      </c>
      <c r="ANX45">
        <v>20.640351161809399</v>
      </c>
      <c r="ANY45">
        <v>20.7174794344606</v>
      </c>
      <c r="ANZ45">
        <v>18.3050763571276</v>
      </c>
      <c r="AOA45">
        <v>20.704582031167799</v>
      </c>
      <c r="AOB45">
        <v>20.767559923869001</v>
      </c>
      <c r="AOC45">
        <v>20.649449389148899</v>
      </c>
      <c r="AOD45">
        <v>20.714710751941201</v>
      </c>
      <c r="AOE45">
        <v>25.456746116129299</v>
      </c>
      <c r="AOF45">
        <v>4.2474999999999996</v>
      </c>
      <c r="AOG45">
        <v>25.491910532017702</v>
      </c>
      <c r="AOH45">
        <v>4.2474999999999996</v>
      </c>
    </row>
    <row r="46" spans="1:1074">
      <c r="A46" t="s">
        <v>2616</v>
      </c>
      <c r="B46">
        <v>26.9665</v>
      </c>
      <c r="D46">
        <v>17.695888802629</v>
      </c>
      <c r="F46">
        <v>9</v>
      </c>
      <c r="G46">
        <v>10945018.5837641</v>
      </c>
      <c r="H46">
        <v>25252376.055390202</v>
      </c>
      <c r="I46">
        <v>6950739.3466344699</v>
      </c>
      <c r="J46">
        <v>16036764.3509151</v>
      </c>
      <c r="K46">
        <v>10945018.5837641</v>
      </c>
      <c r="L46">
        <v>25252376.055390202</v>
      </c>
      <c r="M46">
        <v>6950739.3466344699</v>
      </c>
      <c r="N46">
        <v>16036764.3509151</v>
      </c>
      <c r="O46">
        <v>56445592.898657002</v>
      </c>
      <c r="P46">
        <v>130231422.417206</v>
      </c>
      <c r="Q46">
        <v>10945018.5837641</v>
      </c>
      <c r="R46">
        <v>25252376.055390202</v>
      </c>
      <c r="S46">
        <v>6950739.3466344699</v>
      </c>
      <c r="T46">
        <v>16036764.3509151</v>
      </c>
      <c r="U46">
        <v>10945018.5837641</v>
      </c>
      <c r="V46">
        <v>25252376.055390202</v>
      </c>
      <c r="W46">
        <v>6950739.3466344699</v>
      </c>
      <c r="X46">
        <v>16036764.3509151</v>
      </c>
      <c r="Y46">
        <v>56445592.898657002</v>
      </c>
      <c r="Z46">
        <v>130231422.417206</v>
      </c>
      <c r="AA46">
        <v>10945018.5837641</v>
      </c>
      <c r="AB46">
        <v>25252376.055390202</v>
      </c>
      <c r="AC46">
        <v>6950739.3466344699</v>
      </c>
      <c r="AD46">
        <v>16036764.3509151</v>
      </c>
      <c r="AE46">
        <v>10945018.5837641</v>
      </c>
      <c r="AF46">
        <v>25252376.055390202</v>
      </c>
      <c r="AG46">
        <v>6950739.3466344699</v>
      </c>
      <c r="AH46">
        <v>16036764.3509151</v>
      </c>
      <c r="AI46">
        <v>56445592.898657002</v>
      </c>
      <c r="AJ46">
        <v>130231422.417206</v>
      </c>
      <c r="AK46">
        <v>23.716228502806501</v>
      </c>
      <c r="AL46">
        <v>3956060.4386927001</v>
      </c>
      <c r="AM46">
        <v>10245410.713212401</v>
      </c>
      <c r="AN46">
        <v>23.716228502806501</v>
      </c>
      <c r="AO46">
        <v>3956060.4386927001</v>
      </c>
      <c r="AP46">
        <v>10245410.713212401</v>
      </c>
      <c r="AQ46">
        <v>15.0612190693548</v>
      </c>
      <c r="AR46">
        <v>2512334.2403159901</v>
      </c>
      <c r="AS46">
        <v>6506446.6379612898</v>
      </c>
      <c r="AT46">
        <v>15.0612190693548</v>
      </c>
      <c r="AU46">
        <v>2512334.2403159901</v>
      </c>
      <c r="AV46">
        <v>6506446.6379612898</v>
      </c>
      <c r="AW46">
        <v>23.716228502806501</v>
      </c>
      <c r="AX46">
        <v>3956060.4386927001</v>
      </c>
      <c r="AY46">
        <v>10245410.713212401</v>
      </c>
      <c r="AZ46">
        <v>23.716228502806501</v>
      </c>
      <c r="BA46">
        <v>3956060.4386927001</v>
      </c>
      <c r="BB46">
        <v>10245410.713212401</v>
      </c>
      <c r="BC46">
        <v>15.0612190693548</v>
      </c>
      <c r="BD46">
        <v>2512334.2403159901</v>
      </c>
      <c r="BE46">
        <v>6506446.6379612898</v>
      </c>
      <c r="BF46">
        <v>15.0612190693548</v>
      </c>
      <c r="BG46">
        <v>2512334.2403159901</v>
      </c>
      <c r="BH46">
        <v>6506446.6379612898</v>
      </c>
      <c r="BI46">
        <v>23.716228502806501</v>
      </c>
      <c r="BJ46">
        <v>3956060.4386927001</v>
      </c>
      <c r="BK46">
        <v>10245410.713212401</v>
      </c>
      <c r="BL46">
        <v>23.716228502806501</v>
      </c>
      <c r="BM46">
        <v>3956060.4386927001</v>
      </c>
      <c r="BN46">
        <v>10245410.713212401</v>
      </c>
      <c r="BO46">
        <v>15.0612190693548</v>
      </c>
      <c r="BP46">
        <v>2512334.2403159901</v>
      </c>
      <c r="BQ46">
        <v>6506446.6379612898</v>
      </c>
      <c r="BR46">
        <v>15.0612190693548</v>
      </c>
      <c r="BS46">
        <v>2512334.2403159901</v>
      </c>
      <c r="BT46">
        <v>6506446.6379612898</v>
      </c>
      <c r="BU46">
        <v>52837578.828362301</v>
      </c>
      <c r="BV46">
        <v>122.309210250839</v>
      </c>
      <c r="BW46">
        <v>20402174.312995501</v>
      </c>
      <c r="BX46">
        <v>52837578.828362301</v>
      </c>
      <c r="BY46">
        <v>122.309210250839</v>
      </c>
      <c r="BZ46">
        <v>20402174.312995501</v>
      </c>
      <c r="CA46">
        <v>52837578.828362301</v>
      </c>
      <c r="CB46">
        <v>122.309210250839</v>
      </c>
      <c r="CC46">
        <v>20402174.312995501</v>
      </c>
      <c r="CD46">
        <v>52837578.828362301</v>
      </c>
      <c r="CE46">
        <v>3773179.8574618599</v>
      </c>
      <c r="CF46">
        <v>8575408.7669587694</v>
      </c>
      <c r="CG46">
        <v>3773179.8574618599</v>
      </c>
      <c r="CH46">
        <v>8575408.7669587694</v>
      </c>
      <c r="CI46">
        <v>2396194.1678283801</v>
      </c>
      <c r="CJ46">
        <v>5445895.8359735999</v>
      </c>
      <c r="CK46">
        <v>2396194.1678283801</v>
      </c>
      <c r="CL46">
        <v>5445895.8359735999</v>
      </c>
      <c r="CM46">
        <v>3773179.8574618599</v>
      </c>
      <c r="CN46">
        <v>8575408.7669587694</v>
      </c>
      <c r="CO46">
        <v>3773179.8574618599</v>
      </c>
      <c r="CP46">
        <v>8575408.7669587694</v>
      </c>
      <c r="CQ46">
        <v>2396194.1678283801</v>
      </c>
      <c r="CR46">
        <v>5445895.8359735999</v>
      </c>
      <c r="CS46">
        <v>2396194.1678283801</v>
      </c>
      <c r="CT46">
        <v>5445895.8359735999</v>
      </c>
      <c r="CU46">
        <v>3773179.8574618599</v>
      </c>
      <c r="CV46">
        <v>8575408.7669587694</v>
      </c>
      <c r="CW46">
        <v>3773179.8574618599</v>
      </c>
      <c r="CX46">
        <v>8575408.7669587694</v>
      </c>
      <c r="CY46">
        <v>2396194.1678283801</v>
      </c>
      <c r="CZ46">
        <v>5445895.8359735999</v>
      </c>
      <c r="DA46">
        <v>2396194.1678283801</v>
      </c>
      <c r="DB46">
        <v>5445895.8359735999</v>
      </c>
      <c r="DC46">
        <v>19459023.5309093</v>
      </c>
      <c r="DD46">
        <v>44225053.479339302</v>
      </c>
      <c r="DE46">
        <v>19459023.5309093</v>
      </c>
      <c r="DF46">
        <v>44225053.479339302</v>
      </c>
      <c r="DG46">
        <v>19459023.5309093</v>
      </c>
      <c r="DH46">
        <v>44225053.479339302</v>
      </c>
      <c r="DI46">
        <v>3215778.2876095399</v>
      </c>
      <c r="DJ46">
        <v>6431556.5752190799</v>
      </c>
      <c r="DK46">
        <v>3215778.2876095399</v>
      </c>
      <c r="DL46">
        <v>6431556.5752190799</v>
      </c>
      <c r="DM46">
        <v>2042210.9384901</v>
      </c>
      <c r="DN46">
        <v>4084421.8769801999</v>
      </c>
      <c r="DO46">
        <v>2042210.9384901</v>
      </c>
      <c r="DP46">
        <v>4084421.8769801999</v>
      </c>
      <c r="DQ46">
        <v>3215778.2876095399</v>
      </c>
      <c r="DR46">
        <v>6431556.5752190799</v>
      </c>
      <c r="DS46">
        <v>3215778.2876095399</v>
      </c>
      <c r="DT46">
        <v>6431556.5752190799</v>
      </c>
      <c r="DU46">
        <v>2042210.9384901</v>
      </c>
      <c r="DV46">
        <v>4084421.8769801999</v>
      </c>
      <c r="DW46">
        <v>2042210.9384901</v>
      </c>
      <c r="DX46">
        <v>4084421.8769801999</v>
      </c>
      <c r="DY46">
        <v>3215778.2876095399</v>
      </c>
      <c r="DZ46">
        <v>6431556.5752190799</v>
      </c>
      <c r="EA46">
        <v>3215778.2876095399</v>
      </c>
      <c r="EB46">
        <v>6431556.5752190799</v>
      </c>
      <c r="EC46">
        <v>2042210.9384901</v>
      </c>
      <c r="ED46">
        <v>4084421.8769801999</v>
      </c>
      <c r="EE46">
        <v>2042210.9384901</v>
      </c>
      <c r="EF46">
        <v>4084421.8769801999</v>
      </c>
      <c r="EG46">
        <v>16584395.054752201</v>
      </c>
      <c r="EH46">
        <v>33168790.109504402</v>
      </c>
      <c r="EI46">
        <v>16584395.054752201</v>
      </c>
      <c r="EJ46">
        <v>33168790.109504402</v>
      </c>
      <c r="EK46">
        <v>16584395.054752201</v>
      </c>
      <c r="EL46">
        <v>33168790.109504402</v>
      </c>
      <c r="EM46">
        <v>123.48738932133899</v>
      </c>
      <c r="EN46">
        <v>84.027871914135204</v>
      </c>
      <c r="EO46">
        <v>174.44003420289101</v>
      </c>
      <c r="EP46">
        <v>62.882227603145303</v>
      </c>
      <c r="EQ46">
        <v>0</v>
      </c>
      <c r="ER46">
        <v>134.81060137890199</v>
      </c>
      <c r="ES46">
        <v>82.327895201019601</v>
      </c>
      <c r="ET46">
        <v>183.95498418482501</v>
      </c>
      <c r="EU46">
        <v>0</v>
      </c>
      <c r="EV46">
        <v>85.258201089852506</v>
      </c>
      <c r="EW46">
        <v>0</v>
      </c>
      <c r="EX46">
        <v>119.97241755581</v>
      </c>
      <c r="EY46">
        <v>0</v>
      </c>
      <c r="EZ46">
        <v>73.9957648245001</v>
      </c>
      <c r="FA46">
        <v>171.303608749159</v>
      </c>
      <c r="FB46">
        <v>0</v>
      </c>
      <c r="FC46">
        <v>76.834437956862701</v>
      </c>
      <c r="FD46">
        <v>0</v>
      </c>
      <c r="FE46">
        <v>0</v>
      </c>
      <c r="FF46">
        <v>0</v>
      </c>
      <c r="FG46">
        <v>0</v>
      </c>
      <c r="FH46">
        <v>0</v>
      </c>
      <c r="FI46">
        <v>0</v>
      </c>
      <c r="FJ46">
        <v>0</v>
      </c>
      <c r="FK46">
        <v>0</v>
      </c>
      <c r="FL46">
        <v>0</v>
      </c>
      <c r="FM46">
        <v>0</v>
      </c>
      <c r="FN46">
        <v>0</v>
      </c>
      <c r="FO46">
        <v>0</v>
      </c>
      <c r="FP46">
        <v>0</v>
      </c>
      <c r="FQ46">
        <v>0</v>
      </c>
      <c r="FR46">
        <v>0</v>
      </c>
      <c r="FS46">
        <v>76.834437956862701</v>
      </c>
      <c r="FT46">
        <v>0</v>
      </c>
      <c r="FU46">
        <v>0</v>
      </c>
      <c r="FV46">
        <v>0</v>
      </c>
      <c r="FW46">
        <v>0</v>
      </c>
      <c r="FX46">
        <v>0</v>
      </c>
      <c r="FY46">
        <v>0</v>
      </c>
      <c r="FZ46">
        <v>0</v>
      </c>
      <c r="GA46">
        <v>0</v>
      </c>
      <c r="GB46">
        <v>147.495527524251</v>
      </c>
      <c r="GC46">
        <v>40.5648895617718</v>
      </c>
      <c r="GD46">
        <v>-94.521031744917593</v>
      </c>
      <c r="GE46">
        <v>103.73814174714499</v>
      </c>
      <c r="GF46">
        <v>46.227299051322198</v>
      </c>
      <c r="GG46">
        <v>-12.579937772554301</v>
      </c>
      <c r="GH46">
        <v>154.99209979991099</v>
      </c>
      <c r="GI46">
        <v>69.379434245466399</v>
      </c>
      <c r="GJ46">
        <v>-21.793032033315502</v>
      </c>
      <c r="GK46">
        <v>207.79205209790399</v>
      </c>
      <c r="GL46">
        <v>46.556176018791803</v>
      </c>
      <c r="GM46">
        <v>-44.476015085983299</v>
      </c>
      <c r="GN46">
        <v>14.037884715746999</v>
      </c>
      <c r="GO46">
        <v>25.408352911404901</v>
      </c>
      <c r="GP46">
        <v>25.760533686481601</v>
      </c>
      <c r="GQ46">
        <v>-41.846246937942901</v>
      </c>
      <c r="GR46">
        <v>-273.52117325850901</v>
      </c>
      <c r="GS46">
        <v>-875.63852964873502</v>
      </c>
      <c r="GT46">
        <v>5.0139201058511498</v>
      </c>
      <c r="GU46">
        <v>25.369321744391701</v>
      </c>
      <c r="GV46">
        <v>25.648382462660699</v>
      </c>
      <c r="GW46">
        <v>-15.7806909890335</v>
      </c>
      <c r="GX46">
        <v>-115.775532570677</v>
      </c>
      <c r="GY46">
        <v>-404.001093698766</v>
      </c>
      <c r="GZ46">
        <v>4.7055557174933398</v>
      </c>
      <c r="HA46">
        <v>25.297890696732399</v>
      </c>
      <c r="HB46">
        <v>25.622773832566502</v>
      </c>
      <c r="HC46">
        <v>-28.511924860705701</v>
      </c>
      <c r="HD46">
        <v>-210.33892353838701</v>
      </c>
      <c r="HE46">
        <v>-710.99092046952399</v>
      </c>
      <c r="HF46">
        <v>30.1428404925778</v>
      </c>
      <c r="HG46">
        <v>25.931277250153499</v>
      </c>
      <c r="HH46">
        <v>26.300399675398801</v>
      </c>
      <c r="HI46">
        <v>-29.744056113623898</v>
      </c>
      <c r="HJ46">
        <v>-213.716242797874</v>
      </c>
      <c r="HK46">
        <v>-699.27746274511298</v>
      </c>
      <c r="HL46">
        <v>259.51782784891202</v>
      </c>
      <c r="HM46">
        <v>25.8518087485586</v>
      </c>
      <c r="HN46">
        <v>25.683483420290202</v>
      </c>
      <c r="HO46">
        <v>195.25617475918099</v>
      </c>
      <c r="HP46">
        <v>228.715044103331</v>
      </c>
      <c r="HQ46">
        <v>25.891327832440901</v>
      </c>
      <c r="HR46">
        <v>82.743986800429695</v>
      </c>
      <c r="HS46">
        <v>139.96993048579</v>
      </c>
      <c r="HT46">
        <v>25.819753400061501</v>
      </c>
      <c r="HU46">
        <v>25.705027634457</v>
      </c>
      <c r="HV46">
        <v>121.335240658231</v>
      </c>
      <c r="HW46">
        <v>140.340775579412</v>
      </c>
      <c r="HX46">
        <v>25.8267717404112</v>
      </c>
      <c r="HY46">
        <v>56.1543964282681</v>
      </c>
      <c r="HZ46">
        <v>25.782910431997301</v>
      </c>
      <c r="IA46">
        <v>25.686934601839599</v>
      </c>
      <c r="IB46">
        <v>196.870181991517</v>
      </c>
      <c r="IC46">
        <v>207.260566579558</v>
      </c>
      <c r="ID46">
        <v>198.80999396529501</v>
      </c>
      <c r="IE46">
        <v>25.781029795986498</v>
      </c>
      <c r="IF46">
        <v>83.156763603550104</v>
      </c>
      <c r="IG46">
        <v>37.085459411729197</v>
      </c>
      <c r="IH46">
        <v>26.1449465856677</v>
      </c>
      <c r="II46">
        <v>25.8445495936413</v>
      </c>
      <c r="IJ46">
        <v>133.81543254562399</v>
      </c>
      <c r="IK46">
        <v>36.039441369025603</v>
      </c>
      <c r="IL46">
        <v>286.06584047566702</v>
      </c>
      <c r="IM46">
        <v>237.090243021807</v>
      </c>
      <c r="IN46">
        <v>26.349427091933599</v>
      </c>
      <c r="IO46">
        <v>0.80132275214700199</v>
      </c>
      <c r="IP46">
        <v>87.179540356019203</v>
      </c>
      <c r="IQ46">
        <v>180.77492936858999</v>
      </c>
      <c r="IR46">
        <v>110.20650910918</v>
      </c>
      <c r="IS46">
        <v>180.636598661336</v>
      </c>
      <c r="IT46">
        <v>130.621370153405</v>
      </c>
      <c r="IU46">
        <v>-6.5410678921093304</v>
      </c>
      <c r="IV46">
        <v>33.340858233182999</v>
      </c>
      <c r="IW46">
        <v>25.4416378708735</v>
      </c>
      <c r="IX46">
        <v>25.891327832440901</v>
      </c>
      <c r="IY46">
        <v>6.3166169590563603</v>
      </c>
      <c r="IZ46">
        <v>-138.77466266656899</v>
      </c>
      <c r="JA46">
        <v>-783.87257868545601</v>
      </c>
      <c r="JB46">
        <v>14.532529636894401</v>
      </c>
      <c r="JC46">
        <v>25.4062779673908</v>
      </c>
      <c r="JD46">
        <v>25.8267717404112</v>
      </c>
      <c r="JE46">
        <v>14.983383749600099</v>
      </c>
      <c r="JF46">
        <v>-48.1894170219771</v>
      </c>
      <c r="JG46">
        <v>-374.84212264660999</v>
      </c>
      <c r="JH46">
        <v>17.950929552818</v>
      </c>
      <c r="JI46">
        <v>25.319437257824902</v>
      </c>
      <c r="JJ46">
        <v>25.781029795986498</v>
      </c>
      <c r="JK46">
        <v>16.9948289295859</v>
      </c>
      <c r="JL46">
        <v>-99.877173931093196</v>
      </c>
      <c r="JM46">
        <v>-662.58456732331001</v>
      </c>
      <c r="JN46">
        <v>52.166113874348902</v>
      </c>
      <c r="JO46">
        <v>25.917269419587701</v>
      </c>
      <c r="JP46">
        <v>26.349427091933599</v>
      </c>
      <c r="JQ46">
        <v>0.84923354704660903</v>
      </c>
      <c r="JR46">
        <v>14.540115071901401</v>
      </c>
      <c r="JS46">
        <v>1.1435064353909301</v>
      </c>
      <c r="JT46">
        <v>-85.529617654637207</v>
      </c>
      <c r="JU46">
        <v>-561.04594392251295</v>
      </c>
      <c r="JV46">
        <v>288.62293685286897</v>
      </c>
      <c r="JW46">
        <v>285.61158164332898</v>
      </c>
      <c r="JX46">
        <v>174.329386009812</v>
      </c>
      <c r="JY46">
        <v>155.90571792490601</v>
      </c>
      <c r="JZ46">
        <v>172.59457557933499</v>
      </c>
      <c r="KA46">
        <v>103.018821260449</v>
      </c>
      <c r="KB46">
        <v>232.258159065543</v>
      </c>
      <c r="KC46">
        <v>255.63723029924</v>
      </c>
      <c r="KD46">
        <v>162.610965735452</v>
      </c>
      <c r="KE46">
        <v>302.58626359146001</v>
      </c>
      <c r="KF46">
        <v>25.876933912967001</v>
      </c>
      <c r="KG46">
        <v>117.24801008448399</v>
      </c>
      <c r="KH46">
        <v>1.2122041764688001</v>
      </c>
      <c r="KI46">
        <v>270.69172117177698</v>
      </c>
      <c r="KJ46">
        <v>154.384614103281</v>
      </c>
      <c r="KK46">
        <v>78.011053236272303</v>
      </c>
      <c r="KL46">
        <v>26.238260988763798</v>
      </c>
      <c r="KM46">
        <v>26.318706717570901</v>
      </c>
      <c r="KN46">
        <v>119.55060147826001</v>
      </c>
      <c r="KO46">
        <v>26.1228571017616</v>
      </c>
      <c r="KP46">
        <v>21.1848420930198</v>
      </c>
      <c r="KQ46">
        <v>42.085176120685702</v>
      </c>
      <c r="KR46">
        <v>-156.53112964419401</v>
      </c>
      <c r="KS46">
        <v>38.500294082783597</v>
      </c>
      <c r="KT46">
        <v>26.046149674238201</v>
      </c>
      <c r="KU46">
        <v>26.1776637706513</v>
      </c>
      <c r="KV46">
        <v>77.049353781457995</v>
      </c>
      <c r="KW46">
        <v>25.916193821189001</v>
      </c>
      <c r="KX46">
        <v>21.2585177448561</v>
      </c>
      <c r="KY46">
        <v>26.2121880751037</v>
      </c>
      <c r="KZ46">
        <v>-95.465601699905605</v>
      </c>
      <c r="LA46">
        <v>55.550686022851998</v>
      </c>
      <c r="LB46">
        <v>26.0293648708255</v>
      </c>
      <c r="LC46">
        <v>26.170091821967599</v>
      </c>
      <c r="LD46">
        <v>121.31053791524801</v>
      </c>
      <c r="LE46">
        <v>25.894597092996001</v>
      </c>
      <c r="LF46">
        <v>21.179364719025202</v>
      </c>
      <c r="LG46">
        <v>40.553577721959897</v>
      </c>
      <c r="LH46">
        <v>-153.00132151982501</v>
      </c>
      <c r="LI46">
        <v>89.504319998151402</v>
      </c>
      <c r="LJ46">
        <v>26.784800848298499</v>
      </c>
      <c r="LK46">
        <v>26.7956718729126</v>
      </c>
      <c r="LL46">
        <v>108.98735734890001</v>
      </c>
      <c r="LM46">
        <v>26.711924402839799</v>
      </c>
      <c r="LN46">
        <v>21.589978392939599</v>
      </c>
      <c r="LO46">
        <v>46.821135823524699</v>
      </c>
      <c r="LP46">
        <v>-72.805161089732096</v>
      </c>
      <c r="LQ46">
        <v>72.450857096111505</v>
      </c>
      <c r="LR46">
        <v>19.993414235671398</v>
      </c>
      <c r="LS46">
        <v>16.420999999999999</v>
      </c>
      <c r="LT46">
        <v>164.37093698208</v>
      </c>
      <c r="LU46">
        <v>-1436.2861284716901</v>
      </c>
      <c r="LV46">
        <v>21.580913733217699</v>
      </c>
      <c r="LW46">
        <v>24.477755194563599</v>
      </c>
      <c r="LX46">
        <v>757.38364080331996</v>
      </c>
      <c r="LY46">
        <v>42.296401304542798</v>
      </c>
      <c r="LZ46">
        <v>20.0448996452001</v>
      </c>
      <c r="MA46">
        <v>16.420999999999999</v>
      </c>
      <c r="MB46">
        <v>138.07436069292501</v>
      </c>
      <c r="MC46">
        <v>-836.99738208442898</v>
      </c>
      <c r="MD46">
        <v>21.588985234146001</v>
      </c>
      <c r="ME46">
        <v>24.4135841879936</v>
      </c>
      <c r="MF46">
        <v>503.95765382698698</v>
      </c>
      <c r="MG46">
        <v>61.823148493022202</v>
      </c>
      <c r="MH46">
        <v>19.995775806681198</v>
      </c>
      <c r="MI46">
        <v>16.420999999999999</v>
      </c>
      <c r="MJ46">
        <v>206.94255299171201</v>
      </c>
      <c r="MK46">
        <v>-1346.7100107935701</v>
      </c>
      <c r="ML46">
        <v>21.554724187713699</v>
      </c>
      <c r="MM46">
        <v>24.396802673324299</v>
      </c>
      <c r="MN46">
        <v>788.78373295928498</v>
      </c>
      <c r="MO46">
        <v>68.889760565774793</v>
      </c>
      <c r="MP46">
        <v>20.1152247873883</v>
      </c>
      <c r="MQ46">
        <v>16.420999999999999</v>
      </c>
      <c r="MR46">
        <v>112.285374362985</v>
      </c>
      <c r="MS46">
        <v>-1049.25018741503</v>
      </c>
      <c r="MT46">
        <v>21.910641065757599</v>
      </c>
      <c r="MU46">
        <v>24.986831290774301</v>
      </c>
      <c r="MV46">
        <v>538.24521476757195</v>
      </c>
      <c r="MW46">
        <v>111.905779972424</v>
      </c>
      <c r="MX46">
        <v>23.0848819818988</v>
      </c>
      <c r="MY46">
        <v>24.902330438803499</v>
      </c>
      <c r="MZ46">
        <v>1231.0607701742599</v>
      </c>
      <c r="NA46">
        <v>961.89191543746404</v>
      </c>
      <c r="NB46">
        <v>23.398557054028299</v>
      </c>
      <c r="NC46">
        <v>25.209804577619</v>
      </c>
      <c r="ND46">
        <v>1169.6098597351699</v>
      </c>
      <c r="NE46">
        <v>66.675045436169995</v>
      </c>
      <c r="NF46">
        <v>23.1694298419891</v>
      </c>
      <c r="NG46">
        <v>24.9758728145524</v>
      </c>
      <c r="NH46">
        <v>810.70422923473802</v>
      </c>
      <c r="NI46">
        <v>714.82130321553802</v>
      </c>
      <c r="NJ46">
        <v>23.3859252789407</v>
      </c>
      <c r="NK46">
        <v>25.155078678667401</v>
      </c>
      <c r="NL46">
        <v>741.19288101517304</v>
      </c>
      <c r="NM46">
        <v>96.561709177248602</v>
      </c>
      <c r="NN46">
        <v>23.051658276539801</v>
      </c>
      <c r="NO46">
        <v>24.858562698735199</v>
      </c>
      <c r="NP46">
        <v>1241.54818545544</v>
      </c>
      <c r="NQ46">
        <v>1047.61270603608</v>
      </c>
      <c r="NR46">
        <v>23.3059011985438</v>
      </c>
      <c r="NS46">
        <v>25.116244998559601</v>
      </c>
      <c r="NT46">
        <v>1153.4567518714</v>
      </c>
      <c r="NU46">
        <v>96.067200662167394</v>
      </c>
      <c r="NV46">
        <v>23.290482866017701</v>
      </c>
      <c r="NW46">
        <v>25.318974353770699</v>
      </c>
      <c r="NX46">
        <v>2.26021874840673</v>
      </c>
      <c r="NY46">
        <v>848.11540725577197</v>
      </c>
      <c r="NZ46">
        <v>583.75464308675896</v>
      </c>
      <c r="OA46">
        <v>23.7418668706723</v>
      </c>
      <c r="OB46">
        <v>25.625718914712301</v>
      </c>
      <c r="OC46">
        <v>1.90526085268547</v>
      </c>
      <c r="OD46">
        <v>835.467120165251</v>
      </c>
      <c r="OE46">
        <v>2.26021874840673</v>
      </c>
      <c r="OF46">
        <v>1.90526085268547</v>
      </c>
      <c r="OG46">
        <v>108.877481637195</v>
      </c>
      <c r="OH46">
        <v>23.033280630989498</v>
      </c>
      <c r="OI46">
        <v>24.883742382449</v>
      </c>
      <c r="OJ46">
        <v>1288.3084437856501</v>
      </c>
      <c r="OK46">
        <v>1008.14713546422</v>
      </c>
      <c r="OL46">
        <v>23.355690574470099</v>
      </c>
      <c r="OM46">
        <v>25.328236106741699</v>
      </c>
      <c r="ON46">
        <v>1287.4675426265501</v>
      </c>
      <c r="OO46">
        <v>64.674684642143802</v>
      </c>
      <c r="OP46">
        <v>23.116024089998401</v>
      </c>
      <c r="OQ46">
        <v>24.9399337531549</v>
      </c>
      <c r="OR46">
        <v>845.67756900579195</v>
      </c>
      <c r="OS46">
        <v>742.49493791464602</v>
      </c>
      <c r="OT46">
        <v>23.340962596122999</v>
      </c>
      <c r="OU46">
        <v>25.254953451203701</v>
      </c>
      <c r="OV46">
        <v>812.60785815788904</v>
      </c>
      <c r="OW46">
        <v>93.446855577428906</v>
      </c>
      <c r="OX46">
        <v>22.998094704887301</v>
      </c>
      <c r="OY46">
        <v>24.8078223724462</v>
      </c>
      <c r="OZ46">
        <v>1291.5686660286999</v>
      </c>
      <c r="PA46">
        <v>1080.19617433844</v>
      </c>
      <c r="PB46">
        <v>23.266793142339999</v>
      </c>
      <c r="PC46">
        <v>25.228038687601899</v>
      </c>
      <c r="PD46">
        <v>1264.9383401897001</v>
      </c>
      <c r="PE46">
        <v>92.684690529910995</v>
      </c>
      <c r="PF46">
        <v>23.2517628174561</v>
      </c>
      <c r="PG46">
        <v>25.305212323425099</v>
      </c>
      <c r="PH46">
        <v>2.4308647954885001</v>
      </c>
      <c r="PI46">
        <v>889.46274541312698</v>
      </c>
      <c r="PJ46">
        <v>632.15373510914003</v>
      </c>
      <c r="PK46">
        <v>23.691414936294802</v>
      </c>
      <c r="PL46">
        <v>25.7391526965041</v>
      </c>
      <c r="PM46">
        <v>2.1416742939651501</v>
      </c>
      <c r="PN46">
        <v>915.71691571129304</v>
      </c>
      <c r="PO46">
        <v>25.463614478081201</v>
      </c>
      <c r="PP46">
        <v>25.3824207457161</v>
      </c>
      <c r="PQ46">
        <v>25.358976959116799</v>
      </c>
      <c r="PR46">
        <v>26.047179532648201</v>
      </c>
      <c r="PS46">
        <v>24.784019929809698</v>
      </c>
      <c r="PT46">
        <v>25.7653551266181</v>
      </c>
      <c r="PU46">
        <v>25.7186470624262</v>
      </c>
      <c r="PV46">
        <v>25.676189082997102</v>
      </c>
      <c r="PW46">
        <v>26.247480136290498</v>
      </c>
      <c r="PX46">
        <v>25.147640611919702</v>
      </c>
      <c r="PY46">
        <v>25.9938780069023</v>
      </c>
      <c r="PZ46">
        <v>25.911584564234101</v>
      </c>
      <c r="QA46">
        <v>25.888815533543401</v>
      </c>
      <c r="QB46">
        <v>26.467991284412701</v>
      </c>
      <c r="QC46">
        <v>25.604989804779599</v>
      </c>
      <c r="QD46">
        <v>21.770356805517</v>
      </c>
      <c r="QE46">
        <v>25.670676295143998</v>
      </c>
      <c r="QF46">
        <v>25.375176253640401</v>
      </c>
      <c r="QG46">
        <v>25.368988313080401</v>
      </c>
      <c r="QH46">
        <v>26.088297249143601</v>
      </c>
      <c r="QI46">
        <v>24.936309164730702</v>
      </c>
      <c r="QJ46">
        <v>25.400833050891901</v>
      </c>
      <c r="QK46">
        <v>25.363349238137001</v>
      </c>
      <c r="QL46">
        <v>25.337703032935199</v>
      </c>
      <c r="QM46">
        <v>25.732299872122901</v>
      </c>
      <c r="QN46">
        <v>1378.9743609202999</v>
      </c>
      <c r="QO46">
        <v>25.030260230264101</v>
      </c>
      <c r="QP46">
        <v>2609.1392321445301</v>
      </c>
      <c r="QQ46">
        <v>25.5340383440995</v>
      </c>
      <c r="QR46">
        <v>25.474120666947702</v>
      </c>
      <c r="QS46">
        <v>25.462337608542398</v>
      </c>
      <c r="QT46">
        <v>25.858379689472802</v>
      </c>
      <c r="QU46">
        <v>25.204770514423899</v>
      </c>
      <c r="QV46">
        <v>18.2579050616323</v>
      </c>
      <c r="QW46">
        <v>0</v>
      </c>
      <c r="QX46">
        <v>30526.172708578299</v>
      </c>
      <c r="QY46">
        <v>0</v>
      </c>
      <c r="QZ46">
        <v>20282.2393057056</v>
      </c>
      <c r="RA46">
        <v>0</v>
      </c>
      <c r="RB46">
        <v>35466.717785929897</v>
      </c>
      <c r="RC46">
        <v>0</v>
      </c>
      <c r="RD46">
        <v>23465.548747150198</v>
      </c>
      <c r="RE46">
        <v>453.82922070320899</v>
      </c>
      <c r="RF46">
        <v>8055.4302898323003</v>
      </c>
      <c r="RG46">
        <v>404.203631775644</v>
      </c>
      <c r="RH46">
        <v>5027.6296765384895</v>
      </c>
      <c r="RI46">
        <v>0</v>
      </c>
      <c r="RJ46">
        <v>3944.2336874217999</v>
      </c>
      <c r="RK46">
        <v>25.877738112206799</v>
      </c>
      <c r="RL46">
        <v>-4001.3062109882299</v>
      </c>
      <c r="RM46">
        <v>-12319.349128427901</v>
      </c>
      <c r="RN46">
        <v>-4001.3062109882299</v>
      </c>
      <c r="RO46">
        <v>0</v>
      </c>
      <c r="RP46">
        <v>2680.62332164091</v>
      </c>
      <c r="RQ46">
        <v>25.367931761564801</v>
      </c>
      <c r="RR46">
        <v>-2701.0873853970302</v>
      </c>
      <c r="RS46">
        <v>-8281.6266648497403</v>
      </c>
      <c r="RT46">
        <v>-2701.0873853970302</v>
      </c>
      <c r="RU46">
        <v>0</v>
      </c>
      <c r="RV46">
        <v>4165.3876183635803</v>
      </c>
      <c r="RW46">
        <v>25.3789996670439</v>
      </c>
      <c r="RX46">
        <v>-4203.8721554071499</v>
      </c>
      <c r="RY46">
        <v>-12973.2451885337</v>
      </c>
      <c r="RZ46">
        <v>-4203.8721554071499</v>
      </c>
      <c r="SA46">
        <v>0</v>
      </c>
      <c r="SB46">
        <v>2903.41188157542</v>
      </c>
      <c r="SC46">
        <v>26.129414965639</v>
      </c>
      <c r="SD46">
        <v>-2993.8230452603502</v>
      </c>
      <c r="SE46">
        <v>-8286.5222890680598</v>
      </c>
      <c r="SF46">
        <v>-2993.8230452603502</v>
      </c>
      <c r="SG46">
        <v>0</v>
      </c>
      <c r="SH46">
        <v>17424.633502035002</v>
      </c>
      <c r="SI46">
        <v>25.088598399651602</v>
      </c>
      <c r="SJ46">
        <v>-17495.9490421392</v>
      </c>
      <c r="SK46">
        <v>-39486.9514269723</v>
      </c>
      <c r="SL46">
        <v>-17495.9490421392</v>
      </c>
      <c r="SM46">
        <v>21.1111</v>
      </c>
      <c r="SN46">
        <v>23.8889</v>
      </c>
      <c r="SO46">
        <v>295.55187079528997</v>
      </c>
      <c r="SP46">
        <v>0</v>
      </c>
      <c r="SQ46">
        <v>25.724121333722099</v>
      </c>
      <c r="SR46">
        <v>0</v>
      </c>
      <c r="SS46">
        <v>0</v>
      </c>
      <c r="ST46">
        <v>0</v>
      </c>
      <c r="SU46">
        <v>115.197607257896</v>
      </c>
      <c r="SV46">
        <v>0</v>
      </c>
      <c r="SW46">
        <v>25.560156519563801</v>
      </c>
      <c r="SX46">
        <v>0</v>
      </c>
      <c r="SY46">
        <v>0</v>
      </c>
      <c r="SZ46">
        <v>0</v>
      </c>
      <c r="TA46">
        <v>213.21512157190801</v>
      </c>
      <c r="TB46">
        <v>0</v>
      </c>
      <c r="TC46">
        <v>25.513784506307001</v>
      </c>
      <c r="TD46">
        <v>0</v>
      </c>
      <c r="TE46">
        <v>0</v>
      </c>
      <c r="TF46">
        <v>0</v>
      </c>
      <c r="TG46">
        <v>184.61958719504099</v>
      </c>
      <c r="TH46">
        <v>0</v>
      </c>
      <c r="TI46">
        <v>26.2178294783489</v>
      </c>
      <c r="TJ46">
        <v>0</v>
      </c>
      <c r="TK46">
        <v>0</v>
      </c>
      <c r="TL46">
        <v>0</v>
      </c>
      <c r="TM46">
        <v>2380.1563967575398</v>
      </c>
      <c r="TN46">
        <v>0</v>
      </c>
      <c r="TO46">
        <v>25.0619335401644</v>
      </c>
      <c r="TP46">
        <v>0</v>
      </c>
      <c r="TQ46">
        <v>0</v>
      </c>
      <c r="TR46">
        <v>0</v>
      </c>
      <c r="TS46">
        <v>0</v>
      </c>
      <c r="TT46">
        <v>4938.01728551633</v>
      </c>
      <c r="TU46">
        <v>25.036310975165598</v>
      </c>
      <c r="TV46">
        <v>-5008.5713993930303</v>
      </c>
      <c r="TW46">
        <v>-13793.669939478499</v>
      </c>
      <c r="TX46">
        <v>-5008.5713993930303</v>
      </c>
      <c r="TY46">
        <v>0</v>
      </c>
      <c r="TZ46">
        <v>3139.6803377661099</v>
      </c>
      <c r="UA46">
        <v>25.008051413847902</v>
      </c>
      <c r="UB46">
        <v>-3143.93833443221</v>
      </c>
      <c r="UC46">
        <v>-8663.3964731192409</v>
      </c>
      <c r="UD46">
        <v>-3143.93833443221</v>
      </c>
      <c r="UE46">
        <v>0</v>
      </c>
      <c r="UF46">
        <v>4840.4617637425699</v>
      </c>
      <c r="UG46">
        <v>24.9992169828733</v>
      </c>
      <c r="UH46">
        <v>-4845.71088422503</v>
      </c>
      <c r="UI46">
        <v>-13517.160029632099</v>
      </c>
      <c r="UJ46">
        <v>-4845.71088422503</v>
      </c>
      <c r="UK46">
        <v>0</v>
      </c>
      <c r="UL46">
        <v>3627.40080862384</v>
      </c>
      <c r="UM46">
        <v>25.217119607955201</v>
      </c>
      <c r="UN46">
        <v>-3732.7530497579</v>
      </c>
      <c r="UO46">
        <v>-9260.7370985836205</v>
      </c>
      <c r="UP46">
        <v>-3732.7530497579</v>
      </c>
      <c r="UQ46">
        <v>0</v>
      </c>
      <c r="UR46">
        <v>19405.0927055867</v>
      </c>
      <c r="US46">
        <v>24.912879848608501</v>
      </c>
      <c r="UT46">
        <v>-19467.348768630101</v>
      </c>
      <c r="UU46">
        <v>-41781.842671551298</v>
      </c>
      <c r="UV46">
        <v>-19467.348768630101</v>
      </c>
      <c r="UW46">
        <v>21.1111</v>
      </c>
      <c r="UX46">
        <v>23.8889</v>
      </c>
      <c r="UY46">
        <v>50.513382338941497</v>
      </c>
      <c r="UZ46">
        <v>0</v>
      </c>
      <c r="VA46">
        <v>25.328513730400999</v>
      </c>
      <c r="VB46">
        <v>0</v>
      </c>
      <c r="VC46">
        <v>0</v>
      </c>
      <c r="VD46">
        <v>0</v>
      </c>
      <c r="VE46">
        <v>10.407130835486001</v>
      </c>
      <c r="VF46">
        <v>0.74927221292909996</v>
      </c>
      <c r="VG46">
        <v>25.253501428969798</v>
      </c>
      <c r="VH46">
        <v>0</v>
      </c>
      <c r="VI46">
        <v>0</v>
      </c>
      <c r="VJ46">
        <v>0</v>
      </c>
      <c r="VK46">
        <v>52.500538037622398</v>
      </c>
      <c r="VL46">
        <v>0</v>
      </c>
      <c r="VM46">
        <v>25.1980465490571</v>
      </c>
      <c r="VN46">
        <v>0</v>
      </c>
      <c r="VO46">
        <v>0</v>
      </c>
      <c r="VP46">
        <v>0</v>
      </c>
      <c r="VQ46">
        <v>0</v>
      </c>
      <c r="VR46">
        <v>55.909559890544202</v>
      </c>
      <c r="VS46">
        <v>25.646894980741202</v>
      </c>
      <c r="VT46">
        <v>0</v>
      </c>
      <c r="VU46">
        <v>0</v>
      </c>
      <c r="VV46">
        <v>0</v>
      </c>
      <c r="VW46">
        <v>1948.4451250186601</v>
      </c>
      <c r="VX46">
        <v>0</v>
      </c>
      <c r="VY46">
        <v>25.06525505926</v>
      </c>
      <c r="VZ46">
        <v>0</v>
      </c>
      <c r="WA46">
        <v>0</v>
      </c>
      <c r="WB46">
        <v>0</v>
      </c>
      <c r="WC46">
        <v>0</v>
      </c>
      <c r="WD46">
        <v>5261.7004231355404</v>
      </c>
      <c r="WE46">
        <v>25.074198681296799</v>
      </c>
      <c r="WF46">
        <v>-5327.5330992240097</v>
      </c>
      <c r="WG46">
        <v>-14027.535666203499</v>
      </c>
      <c r="WH46">
        <v>-5327.5330992240097</v>
      </c>
      <c r="WI46">
        <v>11959812.833089299</v>
      </c>
      <c r="WJ46">
        <v>0</v>
      </c>
      <c r="WK46">
        <v>3322.1702314137101</v>
      </c>
      <c r="WL46">
        <v>25.036656769661199</v>
      </c>
      <c r="WM46">
        <v>-3328.1435712479902</v>
      </c>
      <c r="WN46">
        <v>-8811.4725852065803</v>
      </c>
      <c r="WO46">
        <v>-3328.1435712479902</v>
      </c>
      <c r="WP46">
        <v>18.333300000000001</v>
      </c>
      <c r="WQ46">
        <v>23.8889</v>
      </c>
      <c r="WR46">
        <v>0</v>
      </c>
      <c r="WS46">
        <v>5142.9956807065601</v>
      </c>
      <c r="WT46">
        <v>25.0358596835414</v>
      </c>
      <c r="WU46">
        <v>-5150.9608308348697</v>
      </c>
      <c r="WV46">
        <v>-13763.413063067799</v>
      </c>
      <c r="WW46">
        <v>-5150.9608308348697</v>
      </c>
      <c r="WX46">
        <v>13816997.860227499</v>
      </c>
      <c r="WY46">
        <v>0</v>
      </c>
      <c r="WZ46">
        <v>3838.0549611742999</v>
      </c>
      <c r="XA46">
        <v>25.248768094532998</v>
      </c>
      <c r="XB46">
        <v>-3938.92918421169</v>
      </c>
      <c r="XC46">
        <v>-9420.8972004290008</v>
      </c>
      <c r="XD46">
        <v>-3938.92918421169</v>
      </c>
      <c r="XE46">
        <v>0</v>
      </c>
      <c r="XF46">
        <v>21584.588765846202</v>
      </c>
      <c r="XG46">
        <v>24.804551224068199</v>
      </c>
      <c r="XH46">
        <v>-21648.0904432233</v>
      </c>
      <c r="XI46">
        <v>-44330.944891094798</v>
      </c>
      <c r="XJ46">
        <v>-21648.0904432233</v>
      </c>
      <c r="XK46">
        <v>21.1111</v>
      </c>
      <c r="XL46">
        <v>23.8889</v>
      </c>
      <c r="XM46">
        <v>0</v>
      </c>
      <c r="XN46">
        <v>368.43182910798799</v>
      </c>
      <c r="XO46">
        <v>25.6878137237427</v>
      </c>
      <c r="XP46">
        <v>0</v>
      </c>
      <c r="XQ46">
        <v>0</v>
      </c>
      <c r="XR46">
        <v>0</v>
      </c>
      <c r="XS46">
        <v>0</v>
      </c>
      <c r="XT46">
        <v>202.34692418613801</v>
      </c>
      <c r="XU46">
        <v>25.542265580444798</v>
      </c>
      <c r="XV46">
        <v>0</v>
      </c>
      <c r="XW46">
        <v>0</v>
      </c>
      <c r="XX46">
        <v>0</v>
      </c>
      <c r="XY46">
        <v>0</v>
      </c>
      <c r="XZ46">
        <v>311.38400417364301</v>
      </c>
      <c r="YA46">
        <v>25.526805105591599</v>
      </c>
      <c r="YB46">
        <v>0</v>
      </c>
      <c r="YC46">
        <v>0</v>
      </c>
      <c r="YD46">
        <v>0</v>
      </c>
      <c r="YE46">
        <v>0</v>
      </c>
      <c r="YF46">
        <v>370.49006039210798</v>
      </c>
      <c r="YG46">
        <v>26.0173526517287</v>
      </c>
      <c r="YH46">
        <v>0</v>
      </c>
      <c r="YI46">
        <v>0</v>
      </c>
      <c r="YJ46">
        <v>0</v>
      </c>
      <c r="YK46">
        <v>0</v>
      </c>
      <c r="YL46">
        <v>358.82563913838402</v>
      </c>
      <c r="YM46">
        <v>25.635263394087801</v>
      </c>
      <c r="YN46">
        <v>0</v>
      </c>
      <c r="YO46">
        <v>0</v>
      </c>
      <c r="YP46">
        <v>0</v>
      </c>
      <c r="YQ46">
        <v>0</v>
      </c>
      <c r="YR46">
        <v>1047.86172279581</v>
      </c>
      <c r="YS46">
        <v>19.532784752295498</v>
      </c>
      <c r="YT46">
        <v>0</v>
      </c>
      <c r="YU46">
        <v>0</v>
      </c>
      <c r="YV46">
        <v>0</v>
      </c>
      <c r="YW46">
        <v>0</v>
      </c>
      <c r="YX46">
        <v>711.12758431949999</v>
      </c>
      <c r="YY46">
        <v>19.463881007547901</v>
      </c>
      <c r="YZ46">
        <v>0</v>
      </c>
      <c r="ZA46">
        <v>0</v>
      </c>
      <c r="ZB46">
        <v>0</v>
      </c>
      <c r="ZC46">
        <v>0</v>
      </c>
      <c r="ZD46">
        <v>1096.24859109008</v>
      </c>
      <c r="ZE46">
        <v>19.441662262008101</v>
      </c>
      <c r="ZF46">
        <v>0</v>
      </c>
      <c r="ZG46">
        <v>0</v>
      </c>
      <c r="ZH46">
        <v>0</v>
      </c>
      <c r="ZI46">
        <v>0</v>
      </c>
      <c r="ZJ46">
        <v>772.25153959794204</v>
      </c>
      <c r="ZK46">
        <v>19.5955847573365</v>
      </c>
      <c r="ZL46">
        <v>0</v>
      </c>
      <c r="ZM46">
        <v>0</v>
      </c>
      <c r="ZN46">
        <v>0</v>
      </c>
      <c r="ZO46">
        <v>0</v>
      </c>
      <c r="ZP46">
        <v>9950.1098199481694</v>
      </c>
      <c r="ZQ46">
        <v>17.8069408335917</v>
      </c>
      <c r="ZR46">
        <v>0</v>
      </c>
      <c r="ZS46">
        <v>0</v>
      </c>
      <c r="ZT46">
        <v>0</v>
      </c>
      <c r="ZU46">
        <v>0</v>
      </c>
      <c r="ZV46">
        <v>2576.43109691368</v>
      </c>
      <c r="ZW46">
        <v>20.614578298251899</v>
      </c>
      <c r="ZX46">
        <v>0</v>
      </c>
      <c r="ZY46">
        <v>0</v>
      </c>
      <c r="ZZ46">
        <v>0</v>
      </c>
      <c r="AAA46">
        <v>0</v>
      </c>
      <c r="AAB46">
        <v>1657.07245090369</v>
      </c>
      <c r="AAC46">
        <v>20.619558427376401</v>
      </c>
      <c r="AAD46">
        <v>0</v>
      </c>
      <c r="AAE46">
        <v>0</v>
      </c>
      <c r="AAF46">
        <v>0</v>
      </c>
      <c r="AAG46">
        <v>0</v>
      </c>
      <c r="AAH46">
        <v>2542.4518829692001</v>
      </c>
      <c r="AAI46">
        <v>20.5736759432932</v>
      </c>
      <c r="AAJ46">
        <v>0</v>
      </c>
      <c r="AAK46">
        <v>0</v>
      </c>
      <c r="AAL46">
        <v>0</v>
      </c>
      <c r="AAM46">
        <v>0</v>
      </c>
      <c r="AAN46">
        <v>1834.15290510824</v>
      </c>
      <c r="AAO46">
        <v>20.6027768505555</v>
      </c>
      <c r="AAP46">
        <v>0</v>
      </c>
      <c r="AAQ46">
        <v>0</v>
      </c>
      <c r="AAR46">
        <v>0</v>
      </c>
      <c r="AAS46">
        <v>0</v>
      </c>
      <c r="AAT46">
        <v>16916.598627440399</v>
      </c>
      <c r="AAU46">
        <v>18.231397591305999</v>
      </c>
      <c r="AAV46">
        <v>0</v>
      </c>
      <c r="AAW46">
        <v>0</v>
      </c>
      <c r="AAX46">
        <v>0</v>
      </c>
      <c r="AAY46">
        <v>0</v>
      </c>
      <c r="AAZ46">
        <v>2744.9670293412801</v>
      </c>
      <c r="ABA46">
        <v>20.632909354285299</v>
      </c>
      <c r="ABB46">
        <v>0</v>
      </c>
      <c r="ABC46">
        <v>0</v>
      </c>
      <c r="ABD46">
        <v>0</v>
      </c>
      <c r="ABE46">
        <v>0</v>
      </c>
      <c r="ABF46">
        <v>1761.1529217847101</v>
      </c>
      <c r="ABG46">
        <v>20.642652701634098</v>
      </c>
      <c r="ABH46">
        <v>0</v>
      </c>
      <c r="ABI46">
        <v>0</v>
      </c>
      <c r="ABJ46">
        <v>0</v>
      </c>
      <c r="ABK46">
        <v>0</v>
      </c>
      <c r="ABL46">
        <v>2700.3715922434699</v>
      </c>
      <c r="ABM46">
        <v>20.601041538512199</v>
      </c>
      <c r="ABN46">
        <v>0</v>
      </c>
      <c r="ABO46">
        <v>0</v>
      </c>
      <c r="ABP46">
        <v>0</v>
      </c>
      <c r="ABQ46">
        <v>0</v>
      </c>
      <c r="ABR46">
        <v>1952.6338317805801</v>
      </c>
      <c r="ABS46">
        <v>20.631588974524298</v>
      </c>
      <c r="ABT46">
        <v>0</v>
      </c>
      <c r="ABU46">
        <v>0</v>
      </c>
      <c r="ABV46">
        <v>0</v>
      </c>
      <c r="ABW46">
        <v>0</v>
      </c>
      <c r="ABX46">
        <v>18574.073207541602</v>
      </c>
      <c r="ABY46">
        <v>18.2579050616323</v>
      </c>
      <c r="ABZ46">
        <v>0</v>
      </c>
      <c r="ACA46">
        <v>0</v>
      </c>
      <c r="ACB46">
        <v>0</v>
      </c>
      <c r="ACC46">
        <v>0.452754332442728</v>
      </c>
      <c r="ACD46">
        <v>134171042.83693901</v>
      </c>
      <c r="ACE46">
        <v>199920.361330538</v>
      </c>
      <c r="ACF46">
        <v>10.2874686263256</v>
      </c>
      <c r="ACG46">
        <v>6.7446667866786703</v>
      </c>
      <c r="ACH46">
        <v>13.50000361399</v>
      </c>
      <c r="ACI46">
        <v>237190.09545190999</v>
      </c>
      <c r="ACJ46">
        <v>5.3638595811660501</v>
      </c>
      <c r="ACK46">
        <v>22.8960211886289</v>
      </c>
      <c r="ACL46">
        <v>26.494247363872802</v>
      </c>
      <c r="ACM46">
        <v>15.7700042216757</v>
      </c>
      <c r="ACN46">
        <v>105390.341415922</v>
      </c>
      <c r="ACP46">
        <v>50675.415533022497</v>
      </c>
      <c r="ACR46">
        <v>156065.756948945</v>
      </c>
      <c r="ACT46">
        <v>25.4181918390383</v>
      </c>
      <c r="ACU46">
        <v>23.8971844672107</v>
      </c>
      <c r="ACV46">
        <v>1.7</v>
      </c>
      <c r="ACW46">
        <v>1.30605428032299</v>
      </c>
      <c r="ACX46">
        <v>0.80009847393121902</v>
      </c>
      <c r="ACY46">
        <v>25.320016665337999</v>
      </c>
      <c r="ACZ46">
        <v>23.899641978829202</v>
      </c>
      <c r="ADA46">
        <v>1.7</v>
      </c>
      <c r="ADB46">
        <v>1.6586922365110399</v>
      </c>
      <c r="ADC46">
        <v>0.80013651394067498</v>
      </c>
      <c r="ADD46">
        <v>25.323247079706</v>
      </c>
      <c r="ADE46">
        <v>23.9075075394971</v>
      </c>
      <c r="ADF46">
        <v>1.7</v>
      </c>
      <c r="ADG46">
        <v>1.9047647460731101</v>
      </c>
      <c r="ADH46">
        <v>0.80010709371383604</v>
      </c>
      <c r="ADI46">
        <v>26.116255786284501</v>
      </c>
      <c r="ADJ46">
        <v>24.1899382384379</v>
      </c>
      <c r="ADK46">
        <v>1.7</v>
      </c>
      <c r="ADL46">
        <v>1.4471404337398599</v>
      </c>
      <c r="ADM46">
        <v>0.70266625162796403</v>
      </c>
      <c r="ADN46">
        <v>25.780764770981701</v>
      </c>
      <c r="ADO46">
        <v>23.938105695747002</v>
      </c>
      <c r="ADP46">
        <v>1.7</v>
      </c>
      <c r="ADQ46">
        <v>1.59427370522078</v>
      </c>
      <c r="ADR46">
        <v>0.70419049879079099</v>
      </c>
      <c r="ADS46">
        <v>25.774117089527898</v>
      </c>
      <c r="ADT46">
        <v>23.9390024182748</v>
      </c>
      <c r="ADU46">
        <v>1.7</v>
      </c>
      <c r="ADV46">
        <v>4.2534452488086902</v>
      </c>
      <c r="ADW46">
        <v>0.70375473429883795</v>
      </c>
      <c r="ADX46">
        <v>26.436635846578699</v>
      </c>
      <c r="ADY46">
        <v>24.4235267247584</v>
      </c>
      <c r="ADZ46">
        <v>1.7</v>
      </c>
      <c r="AEA46">
        <v>1.57457935974213</v>
      </c>
      <c r="AEB46">
        <v>0.69988318335566202</v>
      </c>
      <c r="AEC46">
        <v>25.310395622602201</v>
      </c>
      <c r="AED46">
        <v>23.947499858694901</v>
      </c>
      <c r="AEE46">
        <v>1.7</v>
      </c>
      <c r="AEF46">
        <v>2.37028238431727</v>
      </c>
      <c r="AEG46">
        <v>0.70365237391909596</v>
      </c>
      <c r="AEH46">
        <v>25.2615427447112</v>
      </c>
      <c r="AEI46">
        <v>23.915807124701001</v>
      </c>
      <c r="AEJ46">
        <v>1.7</v>
      </c>
      <c r="AEK46">
        <v>2.4298007328378799</v>
      </c>
      <c r="AEL46">
        <v>0.70463079783523097</v>
      </c>
      <c r="AEM46">
        <v>25.242080829272801</v>
      </c>
      <c r="AEN46">
        <v>23.915121276041202</v>
      </c>
      <c r="AEO46">
        <v>1.7</v>
      </c>
      <c r="AEP46">
        <v>3.6442758710612502</v>
      </c>
      <c r="AEQ46">
        <v>0.70451403271511903</v>
      </c>
      <c r="AER46">
        <v>25.438283065973199</v>
      </c>
      <c r="AES46">
        <v>24.033968800734399</v>
      </c>
      <c r="AET46">
        <v>1.7</v>
      </c>
      <c r="AEU46">
        <v>2.5866904457019202</v>
      </c>
      <c r="AEV46">
        <v>0.70260868084225303</v>
      </c>
      <c r="AEW46">
        <v>25.310949560515699</v>
      </c>
      <c r="AEX46">
        <v>23.954880818387299</v>
      </c>
      <c r="AEY46">
        <v>1.7</v>
      </c>
      <c r="AEZ46">
        <v>2.4061594542948099</v>
      </c>
      <c r="AFA46">
        <v>0.70405107411684698</v>
      </c>
      <c r="AFB46">
        <v>25.259183749616302</v>
      </c>
      <c r="AFC46">
        <v>23.922640028837499</v>
      </c>
      <c r="AFD46">
        <v>1.7</v>
      </c>
      <c r="AFE46">
        <v>2.4626724853892301</v>
      </c>
      <c r="AFF46">
        <v>0.704818523108933</v>
      </c>
      <c r="AFG46">
        <v>25.2487247482097</v>
      </c>
      <c r="AFH46">
        <v>23.922054677661201</v>
      </c>
      <c r="AFI46">
        <v>1.7</v>
      </c>
      <c r="AFJ46">
        <v>3.2914022662115698</v>
      </c>
      <c r="AFK46">
        <v>0.70467861900836004</v>
      </c>
      <c r="AFL46">
        <v>25.4427686401893</v>
      </c>
      <c r="AFM46">
        <v>24.047746839887701</v>
      </c>
      <c r="AFN46">
        <v>1.7</v>
      </c>
      <c r="AFO46">
        <v>2.6192069218523999</v>
      </c>
      <c r="AFP46">
        <v>0.70292457968085298</v>
      </c>
      <c r="AFQ46">
        <v>-0.47514771876242801</v>
      </c>
      <c r="AFR46">
        <v>-0.42492228706641599</v>
      </c>
      <c r="AFS46">
        <v>-0.32066858835505901</v>
      </c>
      <c r="AFT46">
        <v>-0.47257334011797503</v>
      </c>
      <c r="AFU46">
        <v>-0.44191778157262901</v>
      </c>
      <c r="AFV46">
        <v>-0.42604169869861602</v>
      </c>
      <c r="AFW46">
        <v>-0.35753071299987998</v>
      </c>
      <c r="AFX46">
        <v>-0.436992094699513</v>
      </c>
      <c r="AFY46">
        <v>-0.41686102230359801</v>
      </c>
      <c r="AFZ46">
        <v>-0.39905297213381102</v>
      </c>
      <c r="AGA46">
        <v>-0.32955775974476198</v>
      </c>
      <c r="AGB46">
        <v>-0.414147546911388</v>
      </c>
      <c r="AGC46">
        <v>-0.52953048323927299</v>
      </c>
      <c r="AGD46">
        <v>-0.49126688425305498</v>
      </c>
      <c r="AGE46">
        <v>-0.43573874947285501</v>
      </c>
      <c r="AGF46">
        <v>0</v>
      </c>
      <c r="AGG46">
        <v>0</v>
      </c>
      <c r="AGH46">
        <v>0</v>
      </c>
      <c r="AGI46">
        <v>0</v>
      </c>
      <c r="AGJ46">
        <v>0</v>
      </c>
      <c r="AGK46">
        <v>0</v>
      </c>
      <c r="AGL46">
        <v>0</v>
      </c>
      <c r="AGM46">
        <v>0</v>
      </c>
      <c r="AGN46">
        <v>0</v>
      </c>
      <c r="AGO46">
        <v>0</v>
      </c>
      <c r="AGP46">
        <v>0</v>
      </c>
      <c r="AGQ46">
        <v>0</v>
      </c>
      <c r="AGR46">
        <v>0</v>
      </c>
      <c r="AGS46">
        <v>0</v>
      </c>
      <c r="AGT46">
        <v>0</v>
      </c>
      <c r="AGU46">
        <v>0</v>
      </c>
      <c r="AGV46">
        <v>0</v>
      </c>
      <c r="AGW46">
        <v>0</v>
      </c>
      <c r="AGX46">
        <v>0</v>
      </c>
      <c r="AGY46">
        <v>0</v>
      </c>
      <c r="AGZ46">
        <v>0</v>
      </c>
      <c r="AHA46">
        <v>0</v>
      </c>
      <c r="AHB46">
        <v>0</v>
      </c>
      <c r="AHC46">
        <v>0</v>
      </c>
      <c r="AHD46">
        <v>0</v>
      </c>
      <c r="AHE46">
        <v>0</v>
      </c>
      <c r="AHF46">
        <v>0</v>
      </c>
      <c r="AHG46">
        <v>0</v>
      </c>
      <c r="AHH46">
        <v>0</v>
      </c>
      <c r="AHI46">
        <v>0</v>
      </c>
      <c r="AHJ46">
        <v>0</v>
      </c>
      <c r="AHK46">
        <v>0</v>
      </c>
      <c r="AHL46">
        <v>0</v>
      </c>
      <c r="AHM46">
        <v>0</v>
      </c>
      <c r="AHN46">
        <v>0</v>
      </c>
      <c r="AHO46">
        <v>0</v>
      </c>
      <c r="AHP46">
        <v>0</v>
      </c>
      <c r="AHQ46">
        <v>0</v>
      </c>
      <c r="AHR46">
        <v>0</v>
      </c>
      <c r="AHS46">
        <v>0</v>
      </c>
      <c r="AHT46">
        <v>0</v>
      </c>
      <c r="AHU46">
        <v>0</v>
      </c>
      <c r="AHV46">
        <v>0</v>
      </c>
      <c r="AHW46">
        <v>0</v>
      </c>
      <c r="AHX46">
        <v>0</v>
      </c>
      <c r="AHZ46">
        <v>0</v>
      </c>
      <c r="AIB46">
        <v>0</v>
      </c>
      <c r="AID46">
        <v>0</v>
      </c>
      <c r="AIF46">
        <v>0</v>
      </c>
      <c r="AIH46">
        <v>0</v>
      </c>
      <c r="AIJ46">
        <v>0</v>
      </c>
      <c r="AIL46">
        <v>0</v>
      </c>
      <c r="AIN46">
        <v>0</v>
      </c>
      <c r="AIP46">
        <v>0</v>
      </c>
      <c r="AIR46">
        <v>0</v>
      </c>
      <c r="AIT46">
        <v>0</v>
      </c>
      <c r="AIV46">
        <v>0</v>
      </c>
      <c r="AIX46">
        <v>0</v>
      </c>
      <c r="AIZ46">
        <v>0</v>
      </c>
      <c r="AJB46">
        <v>0</v>
      </c>
      <c r="AJC46">
        <v>0</v>
      </c>
      <c r="AJE46">
        <v>200757.20996381799</v>
      </c>
      <c r="AJH46">
        <v>4666.7481209412499</v>
      </c>
      <c r="AJJ46">
        <v>183.80401834048999</v>
      </c>
      <c r="AJK46">
        <v>66.511077324435803</v>
      </c>
      <c r="AJL46">
        <v>80.341646084807493</v>
      </c>
      <c r="AJM46">
        <v>204.658908746484</v>
      </c>
      <c r="AJN46">
        <v>102.907713691338</v>
      </c>
      <c r="AJO46">
        <v>72.402911807604994</v>
      </c>
      <c r="AJP46">
        <v>87.7975763011287</v>
      </c>
      <c r="AJQ46">
        <v>191.17581827548699</v>
      </c>
      <c r="AJR46">
        <v>112.81326546189899</v>
      </c>
      <c r="AJS46">
        <v>33.968801447961198</v>
      </c>
      <c r="AJT46">
        <v>34.255387214548698</v>
      </c>
      <c r="AJU46">
        <v>86.375370205403001</v>
      </c>
      <c r="AJV46">
        <v>46.6968998261965</v>
      </c>
      <c r="AJW46">
        <v>0</v>
      </c>
      <c r="AJX46">
        <v>0</v>
      </c>
      <c r="AJY46">
        <v>0</v>
      </c>
      <c r="AJZ46">
        <v>198236.66251845099</v>
      </c>
      <c r="AKA46">
        <v>0</v>
      </c>
      <c r="AKB46">
        <v>0</v>
      </c>
      <c r="AKC46">
        <v>0</v>
      </c>
      <c r="AKD46">
        <v>0</v>
      </c>
      <c r="AKE46">
        <v>65.56</v>
      </c>
      <c r="AKF46">
        <v>65.56</v>
      </c>
      <c r="AKG46">
        <v>0</v>
      </c>
      <c r="AKH46">
        <v>0</v>
      </c>
      <c r="AKI46">
        <v>0</v>
      </c>
      <c r="AKJ46">
        <v>0</v>
      </c>
      <c r="AKK46">
        <v>0</v>
      </c>
      <c r="AKL46">
        <v>65.56</v>
      </c>
      <c r="AKM46">
        <v>65.56</v>
      </c>
      <c r="AKN46">
        <v>0</v>
      </c>
      <c r="AKO46">
        <v>0</v>
      </c>
      <c r="AKP46">
        <v>0</v>
      </c>
      <c r="AKT46">
        <v>6734795.2483461499</v>
      </c>
      <c r="AKX46">
        <v>6078357.7937538503</v>
      </c>
      <c r="ALB46">
        <v>26.517299871687602</v>
      </c>
      <c r="ALC46">
        <v>22.3970757245113</v>
      </c>
      <c r="ALD46">
        <v>15.7700042216757</v>
      </c>
      <c r="ALE46">
        <v>271599.48017602297</v>
      </c>
      <c r="ALF46">
        <v>3876.01471762034</v>
      </c>
      <c r="ALH46">
        <v>15.295547702273099</v>
      </c>
      <c r="ALI46">
        <v>9.0065876077489102E-3</v>
      </c>
      <c r="ALJ46">
        <v>14.351584058471399</v>
      </c>
      <c r="ALK46">
        <v>25.813770317513001</v>
      </c>
      <c r="ALL46">
        <v>14.351584058471399</v>
      </c>
      <c r="ALM46">
        <v>0</v>
      </c>
      <c r="ALN46">
        <v>25.331072860229899</v>
      </c>
      <c r="ALO46">
        <v>9.5552984007992604E-3</v>
      </c>
      <c r="ALP46">
        <v>47.402192013893398</v>
      </c>
      <c r="ALQ46">
        <v>14.351584058471399</v>
      </c>
      <c r="ALR46">
        <v>15.295547702273099</v>
      </c>
      <c r="ALS46">
        <v>14.351584058471399</v>
      </c>
      <c r="ALT46">
        <v>15.5599992922784</v>
      </c>
      <c r="ALU46">
        <v>14.351584058471399</v>
      </c>
      <c r="ALV46">
        <v>6.7000000000295499</v>
      </c>
      <c r="ALW46">
        <v>2.79580719256719E-3</v>
      </c>
      <c r="ALX46">
        <v>23.8770337751256</v>
      </c>
      <c r="ALY46">
        <v>2.79580719256719E-3</v>
      </c>
      <c r="ALZ46">
        <v>0</v>
      </c>
      <c r="AMA46">
        <v>10.2874686263256</v>
      </c>
      <c r="AMB46">
        <v>1.35E-2</v>
      </c>
      <c r="AMC46">
        <v>10.257631689211401</v>
      </c>
      <c r="AMD46">
        <v>1.35E-2</v>
      </c>
      <c r="AME46">
        <v>6.7446667866786703</v>
      </c>
      <c r="AMF46">
        <v>1.35E-2</v>
      </c>
      <c r="AMG46">
        <v>1.5769999999999999E-2</v>
      </c>
      <c r="AMH46">
        <v>4.2474999999999996</v>
      </c>
      <c r="AMI46">
        <v>19.7293925361944</v>
      </c>
      <c r="AMJ46">
        <v>0.35184969617725997</v>
      </c>
      <c r="AMK46" s="580">
        <v>17.809411748436201</v>
      </c>
      <c r="AML46">
        <v>1.8592908702221</v>
      </c>
      <c r="AMM46">
        <v>19.551587174102501</v>
      </c>
      <c r="AMN46">
        <v>0.34959871707298901</v>
      </c>
      <c r="AMO46">
        <v>19.637763475817199</v>
      </c>
      <c r="AMP46">
        <v>0.49457973862121302</v>
      </c>
      <c r="AMQ46">
        <v>19.579613146551601</v>
      </c>
      <c r="AMR46">
        <v>0.54626590731056102</v>
      </c>
      <c r="AMS46">
        <v>18.2131955804252</v>
      </c>
      <c r="AMT46">
        <v>2.2175287754433</v>
      </c>
      <c r="AMU46">
        <v>20.705377988928699</v>
      </c>
      <c r="AMV46">
        <v>0.56006171968455098</v>
      </c>
      <c r="AMW46">
        <v>20.7163372490797</v>
      </c>
      <c r="AMX46">
        <v>0.62423245716575304</v>
      </c>
      <c r="AMY46">
        <v>20.711460283767099</v>
      </c>
      <c r="AMZ46">
        <v>0.87258118649095795</v>
      </c>
      <c r="ANA46">
        <v>20.7512625228015</v>
      </c>
      <c r="ANB46">
        <v>0.87601451648800699</v>
      </c>
      <c r="ANC46">
        <v>18.240723957090498</v>
      </c>
      <c r="AND46">
        <v>2.4753977644197902</v>
      </c>
      <c r="ANE46">
        <v>20.731265116625099</v>
      </c>
      <c r="ANF46">
        <v>0.59632296618945102</v>
      </c>
      <c r="ANG46">
        <v>20.7470074038999</v>
      </c>
      <c r="ANH46">
        <v>0.66417486288862504</v>
      </c>
      <c r="ANI46">
        <v>20.728839223897101</v>
      </c>
      <c r="ANJ46">
        <v>0.93321546546767098</v>
      </c>
      <c r="ANK46">
        <v>20.756388267435</v>
      </c>
      <c r="ANL46">
        <v>0.93046941482919299</v>
      </c>
      <c r="ANM46">
        <v>3.6015849294041198</v>
      </c>
      <c r="ANN46">
        <v>5.1504186552725697</v>
      </c>
      <c r="ANO46">
        <v>5.5995804737947301</v>
      </c>
      <c r="ANP46">
        <v>17.809411748436201</v>
      </c>
      <c r="ANQ46">
        <v>19.472564293340199</v>
      </c>
      <c r="ANR46">
        <v>19.650226058321898</v>
      </c>
      <c r="ANS46">
        <v>19.4510404504768</v>
      </c>
      <c r="ANT46">
        <v>19.560973943093401</v>
      </c>
      <c r="ANU46">
        <v>18.2131955804252</v>
      </c>
      <c r="ANV46">
        <v>20.608798609060901</v>
      </c>
      <c r="ANW46">
        <v>20.611682211897801</v>
      </c>
      <c r="ANX46">
        <v>20.561293676762901</v>
      </c>
      <c r="ANY46">
        <v>20.615550077089299</v>
      </c>
      <c r="ANZ46">
        <v>18.240723957090498</v>
      </c>
      <c r="AOA46">
        <v>20.6325321626495</v>
      </c>
      <c r="AOB46">
        <v>20.639527196457699</v>
      </c>
      <c r="AOC46">
        <v>20.589347436729199</v>
      </c>
      <c r="AOD46">
        <v>20.630536741884502</v>
      </c>
      <c r="AOE46">
        <v>25.331072860229899</v>
      </c>
      <c r="AOF46">
        <v>4.2474999999999996</v>
      </c>
      <c r="AOG46">
        <v>25.366231677708999</v>
      </c>
      <c r="AOH46">
        <v>4.2474999999999996</v>
      </c>
    </row>
    <row r="47" spans="1:1074">
      <c r="A47" t="s">
        <v>2617</v>
      </c>
      <c r="B47">
        <v>25.216899999999999</v>
      </c>
      <c r="D47">
        <v>17.099766368880299</v>
      </c>
      <c r="F47">
        <v>9</v>
      </c>
      <c r="G47">
        <v>10945018.5837641</v>
      </c>
      <c r="H47">
        <v>25252376.055390202</v>
      </c>
      <c r="I47">
        <v>6950739.3466344699</v>
      </c>
      <c r="J47">
        <v>16036764.3509151</v>
      </c>
      <c r="K47">
        <v>10945018.5837641</v>
      </c>
      <c r="L47">
        <v>25252376.055390202</v>
      </c>
      <c r="M47">
        <v>6950739.3466344699</v>
      </c>
      <c r="N47">
        <v>16036764.3509151</v>
      </c>
      <c r="O47">
        <v>56445592.898657002</v>
      </c>
      <c r="P47">
        <v>130231422.417206</v>
      </c>
      <c r="Q47">
        <v>10945018.5837641</v>
      </c>
      <c r="R47">
        <v>25252376.055390202</v>
      </c>
      <c r="S47">
        <v>6950739.3466344699</v>
      </c>
      <c r="T47">
        <v>16036764.3509151</v>
      </c>
      <c r="U47">
        <v>10945018.5837641</v>
      </c>
      <c r="V47">
        <v>25252376.055390202</v>
      </c>
      <c r="W47">
        <v>6950739.3466344699</v>
      </c>
      <c r="X47">
        <v>16036764.3509151</v>
      </c>
      <c r="Y47">
        <v>56445592.898657002</v>
      </c>
      <c r="Z47">
        <v>130231422.417206</v>
      </c>
      <c r="AA47">
        <v>10945018.5837641</v>
      </c>
      <c r="AB47">
        <v>25252376.055390202</v>
      </c>
      <c r="AC47">
        <v>6950739.3466344699</v>
      </c>
      <c r="AD47">
        <v>16036764.3509151</v>
      </c>
      <c r="AE47">
        <v>10945018.5837641</v>
      </c>
      <c r="AF47">
        <v>25252376.055390202</v>
      </c>
      <c r="AG47">
        <v>6950739.3466344699</v>
      </c>
      <c r="AH47">
        <v>16036764.3509151</v>
      </c>
      <c r="AI47">
        <v>56445592.898657002</v>
      </c>
      <c r="AJ47">
        <v>130231422.417206</v>
      </c>
      <c r="AK47">
        <v>23.716228502806501</v>
      </c>
      <c r="AL47">
        <v>3956060.4386927001</v>
      </c>
      <c r="AM47">
        <v>10245410.713212401</v>
      </c>
      <c r="AN47">
        <v>23.716228502806501</v>
      </c>
      <c r="AO47">
        <v>3956060.4386927001</v>
      </c>
      <c r="AP47">
        <v>10245410.713212401</v>
      </c>
      <c r="AQ47">
        <v>15.0612190693548</v>
      </c>
      <c r="AR47">
        <v>2512334.2403159901</v>
      </c>
      <c r="AS47">
        <v>6506446.6379612898</v>
      </c>
      <c r="AT47">
        <v>15.0612190693548</v>
      </c>
      <c r="AU47">
        <v>2512334.2403159901</v>
      </c>
      <c r="AV47">
        <v>6506446.6379612898</v>
      </c>
      <c r="AW47">
        <v>23.716228502806501</v>
      </c>
      <c r="AX47">
        <v>3956060.4386927001</v>
      </c>
      <c r="AY47">
        <v>10245410.713212401</v>
      </c>
      <c r="AZ47">
        <v>23.716228502806501</v>
      </c>
      <c r="BA47">
        <v>3956060.4386927001</v>
      </c>
      <c r="BB47">
        <v>10245410.713212401</v>
      </c>
      <c r="BC47">
        <v>15.0612190693548</v>
      </c>
      <c r="BD47">
        <v>2512334.2403159901</v>
      </c>
      <c r="BE47">
        <v>6506446.6379612898</v>
      </c>
      <c r="BF47">
        <v>15.0612190693548</v>
      </c>
      <c r="BG47">
        <v>2512334.2403159901</v>
      </c>
      <c r="BH47">
        <v>6506446.6379612898</v>
      </c>
      <c r="BI47">
        <v>23.716228502806501</v>
      </c>
      <c r="BJ47">
        <v>3956060.4386927001</v>
      </c>
      <c r="BK47">
        <v>10245410.713212401</v>
      </c>
      <c r="BL47">
        <v>23.716228502806501</v>
      </c>
      <c r="BM47">
        <v>3956060.4386927001</v>
      </c>
      <c r="BN47">
        <v>10245410.713212401</v>
      </c>
      <c r="BO47">
        <v>15.0612190693548</v>
      </c>
      <c r="BP47">
        <v>2512334.2403159901</v>
      </c>
      <c r="BQ47">
        <v>6506446.6379612898</v>
      </c>
      <c r="BR47">
        <v>15.0612190693548</v>
      </c>
      <c r="BS47">
        <v>2512334.2403159901</v>
      </c>
      <c r="BT47">
        <v>6506446.6379612898</v>
      </c>
      <c r="BU47">
        <v>52837578.828362301</v>
      </c>
      <c r="BV47">
        <v>122.309210250839</v>
      </c>
      <c r="BW47">
        <v>20402174.312995501</v>
      </c>
      <c r="BX47">
        <v>52837578.828362301</v>
      </c>
      <c r="BY47">
        <v>122.309210250839</v>
      </c>
      <c r="BZ47">
        <v>20402174.312995501</v>
      </c>
      <c r="CA47">
        <v>52837578.828362301</v>
      </c>
      <c r="CB47">
        <v>122.309210250839</v>
      </c>
      <c r="CC47">
        <v>20402174.312995501</v>
      </c>
      <c r="CD47">
        <v>52837578.828362301</v>
      </c>
      <c r="CE47">
        <v>3773179.8574618599</v>
      </c>
      <c r="CF47">
        <v>8575408.7669587694</v>
      </c>
      <c r="CG47">
        <v>3773179.8574618599</v>
      </c>
      <c r="CH47">
        <v>8575408.7669587694</v>
      </c>
      <c r="CI47">
        <v>2396194.1678283801</v>
      </c>
      <c r="CJ47">
        <v>5445895.8359735999</v>
      </c>
      <c r="CK47">
        <v>2396194.1678283801</v>
      </c>
      <c r="CL47">
        <v>5445895.8359735999</v>
      </c>
      <c r="CM47">
        <v>3773179.8574618599</v>
      </c>
      <c r="CN47">
        <v>8575408.7669587694</v>
      </c>
      <c r="CO47">
        <v>3773179.8574618599</v>
      </c>
      <c r="CP47">
        <v>8575408.7669587694</v>
      </c>
      <c r="CQ47">
        <v>2396194.1678283801</v>
      </c>
      <c r="CR47">
        <v>5445895.8359735999</v>
      </c>
      <c r="CS47">
        <v>2396194.1678283801</v>
      </c>
      <c r="CT47">
        <v>5445895.8359735999</v>
      </c>
      <c r="CU47">
        <v>3773179.8574618599</v>
      </c>
      <c r="CV47">
        <v>8575408.7669587694</v>
      </c>
      <c r="CW47">
        <v>3773179.8574618599</v>
      </c>
      <c r="CX47">
        <v>8575408.7669587694</v>
      </c>
      <c r="CY47">
        <v>2396194.1678283801</v>
      </c>
      <c r="CZ47">
        <v>5445895.8359735999</v>
      </c>
      <c r="DA47">
        <v>2396194.1678283801</v>
      </c>
      <c r="DB47">
        <v>5445895.8359735999</v>
      </c>
      <c r="DC47">
        <v>19459023.5309093</v>
      </c>
      <c r="DD47">
        <v>44225053.479339302</v>
      </c>
      <c r="DE47">
        <v>19459023.5309093</v>
      </c>
      <c r="DF47">
        <v>44225053.479339302</v>
      </c>
      <c r="DG47">
        <v>19459023.5309093</v>
      </c>
      <c r="DH47">
        <v>44225053.479339302</v>
      </c>
      <c r="DI47">
        <v>3215778.2876095399</v>
      </c>
      <c r="DJ47">
        <v>6431556.5752190799</v>
      </c>
      <c r="DK47">
        <v>3215778.2876095399</v>
      </c>
      <c r="DL47">
        <v>6431556.5752190799</v>
      </c>
      <c r="DM47">
        <v>2042210.9384901</v>
      </c>
      <c r="DN47">
        <v>4084421.8769801999</v>
      </c>
      <c r="DO47">
        <v>2042210.9384901</v>
      </c>
      <c r="DP47">
        <v>4084421.8769801999</v>
      </c>
      <c r="DQ47">
        <v>3215778.2876095399</v>
      </c>
      <c r="DR47">
        <v>6431556.5752190799</v>
      </c>
      <c r="DS47">
        <v>3215778.2876095399</v>
      </c>
      <c r="DT47">
        <v>6431556.5752190799</v>
      </c>
      <c r="DU47">
        <v>2042210.9384901</v>
      </c>
      <c r="DV47">
        <v>4084421.8769801999</v>
      </c>
      <c r="DW47">
        <v>2042210.9384901</v>
      </c>
      <c r="DX47">
        <v>4084421.8769801999</v>
      </c>
      <c r="DY47">
        <v>3215778.2876095399</v>
      </c>
      <c r="DZ47">
        <v>6431556.5752190799</v>
      </c>
      <c r="EA47">
        <v>3215778.2876095399</v>
      </c>
      <c r="EB47">
        <v>6431556.5752190799</v>
      </c>
      <c r="EC47">
        <v>2042210.9384901</v>
      </c>
      <c r="ED47">
        <v>4084421.8769801999</v>
      </c>
      <c r="EE47">
        <v>2042210.9384901</v>
      </c>
      <c r="EF47">
        <v>4084421.8769801999</v>
      </c>
      <c r="EG47">
        <v>16584395.054752201</v>
      </c>
      <c r="EH47">
        <v>33168790.109504402</v>
      </c>
      <c r="EI47">
        <v>16584395.054752201</v>
      </c>
      <c r="EJ47">
        <v>33168790.109504402</v>
      </c>
      <c r="EK47">
        <v>16584395.054752201</v>
      </c>
      <c r="EL47">
        <v>33168790.109504402</v>
      </c>
      <c r="EM47">
        <v>3.0968933242585899</v>
      </c>
      <c r="EN47">
        <v>1.4990326636008799</v>
      </c>
      <c r="EO47">
        <v>14.2994835704786</v>
      </c>
      <c r="EP47">
        <v>1.7308438286848599E-2</v>
      </c>
      <c r="EQ47">
        <v>0</v>
      </c>
      <c r="ER47">
        <v>2.2654725685174699</v>
      </c>
      <c r="ES47">
        <v>0</v>
      </c>
      <c r="ET47">
        <v>10.972913695670901</v>
      </c>
      <c r="EU47">
        <v>0</v>
      </c>
      <c r="EV47">
        <v>1.99446218956904</v>
      </c>
      <c r="EW47">
        <v>0</v>
      </c>
      <c r="EX47">
        <v>0</v>
      </c>
      <c r="EY47">
        <v>0</v>
      </c>
      <c r="EZ47">
        <v>0</v>
      </c>
      <c r="FA47">
        <v>8.4619389283537707</v>
      </c>
      <c r="FB47">
        <v>0</v>
      </c>
      <c r="FC47">
        <v>0.110862559407059</v>
      </c>
      <c r="FD47">
        <v>0</v>
      </c>
      <c r="FE47">
        <v>0</v>
      </c>
      <c r="FF47">
        <v>0</v>
      </c>
      <c r="FG47">
        <v>0</v>
      </c>
      <c r="FH47">
        <v>0</v>
      </c>
      <c r="FI47">
        <v>0</v>
      </c>
      <c r="FJ47">
        <v>0</v>
      </c>
      <c r="FK47">
        <v>0</v>
      </c>
      <c r="FL47">
        <v>0</v>
      </c>
      <c r="FM47">
        <v>0</v>
      </c>
      <c r="FN47">
        <v>0</v>
      </c>
      <c r="FO47">
        <v>0</v>
      </c>
      <c r="FP47">
        <v>0</v>
      </c>
      <c r="FQ47">
        <v>0</v>
      </c>
      <c r="FR47">
        <v>0</v>
      </c>
      <c r="FS47">
        <v>0.110862559407059</v>
      </c>
      <c r="FT47">
        <v>0</v>
      </c>
      <c r="FU47">
        <v>0</v>
      </c>
      <c r="FV47">
        <v>0</v>
      </c>
      <c r="FW47">
        <v>0</v>
      </c>
      <c r="FX47">
        <v>0</v>
      </c>
      <c r="FY47">
        <v>0</v>
      </c>
      <c r="FZ47">
        <v>0</v>
      </c>
      <c r="GA47">
        <v>0</v>
      </c>
      <c r="GB47">
        <v>133.278229752312</v>
      </c>
      <c r="GC47">
        <v>49.292472384368502</v>
      </c>
      <c r="GD47">
        <v>-33.060269381449402</v>
      </c>
      <c r="GE47">
        <v>74.374811835565495</v>
      </c>
      <c r="GF47">
        <v>38.133286733866797</v>
      </c>
      <c r="GG47">
        <v>-16.928970107574202</v>
      </c>
      <c r="GH47">
        <v>110.19289023639899</v>
      </c>
      <c r="GI47">
        <v>58.032600972486598</v>
      </c>
      <c r="GJ47">
        <v>-26.116230834746801</v>
      </c>
      <c r="GK47">
        <v>161.552900301981</v>
      </c>
      <c r="GL47">
        <v>54.952985562092302</v>
      </c>
      <c r="GM47">
        <v>-8.7395629287347099</v>
      </c>
      <c r="GN47">
        <v>3.7732024163653199</v>
      </c>
      <c r="GO47">
        <v>25.2271289639421</v>
      </c>
      <c r="GP47">
        <v>25.526970611469199</v>
      </c>
      <c r="GQ47">
        <v>-35.4210771046831</v>
      </c>
      <c r="GR47">
        <v>-223.66458857678299</v>
      </c>
      <c r="GS47">
        <v>-709.993384396907</v>
      </c>
      <c r="GT47">
        <v>0.50813032284470605</v>
      </c>
      <c r="GU47">
        <v>25.207862587234501</v>
      </c>
      <c r="GV47">
        <v>25.474830865114502</v>
      </c>
      <c r="GW47">
        <v>-15.470581551379899</v>
      </c>
      <c r="GX47">
        <v>-104.09048054165299</v>
      </c>
      <c r="GY47">
        <v>-348.84938187310303</v>
      </c>
      <c r="GZ47">
        <v>-0.67313833933095801</v>
      </c>
      <c r="HA47">
        <v>25.140194617935698</v>
      </c>
      <c r="HB47">
        <v>25.4496335004721</v>
      </c>
      <c r="HC47">
        <v>-26.423843620877399</v>
      </c>
      <c r="HD47">
        <v>-185.09083591996301</v>
      </c>
      <c r="HE47">
        <v>-612.22822810122705</v>
      </c>
      <c r="HF47">
        <v>14.3683513217951</v>
      </c>
      <c r="HG47">
        <v>25.579762755020599</v>
      </c>
      <c r="HH47">
        <v>25.862566916122901</v>
      </c>
      <c r="HI47">
        <v>-15.343698462383101</v>
      </c>
      <c r="HJ47">
        <v>-129.31806396584801</v>
      </c>
      <c r="HK47">
        <v>-464.91271939843301</v>
      </c>
      <c r="HL47">
        <v>195.17187393648399</v>
      </c>
      <c r="HM47">
        <v>25.7258936279915</v>
      </c>
      <c r="HN47">
        <v>25.6224208654682</v>
      </c>
      <c r="HO47">
        <v>186.20097348387401</v>
      </c>
      <c r="HP47">
        <v>190.68201322258301</v>
      </c>
      <c r="HQ47">
        <v>25.702741722123999</v>
      </c>
      <c r="HR47">
        <v>66.367612238598696</v>
      </c>
      <c r="HS47">
        <v>111.303733230269</v>
      </c>
      <c r="HT47">
        <v>25.737228382614699</v>
      </c>
      <c r="HU47">
        <v>25.6619623921883</v>
      </c>
      <c r="HV47">
        <v>113.65655405467901</v>
      </c>
      <c r="HW47">
        <v>120.274387442386</v>
      </c>
      <c r="HX47">
        <v>25.701128080271999</v>
      </c>
      <c r="HY47">
        <v>43.383585250072599</v>
      </c>
      <c r="HZ47">
        <v>25.6998952123887</v>
      </c>
      <c r="IA47">
        <v>25.6437196119989</v>
      </c>
      <c r="IB47">
        <v>183.78904792679799</v>
      </c>
      <c r="IC47">
        <v>163.65063961751599</v>
      </c>
      <c r="ID47">
        <v>169.93290062112999</v>
      </c>
      <c r="IE47">
        <v>25.662016755228901</v>
      </c>
      <c r="IF47">
        <v>64.175235756864296</v>
      </c>
      <c r="IG47">
        <v>34.234180245871798</v>
      </c>
      <c r="IH47">
        <v>25.910179601800198</v>
      </c>
      <c r="II47">
        <v>25.736809420018599</v>
      </c>
      <c r="IJ47">
        <v>128.55714227372999</v>
      </c>
      <c r="IK47">
        <v>33.9733798932211</v>
      </c>
      <c r="IL47">
        <v>190.347999782561</v>
      </c>
      <c r="IM47">
        <v>195.91078364445301</v>
      </c>
      <c r="IN47">
        <v>25.989589722514101</v>
      </c>
      <c r="IO47">
        <v>0.75501852306949002</v>
      </c>
      <c r="IP47">
        <v>70.641499480388504</v>
      </c>
      <c r="IQ47">
        <v>166.92238946933301</v>
      </c>
      <c r="IR47">
        <v>104.682564106903</v>
      </c>
      <c r="IS47">
        <v>171.39616841721499</v>
      </c>
      <c r="IT47">
        <v>115.067070434716</v>
      </c>
      <c r="IU47">
        <v>-24.258517274396699</v>
      </c>
      <c r="IV47">
        <v>17.1809802718358</v>
      </c>
      <c r="IW47">
        <v>25.265548840976798</v>
      </c>
      <c r="IX47">
        <v>25.702741722123999</v>
      </c>
      <c r="IY47">
        <v>8.9607350089465392</v>
      </c>
      <c r="IZ47">
        <v>-108.991630442839</v>
      </c>
      <c r="JA47">
        <v>-656.972186713876</v>
      </c>
      <c r="JB47">
        <v>5.51722510489002</v>
      </c>
      <c r="JC47">
        <v>25.2837625474519</v>
      </c>
      <c r="JD47">
        <v>25.701128080271999</v>
      </c>
      <c r="JE47">
        <v>7.8998156168122504</v>
      </c>
      <c r="JF47">
        <v>-54.6333333623679</v>
      </c>
      <c r="JG47">
        <v>-353.73655021457301</v>
      </c>
      <c r="JH47">
        <v>5.4078524602737499</v>
      </c>
      <c r="JI47">
        <v>25.205919101521602</v>
      </c>
      <c r="JJ47">
        <v>25.662016755228901</v>
      </c>
      <c r="JK47">
        <v>7.3545011528227304</v>
      </c>
      <c r="JL47">
        <v>-108.64656997757299</v>
      </c>
      <c r="JM47">
        <v>-623.880132522586</v>
      </c>
      <c r="JN47">
        <v>27.659149086065501</v>
      </c>
      <c r="JO47">
        <v>25.575111071782501</v>
      </c>
      <c r="JP47">
        <v>25.989589722514101</v>
      </c>
      <c r="JQ47">
        <v>0.94413327452976503</v>
      </c>
      <c r="JR47">
        <v>24.169306089633899</v>
      </c>
      <c r="JS47">
        <v>0.95636587721172195</v>
      </c>
      <c r="JT47">
        <v>-39.904665330887603</v>
      </c>
      <c r="JU47">
        <v>-386.20268300256299</v>
      </c>
      <c r="JV47">
        <v>215.311112176329</v>
      </c>
      <c r="JW47">
        <v>234.74783767686901</v>
      </c>
      <c r="JX47">
        <v>124.19754848399199</v>
      </c>
      <c r="JY47">
        <v>122.44342721063801</v>
      </c>
      <c r="JZ47">
        <v>143.36202441909299</v>
      </c>
      <c r="KA47">
        <v>72.990240610711297</v>
      </c>
      <c r="KB47">
        <v>181.43492577705001</v>
      </c>
      <c r="KC47">
        <v>211.878290325938</v>
      </c>
      <c r="KD47">
        <v>115.50667125929699</v>
      </c>
      <c r="KE47">
        <v>202.195458371607</v>
      </c>
      <c r="KF47">
        <v>25.2692174430493</v>
      </c>
      <c r="KG47">
        <v>82.525673486930202</v>
      </c>
      <c r="KH47">
        <v>1.08823396042056</v>
      </c>
      <c r="KI47">
        <v>220.3772035234</v>
      </c>
      <c r="KJ47">
        <v>110.165735330391</v>
      </c>
      <c r="KK47">
        <v>43.829356740046798</v>
      </c>
      <c r="KL47">
        <v>25.7851930276166</v>
      </c>
      <c r="KM47">
        <v>25.9941117203172</v>
      </c>
      <c r="KN47">
        <v>79.154113269265693</v>
      </c>
      <c r="KO47">
        <v>25.5499607230457</v>
      </c>
      <c r="KP47">
        <v>19.244219755987601</v>
      </c>
      <c r="KQ47">
        <v>9.1282276494141108</v>
      </c>
      <c r="KR47">
        <v>-284.99404529609501</v>
      </c>
      <c r="KS47">
        <v>18.9303059722297</v>
      </c>
      <c r="KT47">
        <v>25.693715912725501</v>
      </c>
      <c r="KU47">
        <v>25.934203046294801</v>
      </c>
      <c r="KV47">
        <v>44.210862704219203</v>
      </c>
      <c r="KW47">
        <v>25.442320336251299</v>
      </c>
      <c r="KX47">
        <v>19.332513707497998</v>
      </c>
      <c r="KY47">
        <v>2.8545074356789701</v>
      </c>
      <c r="KZ47">
        <v>-183.214987820076</v>
      </c>
      <c r="LA47">
        <v>26.390483886036701</v>
      </c>
      <c r="LB47">
        <v>25.678208504151801</v>
      </c>
      <c r="LC47">
        <v>25.929360620664099</v>
      </c>
      <c r="LD47">
        <v>68.986022362398401</v>
      </c>
      <c r="LE47">
        <v>25.420724227342401</v>
      </c>
      <c r="LF47">
        <v>19.2400061624949</v>
      </c>
      <c r="LG47">
        <v>3.8175605417458902</v>
      </c>
      <c r="LH47">
        <v>-293.11578621710697</v>
      </c>
      <c r="LI47">
        <v>49.421634981742699</v>
      </c>
      <c r="LJ47">
        <v>26.090478311666899</v>
      </c>
      <c r="LK47">
        <v>26.2708580634032</v>
      </c>
      <c r="LL47">
        <v>80.128130014470997</v>
      </c>
      <c r="LM47">
        <v>25.8903543482398</v>
      </c>
      <c r="LN47">
        <v>19.704753605092101</v>
      </c>
      <c r="LO47">
        <v>20.444989570653899</v>
      </c>
      <c r="LP47">
        <v>-152.68630718396699</v>
      </c>
      <c r="LQ47">
        <v>59.387134444898201</v>
      </c>
      <c r="LR47">
        <v>19.977730035736101</v>
      </c>
      <c r="LS47">
        <v>16.420999999999999</v>
      </c>
      <c r="LT47">
        <v>183.57148910038299</v>
      </c>
      <c r="LU47">
        <v>-1357.85220042221</v>
      </c>
      <c r="LV47">
        <v>21.523389100883499</v>
      </c>
      <c r="LW47">
        <v>24.309963630196499</v>
      </c>
      <c r="LX47">
        <v>760.25479199833001</v>
      </c>
      <c r="LY47">
        <v>35.1835104616517</v>
      </c>
      <c r="LZ47">
        <v>20.0232032452233</v>
      </c>
      <c r="MA47">
        <v>16.420999999999999</v>
      </c>
      <c r="MB47">
        <v>133.18650414556899</v>
      </c>
      <c r="MC47">
        <v>-804.72533262153297</v>
      </c>
      <c r="MD47">
        <v>21.519032706469499</v>
      </c>
      <c r="ME47">
        <v>24.2698781999472</v>
      </c>
      <c r="MF47">
        <v>487.282151166956</v>
      </c>
      <c r="MG47">
        <v>51.265587695277702</v>
      </c>
      <c r="MH47">
        <v>19.9760876517194</v>
      </c>
      <c r="MI47">
        <v>16.420999999999999</v>
      </c>
      <c r="MJ47">
        <v>199.797053850677</v>
      </c>
      <c r="MK47">
        <v>-1294.1855907134</v>
      </c>
      <c r="ML47">
        <v>21.485333873002599</v>
      </c>
      <c r="MM47">
        <v>24.252671121153401</v>
      </c>
      <c r="MN47">
        <v>762.56175789756003</v>
      </c>
      <c r="MO47">
        <v>50.837420587621502</v>
      </c>
      <c r="MP47">
        <v>20.088315713402</v>
      </c>
      <c r="MQ47">
        <v>16.420999999999999</v>
      </c>
      <c r="MR47">
        <v>139.83299596795899</v>
      </c>
      <c r="MS47">
        <v>-926.30065790696995</v>
      </c>
      <c r="MT47">
        <v>21.7676096400989</v>
      </c>
      <c r="MU47">
        <v>24.635546291377501</v>
      </c>
      <c r="MV47">
        <v>537.517645668108</v>
      </c>
      <c r="MW47">
        <v>94.156850329394103</v>
      </c>
      <c r="MX47">
        <v>23.076041474626201</v>
      </c>
      <c r="MY47">
        <v>24.8023018663702</v>
      </c>
      <c r="MZ47">
        <v>1191.73930041175</v>
      </c>
      <c r="NA47">
        <v>983.05688607012098</v>
      </c>
      <c r="NB47">
        <v>23.344309165081501</v>
      </c>
      <c r="NC47">
        <v>25.065465211357498</v>
      </c>
      <c r="ND47">
        <v>1102.5570322185399</v>
      </c>
      <c r="NE47">
        <v>58.614711708713997</v>
      </c>
      <c r="NF47">
        <v>23.1548754811901</v>
      </c>
      <c r="NG47">
        <v>24.857860579024901</v>
      </c>
      <c r="NH47">
        <v>780.33830313003</v>
      </c>
      <c r="NI47">
        <v>699.13395354842805</v>
      </c>
      <c r="NJ47">
        <v>23.357302666460001</v>
      </c>
      <c r="NK47">
        <v>25.062107684315599</v>
      </c>
      <c r="NL47">
        <v>702.69830385876196</v>
      </c>
      <c r="NM47">
        <v>85.087855792303202</v>
      </c>
      <c r="NN47">
        <v>23.0493786058992</v>
      </c>
      <c r="NO47">
        <v>24.749079465699499</v>
      </c>
      <c r="NP47">
        <v>1197.84943097013</v>
      </c>
      <c r="NQ47">
        <v>1030.2376840821</v>
      </c>
      <c r="NR47">
        <v>23.286068897558501</v>
      </c>
      <c r="NS47">
        <v>25.029183155886798</v>
      </c>
      <c r="NT47">
        <v>1094.7306738780801</v>
      </c>
      <c r="NU47">
        <v>73.710487848192102</v>
      </c>
      <c r="NV47">
        <v>23.2640286838115</v>
      </c>
      <c r="NW47">
        <v>25.134895829776401</v>
      </c>
      <c r="NX47">
        <v>2.2204970708199299</v>
      </c>
      <c r="NY47">
        <v>820.09667284523903</v>
      </c>
      <c r="NZ47">
        <v>657.41912492332199</v>
      </c>
      <c r="OA47">
        <v>23.583711053930301</v>
      </c>
      <c r="OB47">
        <v>25.327010816470001</v>
      </c>
      <c r="OC47">
        <v>1.8502303456664799</v>
      </c>
      <c r="OD47">
        <v>766.294388118906</v>
      </c>
      <c r="OE47">
        <v>2.2204970708199299</v>
      </c>
      <c r="OF47">
        <v>1.8502303456664799</v>
      </c>
      <c r="OG47">
        <v>91.850219877929206</v>
      </c>
      <c r="OH47">
        <v>23.033866865017799</v>
      </c>
      <c r="OI47">
        <v>24.7683433169077</v>
      </c>
      <c r="OJ47">
        <v>1232.7089195301601</v>
      </c>
      <c r="OK47">
        <v>1011.83503505392</v>
      </c>
      <c r="OL47">
        <v>23.312208527876098</v>
      </c>
      <c r="OM47">
        <v>25.151501756713799</v>
      </c>
      <c r="ON47">
        <v>1189.8400895361799</v>
      </c>
      <c r="OO47">
        <v>57.0446854048825</v>
      </c>
      <c r="OP47">
        <v>23.106790560645301</v>
      </c>
      <c r="OQ47">
        <v>24.836944376143201</v>
      </c>
      <c r="OR47">
        <v>804.23927614172601</v>
      </c>
      <c r="OS47">
        <v>715.14458218195705</v>
      </c>
      <c r="OT47">
        <v>23.318732167824901</v>
      </c>
      <c r="OU47">
        <v>25.130817056539399</v>
      </c>
      <c r="OV47">
        <v>755.18117378724901</v>
      </c>
      <c r="OW47">
        <v>82.653616345923595</v>
      </c>
      <c r="OX47">
        <v>23.0010432609247</v>
      </c>
      <c r="OY47">
        <v>24.717683031841201</v>
      </c>
      <c r="OZ47">
        <v>1231.2303438753499</v>
      </c>
      <c r="PA47">
        <v>1045.51314568098</v>
      </c>
      <c r="PB47">
        <v>23.2529136122285</v>
      </c>
      <c r="PC47">
        <v>25.1091459700549</v>
      </c>
      <c r="PD47">
        <v>1176.65690772178</v>
      </c>
      <c r="PE47">
        <v>71.543658033659995</v>
      </c>
      <c r="PF47">
        <v>23.236767037477001</v>
      </c>
      <c r="PG47">
        <v>25.0953850802508</v>
      </c>
      <c r="PH47">
        <v>2.3513580061747201</v>
      </c>
      <c r="PI47">
        <v>851.80268031543301</v>
      </c>
      <c r="PJ47">
        <v>692.14230309855702</v>
      </c>
      <c r="PK47">
        <v>23.5507848714788</v>
      </c>
      <c r="PL47">
        <v>25.4062813690105</v>
      </c>
      <c r="PM47">
        <v>2.0315253981178101</v>
      </c>
      <c r="PN47">
        <v>825.43346175765703</v>
      </c>
      <c r="PO47">
        <v>25.232812091170999</v>
      </c>
      <c r="PP47">
        <v>25.2006634454577</v>
      </c>
      <c r="PQ47">
        <v>25.174188795968298</v>
      </c>
      <c r="PR47">
        <v>25.584751582774199</v>
      </c>
      <c r="PS47">
        <v>24.7510591924799</v>
      </c>
      <c r="PT47">
        <v>25.569459615056701</v>
      </c>
      <c r="PU47">
        <v>25.5805819131497</v>
      </c>
      <c r="PV47">
        <v>25.541442625799501</v>
      </c>
      <c r="PW47">
        <v>25.880662118755499</v>
      </c>
      <c r="PX47">
        <v>25.129651297387898</v>
      </c>
      <c r="PY47">
        <v>25.735985009133099</v>
      </c>
      <c r="PZ47">
        <v>25.7176763883894</v>
      </c>
      <c r="QA47">
        <v>25.696195677434901</v>
      </c>
      <c r="QB47">
        <v>26.032297430906802</v>
      </c>
      <c r="QC47">
        <v>25.509569217329101</v>
      </c>
      <c r="QD47">
        <v>21.811052970994801</v>
      </c>
      <c r="QE47">
        <v>25.293578052819001</v>
      </c>
      <c r="QF47">
        <v>25.245128381613</v>
      </c>
      <c r="QG47">
        <v>25.239050448305999</v>
      </c>
      <c r="QH47">
        <v>25.4792812167512</v>
      </c>
      <c r="QI47">
        <v>24.918384736708301</v>
      </c>
      <c r="QJ47">
        <v>25.258512178601201</v>
      </c>
      <c r="QK47">
        <v>25.2625761802346</v>
      </c>
      <c r="QL47">
        <v>25.2391379258993</v>
      </c>
      <c r="QM47">
        <v>25.461833407766601</v>
      </c>
      <c r="QN47">
        <v>1085.90739987611</v>
      </c>
      <c r="QO47">
        <v>25.0173394790929</v>
      </c>
      <c r="QP47">
        <v>2516.9527645779999</v>
      </c>
      <c r="QQ47">
        <v>25.355247295324499</v>
      </c>
      <c r="QR47">
        <v>25.341667584399399</v>
      </c>
      <c r="QS47">
        <v>25.330968606375102</v>
      </c>
      <c r="QT47">
        <v>25.547279910072799</v>
      </c>
      <c r="QU47">
        <v>25.140673804761601</v>
      </c>
      <c r="QV47">
        <v>18.278512879864099</v>
      </c>
      <c r="QW47">
        <v>48216.156686274102</v>
      </c>
      <c r="QX47">
        <v>0</v>
      </c>
      <c r="QY47">
        <v>32162.517887330301</v>
      </c>
      <c r="QZ47">
        <v>0</v>
      </c>
      <c r="RA47">
        <v>0</v>
      </c>
      <c r="RB47">
        <v>25457.678725823698</v>
      </c>
      <c r="RC47">
        <v>0</v>
      </c>
      <c r="RD47">
        <v>16810.475694148499</v>
      </c>
      <c r="RE47">
        <v>17404.653875393898</v>
      </c>
      <c r="RF47">
        <v>0</v>
      </c>
      <c r="RG47">
        <v>11981.765765464999</v>
      </c>
      <c r="RH47">
        <v>0</v>
      </c>
      <c r="RI47">
        <v>0</v>
      </c>
      <c r="RJ47">
        <v>3902.3901075884201</v>
      </c>
      <c r="RK47">
        <v>25.354344014466999</v>
      </c>
      <c r="RL47">
        <v>-3938.7403486316698</v>
      </c>
      <c r="RM47">
        <v>-12799.569962068899</v>
      </c>
      <c r="RN47">
        <v>-3938.7403486316698</v>
      </c>
      <c r="RO47">
        <v>0</v>
      </c>
      <c r="RP47">
        <v>2513.8241809149399</v>
      </c>
      <c r="RQ47">
        <v>25.289593317768201</v>
      </c>
      <c r="RR47">
        <v>-2514.6479889525199</v>
      </c>
      <c r="RS47">
        <v>-8124.8484940449698</v>
      </c>
      <c r="RT47">
        <v>-2514.6479889525199</v>
      </c>
      <c r="RU47">
        <v>0</v>
      </c>
      <c r="RV47">
        <v>3904.1835842728401</v>
      </c>
      <c r="RW47">
        <v>25.303912100643799</v>
      </c>
      <c r="RX47">
        <v>-3904.9831281506199</v>
      </c>
      <c r="RY47">
        <v>-12702.387952145</v>
      </c>
      <c r="RZ47">
        <v>-3904.9831281506199</v>
      </c>
      <c r="SA47">
        <v>0</v>
      </c>
      <c r="SB47">
        <v>2820.5306456339099</v>
      </c>
      <c r="SC47">
        <v>25.373810850728201</v>
      </c>
      <c r="SD47">
        <v>-2865.6151802802801</v>
      </c>
      <c r="SE47">
        <v>-8524.1543550644292</v>
      </c>
      <c r="SF47">
        <v>-2865.6151802802801</v>
      </c>
      <c r="SG47">
        <v>0</v>
      </c>
      <c r="SH47">
        <v>17236.267171041702</v>
      </c>
      <c r="SI47">
        <v>25.085710280936802</v>
      </c>
      <c r="SJ47">
        <v>-17311.0346845118</v>
      </c>
      <c r="SK47">
        <v>-39319.375157980998</v>
      </c>
      <c r="SL47">
        <v>-17311.0346845118</v>
      </c>
      <c r="SM47">
        <v>21.1111</v>
      </c>
      <c r="SN47">
        <v>23.8889</v>
      </c>
      <c r="SO47">
        <v>250.52592151440899</v>
      </c>
      <c r="SP47">
        <v>0</v>
      </c>
      <c r="SQ47">
        <v>25.5011483897277</v>
      </c>
      <c r="SR47">
        <v>0</v>
      </c>
      <c r="SS47">
        <v>0</v>
      </c>
      <c r="ST47">
        <v>0</v>
      </c>
      <c r="SU47">
        <v>127.152554864358</v>
      </c>
      <c r="SV47">
        <v>0</v>
      </c>
      <c r="SW47">
        <v>25.431716830721001</v>
      </c>
      <c r="SX47">
        <v>0</v>
      </c>
      <c r="SY47">
        <v>0</v>
      </c>
      <c r="SZ47">
        <v>0</v>
      </c>
      <c r="TA47">
        <v>224.406556712634</v>
      </c>
      <c r="TB47">
        <v>0</v>
      </c>
      <c r="TC47">
        <v>25.379869558117601</v>
      </c>
      <c r="TD47">
        <v>0</v>
      </c>
      <c r="TE47">
        <v>0</v>
      </c>
      <c r="TF47">
        <v>0</v>
      </c>
      <c r="TG47">
        <v>105.672086100619</v>
      </c>
      <c r="TH47">
        <v>0</v>
      </c>
      <c r="TI47">
        <v>25.731749469084001</v>
      </c>
      <c r="TJ47">
        <v>0</v>
      </c>
      <c r="TK47">
        <v>0</v>
      </c>
      <c r="TL47">
        <v>0</v>
      </c>
      <c r="TM47">
        <v>2254.6031573901801</v>
      </c>
      <c r="TN47">
        <v>0</v>
      </c>
      <c r="TO47">
        <v>24.9677724335926</v>
      </c>
      <c r="TP47">
        <v>0</v>
      </c>
      <c r="TQ47">
        <v>0</v>
      </c>
      <c r="TR47">
        <v>0</v>
      </c>
      <c r="TS47">
        <v>0</v>
      </c>
      <c r="TT47">
        <v>4624.2191375212096</v>
      </c>
      <c r="TU47">
        <v>24.947564742145602</v>
      </c>
      <c r="TV47">
        <v>-4627.4219292876496</v>
      </c>
      <c r="TW47">
        <v>-13443.9145499521</v>
      </c>
      <c r="TX47">
        <v>-4627.4219292876496</v>
      </c>
      <c r="TY47">
        <v>0</v>
      </c>
      <c r="TZ47">
        <v>2978.5606364770501</v>
      </c>
      <c r="UA47">
        <v>24.944570447319499</v>
      </c>
      <c r="UB47">
        <v>-2979.0599007216902</v>
      </c>
      <c r="UC47">
        <v>-8571.7050597317593</v>
      </c>
      <c r="UD47">
        <v>-2979.0599007216902</v>
      </c>
      <c r="UE47">
        <v>0</v>
      </c>
      <c r="UF47">
        <v>4598.7696966415697</v>
      </c>
      <c r="UG47">
        <v>24.936833225999099</v>
      </c>
      <c r="UH47">
        <v>-4599.4255677057699</v>
      </c>
      <c r="UI47">
        <v>-13389.7329507136</v>
      </c>
      <c r="UJ47">
        <v>-4599.4255677057699</v>
      </c>
      <c r="UK47">
        <v>0</v>
      </c>
      <c r="UL47">
        <v>3275.9477722777001</v>
      </c>
      <c r="UM47">
        <v>25.043004696777601</v>
      </c>
      <c r="UN47">
        <v>-3287.3007453109899</v>
      </c>
      <c r="UO47">
        <v>-8808.4740239642906</v>
      </c>
      <c r="UP47">
        <v>-3287.3007453109899</v>
      </c>
      <c r="UQ47">
        <v>0</v>
      </c>
      <c r="UR47">
        <v>19321.916851195801</v>
      </c>
      <c r="US47">
        <v>24.905027660797899</v>
      </c>
      <c r="UT47">
        <v>-19405.896947389501</v>
      </c>
      <c r="UU47">
        <v>-41751.343154371702</v>
      </c>
      <c r="UV47">
        <v>-19405.896947389501</v>
      </c>
      <c r="UW47">
        <v>21.1111</v>
      </c>
      <c r="UX47">
        <v>23.8889</v>
      </c>
      <c r="UY47">
        <v>82.115991787004504</v>
      </c>
      <c r="UZ47">
        <v>0</v>
      </c>
      <c r="VA47">
        <v>25.190788034966499</v>
      </c>
      <c r="VB47">
        <v>0</v>
      </c>
      <c r="VC47">
        <v>0</v>
      </c>
      <c r="VD47">
        <v>0</v>
      </c>
      <c r="VE47">
        <v>42.246408899429802</v>
      </c>
      <c r="VF47">
        <v>0</v>
      </c>
      <c r="VG47">
        <v>25.192227831138201</v>
      </c>
      <c r="VH47">
        <v>0</v>
      </c>
      <c r="VI47">
        <v>0</v>
      </c>
      <c r="VJ47">
        <v>0</v>
      </c>
      <c r="VK47">
        <v>98.403935166681507</v>
      </c>
      <c r="VL47">
        <v>0</v>
      </c>
      <c r="VM47">
        <v>25.1426803118785</v>
      </c>
      <c r="VN47">
        <v>0</v>
      </c>
      <c r="VO47">
        <v>0</v>
      </c>
      <c r="VP47">
        <v>0</v>
      </c>
      <c r="VQ47">
        <v>0</v>
      </c>
      <c r="VR47">
        <v>23.3591675779562</v>
      </c>
      <c r="VS47">
        <v>25.354669739875199</v>
      </c>
      <c r="VT47">
        <v>0</v>
      </c>
      <c r="VU47">
        <v>0</v>
      </c>
      <c r="VV47">
        <v>0</v>
      </c>
      <c r="VW47">
        <v>1856.0818672263899</v>
      </c>
      <c r="VX47">
        <v>0</v>
      </c>
      <c r="VY47">
        <v>24.967088225475699</v>
      </c>
      <c r="VZ47">
        <v>0</v>
      </c>
      <c r="WA47">
        <v>0</v>
      </c>
      <c r="WB47">
        <v>0</v>
      </c>
      <c r="WC47">
        <v>0</v>
      </c>
      <c r="WD47">
        <v>4858.1643239096102</v>
      </c>
      <c r="WE47">
        <v>24.9745095815159</v>
      </c>
      <c r="WF47">
        <v>-4863.4415786531899</v>
      </c>
      <c r="WG47">
        <v>-13624.7184867372</v>
      </c>
      <c r="WH47">
        <v>-4863.4415786531899</v>
      </c>
      <c r="WI47">
        <v>11181994.0411443</v>
      </c>
      <c r="WJ47">
        <v>0</v>
      </c>
      <c r="WK47">
        <v>3106.1094558733998</v>
      </c>
      <c r="WL47">
        <v>24.965658780409399</v>
      </c>
      <c r="WM47">
        <v>-3106.7615212134901</v>
      </c>
      <c r="WN47">
        <v>-8667.5262556843008</v>
      </c>
      <c r="WO47">
        <v>-3106.7615212134901</v>
      </c>
      <c r="WP47">
        <v>18.333300000000001</v>
      </c>
      <c r="WQ47">
        <v>23.8889</v>
      </c>
      <c r="WR47">
        <v>0</v>
      </c>
      <c r="WS47">
        <v>4813.8939060254197</v>
      </c>
      <c r="WT47">
        <v>24.9657415353152</v>
      </c>
      <c r="WU47">
        <v>-4814.8130635451098</v>
      </c>
      <c r="WV47">
        <v>-13551.981696463799</v>
      </c>
      <c r="WW47">
        <v>-4814.8130635451098</v>
      </c>
      <c r="WX47">
        <v>12318327.307955399</v>
      </c>
      <c r="WY47">
        <v>0</v>
      </c>
      <c r="WZ47">
        <v>3421.7575855431601</v>
      </c>
      <c r="XA47">
        <v>25.0622623892388</v>
      </c>
      <c r="XB47">
        <v>-3435.1374746594802</v>
      </c>
      <c r="XC47">
        <v>-8930.7809670999704</v>
      </c>
      <c r="XD47">
        <v>-3435.1374746594802</v>
      </c>
      <c r="XE47">
        <v>0</v>
      </c>
      <c r="XF47">
        <v>21138.226698437</v>
      </c>
      <c r="XG47">
        <v>24.771778392194101</v>
      </c>
      <c r="XH47">
        <v>-21230.675247499999</v>
      </c>
      <c r="XI47">
        <v>-44038.254513749402</v>
      </c>
      <c r="XJ47">
        <v>-21230.675247499999</v>
      </c>
      <c r="XK47">
        <v>21.1111</v>
      </c>
      <c r="XL47">
        <v>23.8889</v>
      </c>
      <c r="XM47">
        <v>0</v>
      </c>
      <c r="XN47">
        <v>162.59866770086401</v>
      </c>
      <c r="XO47">
        <v>25.4198879512475</v>
      </c>
      <c r="XP47">
        <v>0</v>
      </c>
      <c r="XQ47">
        <v>0</v>
      </c>
      <c r="XR47">
        <v>0</v>
      </c>
      <c r="XS47">
        <v>0</v>
      </c>
      <c r="XT47">
        <v>80.7611905703898</v>
      </c>
      <c r="XU47">
        <v>25.3663235203136</v>
      </c>
      <c r="XV47">
        <v>0</v>
      </c>
      <c r="XW47">
        <v>0</v>
      </c>
      <c r="XX47">
        <v>0</v>
      </c>
      <c r="XY47">
        <v>0</v>
      </c>
      <c r="XZ47">
        <v>122.11364353267901</v>
      </c>
      <c r="YA47">
        <v>25.353247782717901</v>
      </c>
      <c r="YB47">
        <v>0</v>
      </c>
      <c r="YC47">
        <v>0</v>
      </c>
      <c r="YD47">
        <v>0</v>
      </c>
      <c r="YE47">
        <v>0</v>
      </c>
      <c r="YF47">
        <v>184.61091111319001</v>
      </c>
      <c r="YG47">
        <v>25.563110993256299</v>
      </c>
      <c r="YH47">
        <v>0</v>
      </c>
      <c r="YI47">
        <v>0</v>
      </c>
      <c r="YJ47">
        <v>0</v>
      </c>
      <c r="YK47">
        <v>33.328160729091898</v>
      </c>
      <c r="YL47">
        <v>46.620195331910502</v>
      </c>
      <c r="YM47">
        <v>25.403367528699999</v>
      </c>
      <c r="YN47">
        <v>0</v>
      </c>
      <c r="YO47">
        <v>0</v>
      </c>
      <c r="YP47">
        <v>0</v>
      </c>
      <c r="YQ47">
        <v>0</v>
      </c>
      <c r="YR47">
        <v>1039.3211273454399</v>
      </c>
      <c r="YS47">
        <v>19.487122137278099</v>
      </c>
      <c r="YT47">
        <v>0</v>
      </c>
      <c r="YU47">
        <v>0</v>
      </c>
      <c r="YV47">
        <v>0</v>
      </c>
      <c r="YW47">
        <v>0</v>
      </c>
      <c r="YX47">
        <v>673.79833930298503</v>
      </c>
      <c r="YY47">
        <v>19.476378808211301</v>
      </c>
      <c r="YZ47">
        <v>0</v>
      </c>
      <c r="ZA47">
        <v>0</v>
      </c>
      <c r="ZB47">
        <v>0</v>
      </c>
      <c r="ZC47">
        <v>0</v>
      </c>
      <c r="ZD47">
        <v>1038.7284173473699</v>
      </c>
      <c r="ZE47">
        <v>19.455663571882202</v>
      </c>
      <c r="ZF47">
        <v>0</v>
      </c>
      <c r="ZG47">
        <v>0</v>
      </c>
      <c r="ZH47">
        <v>0</v>
      </c>
      <c r="ZI47">
        <v>0</v>
      </c>
      <c r="ZJ47">
        <v>756.08866424215898</v>
      </c>
      <c r="ZK47">
        <v>19.499138629401799</v>
      </c>
      <c r="ZL47">
        <v>0</v>
      </c>
      <c r="ZM47">
        <v>0</v>
      </c>
      <c r="ZN47">
        <v>0</v>
      </c>
      <c r="ZO47">
        <v>0</v>
      </c>
      <c r="ZP47">
        <v>9869.1961396752504</v>
      </c>
      <c r="ZQ47">
        <v>17.8188401097023</v>
      </c>
      <c r="ZR47">
        <v>0</v>
      </c>
      <c r="ZS47">
        <v>0</v>
      </c>
      <c r="ZT47">
        <v>0</v>
      </c>
      <c r="ZU47">
        <v>0</v>
      </c>
      <c r="ZV47">
        <v>2444.2081338923799</v>
      </c>
      <c r="ZW47">
        <v>20.647778060723301</v>
      </c>
      <c r="ZX47">
        <v>0</v>
      </c>
      <c r="ZY47">
        <v>0</v>
      </c>
      <c r="ZZ47">
        <v>0</v>
      </c>
      <c r="AAA47">
        <v>0</v>
      </c>
      <c r="AAB47">
        <v>1582.30308509577</v>
      </c>
      <c r="AAC47">
        <v>20.6508415064087</v>
      </c>
      <c r="AAD47">
        <v>0</v>
      </c>
      <c r="AAE47">
        <v>0</v>
      </c>
      <c r="AAF47">
        <v>0</v>
      </c>
      <c r="AAG47">
        <v>0</v>
      </c>
      <c r="AAH47">
        <v>2432.7986425551699</v>
      </c>
      <c r="AAI47">
        <v>20.609528389481</v>
      </c>
      <c r="AAJ47">
        <v>0</v>
      </c>
      <c r="AAK47">
        <v>0</v>
      </c>
      <c r="AAL47">
        <v>0</v>
      </c>
      <c r="AAM47">
        <v>0</v>
      </c>
      <c r="AAN47">
        <v>1703.2943738399199</v>
      </c>
      <c r="AAO47">
        <v>20.633396226863599</v>
      </c>
      <c r="AAP47">
        <v>0</v>
      </c>
      <c r="AAQ47">
        <v>0</v>
      </c>
      <c r="AAR47">
        <v>0</v>
      </c>
      <c r="AAS47">
        <v>0</v>
      </c>
      <c r="AAT47">
        <v>16593.444062994098</v>
      </c>
      <c r="AAU47">
        <v>18.2561730092545</v>
      </c>
      <c r="AAV47">
        <v>0</v>
      </c>
      <c r="AAW47">
        <v>0</v>
      </c>
      <c r="AAX47">
        <v>0</v>
      </c>
      <c r="AAY47">
        <v>0</v>
      </c>
      <c r="AAZ47">
        <v>2569.2117158793799</v>
      </c>
      <c r="ABA47">
        <v>20.662562357369701</v>
      </c>
      <c r="ABB47">
        <v>0</v>
      </c>
      <c r="ABC47">
        <v>0</v>
      </c>
      <c r="ABD47">
        <v>0</v>
      </c>
      <c r="ABE47">
        <v>0</v>
      </c>
      <c r="ABF47">
        <v>1656.5869560426299</v>
      </c>
      <c r="ABG47">
        <v>20.669871617065901</v>
      </c>
      <c r="ABH47">
        <v>0</v>
      </c>
      <c r="ABI47">
        <v>0</v>
      </c>
      <c r="ABJ47">
        <v>0</v>
      </c>
      <c r="ABK47">
        <v>0</v>
      </c>
      <c r="ABL47">
        <v>2544.84273464937</v>
      </c>
      <c r="ABM47">
        <v>20.632994455326099</v>
      </c>
      <c r="ABN47">
        <v>0</v>
      </c>
      <c r="ABO47">
        <v>0</v>
      </c>
      <c r="ABP47">
        <v>0</v>
      </c>
      <c r="ABQ47">
        <v>0</v>
      </c>
      <c r="ABR47">
        <v>1790.9760064981399</v>
      </c>
      <c r="ABS47">
        <v>20.657314388060399</v>
      </c>
      <c r="ABT47">
        <v>0</v>
      </c>
      <c r="ABU47">
        <v>0</v>
      </c>
      <c r="ABV47">
        <v>0</v>
      </c>
      <c r="ABW47">
        <v>0</v>
      </c>
      <c r="ABX47">
        <v>17923.639936724099</v>
      </c>
      <c r="ABY47">
        <v>18.278512879864099</v>
      </c>
      <c r="ABZ47">
        <v>0</v>
      </c>
      <c r="ACA47">
        <v>0</v>
      </c>
      <c r="ACB47">
        <v>0</v>
      </c>
      <c r="ACC47">
        <v>0.343754372865758</v>
      </c>
      <c r="ACD47">
        <v>108675226.071391</v>
      </c>
      <c r="ACE47">
        <v>156128.77131922299</v>
      </c>
      <c r="ACF47">
        <v>10.188740477176299</v>
      </c>
      <c r="ACG47">
        <v>7.4219722772277201</v>
      </c>
      <c r="ACH47">
        <v>13.50000361399</v>
      </c>
      <c r="ACI47">
        <v>186316.334116832</v>
      </c>
      <c r="ACJ47">
        <v>5.1646755448925399</v>
      </c>
      <c r="ACK47">
        <v>21.935021210329101</v>
      </c>
      <c r="ACL47">
        <v>24.761481181254101</v>
      </c>
      <c r="ACM47">
        <v>15.7700042216757</v>
      </c>
      <c r="ACN47">
        <v>105390.341415922</v>
      </c>
      <c r="ACP47">
        <v>43598.0236406533</v>
      </c>
      <c r="ACR47">
        <v>148988.365056576</v>
      </c>
      <c r="ACT47">
        <v>25.423379191662399</v>
      </c>
      <c r="ACU47">
        <v>23.901865203607599</v>
      </c>
      <c r="ACV47">
        <v>1.7</v>
      </c>
      <c r="ACW47">
        <v>1.2883314456888499</v>
      </c>
      <c r="ACX47">
        <v>0.80003452035467904</v>
      </c>
      <c r="ACY47">
        <v>25.315030164119701</v>
      </c>
      <c r="ACZ47">
        <v>23.901788305653401</v>
      </c>
      <c r="ADA47">
        <v>1.7</v>
      </c>
      <c r="ADB47">
        <v>1.6648792140776201</v>
      </c>
      <c r="ADC47">
        <v>0.79996083684534203</v>
      </c>
      <c r="ADD47">
        <v>25.317822704012801</v>
      </c>
      <c r="ADE47">
        <v>23.907563831370201</v>
      </c>
      <c r="ADF47">
        <v>1.7</v>
      </c>
      <c r="ADG47">
        <v>1.87183811510814</v>
      </c>
      <c r="ADH47">
        <v>0.79978949400824095</v>
      </c>
      <c r="ADI47">
        <v>25.845458030327599</v>
      </c>
      <c r="ADJ47">
        <v>23.9782091167678</v>
      </c>
      <c r="ADK47">
        <v>1.7</v>
      </c>
      <c r="ADL47">
        <v>1.4795758873481999</v>
      </c>
      <c r="ADM47">
        <v>0.70230967729388405</v>
      </c>
      <c r="ADN47">
        <v>25.743285485199799</v>
      </c>
      <c r="ADO47">
        <v>23.9101714368147</v>
      </c>
      <c r="ADP47">
        <v>1.7</v>
      </c>
      <c r="ADQ47">
        <v>1.53244713087143</v>
      </c>
      <c r="ADR47">
        <v>0.70399592908225805</v>
      </c>
      <c r="ADS47">
        <v>25.733088285799699</v>
      </c>
      <c r="ADT47">
        <v>23.908507060569502</v>
      </c>
      <c r="ADU47">
        <v>1.7</v>
      </c>
      <c r="ADV47">
        <v>4.0847457362118602</v>
      </c>
      <c r="ADW47">
        <v>0.70385823218066401</v>
      </c>
      <c r="ADX47">
        <v>25.867248802684301</v>
      </c>
      <c r="ADY47">
        <v>23.9934234852145</v>
      </c>
      <c r="ADZ47">
        <v>1.7</v>
      </c>
      <c r="AEA47">
        <v>1.6378720089294201</v>
      </c>
      <c r="AEB47">
        <v>0.70149250932988005</v>
      </c>
      <c r="AEC47">
        <v>25.268292677649999</v>
      </c>
      <c r="AED47">
        <v>23.9233665026861</v>
      </c>
      <c r="AEE47">
        <v>1.7</v>
      </c>
      <c r="AEF47">
        <v>2.2963779579519601</v>
      </c>
      <c r="AEG47">
        <v>0.70327546712961897</v>
      </c>
      <c r="AEH47">
        <v>25.255672170295998</v>
      </c>
      <c r="AEI47">
        <v>23.916841016697798</v>
      </c>
      <c r="AEJ47">
        <v>1.7</v>
      </c>
      <c r="AEK47">
        <v>2.3637074044995998</v>
      </c>
      <c r="AEL47">
        <v>0.70351760724243595</v>
      </c>
      <c r="AEM47">
        <v>25.237542358270801</v>
      </c>
      <c r="AEN47">
        <v>23.9157465311282</v>
      </c>
      <c r="AEO47">
        <v>1.7</v>
      </c>
      <c r="AEP47">
        <v>3.5442653117288798</v>
      </c>
      <c r="AEQ47">
        <v>0.70340720822959901</v>
      </c>
      <c r="AER47">
        <v>25.3065898929678</v>
      </c>
      <c r="AES47">
        <v>23.9454624182492</v>
      </c>
      <c r="AET47">
        <v>1.7</v>
      </c>
      <c r="AEU47">
        <v>2.4841509258182199</v>
      </c>
      <c r="AEV47">
        <v>0.702819594874599</v>
      </c>
      <c r="AEW47">
        <v>25.264674168244699</v>
      </c>
      <c r="AEX47">
        <v>23.9262486863813</v>
      </c>
      <c r="AEY47">
        <v>1.7</v>
      </c>
      <c r="AEZ47">
        <v>2.3113333829272298</v>
      </c>
      <c r="AFA47">
        <v>0.70345599415863302</v>
      </c>
      <c r="AFB47">
        <v>25.2492341486874</v>
      </c>
      <c r="AFC47">
        <v>23.919218597907602</v>
      </c>
      <c r="AFD47">
        <v>1.7</v>
      </c>
      <c r="AFE47">
        <v>2.3713095142264602</v>
      </c>
      <c r="AFF47">
        <v>0.70373565905547697</v>
      </c>
      <c r="AFG47">
        <v>25.239830447345099</v>
      </c>
      <c r="AFH47">
        <v>23.9181511431443</v>
      </c>
      <c r="AFI47">
        <v>1.7</v>
      </c>
      <c r="AFJ47">
        <v>3.1680289562251498</v>
      </c>
      <c r="AFK47">
        <v>0.70361490150853701</v>
      </c>
      <c r="AFL47">
        <v>25.301257027217002</v>
      </c>
      <c r="AFM47">
        <v>23.949945997753598</v>
      </c>
      <c r="AFN47">
        <v>1.7</v>
      </c>
      <c r="AFO47">
        <v>2.4965024221357899</v>
      </c>
      <c r="AFP47">
        <v>0.70301750019040798</v>
      </c>
      <c r="AFQ47">
        <v>-0.49863086205782198</v>
      </c>
      <c r="AFR47">
        <v>-0.47958595379034202</v>
      </c>
      <c r="AFS47">
        <v>-0.43842028165660601</v>
      </c>
      <c r="AFT47">
        <v>-0.49497110553151802</v>
      </c>
      <c r="AFU47">
        <v>-0.45491805549174102</v>
      </c>
      <c r="AFV47">
        <v>-0.45008766227584701</v>
      </c>
      <c r="AFW47">
        <v>-0.41186011259934602</v>
      </c>
      <c r="AFX47">
        <v>-0.45009523940103402</v>
      </c>
      <c r="AFY47">
        <v>-0.43660427442160499</v>
      </c>
      <c r="AFZ47">
        <v>-0.43060469358731801</v>
      </c>
      <c r="AGA47">
        <v>-0.39390249951279099</v>
      </c>
      <c r="AGB47">
        <v>-0.43398404340138103</v>
      </c>
      <c r="AGC47">
        <v>-0.53096020635580798</v>
      </c>
      <c r="AGD47">
        <v>-0.49073548805804401</v>
      </c>
      <c r="AGE47">
        <v>-0.44493062984670301</v>
      </c>
      <c r="AGF47">
        <v>0</v>
      </c>
      <c r="AGG47">
        <v>0</v>
      </c>
      <c r="AGH47">
        <v>0</v>
      </c>
      <c r="AGI47">
        <v>0</v>
      </c>
      <c r="AGJ47">
        <v>0</v>
      </c>
      <c r="AGK47">
        <v>0</v>
      </c>
      <c r="AGL47">
        <v>0</v>
      </c>
      <c r="AGM47">
        <v>0</v>
      </c>
      <c r="AGN47">
        <v>0</v>
      </c>
      <c r="AGO47">
        <v>0</v>
      </c>
      <c r="AGP47">
        <v>0</v>
      </c>
      <c r="AGQ47">
        <v>0</v>
      </c>
      <c r="AGR47">
        <v>0</v>
      </c>
      <c r="AGS47">
        <v>0</v>
      </c>
      <c r="AGT47">
        <v>0</v>
      </c>
      <c r="AGU47">
        <v>0</v>
      </c>
      <c r="AGV47">
        <v>0</v>
      </c>
      <c r="AGW47">
        <v>0</v>
      </c>
      <c r="AGX47">
        <v>0</v>
      </c>
      <c r="AGY47">
        <v>0</v>
      </c>
      <c r="AGZ47">
        <v>0</v>
      </c>
      <c r="AHA47">
        <v>0</v>
      </c>
      <c r="AHB47">
        <v>0</v>
      </c>
      <c r="AHC47">
        <v>0</v>
      </c>
      <c r="AHD47">
        <v>0</v>
      </c>
      <c r="AHE47">
        <v>0</v>
      </c>
      <c r="AHF47">
        <v>0</v>
      </c>
      <c r="AHG47">
        <v>0</v>
      </c>
      <c r="AHH47">
        <v>0</v>
      </c>
      <c r="AHI47">
        <v>0</v>
      </c>
      <c r="AHJ47">
        <v>0</v>
      </c>
      <c r="AHK47">
        <v>0</v>
      </c>
      <c r="AHL47">
        <v>0</v>
      </c>
      <c r="AHM47">
        <v>0</v>
      </c>
      <c r="AHN47">
        <v>0</v>
      </c>
      <c r="AHO47">
        <v>0</v>
      </c>
      <c r="AHP47">
        <v>0</v>
      </c>
      <c r="AHQ47">
        <v>0</v>
      </c>
      <c r="AHR47">
        <v>0</v>
      </c>
      <c r="AHS47">
        <v>0</v>
      </c>
      <c r="AHT47">
        <v>0</v>
      </c>
      <c r="AHU47">
        <v>0</v>
      </c>
      <c r="AHV47">
        <v>0</v>
      </c>
      <c r="AHW47">
        <v>0</v>
      </c>
      <c r="AHX47">
        <v>0</v>
      </c>
      <c r="AHZ47">
        <v>0</v>
      </c>
      <c r="AIB47">
        <v>0</v>
      </c>
      <c r="AID47">
        <v>0</v>
      </c>
      <c r="AIF47">
        <v>0</v>
      </c>
      <c r="AIH47">
        <v>0</v>
      </c>
      <c r="AIJ47">
        <v>0</v>
      </c>
      <c r="AIL47">
        <v>0</v>
      </c>
      <c r="AIN47">
        <v>0</v>
      </c>
      <c r="AIP47">
        <v>0</v>
      </c>
      <c r="AIR47">
        <v>0</v>
      </c>
      <c r="AIT47">
        <v>0</v>
      </c>
      <c r="AIV47">
        <v>0</v>
      </c>
      <c r="AIX47">
        <v>0</v>
      </c>
      <c r="AIZ47">
        <v>0</v>
      </c>
      <c r="AJB47">
        <v>0</v>
      </c>
      <c r="AJC47">
        <v>0</v>
      </c>
      <c r="AJE47">
        <v>178181.69397638299</v>
      </c>
      <c r="AJH47">
        <v>4444.9129865397799</v>
      </c>
      <c r="AJJ47">
        <v>679.18010237077601</v>
      </c>
      <c r="AJK47">
        <v>61.9156273470321</v>
      </c>
      <c r="AJL47">
        <v>70.835126612842501</v>
      </c>
      <c r="AJM47">
        <v>182.87053072119801</v>
      </c>
      <c r="AJN47">
        <v>94.754205283071499</v>
      </c>
      <c r="AJO47">
        <v>65.650559715157698</v>
      </c>
      <c r="AJP47">
        <v>75.563667045618303</v>
      </c>
      <c r="AJQ47">
        <v>165.58675631047899</v>
      </c>
      <c r="AJR47">
        <v>101.36855819728</v>
      </c>
      <c r="AJS47">
        <v>31.5344291907066</v>
      </c>
      <c r="AJT47">
        <v>35.900937801642797</v>
      </c>
      <c r="AJU47">
        <v>76.181592840754305</v>
      </c>
      <c r="AJV47">
        <v>47.980404475339299</v>
      </c>
      <c r="AJW47">
        <v>0</v>
      </c>
      <c r="AJX47">
        <v>0</v>
      </c>
      <c r="AJY47">
        <v>0</v>
      </c>
      <c r="AJZ47">
        <v>154445.072507137</v>
      </c>
      <c r="AKA47">
        <v>0</v>
      </c>
      <c r="AKB47">
        <v>0</v>
      </c>
      <c r="AKC47">
        <v>0</v>
      </c>
      <c r="AKD47">
        <v>0</v>
      </c>
      <c r="AKE47">
        <v>65.56</v>
      </c>
      <c r="AKF47">
        <v>65.56</v>
      </c>
      <c r="AKG47">
        <v>0</v>
      </c>
      <c r="AKH47">
        <v>0</v>
      </c>
      <c r="AKI47">
        <v>0</v>
      </c>
      <c r="AKJ47">
        <v>0</v>
      </c>
      <c r="AKK47">
        <v>0</v>
      </c>
      <c r="AKL47">
        <v>65.56</v>
      </c>
      <c r="AKM47">
        <v>65.56</v>
      </c>
      <c r="AKN47">
        <v>0</v>
      </c>
      <c r="AKO47">
        <v>0</v>
      </c>
      <c r="AKP47">
        <v>0</v>
      </c>
      <c r="AKT47">
        <v>6734795.2483461499</v>
      </c>
      <c r="AKX47">
        <v>6078357.7937538503</v>
      </c>
      <c r="ALB47">
        <v>24.784533689068802</v>
      </c>
      <c r="ALC47">
        <v>21.3723011680623</v>
      </c>
      <c r="ALD47">
        <v>15.7700042216757</v>
      </c>
      <c r="ALE47">
        <v>224929.65087354099</v>
      </c>
      <c r="ALF47">
        <v>3717.0161802319799</v>
      </c>
      <c r="ALH47">
        <v>15.3002822250936</v>
      </c>
      <c r="ALI47">
        <v>8.86013717366467E-3</v>
      </c>
      <c r="ALJ47">
        <v>13.922252506438699</v>
      </c>
      <c r="ALK47">
        <v>25.055992361662799</v>
      </c>
      <c r="ALL47">
        <v>13.922252506438699</v>
      </c>
      <c r="ALM47">
        <v>0</v>
      </c>
      <c r="ALN47">
        <v>25.163613688585599</v>
      </c>
      <c r="ALO47">
        <v>9.6207958019347197E-3</v>
      </c>
      <c r="ALP47">
        <v>48.199769956962001</v>
      </c>
      <c r="ALQ47">
        <v>13.922252506438699</v>
      </c>
      <c r="ALR47">
        <v>15.3002822250936</v>
      </c>
      <c r="ALS47">
        <v>13.922252506438699</v>
      </c>
      <c r="ALT47">
        <v>15.559996350298199</v>
      </c>
      <c r="ALU47">
        <v>13.922252506438699</v>
      </c>
      <c r="ALV47">
        <v>7.0013340508431101</v>
      </c>
      <c r="ALW47">
        <v>2.5923348018481699E-3</v>
      </c>
      <c r="ALX47">
        <v>23.432222315738599</v>
      </c>
      <c r="ALY47">
        <v>2.5923348018481699E-3</v>
      </c>
      <c r="ALZ47">
        <v>0</v>
      </c>
      <c r="AMA47">
        <v>10.188740477176299</v>
      </c>
      <c r="AMB47">
        <v>1.35E-2</v>
      </c>
      <c r="AMC47">
        <v>10.1589035400621</v>
      </c>
      <c r="AMD47">
        <v>1.35E-2</v>
      </c>
      <c r="AME47">
        <v>7.4219722772277201</v>
      </c>
      <c r="AMF47">
        <v>1.35E-2</v>
      </c>
      <c r="AMG47">
        <v>1.5769999999999999E-2</v>
      </c>
      <c r="AMH47">
        <v>9.0277199132956394</v>
      </c>
      <c r="AMI47">
        <v>19.5902397528526</v>
      </c>
      <c r="AMJ47">
        <v>0.364975134769846</v>
      </c>
      <c r="AMK47" s="580">
        <v>17.814495547275701</v>
      </c>
      <c r="AML47">
        <v>1.8389578843408301</v>
      </c>
      <c r="AMM47">
        <v>19.550413667244701</v>
      </c>
      <c r="AMN47">
        <v>0.32973410174179202</v>
      </c>
      <c r="AMO47">
        <v>19.573008962140001</v>
      </c>
      <c r="AMP47">
        <v>0.50533232467045497</v>
      </c>
      <c r="AMQ47">
        <v>19.571911191398499</v>
      </c>
      <c r="AMR47">
        <v>0.51473710096626102</v>
      </c>
      <c r="AMS47">
        <v>18.250202449728398</v>
      </c>
      <c r="AMT47">
        <v>2.2208932597064801</v>
      </c>
      <c r="AMU47">
        <v>20.739941289803301</v>
      </c>
      <c r="AMV47">
        <v>0.53602886613091305</v>
      </c>
      <c r="AMW47">
        <v>20.726436589211801</v>
      </c>
      <c r="AMX47">
        <v>0.58124531217882003</v>
      </c>
      <c r="AMY47">
        <v>20.7357014456177</v>
      </c>
      <c r="AMZ47">
        <v>0.82906857540898404</v>
      </c>
      <c r="ANA47">
        <v>20.780931399724999</v>
      </c>
      <c r="ANB47">
        <v>0.83858346209448498</v>
      </c>
      <c r="ANC47">
        <v>18.273935083856902</v>
      </c>
      <c r="AND47">
        <v>2.4372297680791499</v>
      </c>
      <c r="ANE47">
        <v>20.759938106719801</v>
      </c>
      <c r="ANF47">
        <v>0.56229490523774195</v>
      </c>
      <c r="ANG47">
        <v>20.751105690073199</v>
      </c>
      <c r="ANH47">
        <v>0.61112713782568195</v>
      </c>
      <c r="ANI47">
        <v>20.751247693876799</v>
      </c>
      <c r="ANJ47">
        <v>0.87473899479092199</v>
      </c>
      <c r="ANK47">
        <v>20.780492116085401</v>
      </c>
      <c r="ANL47">
        <v>0.87730567849632202</v>
      </c>
      <c r="ANM47">
        <v>3.5537365464891799</v>
      </c>
      <c r="ANN47">
        <v>5.0058194755196803</v>
      </c>
      <c r="ANO47">
        <v>5.3626964844298204</v>
      </c>
      <c r="ANP47">
        <v>17.814495547275701</v>
      </c>
      <c r="ANQ47">
        <v>19.472642219135501</v>
      </c>
      <c r="ANR47">
        <v>19.510250132398699</v>
      </c>
      <c r="ANS47">
        <v>19.451584060858998</v>
      </c>
      <c r="ANT47">
        <v>19.495791959544</v>
      </c>
      <c r="ANU47">
        <v>18.250202449728398</v>
      </c>
      <c r="ANV47">
        <v>20.646011570873299</v>
      </c>
      <c r="ANW47">
        <v>20.6273540912497</v>
      </c>
      <c r="ANX47">
        <v>20.603622821615801</v>
      </c>
      <c r="ANY47">
        <v>20.642763331072199</v>
      </c>
      <c r="ANZ47">
        <v>18.273935083856902</v>
      </c>
      <c r="AOA47">
        <v>20.6650014258135</v>
      </c>
      <c r="AOB47">
        <v>20.650591785398198</v>
      </c>
      <c r="AOC47">
        <v>20.627048332482602</v>
      </c>
      <c r="AOD47">
        <v>20.657021119246501</v>
      </c>
      <c r="AOE47">
        <v>25.163613688585599</v>
      </c>
      <c r="AOF47">
        <v>9.0277199132956394</v>
      </c>
      <c r="AOG47">
        <v>25.215742098010001</v>
      </c>
      <c r="AOH47">
        <v>9.0277199132956394</v>
      </c>
    </row>
    <row r="48" spans="1:1074">
      <c r="A48" t="s">
        <v>2618</v>
      </c>
      <c r="B48">
        <v>23.7103</v>
      </c>
      <c r="D48">
        <v>16.575916680869899</v>
      </c>
      <c r="F48">
        <v>9</v>
      </c>
      <c r="G48">
        <v>7186761.1670060297</v>
      </c>
      <c r="H48">
        <v>15519235.8778385</v>
      </c>
      <c r="I48">
        <v>4564021.8183342796</v>
      </c>
      <c r="J48">
        <v>9855640.04485186</v>
      </c>
      <c r="K48">
        <v>7186761.1670060297</v>
      </c>
      <c r="L48">
        <v>15519235.8778385</v>
      </c>
      <c r="M48">
        <v>4564021.8183342796</v>
      </c>
      <c r="N48">
        <v>9855640.04485186</v>
      </c>
      <c r="O48">
        <v>37063527.301311299</v>
      </c>
      <c r="P48">
        <v>80035722.5302618</v>
      </c>
      <c r="Q48">
        <v>7186761.1670060297</v>
      </c>
      <c r="R48">
        <v>15519235.8778385</v>
      </c>
      <c r="S48">
        <v>4564021.8183342796</v>
      </c>
      <c r="T48">
        <v>9855640.04485186</v>
      </c>
      <c r="U48">
        <v>7186761.1670060297</v>
      </c>
      <c r="V48">
        <v>15519235.8778385</v>
      </c>
      <c r="W48">
        <v>4564021.8183342796</v>
      </c>
      <c r="X48">
        <v>9855640.04485186</v>
      </c>
      <c r="Y48">
        <v>37063527.301311299</v>
      </c>
      <c r="Z48">
        <v>80035722.5302618</v>
      </c>
      <c r="AA48">
        <v>7186761.1670060297</v>
      </c>
      <c r="AB48">
        <v>15519235.8778385</v>
      </c>
      <c r="AC48">
        <v>4564021.8183342796</v>
      </c>
      <c r="AD48">
        <v>9855640.04485186</v>
      </c>
      <c r="AE48">
        <v>7186761.1670060297</v>
      </c>
      <c r="AF48">
        <v>15519235.8778385</v>
      </c>
      <c r="AG48">
        <v>4564021.8183342796</v>
      </c>
      <c r="AH48">
        <v>9855640.04485186</v>
      </c>
      <c r="AI48">
        <v>37063527.301311299</v>
      </c>
      <c r="AJ48">
        <v>80035722.5302618</v>
      </c>
      <c r="AK48">
        <v>1.18581142514032</v>
      </c>
      <c r="AL48">
        <v>197803.02193463501</v>
      </c>
      <c r="AM48">
        <v>512270.53566061897</v>
      </c>
      <c r="AN48">
        <v>1.18581142514032</v>
      </c>
      <c r="AO48">
        <v>197803.02193463501</v>
      </c>
      <c r="AP48">
        <v>512270.53566061897</v>
      </c>
      <c r="AQ48">
        <v>0.75306095346774204</v>
      </c>
      <c r="AR48">
        <v>125616.7120158</v>
      </c>
      <c r="AS48">
        <v>325322.331898064</v>
      </c>
      <c r="AT48">
        <v>0.75306095346774105</v>
      </c>
      <c r="AU48">
        <v>125616.7120158</v>
      </c>
      <c r="AV48">
        <v>325322.331898064</v>
      </c>
      <c r="AW48">
        <v>1.18581142514032</v>
      </c>
      <c r="AX48">
        <v>197803.02193463501</v>
      </c>
      <c r="AY48">
        <v>512270.53566061897</v>
      </c>
      <c r="AZ48">
        <v>1.18581142514032</v>
      </c>
      <c r="BA48">
        <v>197803.02193463501</v>
      </c>
      <c r="BB48">
        <v>512270.53566061897</v>
      </c>
      <c r="BC48">
        <v>0.75306095346774204</v>
      </c>
      <c r="BD48">
        <v>125616.7120158</v>
      </c>
      <c r="BE48">
        <v>325322.331898064</v>
      </c>
      <c r="BF48">
        <v>0.75306095346774105</v>
      </c>
      <c r="BG48">
        <v>125616.7120158</v>
      </c>
      <c r="BH48">
        <v>325322.331898064</v>
      </c>
      <c r="BI48">
        <v>1.18581142514032</v>
      </c>
      <c r="BJ48">
        <v>197803.02193463501</v>
      </c>
      <c r="BK48">
        <v>512270.53566061897</v>
      </c>
      <c r="BL48">
        <v>1.18581142514032</v>
      </c>
      <c r="BM48">
        <v>197803.02193463501</v>
      </c>
      <c r="BN48">
        <v>512270.53566061897</v>
      </c>
      <c r="BO48">
        <v>0.75306095346774204</v>
      </c>
      <c r="BP48">
        <v>125616.7120158</v>
      </c>
      <c r="BQ48">
        <v>325322.331898064</v>
      </c>
      <c r="BR48">
        <v>0.75306095346774105</v>
      </c>
      <c r="BS48">
        <v>125616.7120158</v>
      </c>
      <c r="BT48">
        <v>325322.331898064</v>
      </c>
      <c r="BU48">
        <v>2641878.9414181202</v>
      </c>
      <c r="BV48">
        <v>6.1154605125419401</v>
      </c>
      <c r="BW48">
        <v>1020108.71564978</v>
      </c>
      <c r="BX48">
        <v>2641878.9414181202</v>
      </c>
      <c r="BY48">
        <v>6.1154605125419401</v>
      </c>
      <c r="BZ48">
        <v>1020108.71564978</v>
      </c>
      <c r="CA48">
        <v>2641878.9414181202</v>
      </c>
      <c r="CB48">
        <v>6.1154605125419401</v>
      </c>
      <c r="CC48">
        <v>1020108.71564978</v>
      </c>
      <c r="CD48">
        <v>2641878.9414181202</v>
      </c>
      <c r="CE48">
        <v>3773179.8574618599</v>
      </c>
      <c r="CF48">
        <v>8575408.7669587694</v>
      </c>
      <c r="CG48">
        <v>3773179.8574618599</v>
      </c>
      <c r="CH48">
        <v>8575408.7669587694</v>
      </c>
      <c r="CI48">
        <v>2396194.1678283801</v>
      </c>
      <c r="CJ48">
        <v>5445895.8359735999</v>
      </c>
      <c r="CK48">
        <v>2396194.1678283801</v>
      </c>
      <c r="CL48">
        <v>5445895.8359735999</v>
      </c>
      <c r="CM48">
        <v>3773179.8574618599</v>
      </c>
      <c r="CN48">
        <v>8575408.7669587694</v>
      </c>
      <c r="CO48">
        <v>3773179.8574618599</v>
      </c>
      <c r="CP48">
        <v>8575408.7669587694</v>
      </c>
      <c r="CQ48">
        <v>2396194.1678283801</v>
      </c>
      <c r="CR48">
        <v>5445895.8359735999</v>
      </c>
      <c r="CS48">
        <v>2396194.1678283801</v>
      </c>
      <c r="CT48">
        <v>5445895.8359735999</v>
      </c>
      <c r="CU48">
        <v>3773179.8574618599</v>
      </c>
      <c r="CV48">
        <v>8575408.7669587694</v>
      </c>
      <c r="CW48">
        <v>3773179.8574618599</v>
      </c>
      <c r="CX48">
        <v>8575408.7669587694</v>
      </c>
      <c r="CY48">
        <v>2396194.1678283801</v>
      </c>
      <c r="CZ48">
        <v>5445895.8359735999</v>
      </c>
      <c r="DA48">
        <v>2396194.1678283801</v>
      </c>
      <c r="DB48">
        <v>5445895.8359735999</v>
      </c>
      <c r="DC48">
        <v>19459023.5309093</v>
      </c>
      <c r="DD48">
        <v>44225053.479339302</v>
      </c>
      <c r="DE48">
        <v>19459023.5309093</v>
      </c>
      <c r="DF48">
        <v>44225053.479339302</v>
      </c>
      <c r="DG48">
        <v>19459023.5309093</v>
      </c>
      <c r="DH48">
        <v>44225053.479339302</v>
      </c>
      <c r="DI48">
        <v>3215778.2876095399</v>
      </c>
      <c r="DJ48">
        <v>6431556.5752190799</v>
      </c>
      <c r="DK48">
        <v>3215778.2876095399</v>
      </c>
      <c r="DL48">
        <v>6431556.5752190799</v>
      </c>
      <c r="DM48">
        <v>2042210.9384901</v>
      </c>
      <c r="DN48">
        <v>4084421.8769801999</v>
      </c>
      <c r="DO48">
        <v>2042210.9384901</v>
      </c>
      <c r="DP48">
        <v>4084421.8769801999</v>
      </c>
      <c r="DQ48">
        <v>3215778.2876095399</v>
      </c>
      <c r="DR48">
        <v>6431556.5752190799</v>
      </c>
      <c r="DS48">
        <v>3215778.2876095399</v>
      </c>
      <c r="DT48">
        <v>6431556.5752190799</v>
      </c>
      <c r="DU48">
        <v>2042210.9384901</v>
      </c>
      <c r="DV48">
        <v>4084421.8769801999</v>
      </c>
      <c r="DW48">
        <v>2042210.9384901</v>
      </c>
      <c r="DX48">
        <v>4084421.8769801999</v>
      </c>
      <c r="DY48">
        <v>3215778.2876095399</v>
      </c>
      <c r="DZ48">
        <v>6431556.5752190799</v>
      </c>
      <c r="EA48">
        <v>3215778.2876095399</v>
      </c>
      <c r="EB48">
        <v>6431556.5752190799</v>
      </c>
      <c r="EC48">
        <v>2042210.9384901</v>
      </c>
      <c r="ED48">
        <v>4084421.8769801999</v>
      </c>
      <c r="EE48">
        <v>2042210.9384901</v>
      </c>
      <c r="EF48">
        <v>4084421.8769801999</v>
      </c>
      <c r="EG48">
        <v>16584395.054752201</v>
      </c>
      <c r="EH48">
        <v>33168790.109504402</v>
      </c>
      <c r="EI48">
        <v>16584395.054752201</v>
      </c>
      <c r="EJ48">
        <v>33168790.109504402</v>
      </c>
      <c r="EK48">
        <v>16584395.054752201</v>
      </c>
      <c r="EL48">
        <v>33168790.109504402</v>
      </c>
      <c r="EM48">
        <v>0</v>
      </c>
      <c r="EN48">
        <v>0</v>
      </c>
      <c r="EO48">
        <v>0</v>
      </c>
      <c r="EP48">
        <v>0</v>
      </c>
      <c r="EQ48">
        <v>0</v>
      </c>
      <c r="ER48">
        <v>0</v>
      </c>
      <c r="ES48">
        <v>0</v>
      </c>
      <c r="ET48">
        <v>0</v>
      </c>
      <c r="EU48">
        <v>0</v>
      </c>
      <c r="EV48">
        <v>0</v>
      </c>
      <c r="EW48">
        <v>0</v>
      </c>
      <c r="EX48">
        <v>0</v>
      </c>
      <c r="EY48">
        <v>0</v>
      </c>
      <c r="EZ48">
        <v>0</v>
      </c>
      <c r="FA48">
        <v>0</v>
      </c>
      <c r="FB48">
        <v>0</v>
      </c>
      <c r="FC48">
        <v>0</v>
      </c>
      <c r="FD48">
        <v>0</v>
      </c>
      <c r="FE48">
        <v>0</v>
      </c>
      <c r="FF48">
        <v>0</v>
      </c>
      <c r="FG48">
        <v>0</v>
      </c>
      <c r="FH48">
        <v>0</v>
      </c>
      <c r="FI48">
        <v>0</v>
      </c>
      <c r="FJ48">
        <v>0</v>
      </c>
      <c r="FK48">
        <v>0</v>
      </c>
      <c r="FL48">
        <v>0</v>
      </c>
      <c r="FM48">
        <v>0</v>
      </c>
      <c r="FN48">
        <v>0</v>
      </c>
      <c r="FO48">
        <v>0</v>
      </c>
      <c r="FP48">
        <v>0</v>
      </c>
      <c r="FQ48">
        <v>0</v>
      </c>
      <c r="FR48">
        <v>0</v>
      </c>
      <c r="FS48">
        <v>0</v>
      </c>
      <c r="FT48">
        <v>0</v>
      </c>
      <c r="FU48">
        <v>0</v>
      </c>
      <c r="FV48">
        <v>0</v>
      </c>
      <c r="FW48">
        <v>0</v>
      </c>
      <c r="FX48">
        <v>0</v>
      </c>
      <c r="FY48">
        <v>0</v>
      </c>
      <c r="FZ48">
        <v>0</v>
      </c>
      <c r="GA48">
        <v>0</v>
      </c>
      <c r="GB48">
        <v>-22.834802911375501</v>
      </c>
      <c r="GC48">
        <v>-325.07522379921102</v>
      </c>
      <c r="GD48">
        <v>-251.61919008537501</v>
      </c>
      <c r="GE48">
        <v>-23.522076669998999</v>
      </c>
      <c r="GF48">
        <v>-204.06508417430999</v>
      </c>
      <c r="GG48">
        <v>-155.96559093568601</v>
      </c>
      <c r="GH48">
        <v>-38.0627887891619</v>
      </c>
      <c r="GI48">
        <v>-328.60256942802903</v>
      </c>
      <c r="GJ48">
        <v>-256.29789584707402</v>
      </c>
      <c r="GK48">
        <v>7.1570992288609103</v>
      </c>
      <c r="GL48">
        <v>-193.65531256613301</v>
      </c>
      <c r="GM48">
        <v>-146.56471721352699</v>
      </c>
      <c r="GN48">
        <v>7.74214739751985</v>
      </c>
      <c r="GO48">
        <v>25.072338512168301</v>
      </c>
      <c r="GP48">
        <v>25.4953437405645</v>
      </c>
      <c r="GQ48">
        <v>19.8656757955095</v>
      </c>
      <c r="GR48">
        <v>-92.249811128548998</v>
      </c>
      <c r="GS48">
        <v>-523.57855442878099</v>
      </c>
      <c r="GT48">
        <v>2.1212410765636198</v>
      </c>
      <c r="GU48">
        <v>25.099560411531399</v>
      </c>
      <c r="GV48">
        <v>25.503134641713501</v>
      </c>
      <c r="GW48">
        <v>12.803237507348401</v>
      </c>
      <c r="GX48">
        <v>-49.0967990186275</v>
      </c>
      <c r="GY48">
        <v>-285.55090440020399</v>
      </c>
      <c r="GZ48">
        <v>2.2486725380718799</v>
      </c>
      <c r="HA48">
        <v>25.0360801885382</v>
      </c>
      <c r="HB48">
        <v>25.483814149779601</v>
      </c>
      <c r="HC48">
        <v>23.282912940127801</v>
      </c>
      <c r="HD48">
        <v>-86.621035553235401</v>
      </c>
      <c r="HE48">
        <v>-499.74962171941598</v>
      </c>
      <c r="HF48">
        <v>9.5873413914454897</v>
      </c>
      <c r="HG48">
        <v>25.345948059406702</v>
      </c>
      <c r="HH48">
        <v>25.7537686540892</v>
      </c>
      <c r="HI48">
        <v>13.655813181055301</v>
      </c>
      <c r="HJ48">
        <v>-49.500853454140803</v>
      </c>
      <c r="HK48">
        <v>-318.26040988027501</v>
      </c>
      <c r="HL48">
        <v>-1.5009805921405199</v>
      </c>
      <c r="HM48">
        <v>26.0901798223633</v>
      </c>
      <c r="HN48">
        <v>26.0086408891361</v>
      </c>
      <c r="HO48">
        <v>-8.1981560315375894</v>
      </c>
      <c r="HP48">
        <v>-160.320857355768</v>
      </c>
      <c r="HQ48">
        <v>25.8075049653919</v>
      </c>
      <c r="HR48">
        <v>-196.54113735486899</v>
      </c>
      <c r="HS48">
        <v>-7.28035721042151</v>
      </c>
      <c r="HT48">
        <v>26.129398814756101</v>
      </c>
      <c r="HU48">
        <v>26.064998601192901</v>
      </c>
      <c r="HV48">
        <v>-2.2168076587956</v>
      </c>
      <c r="HW48">
        <v>-99.2966129435586</v>
      </c>
      <c r="HX48">
        <v>25.837187758881001</v>
      </c>
      <c r="HY48">
        <v>-121.202000392523</v>
      </c>
      <c r="HZ48">
        <v>26.078622292040599</v>
      </c>
      <c r="IA48">
        <v>26.039871481898398</v>
      </c>
      <c r="IB48">
        <v>-11.2433451946975</v>
      </c>
      <c r="IC48">
        <v>-13.7479475341302</v>
      </c>
      <c r="ID48">
        <v>-166.81897517882101</v>
      </c>
      <c r="IE48">
        <v>25.797922281881299</v>
      </c>
      <c r="IF48">
        <v>-202.21171011153399</v>
      </c>
      <c r="IG48">
        <v>1.19065853747346</v>
      </c>
      <c r="IH48">
        <v>26.288373972382001</v>
      </c>
      <c r="II48">
        <v>26.135901344753201</v>
      </c>
      <c r="IJ48">
        <v>-1.6858081269101199</v>
      </c>
      <c r="IK48">
        <v>1.2358043136647101</v>
      </c>
      <c r="IL48">
        <v>18.2226768971727</v>
      </c>
      <c r="IM48">
        <v>-82.465373349130701</v>
      </c>
      <c r="IN48">
        <v>26.068651082645001</v>
      </c>
      <c r="IO48">
        <v>1.2448965151170901</v>
      </c>
      <c r="IP48">
        <v>-109.804462178536</v>
      </c>
      <c r="IQ48">
        <v>-40.147112854334701</v>
      </c>
      <c r="IR48">
        <v>-17.766682934298998</v>
      </c>
      <c r="IS48">
        <v>-34.3603651441856</v>
      </c>
      <c r="IT48">
        <v>-10.0849200609001</v>
      </c>
      <c r="IU48">
        <v>-1884.3000985502599</v>
      </c>
      <c r="IV48">
        <v>8.9556513506008795</v>
      </c>
      <c r="IW48">
        <v>25.202804177456201</v>
      </c>
      <c r="IX48">
        <v>25.8075049653919</v>
      </c>
      <c r="IY48">
        <v>48.191353610622997</v>
      </c>
      <c r="IZ48">
        <v>-68.842219033615706</v>
      </c>
      <c r="JA48">
        <v>-607.90689100449197</v>
      </c>
      <c r="JB48">
        <v>2.92554996555908</v>
      </c>
      <c r="JC48">
        <v>25.243752569320002</v>
      </c>
      <c r="JD48">
        <v>25.837187758881001</v>
      </c>
      <c r="JE48">
        <v>31.479408120302001</v>
      </c>
      <c r="JF48">
        <v>-36.188033174573398</v>
      </c>
      <c r="JG48">
        <v>-347.48593589136999</v>
      </c>
      <c r="JH48">
        <v>3.4491430854577301</v>
      </c>
      <c r="JI48">
        <v>25.166910595700902</v>
      </c>
      <c r="JJ48">
        <v>25.797922281881299</v>
      </c>
      <c r="JK48">
        <v>51.699642485836101</v>
      </c>
      <c r="JL48">
        <v>-67.1107171507998</v>
      </c>
      <c r="JM48">
        <v>-596.94636196248302</v>
      </c>
      <c r="JN48">
        <v>10.256797231617799</v>
      </c>
      <c r="JO48">
        <v>25.474393391988102</v>
      </c>
      <c r="JP48">
        <v>26.068651082645001</v>
      </c>
      <c r="JQ48">
        <v>0.91601640546344898</v>
      </c>
      <c r="JR48">
        <v>34.176794227447402</v>
      </c>
      <c r="JS48">
        <v>0.92723012376038805</v>
      </c>
      <c r="JT48">
        <v>-32.703935969621703</v>
      </c>
      <c r="JU48">
        <v>-360.21726120901502</v>
      </c>
      <c r="JV48">
        <v>3.5338070692884598</v>
      </c>
      <c r="JW48">
        <v>-153.968177292734</v>
      </c>
      <c r="JX48">
        <v>-155.351142976039</v>
      </c>
      <c r="JY48">
        <v>-5.2856748611867301</v>
      </c>
      <c r="JZ48">
        <v>-97.003065881700607</v>
      </c>
      <c r="KA48">
        <v>-102.003306927298</v>
      </c>
      <c r="KB48">
        <v>-10.039553360232601</v>
      </c>
      <c r="KC48">
        <v>-161.68467022556001</v>
      </c>
      <c r="KD48">
        <v>-164.30520169002801</v>
      </c>
      <c r="KE48">
        <v>20.828575830554801</v>
      </c>
      <c r="KF48">
        <v>25.498029613014701</v>
      </c>
      <c r="KG48">
        <v>-48.244682137701098</v>
      </c>
      <c r="KH48">
        <v>0.90122260274117805</v>
      </c>
      <c r="KI48">
        <v>-79.128463799617705</v>
      </c>
      <c r="KJ48">
        <v>-87.268935300882603</v>
      </c>
      <c r="KK48">
        <v>21.194436336248401</v>
      </c>
      <c r="KL48">
        <v>25.559775195573302</v>
      </c>
      <c r="KM48">
        <v>26.029028771836199</v>
      </c>
      <c r="KN48">
        <v>83.300528283296799</v>
      </c>
      <c r="KO48">
        <v>25.179290969846299</v>
      </c>
      <c r="KP48">
        <v>17.721752707475101</v>
      </c>
      <c r="KQ48">
        <v>-2.30938786611918</v>
      </c>
      <c r="KR48">
        <v>-411.38975819994698</v>
      </c>
      <c r="KS48">
        <v>9.7023752902668097</v>
      </c>
      <c r="KT48">
        <v>25.517796725576599</v>
      </c>
      <c r="KU48">
        <v>26.014914345447199</v>
      </c>
      <c r="KV48">
        <v>54.237172914999697</v>
      </c>
      <c r="KW48">
        <v>25.126891276116201</v>
      </c>
      <c r="KX48">
        <v>17.8142962168974</v>
      </c>
      <c r="KY48">
        <v>-2.6311903903825402</v>
      </c>
      <c r="KZ48">
        <v>-260.52734354139</v>
      </c>
      <c r="LA48">
        <v>13.3011137520425</v>
      </c>
      <c r="LB48">
        <v>25.503117086305501</v>
      </c>
      <c r="LC48">
        <v>26.008431425142</v>
      </c>
      <c r="LD48">
        <v>85.433445038047793</v>
      </c>
      <c r="LE48">
        <v>25.107912696920099</v>
      </c>
      <c r="LF48">
        <v>17.7192699895134</v>
      </c>
      <c r="LG48">
        <v>-5.0602785331672298</v>
      </c>
      <c r="LH48">
        <v>-415.68342426555199</v>
      </c>
      <c r="LI48">
        <v>20.4908266661642</v>
      </c>
      <c r="LJ48">
        <v>25.7906685346396</v>
      </c>
      <c r="LK48">
        <v>26.264220662057699</v>
      </c>
      <c r="LL48">
        <v>64.319580282074696</v>
      </c>
      <c r="LM48">
        <v>25.424003973387499</v>
      </c>
      <c r="LN48">
        <v>18.189823409376</v>
      </c>
      <c r="LO48">
        <v>2.1016375383603498</v>
      </c>
      <c r="LP48">
        <v>-247.85119381770201</v>
      </c>
      <c r="LQ48">
        <v>19.083886423430201</v>
      </c>
      <c r="LR48">
        <v>20.012951096334799</v>
      </c>
      <c r="LS48">
        <v>16.420999999999999</v>
      </c>
      <c r="LT48">
        <v>-151.08325089800701</v>
      </c>
      <c r="LU48">
        <v>-1716.3531270631599</v>
      </c>
      <c r="LV48">
        <v>21.575361076304599</v>
      </c>
      <c r="LW48">
        <v>24.375645168135399</v>
      </c>
      <c r="LX48">
        <v>434.48123969473698</v>
      </c>
      <c r="LY48">
        <v>10.612319607828701</v>
      </c>
      <c r="LZ48">
        <v>20.057674562939301</v>
      </c>
      <c r="MA48">
        <v>16.420999999999999</v>
      </c>
      <c r="MB48">
        <v>-89.227823702011406</v>
      </c>
      <c r="MC48">
        <v>-1055.0397849442099</v>
      </c>
      <c r="MD48">
        <v>21.585703278160299</v>
      </c>
      <c r="ME48">
        <v>24.383689487431901</v>
      </c>
      <c r="MF48">
        <v>274.43089359721603</v>
      </c>
      <c r="MG48">
        <v>15.3816904488561</v>
      </c>
      <c r="MH48">
        <v>20.011598285265102</v>
      </c>
      <c r="MI48">
        <v>16.420999999999999</v>
      </c>
      <c r="MJ48">
        <v>-144.61716965650899</v>
      </c>
      <c r="MK48">
        <v>-1680.6756911623399</v>
      </c>
      <c r="ML48">
        <v>21.551387100584702</v>
      </c>
      <c r="MM48">
        <v>24.369011589862399</v>
      </c>
      <c r="MN48">
        <v>432.44967357684197</v>
      </c>
      <c r="MO48">
        <v>15.459920119263399</v>
      </c>
      <c r="MP48">
        <v>20.118288172686</v>
      </c>
      <c r="MQ48">
        <v>16.420999999999999</v>
      </c>
      <c r="MR48">
        <v>-97.723142879151894</v>
      </c>
      <c r="MS48">
        <v>-1144.5383408248399</v>
      </c>
      <c r="MT48">
        <v>21.7648210574425</v>
      </c>
      <c r="MU48">
        <v>24.629521025548701</v>
      </c>
      <c r="MV48">
        <v>294.13847461634901</v>
      </c>
      <c r="MW48">
        <v>22.1443205706064</v>
      </c>
      <c r="MX48">
        <v>23.407606560631901</v>
      </c>
      <c r="MY48">
        <v>24.661730593807899</v>
      </c>
      <c r="MZ48">
        <v>375.550567673785</v>
      </c>
      <c r="NA48">
        <v>192.70769828215001</v>
      </c>
      <c r="NB48">
        <v>23.629901726980101</v>
      </c>
      <c r="NC48">
        <v>25.2413067626394</v>
      </c>
      <c r="ND48">
        <v>395.78654089466602</v>
      </c>
      <c r="NE48">
        <v>13.067915857052901</v>
      </c>
      <c r="NF48">
        <v>23.485648817040801</v>
      </c>
      <c r="NG48">
        <v>24.729648913749699</v>
      </c>
      <c r="NH48">
        <v>249.85791454892799</v>
      </c>
      <c r="NI48">
        <v>167.817557320925</v>
      </c>
      <c r="NJ48">
        <v>23.6638587850696</v>
      </c>
      <c r="NK48">
        <v>25.269309275745101</v>
      </c>
      <c r="NL48">
        <v>250.38651912120599</v>
      </c>
      <c r="NM48">
        <v>18.8390436630545</v>
      </c>
      <c r="NN48">
        <v>23.384265519518198</v>
      </c>
      <c r="NO48">
        <v>24.627333872575999</v>
      </c>
      <c r="NP48">
        <v>380.14840826829601</v>
      </c>
      <c r="NQ48">
        <v>215.56885451176501</v>
      </c>
      <c r="NR48">
        <v>23.593832345678202</v>
      </c>
      <c r="NS48">
        <v>25.2318950571775</v>
      </c>
      <c r="NT48">
        <v>394.90586016554698</v>
      </c>
      <c r="NU48">
        <v>16.798397146831501</v>
      </c>
      <c r="NV48">
        <v>23.609059183898498</v>
      </c>
      <c r="NW48">
        <v>24.945797675936401</v>
      </c>
      <c r="NX48">
        <v>1.94167619963115</v>
      </c>
      <c r="NY48">
        <v>257.83354066834102</v>
      </c>
      <c r="NZ48">
        <v>142.48923054967099</v>
      </c>
      <c r="OA48">
        <v>23.836318429196101</v>
      </c>
      <c r="OB48">
        <v>25.4879611607642</v>
      </c>
      <c r="OC48">
        <v>1.7493850144782299</v>
      </c>
      <c r="OD48">
        <v>268.68171639261499</v>
      </c>
      <c r="OE48">
        <v>1.94167619963115</v>
      </c>
      <c r="OF48">
        <v>1.7493850144782299</v>
      </c>
      <c r="OG48">
        <v>21.363565677315101</v>
      </c>
      <c r="OH48">
        <v>23.382120243911</v>
      </c>
      <c r="OI48">
        <v>24.676465145698</v>
      </c>
      <c r="OJ48">
        <v>383.330834116012</v>
      </c>
      <c r="OK48">
        <v>182.807687227169</v>
      </c>
      <c r="OL48">
        <v>23.620575964860599</v>
      </c>
      <c r="OM48">
        <v>25.3348558824853</v>
      </c>
      <c r="ON48">
        <v>422.43072148646098</v>
      </c>
      <c r="OO48">
        <v>12.6034830647419</v>
      </c>
      <c r="OP48">
        <v>23.452103001912601</v>
      </c>
      <c r="OQ48">
        <v>24.747875327249499</v>
      </c>
      <c r="OR48">
        <v>254.17186921426801</v>
      </c>
      <c r="OS48">
        <v>161.22407388264401</v>
      </c>
      <c r="OT48">
        <v>23.6455106263709</v>
      </c>
      <c r="OU48">
        <v>25.345791800858802</v>
      </c>
      <c r="OV48">
        <v>266.23798011118998</v>
      </c>
      <c r="OW48">
        <v>18.133664762257201</v>
      </c>
      <c r="OX48">
        <v>23.350004153153801</v>
      </c>
      <c r="OY48">
        <v>24.635506188669201</v>
      </c>
      <c r="OZ48">
        <v>384.86421952500802</v>
      </c>
      <c r="PA48">
        <v>197.417637712816</v>
      </c>
      <c r="PB48">
        <v>23.580242959865299</v>
      </c>
      <c r="PC48">
        <v>25.3214151419768</v>
      </c>
      <c r="PD48">
        <v>420.49195548146002</v>
      </c>
      <c r="PE48">
        <v>16.069027549187901</v>
      </c>
      <c r="PF48">
        <v>23.5984053957323</v>
      </c>
      <c r="PG48">
        <v>24.9681162339072</v>
      </c>
      <c r="PH48">
        <v>1.9973110630456901</v>
      </c>
      <c r="PI48">
        <v>265.33186213316799</v>
      </c>
      <c r="PJ48">
        <v>147.25677534150199</v>
      </c>
      <c r="PK48">
        <v>23.8294949363077</v>
      </c>
      <c r="PL48">
        <v>25.569386720019398</v>
      </c>
      <c r="PM48">
        <v>1.82646168715763</v>
      </c>
      <c r="PN48">
        <v>285.32770206484599</v>
      </c>
      <c r="PO48">
        <v>25.269543589273301</v>
      </c>
      <c r="PP48">
        <v>25.300012994905799</v>
      </c>
      <c r="PQ48">
        <v>25.2721554691881</v>
      </c>
      <c r="PR48">
        <v>25.5583639470597</v>
      </c>
      <c r="PS48">
        <v>24.929756671607699</v>
      </c>
      <c r="PT48">
        <v>25.757727205715199</v>
      </c>
      <c r="PU48">
        <v>25.8043604884727</v>
      </c>
      <c r="PV48">
        <v>25.7559406777</v>
      </c>
      <c r="PW48">
        <v>26.047772061497099</v>
      </c>
      <c r="PX48">
        <v>25.394744841732798</v>
      </c>
      <c r="PY48">
        <v>25.9146753350627</v>
      </c>
      <c r="PZ48">
        <v>25.937012908094999</v>
      </c>
      <c r="QA48">
        <v>25.905912583595299</v>
      </c>
      <c r="QB48">
        <v>26.183377336661501</v>
      </c>
      <c r="QC48">
        <v>25.765443389497602</v>
      </c>
      <c r="QD48">
        <v>22.338795455147402</v>
      </c>
      <c r="QE48">
        <v>25.886200605211201</v>
      </c>
      <c r="QF48">
        <v>25.8994953567145</v>
      </c>
      <c r="QG48">
        <v>25.900882127315398</v>
      </c>
      <c r="QH48">
        <v>26.1391792711077</v>
      </c>
      <c r="QI48">
        <v>25.866358623597002</v>
      </c>
      <c r="QJ48">
        <v>26.2645654539009</v>
      </c>
      <c r="QK48">
        <v>26.296711035314999</v>
      </c>
      <c r="QL48">
        <v>26.276851374137902</v>
      </c>
      <c r="QM48">
        <v>26.5240472163707</v>
      </c>
      <c r="QN48">
        <v>-728.00213128329199</v>
      </c>
      <c r="QO48">
        <v>26.2602561552862</v>
      </c>
      <c r="QP48">
        <v>-7369.8623597285496</v>
      </c>
      <c r="QQ48">
        <v>26.402192542371999</v>
      </c>
      <c r="QR48">
        <v>26.416523114332801</v>
      </c>
      <c r="QS48">
        <v>26.4112640620279</v>
      </c>
      <c r="QT48">
        <v>26.6448600869976</v>
      </c>
      <c r="QU48">
        <v>26.6023088282342</v>
      </c>
      <c r="QV48">
        <v>22.187038179937101</v>
      </c>
      <c r="QW48">
        <v>779679.94249315897</v>
      </c>
      <c r="QX48">
        <v>0</v>
      </c>
      <c r="QY48">
        <v>517174.12365955499</v>
      </c>
      <c r="QZ48">
        <v>0</v>
      </c>
      <c r="RA48">
        <v>0</v>
      </c>
      <c r="RB48">
        <v>22556.770307719598</v>
      </c>
      <c r="RC48">
        <v>0</v>
      </c>
      <c r="RD48">
        <v>13690.717735550001</v>
      </c>
      <c r="RE48">
        <v>132101.63796255799</v>
      </c>
      <c r="RF48">
        <v>0</v>
      </c>
      <c r="RG48">
        <v>90791.436964525696</v>
      </c>
      <c r="RH48">
        <v>0</v>
      </c>
      <c r="RI48">
        <v>0</v>
      </c>
      <c r="RJ48">
        <v>0</v>
      </c>
      <c r="RK48">
        <v>26.5028576211492</v>
      </c>
      <c r="RL48">
        <v>-271.78264958712498</v>
      </c>
      <c r="RM48">
        <v>-12487.1214849509</v>
      </c>
      <c r="RN48">
        <v>279.49846850625801</v>
      </c>
      <c r="RO48">
        <v>0</v>
      </c>
      <c r="RP48">
        <v>0</v>
      </c>
      <c r="RQ48">
        <v>26.4989777185233</v>
      </c>
      <c r="RR48">
        <v>-174.356282499873</v>
      </c>
      <c r="RS48">
        <v>-7949.6215110461799</v>
      </c>
      <c r="RT48">
        <v>164.05721189144299</v>
      </c>
      <c r="RU48">
        <v>0</v>
      </c>
      <c r="RV48">
        <v>0</v>
      </c>
      <c r="RW48">
        <v>26.529608785442701</v>
      </c>
      <c r="RX48">
        <v>-298.72834191425301</v>
      </c>
      <c r="RY48">
        <v>-12518.5397661881</v>
      </c>
      <c r="RZ48">
        <v>227.39477308310501</v>
      </c>
      <c r="SA48">
        <v>0</v>
      </c>
      <c r="SB48">
        <v>0</v>
      </c>
      <c r="SC48">
        <v>26.719994595155601</v>
      </c>
      <c r="SD48">
        <v>-358.23871141846098</v>
      </c>
      <c r="SE48">
        <v>-8209.3397642964592</v>
      </c>
      <c r="SF48">
        <v>-97.117800383425504</v>
      </c>
      <c r="SG48">
        <v>0</v>
      </c>
      <c r="SH48">
        <v>0</v>
      </c>
      <c r="SI48">
        <v>26.8029605755864</v>
      </c>
      <c r="SJ48">
        <v>-4112.1681872585004</v>
      </c>
      <c r="SK48">
        <v>-43785.918375171597</v>
      </c>
      <c r="SL48">
        <v>-1376.4777200926801</v>
      </c>
      <c r="SM48">
        <v>21.1111</v>
      </c>
      <c r="SN48">
        <v>26.666699999999999</v>
      </c>
      <c r="SO48">
        <v>0</v>
      </c>
      <c r="SP48">
        <v>0</v>
      </c>
      <c r="SQ48">
        <v>24.883617107071899</v>
      </c>
      <c r="SR48">
        <v>0</v>
      </c>
      <c r="SS48">
        <v>0</v>
      </c>
      <c r="ST48">
        <v>0</v>
      </c>
      <c r="SU48">
        <v>0</v>
      </c>
      <c r="SV48">
        <v>0</v>
      </c>
      <c r="SW48">
        <v>24.9178658765751</v>
      </c>
      <c r="SX48">
        <v>0</v>
      </c>
      <c r="SY48">
        <v>0</v>
      </c>
      <c r="SZ48">
        <v>0</v>
      </c>
      <c r="TA48">
        <v>0</v>
      </c>
      <c r="TB48">
        <v>0</v>
      </c>
      <c r="TC48">
        <v>24.8372529382066</v>
      </c>
      <c r="TD48">
        <v>0</v>
      </c>
      <c r="TE48">
        <v>0</v>
      </c>
      <c r="TF48">
        <v>0</v>
      </c>
      <c r="TG48">
        <v>0</v>
      </c>
      <c r="TH48">
        <v>0</v>
      </c>
      <c r="TI48">
        <v>25.157600876526701</v>
      </c>
      <c r="TJ48">
        <v>0</v>
      </c>
      <c r="TK48">
        <v>0</v>
      </c>
      <c r="TL48">
        <v>0</v>
      </c>
      <c r="TM48">
        <v>0</v>
      </c>
      <c r="TN48">
        <v>0</v>
      </c>
      <c r="TO48">
        <v>24.1338329154093</v>
      </c>
      <c r="TP48">
        <v>0</v>
      </c>
      <c r="TQ48">
        <v>0</v>
      </c>
      <c r="TR48">
        <v>0</v>
      </c>
      <c r="TS48">
        <v>0</v>
      </c>
      <c r="TT48">
        <v>0</v>
      </c>
      <c r="TU48">
        <v>26.771403702086602</v>
      </c>
      <c r="TV48">
        <v>-821.63473024300004</v>
      </c>
      <c r="TW48">
        <v>-13323.0852169803</v>
      </c>
      <c r="TX48">
        <v>-476.38950131018203</v>
      </c>
      <c r="TY48">
        <v>0</v>
      </c>
      <c r="TZ48">
        <v>0</v>
      </c>
      <c r="UA48">
        <v>26.789061582157299</v>
      </c>
      <c r="UB48">
        <v>-543.17277202148603</v>
      </c>
      <c r="UC48">
        <v>-8502.8126518483496</v>
      </c>
      <c r="UD48">
        <v>-336.04265082098902</v>
      </c>
      <c r="UE48">
        <v>0</v>
      </c>
      <c r="UF48">
        <v>0</v>
      </c>
      <c r="UG48">
        <v>26.7977620705758</v>
      </c>
      <c r="UH48">
        <v>-870.48947203413798</v>
      </c>
      <c r="UI48">
        <v>-13362.696447063099</v>
      </c>
      <c r="UJ48">
        <v>-528.62103566108101</v>
      </c>
      <c r="UK48">
        <v>0</v>
      </c>
      <c r="UL48">
        <v>0</v>
      </c>
      <c r="UM48">
        <v>27.000322371244302</v>
      </c>
      <c r="UN48">
        <v>-728.07552945507803</v>
      </c>
      <c r="UO48">
        <v>-8721.7796923682708</v>
      </c>
      <c r="UP48">
        <v>-585.42271488332301</v>
      </c>
      <c r="UQ48">
        <v>0</v>
      </c>
      <c r="UR48">
        <v>0</v>
      </c>
      <c r="US48">
        <v>27.125767468839602</v>
      </c>
      <c r="UT48">
        <v>-7051.0238407430497</v>
      </c>
      <c r="UU48">
        <v>-47286.546940262197</v>
      </c>
      <c r="UV48">
        <v>-4743.2904282959598</v>
      </c>
      <c r="UW48">
        <v>21.1111</v>
      </c>
      <c r="UX48">
        <v>26.666699999999999</v>
      </c>
      <c r="UY48">
        <v>0</v>
      </c>
      <c r="UZ48">
        <v>0</v>
      </c>
      <c r="VA48">
        <v>24.9222827748399</v>
      </c>
      <c r="VB48">
        <v>0</v>
      </c>
      <c r="VC48">
        <v>0</v>
      </c>
      <c r="VD48">
        <v>0</v>
      </c>
      <c r="VE48">
        <v>0</v>
      </c>
      <c r="VF48">
        <v>0</v>
      </c>
      <c r="VG48">
        <v>24.9635737444565</v>
      </c>
      <c r="VH48">
        <v>0</v>
      </c>
      <c r="VI48">
        <v>0</v>
      </c>
      <c r="VJ48">
        <v>0</v>
      </c>
      <c r="VK48">
        <v>0</v>
      </c>
      <c r="VL48">
        <v>0</v>
      </c>
      <c r="VM48">
        <v>24.874203874388598</v>
      </c>
      <c r="VN48">
        <v>0</v>
      </c>
      <c r="VO48">
        <v>0</v>
      </c>
      <c r="VP48">
        <v>0</v>
      </c>
      <c r="VQ48">
        <v>0</v>
      </c>
      <c r="VR48">
        <v>0</v>
      </c>
      <c r="VS48">
        <v>25.1937005842458</v>
      </c>
      <c r="VT48">
        <v>0</v>
      </c>
      <c r="VU48">
        <v>0</v>
      </c>
      <c r="VV48">
        <v>0</v>
      </c>
      <c r="VW48">
        <v>0</v>
      </c>
      <c r="VX48">
        <v>0</v>
      </c>
      <c r="VY48">
        <v>24.284603394261701</v>
      </c>
      <c r="VZ48">
        <v>0</v>
      </c>
      <c r="WA48">
        <v>0</v>
      </c>
      <c r="WB48">
        <v>0</v>
      </c>
      <c r="WC48">
        <v>0</v>
      </c>
      <c r="WD48">
        <v>0</v>
      </c>
      <c r="WE48">
        <v>26.889709749681298</v>
      </c>
      <c r="WF48">
        <v>-994.74371237160597</v>
      </c>
      <c r="WG48">
        <v>-13564.032756536901</v>
      </c>
      <c r="WH48">
        <v>-697.847000066693</v>
      </c>
      <c r="WI48">
        <v>0</v>
      </c>
      <c r="WJ48">
        <v>0</v>
      </c>
      <c r="WK48">
        <v>0</v>
      </c>
      <c r="WL48">
        <v>26.896033320570599</v>
      </c>
      <c r="WM48">
        <v>-637.72798097903001</v>
      </c>
      <c r="WN48">
        <v>-8639.3277442028393</v>
      </c>
      <c r="WO48">
        <v>-456.61480109086301</v>
      </c>
      <c r="WP48">
        <v>18.333300000000001</v>
      </c>
      <c r="WQ48">
        <v>26.666699999999999</v>
      </c>
      <c r="WR48">
        <v>0</v>
      </c>
      <c r="WS48">
        <v>0</v>
      </c>
      <c r="WT48">
        <v>26.916615540460501</v>
      </c>
      <c r="WU48">
        <v>-1040.5086659517899</v>
      </c>
      <c r="WV48">
        <v>-13598.927643765001</v>
      </c>
      <c r="WW48">
        <v>-743.56668177738402</v>
      </c>
      <c r="WX48">
        <v>0</v>
      </c>
      <c r="WY48">
        <v>0</v>
      </c>
      <c r="WZ48">
        <v>0</v>
      </c>
      <c r="XA48">
        <v>27.106342837333798</v>
      </c>
      <c r="XB48">
        <v>-827.16931490372099</v>
      </c>
      <c r="XC48">
        <v>-8866.5647255792792</v>
      </c>
      <c r="XD48">
        <v>-712.42997073496599</v>
      </c>
      <c r="XE48">
        <v>0</v>
      </c>
      <c r="XF48">
        <v>0</v>
      </c>
      <c r="XG48">
        <v>27.439174266970799</v>
      </c>
      <c r="XH48">
        <v>-9638.2043101445706</v>
      </c>
      <c r="XI48">
        <v>-50315.390858022198</v>
      </c>
      <c r="XJ48">
        <v>-7568.5086871337598</v>
      </c>
      <c r="XK48">
        <v>21.1111</v>
      </c>
      <c r="XL48">
        <v>26.666699999999999</v>
      </c>
      <c r="XM48">
        <v>0</v>
      </c>
      <c r="XN48">
        <v>0</v>
      </c>
      <c r="XO48">
        <v>25.136636414194399</v>
      </c>
      <c r="XP48">
        <v>0</v>
      </c>
      <c r="XQ48">
        <v>0</v>
      </c>
      <c r="XR48">
        <v>0</v>
      </c>
      <c r="XS48">
        <v>0</v>
      </c>
      <c r="XT48">
        <v>0</v>
      </c>
      <c r="XU48">
        <v>25.087229401308399</v>
      </c>
      <c r="XV48">
        <v>0</v>
      </c>
      <c r="XW48">
        <v>0</v>
      </c>
      <c r="XX48">
        <v>0</v>
      </c>
      <c r="XY48">
        <v>0</v>
      </c>
      <c r="XZ48">
        <v>0</v>
      </c>
      <c r="YA48">
        <v>25.072116126429901</v>
      </c>
      <c r="YB48">
        <v>0</v>
      </c>
      <c r="YC48">
        <v>0</v>
      </c>
      <c r="YD48">
        <v>0</v>
      </c>
      <c r="YE48">
        <v>0</v>
      </c>
      <c r="YF48">
        <v>0</v>
      </c>
      <c r="YG48">
        <v>25.3317811275409</v>
      </c>
      <c r="YH48">
        <v>0</v>
      </c>
      <c r="YI48">
        <v>0</v>
      </c>
      <c r="YJ48">
        <v>0</v>
      </c>
      <c r="YK48">
        <v>0</v>
      </c>
      <c r="YL48">
        <v>0</v>
      </c>
      <c r="YM48">
        <v>25.1989659747722</v>
      </c>
      <c r="YN48">
        <v>0</v>
      </c>
      <c r="YO48">
        <v>0</v>
      </c>
      <c r="YP48">
        <v>0</v>
      </c>
      <c r="YQ48">
        <v>0</v>
      </c>
      <c r="YR48">
        <v>0</v>
      </c>
      <c r="YS48">
        <v>20.759683964326999</v>
      </c>
      <c r="YT48">
        <v>0</v>
      </c>
      <c r="YU48">
        <v>0</v>
      </c>
      <c r="YV48">
        <v>0</v>
      </c>
      <c r="YW48">
        <v>0</v>
      </c>
      <c r="YX48">
        <v>0</v>
      </c>
      <c r="YY48">
        <v>20.783024376723802</v>
      </c>
      <c r="YZ48">
        <v>0</v>
      </c>
      <c r="ZA48">
        <v>0</v>
      </c>
      <c r="ZB48">
        <v>0</v>
      </c>
      <c r="ZC48">
        <v>0</v>
      </c>
      <c r="ZD48">
        <v>0</v>
      </c>
      <c r="ZE48">
        <v>20.742686446864699</v>
      </c>
      <c r="ZF48">
        <v>0</v>
      </c>
      <c r="ZG48">
        <v>0</v>
      </c>
      <c r="ZH48">
        <v>0</v>
      </c>
      <c r="ZI48">
        <v>0</v>
      </c>
      <c r="ZJ48">
        <v>0</v>
      </c>
      <c r="ZK48">
        <v>20.9044890108893</v>
      </c>
      <c r="ZL48">
        <v>0</v>
      </c>
      <c r="ZM48">
        <v>0</v>
      </c>
      <c r="ZN48">
        <v>0</v>
      </c>
      <c r="ZO48">
        <v>0</v>
      </c>
      <c r="ZP48">
        <v>0</v>
      </c>
      <c r="ZQ48">
        <v>20.350148327765002</v>
      </c>
      <c r="ZR48">
        <v>0</v>
      </c>
      <c r="ZS48">
        <v>0</v>
      </c>
      <c r="ZT48">
        <v>0</v>
      </c>
      <c r="ZU48">
        <v>0</v>
      </c>
      <c r="ZV48">
        <v>0</v>
      </c>
      <c r="ZW48">
        <v>23.394598358885599</v>
      </c>
      <c r="ZX48">
        <v>0</v>
      </c>
      <c r="ZY48">
        <v>0</v>
      </c>
      <c r="ZZ48">
        <v>0</v>
      </c>
      <c r="AAA48">
        <v>0</v>
      </c>
      <c r="AAB48">
        <v>0</v>
      </c>
      <c r="AAC48">
        <v>23.446185388884501</v>
      </c>
      <c r="AAD48">
        <v>0</v>
      </c>
      <c r="AAE48">
        <v>0</v>
      </c>
      <c r="AAF48">
        <v>0</v>
      </c>
      <c r="AAG48">
        <v>0</v>
      </c>
      <c r="AAH48">
        <v>0</v>
      </c>
      <c r="AAI48">
        <v>23.3626718857236</v>
      </c>
      <c r="AAJ48">
        <v>0</v>
      </c>
      <c r="AAK48">
        <v>0</v>
      </c>
      <c r="AAL48">
        <v>0</v>
      </c>
      <c r="AAM48">
        <v>0</v>
      </c>
      <c r="AAN48">
        <v>0</v>
      </c>
      <c r="AAO48">
        <v>23.5872212332267</v>
      </c>
      <c r="AAP48">
        <v>0</v>
      </c>
      <c r="AAQ48">
        <v>0</v>
      </c>
      <c r="AAR48">
        <v>0</v>
      </c>
      <c r="AAS48">
        <v>0</v>
      </c>
      <c r="AAT48">
        <v>0</v>
      </c>
      <c r="AAU48">
        <v>22.1111005682932</v>
      </c>
      <c r="AAV48">
        <v>0</v>
      </c>
      <c r="AAW48">
        <v>0</v>
      </c>
      <c r="AAX48">
        <v>0</v>
      </c>
      <c r="AAY48">
        <v>0</v>
      </c>
      <c r="AAZ48">
        <v>0</v>
      </c>
      <c r="ABA48">
        <v>23.384775094363501</v>
      </c>
      <c r="ABB48">
        <v>0</v>
      </c>
      <c r="ABC48">
        <v>0</v>
      </c>
      <c r="ABD48">
        <v>0</v>
      </c>
      <c r="ABE48">
        <v>0</v>
      </c>
      <c r="ABF48">
        <v>0</v>
      </c>
      <c r="ABG48">
        <v>23.428504200068001</v>
      </c>
      <c r="ABH48">
        <v>0</v>
      </c>
      <c r="ABI48">
        <v>0</v>
      </c>
      <c r="ABJ48">
        <v>0</v>
      </c>
      <c r="ABK48">
        <v>0</v>
      </c>
      <c r="ABL48">
        <v>0</v>
      </c>
      <c r="ABM48">
        <v>23.347127403550001</v>
      </c>
      <c r="ABN48">
        <v>0</v>
      </c>
      <c r="ABO48">
        <v>0</v>
      </c>
      <c r="ABP48">
        <v>0</v>
      </c>
      <c r="ABQ48">
        <v>0</v>
      </c>
      <c r="ABR48">
        <v>0</v>
      </c>
      <c r="ABS48">
        <v>23.5861131592813</v>
      </c>
      <c r="ABT48">
        <v>0</v>
      </c>
      <c r="ABU48">
        <v>0</v>
      </c>
      <c r="ABV48">
        <v>0</v>
      </c>
      <c r="ABW48">
        <v>0</v>
      </c>
      <c r="ABX48">
        <v>0</v>
      </c>
      <c r="ABY48">
        <v>22.187038179937101</v>
      </c>
      <c r="ABZ48">
        <v>0</v>
      </c>
      <c r="ACA48">
        <v>0</v>
      </c>
      <c r="ACB48">
        <v>0</v>
      </c>
      <c r="ACC48">
        <v>0</v>
      </c>
      <c r="ACD48">
        <v>0</v>
      </c>
      <c r="ACE48">
        <v>0</v>
      </c>
      <c r="ACF48">
        <v>7.4572007059970504</v>
      </c>
      <c r="ACG48">
        <v>7.4572007059970504</v>
      </c>
      <c r="ACH48">
        <v>0</v>
      </c>
      <c r="ACI48">
        <v>0</v>
      </c>
      <c r="ACJ48">
        <v>0</v>
      </c>
      <c r="ACK48">
        <v>21.336776995094599</v>
      </c>
      <c r="ACL48">
        <v>21.336776995094599</v>
      </c>
      <c r="ACM48">
        <v>0</v>
      </c>
      <c r="ACN48">
        <v>105390.341415922</v>
      </c>
      <c r="ACP48">
        <v>0</v>
      </c>
      <c r="ACR48">
        <v>105390.341415922</v>
      </c>
      <c r="ACT48">
        <v>26.721969405104499</v>
      </c>
      <c r="ACU48">
        <v>26.721969405104499</v>
      </c>
      <c r="ACV48">
        <v>0</v>
      </c>
      <c r="ACW48">
        <v>0</v>
      </c>
      <c r="ACX48">
        <v>1</v>
      </c>
      <c r="ACY48">
        <v>27.0424012639313</v>
      </c>
      <c r="ACZ48">
        <v>27.0424012639313</v>
      </c>
      <c r="ADA48">
        <v>0</v>
      </c>
      <c r="ADB48">
        <v>0</v>
      </c>
      <c r="ADC48">
        <v>1</v>
      </c>
      <c r="ADD48">
        <v>27.339306084729099</v>
      </c>
      <c r="ADE48">
        <v>27.339306084729099</v>
      </c>
      <c r="ADF48">
        <v>0</v>
      </c>
      <c r="ADG48">
        <v>0</v>
      </c>
      <c r="ADH48">
        <v>1</v>
      </c>
      <c r="ADI48">
        <v>26.591027064889602</v>
      </c>
      <c r="ADJ48">
        <v>26.591027064889602</v>
      </c>
      <c r="ADK48">
        <v>0</v>
      </c>
      <c r="ADL48">
        <v>0</v>
      </c>
      <c r="ADM48">
        <v>1</v>
      </c>
      <c r="ADN48">
        <v>26.5910695312309</v>
      </c>
      <c r="ADO48">
        <v>26.5910695312309</v>
      </c>
      <c r="ADP48">
        <v>0</v>
      </c>
      <c r="ADQ48">
        <v>0</v>
      </c>
      <c r="ADR48">
        <v>1</v>
      </c>
      <c r="ADS48">
        <v>26.604444543465402</v>
      </c>
      <c r="ADT48">
        <v>26.604444543465402</v>
      </c>
      <c r="ADU48">
        <v>0</v>
      </c>
      <c r="ADV48">
        <v>0</v>
      </c>
      <c r="ADW48">
        <v>1</v>
      </c>
      <c r="ADX48">
        <v>26.811243799332601</v>
      </c>
      <c r="ADY48">
        <v>26.811243799332601</v>
      </c>
      <c r="ADZ48">
        <v>0</v>
      </c>
      <c r="AEA48">
        <v>0</v>
      </c>
      <c r="AEB48">
        <v>1</v>
      </c>
      <c r="AEC48">
        <v>26.8757675391962</v>
      </c>
      <c r="AED48">
        <v>26.8757675391962</v>
      </c>
      <c r="AEE48">
        <v>0</v>
      </c>
      <c r="AEF48">
        <v>0</v>
      </c>
      <c r="AEG48">
        <v>1</v>
      </c>
      <c r="AEH48">
        <v>26.895642930268501</v>
      </c>
      <c r="AEI48">
        <v>26.895642930268501</v>
      </c>
      <c r="AEJ48">
        <v>0</v>
      </c>
      <c r="AEK48">
        <v>0</v>
      </c>
      <c r="AEL48">
        <v>1</v>
      </c>
      <c r="AEM48">
        <v>26.887492124447899</v>
      </c>
      <c r="AEN48">
        <v>26.887492124447899</v>
      </c>
      <c r="AEO48">
        <v>0</v>
      </c>
      <c r="AEP48">
        <v>0</v>
      </c>
      <c r="AEQ48">
        <v>1</v>
      </c>
      <c r="AER48">
        <v>27.104885360665101</v>
      </c>
      <c r="AES48">
        <v>27.104885360665101</v>
      </c>
      <c r="AET48">
        <v>0</v>
      </c>
      <c r="AEU48">
        <v>0</v>
      </c>
      <c r="AEV48">
        <v>1</v>
      </c>
      <c r="AEW48">
        <v>26.997909921766301</v>
      </c>
      <c r="AEX48">
        <v>26.997909921766301</v>
      </c>
      <c r="AEY48">
        <v>0</v>
      </c>
      <c r="AEZ48">
        <v>0</v>
      </c>
      <c r="AFA48">
        <v>1</v>
      </c>
      <c r="AFB48">
        <v>27.001132634799401</v>
      </c>
      <c r="AFC48">
        <v>27.001132634799401</v>
      </c>
      <c r="AFD48">
        <v>0</v>
      </c>
      <c r="AFE48">
        <v>0</v>
      </c>
      <c r="AFF48">
        <v>1</v>
      </c>
      <c r="AFG48">
        <v>27.007435128480999</v>
      </c>
      <c r="AFH48">
        <v>27.007435128480999</v>
      </c>
      <c r="AFI48">
        <v>0</v>
      </c>
      <c r="AFJ48">
        <v>0</v>
      </c>
      <c r="AFK48">
        <v>1</v>
      </c>
      <c r="AFL48">
        <v>27.209617269072201</v>
      </c>
      <c r="AFM48">
        <v>27.209617269072201</v>
      </c>
      <c r="AFN48">
        <v>0</v>
      </c>
      <c r="AFO48">
        <v>0</v>
      </c>
      <c r="AFP48">
        <v>1</v>
      </c>
      <c r="AFQ48">
        <v>8.0365532359765405E-3</v>
      </c>
      <c r="AFR48">
        <v>5.7284508780148201E-3</v>
      </c>
      <c r="AFS48">
        <v>7.8889435877964403E-2</v>
      </c>
      <c r="AFT48">
        <v>9.2006296721646105E-3</v>
      </c>
      <c r="AFU48">
        <v>0.11435011254775</v>
      </c>
      <c r="AFV48">
        <v>0.112768463092651</v>
      </c>
      <c r="AFW48">
        <v>0.189817965513571</v>
      </c>
      <c r="AFX48">
        <v>0.12201834116963101</v>
      </c>
      <c r="AFY48">
        <v>0.15446523168541601</v>
      </c>
      <c r="AFZ48">
        <v>0.15413820748854601</v>
      </c>
      <c r="AGA48">
        <v>0.22569077140087601</v>
      </c>
      <c r="AGB48">
        <v>0.15725645159021401</v>
      </c>
      <c r="AGC48">
        <v>-3.30018662343873E-3</v>
      </c>
      <c r="AGD48">
        <v>0.107681081532083</v>
      </c>
      <c r="AGE48">
        <v>0.20707081946137801</v>
      </c>
      <c r="AGF48">
        <v>0</v>
      </c>
      <c r="AGG48">
        <v>0</v>
      </c>
      <c r="AGH48">
        <v>0</v>
      </c>
      <c r="AGI48">
        <v>0</v>
      </c>
      <c r="AGJ48">
        <v>0</v>
      </c>
      <c r="AGK48">
        <v>0</v>
      </c>
      <c r="AGL48">
        <v>0</v>
      </c>
      <c r="AGM48">
        <v>0</v>
      </c>
      <c r="AGN48">
        <v>0</v>
      </c>
      <c r="AGO48">
        <v>0</v>
      </c>
      <c r="AGP48">
        <v>0</v>
      </c>
      <c r="AGQ48">
        <v>0</v>
      </c>
      <c r="AGR48">
        <v>0</v>
      </c>
      <c r="AGS48">
        <v>0</v>
      </c>
      <c r="AGT48">
        <v>0</v>
      </c>
      <c r="AGU48">
        <v>0</v>
      </c>
      <c r="AGV48">
        <v>0</v>
      </c>
      <c r="AGW48">
        <v>0</v>
      </c>
      <c r="AGX48">
        <v>0</v>
      </c>
      <c r="AGY48">
        <v>0</v>
      </c>
      <c r="AGZ48">
        <v>0</v>
      </c>
      <c r="AHA48">
        <v>0</v>
      </c>
      <c r="AHB48">
        <v>0</v>
      </c>
      <c r="AHC48">
        <v>0.25</v>
      </c>
      <c r="AHD48">
        <v>0.25</v>
      </c>
      <c r="AHE48">
        <v>0</v>
      </c>
      <c r="AHF48">
        <v>0</v>
      </c>
      <c r="AHG48">
        <v>0</v>
      </c>
      <c r="AHH48">
        <v>0</v>
      </c>
      <c r="AHI48">
        <v>0</v>
      </c>
      <c r="AHJ48">
        <v>0</v>
      </c>
      <c r="AHK48">
        <v>0</v>
      </c>
      <c r="AHL48">
        <v>0</v>
      </c>
      <c r="AHM48">
        <v>0</v>
      </c>
      <c r="AHN48">
        <v>0</v>
      </c>
      <c r="AHO48">
        <v>0</v>
      </c>
      <c r="AHP48">
        <v>0</v>
      </c>
      <c r="AHQ48">
        <v>0</v>
      </c>
      <c r="AHR48">
        <v>0</v>
      </c>
      <c r="AHS48">
        <v>0</v>
      </c>
      <c r="AHT48">
        <v>0</v>
      </c>
      <c r="AHU48">
        <v>0</v>
      </c>
      <c r="AHV48">
        <v>0</v>
      </c>
      <c r="AHW48">
        <v>0</v>
      </c>
      <c r="AHX48">
        <v>0</v>
      </c>
      <c r="AHZ48">
        <v>0</v>
      </c>
      <c r="AIB48">
        <v>0</v>
      </c>
      <c r="AID48">
        <v>0</v>
      </c>
      <c r="AIF48">
        <v>0</v>
      </c>
      <c r="AIH48">
        <v>0</v>
      </c>
      <c r="AIJ48">
        <v>0</v>
      </c>
      <c r="AIL48">
        <v>0</v>
      </c>
      <c r="AIN48">
        <v>0</v>
      </c>
      <c r="AIP48">
        <v>0</v>
      </c>
      <c r="AIR48">
        <v>0</v>
      </c>
      <c r="AIT48">
        <v>0</v>
      </c>
      <c r="AIV48">
        <v>0</v>
      </c>
      <c r="AIX48">
        <v>0</v>
      </c>
      <c r="AIZ48">
        <v>0</v>
      </c>
      <c r="AJB48">
        <v>0</v>
      </c>
      <c r="AJC48">
        <v>0</v>
      </c>
      <c r="AJE48">
        <v>0</v>
      </c>
      <c r="AJH48">
        <v>0</v>
      </c>
      <c r="AJJ48">
        <v>0</v>
      </c>
      <c r="AJK48">
        <v>0</v>
      </c>
      <c r="AJL48">
        <v>0</v>
      </c>
      <c r="AJM48">
        <v>0</v>
      </c>
      <c r="AJN48">
        <v>0</v>
      </c>
      <c r="AJO48">
        <v>0</v>
      </c>
      <c r="AJP48">
        <v>0</v>
      </c>
      <c r="AJQ48">
        <v>0</v>
      </c>
      <c r="AJR48">
        <v>0</v>
      </c>
      <c r="AJS48">
        <v>0</v>
      </c>
      <c r="AJT48">
        <v>0</v>
      </c>
      <c r="AJU48">
        <v>0</v>
      </c>
      <c r="AJV48">
        <v>0</v>
      </c>
      <c r="AJW48">
        <v>0</v>
      </c>
      <c r="AJX48">
        <v>0</v>
      </c>
      <c r="AJY48">
        <v>0</v>
      </c>
      <c r="AJZ48">
        <v>0</v>
      </c>
      <c r="AKA48">
        <v>0</v>
      </c>
      <c r="AKB48">
        <v>0</v>
      </c>
      <c r="AKC48">
        <v>0</v>
      </c>
      <c r="AKD48">
        <v>0</v>
      </c>
      <c r="AKE48">
        <v>65.56</v>
      </c>
      <c r="AKF48">
        <v>65.56</v>
      </c>
      <c r="AKG48">
        <v>0</v>
      </c>
      <c r="AKH48">
        <v>0</v>
      </c>
      <c r="AKI48">
        <v>0</v>
      </c>
      <c r="AKJ48">
        <v>0</v>
      </c>
      <c r="AKK48">
        <v>0</v>
      </c>
      <c r="AKL48">
        <v>65.56</v>
      </c>
      <c r="AKM48">
        <v>65.56</v>
      </c>
      <c r="AKN48">
        <v>0</v>
      </c>
      <c r="AKO48">
        <v>0</v>
      </c>
      <c r="AKP48">
        <v>0</v>
      </c>
      <c r="AKT48">
        <v>0</v>
      </c>
      <c r="AKX48">
        <v>0</v>
      </c>
      <c r="ALB48">
        <v>21.336776995094599</v>
      </c>
      <c r="ALC48">
        <v>21.336776995094599</v>
      </c>
      <c r="ALD48">
        <v>0</v>
      </c>
      <c r="ALE48">
        <v>0</v>
      </c>
      <c r="ALF48">
        <v>0</v>
      </c>
      <c r="ALH48">
        <v>24.346099830340599</v>
      </c>
      <c r="ALI48">
        <v>9.8619151773546593E-3</v>
      </c>
      <c r="ALJ48">
        <v>0</v>
      </c>
      <c r="ALK48">
        <v>24.346099830340599</v>
      </c>
      <c r="ALL48">
        <v>0</v>
      </c>
      <c r="ALM48">
        <v>0</v>
      </c>
      <c r="ALN48">
        <v>24.346099830340599</v>
      </c>
      <c r="ALO48">
        <v>9.8619151773546593E-3</v>
      </c>
      <c r="ALP48">
        <v>51.875924015139603</v>
      </c>
      <c r="ALQ48">
        <v>0</v>
      </c>
      <c r="ALR48">
        <v>24.346099830340599</v>
      </c>
      <c r="ALS48">
        <v>0</v>
      </c>
      <c r="ALT48">
        <v>24.346099830340599</v>
      </c>
      <c r="ALU48">
        <v>0</v>
      </c>
      <c r="ALV48">
        <v>7.4572007059970504</v>
      </c>
      <c r="ALW48">
        <v>9.9999999999999897E-12</v>
      </c>
      <c r="ALX48">
        <v>7.4572007059970504</v>
      </c>
      <c r="ALY48">
        <v>9.9999999999999897E-12</v>
      </c>
      <c r="ALZ48">
        <v>0</v>
      </c>
      <c r="AMA48">
        <v>7.4572007059970504</v>
      </c>
      <c r="AMB48">
        <v>0</v>
      </c>
      <c r="AMC48">
        <v>7.4572007059970504</v>
      </c>
      <c r="AMD48">
        <v>0</v>
      </c>
      <c r="AME48">
        <v>7.4572007059970504</v>
      </c>
      <c r="AMF48">
        <v>0</v>
      </c>
      <c r="AMG48">
        <v>0</v>
      </c>
      <c r="AMH48">
        <v>0</v>
      </c>
      <c r="AMI48">
        <v>20.5295568989415</v>
      </c>
      <c r="AMJ48">
        <v>0</v>
      </c>
      <c r="AMK48" s="580">
        <v>19.668497488825999</v>
      </c>
      <c r="AML48">
        <v>0</v>
      </c>
      <c r="AMM48">
        <v>20.433203091681101</v>
      </c>
      <c r="AMN48">
        <v>0</v>
      </c>
      <c r="AMO48">
        <v>20.416600975292798</v>
      </c>
      <c r="AMP48">
        <v>0</v>
      </c>
      <c r="AMQ48">
        <v>20.398045180025701</v>
      </c>
      <c r="AMR48">
        <v>0</v>
      </c>
      <c r="AMS48">
        <v>21.0316821049414</v>
      </c>
      <c r="AMT48">
        <v>0</v>
      </c>
      <c r="AMU48">
        <v>22.6664701529584</v>
      </c>
      <c r="AMV48">
        <v>0</v>
      </c>
      <c r="AMW48">
        <v>22.7658999518526</v>
      </c>
      <c r="AMX48">
        <v>0</v>
      </c>
      <c r="AMY48">
        <v>22.6282434227947</v>
      </c>
      <c r="AMZ48">
        <v>0</v>
      </c>
      <c r="ANA48">
        <v>22.594405438156901</v>
      </c>
      <c r="ANB48">
        <v>0</v>
      </c>
      <c r="ANC48">
        <v>21.0897969916196</v>
      </c>
      <c r="AND48">
        <v>0</v>
      </c>
      <c r="ANE48">
        <v>22.6580549710105</v>
      </c>
      <c r="ANF48">
        <v>0</v>
      </c>
      <c r="ANG48">
        <v>22.7712460272712</v>
      </c>
      <c r="ANH48">
        <v>0</v>
      </c>
      <c r="ANI48">
        <v>22.6246216875121</v>
      </c>
      <c r="ANJ48">
        <v>0</v>
      </c>
      <c r="ANK48">
        <v>22.588731931813001</v>
      </c>
      <c r="ANL48">
        <v>0</v>
      </c>
      <c r="ANM48">
        <v>0</v>
      </c>
      <c r="ANN48">
        <v>0</v>
      </c>
      <c r="ANO48">
        <v>0</v>
      </c>
      <c r="ANP48">
        <v>19.668497488825999</v>
      </c>
      <c r="ANQ48">
        <v>20.433203091681101</v>
      </c>
      <c r="ANR48">
        <v>20.5295568989415</v>
      </c>
      <c r="ANS48">
        <v>20.398045180025701</v>
      </c>
      <c r="ANT48">
        <v>20.416600975292798</v>
      </c>
      <c r="ANU48">
        <v>21.0316821049414</v>
      </c>
      <c r="ANV48">
        <v>22.6664701529584</v>
      </c>
      <c r="ANW48">
        <v>22.7658999518526</v>
      </c>
      <c r="ANX48">
        <v>22.594405438156901</v>
      </c>
      <c r="ANY48">
        <v>22.6282434227947</v>
      </c>
      <c r="ANZ48">
        <v>21.0897969916196</v>
      </c>
      <c r="AOA48">
        <v>22.6580549710105</v>
      </c>
      <c r="AOB48">
        <v>22.7712460272712</v>
      </c>
      <c r="AOC48">
        <v>22.588731931813001</v>
      </c>
      <c r="AOD48">
        <v>22.6246216875121</v>
      </c>
      <c r="AOE48">
        <v>24.346099830340599</v>
      </c>
      <c r="AOF48">
        <v>0</v>
      </c>
      <c r="AOG48">
        <v>24.632522864823301</v>
      </c>
      <c r="AOH48">
        <v>0</v>
      </c>
    </row>
    <row r="49" spans="1:1074">
      <c r="A49" t="s">
        <v>2619</v>
      </c>
      <c r="B49">
        <v>22.349499999999999</v>
      </c>
      <c r="C49">
        <v>27.3553</v>
      </c>
      <c r="D49">
        <v>16.0937619841777</v>
      </c>
      <c r="E49">
        <v>17.730812202187799</v>
      </c>
      <c r="F49">
        <v>9</v>
      </c>
      <c r="G49">
        <v>7186761.1670060297</v>
      </c>
      <c r="H49">
        <v>15519235.8778385</v>
      </c>
      <c r="I49">
        <v>4564021.8183342796</v>
      </c>
      <c r="J49">
        <v>9855640.04485186</v>
      </c>
      <c r="K49">
        <v>7186761.1670060297</v>
      </c>
      <c r="L49">
        <v>15519235.8778385</v>
      </c>
      <c r="M49">
        <v>4564021.8183342796</v>
      </c>
      <c r="N49">
        <v>9855640.04485186</v>
      </c>
      <c r="O49">
        <v>37063527.301311299</v>
      </c>
      <c r="P49">
        <v>80035722.5302618</v>
      </c>
      <c r="Q49">
        <v>7186761.1670060297</v>
      </c>
      <c r="R49">
        <v>15519235.8778385</v>
      </c>
      <c r="S49">
        <v>4564021.8183342796</v>
      </c>
      <c r="T49">
        <v>9855640.04485186</v>
      </c>
      <c r="U49">
        <v>7186761.1670060297</v>
      </c>
      <c r="V49">
        <v>15519235.8778385</v>
      </c>
      <c r="W49">
        <v>4564021.8183342796</v>
      </c>
      <c r="X49">
        <v>9855640.04485186</v>
      </c>
      <c r="Y49">
        <v>37063527.301311299</v>
      </c>
      <c r="Z49">
        <v>80035722.5302618</v>
      </c>
      <c r="AA49">
        <v>7186761.1670060297</v>
      </c>
      <c r="AB49">
        <v>15519235.8778385</v>
      </c>
      <c r="AC49">
        <v>4564021.8183342796</v>
      </c>
      <c r="AD49">
        <v>9855640.04485186</v>
      </c>
      <c r="AE49">
        <v>7186761.1670060297</v>
      </c>
      <c r="AF49">
        <v>15519235.8778385</v>
      </c>
      <c r="AG49">
        <v>4564021.8183342796</v>
      </c>
      <c r="AH49">
        <v>9855640.04485186</v>
      </c>
      <c r="AI49">
        <v>37063527.301311299</v>
      </c>
      <c r="AJ49">
        <v>80035722.5302618</v>
      </c>
      <c r="AK49">
        <v>1.18581142514032</v>
      </c>
      <c r="AL49">
        <v>197803.02193463501</v>
      </c>
      <c r="AM49">
        <v>512270.53566061897</v>
      </c>
      <c r="AN49">
        <v>1.18581142514032</v>
      </c>
      <c r="AO49">
        <v>197803.02193463501</v>
      </c>
      <c r="AP49">
        <v>512270.53566061897</v>
      </c>
      <c r="AQ49">
        <v>0.75306095346774204</v>
      </c>
      <c r="AR49">
        <v>125616.7120158</v>
      </c>
      <c r="AS49">
        <v>325322.331898064</v>
      </c>
      <c r="AT49">
        <v>0.75306095346774105</v>
      </c>
      <c r="AU49">
        <v>125616.7120158</v>
      </c>
      <c r="AV49">
        <v>325322.331898064</v>
      </c>
      <c r="AW49">
        <v>1.18581142514032</v>
      </c>
      <c r="AX49">
        <v>197803.02193463501</v>
      </c>
      <c r="AY49">
        <v>512270.53566061897</v>
      </c>
      <c r="AZ49">
        <v>1.18581142514032</v>
      </c>
      <c r="BA49">
        <v>197803.02193463501</v>
      </c>
      <c r="BB49">
        <v>512270.53566061897</v>
      </c>
      <c r="BC49">
        <v>0.75306095346774204</v>
      </c>
      <c r="BD49">
        <v>125616.7120158</v>
      </c>
      <c r="BE49">
        <v>325322.331898064</v>
      </c>
      <c r="BF49">
        <v>0.75306095346774105</v>
      </c>
      <c r="BG49">
        <v>125616.7120158</v>
      </c>
      <c r="BH49">
        <v>325322.331898064</v>
      </c>
      <c r="BI49">
        <v>1.18581142514032</v>
      </c>
      <c r="BJ49">
        <v>197803.02193463501</v>
      </c>
      <c r="BK49">
        <v>512270.53566061897</v>
      </c>
      <c r="BL49">
        <v>1.18581142514032</v>
      </c>
      <c r="BM49">
        <v>197803.02193463501</v>
      </c>
      <c r="BN49">
        <v>512270.53566061897</v>
      </c>
      <c r="BO49">
        <v>0.75306095346774204</v>
      </c>
      <c r="BP49">
        <v>125616.7120158</v>
      </c>
      <c r="BQ49">
        <v>325322.331898064</v>
      </c>
      <c r="BR49">
        <v>0.75306095346774105</v>
      </c>
      <c r="BS49">
        <v>125616.7120158</v>
      </c>
      <c r="BT49">
        <v>325322.331898064</v>
      </c>
      <c r="BU49">
        <v>2641878.9414181202</v>
      </c>
      <c r="BV49">
        <v>6.1154605125419401</v>
      </c>
      <c r="BW49">
        <v>1020108.71564978</v>
      </c>
      <c r="BX49">
        <v>2641878.9414181202</v>
      </c>
      <c r="BY49">
        <v>6.1154605125419401</v>
      </c>
      <c r="BZ49">
        <v>1020108.71564978</v>
      </c>
      <c r="CA49">
        <v>2641878.9414181202</v>
      </c>
      <c r="CB49">
        <v>6.1154605125419401</v>
      </c>
      <c r="CC49">
        <v>1020108.71564978</v>
      </c>
      <c r="CD49">
        <v>2641878.9414181202</v>
      </c>
      <c r="CE49">
        <v>3773179.8574618599</v>
      </c>
      <c r="CF49">
        <v>8575408.7669587694</v>
      </c>
      <c r="CG49">
        <v>3773179.8574618599</v>
      </c>
      <c r="CH49">
        <v>8575408.7669587694</v>
      </c>
      <c r="CI49">
        <v>2396194.1678283801</v>
      </c>
      <c r="CJ49">
        <v>5445895.8359735999</v>
      </c>
      <c r="CK49">
        <v>2396194.1678283801</v>
      </c>
      <c r="CL49">
        <v>5445895.8359735999</v>
      </c>
      <c r="CM49">
        <v>3773179.8574618599</v>
      </c>
      <c r="CN49">
        <v>8575408.7669587694</v>
      </c>
      <c r="CO49">
        <v>3773179.8574618599</v>
      </c>
      <c r="CP49">
        <v>8575408.7669587694</v>
      </c>
      <c r="CQ49">
        <v>2396194.1678283801</v>
      </c>
      <c r="CR49">
        <v>5445895.8359735999</v>
      </c>
      <c r="CS49">
        <v>2396194.1678283801</v>
      </c>
      <c r="CT49">
        <v>5445895.8359735999</v>
      </c>
      <c r="CU49">
        <v>3773179.8574618599</v>
      </c>
      <c r="CV49">
        <v>8575408.7669587694</v>
      </c>
      <c r="CW49">
        <v>3773179.8574618599</v>
      </c>
      <c r="CX49">
        <v>8575408.7669587694</v>
      </c>
      <c r="CY49">
        <v>2396194.1678283801</v>
      </c>
      <c r="CZ49">
        <v>5445895.8359735999</v>
      </c>
      <c r="DA49">
        <v>2396194.1678283801</v>
      </c>
      <c r="DB49">
        <v>5445895.8359735999</v>
      </c>
      <c r="DC49">
        <v>19459023.5309093</v>
      </c>
      <c r="DD49">
        <v>44225053.479339302</v>
      </c>
      <c r="DE49">
        <v>19459023.5309093</v>
      </c>
      <c r="DF49">
        <v>44225053.479339302</v>
      </c>
      <c r="DG49">
        <v>19459023.5309093</v>
      </c>
      <c r="DH49">
        <v>44225053.479339302</v>
      </c>
      <c r="DI49">
        <v>3215778.2876095399</v>
      </c>
      <c r="DJ49">
        <v>6431556.5752190799</v>
      </c>
      <c r="DK49">
        <v>3215778.2876095399</v>
      </c>
      <c r="DL49">
        <v>6431556.5752190799</v>
      </c>
      <c r="DM49">
        <v>2042210.9384901</v>
      </c>
      <c r="DN49">
        <v>4084421.8769801999</v>
      </c>
      <c r="DO49">
        <v>2042210.9384901</v>
      </c>
      <c r="DP49">
        <v>4084421.8769801999</v>
      </c>
      <c r="DQ49">
        <v>3215778.2876095399</v>
      </c>
      <c r="DR49">
        <v>6431556.5752190799</v>
      </c>
      <c r="DS49">
        <v>3215778.2876095399</v>
      </c>
      <c r="DT49">
        <v>6431556.5752190799</v>
      </c>
      <c r="DU49">
        <v>2042210.9384901</v>
      </c>
      <c r="DV49">
        <v>4084421.8769801999</v>
      </c>
      <c r="DW49">
        <v>2042210.9384901</v>
      </c>
      <c r="DX49">
        <v>4084421.8769801999</v>
      </c>
      <c r="DY49">
        <v>3215778.2876095399</v>
      </c>
      <c r="DZ49">
        <v>6431556.5752190799</v>
      </c>
      <c r="EA49">
        <v>3215778.2876095399</v>
      </c>
      <c r="EB49">
        <v>6431556.5752190799</v>
      </c>
      <c r="EC49">
        <v>2042210.9384901</v>
      </c>
      <c r="ED49">
        <v>4084421.8769801999</v>
      </c>
      <c r="EE49">
        <v>2042210.9384901</v>
      </c>
      <c r="EF49">
        <v>4084421.8769801999</v>
      </c>
      <c r="EG49">
        <v>16584395.054752201</v>
      </c>
      <c r="EH49">
        <v>33168790.109504402</v>
      </c>
      <c r="EI49">
        <v>16584395.054752201</v>
      </c>
      <c r="EJ49">
        <v>33168790.109504402</v>
      </c>
      <c r="EK49">
        <v>16584395.054752201</v>
      </c>
      <c r="EL49">
        <v>33168790.109504402</v>
      </c>
      <c r="EM49">
        <v>0</v>
      </c>
      <c r="EN49">
        <v>0</v>
      </c>
      <c r="EO49">
        <v>0</v>
      </c>
      <c r="EP49">
        <v>0</v>
      </c>
      <c r="EQ49">
        <v>0</v>
      </c>
      <c r="ER49">
        <v>0</v>
      </c>
      <c r="ES49">
        <v>0</v>
      </c>
      <c r="ET49">
        <v>0</v>
      </c>
      <c r="EU49">
        <v>0</v>
      </c>
      <c r="EV49">
        <v>0</v>
      </c>
      <c r="EW49">
        <v>0</v>
      </c>
      <c r="EX49">
        <v>0</v>
      </c>
      <c r="EY49">
        <v>0</v>
      </c>
      <c r="EZ49">
        <v>0</v>
      </c>
      <c r="FA49">
        <v>0</v>
      </c>
      <c r="FB49">
        <v>0</v>
      </c>
      <c r="FC49">
        <v>0</v>
      </c>
      <c r="FD49">
        <v>0</v>
      </c>
      <c r="FE49">
        <v>0</v>
      </c>
      <c r="FF49">
        <v>0</v>
      </c>
      <c r="FG49">
        <v>0</v>
      </c>
      <c r="FH49">
        <v>0</v>
      </c>
      <c r="FI49">
        <v>0</v>
      </c>
      <c r="FJ49">
        <v>0</v>
      </c>
      <c r="FK49">
        <v>0</v>
      </c>
      <c r="FL49">
        <v>0</v>
      </c>
      <c r="FM49">
        <v>0</v>
      </c>
      <c r="FN49">
        <v>0</v>
      </c>
      <c r="FO49">
        <v>0</v>
      </c>
      <c r="FP49">
        <v>0</v>
      </c>
      <c r="FQ49">
        <v>0</v>
      </c>
      <c r="FR49">
        <v>0</v>
      </c>
      <c r="FS49">
        <v>0</v>
      </c>
      <c r="FT49">
        <v>0</v>
      </c>
      <c r="FU49">
        <v>0</v>
      </c>
      <c r="FV49">
        <v>0</v>
      </c>
      <c r="FW49">
        <v>0</v>
      </c>
      <c r="FX49">
        <v>0</v>
      </c>
      <c r="FY49">
        <v>0</v>
      </c>
      <c r="FZ49">
        <v>0</v>
      </c>
      <c r="GA49">
        <v>0</v>
      </c>
      <c r="GB49">
        <v>-82.449956536574803</v>
      </c>
      <c r="GC49">
        <v>-455.59119814444801</v>
      </c>
      <c r="GD49">
        <v>-357.19477338506601</v>
      </c>
      <c r="GE49">
        <v>-58.475446244802299</v>
      </c>
      <c r="GF49">
        <v>-287.145954963402</v>
      </c>
      <c r="GG49">
        <v>-223.36268089371501</v>
      </c>
      <c r="GH49">
        <v>-90.887398187332906</v>
      </c>
      <c r="GI49">
        <v>-461.40579323652202</v>
      </c>
      <c r="GJ49">
        <v>-367.11653703632697</v>
      </c>
      <c r="GK49">
        <v>-45.921516131575402</v>
      </c>
      <c r="GL49">
        <v>-291.045826946067</v>
      </c>
      <c r="GM49">
        <v>-225.67864864235099</v>
      </c>
      <c r="GN49">
        <v>2.9961373776002702</v>
      </c>
      <c r="GO49">
        <v>25.1256864392418</v>
      </c>
      <c r="GP49">
        <v>25.735833198752999</v>
      </c>
      <c r="GQ49">
        <v>66.809443733827607</v>
      </c>
      <c r="GR49">
        <v>-44.236404790121398</v>
      </c>
      <c r="GS49">
        <v>-552.916246640243</v>
      </c>
      <c r="GT49">
        <v>0.59480360028022305</v>
      </c>
      <c r="GU49">
        <v>25.171887305571101</v>
      </c>
      <c r="GV49">
        <v>25.768811530360601</v>
      </c>
      <c r="GW49">
        <v>42.573188647353902</v>
      </c>
      <c r="GX49">
        <v>-23.670048882422499</v>
      </c>
      <c r="GY49">
        <v>-321.88712388794301</v>
      </c>
      <c r="GZ49">
        <v>0.58727355032949502</v>
      </c>
      <c r="HA49">
        <v>25.1162322851863</v>
      </c>
      <c r="HB49">
        <v>25.7579205864117</v>
      </c>
      <c r="HC49">
        <v>71.717344133104305</v>
      </c>
      <c r="HD49">
        <v>-43.203909311352298</v>
      </c>
      <c r="HE49">
        <v>-555.23196344485302</v>
      </c>
      <c r="HF49">
        <v>2.9689016596556099</v>
      </c>
      <c r="HG49">
        <v>25.389620095662799</v>
      </c>
      <c r="HH49">
        <v>25.998465990765599</v>
      </c>
      <c r="HI49">
        <v>43.057981578014697</v>
      </c>
      <c r="HJ49">
        <v>-26.785035765152401</v>
      </c>
      <c r="HK49">
        <v>-341.52625053969399</v>
      </c>
      <c r="HL49">
        <v>-77.4073977800943</v>
      </c>
      <c r="HM49">
        <v>26.8355933031769</v>
      </c>
      <c r="HN49">
        <v>26.884515827818898</v>
      </c>
      <c r="HO49">
        <v>-67.046425004960199</v>
      </c>
      <c r="HP49">
        <v>-297.62795958625298</v>
      </c>
      <c r="HQ49">
        <v>26.299251013148201</v>
      </c>
      <c r="HR49">
        <v>-362.03175826262998</v>
      </c>
      <c r="HS49">
        <v>-54.755375095567601</v>
      </c>
      <c r="HT49">
        <v>26.888066382573701</v>
      </c>
      <c r="HU49">
        <v>26.940576744226</v>
      </c>
      <c r="HV49">
        <v>-37.858622421484597</v>
      </c>
      <c r="HW49">
        <v>-185.84079189409599</v>
      </c>
      <c r="HX49">
        <v>26.349603728672701</v>
      </c>
      <c r="HY49">
        <v>-224.61859505517501</v>
      </c>
      <c r="HZ49">
        <v>26.8428492549256</v>
      </c>
      <c r="IA49">
        <v>26.918140228083601</v>
      </c>
      <c r="IB49">
        <v>-71.950494619605195</v>
      </c>
      <c r="IC49">
        <v>-85.997584500713103</v>
      </c>
      <c r="ID49">
        <v>-302.91867321971603</v>
      </c>
      <c r="IE49">
        <v>26.315490287012601</v>
      </c>
      <c r="IF49">
        <v>-370.757444419987</v>
      </c>
      <c r="IG49">
        <v>-11.6714864287485</v>
      </c>
      <c r="IH49">
        <v>27.051650163945599</v>
      </c>
      <c r="II49">
        <v>27.011896880969399</v>
      </c>
      <c r="IJ49">
        <v>-45.284565488581499</v>
      </c>
      <c r="IK49">
        <v>-11.4072189317965</v>
      </c>
      <c r="IL49">
        <v>-44.757576224466497</v>
      </c>
      <c r="IM49">
        <v>-188.758664187573</v>
      </c>
      <c r="IN49">
        <v>26.5805803301492</v>
      </c>
      <c r="IO49">
        <v>1.44616659652629</v>
      </c>
      <c r="IP49">
        <v>-225.98999641846899</v>
      </c>
      <c r="IQ49">
        <v>-180.763697912563</v>
      </c>
      <c r="IR49">
        <v>-100.67800037414</v>
      </c>
      <c r="IS49">
        <v>-173.522191454488</v>
      </c>
      <c r="IT49">
        <v>-91.670335067812204</v>
      </c>
      <c r="IU49">
        <v>-3694.7639362065502</v>
      </c>
      <c r="IV49">
        <v>1.7388175302559301</v>
      </c>
      <c r="IW49">
        <v>25.415845646266099</v>
      </c>
      <c r="IX49">
        <v>26.299251013148201</v>
      </c>
      <c r="IY49">
        <v>110.293189898162</v>
      </c>
      <c r="IZ49">
        <v>-59.716950476458699</v>
      </c>
      <c r="JA49">
        <v>-757.58120205005901</v>
      </c>
      <c r="JB49">
        <v>5.7331686448066702E-2</v>
      </c>
      <c r="JC49">
        <v>25.4716019722906</v>
      </c>
      <c r="JD49">
        <v>26.349603728672701</v>
      </c>
      <c r="JE49">
        <v>70.605852213878705</v>
      </c>
      <c r="JF49">
        <v>-34.264721369547601</v>
      </c>
      <c r="JG49">
        <v>-456.89219858368898</v>
      </c>
      <c r="JH49">
        <v>-0.26632998972266098</v>
      </c>
      <c r="JI49">
        <v>25.399940208245201</v>
      </c>
      <c r="JJ49">
        <v>26.315490287012601</v>
      </c>
      <c r="JK49">
        <v>115.048562831886</v>
      </c>
      <c r="JL49">
        <v>-60.0351997799171</v>
      </c>
      <c r="JM49">
        <v>-764.84790216303304</v>
      </c>
      <c r="JN49">
        <v>1.7129642857071501</v>
      </c>
      <c r="JO49">
        <v>25.692259587560699</v>
      </c>
      <c r="JP49">
        <v>26.5805803301492</v>
      </c>
      <c r="JQ49">
        <v>1.1319628758046201</v>
      </c>
      <c r="JR49">
        <v>71.767572839960096</v>
      </c>
      <c r="JS49">
        <v>0.97023112620539098</v>
      </c>
      <c r="JT49">
        <v>-35.608400882493697</v>
      </c>
      <c r="JU49">
        <v>-467.95421624533401</v>
      </c>
      <c r="JV49">
        <v>-77.805336127492595</v>
      </c>
      <c r="JW49">
        <v>-305.371612346897</v>
      </c>
      <c r="JX49">
        <v>-332.451501943035</v>
      </c>
      <c r="JY49">
        <v>-54.499652455945203</v>
      </c>
      <c r="JZ49">
        <v>-189.60045812266301</v>
      </c>
      <c r="KA49">
        <v>-209.96749651865201</v>
      </c>
      <c r="KB49">
        <v>-86.066346718557</v>
      </c>
      <c r="KC49">
        <v>-310.12434225491103</v>
      </c>
      <c r="KD49">
        <v>-340.67828708966198</v>
      </c>
      <c r="KE49">
        <v>-45.103500294864901</v>
      </c>
      <c r="KF49">
        <v>26.143732290806401</v>
      </c>
      <c r="KG49">
        <v>-113.194104540244</v>
      </c>
      <c r="KH49">
        <v>0.85248262233459604</v>
      </c>
      <c r="KI49">
        <v>-192.15527201238501</v>
      </c>
      <c r="KJ49">
        <v>-209.14929948920999</v>
      </c>
      <c r="KK49">
        <v>15.1649926186619</v>
      </c>
      <c r="KL49">
        <v>25.725713310577</v>
      </c>
      <c r="KM49">
        <v>26.523507137766298</v>
      </c>
      <c r="KN49">
        <v>205.22861494742401</v>
      </c>
      <c r="KO49">
        <v>25.170775195255501</v>
      </c>
      <c r="KP49">
        <v>16.4264287709134</v>
      </c>
      <c r="KQ49">
        <v>12.934874918566599</v>
      </c>
      <c r="KR49">
        <v>-536.57023071582103</v>
      </c>
      <c r="KS49">
        <v>7.8841308842321602</v>
      </c>
      <c r="KT49">
        <v>25.709081573128699</v>
      </c>
      <c r="KU49">
        <v>26.530526019972399</v>
      </c>
      <c r="KV49">
        <v>133.13455447504899</v>
      </c>
      <c r="KW49">
        <v>25.1444822396235</v>
      </c>
      <c r="KX49">
        <v>16.5201754664246</v>
      </c>
      <c r="KY49">
        <v>8.3206146556843006</v>
      </c>
      <c r="KZ49">
        <v>-338.72759015770299</v>
      </c>
      <c r="LA49">
        <v>10.991872296045701</v>
      </c>
      <c r="LB49">
        <v>25.703678092010701</v>
      </c>
      <c r="LC49">
        <v>26.534234501956401</v>
      </c>
      <c r="LD49">
        <v>210.93577401760601</v>
      </c>
      <c r="LE49">
        <v>25.135140879091701</v>
      </c>
      <c r="LF49">
        <v>16.425040632693399</v>
      </c>
      <c r="LG49">
        <v>13.0189531818541</v>
      </c>
      <c r="LH49">
        <v>-541.21754305879097</v>
      </c>
      <c r="LI49">
        <v>11.8523239489773</v>
      </c>
      <c r="LJ49">
        <v>25.955805866529001</v>
      </c>
      <c r="LK49">
        <v>26.7723414409813</v>
      </c>
      <c r="LL49">
        <v>138.936353461279</v>
      </c>
      <c r="LM49">
        <v>25.4024322726947</v>
      </c>
      <c r="LN49">
        <v>16.894341169247902</v>
      </c>
      <c r="LO49">
        <v>10.9846956977349</v>
      </c>
      <c r="LP49">
        <v>-329.14513899827102</v>
      </c>
      <c r="LQ49">
        <v>4.37187214837172</v>
      </c>
      <c r="LR49">
        <v>20.0801203876877</v>
      </c>
      <c r="LS49">
        <v>16.420999999999999</v>
      </c>
      <c r="LT49">
        <v>-309.64402502081703</v>
      </c>
      <c r="LU49">
        <v>-2016.6900590893099</v>
      </c>
      <c r="LV49">
        <v>21.7798445438915</v>
      </c>
      <c r="LW49">
        <v>24.680916079292999</v>
      </c>
      <c r="LX49">
        <v>327.67361983222202</v>
      </c>
      <c r="LY49">
        <v>1.90473143665314</v>
      </c>
      <c r="LZ49">
        <v>20.1256026714385</v>
      </c>
      <c r="MA49">
        <v>16.420999999999999</v>
      </c>
      <c r="MB49">
        <v>-193.405562603959</v>
      </c>
      <c r="MC49">
        <v>-1260.64092767494</v>
      </c>
      <c r="MD49">
        <v>21.807106826552602</v>
      </c>
      <c r="ME49">
        <v>24.713850078111498</v>
      </c>
      <c r="MF49">
        <v>206.99063107051899</v>
      </c>
      <c r="MG49">
        <v>2.7095925356080199</v>
      </c>
      <c r="MH49">
        <v>20.080424743511799</v>
      </c>
      <c r="MI49">
        <v>16.420999999999999</v>
      </c>
      <c r="MJ49">
        <v>-306.33591007209702</v>
      </c>
      <c r="MK49">
        <v>-2001.7640245641101</v>
      </c>
      <c r="ML49">
        <v>21.7727258167243</v>
      </c>
      <c r="MM49">
        <v>24.7040432512369</v>
      </c>
      <c r="MN49">
        <v>328.19842329341498</v>
      </c>
      <c r="MO49">
        <v>3.4148457060204001</v>
      </c>
      <c r="MP49">
        <v>20.183822812103202</v>
      </c>
      <c r="MQ49">
        <v>16.420999999999999</v>
      </c>
      <c r="MR49">
        <v>-205.40912063636401</v>
      </c>
      <c r="MS49">
        <v>-1331.6420442041799</v>
      </c>
      <c r="MT49">
        <v>21.9531007228296</v>
      </c>
      <c r="MU49">
        <v>24.930615087281598</v>
      </c>
      <c r="MV49">
        <v>215.887573072441</v>
      </c>
      <c r="MW49">
        <v>-2.1364093657666299</v>
      </c>
      <c r="MX49">
        <v>23.8629600984824</v>
      </c>
      <c r="MY49">
        <v>24.6031734855917</v>
      </c>
      <c r="MZ49">
        <v>-12.7345869635989</v>
      </c>
      <c r="NA49">
        <v>-367.90781603740402</v>
      </c>
      <c r="NB49">
        <v>24.238216938548401</v>
      </c>
      <c r="NC49">
        <v>25.8387415929685</v>
      </c>
      <c r="ND49">
        <v>127.969305872783</v>
      </c>
      <c r="NE49">
        <v>-2.20161389502766</v>
      </c>
      <c r="NF49">
        <v>23.9424836300038</v>
      </c>
      <c r="NG49">
        <v>24.674425527510099</v>
      </c>
      <c r="NH49">
        <v>-3.4838305633597102</v>
      </c>
      <c r="NI49">
        <v>-207.78913593006101</v>
      </c>
      <c r="NJ49">
        <v>24.291327336263301</v>
      </c>
      <c r="NK49">
        <v>25.8903448963591</v>
      </c>
      <c r="NL49">
        <v>79.582090950304405</v>
      </c>
      <c r="NM49">
        <v>-3.3993172638460201</v>
      </c>
      <c r="NN49">
        <v>23.842839935725902</v>
      </c>
      <c r="NO49">
        <v>24.580520454815701</v>
      </c>
      <c r="NP49">
        <v>-10.975115590119101</v>
      </c>
      <c r="NQ49">
        <v>-362.50801319986903</v>
      </c>
      <c r="NR49">
        <v>24.217684018757701</v>
      </c>
      <c r="NS49">
        <v>25.853265273414799</v>
      </c>
      <c r="NT49">
        <v>129.57401252163001</v>
      </c>
      <c r="NU49">
        <v>-1.54298393189477</v>
      </c>
      <c r="NV49">
        <v>24.087520801702901</v>
      </c>
      <c r="NW49">
        <v>24.8716049195578</v>
      </c>
      <c r="NX49">
        <v>1.7</v>
      </c>
      <c r="NY49">
        <v>-6.0226152458136104</v>
      </c>
      <c r="NZ49">
        <v>-229.154342628444</v>
      </c>
      <c r="OA49">
        <v>24.465603893065399</v>
      </c>
      <c r="OB49">
        <v>26.109056986073501</v>
      </c>
      <c r="OC49">
        <v>1.7</v>
      </c>
      <c r="OD49">
        <v>84.005726470630094</v>
      </c>
      <c r="OE49">
        <v>1.7</v>
      </c>
      <c r="OF49">
        <v>1.7</v>
      </c>
      <c r="OG49">
        <v>-2.31806372170991</v>
      </c>
      <c r="OH49">
        <v>23.857070990523301</v>
      </c>
      <c r="OI49">
        <v>24.696982015579401</v>
      </c>
      <c r="OJ49">
        <v>-15.660929186756899</v>
      </c>
      <c r="OK49">
        <v>-404.05023375360599</v>
      </c>
      <c r="OL49">
        <v>24.263826881555001</v>
      </c>
      <c r="OM49">
        <v>25.969601382075101</v>
      </c>
      <c r="ON49">
        <v>136.853645343636</v>
      </c>
      <c r="OO49">
        <v>-2.27151079323591</v>
      </c>
      <c r="OP49">
        <v>23.927483047087499</v>
      </c>
      <c r="OQ49">
        <v>24.769719829541799</v>
      </c>
      <c r="OR49">
        <v>-5.1646268234155697</v>
      </c>
      <c r="OS49">
        <v>-228.96787658032</v>
      </c>
      <c r="OT49">
        <v>24.305162708183801</v>
      </c>
      <c r="OU49">
        <v>25.9987685339695</v>
      </c>
      <c r="OV49">
        <v>84.767650935936302</v>
      </c>
      <c r="OW49">
        <v>-3.50194428060589</v>
      </c>
      <c r="OX49">
        <v>23.8271856294236</v>
      </c>
      <c r="OY49">
        <v>24.665353633669501</v>
      </c>
      <c r="OZ49">
        <v>-14.727662706525701</v>
      </c>
      <c r="PA49">
        <v>-403.27578316705802</v>
      </c>
      <c r="PB49">
        <v>24.236825615753901</v>
      </c>
      <c r="PC49">
        <v>25.979614217810798</v>
      </c>
      <c r="PD49">
        <v>138.86831365986399</v>
      </c>
      <c r="PE49">
        <v>-1.72163836443439</v>
      </c>
      <c r="PF49">
        <v>24.0944945928421</v>
      </c>
      <c r="PG49">
        <v>24.978053827388202</v>
      </c>
      <c r="PH49">
        <v>1.7</v>
      </c>
      <c r="PI49">
        <v>-6.5877542582977897</v>
      </c>
      <c r="PJ49">
        <v>-243.52713993832199</v>
      </c>
      <c r="PK49">
        <v>24.493501970695899</v>
      </c>
      <c r="PL49">
        <v>26.223368142633099</v>
      </c>
      <c r="PM49">
        <v>1.7</v>
      </c>
      <c r="PN49">
        <v>88.423034061653297</v>
      </c>
      <c r="PO49">
        <v>25.554540263798199</v>
      </c>
      <c r="PP49">
        <v>25.6085373206163</v>
      </c>
      <c r="PQ49">
        <v>25.5849433186612</v>
      </c>
      <c r="PR49">
        <v>25.83932711304</v>
      </c>
      <c r="PS49">
        <v>25.468863487712401</v>
      </c>
      <c r="PT49">
        <v>26.309702009167399</v>
      </c>
      <c r="PU49">
        <v>26.3768140688193</v>
      </c>
      <c r="PV49">
        <v>26.329642091276799</v>
      </c>
      <c r="PW49">
        <v>26.609739376824201</v>
      </c>
      <c r="PX49">
        <v>26.187626070345399</v>
      </c>
      <c r="PY49">
        <v>26.498142443285399</v>
      </c>
      <c r="PZ49">
        <v>26.536595815424899</v>
      </c>
      <c r="QA49">
        <v>26.511795206038801</v>
      </c>
      <c r="QB49">
        <v>26.7721992589208</v>
      </c>
      <c r="QC49">
        <v>26.680967374357301</v>
      </c>
      <c r="QD49">
        <v>23.153844647083201</v>
      </c>
      <c r="QE49">
        <v>26.086852722247599</v>
      </c>
      <c r="QF49">
        <v>26.1240550190685</v>
      </c>
      <c r="QG49">
        <v>26.130225337509302</v>
      </c>
      <c r="QH49">
        <v>26.3501616147514</v>
      </c>
      <c r="QI49">
        <v>26.457914171261098</v>
      </c>
      <c r="QJ49">
        <v>26.747847525626501</v>
      </c>
      <c r="QK49">
        <v>26.796451098546999</v>
      </c>
      <c r="QL49">
        <v>26.781456691519899</v>
      </c>
      <c r="QM49">
        <v>27.023801567941799</v>
      </c>
      <c r="QN49">
        <v>-767.28276503277903</v>
      </c>
      <c r="QO49">
        <v>27.142868253729802</v>
      </c>
      <c r="QP49">
        <v>-9680.6093095348497</v>
      </c>
      <c r="QQ49">
        <v>26.918589050334202</v>
      </c>
      <c r="QR49">
        <v>26.9386940534561</v>
      </c>
      <c r="QS49">
        <v>26.945995060162101</v>
      </c>
      <c r="QT49">
        <v>27.168545709519901</v>
      </c>
      <c r="QU49">
        <v>27.637642405414599</v>
      </c>
      <c r="QV49">
        <v>23.121996940867</v>
      </c>
      <c r="QW49">
        <v>1081331.18668908</v>
      </c>
      <c r="QX49">
        <v>0</v>
      </c>
      <c r="QY49">
        <v>715945.35325246502</v>
      </c>
      <c r="QZ49">
        <v>0</v>
      </c>
      <c r="RA49">
        <v>27092.4910700277</v>
      </c>
      <c r="RB49">
        <v>0</v>
      </c>
      <c r="RC49">
        <v>19514.7577945384</v>
      </c>
      <c r="RD49">
        <v>0</v>
      </c>
      <c r="RE49">
        <v>196022.58640599001</v>
      </c>
      <c r="RF49">
        <v>0</v>
      </c>
      <c r="RG49">
        <v>132791.327247851</v>
      </c>
      <c r="RH49">
        <v>0</v>
      </c>
      <c r="RI49">
        <v>0</v>
      </c>
      <c r="RJ49">
        <v>0</v>
      </c>
      <c r="RK49">
        <v>26.619165180696999</v>
      </c>
      <c r="RL49">
        <v>0</v>
      </c>
      <c r="RM49">
        <v>-12418.757537834599</v>
      </c>
      <c r="RN49">
        <v>65.332149213447295</v>
      </c>
      <c r="RO49">
        <v>0</v>
      </c>
      <c r="RP49">
        <v>0</v>
      </c>
      <c r="RQ49">
        <v>26.6395727175207</v>
      </c>
      <c r="RR49">
        <v>-6.89876773305605</v>
      </c>
      <c r="RS49">
        <v>-7917.6645033807299</v>
      </c>
      <c r="RT49">
        <v>19.725059804673901</v>
      </c>
      <c r="RU49">
        <v>0</v>
      </c>
      <c r="RV49">
        <v>0</v>
      </c>
      <c r="RW49">
        <v>26.6755073563574</v>
      </c>
      <c r="RX49">
        <v>-38.567767772889098</v>
      </c>
      <c r="RY49">
        <v>-12506.8171133341</v>
      </c>
      <c r="RZ49">
        <v>-24.8573731508714</v>
      </c>
      <c r="SA49">
        <v>0</v>
      </c>
      <c r="SB49">
        <v>0</v>
      </c>
      <c r="SC49">
        <v>26.8609961164628</v>
      </c>
      <c r="SD49">
        <v>-178.41965808192899</v>
      </c>
      <c r="SE49">
        <v>-8109.6318802181104</v>
      </c>
      <c r="SF49">
        <v>-178.41965808192899</v>
      </c>
      <c r="SG49">
        <v>0</v>
      </c>
      <c r="SH49">
        <v>0</v>
      </c>
      <c r="SI49">
        <v>27.446964854809799</v>
      </c>
      <c r="SJ49">
        <v>-6250.9396345473697</v>
      </c>
      <c r="SK49">
        <v>-48012.117801023698</v>
      </c>
      <c r="SL49">
        <v>-6250.9396345473697</v>
      </c>
      <c r="SM49">
        <v>21.1111</v>
      </c>
      <c r="SN49">
        <v>26.666699999999999</v>
      </c>
      <c r="SO49">
        <v>0</v>
      </c>
      <c r="SP49">
        <v>0</v>
      </c>
      <c r="SQ49">
        <v>24.8157470299141</v>
      </c>
      <c r="SR49">
        <v>0</v>
      </c>
      <c r="SS49">
        <v>0</v>
      </c>
      <c r="ST49">
        <v>0</v>
      </c>
      <c r="SU49">
        <v>0</v>
      </c>
      <c r="SV49">
        <v>0</v>
      </c>
      <c r="SW49">
        <v>24.8637410089094</v>
      </c>
      <c r="SX49">
        <v>0</v>
      </c>
      <c r="SY49">
        <v>0</v>
      </c>
      <c r="SZ49">
        <v>0</v>
      </c>
      <c r="TA49">
        <v>0</v>
      </c>
      <c r="TB49">
        <v>0</v>
      </c>
      <c r="TC49">
        <v>24.794786028250599</v>
      </c>
      <c r="TD49">
        <v>0</v>
      </c>
      <c r="TE49">
        <v>0</v>
      </c>
      <c r="TF49">
        <v>0</v>
      </c>
      <c r="TG49">
        <v>0</v>
      </c>
      <c r="TH49">
        <v>0</v>
      </c>
      <c r="TI49">
        <v>25.071684028530001</v>
      </c>
      <c r="TJ49">
        <v>0</v>
      </c>
      <c r="TK49">
        <v>0</v>
      </c>
      <c r="TL49">
        <v>0</v>
      </c>
      <c r="TM49">
        <v>0</v>
      </c>
      <c r="TN49">
        <v>0</v>
      </c>
      <c r="TO49">
        <v>24.199701948041401</v>
      </c>
      <c r="TP49">
        <v>0</v>
      </c>
      <c r="TQ49">
        <v>0</v>
      </c>
      <c r="TR49">
        <v>0</v>
      </c>
      <c r="TS49">
        <v>0</v>
      </c>
      <c r="TT49">
        <v>0</v>
      </c>
      <c r="TU49">
        <v>27.185993042085599</v>
      </c>
      <c r="TV49">
        <v>-815.59503741574599</v>
      </c>
      <c r="TW49">
        <v>-13368.030989516499</v>
      </c>
      <c r="TX49">
        <v>-815.59503741574599</v>
      </c>
      <c r="TY49">
        <v>0</v>
      </c>
      <c r="TZ49">
        <v>0</v>
      </c>
      <c r="UA49">
        <v>27.216088128274802</v>
      </c>
      <c r="UB49">
        <v>-549.209570694592</v>
      </c>
      <c r="UC49">
        <v>-8532.6262811963898</v>
      </c>
      <c r="UD49">
        <v>-549.209570694592</v>
      </c>
      <c r="UE49">
        <v>0</v>
      </c>
      <c r="UF49">
        <v>0</v>
      </c>
      <c r="UG49">
        <v>27.2332712917629</v>
      </c>
      <c r="UH49">
        <v>-891.40996833064696</v>
      </c>
      <c r="UI49">
        <v>-13442.054819015</v>
      </c>
      <c r="UJ49">
        <v>-891.40996833064696</v>
      </c>
      <c r="UK49">
        <v>0</v>
      </c>
      <c r="UL49">
        <v>0</v>
      </c>
      <c r="UM49">
        <v>27.437863759059301</v>
      </c>
      <c r="UN49">
        <v>-752.34263846170495</v>
      </c>
      <c r="UO49">
        <v>-8729.7119409231309</v>
      </c>
      <c r="UP49">
        <v>-752.34263846170495</v>
      </c>
      <c r="UQ49">
        <v>0</v>
      </c>
      <c r="UR49">
        <v>0</v>
      </c>
      <c r="US49">
        <v>28.0981104371143</v>
      </c>
      <c r="UT49">
        <v>-11360.961225131001</v>
      </c>
      <c r="UU49">
        <v>-53036.539600995398</v>
      </c>
      <c r="UV49">
        <v>-11360.961225131001</v>
      </c>
      <c r="UW49">
        <v>21.1111</v>
      </c>
      <c r="UX49">
        <v>26.666699999999999</v>
      </c>
      <c r="UY49">
        <v>0</v>
      </c>
      <c r="UZ49">
        <v>0</v>
      </c>
      <c r="VA49">
        <v>24.986930627942801</v>
      </c>
      <c r="VB49">
        <v>0</v>
      </c>
      <c r="VC49">
        <v>0</v>
      </c>
      <c r="VD49">
        <v>0</v>
      </c>
      <c r="VE49">
        <v>0</v>
      </c>
      <c r="VF49">
        <v>0</v>
      </c>
      <c r="VG49">
        <v>25.041696946648099</v>
      </c>
      <c r="VH49">
        <v>0</v>
      </c>
      <c r="VI49">
        <v>0</v>
      </c>
      <c r="VJ49">
        <v>0</v>
      </c>
      <c r="VK49">
        <v>0</v>
      </c>
      <c r="VL49">
        <v>0</v>
      </c>
      <c r="VM49">
        <v>24.960557757499299</v>
      </c>
      <c r="VN49">
        <v>0</v>
      </c>
      <c r="VO49">
        <v>0</v>
      </c>
      <c r="VP49">
        <v>0</v>
      </c>
      <c r="VQ49">
        <v>0</v>
      </c>
      <c r="VR49">
        <v>0</v>
      </c>
      <c r="VS49">
        <v>25.252505495343001</v>
      </c>
      <c r="VT49">
        <v>0</v>
      </c>
      <c r="VU49">
        <v>0</v>
      </c>
      <c r="VV49">
        <v>0</v>
      </c>
      <c r="VW49">
        <v>0</v>
      </c>
      <c r="VX49">
        <v>0</v>
      </c>
      <c r="VY49">
        <v>24.455598674722498</v>
      </c>
      <c r="VZ49">
        <v>0</v>
      </c>
      <c r="WA49">
        <v>0</v>
      </c>
      <c r="WB49">
        <v>0</v>
      </c>
      <c r="WC49">
        <v>0</v>
      </c>
      <c r="WD49">
        <v>0</v>
      </c>
      <c r="WE49">
        <v>27.339035657383</v>
      </c>
      <c r="WF49">
        <v>-1046.1313826384601</v>
      </c>
      <c r="WG49">
        <v>-13636.989868307401</v>
      </c>
      <c r="WH49">
        <v>-1046.1313826384601</v>
      </c>
      <c r="WI49">
        <v>0</v>
      </c>
      <c r="WJ49">
        <v>0</v>
      </c>
      <c r="WK49">
        <v>0</v>
      </c>
      <c r="WL49">
        <v>27.340792291487301</v>
      </c>
      <c r="WM49">
        <v>-668.35042980107505</v>
      </c>
      <c r="WN49">
        <v>-8678.4471207673505</v>
      </c>
      <c r="WO49">
        <v>-668.35042980107505</v>
      </c>
      <c r="WP49">
        <v>18.333300000000001</v>
      </c>
      <c r="WQ49">
        <v>26.666699999999999</v>
      </c>
      <c r="WR49">
        <v>0</v>
      </c>
      <c r="WS49">
        <v>0</v>
      </c>
      <c r="WT49">
        <v>27.3801949142855</v>
      </c>
      <c r="WU49">
        <v>-1112.9383793868501</v>
      </c>
      <c r="WV49">
        <v>-13702.2883112282</v>
      </c>
      <c r="WW49">
        <v>-1112.9383793868501</v>
      </c>
      <c r="WX49">
        <v>0</v>
      </c>
      <c r="WY49">
        <v>0</v>
      </c>
      <c r="WZ49">
        <v>0</v>
      </c>
      <c r="XA49">
        <v>27.564892160119101</v>
      </c>
      <c r="XB49">
        <v>-874.38499262784705</v>
      </c>
      <c r="XC49">
        <v>-8878.3519393631104</v>
      </c>
      <c r="XD49">
        <v>-874.38499262784705</v>
      </c>
      <c r="XE49">
        <v>0</v>
      </c>
      <c r="XF49">
        <v>0</v>
      </c>
      <c r="XG49">
        <v>28.594317436471901</v>
      </c>
      <c r="XH49">
        <v>-15142.043923053299</v>
      </c>
      <c r="XI49">
        <v>-56737.361614913403</v>
      </c>
      <c r="XJ49">
        <v>-15142.043923053299</v>
      </c>
      <c r="XK49">
        <v>21.1111</v>
      </c>
      <c r="XL49">
        <v>26.666699999999999</v>
      </c>
      <c r="XM49">
        <v>0</v>
      </c>
      <c r="XN49">
        <v>0</v>
      </c>
      <c r="XO49">
        <v>24.995620193931501</v>
      </c>
      <c r="XP49">
        <v>0</v>
      </c>
      <c r="XQ49">
        <v>0</v>
      </c>
      <c r="XR49">
        <v>0</v>
      </c>
      <c r="XS49">
        <v>0</v>
      </c>
      <c r="XT49">
        <v>0</v>
      </c>
      <c r="XU49">
        <v>24.9716011419804</v>
      </c>
      <c r="XV49">
        <v>0</v>
      </c>
      <c r="XW49">
        <v>0</v>
      </c>
      <c r="XX49">
        <v>0</v>
      </c>
      <c r="XY49">
        <v>0</v>
      </c>
      <c r="XZ49">
        <v>0</v>
      </c>
      <c r="YA49">
        <v>24.965146607884201</v>
      </c>
      <c r="YB49">
        <v>0</v>
      </c>
      <c r="YC49">
        <v>0</v>
      </c>
      <c r="YD49">
        <v>0</v>
      </c>
      <c r="YE49">
        <v>0</v>
      </c>
      <c r="YF49">
        <v>0</v>
      </c>
      <c r="YG49">
        <v>25.1891261541837</v>
      </c>
      <c r="YH49">
        <v>0</v>
      </c>
      <c r="YI49">
        <v>0</v>
      </c>
      <c r="YJ49">
        <v>0</v>
      </c>
      <c r="YK49">
        <v>0</v>
      </c>
      <c r="YL49">
        <v>0</v>
      </c>
      <c r="YM49">
        <v>25.606401484913501</v>
      </c>
      <c r="YN49">
        <v>0</v>
      </c>
      <c r="YO49">
        <v>0</v>
      </c>
      <c r="YP49">
        <v>0</v>
      </c>
      <c r="YQ49">
        <v>0</v>
      </c>
      <c r="YR49">
        <v>0</v>
      </c>
      <c r="YS49">
        <v>20.935513852149199</v>
      </c>
      <c r="YT49">
        <v>0</v>
      </c>
      <c r="YU49">
        <v>0</v>
      </c>
      <c r="YV49">
        <v>0</v>
      </c>
      <c r="YW49">
        <v>0</v>
      </c>
      <c r="YX49">
        <v>0</v>
      </c>
      <c r="YY49">
        <v>20.9696099646746</v>
      </c>
      <c r="YZ49">
        <v>0</v>
      </c>
      <c r="ZA49">
        <v>0</v>
      </c>
      <c r="ZB49">
        <v>0</v>
      </c>
      <c r="ZC49">
        <v>0</v>
      </c>
      <c r="ZD49">
        <v>0</v>
      </c>
      <c r="ZE49">
        <v>20.929587616959399</v>
      </c>
      <c r="ZF49">
        <v>0</v>
      </c>
      <c r="ZG49">
        <v>0</v>
      </c>
      <c r="ZH49">
        <v>0</v>
      </c>
      <c r="ZI49">
        <v>0</v>
      </c>
      <c r="ZJ49">
        <v>0</v>
      </c>
      <c r="ZK49">
        <v>21.074119461190001</v>
      </c>
      <c r="ZL49">
        <v>0</v>
      </c>
      <c r="ZM49">
        <v>0</v>
      </c>
      <c r="ZN49">
        <v>0</v>
      </c>
      <c r="ZO49">
        <v>0</v>
      </c>
      <c r="ZP49">
        <v>0</v>
      </c>
      <c r="ZQ49">
        <v>20.7294964144325</v>
      </c>
      <c r="ZR49">
        <v>0</v>
      </c>
      <c r="ZS49">
        <v>0</v>
      </c>
      <c r="ZT49">
        <v>0</v>
      </c>
      <c r="ZU49">
        <v>0</v>
      </c>
      <c r="ZV49">
        <v>0</v>
      </c>
      <c r="ZW49">
        <v>24.005949789372401</v>
      </c>
      <c r="ZX49">
        <v>0</v>
      </c>
      <c r="ZY49">
        <v>0</v>
      </c>
      <c r="ZZ49">
        <v>0</v>
      </c>
      <c r="AAA49">
        <v>0</v>
      </c>
      <c r="AAB49">
        <v>0</v>
      </c>
      <c r="AAC49">
        <v>24.068116562487401</v>
      </c>
      <c r="AAD49">
        <v>0</v>
      </c>
      <c r="AAE49">
        <v>0</v>
      </c>
      <c r="AAF49">
        <v>0</v>
      </c>
      <c r="AAG49">
        <v>0</v>
      </c>
      <c r="AAH49">
        <v>0</v>
      </c>
      <c r="AAI49">
        <v>23.9836701929251</v>
      </c>
      <c r="AAJ49">
        <v>0</v>
      </c>
      <c r="AAK49">
        <v>0</v>
      </c>
      <c r="AAL49">
        <v>0</v>
      </c>
      <c r="AAM49">
        <v>0</v>
      </c>
      <c r="AAN49">
        <v>0</v>
      </c>
      <c r="AAO49">
        <v>24.225841318902301</v>
      </c>
      <c r="AAP49">
        <v>0</v>
      </c>
      <c r="AAQ49">
        <v>0</v>
      </c>
      <c r="AAR49">
        <v>0</v>
      </c>
      <c r="AAS49">
        <v>0</v>
      </c>
      <c r="AAT49">
        <v>0</v>
      </c>
      <c r="AAU49">
        <v>23.0001276964718</v>
      </c>
      <c r="AAV49">
        <v>0</v>
      </c>
      <c r="AAW49">
        <v>0</v>
      </c>
      <c r="AAX49">
        <v>0</v>
      </c>
      <c r="AAY49">
        <v>0</v>
      </c>
      <c r="AAZ49">
        <v>0</v>
      </c>
      <c r="ABA49">
        <v>24.013092728945701</v>
      </c>
      <c r="ABB49">
        <v>0</v>
      </c>
      <c r="ABC49">
        <v>0</v>
      </c>
      <c r="ABD49">
        <v>0</v>
      </c>
      <c r="ABE49">
        <v>0</v>
      </c>
      <c r="ABF49">
        <v>0</v>
      </c>
      <c r="ABG49">
        <v>24.0649401840918</v>
      </c>
      <c r="ABH49">
        <v>0</v>
      </c>
      <c r="ABI49">
        <v>0</v>
      </c>
      <c r="ABJ49">
        <v>0</v>
      </c>
      <c r="ABK49">
        <v>0</v>
      </c>
      <c r="ABL49">
        <v>0</v>
      </c>
      <c r="ABM49">
        <v>23.983035132114999</v>
      </c>
      <c r="ABN49">
        <v>0</v>
      </c>
      <c r="ABO49">
        <v>0</v>
      </c>
      <c r="ABP49">
        <v>0</v>
      </c>
      <c r="ABQ49">
        <v>0</v>
      </c>
      <c r="ABR49">
        <v>0</v>
      </c>
      <c r="ABS49">
        <v>24.239902691055601</v>
      </c>
      <c r="ABT49">
        <v>0</v>
      </c>
      <c r="ABU49">
        <v>0</v>
      </c>
      <c r="ABV49">
        <v>0</v>
      </c>
      <c r="ABW49">
        <v>0</v>
      </c>
      <c r="ABX49">
        <v>0</v>
      </c>
      <c r="ABY49">
        <v>23.121996940867</v>
      </c>
      <c r="ABZ49">
        <v>0</v>
      </c>
      <c r="ACA49">
        <v>0</v>
      </c>
      <c r="ACB49">
        <v>0</v>
      </c>
      <c r="ACC49">
        <v>0</v>
      </c>
      <c r="ACD49">
        <v>0</v>
      </c>
      <c r="ACE49">
        <v>0</v>
      </c>
      <c r="ACF49">
        <v>7.4572007059970504</v>
      </c>
      <c r="ACG49">
        <v>7.4572007059970504</v>
      </c>
      <c r="ACH49">
        <v>0</v>
      </c>
      <c r="ACI49">
        <v>0</v>
      </c>
      <c r="ACJ49">
        <v>0</v>
      </c>
      <c r="ACK49">
        <v>21.336776995094599</v>
      </c>
      <c r="ACL49">
        <v>21.336776995094599</v>
      </c>
      <c r="ACM49">
        <v>0</v>
      </c>
      <c r="ACN49">
        <v>105390.341415922</v>
      </c>
      <c r="ACO49">
        <v>105390.341415922</v>
      </c>
      <c r="ACP49">
        <v>0</v>
      </c>
      <c r="ACQ49">
        <v>46588.161939429898</v>
      </c>
      <c r="ACR49">
        <v>105390.341415922</v>
      </c>
      <c r="ACS49">
        <v>151978.503355352</v>
      </c>
      <c r="ACT49">
        <v>27.445079220657401</v>
      </c>
      <c r="ACU49">
        <v>27.445079220657401</v>
      </c>
      <c r="ACV49">
        <v>0</v>
      </c>
      <c r="ACW49">
        <v>0</v>
      </c>
      <c r="ACX49">
        <v>1</v>
      </c>
      <c r="ACY49">
        <v>28.0966680066003</v>
      </c>
      <c r="ACZ49">
        <v>28.0966680066003</v>
      </c>
      <c r="ADA49">
        <v>0</v>
      </c>
      <c r="ADB49">
        <v>0</v>
      </c>
      <c r="ADC49">
        <v>1</v>
      </c>
      <c r="ADD49">
        <v>28.593579650714201</v>
      </c>
      <c r="ADE49">
        <v>28.593579650714201</v>
      </c>
      <c r="ADF49">
        <v>0</v>
      </c>
      <c r="ADG49">
        <v>0</v>
      </c>
      <c r="ADH49">
        <v>1</v>
      </c>
      <c r="ADI49">
        <v>26.856601792453102</v>
      </c>
      <c r="ADJ49">
        <v>26.856601792453102</v>
      </c>
      <c r="ADK49">
        <v>0</v>
      </c>
      <c r="ADL49">
        <v>0</v>
      </c>
      <c r="ADM49">
        <v>1</v>
      </c>
      <c r="ADN49">
        <v>26.880202041767099</v>
      </c>
      <c r="ADO49">
        <v>26.880202041767099</v>
      </c>
      <c r="ADP49">
        <v>0</v>
      </c>
      <c r="ADQ49">
        <v>0</v>
      </c>
      <c r="ADR49">
        <v>1</v>
      </c>
      <c r="ADS49">
        <v>26.899683249239001</v>
      </c>
      <c r="ADT49">
        <v>26.899683249239001</v>
      </c>
      <c r="ADU49">
        <v>0</v>
      </c>
      <c r="ADV49">
        <v>0</v>
      </c>
      <c r="ADW49">
        <v>1</v>
      </c>
      <c r="ADX49">
        <v>27.1056294614812</v>
      </c>
      <c r="ADY49">
        <v>27.1056294614812</v>
      </c>
      <c r="ADZ49">
        <v>0</v>
      </c>
      <c r="AEA49">
        <v>0</v>
      </c>
      <c r="AEB49">
        <v>1</v>
      </c>
      <c r="AEC49">
        <v>27.456001013428899</v>
      </c>
      <c r="AED49">
        <v>27.456001013428899</v>
      </c>
      <c r="AEE49">
        <v>0</v>
      </c>
      <c r="AEF49">
        <v>0</v>
      </c>
      <c r="AEG49">
        <v>1</v>
      </c>
      <c r="AEH49">
        <v>27.490518825296199</v>
      </c>
      <c r="AEI49">
        <v>27.490518825296199</v>
      </c>
      <c r="AEJ49">
        <v>0</v>
      </c>
      <c r="AEK49">
        <v>0</v>
      </c>
      <c r="AEL49">
        <v>1</v>
      </c>
      <c r="AEM49">
        <v>27.489683084344801</v>
      </c>
      <c r="AEN49">
        <v>27.489683084344801</v>
      </c>
      <c r="AEO49">
        <v>0</v>
      </c>
      <c r="AEP49">
        <v>0</v>
      </c>
      <c r="AEQ49">
        <v>1</v>
      </c>
      <c r="AER49">
        <v>27.717233575027901</v>
      </c>
      <c r="AES49">
        <v>27.717233575027901</v>
      </c>
      <c r="AET49">
        <v>0</v>
      </c>
      <c r="AEU49">
        <v>0</v>
      </c>
      <c r="AEV49">
        <v>1</v>
      </c>
      <c r="AEW49">
        <v>27.615239963641201</v>
      </c>
      <c r="AEX49">
        <v>27.615239963641201</v>
      </c>
      <c r="AEY49">
        <v>0</v>
      </c>
      <c r="AEZ49">
        <v>0</v>
      </c>
      <c r="AFA49">
        <v>1</v>
      </c>
      <c r="AFB49">
        <v>27.6199854958519</v>
      </c>
      <c r="AFC49">
        <v>27.6199854958519</v>
      </c>
      <c r="AFD49">
        <v>0</v>
      </c>
      <c r="AFE49">
        <v>0</v>
      </c>
      <c r="AFF49">
        <v>1</v>
      </c>
      <c r="AFG49">
        <v>27.642462264515899</v>
      </c>
      <c r="AFH49">
        <v>27.642462264515899</v>
      </c>
      <c r="AFI49">
        <v>0</v>
      </c>
      <c r="AFJ49">
        <v>0</v>
      </c>
      <c r="AFK49">
        <v>1</v>
      </c>
      <c r="AFL49">
        <v>27.849764218375501</v>
      </c>
      <c r="AFM49">
        <v>27.849764218375501</v>
      </c>
      <c r="AFN49">
        <v>0</v>
      </c>
      <c r="AFO49">
        <v>0</v>
      </c>
      <c r="AFP49">
        <v>1</v>
      </c>
      <c r="AFQ49">
        <v>9.2362245780452504E-2</v>
      </c>
      <c r="AFR49">
        <v>8.1457487609790602E-2</v>
      </c>
      <c r="AFS49">
        <v>0.15843908056891101</v>
      </c>
      <c r="AFT49">
        <v>9.1788346790201897E-2</v>
      </c>
      <c r="AFU49">
        <v>0.28398532278452399</v>
      </c>
      <c r="AFV49">
        <v>0.27577961568071802</v>
      </c>
      <c r="AFW49">
        <v>0.36030428093752698</v>
      </c>
      <c r="AFX49">
        <v>0.29030912116582003</v>
      </c>
      <c r="AFY49">
        <v>0.33397855010810601</v>
      </c>
      <c r="AFZ49">
        <v>0.32759705475404199</v>
      </c>
      <c r="AGA49">
        <v>0.40449546042173501</v>
      </c>
      <c r="AGB49">
        <v>0.333186441187589</v>
      </c>
      <c r="AGC49">
        <v>0.18352378277829701</v>
      </c>
      <c r="AGD49">
        <v>0.38546900916654497</v>
      </c>
      <c r="AGE49">
        <v>0.53768684706156</v>
      </c>
      <c r="AGF49">
        <v>0</v>
      </c>
      <c r="AGG49">
        <v>0</v>
      </c>
      <c r="AGH49">
        <v>0</v>
      </c>
      <c r="AGI49">
        <v>0</v>
      </c>
      <c r="AGJ49">
        <v>0</v>
      </c>
      <c r="AGK49">
        <v>0</v>
      </c>
      <c r="AGL49">
        <v>0</v>
      </c>
      <c r="AGM49">
        <v>0</v>
      </c>
      <c r="AGN49">
        <v>0</v>
      </c>
      <c r="AGO49">
        <v>0</v>
      </c>
      <c r="AGP49">
        <v>0</v>
      </c>
      <c r="AGQ49">
        <v>0</v>
      </c>
      <c r="AGR49">
        <v>0</v>
      </c>
      <c r="AGS49">
        <v>0.75</v>
      </c>
      <c r="AGT49">
        <v>0.75</v>
      </c>
      <c r="AGU49">
        <v>0</v>
      </c>
      <c r="AGV49">
        <v>0</v>
      </c>
      <c r="AGW49">
        <v>0</v>
      </c>
      <c r="AGX49">
        <v>0</v>
      </c>
      <c r="AGY49">
        <v>0</v>
      </c>
      <c r="AGZ49">
        <v>0.25</v>
      </c>
      <c r="AHA49">
        <v>0.25</v>
      </c>
      <c r="AHB49">
        <v>0.25</v>
      </c>
      <c r="AHC49">
        <v>1</v>
      </c>
      <c r="AHD49">
        <v>1</v>
      </c>
      <c r="AHE49">
        <v>0</v>
      </c>
      <c r="AHF49">
        <v>0</v>
      </c>
      <c r="AHG49">
        <v>0</v>
      </c>
      <c r="AHH49">
        <v>0</v>
      </c>
      <c r="AHI49">
        <v>0</v>
      </c>
      <c r="AHJ49">
        <v>0</v>
      </c>
      <c r="AHK49">
        <v>0</v>
      </c>
      <c r="AHL49">
        <v>0</v>
      </c>
      <c r="AHM49">
        <v>0</v>
      </c>
      <c r="AHN49">
        <v>0</v>
      </c>
      <c r="AHO49">
        <v>0</v>
      </c>
      <c r="AHP49">
        <v>0</v>
      </c>
      <c r="AHQ49">
        <v>0</v>
      </c>
      <c r="AHR49">
        <v>0</v>
      </c>
      <c r="AHS49">
        <v>0</v>
      </c>
      <c r="AHT49">
        <v>0</v>
      </c>
      <c r="AHU49">
        <v>0</v>
      </c>
      <c r="AHV49">
        <v>0</v>
      </c>
      <c r="AHW49">
        <v>0</v>
      </c>
      <c r="AHX49">
        <v>0</v>
      </c>
      <c r="AHY49">
        <v>0</v>
      </c>
      <c r="AHZ49">
        <v>0</v>
      </c>
      <c r="AIA49">
        <v>0</v>
      </c>
      <c r="AIB49">
        <v>0</v>
      </c>
      <c r="AIC49">
        <v>0</v>
      </c>
      <c r="AID49">
        <v>0</v>
      </c>
      <c r="AIE49">
        <v>0</v>
      </c>
      <c r="AIF49">
        <v>0</v>
      </c>
      <c r="AIG49">
        <v>0</v>
      </c>
      <c r="AIH49">
        <v>0</v>
      </c>
      <c r="AII49">
        <v>0</v>
      </c>
      <c r="AIJ49">
        <v>0</v>
      </c>
      <c r="AIK49">
        <v>0</v>
      </c>
      <c r="AIL49">
        <v>0</v>
      </c>
      <c r="AIM49">
        <v>0</v>
      </c>
      <c r="AIN49">
        <v>0</v>
      </c>
      <c r="AIO49">
        <v>0</v>
      </c>
      <c r="AIP49">
        <v>0</v>
      </c>
      <c r="AIQ49">
        <v>0</v>
      </c>
      <c r="AIR49">
        <v>0</v>
      </c>
      <c r="AIS49">
        <v>0</v>
      </c>
      <c r="AIT49">
        <v>0</v>
      </c>
      <c r="AIU49">
        <v>0</v>
      </c>
      <c r="AIV49">
        <v>0</v>
      </c>
      <c r="AIW49">
        <v>0</v>
      </c>
      <c r="AIX49">
        <v>0</v>
      </c>
      <c r="AIY49">
        <v>0</v>
      </c>
      <c r="AIZ49">
        <v>0</v>
      </c>
      <c r="AJA49">
        <v>0</v>
      </c>
      <c r="AJB49">
        <v>0</v>
      </c>
      <c r="AJC49">
        <v>0</v>
      </c>
      <c r="AJD49">
        <v>0</v>
      </c>
      <c r="AJE49">
        <v>0</v>
      </c>
      <c r="AJF49">
        <v>180361.01627850599</v>
      </c>
      <c r="AJG49">
        <v>180361.01627850599</v>
      </c>
      <c r="AJH49">
        <v>0</v>
      </c>
      <c r="AJI49">
        <v>467537730.71474397</v>
      </c>
      <c r="AJJ49">
        <v>0</v>
      </c>
      <c r="AJK49">
        <v>0</v>
      </c>
      <c r="AJL49">
        <v>0</v>
      </c>
      <c r="AJM49">
        <v>0</v>
      </c>
      <c r="AJN49">
        <v>0</v>
      </c>
      <c r="AJO49">
        <v>0</v>
      </c>
      <c r="AJP49">
        <v>0</v>
      </c>
      <c r="AJQ49">
        <v>0</v>
      </c>
      <c r="AJR49">
        <v>0</v>
      </c>
      <c r="AJS49">
        <v>0</v>
      </c>
      <c r="AJT49">
        <v>0</v>
      </c>
      <c r="AJU49">
        <v>0</v>
      </c>
      <c r="AJV49">
        <v>0</v>
      </c>
      <c r="AJW49">
        <v>0</v>
      </c>
      <c r="AJX49">
        <v>0</v>
      </c>
      <c r="AJY49">
        <v>0</v>
      </c>
      <c r="AJZ49">
        <v>0</v>
      </c>
      <c r="AKA49">
        <v>0</v>
      </c>
      <c r="AKB49">
        <v>0</v>
      </c>
      <c r="AKC49">
        <v>0</v>
      </c>
      <c r="AKD49">
        <v>0</v>
      </c>
      <c r="AKE49">
        <v>65.56</v>
      </c>
      <c r="AKF49">
        <v>65.56</v>
      </c>
      <c r="AKG49">
        <v>0</v>
      </c>
      <c r="AKH49">
        <v>0</v>
      </c>
      <c r="AKI49">
        <v>0</v>
      </c>
      <c r="AKJ49">
        <v>0</v>
      </c>
      <c r="AKK49">
        <v>0</v>
      </c>
      <c r="AKL49">
        <v>65.56</v>
      </c>
      <c r="AKM49">
        <v>65.56</v>
      </c>
      <c r="AKN49">
        <v>0</v>
      </c>
      <c r="AKO49">
        <v>0</v>
      </c>
      <c r="AKP49">
        <v>0</v>
      </c>
      <c r="AKQ49">
        <v>0</v>
      </c>
      <c r="AKR49">
        <v>0</v>
      </c>
      <c r="AKS49">
        <v>0</v>
      </c>
      <c r="AKT49">
        <v>0</v>
      </c>
      <c r="AKU49">
        <v>107756723.973538</v>
      </c>
      <c r="AKV49">
        <v>107756723.973538</v>
      </c>
      <c r="AKW49">
        <v>1247.18430524929</v>
      </c>
      <c r="AKX49">
        <v>0</v>
      </c>
      <c r="AKY49">
        <v>94214545.803184599</v>
      </c>
      <c r="AKZ49">
        <v>94214545.803184599</v>
      </c>
      <c r="ALA49">
        <v>1090.4461319812999</v>
      </c>
      <c r="ALB49">
        <v>21.336776995094599</v>
      </c>
      <c r="ALC49">
        <v>21.336776995094599</v>
      </c>
      <c r="ALD49">
        <v>0</v>
      </c>
      <c r="ALE49">
        <v>0</v>
      </c>
      <c r="ALF49">
        <v>0</v>
      </c>
      <c r="ALG49">
        <v>207039185.305924</v>
      </c>
      <c r="ALH49">
        <v>24.164379307652698</v>
      </c>
      <c r="ALI49">
        <v>9.8638490212145605E-3</v>
      </c>
      <c r="ALJ49">
        <v>0</v>
      </c>
      <c r="ALK49">
        <v>24.164379307652698</v>
      </c>
      <c r="ALL49">
        <v>0</v>
      </c>
      <c r="ALM49">
        <v>0</v>
      </c>
      <c r="ALN49">
        <v>24.164379307652698</v>
      </c>
      <c r="ALO49">
        <v>9.8638490212145605E-3</v>
      </c>
      <c r="ALP49">
        <v>52.438403191181699</v>
      </c>
      <c r="ALQ49">
        <v>0</v>
      </c>
      <c r="ALR49">
        <v>24.164379307652698</v>
      </c>
      <c r="ALS49">
        <v>0</v>
      </c>
      <c r="ALT49">
        <v>24.164379307652698</v>
      </c>
      <c r="ALU49">
        <v>0</v>
      </c>
      <c r="ALV49">
        <v>7.4572007059970504</v>
      </c>
      <c r="ALW49">
        <v>9.9999999999999897E-12</v>
      </c>
      <c r="ALX49">
        <v>7.4572007059970504</v>
      </c>
      <c r="ALY49">
        <v>9.9999999999999897E-12</v>
      </c>
      <c r="ALZ49">
        <v>0</v>
      </c>
      <c r="AMA49">
        <v>7.4572007059970504</v>
      </c>
      <c r="AMB49">
        <v>0</v>
      </c>
      <c r="AMC49">
        <v>7.4572007059970504</v>
      </c>
      <c r="AMD49">
        <v>0</v>
      </c>
      <c r="AME49">
        <v>7.4572007059970504</v>
      </c>
      <c r="AMF49">
        <v>0</v>
      </c>
      <c r="AMG49">
        <v>0</v>
      </c>
      <c r="AMH49">
        <v>0</v>
      </c>
      <c r="AMI49">
        <v>21.046459109113499</v>
      </c>
      <c r="AMJ49">
        <v>0</v>
      </c>
      <c r="AMK49" s="580">
        <v>20.664662680423</v>
      </c>
      <c r="AML49">
        <v>0</v>
      </c>
      <c r="AMM49">
        <v>20.937828817137401</v>
      </c>
      <c r="AMN49">
        <v>0</v>
      </c>
      <c r="AMO49">
        <v>20.905940029435499</v>
      </c>
      <c r="AMP49">
        <v>0</v>
      </c>
      <c r="AMQ49">
        <v>20.897421653086301</v>
      </c>
      <c r="AMR49">
        <v>0</v>
      </c>
      <c r="AMS49">
        <v>22.839294223753399</v>
      </c>
      <c r="AMT49">
        <v>0</v>
      </c>
      <c r="AMU49">
        <v>23.9571143274493</v>
      </c>
      <c r="AMV49">
        <v>0</v>
      </c>
      <c r="AMW49">
        <v>24.112813381203999</v>
      </c>
      <c r="AMX49">
        <v>0</v>
      </c>
      <c r="AMY49">
        <v>23.8969232018989</v>
      </c>
      <c r="AMZ49">
        <v>0</v>
      </c>
      <c r="ANA49">
        <v>23.872110534518001</v>
      </c>
      <c r="ANB49">
        <v>0</v>
      </c>
      <c r="ANC49">
        <v>22.948796688368301</v>
      </c>
      <c r="AND49">
        <v>0</v>
      </c>
      <c r="ANE49">
        <v>23.9491724177668</v>
      </c>
      <c r="ANF49">
        <v>0</v>
      </c>
      <c r="ANG49">
        <v>24.1221605305638</v>
      </c>
      <c r="ANH49">
        <v>0</v>
      </c>
      <c r="ANI49">
        <v>23.898838639453601</v>
      </c>
      <c r="ANJ49">
        <v>0</v>
      </c>
      <c r="ANK49">
        <v>23.8664642595838</v>
      </c>
      <c r="ANL49">
        <v>0</v>
      </c>
      <c r="ANM49">
        <v>0</v>
      </c>
      <c r="ANN49">
        <v>0</v>
      </c>
      <c r="ANO49">
        <v>0</v>
      </c>
      <c r="ANP49">
        <v>20.664662680423</v>
      </c>
      <c r="ANQ49">
        <v>20.937828817137401</v>
      </c>
      <c r="ANR49">
        <v>21.046459109113499</v>
      </c>
      <c r="ANS49">
        <v>20.897421653086301</v>
      </c>
      <c r="ANT49">
        <v>20.905940029435499</v>
      </c>
      <c r="ANU49">
        <v>22.839294223753399</v>
      </c>
      <c r="ANV49">
        <v>23.9571143274493</v>
      </c>
      <c r="ANW49">
        <v>24.112813381203999</v>
      </c>
      <c r="ANX49">
        <v>23.872110534518001</v>
      </c>
      <c r="ANY49">
        <v>23.8969232018989</v>
      </c>
      <c r="ANZ49">
        <v>22.948796688368301</v>
      </c>
      <c r="AOA49">
        <v>23.9491724177668</v>
      </c>
      <c r="AOB49">
        <v>24.1221605305638</v>
      </c>
      <c r="AOC49">
        <v>23.8664642595838</v>
      </c>
      <c r="AOD49">
        <v>23.898838639453601</v>
      </c>
      <c r="AOE49">
        <v>24.164379307652698</v>
      </c>
      <c r="AOF49">
        <v>0</v>
      </c>
      <c r="AOG49">
        <v>24.106409787643301</v>
      </c>
      <c r="AOH49">
        <v>0</v>
      </c>
    </row>
    <row r="50" spans="1:1074">
      <c r="AMJ50" s="580"/>
    </row>
    <row r="51" spans="1:1074">
      <c r="AMJ51" s="580"/>
    </row>
    <row r="53" spans="1:1074">
      <c r="A53" s="581"/>
      <c r="AMJ53" s="580"/>
    </row>
    <row r="54" spans="1:1074">
      <c r="AMJ54" s="580"/>
    </row>
    <row r="55" spans="1:1074">
      <c r="AMJ55" s="580"/>
    </row>
    <row r="56" spans="1:1074">
      <c r="AMJ56" s="580"/>
    </row>
    <row r="57" spans="1:1074">
      <c r="AMJ57" s="580"/>
    </row>
    <row r="1774" spans="391:391">
      <c r="OA1774" s="581"/>
    </row>
  </sheetData>
  <phoneticPr fontId="11" type="noConversion"/>
  <pageMargins left="0.75" right="0.75" top="1" bottom="1" header="0.5" footer="0.5"/>
  <pageSetup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50"/>
  </sheetPr>
  <dimension ref="B2:T28"/>
  <sheetViews>
    <sheetView workbookViewId="0">
      <selection activeCell="M11" sqref="M11"/>
    </sheetView>
  </sheetViews>
  <sheetFormatPr defaultRowHeight="12.75"/>
  <cols>
    <col min="2" max="2" width="29.28515625" bestFit="1" customWidth="1"/>
    <col min="3" max="3" width="18.5703125" bestFit="1" customWidth="1"/>
    <col min="5" max="5" width="14.7109375" bestFit="1" customWidth="1"/>
    <col min="6" max="6" width="12.140625" bestFit="1" customWidth="1"/>
    <col min="13" max="13" width="15.5703125" bestFit="1" customWidth="1"/>
    <col min="14" max="14" width="11.42578125" bestFit="1" customWidth="1"/>
  </cols>
  <sheetData>
    <row r="2" spans="2:20">
      <c r="B2" t="s">
        <v>200</v>
      </c>
    </row>
    <row r="4" spans="2:20">
      <c r="J4" t="s">
        <v>9</v>
      </c>
      <c r="M4" s="2" t="s">
        <v>917</v>
      </c>
      <c r="N4" s="2" t="s">
        <v>918</v>
      </c>
      <c r="O4" s="2" t="s">
        <v>921</v>
      </c>
    </row>
    <row r="5" spans="2:20">
      <c r="B5" t="s">
        <v>201</v>
      </c>
      <c r="D5" t="s">
        <v>358</v>
      </c>
      <c r="E5" t="s">
        <v>87</v>
      </c>
      <c r="F5" t="s">
        <v>99</v>
      </c>
      <c r="J5" t="s">
        <v>7</v>
      </c>
      <c r="M5" s="358" t="s">
        <v>915</v>
      </c>
      <c r="N5" s="358" t="s">
        <v>208</v>
      </c>
      <c r="O5" s="358" t="s">
        <v>919</v>
      </c>
    </row>
    <row r="6" spans="2:20">
      <c r="B6" t="s">
        <v>202</v>
      </c>
      <c r="D6" t="s">
        <v>359</v>
      </c>
      <c r="E6" t="s">
        <v>362</v>
      </c>
      <c r="F6" t="s">
        <v>366</v>
      </c>
      <c r="J6" t="s">
        <v>8</v>
      </c>
      <c r="M6" s="358" t="s">
        <v>842</v>
      </c>
      <c r="N6" s="358" t="s">
        <v>914</v>
      </c>
      <c r="O6" s="358" t="s">
        <v>922</v>
      </c>
    </row>
    <row r="7" spans="2:20">
      <c r="B7" t="s">
        <v>203</v>
      </c>
      <c r="D7" t="s">
        <v>360</v>
      </c>
      <c r="E7" t="s">
        <v>363</v>
      </c>
      <c r="F7" t="s">
        <v>367</v>
      </c>
      <c r="J7" s="4" t="s">
        <v>656</v>
      </c>
      <c r="M7" s="358" t="s">
        <v>81</v>
      </c>
      <c r="N7" s="358" t="s">
        <v>910</v>
      </c>
    </row>
    <row r="8" spans="2:20">
      <c r="D8" t="s">
        <v>361</v>
      </c>
      <c r="E8" t="s">
        <v>364</v>
      </c>
      <c r="J8" s="4" t="s">
        <v>655</v>
      </c>
    </row>
    <row r="9" spans="2:20">
      <c r="E9" t="s">
        <v>365</v>
      </c>
      <c r="J9" s="4" t="s">
        <v>654</v>
      </c>
    </row>
    <row r="10" spans="2:20">
      <c r="B10" t="s">
        <v>208</v>
      </c>
      <c r="J10" s="4" t="s">
        <v>653</v>
      </c>
    </row>
    <row r="11" spans="2:20">
      <c r="B11" t="s">
        <v>209</v>
      </c>
      <c r="J11" s="4" t="s">
        <v>652</v>
      </c>
      <c r="M11" t="s">
        <v>70</v>
      </c>
      <c r="N11" t="s">
        <v>71</v>
      </c>
      <c r="P11" s="358" t="s">
        <v>990</v>
      </c>
      <c r="Q11" s="358" t="s">
        <v>351</v>
      </c>
      <c r="R11" s="358" t="s">
        <v>1008</v>
      </c>
      <c r="S11" s="358" t="s">
        <v>350</v>
      </c>
      <c r="T11" s="358" t="s">
        <v>1009</v>
      </c>
    </row>
    <row r="12" spans="2:20" ht="13.5" thickBot="1">
      <c r="J12" s="4" t="s">
        <v>613</v>
      </c>
      <c r="M12">
        <v>0</v>
      </c>
      <c r="N12">
        <v>0</v>
      </c>
      <c r="Q12" s="570" t="s">
        <v>995</v>
      </c>
      <c r="R12" s="570" t="s">
        <v>992</v>
      </c>
      <c r="S12" s="570" t="s">
        <v>985</v>
      </c>
      <c r="T12" s="570" t="s">
        <v>1012</v>
      </c>
    </row>
    <row r="13" spans="2:20" ht="13.5" thickBot="1">
      <c r="B13" s="19" t="s">
        <v>199</v>
      </c>
      <c r="C13" s="19" t="s">
        <v>2535</v>
      </c>
      <c r="E13" t="s">
        <v>9</v>
      </c>
      <c r="J13" s="4" t="s">
        <v>651</v>
      </c>
      <c r="M13">
        <v>1</v>
      </c>
      <c r="N13">
        <v>31</v>
      </c>
      <c r="Q13" s="570" t="s">
        <v>1010</v>
      </c>
      <c r="R13" s="570" t="s">
        <v>1014</v>
      </c>
      <c r="S13" s="570" t="s">
        <v>1012</v>
      </c>
      <c r="T13" s="570" t="s">
        <v>986</v>
      </c>
    </row>
    <row r="14" spans="2:20">
      <c r="B14" s="640" t="s">
        <v>2529</v>
      </c>
      <c r="C14" s="641">
        <v>100</v>
      </c>
      <c r="E14" t="s">
        <v>7</v>
      </c>
      <c r="J14" s="4" t="s">
        <v>650</v>
      </c>
      <c r="M14">
        <v>2</v>
      </c>
      <c r="N14">
        <v>59</v>
      </c>
      <c r="Q14" s="570" t="s">
        <v>991</v>
      </c>
      <c r="R14" s="570" t="s">
        <v>993</v>
      </c>
      <c r="S14" s="570" t="s">
        <v>986</v>
      </c>
      <c r="T14" s="570" t="s">
        <v>1013</v>
      </c>
    </row>
    <row r="15" spans="2:20">
      <c r="B15" s="640" t="s">
        <v>2537</v>
      </c>
      <c r="C15" s="18">
        <v>75</v>
      </c>
      <c r="E15" t="s">
        <v>8</v>
      </c>
      <c r="J15" s="4" t="s">
        <v>649</v>
      </c>
      <c r="M15">
        <v>3</v>
      </c>
      <c r="N15">
        <v>90</v>
      </c>
      <c r="Q15" s="570" t="s">
        <v>1011</v>
      </c>
      <c r="R15" s="570"/>
      <c r="S15" s="570" t="s">
        <v>1013</v>
      </c>
      <c r="T15" s="570" t="s">
        <v>987</v>
      </c>
    </row>
    <row r="16" spans="2:20">
      <c r="B16" s="640" t="s">
        <v>2532</v>
      </c>
      <c r="C16" s="640">
        <v>150</v>
      </c>
      <c r="J16" s="4" t="s">
        <v>648</v>
      </c>
      <c r="M16">
        <v>4</v>
      </c>
      <c r="N16">
        <v>120</v>
      </c>
      <c r="Q16" s="570" t="s">
        <v>992</v>
      </c>
      <c r="R16" s="569"/>
    </row>
    <row r="17" spans="2:18">
      <c r="B17" s="640" t="s">
        <v>2536</v>
      </c>
      <c r="C17" s="641">
        <v>100</v>
      </c>
      <c r="E17" t="s">
        <v>159</v>
      </c>
      <c r="G17">
        <v>0.2</v>
      </c>
      <c r="H17">
        <v>3</v>
      </c>
      <c r="J17" s="4" t="s">
        <v>647</v>
      </c>
      <c r="M17">
        <v>5</v>
      </c>
      <c r="N17">
        <v>151</v>
      </c>
      <c r="Q17" s="569"/>
      <c r="R17" s="569"/>
    </row>
    <row r="18" spans="2:18">
      <c r="B18" s="640" t="s">
        <v>2533</v>
      </c>
      <c r="C18" s="640">
        <v>250</v>
      </c>
      <c r="E18" t="s">
        <v>160</v>
      </c>
      <c r="G18">
        <v>0.4</v>
      </c>
      <c r="H18">
        <v>4</v>
      </c>
      <c r="J18" s="4" t="s">
        <v>646</v>
      </c>
      <c r="M18">
        <v>6</v>
      </c>
      <c r="N18" s="45">
        <v>181</v>
      </c>
      <c r="Q18" s="569"/>
      <c r="R18" s="569"/>
    </row>
    <row r="19" spans="2:18">
      <c r="B19" s="614" t="s">
        <v>2534</v>
      </c>
      <c r="C19" s="614">
        <v>225</v>
      </c>
      <c r="E19" t="s">
        <v>161</v>
      </c>
      <c r="G19">
        <v>0.6</v>
      </c>
      <c r="H19">
        <v>5</v>
      </c>
      <c r="J19" s="4" t="s">
        <v>645</v>
      </c>
      <c r="M19">
        <v>7</v>
      </c>
      <c r="N19">
        <v>212</v>
      </c>
      <c r="Q19" s="569"/>
      <c r="R19" s="569"/>
    </row>
    <row r="20" spans="2:18" ht="13.5" thickBot="1">
      <c r="B20" s="615" t="s">
        <v>2491</v>
      </c>
      <c r="C20" s="615">
        <v>150</v>
      </c>
      <c r="J20">
        <v>7</v>
      </c>
      <c r="M20">
        <v>8</v>
      </c>
      <c r="N20">
        <v>243</v>
      </c>
      <c r="Q20" s="569"/>
      <c r="R20" s="569"/>
    </row>
    <row r="21" spans="2:18">
      <c r="D21" t="s">
        <v>22</v>
      </c>
      <c r="E21" t="s">
        <v>21</v>
      </c>
      <c r="F21" t="s">
        <v>2</v>
      </c>
      <c r="J21">
        <v>8</v>
      </c>
      <c r="M21">
        <v>9</v>
      </c>
      <c r="N21">
        <v>273</v>
      </c>
      <c r="Q21" s="569"/>
      <c r="R21" s="569"/>
    </row>
    <row r="22" spans="2:18">
      <c r="C22" t="s">
        <v>20</v>
      </c>
      <c r="D22">
        <v>20</v>
      </c>
      <c r="E22">
        <f>IF(OR(Weather_location&lt;&gt;"Los_Angeles", Weather_location&lt;&gt;"San_Francisco", Weather_location&lt;&gt;"Sacramento"), 0.2955,IF(Weather_location="Los_Angeles",0.332,IF(Weather_location="San_Francisco",0.401,IF(Weather_location="Sacramento",0.2955))))</f>
        <v>0.29549999999999998</v>
      </c>
      <c r="F22">
        <f>IF(OR(Weather_location&lt;&gt;"Los_Angeles", Weather_location&lt;&gt;"San_Francisco", Weather_location&lt;&gt;"Sacramento"), 0.0035,IF(Weather_location="Los_Angeles",0.0055,IF(Weather_location="San_Francisco",0.0055,IF(Weather_location="Sacramento",0.0035))))</f>
        <v>3.5000000000000001E-3</v>
      </c>
      <c r="M22">
        <v>10</v>
      </c>
      <c r="N22">
        <v>304</v>
      </c>
      <c r="Q22" s="569"/>
      <c r="R22" s="569"/>
    </row>
    <row r="23" spans="2:18">
      <c r="D23">
        <v>40</v>
      </c>
      <c r="E23">
        <f>IF(OR(Weather_location&lt;&gt;"Los_Angeles", Weather_location&lt;&gt;"San_Francisco", Weather_location&lt;&gt;"Sacramento"), 0.2958,IF(Weather_location="Los_Angeles",0.32,IF(Weather_location="San_Francisco",0.395,IF(Weather_location="Sacramento",0.2958))))</f>
        <v>0.29580000000000001</v>
      </c>
      <c r="F23">
        <f>IF(OR(Weather_location&lt;&gt;"Los_Angeles", Weather_location&lt;&gt;"San_Francisco", Weather_location&lt;&gt;"Sacramento"), 0.003,IF(Weather_location="Los_Angeles",0.004,IF(Weather_location="San_Francisco",0.004,IF(Weather_location="Sacramento",0.003))))</f>
        <v>3.0000000000000001E-3</v>
      </c>
      <c r="M23">
        <v>11</v>
      </c>
      <c r="N23">
        <v>334</v>
      </c>
      <c r="Q23" s="569"/>
      <c r="R23" s="569"/>
    </row>
    <row r="24" spans="2:18">
      <c r="D24">
        <v>60</v>
      </c>
      <c r="E24">
        <f>IF(OR(Weather_location&lt;&gt;"Los_Angeles", Weather_location&lt;&gt;"San_Francisco", Weather_location&lt;&gt;"Sacramento"), 0.296,IF(Weather_location="Los_Angeles",0.316,IF(Weather_location="San_Francisco",0.392,IF(Weather_location="Sacramento",0.296))))</f>
        <v>0.29599999999999999</v>
      </c>
      <c r="F24">
        <f>IF(OR(Weather_location&lt;&gt;"Los_Angeles", Weather_location&lt;&gt;"San_Francisco", Weather_location&lt;&gt;"Sacramento"), 0.0025,IF(Weather_location="Los_Angeles",0.0035,IF(Weather_location="San_Francisco",0.0035,IF(Weather_location="Sacramento",0.0025))))</f>
        <v>2.5000000000000001E-3</v>
      </c>
      <c r="M24">
        <v>12</v>
      </c>
      <c r="N24">
        <v>365</v>
      </c>
      <c r="Q24" s="569"/>
      <c r="R24" s="569"/>
    </row>
    <row r="25" spans="2:18">
      <c r="D25" t="s">
        <v>22</v>
      </c>
      <c r="E25" t="s">
        <v>21</v>
      </c>
      <c r="F25" t="s">
        <v>2</v>
      </c>
    </row>
    <row r="26" spans="2:18">
      <c r="C26" t="s">
        <v>362</v>
      </c>
      <c r="D26">
        <v>20</v>
      </c>
      <c r="E26">
        <f>IF(OR(Weather_location&lt;&gt;"Los_Angeles", Weather_location&lt;&gt;"San_Francisco", Weather_location&lt;&gt;"Sacramento"), 0.3747,IF(Weather_location="Los_Angeles",0.5743,IF(Weather_location="San_Francisco",0.5743,IF(Weather_location="Sacramento",0.3747))))</f>
        <v>0.37469999999999998</v>
      </c>
      <c r="F26">
        <f>IF(OR(Weather_location&lt;&gt;"Los_Angeles", Weather_location&lt;&gt;"San_Francisco", Weather_location&lt;&gt;"Sacramento"), 0.0027,IF(Weather_location="Los_Angeles",0.004,IF(Weather_location="San_Francisco",0.004,IF(Weather_location="Sacramento",0.0027))))</f>
        <v>2.7000000000000001E-3</v>
      </c>
    </row>
    <row r="27" spans="2:18">
      <c r="D27">
        <v>40</v>
      </c>
      <c r="E27">
        <f>IF(OR(Weather_location&lt;&gt;"Los_Angeles", Weather_location&lt;&gt;"San_Francisco", Weather_location&lt;&gt;"Sacramento"), 0.3756,IF(Weather_location="Los_Angeles",0.575,IF(Weather_location="San_Francisco",0.575,IF(Weather_location="Sacramento",0.3756))))</f>
        <v>0.37559999999999999</v>
      </c>
      <c r="F27">
        <f>IF(OR(Weather_location&lt;&gt;"Los_Angeles", Weather_location&lt;&gt;"San_Francisco", Weather_location&lt;&gt;"Sacramento"), 0.0023,IF(Weather_location="Los_Angeles",0.0028,IF(Weather_location="San_Francisco",0.0028,IF(Weather_location="Sacramento",0.0023))))</f>
        <v>2.3E-3</v>
      </c>
    </row>
    <row r="28" spans="2:18">
      <c r="D28">
        <v>60</v>
      </c>
      <c r="E28">
        <f>IF(OR(Weather_location&lt;&gt;"Los_Angeles", Weather_location&lt;&gt;"San_Francisco", Weather_location&lt;&gt;"Sacramento"), 0.376,IF(Weather_location="Los_Angeles",0.5752,IF(Weather_location="San_Francisco",0.5752,IF(Weather_location="Sacramento",0.376))))</f>
        <v>0.376</v>
      </c>
      <c r="F28">
        <f>IF(OR(Weather_location&lt;&gt;"Los_Angeles", Weather_location&lt;&gt;"San_Francisco", Weather_location&lt;&gt;"Sacramento"), 0.002,IF(Weather_location="Los_Angeles",0.0024,IF(Weather_location="San_Francisco",0.0024,IF(Weather_location="Sacramento",0.002))))</f>
        <v>2E-3</v>
      </c>
    </row>
  </sheetData>
  <phoneticPr fontId="11" type="noConversion"/>
  <pageMargins left="0.75" right="0.75" top="1" bottom="1" header="0.5" footer="0.5"/>
  <pageSetup orientation="portrait" horizontalDpi="1200" verticalDpi="1200"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A1:AM49"/>
  <sheetViews>
    <sheetView workbookViewId="0">
      <pane xSplit="1" ySplit="1" topLeftCell="V8540" activePane="bottomRight" state="frozenSplit"/>
      <selection pane="topRight" activeCell="C1" sqref="C1"/>
      <selection pane="bottomLeft"/>
      <selection pane="bottomRight"/>
    </sheetView>
  </sheetViews>
  <sheetFormatPr defaultRowHeight="12.75"/>
  <cols>
    <col min="1" max="1" width="19.85546875" customWidth="1"/>
  </cols>
  <sheetData>
    <row r="1" spans="1:39">
      <c r="A1" t="s">
        <v>25</v>
      </c>
      <c r="B1" t="s">
        <v>2471</v>
      </c>
      <c r="C1" t="s">
        <v>2472</v>
      </c>
      <c r="D1" t="s">
        <v>2473</v>
      </c>
      <c r="E1" t="s">
        <v>2474</v>
      </c>
      <c r="F1" t="s">
        <v>324</v>
      </c>
      <c r="G1" t="s">
        <v>2475</v>
      </c>
      <c r="H1" t="s">
        <v>2476</v>
      </c>
      <c r="I1" t="s">
        <v>131</v>
      </c>
      <c r="J1" t="s">
        <v>2477</v>
      </c>
      <c r="K1" t="s">
        <v>2478</v>
      </c>
      <c r="L1" t="s">
        <v>132</v>
      </c>
      <c r="M1" t="s">
        <v>2479</v>
      </c>
      <c r="N1" t="s">
        <v>133</v>
      </c>
      <c r="O1" t="s">
        <v>2480</v>
      </c>
      <c r="P1" s="581" t="s">
        <v>134</v>
      </c>
      <c r="Q1" t="s">
        <v>2481</v>
      </c>
      <c r="R1" t="s">
        <v>135</v>
      </c>
      <c r="S1" t="s">
        <v>2482</v>
      </c>
      <c r="T1" t="s">
        <v>136</v>
      </c>
      <c r="U1" t="s">
        <v>2483</v>
      </c>
      <c r="V1" s="581" t="s">
        <v>2484</v>
      </c>
      <c r="W1" t="s">
        <v>137</v>
      </c>
      <c r="X1" s="580" t="s">
        <v>2485</v>
      </c>
      <c r="Y1" t="s">
        <v>2486</v>
      </c>
      <c r="Z1" t="s">
        <v>2487</v>
      </c>
      <c r="AA1" t="s">
        <v>138</v>
      </c>
      <c r="AB1" t="s">
        <v>2488</v>
      </c>
      <c r="AC1" t="s">
        <v>347</v>
      </c>
      <c r="AD1" t="s">
        <v>174</v>
      </c>
      <c r="AE1" t="s">
        <v>322</v>
      </c>
      <c r="AF1" t="s">
        <v>325</v>
      </c>
      <c r="AG1" t="s">
        <v>326</v>
      </c>
      <c r="AH1" t="s">
        <v>327</v>
      </c>
      <c r="AI1" t="s">
        <v>328</v>
      </c>
      <c r="AJ1" t="s">
        <v>329</v>
      </c>
      <c r="AK1" t="s">
        <v>330</v>
      </c>
      <c r="AL1" t="s">
        <v>331</v>
      </c>
      <c r="AM1" t="s">
        <v>332</v>
      </c>
    </row>
    <row r="2" spans="1:39">
      <c r="A2" t="s">
        <v>2572</v>
      </c>
      <c r="D2">
        <v>0</v>
      </c>
      <c r="H2">
        <v>0</v>
      </c>
      <c r="K2">
        <v>0</v>
      </c>
      <c r="V2">
        <v>0</v>
      </c>
      <c r="Y2">
        <v>0</v>
      </c>
      <c r="Z2">
        <v>0</v>
      </c>
    </row>
    <row r="3" spans="1:39">
      <c r="A3" t="s">
        <v>2573</v>
      </c>
      <c r="D3">
        <v>0</v>
      </c>
      <c r="H3">
        <v>0</v>
      </c>
      <c r="K3">
        <v>0</v>
      </c>
      <c r="V3">
        <v>0</v>
      </c>
      <c r="Y3">
        <v>0</v>
      </c>
      <c r="Z3">
        <v>0</v>
      </c>
    </row>
    <row r="4" spans="1:39">
      <c r="A4" t="s">
        <v>2574</v>
      </c>
      <c r="D4">
        <v>0</v>
      </c>
      <c r="H4">
        <v>0</v>
      </c>
      <c r="K4">
        <v>0</v>
      </c>
      <c r="V4">
        <v>0</v>
      </c>
      <c r="Y4">
        <v>0</v>
      </c>
      <c r="Z4">
        <v>0</v>
      </c>
    </row>
    <row r="5" spans="1:39">
      <c r="A5" t="s">
        <v>2575</v>
      </c>
      <c r="D5">
        <v>0</v>
      </c>
      <c r="H5">
        <v>0</v>
      </c>
      <c r="K5">
        <v>0</v>
      </c>
      <c r="V5">
        <v>0</v>
      </c>
      <c r="Y5">
        <v>0</v>
      </c>
      <c r="Z5">
        <v>0</v>
      </c>
    </row>
    <row r="6" spans="1:39">
      <c r="A6" t="s">
        <v>2576</v>
      </c>
      <c r="D6">
        <v>0</v>
      </c>
      <c r="H6">
        <v>0</v>
      </c>
      <c r="K6">
        <v>0</v>
      </c>
      <c r="V6">
        <v>0</v>
      </c>
      <c r="Y6">
        <v>0</v>
      </c>
      <c r="Z6">
        <v>0</v>
      </c>
    </row>
    <row r="7" spans="1:39">
      <c r="A7" t="s">
        <v>2577</v>
      </c>
      <c r="D7">
        <v>0</v>
      </c>
      <c r="H7">
        <v>0</v>
      </c>
      <c r="K7">
        <v>0</v>
      </c>
      <c r="V7">
        <v>0</v>
      </c>
      <c r="Y7">
        <v>0</v>
      </c>
      <c r="Z7">
        <v>0</v>
      </c>
    </row>
    <row r="8" spans="1:39">
      <c r="A8" t="s">
        <v>2578</v>
      </c>
      <c r="D8">
        <v>0</v>
      </c>
      <c r="H8">
        <v>0</v>
      </c>
      <c r="K8">
        <v>0</v>
      </c>
      <c r="V8">
        <v>665261578.43494904</v>
      </c>
      <c r="Y8">
        <v>617858.81560460897</v>
      </c>
      <c r="Z8">
        <v>53685715.311930403</v>
      </c>
    </row>
    <row r="9" spans="1:39">
      <c r="A9" t="s">
        <v>2579</v>
      </c>
      <c r="D9">
        <v>0</v>
      </c>
      <c r="H9">
        <v>0</v>
      </c>
      <c r="K9">
        <v>0</v>
      </c>
      <c r="V9">
        <v>1409985073.8807399</v>
      </c>
      <c r="Y9">
        <v>2027691.98080333</v>
      </c>
      <c r="Z9">
        <v>53186684.580084898</v>
      </c>
    </row>
    <row r="10" spans="1:39">
      <c r="A10" t="s">
        <v>2580</v>
      </c>
      <c r="D10">
        <v>0</v>
      </c>
      <c r="H10">
        <v>0</v>
      </c>
      <c r="K10">
        <v>0</v>
      </c>
      <c r="V10">
        <v>1563592028.24617</v>
      </c>
      <c r="Y10">
        <v>2103390.0358589701</v>
      </c>
      <c r="Z10">
        <v>58981809.118792497</v>
      </c>
    </row>
    <row r="11" spans="1:39">
      <c r="A11" t="s">
        <v>2581</v>
      </c>
      <c r="D11">
        <v>0</v>
      </c>
      <c r="H11">
        <v>0</v>
      </c>
      <c r="K11">
        <v>0</v>
      </c>
      <c r="V11">
        <v>1544532835.5841</v>
      </c>
      <c r="Y11">
        <v>2089614.08183454</v>
      </c>
      <c r="Z11">
        <v>59122388.734412298</v>
      </c>
    </row>
    <row r="12" spans="1:39">
      <c r="A12" t="s">
        <v>2582</v>
      </c>
      <c r="D12">
        <v>0</v>
      </c>
      <c r="H12">
        <v>0</v>
      </c>
      <c r="K12">
        <v>0</v>
      </c>
      <c r="V12">
        <v>1493807617.61572</v>
      </c>
      <c r="Y12">
        <v>2061978.77851672</v>
      </c>
      <c r="Z12">
        <v>57188473.386174902</v>
      </c>
    </row>
    <row r="13" spans="1:39">
      <c r="A13" t="s">
        <v>2583</v>
      </c>
      <c r="D13">
        <v>0</v>
      </c>
      <c r="H13">
        <v>0</v>
      </c>
      <c r="K13">
        <v>0</v>
      </c>
      <c r="V13">
        <v>1308626331.8013799</v>
      </c>
      <c r="Y13">
        <v>9501276.3655626103</v>
      </c>
      <c r="Z13">
        <v>48502660.891822599</v>
      </c>
    </row>
    <row r="14" spans="1:39">
      <c r="A14" t="s">
        <v>2584</v>
      </c>
      <c r="D14">
        <v>0</v>
      </c>
      <c r="H14">
        <v>0</v>
      </c>
      <c r="K14">
        <v>0</v>
      </c>
      <c r="V14">
        <v>1096341468.5411999</v>
      </c>
      <c r="Y14">
        <v>9899925.2091991901</v>
      </c>
      <c r="Z14">
        <v>40598300.599142402</v>
      </c>
    </row>
    <row r="15" spans="1:39">
      <c r="A15" t="s">
        <v>2585</v>
      </c>
      <c r="D15">
        <v>0</v>
      </c>
      <c r="H15">
        <v>0</v>
      </c>
      <c r="K15">
        <v>0</v>
      </c>
      <c r="V15">
        <v>1032319873.2550499</v>
      </c>
      <c r="Y15">
        <v>1865763.59503457</v>
      </c>
      <c r="Z15">
        <v>38676342.194751799</v>
      </c>
    </row>
    <row r="16" spans="1:39">
      <c r="A16" t="s">
        <v>2586</v>
      </c>
      <c r="D16">
        <v>0</v>
      </c>
      <c r="H16">
        <v>0</v>
      </c>
      <c r="K16">
        <v>0</v>
      </c>
      <c r="V16">
        <v>1032897920.69198</v>
      </c>
      <c r="Y16">
        <v>1865770.0112314899</v>
      </c>
      <c r="Z16">
        <v>38676342.194751799</v>
      </c>
    </row>
    <row r="17" spans="1:39">
      <c r="A17" t="s">
        <v>2587</v>
      </c>
      <c r="D17">
        <v>0</v>
      </c>
      <c r="H17">
        <v>0</v>
      </c>
      <c r="K17">
        <v>0</v>
      </c>
      <c r="V17">
        <v>0</v>
      </c>
      <c r="Y17">
        <v>0</v>
      </c>
      <c r="Z17">
        <v>63046002.900333002</v>
      </c>
    </row>
    <row r="18" spans="1:39">
      <c r="A18" t="s">
        <v>2588</v>
      </c>
      <c r="D18">
        <v>0</v>
      </c>
      <c r="H18">
        <v>0</v>
      </c>
      <c r="K18">
        <v>0</v>
      </c>
      <c r="V18">
        <v>0</v>
      </c>
      <c r="Y18">
        <v>0</v>
      </c>
      <c r="Z18">
        <v>76218715.212527901</v>
      </c>
    </row>
    <row r="19" spans="1:39">
      <c r="A19" t="s">
        <v>2589</v>
      </c>
      <c r="D19">
        <v>0</v>
      </c>
      <c r="H19">
        <v>0</v>
      </c>
      <c r="K19">
        <v>0</v>
      </c>
      <c r="V19">
        <v>0</v>
      </c>
      <c r="Y19">
        <v>0</v>
      </c>
      <c r="Z19">
        <v>78011801.035857096</v>
      </c>
    </row>
    <row r="20" spans="1:39">
      <c r="A20" t="s">
        <v>2590</v>
      </c>
      <c r="D20">
        <v>0</v>
      </c>
      <c r="H20">
        <v>0</v>
      </c>
      <c r="K20">
        <v>0</v>
      </c>
      <c r="V20">
        <v>0</v>
      </c>
      <c r="Y20">
        <v>0</v>
      </c>
      <c r="Z20">
        <v>0</v>
      </c>
    </row>
    <row r="21" spans="1:39">
      <c r="A21" t="s">
        <v>2591</v>
      </c>
      <c r="D21">
        <v>0</v>
      </c>
      <c r="H21">
        <v>0</v>
      </c>
      <c r="K21">
        <v>0</v>
      </c>
      <c r="V21">
        <v>0</v>
      </c>
      <c r="Y21">
        <v>0</v>
      </c>
      <c r="Z21">
        <v>0</v>
      </c>
    </row>
    <row r="22" spans="1:39">
      <c r="A22" t="s">
        <v>2592</v>
      </c>
      <c r="D22">
        <v>0</v>
      </c>
      <c r="H22">
        <v>0</v>
      </c>
      <c r="K22">
        <v>0</v>
      </c>
      <c r="V22">
        <v>0</v>
      </c>
      <c r="Y22">
        <v>0</v>
      </c>
      <c r="Z22">
        <v>0</v>
      </c>
    </row>
    <row r="23" spans="1:39">
      <c r="A23" t="s">
        <v>2593</v>
      </c>
      <c r="D23">
        <v>0</v>
      </c>
      <c r="H23">
        <v>0</v>
      </c>
      <c r="K23">
        <v>0</v>
      </c>
      <c r="V23">
        <v>0</v>
      </c>
      <c r="Y23">
        <v>0</v>
      </c>
      <c r="Z23">
        <v>0</v>
      </c>
    </row>
    <row r="24" spans="1:39">
      <c r="A24" t="s">
        <v>2594</v>
      </c>
      <c r="D24">
        <v>0</v>
      </c>
      <c r="H24">
        <v>0</v>
      </c>
      <c r="K24">
        <v>0</v>
      </c>
      <c r="V24">
        <v>0</v>
      </c>
      <c r="Y24">
        <v>0</v>
      </c>
      <c r="Z24">
        <v>0</v>
      </c>
    </row>
    <row r="25" spans="1:39">
      <c r="A25" t="s">
        <v>2595</v>
      </c>
      <c r="B25">
        <v>0</v>
      </c>
      <c r="C25">
        <v>0</v>
      </c>
      <c r="D25">
        <v>0</v>
      </c>
      <c r="E25">
        <v>697928505.03422797</v>
      </c>
      <c r="F25">
        <v>697928505.03422797</v>
      </c>
      <c r="G25">
        <v>0</v>
      </c>
      <c r="H25">
        <v>0</v>
      </c>
      <c r="I25">
        <v>0</v>
      </c>
      <c r="J25">
        <v>0</v>
      </c>
      <c r="K25">
        <v>0</v>
      </c>
      <c r="L25">
        <v>0</v>
      </c>
      <c r="M25">
        <v>0</v>
      </c>
      <c r="N25">
        <v>0</v>
      </c>
      <c r="O25">
        <v>665895236.16058195</v>
      </c>
      <c r="P25">
        <v>665895236.16058195</v>
      </c>
      <c r="Q25">
        <v>29317831.396539502</v>
      </c>
      <c r="R25">
        <v>29317831.396539502</v>
      </c>
      <c r="S25">
        <v>2715437.4771065302</v>
      </c>
      <c r="T25">
        <v>2715437.4771065302</v>
      </c>
      <c r="U25">
        <v>11147364728.0513</v>
      </c>
      <c r="V25">
        <v>0</v>
      </c>
      <c r="W25">
        <v>11147364728.0513</v>
      </c>
      <c r="X25">
        <v>32033268.873645999</v>
      </c>
      <c r="Y25">
        <v>0</v>
      </c>
      <c r="Z25">
        <v>0</v>
      </c>
      <c r="AA25">
        <v>32033268.873645999</v>
      </c>
      <c r="AB25">
        <v>665895236.16058195</v>
      </c>
      <c r="AC25">
        <v>665895236.16058195</v>
      </c>
      <c r="AD25">
        <v>697928505.03422797</v>
      </c>
      <c r="AE25">
        <v>0</v>
      </c>
      <c r="AF25">
        <v>0</v>
      </c>
      <c r="AG25">
        <v>0</v>
      </c>
      <c r="AH25">
        <v>665895236.16058195</v>
      </c>
      <c r="AI25">
        <v>29317831.396539502</v>
      </c>
      <c r="AJ25">
        <v>2715437.4771065302</v>
      </c>
      <c r="AK25">
        <v>11147364728.0513</v>
      </c>
      <c r="AL25">
        <v>32033268.873645999</v>
      </c>
      <c r="AM25">
        <v>665895236.16058195</v>
      </c>
    </row>
    <row r="26" spans="1:39">
      <c r="A26" t="s">
        <v>2596</v>
      </c>
      <c r="D26">
        <v>0</v>
      </c>
      <c r="H26">
        <v>216802988.055612</v>
      </c>
      <c r="K26">
        <v>162602241.04170901</v>
      </c>
      <c r="V26">
        <v>0</v>
      </c>
      <c r="Y26">
        <v>0</v>
      </c>
      <c r="Z26">
        <v>0</v>
      </c>
    </row>
    <row r="27" spans="1:39">
      <c r="A27" t="s">
        <v>2597</v>
      </c>
      <c r="D27">
        <v>0</v>
      </c>
      <c r="H27">
        <v>216802988.055612</v>
      </c>
      <c r="K27">
        <v>162602241.04170901</v>
      </c>
      <c r="V27">
        <v>0</v>
      </c>
      <c r="Y27">
        <v>0</v>
      </c>
      <c r="Z27">
        <v>0</v>
      </c>
    </row>
    <row r="28" spans="1:39">
      <c r="A28" t="s">
        <v>2598</v>
      </c>
      <c r="D28">
        <v>0</v>
      </c>
      <c r="H28">
        <v>216802988.055612</v>
      </c>
      <c r="K28">
        <v>162602241.04170901</v>
      </c>
      <c r="V28">
        <v>0</v>
      </c>
      <c r="Y28">
        <v>0</v>
      </c>
      <c r="Z28">
        <v>0</v>
      </c>
    </row>
    <row r="29" spans="1:39">
      <c r="A29" t="s">
        <v>2599</v>
      </c>
      <c r="D29">
        <v>0</v>
      </c>
      <c r="H29">
        <v>216802988.055612</v>
      </c>
      <c r="K29">
        <v>162602241.04170901</v>
      </c>
      <c r="V29">
        <v>0</v>
      </c>
      <c r="Y29">
        <v>0</v>
      </c>
      <c r="Z29">
        <v>0</v>
      </c>
    </row>
    <row r="30" spans="1:39">
      <c r="A30" t="s">
        <v>2600</v>
      </c>
      <c r="D30">
        <v>0</v>
      </c>
      <c r="H30">
        <v>216802988.055612</v>
      </c>
      <c r="K30">
        <v>162602241.04170901</v>
      </c>
      <c r="V30">
        <v>0</v>
      </c>
      <c r="Y30">
        <v>0</v>
      </c>
      <c r="Z30">
        <v>0</v>
      </c>
    </row>
    <row r="31" spans="1:39">
      <c r="A31" t="s">
        <v>2601</v>
      </c>
      <c r="D31">
        <v>0</v>
      </c>
      <c r="H31">
        <v>216802988.055612</v>
      </c>
      <c r="K31">
        <v>162602241.04170901</v>
      </c>
      <c r="V31">
        <v>0</v>
      </c>
      <c r="Y31">
        <v>0</v>
      </c>
      <c r="Z31">
        <v>0</v>
      </c>
    </row>
    <row r="32" spans="1:39">
      <c r="A32" t="s">
        <v>2602</v>
      </c>
      <c r="D32">
        <v>248426.37527037601</v>
      </c>
      <c r="H32">
        <v>216802988.055612</v>
      </c>
      <c r="K32">
        <v>162602241.04170901</v>
      </c>
      <c r="V32">
        <v>0</v>
      </c>
      <c r="Y32">
        <v>17186009.740216799</v>
      </c>
      <c r="Z32">
        <v>52640914.720052399</v>
      </c>
    </row>
    <row r="33" spans="1:26">
      <c r="A33" t="s">
        <v>2603</v>
      </c>
      <c r="D33">
        <v>12012011.897186801</v>
      </c>
      <c r="H33">
        <v>216802988.055612</v>
      </c>
      <c r="K33">
        <v>162602241.04170901</v>
      </c>
      <c r="V33">
        <v>0</v>
      </c>
      <c r="Y33">
        <v>155943215.841977</v>
      </c>
      <c r="Z33">
        <v>64270805.035611197</v>
      </c>
    </row>
    <row r="34" spans="1:26">
      <c r="A34" t="s">
        <v>2604</v>
      </c>
      <c r="D34">
        <v>13953652.9834332</v>
      </c>
      <c r="H34">
        <v>216802988.055612</v>
      </c>
      <c r="K34">
        <v>162602241.04170901</v>
      </c>
      <c r="V34">
        <v>0</v>
      </c>
      <c r="Y34">
        <v>243590200.04522201</v>
      </c>
      <c r="Z34">
        <v>61742176.021069899</v>
      </c>
    </row>
    <row r="35" spans="1:26">
      <c r="A35" t="s">
        <v>2605</v>
      </c>
      <c r="D35">
        <v>13953652.9834332</v>
      </c>
      <c r="H35">
        <v>216802988.055612</v>
      </c>
      <c r="K35">
        <v>162602241.04170901</v>
      </c>
      <c r="V35">
        <v>0</v>
      </c>
      <c r="Y35">
        <v>245614758.46044201</v>
      </c>
      <c r="Z35">
        <v>52617637.081806302</v>
      </c>
    </row>
    <row r="36" spans="1:26">
      <c r="A36" t="s">
        <v>2606</v>
      </c>
      <c r="D36">
        <v>13953652.9834332</v>
      </c>
      <c r="H36">
        <v>216802988.055612</v>
      </c>
      <c r="K36">
        <v>162602241.04170901</v>
      </c>
      <c r="V36">
        <v>0</v>
      </c>
      <c r="Y36">
        <v>245697185.01991099</v>
      </c>
      <c r="Z36">
        <v>50384988.430450797</v>
      </c>
    </row>
    <row r="37" spans="1:26">
      <c r="A37" t="s">
        <v>2607</v>
      </c>
      <c r="D37">
        <v>13953652.9834332</v>
      </c>
      <c r="H37">
        <v>216802988.055612</v>
      </c>
      <c r="K37">
        <v>162602241.04170901</v>
      </c>
      <c r="V37">
        <v>0</v>
      </c>
      <c r="Y37">
        <v>248988835.49435401</v>
      </c>
      <c r="Z37">
        <v>47741144.658481397</v>
      </c>
    </row>
    <row r="38" spans="1:26">
      <c r="A38" t="s">
        <v>2608</v>
      </c>
      <c r="D38">
        <v>13953652.9834332</v>
      </c>
      <c r="H38">
        <v>216802988.055612</v>
      </c>
      <c r="K38">
        <v>162602241.04170901</v>
      </c>
      <c r="V38">
        <v>0</v>
      </c>
      <c r="Y38">
        <v>257095606.367024</v>
      </c>
      <c r="Z38">
        <v>47411086.234332502</v>
      </c>
    </row>
    <row r="39" spans="1:26">
      <c r="A39" t="s">
        <v>2609</v>
      </c>
      <c r="D39">
        <v>13953652.9834332</v>
      </c>
      <c r="H39">
        <v>216802988.055612</v>
      </c>
      <c r="K39">
        <v>162602241.04170901</v>
      </c>
      <c r="V39">
        <v>0</v>
      </c>
      <c r="Y39">
        <v>264902587.67775801</v>
      </c>
      <c r="Z39">
        <v>47675792.102278396</v>
      </c>
    </row>
    <row r="40" spans="1:26">
      <c r="A40" t="s">
        <v>2610</v>
      </c>
      <c r="D40">
        <v>13953652.9834332</v>
      </c>
      <c r="H40">
        <v>216802988.055612</v>
      </c>
      <c r="K40">
        <v>162602241.04170901</v>
      </c>
      <c r="V40">
        <v>0</v>
      </c>
      <c r="Y40">
        <v>264118078.55859101</v>
      </c>
      <c r="Z40">
        <v>46063097.234975703</v>
      </c>
    </row>
    <row r="41" spans="1:26">
      <c r="A41" t="s">
        <v>2611</v>
      </c>
      <c r="D41">
        <v>13953652.9834332</v>
      </c>
      <c r="H41">
        <v>216802988.055612</v>
      </c>
      <c r="K41">
        <v>162602241.04170901</v>
      </c>
      <c r="V41">
        <v>0</v>
      </c>
      <c r="Y41">
        <v>254355310.32451901</v>
      </c>
      <c r="Z41">
        <v>42810624.377599597</v>
      </c>
    </row>
    <row r="42" spans="1:26">
      <c r="A42" t="s">
        <v>2612</v>
      </c>
      <c r="D42">
        <v>13953652.9834332</v>
      </c>
      <c r="H42">
        <v>216802988.055612</v>
      </c>
      <c r="K42">
        <v>162602241.04170901</v>
      </c>
      <c r="V42">
        <v>0</v>
      </c>
      <c r="Y42">
        <v>242147537.98741099</v>
      </c>
      <c r="Z42">
        <v>40131886.579774402</v>
      </c>
    </row>
    <row r="43" spans="1:26">
      <c r="A43" t="s">
        <v>2613</v>
      </c>
      <c r="D43">
        <v>13953652.9834332</v>
      </c>
      <c r="H43">
        <v>216802988.055612</v>
      </c>
      <c r="K43">
        <v>162602241.04170901</v>
      </c>
      <c r="V43">
        <v>0</v>
      </c>
      <c r="Y43">
        <v>227470166.01217899</v>
      </c>
      <c r="Z43">
        <v>36647067.166539401</v>
      </c>
    </row>
    <row r="44" spans="1:26">
      <c r="A44" t="s">
        <v>2614</v>
      </c>
      <c r="D44">
        <v>13953652.9834332</v>
      </c>
      <c r="H44">
        <v>216802988.055612</v>
      </c>
      <c r="K44">
        <v>162602241.04170901</v>
      </c>
      <c r="V44">
        <v>0</v>
      </c>
      <c r="Y44">
        <v>202494338.713128</v>
      </c>
      <c r="Z44">
        <v>29770905.5495243</v>
      </c>
    </row>
    <row r="45" spans="1:26">
      <c r="A45" t="s">
        <v>2615</v>
      </c>
      <c r="D45">
        <v>13953652.9834332</v>
      </c>
      <c r="H45">
        <v>216802988.055612</v>
      </c>
      <c r="K45">
        <v>162602241.04170901</v>
      </c>
      <c r="V45">
        <v>0</v>
      </c>
      <c r="Y45">
        <v>174034510.457313</v>
      </c>
      <c r="Z45">
        <v>22286344.648970101</v>
      </c>
    </row>
    <row r="46" spans="1:26">
      <c r="A46" t="s">
        <v>2616</v>
      </c>
      <c r="D46">
        <v>13953652.9834332</v>
      </c>
      <c r="H46">
        <v>216802988.055612</v>
      </c>
      <c r="K46">
        <v>162602241.04170901</v>
      </c>
      <c r="V46">
        <v>0</v>
      </c>
      <c r="Y46">
        <v>160937848.862472</v>
      </c>
      <c r="Z46">
        <v>21493647.056408498</v>
      </c>
    </row>
    <row r="47" spans="1:26">
      <c r="A47" t="s">
        <v>2617</v>
      </c>
      <c r="D47">
        <v>13381258.2488351</v>
      </c>
      <c r="H47">
        <v>216802988.055612</v>
      </c>
      <c r="K47">
        <v>162602241.04170901</v>
      </c>
      <c r="V47">
        <v>0</v>
      </c>
      <c r="Y47">
        <v>134869637.362326</v>
      </c>
      <c r="Z47">
        <v>22083247.744026002</v>
      </c>
    </row>
    <row r="48" spans="1:26">
      <c r="A48" t="s">
        <v>2618</v>
      </c>
      <c r="D48">
        <v>0</v>
      </c>
      <c r="H48">
        <v>216802988.055612</v>
      </c>
      <c r="K48">
        <v>162602241.04170901</v>
      </c>
      <c r="V48">
        <v>0</v>
      </c>
      <c r="Y48">
        <v>0</v>
      </c>
      <c r="Z48">
        <v>0</v>
      </c>
    </row>
    <row r="49" spans="1:39">
      <c r="A49" t="s">
        <v>2619</v>
      </c>
      <c r="B49">
        <v>207039185.30592501</v>
      </c>
      <c r="C49">
        <v>207039185.30592501</v>
      </c>
      <c r="D49">
        <v>0</v>
      </c>
      <c r="E49">
        <v>13130942689.902399</v>
      </c>
      <c r="F49">
        <v>13130942689.902399</v>
      </c>
      <c r="G49">
        <v>5203271713.3346901</v>
      </c>
      <c r="H49">
        <v>216802988.055612</v>
      </c>
      <c r="I49">
        <v>5203271713.3346901</v>
      </c>
      <c r="J49">
        <v>3902453785.00103</v>
      </c>
      <c r="K49">
        <v>162602241.04170901</v>
      </c>
      <c r="L49">
        <v>3902453785.00103</v>
      </c>
      <c r="M49">
        <v>9105725498.3356991</v>
      </c>
      <c r="N49">
        <v>9105725498.3356991</v>
      </c>
      <c r="O49">
        <v>685771364.64190102</v>
      </c>
      <c r="P49">
        <v>685771364.64190102</v>
      </c>
      <c r="Q49">
        <v>201971269.776723</v>
      </c>
      <c r="R49">
        <v>201971269.776723</v>
      </c>
      <c r="S49">
        <v>2930435371.8421998</v>
      </c>
      <c r="T49">
        <v>2930435371.8421998</v>
      </c>
      <c r="U49">
        <v>0</v>
      </c>
      <c r="V49">
        <v>0</v>
      </c>
      <c r="W49">
        <v>0</v>
      </c>
      <c r="X49">
        <v>3339445826.92484</v>
      </c>
      <c r="Y49">
        <v>0</v>
      </c>
      <c r="Z49">
        <v>0</v>
      </c>
      <c r="AA49">
        <v>3339445826.92484</v>
      </c>
      <c r="AB49">
        <v>685771364.64190102</v>
      </c>
      <c r="AC49">
        <v>685771364.64190102</v>
      </c>
      <c r="AD49">
        <v>13130942689.902399</v>
      </c>
      <c r="AE49">
        <v>5203271713.3346901</v>
      </c>
      <c r="AF49">
        <v>3902453785.00103</v>
      </c>
      <c r="AG49">
        <v>9105725498.3356991</v>
      </c>
      <c r="AH49">
        <v>685771364.64190102</v>
      </c>
      <c r="AI49">
        <v>201971269.776723</v>
      </c>
      <c r="AJ49">
        <v>2930435371.8421998</v>
      </c>
      <c r="AK49">
        <v>0</v>
      </c>
      <c r="AL49">
        <v>3339445826.92484</v>
      </c>
      <c r="AM49">
        <v>685771364.64190102</v>
      </c>
    </row>
  </sheetData>
  <phoneticPr fontId="1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160</vt:i4>
      </vt:variant>
    </vt:vector>
  </HeadingPairs>
  <TitlesOfParts>
    <vt:vector size="171" baseType="lpstr">
      <vt:lpstr>Terms of Use</vt:lpstr>
      <vt:lpstr>Input</vt:lpstr>
      <vt:lpstr>Output annual</vt:lpstr>
      <vt:lpstr>Output hourly</vt:lpstr>
      <vt:lpstr>Output other</vt:lpstr>
      <vt:lpstr>EPlus Table Results</vt:lpstr>
      <vt:lpstr>imf input text</vt:lpstr>
      <vt:lpstr>graph data</vt:lpstr>
      <vt:lpstr>Eplus results</vt:lpstr>
      <vt:lpstr>lists</vt:lpstr>
      <vt:lpstr>EPlus Meter Results</vt:lpstr>
      <vt:lpstr>AHU_DesignStaticPressure</vt:lpstr>
      <vt:lpstr>AHU_SAT</vt:lpstr>
      <vt:lpstr>Another_Kwang_Sizing</vt:lpstr>
      <vt:lpstr>Average_East_VAVSize</vt:lpstr>
      <vt:lpstr>Average_Interior_VAVSize</vt:lpstr>
      <vt:lpstr>Average_North_VAVSize</vt:lpstr>
      <vt:lpstr>Average_South_VAVSize</vt:lpstr>
      <vt:lpstr>Average_West_VAVSize</vt:lpstr>
      <vt:lpstr>Bldg_Length</vt:lpstr>
      <vt:lpstr>Bldg_Width</vt:lpstr>
      <vt:lpstr>Boiler_Capacity</vt:lpstr>
      <vt:lpstr>Boiler_Staging</vt:lpstr>
      <vt:lpstr>Boiler2_Capacity</vt:lpstr>
      <vt:lpstr>BoilerFirstStageRatio</vt:lpstr>
      <vt:lpstr>Ceiling_Height</vt:lpstr>
      <vt:lpstr>CeilingHeight</vt:lpstr>
      <vt:lpstr>Central_ReturnFan_MaxFlow</vt:lpstr>
      <vt:lpstr>Central_SupplyFan_MaxFlow</vt:lpstr>
      <vt:lpstr>Chiller_Capacity</vt:lpstr>
      <vt:lpstr>Chiller_Model_Type</vt:lpstr>
      <vt:lpstr>Chiller_SizingFactor</vt:lpstr>
      <vt:lpstr>Chiller_Staging</vt:lpstr>
      <vt:lpstr>ChillerPeak_Report</vt:lpstr>
      <vt:lpstr>ChW_Pump_MaxFlow</vt:lpstr>
      <vt:lpstr>CndW_Control</vt:lpstr>
      <vt:lpstr>CndW_Radiant_Temp</vt:lpstr>
      <vt:lpstr>Condenser_Pump_MaxFlow</vt:lpstr>
      <vt:lpstr>Cooling_Setpoint</vt:lpstr>
      <vt:lpstr>Core_Area</vt:lpstr>
      <vt:lpstr>current_version</vt:lpstr>
      <vt:lpstr>DesignDay_Run</vt:lpstr>
      <vt:lpstr>Detailed_Report</vt:lpstr>
      <vt:lpstr>Diffuser_Sizing</vt:lpstr>
      <vt:lpstr>Diffuser_Type</vt:lpstr>
      <vt:lpstr>end_day</vt:lpstr>
      <vt:lpstr>End_Month</vt:lpstr>
      <vt:lpstr>EndDay</vt:lpstr>
      <vt:lpstr>EnergyPlus_path</vt:lpstr>
      <vt:lpstr>eplus_pausing</vt:lpstr>
      <vt:lpstr>EW_Area</vt:lpstr>
      <vt:lpstr>fill_1</vt:lpstr>
      <vt:lpstr>fill_2</vt:lpstr>
      <vt:lpstr>FirstMinFrac</vt:lpstr>
      <vt:lpstr>floor</vt:lpstr>
      <vt:lpstr>Floor_Multiplier</vt:lpstr>
      <vt:lpstr>FloorHeight</vt:lpstr>
      <vt:lpstr>floors_list</vt:lpstr>
      <vt:lpstr>FSFan_Max_CoolingAir_GFEast</vt:lpstr>
      <vt:lpstr>FSFan_Max_HeatingAir_GFEast</vt:lpstr>
      <vt:lpstr>FSFan_UFAD_Min_Frac_GFCore</vt:lpstr>
      <vt:lpstr>FSFan_UFAD_Min_Frac_GFEast</vt:lpstr>
      <vt:lpstr>FSFan_UFAD_Min_Frac_GFNorth</vt:lpstr>
      <vt:lpstr>FSFan_UFAD_Min_Frac_GFSouth</vt:lpstr>
      <vt:lpstr>FSFan_UFAD_Min_Frac_GFWest</vt:lpstr>
      <vt:lpstr>FSFan_UFAD_Min_Frac_MFCore</vt:lpstr>
      <vt:lpstr>FSFan_UFAD_Min_Frac_MFEast</vt:lpstr>
      <vt:lpstr>FSFan_UFAD_Min_Frac_MFNorth</vt:lpstr>
      <vt:lpstr>FSFan_UFAD_Min_Frac_MFSouth</vt:lpstr>
      <vt:lpstr>FSFan_UFAD_Min_Frac_MFWest</vt:lpstr>
      <vt:lpstr>FSFan_UFAD_Min_Frac_TFCore</vt:lpstr>
      <vt:lpstr>FSFan_UFAD_Min_Frac_TFEast</vt:lpstr>
      <vt:lpstr>FSFan_UFAD_Min_Frac_TFNorth</vt:lpstr>
      <vt:lpstr>FSFan_UFAD_Min_Frac_TFSouth</vt:lpstr>
      <vt:lpstr>FSFan_UFAD_Min_Frac_TFWest</vt:lpstr>
      <vt:lpstr>GFCore_Peak_Split</vt:lpstr>
      <vt:lpstr>Heat_Recovery</vt:lpstr>
      <vt:lpstr>Heating_Setpoint</vt:lpstr>
      <vt:lpstr>HW_Pump_MaxFlow</vt:lpstr>
      <vt:lpstr>InputAHUStaticReset</vt:lpstr>
      <vt:lpstr>InputSystemType</vt:lpstr>
      <vt:lpstr>InputUFADInteriorDiffuser</vt:lpstr>
      <vt:lpstr>Int_cfm_per_diff</vt:lpstr>
      <vt:lpstr>int_constant_phi</vt:lpstr>
      <vt:lpstr>Int_DesignPhi</vt:lpstr>
      <vt:lpstr>int_diff_sf</vt:lpstr>
      <vt:lpstr>Int_DiffAngle</vt:lpstr>
      <vt:lpstr>Int_DiffArea</vt:lpstr>
      <vt:lpstr>Int_DiffCoeff_A</vt:lpstr>
      <vt:lpstr>Int_DiffType</vt:lpstr>
      <vt:lpstr>Int_zone</vt:lpstr>
      <vt:lpstr>interior_zones_list</vt:lpstr>
      <vt:lpstr>Internal_Load_Option</vt:lpstr>
      <vt:lpstr>Internal_Mass</vt:lpstr>
      <vt:lpstr>Julian_day</vt:lpstr>
      <vt:lpstr>jump_to</vt:lpstr>
      <vt:lpstr>ListAnnual</vt:lpstr>
      <vt:lpstr>ListDesignDay</vt:lpstr>
      <vt:lpstr>ListOH</vt:lpstr>
      <vt:lpstr>ListPerArea</vt:lpstr>
      <vt:lpstr>ListUFAD</vt:lpstr>
      <vt:lpstr>ListUFADFCU</vt:lpstr>
      <vt:lpstr>ListUFADYork</vt:lpstr>
      <vt:lpstr>ListUserSpecified</vt:lpstr>
      <vt:lpstr>Message_box_popup</vt:lpstr>
      <vt:lpstr>output_filename</vt:lpstr>
      <vt:lpstr>output_path</vt:lpstr>
      <vt:lpstr>parameters_general_end</vt:lpstr>
      <vt:lpstr>parameters_general_start</vt:lpstr>
      <vt:lpstr>params_path</vt:lpstr>
      <vt:lpstr>pause</vt:lpstr>
      <vt:lpstr>Per_cfm_per_diff</vt:lpstr>
      <vt:lpstr>per_constant_phi</vt:lpstr>
      <vt:lpstr>per_diff_sf</vt:lpstr>
      <vt:lpstr>Perim_DesignPhi</vt:lpstr>
      <vt:lpstr>Perim_DiffAngle</vt:lpstr>
      <vt:lpstr>Perim_DiffArea</vt:lpstr>
      <vt:lpstr>Perim_DiffCoeff_A</vt:lpstr>
      <vt:lpstr>Perim_DiffType</vt:lpstr>
      <vt:lpstr>perim_zone</vt:lpstr>
      <vt:lpstr>Perimeter_Depth</vt:lpstr>
      <vt:lpstr>perimeter_zones_list</vt:lpstr>
      <vt:lpstr>PMV_Threshold</vt:lpstr>
      <vt:lpstr>Radiant_Simulation</vt:lpstr>
      <vt:lpstr>RadiantCore_CoolingSP</vt:lpstr>
      <vt:lpstr>RadiantCore_NightCoolingSP</vt:lpstr>
      <vt:lpstr>RadiantPerim_CoolingSP</vt:lpstr>
      <vt:lpstr>RadiantPerim_NightCoolingSP</vt:lpstr>
      <vt:lpstr>Recirculation</vt:lpstr>
      <vt:lpstr>Return_Plenum</vt:lpstr>
      <vt:lpstr>RowAHUShutoffPressure</vt:lpstr>
      <vt:lpstr>RowOnlyOH</vt:lpstr>
      <vt:lpstr>RowOnlyUFAD</vt:lpstr>
      <vt:lpstr>RowSimulationPeriod</vt:lpstr>
      <vt:lpstr>RowUFADInteriorDiffuserPerArea</vt:lpstr>
      <vt:lpstr>RowUFADInteriorDiffuserPerPerson</vt:lpstr>
      <vt:lpstr>RowUFADInteriorDiffuserPerPerson1</vt:lpstr>
      <vt:lpstr>RunType</vt:lpstr>
      <vt:lpstr>RunType_Two</vt:lpstr>
      <vt:lpstr>SAT_Reset</vt:lpstr>
      <vt:lpstr>save_output</vt:lpstr>
      <vt:lpstr>SecondMinFrac</vt:lpstr>
      <vt:lpstr>Service_Area</vt:lpstr>
      <vt:lpstr>Service_Length</vt:lpstr>
      <vt:lpstr>Service_Width</vt:lpstr>
      <vt:lpstr>Setpoint_Threshold</vt:lpstr>
      <vt:lpstr>sheet_list</vt:lpstr>
      <vt:lpstr>Simulation_Type</vt:lpstr>
      <vt:lpstr>SimulationInput</vt:lpstr>
      <vt:lpstr>Sizing_Factor</vt:lpstr>
      <vt:lpstr>Sizing_Flag</vt:lpstr>
      <vt:lpstr>SN_Area</vt:lpstr>
      <vt:lpstr>Start_Day</vt:lpstr>
      <vt:lpstr>Start_Month</vt:lpstr>
      <vt:lpstr>Supply_Plenum</vt:lpstr>
      <vt:lpstr>Swing_Season_Operation</vt:lpstr>
      <vt:lpstr>SystemType</vt:lpstr>
      <vt:lpstr>Thermal_Decay_Sizing</vt:lpstr>
      <vt:lpstr>UFAD_Chiller_Sizing_Factor</vt:lpstr>
      <vt:lpstr>UFAD_Int_NumDiffs_GF</vt:lpstr>
      <vt:lpstr>UFAD_NumDiffs_GFE</vt:lpstr>
      <vt:lpstr>UFAD_SystemType</vt:lpstr>
      <vt:lpstr>UFADInteriorDiffuser</vt:lpstr>
      <vt:lpstr>version</vt:lpstr>
      <vt:lpstr>Weather_List</vt:lpstr>
      <vt:lpstr>Weather_location</vt:lpstr>
      <vt:lpstr>Whole_Floor_Breakdown</vt:lpstr>
      <vt:lpstr>WWR_option</vt:lpstr>
      <vt:lpstr>WWR_value</vt:lpstr>
      <vt:lpstr>Zone_Cool_SAT_Core</vt:lpstr>
      <vt:lpstr>Zone_Cool_SAT_Perim</vt:lpstr>
    </vt:vector>
  </TitlesOfParts>
  <Company>Taylor Engineering and CBE UC Berkeley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Kwang Ho Lee and Allan Daly</dc:creator>
  <cp:lastModifiedBy>thoyt</cp:lastModifiedBy>
  <cp:lastPrinted>2008-01-31T17:59:34Z</cp:lastPrinted>
  <dcterms:created xsi:type="dcterms:W3CDTF">2004-02-17T07:53:18Z</dcterms:created>
  <dcterms:modified xsi:type="dcterms:W3CDTF">2011-10-08T00:22:18Z</dcterms:modified>
</cp:coreProperties>
</file>